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hidePivotFieldList="1" defaultThemeVersion="124226"/>
  <mc:AlternateContent xmlns:mc="http://schemas.openxmlformats.org/markup-compatibility/2006">
    <mc:Choice Requires="x15">
      <x15ac:absPath xmlns:x15ac="http://schemas.microsoft.com/office/spreadsheetml/2010/11/ac" url="X:\WCVI\ESCAPEMENT\Reports\INSEASON Reports\2023 WCVI Esc Bulletins\"/>
    </mc:Choice>
  </mc:AlternateContent>
  <xr:revisionPtr revIDLastSave="0" documentId="13_ncr:1_{EAA16DE8-4E92-43BB-A99D-794E3A2B230C}" xr6:coauthVersionLast="47" xr6:coauthVersionMax="47" xr10:uidLastSave="{00000000-0000-0000-0000-000000000000}"/>
  <bookViews>
    <workbookView xWindow="-13470" yWindow="-16320" windowWidth="29040" windowHeight="16440" tabRatio="846" activeTab="1" xr2:uid="{00000000-000D-0000-FFFF-FFFF00000000}"/>
  </bookViews>
  <sheets>
    <sheet name="Pre-season plan" sheetId="26" r:id="rId1"/>
    <sheet name="River Matrix" sheetId="6" r:id="rId2"/>
    <sheet name="Sheet1" sheetId="33" r:id="rId3"/>
    <sheet name="Somass" sheetId="31" r:id="rId4"/>
    <sheet name="Water level Refs" sheetId="30" r:id="rId5"/>
    <sheet name="PostSeasonTable" sheetId="29" r:id="rId6"/>
    <sheet name="Fence Counts" sheetId="32" r:id="rId7"/>
    <sheet name="Hatcheries" sheetId="19" r:id="rId8"/>
    <sheet name="StatWk" sheetId="22" r:id="rId9"/>
    <sheet name="Acronyms" sheetId="25" r:id="rId10"/>
    <sheet name="RawPL+D" sheetId="27" r:id="rId11"/>
    <sheet name="template" sheetId="34" r:id="rId12"/>
  </sheets>
  <externalReferences>
    <externalReference r:id="rId13"/>
  </externalReferences>
  <definedNames>
    <definedName name="_xlnm._FilterDatabase" localSheetId="5" hidden="1">PostSeasonTable!$C$5:$N$310</definedName>
    <definedName name="_xlnm._FilterDatabase" localSheetId="0" hidden="1">'Pre-season plan'!$A$8:$BO$1241</definedName>
    <definedName name="_xlnm._FilterDatabase" localSheetId="10" hidden="1">'RawPL+D'!$M$8:$AC$502</definedName>
    <definedName name="_xlnm._FilterDatabase" localSheetId="1" hidden="1">'River Matrix'!$A$8:$CC$1268</definedName>
    <definedName name="_xlnm._FilterDatabase" localSheetId="8" hidden="1">StatWk!$A$1:$B$10270</definedName>
    <definedName name="_xlnm._FilterDatabase" localSheetId="11" hidden="1">template!$B$4:$M$66</definedName>
    <definedName name="lu_esc_exp" localSheetId="0">'Pre-season plan'!$AX$8:$BB$1241</definedName>
    <definedName name="lu_esc_exp">'River Matrix'!$BQ$8:$BU$1250</definedName>
    <definedName name="lu_escapement" localSheetId="0">'Pre-season plan'!$AX$8:$AZ$1241</definedName>
    <definedName name="lu_escapement">'River Matrix'!$BQ$8:$BS$1250</definedName>
    <definedName name="lu_surveys" localSheetId="0">'Pre-season plan'!$AQ$8:$AS$1241</definedName>
    <definedName name="lu_surveys">'River Matrix'!$BJ$8:$BL$1250</definedName>
    <definedName name="lu_WCVIstreamesc" localSheetId="0">'Pre-season plan'!$BF$8:$BJ$1241</definedName>
    <definedName name="lu_WCVIstreamesc">'River Matrix'!$BY$8:$CC$1250</definedName>
    <definedName name="_xlnm.Print_Area" localSheetId="0">'Pre-season plan'!$C$1:$BK$1225</definedName>
    <definedName name="_xlnm.Print_Area" localSheetId="1">'River Matrix'!$C$7:$AM$1250</definedName>
    <definedName name="_xlnm.Print_Area" localSheetId="11">template!$A$1:$M$68</definedName>
    <definedName name="_xlnm.Print_Titles" localSheetId="0">'Pre-season plan'!$8:$8</definedName>
    <definedName name="_xlnm.Print_Titles" localSheetId="1">'River Matrix'!$8:$8</definedName>
    <definedName name="_xlnm.Print_Titles" localSheetId="11">template!$1:$3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1240" i="6" l="1"/>
  <c r="AH1242" i="6"/>
  <c r="AH1243" i="6"/>
  <c r="R1249" i="6"/>
  <c r="N1246" i="6"/>
  <c r="M1246" i="6"/>
  <c r="L1246" i="6"/>
  <c r="U1243" i="6"/>
  <c r="T1243" i="6"/>
  <c r="U1242" i="6"/>
  <c r="T1242" i="6"/>
  <c r="U1240" i="6"/>
  <c r="T1240" i="6"/>
  <c r="Q1243" i="6"/>
  <c r="P1243" i="6"/>
  <c r="O1243" i="6"/>
  <c r="Q1242" i="6"/>
  <c r="P1242" i="6"/>
  <c r="Q1240" i="6"/>
  <c r="P1240" i="6"/>
  <c r="O1240" i="6"/>
  <c r="F1279" i="6"/>
  <c r="F1276" i="6"/>
  <c r="X1319" i="6"/>
  <c r="W1319" i="6"/>
  <c r="V1319" i="6"/>
  <c r="U1319" i="6"/>
  <c r="T1319" i="6"/>
  <c r="S1319" i="6"/>
  <c r="X1318" i="6"/>
  <c r="W1318" i="6"/>
  <c r="V1318" i="6"/>
  <c r="U1318" i="6"/>
  <c r="T1318" i="6"/>
  <c r="S1318" i="6"/>
  <c r="T1315" i="6"/>
  <c r="U1315" i="6"/>
  <c r="V1315" i="6"/>
  <c r="W1315" i="6"/>
  <c r="X1315" i="6"/>
  <c r="T1316" i="6"/>
  <c r="U1316" i="6"/>
  <c r="V1316" i="6"/>
  <c r="W1316" i="6"/>
  <c r="X1316" i="6"/>
  <c r="S1316" i="6"/>
  <c r="S1315" i="6"/>
  <c r="T858" i="6"/>
  <c r="U646" i="6"/>
  <c r="S1296" i="6"/>
  <c r="T1296" i="6"/>
  <c r="U1296" i="6"/>
  <c r="V1296" i="6"/>
  <c r="W1296" i="6"/>
  <c r="X1296" i="6"/>
  <c r="S1297" i="6"/>
  <c r="T1297" i="6"/>
  <c r="U1297" i="6"/>
  <c r="V1297" i="6"/>
  <c r="W1297" i="6"/>
  <c r="X1297" i="6"/>
  <c r="S1298" i="6"/>
  <c r="T1298" i="6"/>
  <c r="U1298" i="6"/>
  <c r="V1298" i="6"/>
  <c r="W1298" i="6"/>
  <c r="X1298" i="6"/>
  <c r="S1299" i="6"/>
  <c r="T1299" i="6"/>
  <c r="U1299" i="6"/>
  <c r="V1299" i="6"/>
  <c r="W1299" i="6"/>
  <c r="X1299" i="6"/>
  <c r="T1295" i="6"/>
  <c r="U1295" i="6"/>
  <c r="V1295" i="6"/>
  <c r="W1295" i="6"/>
  <c r="X1295" i="6"/>
  <c r="S1295" i="6"/>
  <c r="R1051" i="6" l="1"/>
  <c r="P1171" i="6" l="1"/>
  <c r="W1158" i="6"/>
  <c r="W1194" i="6"/>
  <c r="W1182" i="6"/>
  <c r="Y1164" i="6"/>
  <c r="Y1158" i="6"/>
  <c r="Y1156" i="6"/>
  <c r="T1051" i="6"/>
  <c r="T1050" i="6"/>
  <c r="R1032" i="6"/>
  <c r="R1033" i="6"/>
  <c r="T1033" i="6"/>
  <c r="T1032" i="6"/>
  <c r="U1044" i="6"/>
  <c r="T1045" i="6"/>
  <c r="U1039" i="6"/>
  <c r="U1038" i="6"/>
  <c r="U1036" i="6"/>
  <c r="X634" i="6" l="1"/>
  <c r="U378" i="6"/>
  <c r="V420" i="6"/>
  <c r="O633" i="6"/>
  <c r="V1158" i="6"/>
  <c r="V1194" i="6"/>
  <c r="V1182" i="6"/>
  <c r="W412" i="6"/>
  <c r="AA1278" i="6"/>
  <c r="AA1277" i="6"/>
  <c r="AA1276" i="6"/>
  <c r="AA1275" i="6"/>
  <c r="AA1274" i="6"/>
  <c r="AA1273" i="6"/>
  <c r="W640" i="6" l="1"/>
  <c r="W639" i="6"/>
  <c r="V444" i="6"/>
  <c r="W531" i="6"/>
  <c r="U240" i="6"/>
  <c r="V217" i="6"/>
  <c r="V216" i="6"/>
  <c r="V412" i="6"/>
  <c r="V30" i="6" l="1"/>
  <c r="V522" i="6"/>
  <c r="U924" i="6"/>
  <c r="U858" i="6"/>
  <c r="V1274" i="6" l="1"/>
  <c r="V1275" i="6"/>
  <c r="V1276" i="6"/>
  <c r="V1277" i="6"/>
  <c r="V1278" i="6"/>
  <c r="V1273" i="6"/>
  <c r="T966" i="6"/>
  <c r="T996" i="6"/>
  <c r="T990" i="6"/>
  <c r="T984" i="6"/>
  <c r="T960" i="6"/>
  <c r="R424" i="6" l="1"/>
  <c r="T222" i="6"/>
  <c r="T430" i="6" l="1"/>
  <c r="U420" i="6"/>
  <c r="U522" i="6"/>
  <c r="U412" i="6"/>
  <c r="U892" i="6"/>
  <c r="U891" i="6"/>
  <c r="U624" i="6" l="1"/>
  <c r="U531" i="6"/>
  <c r="T1170" i="6" l="1"/>
  <c r="T1168" i="6"/>
  <c r="U805" i="6"/>
  <c r="U804" i="6"/>
  <c r="U67" i="6"/>
  <c r="U66" i="6"/>
  <c r="U64" i="6"/>
  <c r="U637" i="6" l="1"/>
  <c r="U636" i="6"/>
  <c r="U634" i="6"/>
  <c r="U633" i="6"/>
  <c r="U649" i="6"/>
  <c r="U648" i="6"/>
  <c r="T34" i="6"/>
  <c r="R421" i="6"/>
  <c r="T420" i="6"/>
  <c r="U37" i="6"/>
  <c r="U34" i="6"/>
  <c r="U36" i="6"/>
  <c r="BL237" i="6"/>
  <c r="O237" i="6"/>
  <c r="M237" i="6"/>
  <c r="R978" i="6" l="1"/>
  <c r="T606" i="6"/>
  <c r="T531" i="6"/>
  <c r="T624" i="6"/>
  <c r="T621" i="6"/>
  <c r="T655" i="6"/>
  <c r="T654" i="6"/>
  <c r="T439" i="6" l="1"/>
  <c r="T438" i="6"/>
  <c r="T37" i="6"/>
  <c r="T9" i="34" l="1"/>
  <c r="T8" i="34"/>
  <c r="W205" i="34"/>
  <c r="V205" i="34"/>
  <c r="P205" i="34"/>
  <c r="W204" i="34"/>
  <c r="V204" i="34"/>
  <c r="P204" i="34"/>
  <c r="W203" i="34"/>
  <c r="V203" i="34"/>
  <c r="P203" i="34"/>
  <c r="W202" i="34"/>
  <c r="V202" i="34"/>
  <c r="P202" i="34"/>
  <c r="W201" i="34"/>
  <c r="V201" i="34"/>
  <c r="P201" i="34"/>
  <c r="W200" i="34"/>
  <c r="V200" i="34"/>
  <c r="P200" i="34"/>
  <c r="W196" i="34"/>
  <c r="V196" i="34"/>
  <c r="T196" i="34"/>
  <c r="O196" i="34" s="1"/>
  <c r="Q196" i="34"/>
  <c r="P196" i="34"/>
  <c r="T195" i="34"/>
  <c r="S195" i="34"/>
  <c r="D195" i="34" s="1"/>
  <c r="R195" i="34"/>
  <c r="C195" i="34" s="1"/>
  <c r="T194" i="34"/>
  <c r="S194" i="34"/>
  <c r="R194" i="34"/>
  <c r="C194" i="34" s="1"/>
  <c r="E194" i="34" s="1"/>
  <c r="G194" i="34" s="1"/>
  <c r="F194" i="34"/>
  <c r="D194" i="34"/>
  <c r="T193" i="34"/>
  <c r="S193" i="34"/>
  <c r="R193" i="34"/>
  <c r="C193" i="34" s="1"/>
  <c r="F193" i="34"/>
  <c r="E193" i="34"/>
  <c r="G193" i="34" s="1"/>
  <c r="D193" i="34"/>
  <c r="T192" i="34"/>
  <c r="F192" i="34" s="1"/>
  <c r="S192" i="34"/>
  <c r="R192" i="34"/>
  <c r="C192" i="34" s="1"/>
  <c r="E192" i="34"/>
  <c r="D192" i="34"/>
  <c r="T191" i="34"/>
  <c r="S191" i="34"/>
  <c r="R191" i="34" s="1"/>
  <c r="C191" i="34" s="1"/>
  <c r="E191" i="34" s="1"/>
  <c r="G191" i="34" s="1"/>
  <c r="F191" i="34"/>
  <c r="D191" i="34"/>
  <c r="T190" i="34"/>
  <c r="S190" i="34"/>
  <c r="R190" i="34" s="1"/>
  <c r="F190" i="34"/>
  <c r="D190" i="34"/>
  <c r="W187" i="34"/>
  <c r="V187" i="34"/>
  <c r="Q187" i="34"/>
  <c r="P187" i="34"/>
  <c r="T186" i="34"/>
  <c r="S186" i="34"/>
  <c r="R186" i="34"/>
  <c r="D186" i="34"/>
  <c r="C186" i="34"/>
  <c r="T185" i="34"/>
  <c r="F185" i="34" s="1"/>
  <c r="S185" i="34"/>
  <c r="R185" i="34"/>
  <c r="D185" i="34"/>
  <c r="C185" i="34"/>
  <c r="E185" i="34" s="1"/>
  <c r="T184" i="34"/>
  <c r="F184" i="34" s="1"/>
  <c r="S184" i="34"/>
  <c r="R184" i="34"/>
  <c r="D184" i="34"/>
  <c r="C184" i="34"/>
  <c r="E184" i="34" s="1"/>
  <c r="T183" i="34"/>
  <c r="F183" i="34" s="1"/>
  <c r="S183" i="34"/>
  <c r="R183" i="34"/>
  <c r="D183" i="34"/>
  <c r="C183" i="34"/>
  <c r="E183" i="34" s="1"/>
  <c r="T182" i="34"/>
  <c r="F182" i="34" s="1"/>
  <c r="S182" i="34"/>
  <c r="T181" i="34"/>
  <c r="S181" i="34"/>
  <c r="W178" i="34"/>
  <c r="V178" i="34"/>
  <c r="Q178" i="34"/>
  <c r="P178" i="34"/>
  <c r="O178" i="34"/>
  <c r="T177" i="34"/>
  <c r="S177" i="34"/>
  <c r="R177" i="34"/>
  <c r="D177" i="34"/>
  <c r="C177" i="34"/>
  <c r="T176" i="34"/>
  <c r="F176" i="34" s="1"/>
  <c r="S176" i="34"/>
  <c r="R176" i="34"/>
  <c r="C176" i="34" s="1"/>
  <c r="E176" i="34" s="1"/>
  <c r="G176" i="34" s="1"/>
  <c r="D176" i="34"/>
  <c r="T175" i="34"/>
  <c r="F175" i="34" s="1"/>
  <c r="S175" i="34"/>
  <c r="R175" i="34"/>
  <c r="C175" i="34" s="1"/>
  <c r="E175" i="34" s="1"/>
  <c r="G175" i="34" s="1"/>
  <c r="D175" i="34"/>
  <c r="T174" i="34"/>
  <c r="S174" i="34"/>
  <c r="R174" i="34"/>
  <c r="C174" i="34" s="1"/>
  <c r="E174" i="34" s="1"/>
  <c r="F174" i="34"/>
  <c r="D174" i="34"/>
  <c r="T173" i="34"/>
  <c r="S173" i="34"/>
  <c r="R173" i="34" s="1"/>
  <c r="C173" i="34" s="1"/>
  <c r="F173" i="34"/>
  <c r="T172" i="34"/>
  <c r="T178" i="34" s="1"/>
  <c r="S172" i="34"/>
  <c r="S178" i="34" s="1"/>
  <c r="F172" i="34"/>
  <c r="W169" i="34"/>
  <c r="V169" i="34"/>
  <c r="T169" i="34"/>
  <c r="S169" i="34"/>
  <c r="Q169" i="34"/>
  <c r="P169" i="34"/>
  <c r="T168" i="34"/>
  <c r="S168" i="34"/>
  <c r="R168" i="34"/>
  <c r="C168" i="34" s="1"/>
  <c r="D168" i="34"/>
  <c r="T167" i="34"/>
  <c r="F167" i="34" s="1"/>
  <c r="S167" i="34"/>
  <c r="R167" i="34" s="1"/>
  <c r="C167" i="34" s="1"/>
  <c r="E167" i="34" s="1"/>
  <c r="G167" i="34" s="1"/>
  <c r="D167" i="34"/>
  <c r="T166" i="34"/>
  <c r="F166" i="34" s="1"/>
  <c r="S166" i="34"/>
  <c r="R166" i="34" s="1"/>
  <c r="C166" i="34" s="1"/>
  <c r="E166" i="34"/>
  <c r="G166" i="34" s="1"/>
  <c r="D166" i="34"/>
  <c r="T165" i="34"/>
  <c r="S165" i="34"/>
  <c r="R165" i="34" s="1"/>
  <c r="C165" i="34" s="1"/>
  <c r="E165" i="34" s="1"/>
  <c r="F165" i="34"/>
  <c r="D165" i="34"/>
  <c r="T164" i="34"/>
  <c r="S164" i="34"/>
  <c r="R164" i="34"/>
  <c r="F164" i="34"/>
  <c r="D164" i="34"/>
  <c r="C164" i="34"/>
  <c r="T163" i="34"/>
  <c r="S163" i="34"/>
  <c r="R163" i="34"/>
  <c r="F163" i="34"/>
  <c r="D163" i="34"/>
  <c r="C163" i="34"/>
  <c r="W160" i="34"/>
  <c r="V160" i="34"/>
  <c r="Q160" i="34"/>
  <c r="P160" i="34"/>
  <c r="T159" i="34"/>
  <c r="S159" i="34"/>
  <c r="R159" i="34" s="1"/>
  <c r="C159" i="34" s="1"/>
  <c r="D159" i="34"/>
  <c r="T158" i="34"/>
  <c r="F158" i="34" s="1"/>
  <c r="S158" i="34"/>
  <c r="T157" i="34"/>
  <c r="F157" i="34" s="1"/>
  <c r="S157" i="34"/>
  <c r="T156" i="34"/>
  <c r="F156" i="34" s="1"/>
  <c r="S156" i="34"/>
  <c r="T155" i="34"/>
  <c r="S155" i="34"/>
  <c r="D155" i="34" s="1"/>
  <c r="F155" i="34"/>
  <c r="T154" i="34"/>
  <c r="S154" i="34"/>
  <c r="R154" i="34" s="1"/>
  <c r="F154" i="34"/>
  <c r="W151" i="34"/>
  <c r="V151" i="34"/>
  <c r="Q151" i="34"/>
  <c r="P151" i="34"/>
  <c r="T150" i="34"/>
  <c r="S150" i="34"/>
  <c r="T149" i="34"/>
  <c r="S149" i="34"/>
  <c r="R149" i="34" s="1"/>
  <c r="C149" i="34" s="1"/>
  <c r="F149" i="34"/>
  <c r="T148" i="34"/>
  <c r="S148" i="34"/>
  <c r="R148" i="34" s="1"/>
  <c r="C148" i="34" s="1"/>
  <c r="F148" i="34"/>
  <c r="T147" i="34"/>
  <c r="S147" i="34"/>
  <c r="R147" i="34" s="1"/>
  <c r="C147" i="34" s="1"/>
  <c r="F147" i="34"/>
  <c r="T146" i="34"/>
  <c r="S146" i="34"/>
  <c r="D146" i="34" s="1"/>
  <c r="R146" i="34"/>
  <c r="C146" i="34" s="1"/>
  <c r="E146" i="34" s="1"/>
  <c r="G146" i="34" s="1"/>
  <c r="F146" i="34"/>
  <c r="T145" i="34"/>
  <c r="T151" i="34" s="1"/>
  <c r="S145" i="34"/>
  <c r="D145" i="34" s="1"/>
  <c r="R145" i="34"/>
  <c r="F145" i="34"/>
  <c r="W142" i="34"/>
  <c r="V142" i="34"/>
  <c r="S142" i="34"/>
  <c r="Q142" i="34"/>
  <c r="P142" i="34"/>
  <c r="T141" i="34"/>
  <c r="S141" i="34"/>
  <c r="R141" i="34" s="1"/>
  <c r="C141" i="34" s="1"/>
  <c r="D141" i="34"/>
  <c r="T140" i="34"/>
  <c r="S140" i="34"/>
  <c r="R140" i="34"/>
  <c r="F140" i="34"/>
  <c r="D140" i="34"/>
  <c r="C140" i="34"/>
  <c r="E140" i="34" s="1"/>
  <c r="G140" i="34" s="1"/>
  <c r="T139" i="34"/>
  <c r="S139" i="34"/>
  <c r="R139" i="34"/>
  <c r="F139" i="34"/>
  <c r="D139" i="34"/>
  <c r="C139" i="34"/>
  <c r="T138" i="34"/>
  <c r="S138" i="34"/>
  <c r="D138" i="34" s="1"/>
  <c r="R138" i="34"/>
  <c r="F138" i="34"/>
  <c r="C138" i="34"/>
  <c r="T137" i="34"/>
  <c r="F137" i="34" s="1"/>
  <c r="S137" i="34"/>
  <c r="D137" i="34" s="1"/>
  <c r="R137" i="34"/>
  <c r="C137" i="34"/>
  <c r="T136" i="34"/>
  <c r="S136" i="34"/>
  <c r="D136" i="34" s="1"/>
  <c r="R136" i="34"/>
  <c r="C136" i="34"/>
  <c r="W133" i="34"/>
  <c r="V133" i="34"/>
  <c r="Q133" i="34"/>
  <c r="P133" i="34"/>
  <c r="O133" i="34" s="1"/>
  <c r="T132" i="34"/>
  <c r="S132" i="34"/>
  <c r="D132" i="34" s="1"/>
  <c r="R132" i="34"/>
  <c r="C132" i="34"/>
  <c r="T131" i="34"/>
  <c r="S131" i="34"/>
  <c r="D131" i="34" s="1"/>
  <c r="R131" i="34"/>
  <c r="C131" i="34" s="1"/>
  <c r="E131" i="34" s="1"/>
  <c r="G131" i="34" s="1"/>
  <c r="F131" i="34"/>
  <c r="T130" i="34"/>
  <c r="S130" i="34"/>
  <c r="D130" i="34" s="1"/>
  <c r="R130" i="34"/>
  <c r="C130" i="34" s="1"/>
  <c r="E130" i="34" s="1"/>
  <c r="G130" i="34" s="1"/>
  <c r="F130" i="34"/>
  <c r="T129" i="34"/>
  <c r="F129" i="34" s="1"/>
  <c r="S129" i="34"/>
  <c r="D129" i="34" s="1"/>
  <c r="R129" i="34"/>
  <c r="C129" i="34" s="1"/>
  <c r="E129" i="34" s="1"/>
  <c r="T128" i="34"/>
  <c r="F128" i="34" s="1"/>
  <c r="S128" i="34"/>
  <c r="R128" i="34"/>
  <c r="C128" i="34" s="1"/>
  <c r="E128" i="34" s="1"/>
  <c r="G128" i="34"/>
  <c r="D128" i="34"/>
  <c r="T127" i="34"/>
  <c r="T133" i="34" s="1"/>
  <c r="S127" i="34"/>
  <c r="S133" i="34" s="1"/>
  <c r="R127" i="34"/>
  <c r="D127" i="34"/>
  <c r="W124" i="34"/>
  <c r="V124" i="34"/>
  <c r="T124" i="34"/>
  <c r="O124" i="34" s="1"/>
  <c r="Q124" i="34"/>
  <c r="P124" i="34"/>
  <c r="T123" i="34"/>
  <c r="S123" i="34"/>
  <c r="D123" i="34" s="1"/>
  <c r="R123" i="34"/>
  <c r="C123" i="34" s="1"/>
  <c r="T122" i="34"/>
  <c r="S122" i="34"/>
  <c r="D122" i="34" s="1"/>
  <c r="R122" i="34"/>
  <c r="C122" i="34" s="1"/>
  <c r="E122" i="34" s="1"/>
  <c r="G122" i="34" s="1"/>
  <c r="F122" i="34"/>
  <c r="T121" i="34"/>
  <c r="S121" i="34"/>
  <c r="D121" i="34" s="1"/>
  <c r="R121" i="34"/>
  <c r="C121" i="34" s="1"/>
  <c r="F121" i="34"/>
  <c r="E121" i="34"/>
  <c r="G121" i="34" s="1"/>
  <c r="T120" i="34"/>
  <c r="F120" i="34" s="1"/>
  <c r="S120" i="34"/>
  <c r="R120" i="34"/>
  <c r="C120" i="34" s="1"/>
  <c r="E120" i="34"/>
  <c r="D120" i="34"/>
  <c r="T119" i="34"/>
  <c r="S119" i="34"/>
  <c r="R119" i="34" s="1"/>
  <c r="C119" i="34" s="1"/>
  <c r="F119" i="34"/>
  <c r="E119" i="34"/>
  <c r="G119" i="34" s="1"/>
  <c r="D119" i="34"/>
  <c r="T118" i="34"/>
  <c r="S118" i="34"/>
  <c r="R118" i="34" s="1"/>
  <c r="F118" i="34"/>
  <c r="D118" i="34"/>
  <c r="W115" i="34"/>
  <c r="V115" i="34"/>
  <c r="Q115" i="34"/>
  <c r="P115" i="34"/>
  <c r="T114" i="34"/>
  <c r="S114" i="34"/>
  <c r="R114" i="34"/>
  <c r="D114" i="34"/>
  <c r="C114" i="34"/>
  <c r="T113" i="34"/>
  <c r="F113" i="34" s="1"/>
  <c r="S113" i="34"/>
  <c r="D113" i="34" s="1"/>
  <c r="T112" i="34"/>
  <c r="F112" i="34" s="1"/>
  <c r="S112" i="34"/>
  <c r="R112" i="34" s="1"/>
  <c r="C112" i="34" s="1"/>
  <c r="T111" i="34"/>
  <c r="F111" i="34" s="1"/>
  <c r="S111" i="34"/>
  <c r="R111" i="34"/>
  <c r="C111" i="34" s="1"/>
  <c r="E111" i="34" s="1"/>
  <c r="D111" i="34"/>
  <c r="T110" i="34"/>
  <c r="F110" i="34" s="1"/>
  <c r="S110" i="34"/>
  <c r="T109" i="34"/>
  <c r="S109" i="34"/>
  <c r="W105" i="34"/>
  <c r="V105" i="34"/>
  <c r="Q105" i="34"/>
  <c r="P105" i="34"/>
  <c r="T104" i="34"/>
  <c r="S104" i="34"/>
  <c r="R104" i="34"/>
  <c r="C104" i="34" s="1"/>
  <c r="D104" i="34"/>
  <c r="T103" i="34"/>
  <c r="F103" i="34" s="1"/>
  <c r="S103" i="34"/>
  <c r="D103" i="34" s="1"/>
  <c r="R103" i="34"/>
  <c r="C103" i="34" s="1"/>
  <c r="T102" i="34"/>
  <c r="F102" i="34" s="1"/>
  <c r="S102" i="34"/>
  <c r="D102" i="34" s="1"/>
  <c r="T101" i="34"/>
  <c r="S101" i="34"/>
  <c r="R101" i="34"/>
  <c r="C101" i="34" s="1"/>
  <c r="E101" i="34" s="1"/>
  <c r="F101" i="34"/>
  <c r="D101" i="34"/>
  <c r="T100" i="34"/>
  <c r="S100" i="34"/>
  <c r="R100" i="34" s="1"/>
  <c r="C100" i="34" s="1"/>
  <c r="F100" i="34"/>
  <c r="T99" i="34"/>
  <c r="S99" i="34"/>
  <c r="F99" i="34"/>
  <c r="W95" i="34"/>
  <c r="V95" i="34"/>
  <c r="T95" i="34"/>
  <c r="S95" i="34"/>
  <c r="Q95" i="34"/>
  <c r="P95" i="34"/>
  <c r="T94" i="34"/>
  <c r="S94" i="34"/>
  <c r="D94" i="34" s="1"/>
  <c r="R94" i="34"/>
  <c r="C94" i="34" s="1"/>
  <c r="F94" i="34"/>
  <c r="T93" i="34"/>
  <c r="S93" i="34"/>
  <c r="R93" i="34"/>
  <c r="C93" i="34" s="1"/>
  <c r="E93" i="34" s="1"/>
  <c r="G93" i="34" s="1"/>
  <c r="F93" i="34"/>
  <c r="D93" i="34"/>
  <c r="T92" i="34"/>
  <c r="S92" i="34"/>
  <c r="R92" i="34"/>
  <c r="C92" i="34" s="1"/>
  <c r="F92" i="34"/>
  <c r="E92" i="34"/>
  <c r="G92" i="34" s="1"/>
  <c r="D92" i="34"/>
  <c r="T91" i="34"/>
  <c r="F91" i="34" s="1"/>
  <c r="S91" i="34"/>
  <c r="R91" i="34"/>
  <c r="C91" i="34" s="1"/>
  <c r="E91" i="34"/>
  <c r="D91" i="34"/>
  <c r="T90" i="34"/>
  <c r="S90" i="34"/>
  <c r="R90" i="34" s="1"/>
  <c r="C90" i="34" s="1"/>
  <c r="K90" i="34"/>
  <c r="F90" i="34"/>
  <c r="T89" i="34"/>
  <c r="S89" i="34"/>
  <c r="D89" i="34" s="1"/>
  <c r="R89" i="34"/>
  <c r="F89" i="34"/>
  <c r="W85" i="34"/>
  <c r="V85" i="34"/>
  <c r="S85" i="34"/>
  <c r="Q85" i="34"/>
  <c r="P85" i="34"/>
  <c r="T84" i="34"/>
  <c r="S84" i="34"/>
  <c r="R84" i="34" s="1"/>
  <c r="C84" i="34" s="1"/>
  <c r="F84" i="34"/>
  <c r="D84" i="34"/>
  <c r="T83" i="34"/>
  <c r="S83" i="34"/>
  <c r="R83" i="34" s="1"/>
  <c r="C83" i="34" s="1"/>
  <c r="K83" i="34"/>
  <c r="F83" i="34"/>
  <c r="T82" i="34"/>
  <c r="S82" i="34"/>
  <c r="D82" i="34" s="1"/>
  <c r="R82" i="34"/>
  <c r="C82" i="34" s="1"/>
  <c r="E82" i="34" s="1"/>
  <c r="G82" i="34" s="1"/>
  <c r="F82" i="34"/>
  <c r="T81" i="34"/>
  <c r="F81" i="34" s="1"/>
  <c r="S81" i="34"/>
  <c r="R81" i="34"/>
  <c r="C81" i="34" s="1"/>
  <c r="E81" i="34"/>
  <c r="D81" i="34"/>
  <c r="T80" i="34"/>
  <c r="S80" i="34"/>
  <c r="R80" i="34" s="1"/>
  <c r="C80" i="34" s="1"/>
  <c r="K80" i="34"/>
  <c r="F80" i="34"/>
  <c r="T79" i="34"/>
  <c r="T85" i="34" s="1"/>
  <c r="O85" i="34" s="1"/>
  <c r="S79" i="34"/>
  <c r="D79" i="34" s="1"/>
  <c r="R79" i="34"/>
  <c r="C79" i="34" s="1"/>
  <c r="F79" i="34"/>
  <c r="E79" i="34"/>
  <c r="G79" i="34" s="1"/>
  <c r="W75" i="34"/>
  <c r="V75" i="34"/>
  <c r="S75" i="34"/>
  <c r="Q75" i="34"/>
  <c r="P75" i="34"/>
  <c r="T74" i="34"/>
  <c r="S74" i="34"/>
  <c r="R74" i="34" s="1"/>
  <c r="C74" i="34" s="1"/>
  <c r="F74" i="34"/>
  <c r="D74" i="34"/>
  <c r="T73" i="34"/>
  <c r="S73" i="34"/>
  <c r="R73" i="34" s="1"/>
  <c r="C73" i="34" s="1"/>
  <c r="K73" i="34"/>
  <c r="F73" i="34"/>
  <c r="T72" i="34"/>
  <c r="S72" i="34"/>
  <c r="D72" i="34" s="1"/>
  <c r="R72" i="34"/>
  <c r="F72" i="34"/>
  <c r="E72" i="34"/>
  <c r="G72" i="34" s="1"/>
  <c r="C72" i="34"/>
  <c r="T71" i="34"/>
  <c r="F71" i="34" s="1"/>
  <c r="S71" i="34"/>
  <c r="R71" i="34"/>
  <c r="C71" i="34" s="1"/>
  <c r="E71" i="34" s="1"/>
  <c r="D71" i="34"/>
  <c r="T70" i="34"/>
  <c r="S70" i="34"/>
  <c r="R70" i="34" s="1"/>
  <c r="C70" i="34" s="1"/>
  <c r="K70" i="34"/>
  <c r="F70" i="34"/>
  <c r="T69" i="34"/>
  <c r="T75" i="34" s="1"/>
  <c r="O75" i="34" s="1"/>
  <c r="S69" i="34"/>
  <c r="D69" i="34" s="1"/>
  <c r="R69" i="34"/>
  <c r="F69" i="34"/>
  <c r="E69" i="34"/>
  <c r="G69" i="34" s="1"/>
  <c r="C69" i="34"/>
  <c r="W65" i="34"/>
  <c r="V65" i="34"/>
  <c r="S65" i="34"/>
  <c r="Q65" i="34"/>
  <c r="P65" i="34"/>
  <c r="T64" i="34"/>
  <c r="S64" i="34"/>
  <c r="R64" i="34" s="1"/>
  <c r="C64" i="34" s="1"/>
  <c r="F64" i="34"/>
  <c r="T63" i="34"/>
  <c r="S63" i="34"/>
  <c r="D63" i="34" s="1"/>
  <c r="R63" i="34"/>
  <c r="F63" i="34"/>
  <c r="E63" i="34"/>
  <c r="G63" i="34" s="1"/>
  <c r="C63" i="34"/>
  <c r="T62" i="34"/>
  <c r="S62" i="34"/>
  <c r="D62" i="34" s="1"/>
  <c r="E62" i="34" s="1"/>
  <c r="G62" i="34" s="1"/>
  <c r="R62" i="34"/>
  <c r="F62" i="34"/>
  <c r="C62" i="34"/>
  <c r="T61" i="34"/>
  <c r="F61" i="34" s="1"/>
  <c r="S61" i="34"/>
  <c r="R61" i="34"/>
  <c r="C61" i="34" s="1"/>
  <c r="D61" i="34"/>
  <c r="E61" i="34" s="1"/>
  <c r="T60" i="34"/>
  <c r="F60" i="34" s="1"/>
  <c r="S60" i="34"/>
  <c r="R60" i="34" s="1"/>
  <c r="C60" i="34" s="1"/>
  <c r="E60" i="34" s="1"/>
  <c r="G60" i="34" s="1"/>
  <c r="D60" i="34"/>
  <c r="T59" i="34"/>
  <c r="T65" i="34" s="1"/>
  <c r="S59" i="34"/>
  <c r="R59" i="34" s="1"/>
  <c r="C59" i="34" s="1"/>
  <c r="D59" i="34"/>
  <c r="E59" i="34" s="1"/>
  <c r="W56" i="34"/>
  <c r="V56" i="34"/>
  <c r="Q56" i="34"/>
  <c r="P56" i="34"/>
  <c r="T55" i="34"/>
  <c r="S55" i="34"/>
  <c r="R55" i="34"/>
  <c r="D55" i="34"/>
  <c r="C55" i="34"/>
  <c r="T54" i="34"/>
  <c r="F54" i="34" s="1"/>
  <c r="S54" i="34"/>
  <c r="R54" i="34"/>
  <c r="K54" i="34"/>
  <c r="D54" i="34"/>
  <c r="C54" i="34"/>
  <c r="E54" i="34" s="1"/>
  <c r="G54" i="34" s="1"/>
  <c r="T53" i="34"/>
  <c r="S53" i="34"/>
  <c r="R53" i="34" s="1"/>
  <c r="F53" i="34"/>
  <c r="D53" i="34"/>
  <c r="C53" i="34"/>
  <c r="T52" i="34"/>
  <c r="S52" i="34"/>
  <c r="R52" i="34" s="1"/>
  <c r="C52" i="34" s="1"/>
  <c r="E52" i="34" s="1"/>
  <c r="G52" i="34" s="1"/>
  <c r="F52" i="34"/>
  <c r="D52" i="34"/>
  <c r="T51" i="34"/>
  <c r="S51" i="34"/>
  <c r="R51" i="34" s="1"/>
  <c r="C51" i="34" s="1"/>
  <c r="E51" i="34" s="1"/>
  <c r="G51" i="34" s="1"/>
  <c r="K51" i="34"/>
  <c r="F51" i="34"/>
  <c r="D51" i="34"/>
  <c r="T50" i="34"/>
  <c r="T56" i="34" s="1"/>
  <c r="O56" i="34" s="1"/>
  <c r="S50" i="34"/>
  <c r="R50" i="34" s="1"/>
  <c r="C50" i="34" s="1"/>
  <c r="E50" i="34" s="1"/>
  <c r="D50" i="34"/>
  <c r="W47" i="34"/>
  <c r="V47" i="34"/>
  <c r="Q47" i="34"/>
  <c r="P47" i="34"/>
  <c r="T46" i="34"/>
  <c r="D46" i="34"/>
  <c r="C46" i="34"/>
  <c r="E46" i="34" s="1"/>
  <c r="G46" i="34" s="1"/>
  <c r="T45" i="34"/>
  <c r="F45" i="34" s="1"/>
  <c r="S45" i="34"/>
  <c r="D45" i="34" s="1"/>
  <c r="R45" i="34"/>
  <c r="C45" i="34" s="1"/>
  <c r="K45" i="34"/>
  <c r="T44" i="34"/>
  <c r="F44" i="34" s="1"/>
  <c r="S44" i="34"/>
  <c r="R44" i="34" s="1"/>
  <c r="C44" i="34" s="1"/>
  <c r="T43" i="34"/>
  <c r="F43" i="34" s="1"/>
  <c r="S43" i="34"/>
  <c r="R43" i="34"/>
  <c r="C43" i="34" s="1"/>
  <c r="E43" i="34" s="1"/>
  <c r="D43" i="34"/>
  <c r="T42" i="34"/>
  <c r="F42" i="34" s="1"/>
  <c r="S42" i="34"/>
  <c r="K42" i="34"/>
  <c r="T41" i="34"/>
  <c r="S41" i="34"/>
  <c r="R41" i="34"/>
  <c r="C41" i="34" s="1"/>
  <c r="E41" i="34" s="1"/>
  <c r="D41" i="34"/>
  <c r="W38" i="34"/>
  <c r="V38" i="34"/>
  <c r="Q38" i="34"/>
  <c r="P38" i="34"/>
  <c r="T37" i="34"/>
  <c r="S37" i="34"/>
  <c r="R37" i="34" s="1"/>
  <c r="F37" i="34"/>
  <c r="D37" i="34"/>
  <c r="C37" i="34"/>
  <c r="T36" i="34"/>
  <c r="F36" i="34" s="1"/>
  <c r="S36" i="34"/>
  <c r="R36" i="34" s="1"/>
  <c r="C36" i="34" s="1"/>
  <c r="T35" i="34"/>
  <c r="F35" i="34" s="1"/>
  <c r="S35" i="34"/>
  <c r="R35" i="34" s="1"/>
  <c r="C35" i="34" s="1"/>
  <c r="T34" i="34"/>
  <c r="S34" i="34"/>
  <c r="F34" i="34"/>
  <c r="T33" i="34"/>
  <c r="F33" i="34" s="1"/>
  <c r="S33" i="34"/>
  <c r="R33" i="34"/>
  <c r="C33" i="34" s="1"/>
  <c r="E33" i="34" s="1"/>
  <c r="G33" i="34" s="1"/>
  <c r="D33" i="34"/>
  <c r="T32" i="34"/>
  <c r="S32" i="34"/>
  <c r="R32" i="34"/>
  <c r="C32" i="34" s="1"/>
  <c r="E32" i="34" s="1"/>
  <c r="D32" i="34"/>
  <c r="W29" i="34"/>
  <c r="V29" i="34"/>
  <c r="Q29" i="34"/>
  <c r="P29" i="34"/>
  <c r="T28" i="34"/>
  <c r="F28" i="34" s="1"/>
  <c r="S28" i="34"/>
  <c r="T27" i="34"/>
  <c r="F27" i="34" s="1"/>
  <c r="S27" i="34"/>
  <c r="D27" i="34" s="1"/>
  <c r="T26" i="34"/>
  <c r="F26" i="34" s="1"/>
  <c r="S26" i="34"/>
  <c r="T25" i="34"/>
  <c r="F25" i="34" s="1"/>
  <c r="S25" i="34"/>
  <c r="D25" i="34" s="1"/>
  <c r="T24" i="34"/>
  <c r="S24" i="34"/>
  <c r="R24" i="34"/>
  <c r="C24" i="34" s="1"/>
  <c r="E24" i="34" s="1"/>
  <c r="F24" i="34"/>
  <c r="D24" i="34"/>
  <c r="T23" i="34"/>
  <c r="S23" i="34"/>
  <c r="F23" i="34"/>
  <c r="W20" i="34"/>
  <c r="V20" i="34"/>
  <c r="Q20" i="34"/>
  <c r="P20" i="34"/>
  <c r="T19" i="34"/>
  <c r="S19" i="34"/>
  <c r="F19" i="34"/>
  <c r="T18" i="34"/>
  <c r="F18" i="34" s="1"/>
  <c r="S18" i="34"/>
  <c r="D18" i="34" s="1"/>
  <c r="R18" i="34"/>
  <c r="C18" i="34" s="1"/>
  <c r="E18" i="34" s="1"/>
  <c r="K18" i="34"/>
  <c r="T17" i="34"/>
  <c r="S17" i="34"/>
  <c r="R17" i="34" s="1"/>
  <c r="C17" i="34" s="1"/>
  <c r="F17" i="34"/>
  <c r="T16" i="34"/>
  <c r="F16" i="34" s="1"/>
  <c r="S16" i="34"/>
  <c r="R16" i="34" s="1"/>
  <c r="C16" i="34"/>
  <c r="T15" i="34"/>
  <c r="S15" i="34"/>
  <c r="D15" i="34" s="1"/>
  <c r="K15" i="34"/>
  <c r="F15" i="34"/>
  <c r="T14" i="34"/>
  <c r="S14" i="34"/>
  <c r="R14" i="34" s="1"/>
  <c r="F14" i="34"/>
  <c r="D14" i="34"/>
  <c r="W11" i="34"/>
  <c r="V11" i="34"/>
  <c r="T11" i="34"/>
  <c r="Q11" i="34"/>
  <c r="P11" i="34"/>
  <c r="S10" i="34"/>
  <c r="R10" i="34"/>
  <c r="F10" i="34"/>
  <c r="D10" i="34"/>
  <c r="C10" i="34"/>
  <c r="E10" i="34" s="1"/>
  <c r="S9" i="34"/>
  <c r="R9" i="34" s="1"/>
  <c r="C9" i="34" s="1"/>
  <c r="K9" i="34"/>
  <c r="F9" i="34"/>
  <c r="S8" i="34"/>
  <c r="D8" i="34" s="1"/>
  <c r="F8" i="34"/>
  <c r="S7" i="34"/>
  <c r="R7" i="34"/>
  <c r="F7" i="34"/>
  <c r="D7" i="34"/>
  <c r="C7" i="34"/>
  <c r="E7" i="34" s="1"/>
  <c r="S6" i="34"/>
  <c r="R6" i="34"/>
  <c r="K6" i="34"/>
  <c r="F6" i="34"/>
  <c r="D6" i="34"/>
  <c r="C6" i="34"/>
  <c r="E6" i="34" s="1"/>
  <c r="T5" i="34"/>
  <c r="S5" i="34"/>
  <c r="F5" i="34"/>
  <c r="R113" i="34" l="1"/>
  <c r="C113" i="34" s="1"/>
  <c r="E113" i="34" s="1"/>
  <c r="G113" i="34" s="1"/>
  <c r="D112" i="34"/>
  <c r="E112" i="34" s="1"/>
  <c r="G112" i="34" s="1"/>
  <c r="E103" i="34"/>
  <c r="G103" i="34" s="1"/>
  <c r="T105" i="34"/>
  <c r="O105" i="34" s="1"/>
  <c r="R102" i="34"/>
  <c r="C102" i="34" s="1"/>
  <c r="S105" i="34"/>
  <c r="E102" i="34"/>
  <c r="G102" i="34" s="1"/>
  <c r="E45" i="34"/>
  <c r="O11" i="34"/>
  <c r="R27" i="34"/>
  <c r="C27" i="34" s="1"/>
  <c r="E27" i="34"/>
  <c r="E17" i="34"/>
  <c r="D17" i="34"/>
  <c r="D9" i="34"/>
  <c r="E9" i="34" s="1"/>
  <c r="S11" i="34"/>
  <c r="R8" i="34"/>
  <c r="C8" i="34" s="1"/>
  <c r="E8" i="34" s="1"/>
  <c r="G50" i="34"/>
  <c r="C154" i="34"/>
  <c r="E154" i="34" s="1"/>
  <c r="G154" i="34" s="1"/>
  <c r="C14" i="34"/>
  <c r="E14" i="34" s="1"/>
  <c r="E70" i="34"/>
  <c r="G70" i="34" s="1"/>
  <c r="E80" i="34"/>
  <c r="G80" i="34" s="1"/>
  <c r="G41" i="34"/>
  <c r="E148" i="34"/>
  <c r="G148" i="34" s="1"/>
  <c r="S20" i="34"/>
  <c r="D35" i="34"/>
  <c r="E35" i="34" s="1"/>
  <c r="G35" i="34" s="1"/>
  <c r="F41" i="34"/>
  <c r="T47" i="34"/>
  <c r="O47" i="34" s="1"/>
  <c r="D109" i="34"/>
  <c r="S115" i="34"/>
  <c r="R109" i="34"/>
  <c r="E137" i="34"/>
  <c r="G137" i="34" s="1"/>
  <c r="R155" i="34"/>
  <c r="C155" i="34" s="1"/>
  <c r="E155" i="34" s="1"/>
  <c r="G155" i="34" s="1"/>
  <c r="E163" i="34"/>
  <c r="G163" i="34" s="1"/>
  <c r="D5" i="34"/>
  <c r="R28" i="34"/>
  <c r="C28" i="34" s="1"/>
  <c r="E28" i="34" s="1"/>
  <c r="D28" i="34"/>
  <c r="E37" i="34"/>
  <c r="G37" i="34" s="1"/>
  <c r="F109" i="34"/>
  <c r="T115" i="34"/>
  <c r="O115" i="34" s="1"/>
  <c r="E139" i="34"/>
  <c r="G139" i="34" s="1"/>
  <c r="R151" i="34"/>
  <c r="P152" i="34" s="1"/>
  <c r="E173" i="34"/>
  <c r="G173" i="34" s="1"/>
  <c r="D158" i="34"/>
  <c r="R158" i="34"/>
  <c r="C158" i="34" s="1"/>
  <c r="E158" i="34" s="1"/>
  <c r="G158" i="34" s="1"/>
  <c r="D182" i="34"/>
  <c r="R182" i="34"/>
  <c r="C182" i="34" s="1"/>
  <c r="R15" i="34"/>
  <c r="C15" i="34" s="1"/>
  <c r="E15" i="34" s="1"/>
  <c r="T20" i="34"/>
  <c r="O20" i="34" s="1"/>
  <c r="D26" i="34"/>
  <c r="R26" i="34"/>
  <c r="C26" i="34" s="1"/>
  <c r="E53" i="34"/>
  <c r="G53" i="34" s="1"/>
  <c r="D110" i="34"/>
  <c r="R110" i="34"/>
  <c r="C110" i="34" s="1"/>
  <c r="C118" i="34"/>
  <c r="E118" i="34" s="1"/>
  <c r="G118" i="34" s="1"/>
  <c r="R124" i="34"/>
  <c r="R19" i="34"/>
  <c r="C19" i="34" s="1"/>
  <c r="D19" i="34"/>
  <c r="S47" i="34"/>
  <c r="D42" i="34"/>
  <c r="R42" i="34"/>
  <c r="R75" i="34"/>
  <c r="P76" i="34" s="1"/>
  <c r="R142" i="34"/>
  <c r="P143" i="34" s="1"/>
  <c r="D156" i="34"/>
  <c r="R156" i="34"/>
  <c r="C156" i="34" s="1"/>
  <c r="E156" i="34" s="1"/>
  <c r="R169" i="34"/>
  <c r="G185" i="34"/>
  <c r="R5" i="34"/>
  <c r="T29" i="34"/>
  <c r="O29" i="34" s="1"/>
  <c r="S38" i="34"/>
  <c r="R56" i="34"/>
  <c r="R95" i="34"/>
  <c r="P96" i="34" s="1"/>
  <c r="E136" i="34"/>
  <c r="E138" i="34"/>
  <c r="O160" i="34"/>
  <c r="T38" i="34"/>
  <c r="O38" i="34" s="1"/>
  <c r="F32" i="34"/>
  <c r="G32" i="34" s="1"/>
  <c r="R34" i="34"/>
  <c r="C34" i="34" s="1"/>
  <c r="D34" i="34"/>
  <c r="D36" i="34"/>
  <c r="E36" i="34" s="1"/>
  <c r="G36" i="34" s="1"/>
  <c r="G45" i="34"/>
  <c r="R150" i="34"/>
  <c r="C150" i="34" s="1"/>
  <c r="D150" i="34"/>
  <c r="D154" i="34"/>
  <c r="S160" i="34"/>
  <c r="D157" i="34"/>
  <c r="R157" i="34"/>
  <c r="C157" i="34" s="1"/>
  <c r="E157" i="34" s="1"/>
  <c r="G157" i="34" s="1"/>
  <c r="P170" i="34"/>
  <c r="D181" i="34"/>
  <c r="S187" i="34"/>
  <c r="R181" i="34"/>
  <c r="C190" i="34"/>
  <c r="E190" i="34" s="1"/>
  <c r="G190" i="34" s="1"/>
  <c r="R196" i="34"/>
  <c r="P197" i="34" s="1"/>
  <c r="C127" i="34"/>
  <c r="E127" i="34" s="1"/>
  <c r="R133" i="34"/>
  <c r="P134" i="34" s="1"/>
  <c r="F136" i="34"/>
  <c r="T142" i="34"/>
  <c r="O142" i="34" s="1"/>
  <c r="D16" i="34"/>
  <c r="E16" i="34" s="1"/>
  <c r="S29" i="34"/>
  <c r="R25" i="34"/>
  <c r="C25" i="34" s="1"/>
  <c r="E25" i="34" s="1"/>
  <c r="R65" i="34"/>
  <c r="P66" i="34" s="1"/>
  <c r="R85" i="34"/>
  <c r="P86" i="34" s="1"/>
  <c r="T160" i="34"/>
  <c r="E164" i="34"/>
  <c r="G164" i="34" s="1"/>
  <c r="F181" i="34"/>
  <c r="T187" i="34"/>
  <c r="O187" i="34" s="1"/>
  <c r="G184" i="34"/>
  <c r="C89" i="34"/>
  <c r="E89" i="34" s="1"/>
  <c r="G89" i="34" s="1"/>
  <c r="D99" i="34"/>
  <c r="D100" i="34"/>
  <c r="E100" i="34" s="1"/>
  <c r="G100" i="34" s="1"/>
  <c r="C145" i="34"/>
  <c r="E145" i="34" s="1"/>
  <c r="G145" i="34" s="1"/>
  <c r="D148" i="34"/>
  <c r="D149" i="34"/>
  <c r="E149" i="34" s="1"/>
  <c r="G149" i="34" s="1"/>
  <c r="S151" i="34"/>
  <c r="D172" i="34"/>
  <c r="D173" i="34"/>
  <c r="D23" i="34"/>
  <c r="D64" i="34"/>
  <c r="E64" i="34" s="1"/>
  <c r="D70" i="34"/>
  <c r="D73" i="34"/>
  <c r="E73" i="34" s="1"/>
  <c r="G73" i="34" s="1"/>
  <c r="D80" i="34"/>
  <c r="D83" i="34"/>
  <c r="E83" i="34" s="1"/>
  <c r="G83" i="34" s="1"/>
  <c r="D90" i="34"/>
  <c r="E90" i="34" s="1"/>
  <c r="G90" i="34" s="1"/>
  <c r="S124" i="34"/>
  <c r="F127" i="34"/>
  <c r="D147" i="34"/>
  <c r="E147" i="34" s="1"/>
  <c r="S196" i="34"/>
  <c r="R23" i="34"/>
  <c r="D44" i="34"/>
  <c r="E44" i="34" s="1"/>
  <c r="F50" i="34"/>
  <c r="S56" i="34"/>
  <c r="F59" i="34"/>
  <c r="G59" i="34" s="1"/>
  <c r="R99" i="34"/>
  <c r="O151" i="34"/>
  <c r="R172" i="34"/>
  <c r="O95" i="34"/>
  <c r="O169" i="34"/>
  <c r="O65" i="34"/>
  <c r="R29" i="34" l="1"/>
  <c r="P30" i="34" s="1"/>
  <c r="C23" i="34"/>
  <c r="E23" i="34" s="1"/>
  <c r="C109" i="34"/>
  <c r="E109" i="34" s="1"/>
  <c r="G109" i="34" s="1"/>
  <c r="R115" i="34"/>
  <c r="P116" i="34" s="1"/>
  <c r="G127" i="34"/>
  <c r="C172" i="34"/>
  <c r="E172" i="34" s="1"/>
  <c r="G172" i="34" s="1"/>
  <c r="R178" i="34"/>
  <c r="P179" i="34" s="1"/>
  <c r="P57" i="34"/>
  <c r="R38" i="34"/>
  <c r="P39" i="34" s="1"/>
  <c r="E26" i="34"/>
  <c r="R160" i="34"/>
  <c r="P161" i="34" s="1"/>
  <c r="C99" i="34"/>
  <c r="E99" i="34" s="1"/>
  <c r="G99" i="34" s="1"/>
  <c r="R105" i="34"/>
  <c r="P106" i="34" s="1"/>
  <c r="R11" i="34"/>
  <c r="P12" i="34" s="1"/>
  <c r="C5" i="34"/>
  <c r="E5" i="34" s="1"/>
  <c r="P125" i="34"/>
  <c r="E34" i="34"/>
  <c r="C42" i="34"/>
  <c r="E42" i="34" s="1"/>
  <c r="G42" i="34" s="1"/>
  <c r="R47" i="34"/>
  <c r="P48" i="34" s="1"/>
  <c r="C181" i="34"/>
  <c r="E181" i="34" s="1"/>
  <c r="G181" i="34" s="1"/>
  <c r="R187" i="34"/>
  <c r="P188" i="34" s="1"/>
  <c r="G136" i="34"/>
  <c r="E110" i="34"/>
  <c r="G110" i="34" s="1"/>
  <c r="E182" i="34"/>
  <c r="G182" i="34" s="1"/>
  <c r="E19" i="34"/>
  <c r="R20" i="34"/>
  <c r="P21" i="34" s="1"/>
  <c r="T924" i="6" l="1"/>
  <c r="S936" i="6"/>
  <c r="T412" i="6"/>
  <c r="T444" i="6" l="1"/>
  <c r="T522" i="6" l="1"/>
  <c r="T582" i="6"/>
  <c r="T486" i="6"/>
  <c r="R1246" i="6"/>
  <c r="S726" i="6"/>
  <c r="S805" i="6"/>
  <c r="S804" i="6"/>
  <c r="Q1051" i="6" l="1"/>
  <c r="P1033" i="6"/>
  <c r="P1032" i="6"/>
  <c r="P1039" i="6"/>
  <c r="S277" i="6"/>
  <c r="S276" i="6"/>
  <c r="S275" i="6"/>
  <c r="S274" i="6"/>
  <c r="S273" i="6"/>
  <c r="P218" i="6"/>
  <c r="P217" i="6"/>
  <c r="P216" i="6"/>
  <c r="P214" i="6"/>
  <c r="P213" i="6"/>
  <c r="Q217" i="6" l="1"/>
  <c r="Q216" i="6"/>
  <c r="Q214" i="6"/>
  <c r="Q213" i="6"/>
  <c r="S531" i="6"/>
  <c r="S31" i="6"/>
  <c r="R637" i="6" l="1"/>
  <c r="R636" i="6"/>
  <c r="R634" i="6"/>
  <c r="R633" i="6"/>
  <c r="R277" i="6" l="1"/>
  <c r="R274" i="6"/>
  <c r="R273" i="6"/>
  <c r="R412" i="6"/>
  <c r="R804" i="6" l="1"/>
  <c r="O621" i="6" l="1"/>
  <c r="Q643" i="6"/>
  <c r="Q642" i="6"/>
  <c r="Q649" i="6"/>
  <c r="Q438" i="6"/>
  <c r="Q436" i="6"/>
  <c r="P621" i="6"/>
  <c r="P531" i="6"/>
  <c r="Q625" i="6"/>
  <c r="Q621" i="6"/>
  <c r="Q531" i="6"/>
  <c r="Q277" i="6"/>
  <c r="Q274" i="6"/>
  <c r="Q273" i="6"/>
  <c r="Q637" i="6" l="1"/>
  <c r="Q636" i="6"/>
  <c r="Q634" i="6"/>
  <c r="Q633" i="6"/>
  <c r="Q421" i="6" l="1"/>
  <c r="AB9" i="27"/>
  <c r="N1033" i="6"/>
  <c r="N1051" i="6"/>
  <c r="M1051" i="6"/>
  <c r="M1048" i="6"/>
  <c r="M1047" i="6"/>
  <c r="L1033" i="6"/>
  <c r="M1035" i="6"/>
  <c r="O1035" i="6"/>
  <c r="O421" i="6"/>
  <c r="O435" i="6"/>
  <c r="M621" i="6"/>
  <c r="N635" i="6"/>
  <c r="N634" i="6"/>
  <c r="N633" i="6"/>
  <c r="O213" i="6"/>
  <c r="M891" i="6"/>
  <c r="M213" i="6"/>
  <c r="H891" i="6"/>
  <c r="A10580" i="22" l="1"/>
  <c r="A10581" i="22" s="1"/>
  <c r="B10580" i="22"/>
  <c r="A10567" i="22"/>
  <c r="B10567" i="22"/>
  <c r="A10568" i="22"/>
  <c r="B10568" i="22"/>
  <c r="A10569" i="22"/>
  <c r="A10570" i="22" s="1"/>
  <c r="B10569" i="22"/>
  <c r="A10550" i="22"/>
  <c r="A10551" i="22" s="1"/>
  <c r="B10550" i="22"/>
  <c r="A10539" i="22"/>
  <c r="B10539" i="22"/>
  <c r="A10540" i="22"/>
  <c r="B10540" i="22" s="1"/>
  <c r="A10271" i="22"/>
  <c r="A10272" i="22" s="1"/>
  <c r="B10271" i="22"/>
  <c r="AA340" i="27"/>
  <c r="AB270" i="27"/>
  <c r="AA197" i="27"/>
  <c r="AA10" i="27"/>
  <c r="AA11" i="27"/>
  <c r="AA12" i="27"/>
  <c r="AA13" i="27"/>
  <c r="AA14" i="27"/>
  <c r="AA15" i="27"/>
  <c r="AA16" i="27"/>
  <c r="AA17" i="27"/>
  <c r="AA18" i="27"/>
  <c r="AA19" i="27"/>
  <c r="AA20" i="27"/>
  <c r="AA21" i="27"/>
  <c r="AA22" i="27"/>
  <c r="AA23" i="27"/>
  <c r="AA24" i="27"/>
  <c r="AA25" i="27"/>
  <c r="AA26" i="27"/>
  <c r="AA27" i="27"/>
  <c r="AA28" i="27"/>
  <c r="AA29" i="27"/>
  <c r="AA30" i="27"/>
  <c r="AA31" i="27"/>
  <c r="AA32" i="27"/>
  <c r="AA33" i="27"/>
  <c r="AA34" i="27"/>
  <c r="AA35" i="27"/>
  <c r="AA36" i="27"/>
  <c r="AA37" i="27"/>
  <c r="AA38" i="27"/>
  <c r="AA39" i="27"/>
  <c r="AA40" i="27"/>
  <c r="AA41" i="27"/>
  <c r="AA42" i="27"/>
  <c r="AA43" i="27"/>
  <c r="AA44" i="27"/>
  <c r="AA45" i="27"/>
  <c r="AA46" i="27"/>
  <c r="AA47" i="27"/>
  <c r="AA48" i="27"/>
  <c r="AA49" i="27"/>
  <c r="AA50" i="27"/>
  <c r="AA51" i="27"/>
  <c r="AA52" i="27"/>
  <c r="AA53" i="27"/>
  <c r="AA54" i="27"/>
  <c r="AA55" i="27"/>
  <c r="AA56" i="27"/>
  <c r="AA57" i="27"/>
  <c r="AA58" i="27"/>
  <c r="AA59" i="27"/>
  <c r="AA60" i="27"/>
  <c r="AA61" i="27"/>
  <c r="AA62" i="27"/>
  <c r="AA63" i="27"/>
  <c r="AA64" i="27"/>
  <c r="AA65" i="27"/>
  <c r="AA66" i="27"/>
  <c r="AA67" i="27"/>
  <c r="AA68" i="27"/>
  <c r="AA69" i="27"/>
  <c r="AA70" i="27"/>
  <c r="AA71" i="27"/>
  <c r="AA72" i="27"/>
  <c r="AA73" i="27"/>
  <c r="AA74" i="27"/>
  <c r="AA75" i="27"/>
  <c r="AA76" i="27"/>
  <c r="AA77" i="27"/>
  <c r="AA78" i="27"/>
  <c r="AA79" i="27"/>
  <c r="AA80" i="27"/>
  <c r="AA81" i="27"/>
  <c r="AA82" i="27"/>
  <c r="AA83" i="27"/>
  <c r="AA84" i="27"/>
  <c r="AA85" i="27"/>
  <c r="AA86" i="27"/>
  <c r="AA87" i="27"/>
  <c r="AA88" i="27"/>
  <c r="AA89" i="27"/>
  <c r="AA90" i="27"/>
  <c r="AA91" i="27"/>
  <c r="AA92" i="27"/>
  <c r="AA93" i="27"/>
  <c r="AA94" i="27"/>
  <c r="AA95" i="27"/>
  <c r="AA96" i="27"/>
  <c r="AA98" i="27"/>
  <c r="AA99" i="27"/>
  <c r="AA100" i="27"/>
  <c r="AA101" i="27"/>
  <c r="AA102" i="27"/>
  <c r="AA104" i="27"/>
  <c r="AA105" i="27"/>
  <c r="AA106" i="27"/>
  <c r="AA107" i="27"/>
  <c r="AA108" i="27"/>
  <c r="AA109" i="27"/>
  <c r="AA111" i="27"/>
  <c r="AA112" i="27"/>
  <c r="AA113" i="27"/>
  <c r="AA114" i="27"/>
  <c r="AA115" i="27"/>
  <c r="AA118" i="27"/>
  <c r="AA119" i="27"/>
  <c r="AA120" i="27"/>
  <c r="AA121" i="27"/>
  <c r="AA123" i="27"/>
  <c r="AA124" i="27"/>
  <c r="AA125" i="27"/>
  <c r="AA126" i="27"/>
  <c r="AA127" i="27"/>
  <c r="AA129" i="27"/>
  <c r="AA130" i="27"/>
  <c r="AA132" i="27"/>
  <c r="AA133" i="27"/>
  <c r="AA134" i="27"/>
  <c r="AA135" i="27"/>
  <c r="AA137" i="27"/>
  <c r="AA138" i="27"/>
  <c r="AA139" i="27"/>
  <c r="AA141" i="27"/>
  <c r="AA142" i="27"/>
  <c r="AA143" i="27"/>
  <c r="AA144" i="27"/>
  <c r="AA145" i="27"/>
  <c r="AA146" i="27"/>
  <c r="AA149" i="27"/>
  <c r="AA151" i="27"/>
  <c r="AA157" i="27"/>
  <c r="AA158" i="27"/>
  <c r="AA159" i="27"/>
  <c r="AA160" i="27"/>
  <c r="AA161" i="27"/>
  <c r="AA163" i="27"/>
  <c r="AA165" i="27"/>
  <c r="AA166" i="27"/>
  <c r="AA168" i="27"/>
  <c r="AA169" i="27"/>
  <c r="AA170" i="27"/>
  <c r="AA171" i="27"/>
  <c r="AA174" i="27"/>
  <c r="AA176" i="27"/>
  <c r="AA178" i="27"/>
  <c r="AA180" i="27"/>
  <c r="AA181" i="27"/>
  <c r="AA183" i="27"/>
  <c r="AA184" i="27"/>
  <c r="AA185" i="27"/>
  <c r="AA186" i="27"/>
  <c r="AA187" i="27"/>
  <c r="AA189" i="27"/>
  <c r="AA190" i="27"/>
  <c r="AA191" i="27"/>
  <c r="AA192" i="27"/>
  <c r="AA194" i="27"/>
  <c r="AA195" i="27"/>
  <c r="AA199" i="27"/>
  <c r="AA200" i="27"/>
  <c r="AA201" i="27"/>
  <c r="AA203" i="27"/>
  <c r="AA206" i="27"/>
  <c r="AA207" i="27"/>
  <c r="AA212" i="27"/>
  <c r="AA213" i="27"/>
  <c r="AA215" i="27"/>
  <c r="AA216" i="27"/>
  <c r="AA217" i="27"/>
  <c r="AA218" i="27"/>
  <c r="AA219" i="27"/>
  <c r="AA220" i="27"/>
  <c r="AA221" i="27"/>
  <c r="AA222" i="27"/>
  <c r="AA223" i="27"/>
  <c r="AA225" i="27"/>
  <c r="AA226" i="27"/>
  <c r="AA227" i="27"/>
  <c r="AA228" i="27"/>
  <c r="AA229" i="27"/>
  <c r="AA230" i="27"/>
  <c r="AA231" i="27"/>
  <c r="AA232" i="27"/>
  <c r="AA233" i="27"/>
  <c r="AA234" i="27"/>
  <c r="AA235" i="27"/>
  <c r="AA236" i="27"/>
  <c r="AA237" i="27"/>
  <c r="AA239" i="27"/>
  <c r="AA240" i="27"/>
  <c r="AA241" i="27"/>
  <c r="AA242" i="27"/>
  <c r="AA243" i="27"/>
  <c r="AA244" i="27"/>
  <c r="AA247" i="27"/>
  <c r="AA248" i="27"/>
  <c r="AA249" i="27"/>
  <c r="AA250" i="27"/>
  <c r="AA252" i="27"/>
  <c r="AA253" i="27"/>
  <c r="AA254" i="27"/>
  <c r="AA255" i="27"/>
  <c r="AA256" i="27"/>
  <c r="AA258" i="27"/>
  <c r="AA259" i="27"/>
  <c r="AA261" i="27"/>
  <c r="AA262" i="27"/>
  <c r="AA263" i="27"/>
  <c r="AA264" i="27"/>
  <c r="AA265" i="27"/>
  <c r="AA267" i="27"/>
  <c r="AA268" i="27"/>
  <c r="AA271" i="27"/>
  <c r="AA272" i="27"/>
  <c r="AA273" i="27"/>
  <c r="AA274" i="27"/>
  <c r="AA275" i="27"/>
  <c r="AA276" i="27"/>
  <c r="AA277" i="27"/>
  <c r="AA280" i="27"/>
  <c r="AA282" i="27"/>
  <c r="AA288" i="27"/>
  <c r="AA289" i="27"/>
  <c r="AA290" i="27"/>
  <c r="AA291" i="27"/>
  <c r="AA292" i="27"/>
  <c r="AA294" i="27"/>
  <c r="AA296" i="27"/>
  <c r="AA297" i="27"/>
  <c r="AA299" i="27"/>
  <c r="AA300" i="27"/>
  <c r="AA301" i="27"/>
  <c r="AA302" i="27"/>
  <c r="AA305" i="27"/>
  <c r="AA307" i="27"/>
  <c r="AA309" i="27"/>
  <c r="AA311" i="27"/>
  <c r="AA312" i="27"/>
  <c r="AA314" i="27"/>
  <c r="AA315" i="27"/>
  <c r="AA316" i="27"/>
  <c r="AA317" i="27"/>
  <c r="AA319" i="27"/>
  <c r="AA321" i="27"/>
  <c r="AA322" i="27"/>
  <c r="AA323" i="27"/>
  <c r="AA324" i="27"/>
  <c r="AA326" i="27"/>
  <c r="AA327" i="27"/>
  <c r="AA328" i="27"/>
  <c r="AA330" i="27"/>
  <c r="AA332" i="27"/>
  <c r="AA333" i="27"/>
  <c r="AA334" i="27"/>
  <c r="AA335" i="27"/>
  <c r="AA337" i="27"/>
  <c r="AA339" i="27"/>
  <c r="AA342" i="27"/>
  <c r="AA344" i="27"/>
  <c r="AA345" i="27"/>
  <c r="AA347" i="27"/>
  <c r="AA348" i="27"/>
  <c r="AA349" i="27"/>
  <c r="AA350" i="27"/>
  <c r="AA351" i="27"/>
  <c r="AA352" i="27"/>
  <c r="AA353" i="27"/>
  <c r="AA354" i="27"/>
  <c r="AA355" i="27"/>
  <c r="AA357" i="27"/>
  <c r="AA358" i="27"/>
  <c r="AA359" i="27"/>
  <c r="AA360" i="27"/>
  <c r="AA361" i="27"/>
  <c r="AA362" i="27"/>
  <c r="AA363" i="27"/>
  <c r="AA364" i="27"/>
  <c r="AA365" i="27"/>
  <c r="AA366" i="27"/>
  <c r="AA367" i="27"/>
  <c r="AA368" i="27"/>
  <c r="AA369" i="27"/>
  <c r="AA370" i="27"/>
  <c r="AA371" i="27"/>
  <c r="AA372" i="27"/>
  <c r="AA373" i="27"/>
  <c r="AA374" i="27"/>
  <c r="AA375" i="27"/>
  <c r="AA377" i="27"/>
  <c r="AA378" i="27"/>
  <c r="AA379" i="27"/>
  <c r="AA380" i="27"/>
  <c r="AA381" i="27"/>
  <c r="AA384" i="27"/>
  <c r="AA385" i="27"/>
  <c r="AA386" i="27"/>
  <c r="AA387" i="27"/>
  <c r="AA388" i="27"/>
  <c r="AA389" i="27"/>
  <c r="AA392" i="27"/>
  <c r="AA393" i="27"/>
  <c r="AA394" i="27"/>
  <c r="AA395" i="27"/>
  <c r="AA396" i="27"/>
  <c r="AA397" i="27"/>
  <c r="AA398" i="27"/>
  <c r="AA399" i="27"/>
  <c r="AA400" i="27"/>
  <c r="AA401" i="27"/>
  <c r="AA402" i="27"/>
  <c r="AA404" i="27"/>
  <c r="AA410" i="27"/>
  <c r="AA411" i="27"/>
  <c r="AA412" i="27"/>
  <c r="AA413" i="27"/>
  <c r="AA414" i="27"/>
  <c r="AA415" i="27"/>
  <c r="AA416" i="27"/>
  <c r="AA417" i="27"/>
  <c r="AA418" i="27"/>
  <c r="AA419" i="27"/>
  <c r="AA420" i="27"/>
  <c r="AA421" i="27"/>
  <c r="AA422" i="27"/>
  <c r="AA423" i="27"/>
  <c r="AA424" i="27"/>
  <c r="AA425" i="27"/>
  <c r="AA426" i="27"/>
  <c r="AA427" i="27"/>
  <c r="AA428" i="27"/>
  <c r="AA429" i="27"/>
  <c r="AA430" i="27"/>
  <c r="AA431" i="27"/>
  <c r="AA432" i="27"/>
  <c r="AA433" i="27"/>
  <c r="AA434" i="27"/>
  <c r="AA435" i="27"/>
  <c r="AA436" i="27"/>
  <c r="AA437" i="27"/>
  <c r="AA438" i="27"/>
  <c r="AA439" i="27"/>
  <c r="AA440" i="27"/>
  <c r="AA441" i="27"/>
  <c r="AA442" i="27"/>
  <c r="AA443" i="27"/>
  <c r="AA444" i="27"/>
  <c r="AA445" i="27"/>
  <c r="AA446" i="27"/>
  <c r="AA447" i="27"/>
  <c r="AA448" i="27"/>
  <c r="AA449" i="27"/>
  <c r="AA450" i="27"/>
  <c r="AA451" i="27"/>
  <c r="AA452" i="27"/>
  <c r="AA453" i="27"/>
  <c r="AA454" i="27"/>
  <c r="AA455" i="27"/>
  <c r="AA456" i="27"/>
  <c r="AA457" i="27"/>
  <c r="AA458" i="27"/>
  <c r="AA459" i="27"/>
  <c r="AA460" i="27"/>
  <c r="AA461" i="27"/>
  <c r="AA462" i="27"/>
  <c r="AA463" i="27"/>
  <c r="AA464" i="27"/>
  <c r="AA465" i="27"/>
  <c r="AA466" i="27"/>
  <c r="AA467" i="27"/>
  <c r="AA468" i="27"/>
  <c r="AA469" i="27"/>
  <c r="AA470" i="27"/>
  <c r="AA471" i="27"/>
  <c r="AA472" i="27"/>
  <c r="AA473" i="27"/>
  <c r="AA474" i="27"/>
  <c r="AA475" i="27"/>
  <c r="AA476" i="27"/>
  <c r="AA477" i="27"/>
  <c r="AA478" i="27"/>
  <c r="AA479" i="27"/>
  <c r="AA480" i="27"/>
  <c r="AA481" i="27"/>
  <c r="AA482" i="27"/>
  <c r="AA483" i="27"/>
  <c r="AA484" i="27"/>
  <c r="AA485" i="27"/>
  <c r="AA486" i="27"/>
  <c r="AA487" i="27"/>
  <c r="AA488" i="27"/>
  <c r="AA489" i="27"/>
  <c r="AA490" i="27"/>
  <c r="AA491" i="27"/>
  <c r="AA492" i="27"/>
  <c r="AA493" i="27"/>
  <c r="AA494" i="27"/>
  <c r="AA495" i="27"/>
  <c r="AA496" i="27"/>
  <c r="AA497" i="27"/>
  <c r="AA498" i="27"/>
  <c r="AA499" i="27"/>
  <c r="AA500" i="27"/>
  <c r="AA501" i="27"/>
  <c r="AA502" i="27"/>
  <c r="AA9" i="27"/>
  <c r="AB30" i="27"/>
  <c r="AC30" i="27"/>
  <c r="AB31" i="27"/>
  <c r="AC31" i="27"/>
  <c r="AB32" i="27"/>
  <c r="AC32" i="27"/>
  <c r="AB33" i="27"/>
  <c r="AC33" i="27"/>
  <c r="AB34" i="27"/>
  <c r="AC34" i="27"/>
  <c r="AB35" i="27"/>
  <c r="AC35" i="27"/>
  <c r="AB36" i="27"/>
  <c r="AC36" i="27"/>
  <c r="AB37" i="27"/>
  <c r="AC37" i="27"/>
  <c r="AB38" i="27"/>
  <c r="AC38" i="27"/>
  <c r="AB39" i="27"/>
  <c r="AC39" i="27"/>
  <c r="AB40" i="27"/>
  <c r="AC40" i="27"/>
  <c r="AB41" i="27"/>
  <c r="AC41" i="27"/>
  <c r="AB42" i="27"/>
  <c r="AC42" i="27"/>
  <c r="AB43" i="27"/>
  <c r="AC43" i="27"/>
  <c r="AB44" i="27"/>
  <c r="AC44" i="27"/>
  <c r="AB45" i="27"/>
  <c r="AC45" i="27"/>
  <c r="AB46" i="27"/>
  <c r="AC46" i="27"/>
  <c r="AB47" i="27"/>
  <c r="AC47" i="27"/>
  <c r="AB48" i="27"/>
  <c r="AC48" i="27"/>
  <c r="AB49" i="27"/>
  <c r="AC49" i="27"/>
  <c r="AB50" i="27"/>
  <c r="AC50" i="27"/>
  <c r="AB51" i="27"/>
  <c r="AC51" i="27"/>
  <c r="AB52" i="27"/>
  <c r="AC52" i="27"/>
  <c r="AB53" i="27"/>
  <c r="AC53" i="27"/>
  <c r="AB54" i="27"/>
  <c r="AC54" i="27"/>
  <c r="AB55" i="27"/>
  <c r="AC55" i="27"/>
  <c r="AB56" i="27"/>
  <c r="AC56" i="27"/>
  <c r="AB57" i="27"/>
  <c r="AC57" i="27"/>
  <c r="AB58" i="27"/>
  <c r="AC58" i="27"/>
  <c r="AB59" i="27"/>
  <c r="AC59" i="27"/>
  <c r="AB60" i="27"/>
  <c r="AC60" i="27"/>
  <c r="AB61" i="27"/>
  <c r="AC61" i="27"/>
  <c r="AB62" i="27"/>
  <c r="AC62" i="27"/>
  <c r="AB63" i="27"/>
  <c r="AC63" i="27"/>
  <c r="AB64" i="27"/>
  <c r="AC64" i="27"/>
  <c r="AB65" i="27"/>
  <c r="AC65" i="27"/>
  <c r="AB66" i="27"/>
  <c r="AC66" i="27"/>
  <c r="AB67" i="27"/>
  <c r="AC67" i="27"/>
  <c r="AB68" i="27"/>
  <c r="AC68" i="27"/>
  <c r="AB69" i="27"/>
  <c r="AC69" i="27"/>
  <c r="AB70" i="27"/>
  <c r="AC70" i="27"/>
  <c r="AB71" i="27"/>
  <c r="AC71" i="27"/>
  <c r="AB72" i="27"/>
  <c r="AC72" i="27"/>
  <c r="AB73" i="27"/>
  <c r="AC73" i="27"/>
  <c r="AB74" i="27"/>
  <c r="AC74" i="27"/>
  <c r="AB75" i="27"/>
  <c r="AC75" i="27"/>
  <c r="AB76" i="27"/>
  <c r="AC76" i="27"/>
  <c r="AB77" i="27"/>
  <c r="AC77" i="27"/>
  <c r="AB78" i="27"/>
  <c r="AC78" i="27"/>
  <c r="AB79" i="27"/>
  <c r="AC79" i="27"/>
  <c r="AB80" i="27"/>
  <c r="AC80" i="27"/>
  <c r="AB81" i="27"/>
  <c r="AC81" i="27"/>
  <c r="AB82" i="27"/>
  <c r="AC82" i="27"/>
  <c r="AB83" i="27"/>
  <c r="AC83" i="27"/>
  <c r="AB84" i="27"/>
  <c r="AC84" i="27"/>
  <c r="AB85" i="27"/>
  <c r="AC85" i="27"/>
  <c r="AB86" i="27"/>
  <c r="AC86" i="27"/>
  <c r="AB87" i="27"/>
  <c r="AC87" i="27"/>
  <c r="AB88" i="27"/>
  <c r="AC88" i="27"/>
  <c r="AB89" i="27"/>
  <c r="AC89" i="27"/>
  <c r="AB90" i="27"/>
  <c r="AC90" i="27"/>
  <c r="AB91" i="27"/>
  <c r="AC91" i="27"/>
  <c r="AB92" i="27"/>
  <c r="AC92" i="27"/>
  <c r="AB93" i="27"/>
  <c r="AC93" i="27"/>
  <c r="AB94" i="27"/>
  <c r="AC94" i="27"/>
  <c r="AB95" i="27"/>
  <c r="AC95" i="27"/>
  <c r="AB96" i="27"/>
  <c r="AC96" i="27"/>
  <c r="AC97" i="27"/>
  <c r="AB98" i="27"/>
  <c r="AC98" i="27"/>
  <c r="AB99" i="27"/>
  <c r="AC99" i="27"/>
  <c r="AB100" i="27"/>
  <c r="AC100" i="27"/>
  <c r="AB101" i="27"/>
  <c r="AC101" i="27"/>
  <c r="AB102" i="27"/>
  <c r="AC102" i="27"/>
  <c r="AC103" i="27"/>
  <c r="AB104" i="27"/>
  <c r="AC104" i="27"/>
  <c r="AB105" i="27"/>
  <c r="AC105" i="27"/>
  <c r="AB106" i="27"/>
  <c r="AC106" i="27"/>
  <c r="AB107" i="27"/>
  <c r="AC107" i="27"/>
  <c r="AB108" i="27"/>
  <c r="AC108" i="27"/>
  <c r="AB109" i="27"/>
  <c r="AC109" i="27"/>
  <c r="AB110" i="27"/>
  <c r="AC110" i="27"/>
  <c r="AB111" i="27"/>
  <c r="AC111" i="27"/>
  <c r="AB112" i="27"/>
  <c r="AC112" i="27"/>
  <c r="AB113" i="27"/>
  <c r="AC113" i="27"/>
  <c r="AB114" i="27"/>
  <c r="AC114" i="27"/>
  <c r="AB115" i="27"/>
  <c r="AC115" i="27"/>
  <c r="AB116" i="27"/>
  <c r="AC116" i="27"/>
  <c r="AB117" i="27"/>
  <c r="AC117" i="27"/>
  <c r="AB118" i="27"/>
  <c r="AC118" i="27"/>
  <c r="AB119" i="27"/>
  <c r="AC119" i="27"/>
  <c r="AB120" i="27"/>
  <c r="AC120" i="27"/>
  <c r="AB121" i="27"/>
  <c r="AC121" i="27"/>
  <c r="AB122" i="27"/>
  <c r="AC122" i="27"/>
  <c r="AB123" i="27"/>
  <c r="AC123" i="27"/>
  <c r="AB124" i="27"/>
  <c r="AC124" i="27"/>
  <c r="AB125" i="27"/>
  <c r="AC125" i="27"/>
  <c r="AB126" i="27"/>
  <c r="AC126" i="27"/>
  <c r="AB127" i="27"/>
  <c r="AC127" i="27"/>
  <c r="AB128" i="27"/>
  <c r="AC128" i="27"/>
  <c r="AB129" i="27"/>
  <c r="AC129" i="27"/>
  <c r="AB130" i="27"/>
  <c r="AC130" i="27"/>
  <c r="AC131" i="27"/>
  <c r="AB132" i="27"/>
  <c r="AC132" i="27"/>
  <c r="AB133" i="27"/>
  <c r="AC133" i="27"/>
  <c r="AB134" i="27"/>
  <c r="AC134" i="27"/>
  <c r="AB135" i="27"/>
  <c r="AC135" i="27"/>
  <c r="AB136" i="27"/>
  <c r="AC136" i="27"/>
  <c r="AB137" i="27"/>
  <c r="AC137" i="27"/>
  <c r="AB138" i="27"/>
  <c r="AC138" i="27"/>
  <c r="AB139" i="27"/>
  <c r="AC139" i="27"/>
  <c r="AB140" i="27"/>
  <c r="AC140" i="27"/>
  <c r="AB141" i="27"/>
  <c r="AC141" i="27"/>
  <c r="AB142" i="27"/>
  <c r="AC142" i="27"/>
  <c r="AB143" i="27"/>
  <c r="AC143" i="27"/>
  <c r="AB144" i="27"/>
  <c r="AC144" i="27"/>
  <c r="AB145" i="27"/>
  <c r="AC145" i="27"/>
  <c r="AB146" i="27"/>
  <c r="AC146" i="27"/>
  <c r="AB147" i="27"/>
  <c r="AC147" i="27"/>
  <c r="AB148" i="27"/>
  <c r="AC148" i="27"/>
  <c r="AB149" i="27"/>
  <c r="AC149" i="27"/>
  <c r="AC150" i="27"/>
  <c r="AB151" i="27"/>
  <c r="AC151" i="27"/>
  <c r="AC152" i="27"/>
  <c r="AC153" i="27"/>
  <c r="AB154" i="27"/>
  <c r="AC154" i="27"/>
  <c r="AC155" i="27"/>
  <c r="AB156" i="27"/>
  <c r="AC156" i="27"/>
  <c r="AB157" i="27"/>
  <c r="AC157" i="27"/>
  <c r="AB158" i="27"/>
  <c r="AC158" i="27"/>
  <c r="AB159" i="27"/>
  <c r="AC159" i="27"/>
  <c r="AB160" i="27"/>
  <c r="AC160" i="27"/>
  <c r="AB161" i="27"/>
  <c r="AC161" i="27"/>
  <c r="AB162" i="27"/>
  <c r="AC162" i="27"/>
  <c r="AB163" i="27"/>
  <c r="AC163" i="27"/>
  <c r="AC164" i="27"/>
  <c r="AB165" i="27"/>
  <c r="AC165" i="27"/>
  <c r="AB166" i="27"/>
  <c r="AC166" i="27"/>
  <c r="AC167" i="27"/>
  <c r="AB168" i="27"/>
  <c r="AC168" i="27"/>
  <c r="AB169" i="27"/>
  <c r="AC169" i="27"/>
  <c r="AB170" i="27"/>
  <c r="AC170" i="27"/>
  <c r="AB171" i="27"/>
  <c r="AC171" i="27"/>
  <c r="AB172" i="27"/>
  <c r="AC172" i="27"/>
  <c r="AB173" i="27"/>
  <c r="AC173" i="27"/>
  <c r="AB174" i="27"/>
  <c r="AC174" i="27"/>
  <c r="AB175" i="27"/>
  <c r="AC175" i="27"/>
  <c r="AB176" i="27"/>
  <c r="AC176" i="27"/>
  <c r="AB177" i="27"/>
  <c r="AC177" i="27"/>
  <c r="AB178" i="27"/>
  <c r="AC178" i="27"/>
  <c r="AC179" i="27"/>
  <c r="AB180" i="27"/>
  <c r="AC180" i="27"/>
  <c r="AB181" i="27"/>
  <c r="AC181" i="27"/>
  <c r="AC182" i="27"/>
  <c r="AB183" i="27"/>
  <c r="AC183" i="27"/>
  <c r="AB184" i="27"/>
  <c r="AC184" i="27"/>
  <c r="AB185" i="27"/>
  <c r="AC185" i="27"/>
  <c r="AB186" i="27"/>
  <c r="AC186" i="27"/>
  <c r="AB187" i="27"/>
  <c r="AC187" i="27"/>
  <c r="AB188" i="27"/>
  <c r="AC188" i="27"/>
  <c r="AB189" i="27"/>
  <c r="AC189" i="27"/>
  <c r="AB190" i="27"/>
  <c r="AC190" i="27"/>
  <c r="AB191" i="27"/>
  <c r="AC191" i="27"/>
  <c r="AB192" i="27"/>
  <c r="AC192" i="27"/>
  <c r="AB193" i="27"/>
  <c r="AC193" i="27"/>
  <c r="AB194" i="27"/>
  <c r="AC194" i="27"/>
  <c r="AB195" i="27"/>
  <c r="AC195" i="27"/>
  <c r="AB196" i="27"/>
  <c r="AC196" i="27"/>
  <c r="AB197" i="27"/>
  <c r="AC197" i="27"/>
  <c r="AC198" i="27"/>
  <c r="AB199" i="27"/>
  <c r="AC199" i="27"/>
  <c r="AB200" i="27"/>
  <c r="AC200" i="27"/>
  <c r="AB201" i="27"/>
  <c r="AC201" i="27"/>
  <c r="AB202" i="27"/>
  <c r="AC202" i="27"/>
  <c r="AB203" i="27"/>
  <c r="AC203" i="27"/>
  <c r="AB204" i="27"/>
  <c r="AC204" i="27"/>
  <c r="AB206" i="27"/>
  <c r="AC206" i="27"/>
  <c r="AB207" i="27"/>
  <c r="AC207" i="27"/>
  <c r="AC208" i="27"/>
  <c r="AB209" i="27"/>
  <c r="AC209" i="27"/>
  <c r="AB210" i="27"/>
  <c r="AC210" i="27"/>
  <c r="AC211" i="27"/>
  <c r="AB212" i="27"/>
  <c r="AC212" i="27"/>
  <c r="AB213" i="27"/>
  <c r="AC213" i="27"/>
  <c r="AB214" i="27"/>
  <c r="AC214" i="27"/>
  <c r="AB215" i="27"/>
  <c r="AC215" i="27"/>
  <c r="AB216" i="27"/>
  <c r="AC216" i="27"/>
  <c r="AB217" i="27"/>
  <c r="AC217" i="27"/>
  <c r="AB218" i="27"/>
  <c r="AC218" i="27"/>
  <c r="AB219" i="27"/>
  <c r="AC219" i="27"/>
  <c r="AB220" i="27"/>
  <c r="AC220" i="27"/>
  <c r="AB221" i="27"/>
  <c r="AC221" i="27"/>
  <c r="AB222" i="27"/>
  <c r="AC222" i="27"/>
  <c r="AB223" i="27"/>
  <c r="AC223" i="27"/>
  <c r="AC224" i="27"/>
  <c r="AB225" i="27"/>
  <c r="AC225" i="27"/>
  <c r="AB226" i="27"/>
  <c r="AC226" i="27"/>
  <c r="AB227" i="27"/>
  <c r="AC227" i="27"/>
  <c r="AB228" i="27"/>
  <c r="AC228" i="27"/>
  <c r="AB229" i="27"/>
  <c r="AC229" i="27"/>
  <c r="AB230" i="27"/>
  <c r="AC230" i="27"/>
  <c r="AB231" i="27"/>
  <c r="AC231" i="27"/>
  <c r="AB232" i="27"/>
  <c r="AC232" i="27"/>
  <c r="AB233" i="27"/>
  <c r="AC233" i="27"/>
  <c r="AB234" i="27"/>
  <c r="AC234" i="27"/>
  <c r="AB235" i="27"/>
  <c r="AC235" i="27"/>
  <c r="AB236" i="27"/>
  <c r="AC236" i="27"/>
  <c r="AB237" i="27"/>
  <c r="AC237" i="27"/>
  <c r="AB238" i="27"/>
  <c r="AC238" i="27"/>
  <c r="AB239" i="27"/>
  <c r="AC239" i="27"/>
  <c r="AB240" i="27"/>
  <c r="AC240" i="27"/>
  <c r="AB241" i="27"/>
  <c r="AC241" i="27"/>
  <c r="AB242" i="27"/>
  <c r="AC242" i="27"/>
  <c r="AB243" i="27"/>
  <c r="AC243" i="27"/>
  <c r="AB244" i="27"/>
  <c r="AC244" i="27"/>
  <c r="AB245" i="27"/>
  <c r="AC245" i="27"/>
  <c r="AB246" i="27"/>
  <c r="AC246" i="27"/>
  <c r="AB247" i="27"/>
  <c r="AC247" i="27"/>
  <c r="AB248" i="27"/>
  <c r="AC248" i="27"/>
  <c r="AB249" i="27"/>
  <c r="AC249" i="27"/>
  <c r="AB250" i="27"/>
  <c r="AC250" i="27"/>
  <c r="AB251" i="27"/>
  <c r="AC251" i="27"/>
  <c r="AB252" i="27"/>
  <c r="AC252" i="27"/>
  <c r="AB253" i="27"/>
  <c r="AC253" i="27"/>
  <c r="AB254" i="27"/>
  <c r="AC254" i="27"/>
  <c r="AB255" i="27"/>
  <c r="AC255" i="27"/>
  <c r="AB256" i="27"/>
  <c r="AC256" i="27"/>
  <c r="AB257" i="27"/>
  <c r="AC257" i="27"/>
  <c r="AB258" i="27"/>
  <c r="AC258" i="27"/>
  <c r="AB259" i="27"/>
  <c r="AC259" i="27"/>
  <c r="AC260" i="27"/>
  <c r="AB261" i="27"/>
  <c r="AC261" i="27"/>
  <c r="AB262" i="27"/>
  <c r="AC262" i="27"/>
  <c r="AB263" i="27"/>
  <c r="AC263" i="27"/>
  <c r="AB264" i="27"/>
  <c r="AC264" i="27"/>
  <c r="AB265" i="27"/>
  <c r="AC265" i="27"/>
  <c r="AB266" i="27"/>
  <c r="AC266" i="27"/>
  <c r="AB267" i="27"/>
  <c r="AC267" i="27"/>
  <c r="AB268" i="27"/>
  <c r="AC268" i="27"/>
  <c r="AC269" i="27"/>
  <c r="AC270" i="27"/>
  <c r="AB271" i="27"/>
  <c r="AC271" i="27"/>
  <c r="AB272" i="27"/>
  <c r="AC272" i="27"/>
  <c r="AB273" i="27"/>
  <c r="AC273" i="27"/>
  <c r="AB274" i="27"/>
  <c r="AC274" i="27"/>
  <c r="AB275" i="27"/>
  <c r="AC275" i="27"/>
  <c r="AB276" i="27"/>
  <c r="AC276" i="27"/>
  <c r="AB277" i="27"/>
  <c r="AC277" i="27"/>
  <c r="AB278" i="27"/>
  <c r="AC278" i="27"/>
  <c r="AB279" i="27"/>
  <c r="AC279" i="27"/>
  <c r="AB280" i="27"/>
  <c r="AC280" i="27"/>
  <c r="AC281" i="27"/>
  <c r="AB282" i="27"/>
  <c r="AC282" i="27"/>
  <c r="AC283" i="27"/>
  <c r="AC284" i="27"/>
  <c r="AB285" i="27"/>
  <c r="AC285" i="27"/>
  <c r="AC286" i="27"/>
  <c r="AB287" i="27"/>
  <c r="AC287" i="27"/>
  <c r="AB288" i="27"/>
  <c r="AC288" i="27"/>
  <c r="AB289" i="27"/>
  <c r="AC289" i="27"/>
  <c r="AB290" i="27"/>
  <c r="AC290" i="27"/>
  <c r="AB291" i="27"/>
  <c r="AC291" i="27"/>
  <c r="AB292" i="27"/>
  <c r="AC292" i="27"/>
  <c r="AB293" i="27"/>
  <c r="AC293" i="27"/>
  <c r="AB294" i="27"/>
  <c r="AC294" i="27"/>
  <c r="AC295" i="27"/>
  <c r="AB296" i="27"/>
  <c r="AC296" i="27"/>
  <c r="AB297" i="27"/>
  <c r="AC297" i="27"/>
  <c r="AC298" i="27"/>
  <c r="AB299" i="27"/>
  <c r="AC299" i="27"/>
  <c r="AB300" i="27"/>
  <c r="AC300" i="27"/>
  <c r="AB301" i="27"/>
  <c r="AC301" i="27"/>
  <c r="AB302" i="27"/>
  <c r="AC302" i="27"/>
  <c r="AB303" i="27"/>
  <c r="AC303" i="27"/>
  <c r="AB304" i="27"/>
  <c r="AC304" i="27"/>
  <c r="AB305" i="27"/>
  <c r="AC305" i="27"/>
  <c r="AB306" i="27"/>
  <c r="AC306" i="27"/>
  <c r="AB307" i="27"/>
  <c r="AC307" i="27"/>
  <c r="AB308" i="27"/>
  <c r="AC308" i="27"/>
  <c r="AB309" i="27"/>
  <c r="AC309" i="27"/>
  <c r="AC310" i="27"/>
  <c r="AB311" i="27"/>
  <c r="AC311" i="27"/>
  <c r="AB312" i="27"/>
  <c r="AC312" i="27"/>
  <c r="AC313" i="27"/>
  <c r="AB314" i="27"/>
  <c r="AC314" i="27"/>
  <c r="AB315" i="27"/>
  <c r="AC315" i="27"/>
  <c r="AB316" i="27"/>
  <c r="AC316" i="27"/>
  <c r="AB317" i="27"/>
  <c r="AC317" i="27"/>
  <c r="AB318" i="27"/>
  <c r="AC318" i="27"/>
  <c r="AB319" i="27"/>
  <c r="AC319" i="27"/>
  <c r="AB320" i="27"/>
  <c r="AC320" i="27"/>
  <c r="AB321" i="27"/>
  <c r="AC321" i="27"/>
  <c r="AB322" i="27"/>
  <c r="AC322" i="27"/>
  <c r="AB323" i="27"/>
  <c r="AC323" i="27"/>
  <c r="AB324" i="27"/>
  <c r="AC324" i="27"/>
  <c r="AB325" i="27"/>
  <c r="AC325" i="27"/>
  <c r="AB326" i="27"/>
  <c r="AC326" i="27"/>
  <c r="AB327" i="27"/>
  <c r="AC327" i="27"/>
  <c r="AB328" i="27"/>
  <c r="AC328" i="27"/>
  <c r="AB329" i="27"/>
  <c r="AC329" i="27"/>
  <c r="AB330" i="27"/>
  <c r="AC330" i="27"/>
  <c r="AC331" i="27"/>
  <c r="AB332" i="27"/>
  <c r="AC332" i="27"/>
  <c r="AB333" i="27"/>
  <c r="AC333" i="27"/>
  <c r="AB334" i="27"/>
  <c r="AC334" i="27"/>
  <c r="AB335" i="27"/>
  <c r="AC335" i="27"/>
  <c r="AB336" i="27"/>
  <c r="AC336" i="27"/>
  <c r="AB337" i="27"/>
  <c r="AC337" i="27"/>
  <c r="AB338" i="27"/>
  <c r="AC338" i="27"/>
  <c r="AB339" i="27"/>
  <c r="AC339" i="27"/>
  <c r="AB340" i="27"/>
  <c r="AC340" i="27"/>
  <c r="AC341" i="27"/>
  <c r="AB342" i="27"/>
  <c r="AC342" i="27"/>
  <c r="AC343" i="27"/>
  <c r="AB344" i="27"/>
  <c r="AC344" i="27"/>
  <c r="AB345" i="27"/>
  <c r="AC345" i="27"/>
  <c r="AB346" i="27"/>
  <c r="AC346" i="27"/>
  <c r="AB347" i="27"/>
  <c r="AC347" i="27"/>
  <c r="AB348" i="27"/>
  <c r="AC348" i="27"/>
  <c r="AB349" i="27"/>
  <c r="AC349" i="27"/>
  <c r="AB350" i="27"/>
  <c r="AC350" i="27"/>
  <c r="AB351" i="27"/>
  <c r="AC351" i="27"/>
  <c r="AB352" i="27"/>
  <c r="AC352" i="27"/>
  <c r="AB353" i="27"/>
  <c r="AC353" i="27"/>
  <c r="AB354" i="27"/>
  <c r="AC354" i="27"/>
  <c r="AB355" i="27"/>
  <c r="AC355" i="27"/>
  <c r="AC356" i="27"/>
  <c r="AB357" i="27"/>
  <c r="AC357" i="27"/>
  <c r="AB358" i="27"/>
  <c r="AC358" i="27"/>
  <c r="AB359" i="27"/>
  <c r="AC359" i="27"/>
  <c r="AB360" i="27"/>
  <c r="AC360" i="27"/>
  <c r="AB361" i="27"/>
  <c r="AC361" i="27"/>
  <c r="AB362" i="27"/>
  <c r="AC362" i="27"/>
  <c r="AB363" i="27"/>
  <c r="AC363" i="27"/>
  <c r="AB364" i="27"/>
  <c r="AC364" i="27"/>
  <c r="AB365" i="27"/>
  <c r="AC365" i="27"/>
  <c r="AB366" i="27"/>
  <c r="AC366" i="27"/>
  <c r="AB367" i="27"/>
  <c r="AC367" i="27"/>
  <c r="AB368" i="27"/>
  <c r="AC368" i="27"/>
  <c r="AB369" i="27"/>
  <c r="AC369" i="27"/>
  <c r="AB370" i="27"/>
  <c r="AC370" i="27"/>
  <c r="AB371" i="27"/>
  <c r="AC371" i="27"/>
  <c r="AB372" i="27"/>
  <c r="AC372" i="27"/>
  <c r="AB373" i="27"/>
  <c r="AC373" i="27"/>
  <c r="AB374" i="27"/>
  <c r="AC374" i="27"/>
  <c r="AB375" i="27"/>
  <c r="AC375" i="27"/>
  <c r="AC376" i="27"/>
  <c r="AB377" i="27"/>
  <c r="AC377" i="27"/>
  <c r="AB378" i="27"/>
  <c r="AC378" i="27"/>
  <c r="AB379" i="27"/>
  <c r="AC379" i="27"/>
  <c r="AB380" i="27"/>
  <c r="AC380" i="27"/>
  <c r="AB381" i="27"/>
  <c r="AC381" i="27"/>
  <c r="AB382" i="27"/>
  <c r="AC382" i="27"/>
  <c r="AB383" i="27"/>
  <c r="AC383" i="27"/>
  <c r="AB384" i="27"/>
  <c r="AC384" i="27"/>
  <c r="AB385" i="27"/>
  <c r="AC385" i="27"/>
  <c r="AB386" i="27"/>
  <c r="AC386" i="27"/>
  <c r="AB387" i="27"/>
  <c r="AC387" i="27"/>
  <c r="AB388" i="27"/>
  <c r="AC388" i="27"/>
  <c r="AB389" i="27"/>
  <c r="AC389" i="27"/>
  <c r="AB390" i="27"/>
  <c r="AC390" i="27"/>
  <c r="AB391" i="27"/>
  <c r="AC391" i="27"/>
  <c r="AB392" i="27"/>
  <c r="AC392" i="27"/>
  <c r="AB393" i="27"/>
  <c r="AC393" i="27"/>
  <c r="AB394" i="27"/>
  <c r="AC394" i="27"/>
  <c r="AB395" i="27"/>
  <c r="AC395" i="27"/>
  <c r="AB396" i="27"/>
  <c r="AC396" i="27"/>
  <c r="AB397" i="27"/>
  <c r="AC397" i="27"/>
  <c r="AB398" i="27"/>
  <c r="AC398" i="27"/>
  <c r="AB399" i="27"/>
  <c r="AC399" i="27"/>
  <c r="AB400" i="27"/>
  <c r="AC400" i="27"/>
  <c r="AB401" i="27"/>
  <c r="AC401" i="27"/>
  <c r="AB402" i="27"/>
  <c r="AC402" i="27"/>
  <c r="AB403" i="27"/>
  <c r="AC403" i="27"/>
  <c r="AB404" i="27"/>
  <c r="AC404" i="27"/>
  <c r="AB405" i="27"/>
  <c r="AC405" i="27"/>
  <c r="AC406" i="27"/>
  <c r="AB407" i="27"/>
  <c r="AC407" i="27"/>
  <c r="AC408" i="27"/>
  <c r="AB409" i="27"/>
  <c r="AC409" i="27"/>
  <c r="AB410" i="27"/>
  <c r="AC410" i="27"/>
  <c r="AB411" i="27"/>
  <c r="AC411" i="27"/>
  <c r="AB412" i="27"/>
  <c r="AC412" i="27"/>
  <c r="AB413" i="27"/>
  <c r="AC413" i="27"/>
  <c r="AB414" i="27"/>
  <c r="AC414" i="27"/>
  <c r="AB415" i="27"/>
  <c r="AC415" i="27"/>
  <c r="AB416" i="27"/>
  <c r="AC416" i="27"/>
  <c r="AB417" i="27"/>
  <c r="AC417" i="27"/>
  <c r="AB418" i="27"/>
  <c r="AC418" i="27"/>
  <c r="AB419" i="27"/>
  <c r="AC419" i="27"/>
  <c r="AB420" i="27"/>
  <c r="AC420" i="27"/>
  <c r="AB421" i="27"/>
  <c r="AC421" i="27"/>
  <c r="AB422" i="27"/>
  <c r="AC422" i="27"/>
  <c r="AB423" i="27"/>
  <c r="AC423" i="27"/>
  <c r="AB424" i="27"/>
  <c r="AC424" i="27"/>
  <c r="AB425" i="27"/>
  <c r="AC425" i="27"/>
  <c r="AB426" i="27"/>
  <c r="AC426" i="27"/>
  <c r="AB427" i="27"/>
  <c r="AC427" i="27"/>
  <c r="AB428" i="27"/>
  <c r="AC428" i="27"/>
  <c r="AB429" i="27"/>
  <c r="AC429" i="27"/>
  <c r="AB430" i="27"/>
  <c r="AC430" i="27"/>
  <c r="AB431" i="27"/>
  <c r="AC431" i="27"/>
  <c r="AB432" i="27"/>
  <c r="AC432" i="27"/>
  <c r="AB433" i="27"/>
  <c r="AC433" i="27"/>
  <c r="AB434" i="27"/>
  <c r="AC434" i="27"/>
  <c r="AB435" i="27"/>
  <c r="AC435" i="27"/>
  <c r="AB436" i="27"/>
  <c r="AC436" i="27"/>
  <c r="AB437" i="27"/>
  <c r="AC437" i="27"/>
  <c r="AB438" i="27"/>
  <c r="AC438" i="27"/>
  <c r="AB439" i="27"/>
  <c r="AC439" i="27"/>
  <c r="AB440" i="27"/>
  <c r="AC440" i="27"/>
  <c r="AB441" i="27"/>
  <c r="AC441" i="27"/>
  <c r="AB442" i="27"/>
  <c r="AC442" i="27"/>
  <c r="AB443" i="27"/>
  <c r="AC443" i="27"/>
  <c r="AB444" i="27"/>
  <c r="AC444" i="27"/>
  <c r="AB445" i="27"/>
  <c r="AC445" i="27"/>
  <c r="AB446" i="27"/>
  <c r="AC446" i="27"/>
  <c r="AB447" i="27"/>
  <c r="AC447" i="27"/>
  <c r="AB448" i="27"/>
  <c r="AC448" i="27"/>
  <c r="AB449" i="27"/>
  <c r="AC449" i="27"/>
  <c r="AB450" i="27"/>
  <c r="AC450" i="27"/>
  <c r="AB451" i="27"/>
  <c r="AC451" i="27"/>
  <c r="AB452" i="27"/>
  <c r="AC452" i="27"/>
  <c r="AB453" i="27"/>
  <c r="AC453" i="27"/>
  <c r="AB454" i="27"/>
  <c r="AC454" i="27"/>
  <c r="AB455" i="27"/>
  <c r="AC455" i="27"/>
  <c r="AB456" i="27"/>
  <c r="AC456" i="27"/>
  <c r="AB457" i="27"/>
  <c r="AC457" i="27"/>
  <c r="AB458" i="27"/>
  <c r="AC458" i="27"/>
  <c r="AB459" i="27"/>
  <c r="AC459" i="27"/>
  <c r="AB460" i="27"/>
  <c r="AC460" i="27"/>
  <c r="AB461" i="27"/>
  <c r="AC461" i="27"/>
  <c r="AB462" i="27"/>
  <c r="AC462" i="27"/>
  <c r="AB463" i="27"/>
  <c r="AC463" i="27"/>
  <c r="AB464" i="27"/>
  <c r="AC464" i="27"/>
  <c r="AB465" i="27"/>
  <c r="AC465" i="27"/>
  <c r="AB466" i="27"/>
  <c r="AC466" i="27"/>
  <c r="AB467" i="27"/>
  <c r="AC467" i="27"/>
  <c r="AB468" i="27"/>
  <c r="AC468" i="27"/>
  <c r="AB469" i="27"/>
  <c r="AC469" i="27"/>
  <c r="AB470" i="27"/>
  <c r="AC470" i="27"/>
  <c r="AB471" i="27"/>
  <c r="AC471" i="27"/>
  <c r="AB472" i="27"/>
  <c r="AC472" i="27"/>
  <c r="AB473" i="27"/>
  <c r="AC473" i="27"/>
  <c r="AB474" i="27"/>
  <c r="AC474" i="27"/>
  <c r="AB475" i="27"/>
  <c r="AC475" i="27"/>
  <c r="AB476" i="27"/>
  <c r="AC476" i="27"/>
  <c r="AB477" i="27"/>
  <c r="AC477" i="27"/>
  <c r="AB478" i="27"/>
  <c r="AC478" i="27"/>
  <c r="AB479" i="27"/>
  <c r="AC479" i="27"/>
  <c r="AB480" i="27"/>
  <c r="AC480" i="27"/>
  <c r="AB481" i="27"/>
  <c r="AC481" i="27"/>
  <c r="AB482" i="27"/>
  <c r="AC482" i="27"/>
  <c r="AB483" i="27"/>
  <c r="AC483" i="27"/>
  <c r="AB484" i="27"/>
  <c r="AC484" i="27"/>
  <c r="AB485" i="27"/>
  <c r="AC485" i="27"/>
  <c r="AB486" i="27"/>
  <c r="AC486" i="27"/>
  <c r="AB487" i="27"/>
  <c r="AC487" i="27"/>
  <c r="AB488" i="27"/>
  <c r="AC488" i="27"/>
  <c r="AB489" i="27"/>
  <c r="AC489" i="27"/>
  <c r="AB490" i="27"/>
  <c r="AC490" i="27"/>
  <c r="AB491" i="27"/>
  <c r="AC491" i="27"/>
  <c r="AB492" i="27"/>
  <c r="AC492" i="27"/>
  <c r="AB493" i="27"/>
  <c r="AC493" i="27"/>
  <c r="AB494" i="27"/>
  <c r="AC494" i="27"/>
  <c r="AB495" i="27"/>
  <c r="AC495" i="27"/>
  <c r="AB496" i="27"/>
  <c r="AC496" i="27"/>
  <c r="AB497" i="27"/>
  <c r="AC497" i="27"/>
  <c r="AB498" i="27"/>
  <c r="AC498" i="27"/>
  <c r="AB499" i="27"/>
  <c r="AC499" i="27"/>
  <c r="AB500" i="27"/>
  <c r="AC500" i="27"/>
  <c r="AB501" i="27"/>
  <c r="AC501" i="27"/>
  <c r="AB502" i="27"/>
  <c r="AC502" i="27"/>
  <c r="AB10" i="27"/>
  <c r="AB11" i="27"/>
  <c r="AB12" i="27"/>
  <c r="AB13" i="27"/>
  <c r="AB14" i="27"/>
  <c r="AB15" i="27"/>
  <c r="AB16" i="27"/>
  <c r="AB17" i="27"/>
  <c r="AB18" i="27"/>
  <c r="AB19" i="27"/>
  <c r="AB20" i="27"/>
  <c r="AB21" i="27"/>
  <c r="AB22" i="27"/>
  <c r="AB23" i="27"/>
  <c r="AB24" i="27"/>
  <c r="AB25" i="27"/>
  <c r="AB26" i="27"/>
  <c r="AB27" i="27"/>
  <c r="AB28" i="27"/>
  <c r="AB29" i="27"/>
  <c r="AC10" i="27"/>
  <c r="AC11" i="27"/>
  <c r="AC12" i="27"/>
  <c r="AC13" i="27"/>
  <c r="AC14" i="27"/>
  <c r="AC15" i="27"/>
  <c r="AC16" i="27"/>
  <c r="AC17" i="27"/>
  <c r="AC18" i="27"/>
  <c r="AC19" i="27"/>
  <c r="AC20" i="27"/>
  <c r="AC21" i="27"/>
  <c r="AC22" i="27"/>
  <c r="AC23" i="27"/>
  <c r="AC24" i="27"/>
  <c r="AC25" i="27"/>
  <c r="AC26" i="27"/>
  <c r="AC27" i="27"/>
  <c r="AC28" i="27"/>
  <c r="AC29" i="27"/>
  <c r="AC9" i="27"/>
  <c r="O333" i="27"/>
  <c r="O326" i="27"/>
  <c r="O199" i="27"/>
  <c r="B10581" i="22" l="1"/>
  <c r="A10582" i="22"/>
  <c r="A10571" i="22"/>
  <c r="B10570" i="22"/>
  <c r="B10551" i="22"/>
  <c r="A10552" i="22"/>
  <c r="A10541" i="22"/>
  <c r="B10272" i="22"/>
  <c r="A10273" i="22"/>
  <c r="BY488" i="6"/>
  <c r="BY487" i="6"/>
  <c r="BY486" i="6"/>
  <c r="BY485" i="6"/>
  <c r="BY484" i="6"/>
  <c r="BY483" i="6"/>
  <c r="BG10" i="6"/>
  <c r="BG11" i="6"/>
  <c r="BG12" i="6"/>
  <c r="BG13" i="6"/>
  <c r="BG14" i="6"/>
  <c r="BG15" i="6"/>
  <c r="BG16" i="6"/>
  <c r="BG17" i="6"/>
  <c r="BG18" i="6"/>
  <c r="BG19" i="6"/>
  <c r="BG20" i="6"/>
  <c r="BG21" i="6"/>
  <c r="BG22" i="6"/>
  <c r="BG23" i="6"/>
  <c r="BG24" i="6"/>
  <c r="BG25" i="6"/>
  <c r="BG26" i="6"/>
  <c r="BG27" i="6"/>
  <c r="BG28" i="6"/>
  <c r="BG29" i="6"/>
  <c r="BG30" i="6"/>
  <c r="BG31" i="6"/>
  <c r="BG32" i="6"/>
  <c r="BG33" i="6"/>
  <c r="BG34" i="6"/>
  <c r="BG35" i="6"/>
  <c r="BG36" i="6"/>
  <c r="BG37" i="6"/>
  <c r="BG38" i="6"/>
  <c r="BG39" i="6"/>
  <c r="BG40" i="6"/>
  <c r="BG41" i="6"/>
  <c r="BG42" i="6"/>
  <c r="BG43" i="6"/>
  <c r="BG44" i="6"/>
  <c r="BG45" i="6"/>
  <c r="BG46" i="6"/>
  <c r="BG47" i="6"/>
  <c r="BG48" i="6"/>
  <c r="BG49" i="6"/>
  <c r="BG50" i="6"/>
  <c r="BG51" i="6"/>
  <c r="BG52" i="6"/>
  <c r="BG53" i="6"/>
  <c r="BG54" i="6"/>
  <c r="BG55" i="6"/>
  <c r="BG56" i="6"/>
  <c r="BG57" i="6"/>
  <c r="BG58" i="6"/>
  <c r="BG59" i="6"/>
  <c r="BG60" i="6"/>
  <c r="BG61" i="6"/>
  <c r="BG62" i="6"/>
  <c r="BG63" i="6"/>
  <c r="BG64" i="6"/>
  <c r="BG65" i="6"/>
  <c r="BG66" i="6"/>
  <c r="BG67" i="6"/>
  <c r="BG68" i="6"/>
  <c r="BG69" i="6"/>
  <c r="BG70" i="6"/>
  <c r="BG71" i="6"/>
  <c r="BG72" i="6"/>
  <c r="BG73" i="6"/>
  <c r="BG74" i="6"/>
  <c r="BG75" i="6"/>
  <c r="BG76" i="6"/>
  <c r="BG77" i="6"/>
  <c r="BG78" i="6"/>
  <c r="BG79" i="6"/>
  <c r="BG80" i="6"/>
  <c r="BG81" i="6"/>
  <c r="BG82" i="6"/>
  <c r="BG83" i="6"/>
  <c r="BG84" i="6"/>
  <c r="BG85" i="6"/>
  <c r="BG86" i="6"/>
  <c r="BG87" i="6"/>
  <c r="BG88" i="6"/>
  <c r="BG89" i="6"/>
  <c r="BG90" i="6"/>
  <c r="BG91" i="6"/>
  <c r="BG92" i="6"/>
  <c r="BG93" i="6"/>
  <c r="BG94" i="6"/>
  <c r="BG95" i="6"/>
  <c r="BG96" i="6"/>
  <c r="BG97" i="6"/>
  <c r="BG98" i="6"/>
  <c r="BG99" i="6"/>
  <c r="BG100" i="6"/>
  <c r="BG101" i="6"/>
  <c r="BG102" i="6"/>
  <c r="BG103" i="6"/>
  <c r="BG104" i="6"/>
  <c r="BG105" i="6"/>
  <c r="BG106" i="6"/>
  <c r="BG107" i="6"/>
  <c r="BG108" i="6"/>
  <c r="BG109" i="6"/>
  <c r="BG110" i="6"/>
  <c r="BG111" i="6"/>
  <c r="BG112" i="6"/>
  <c r="BG113" i="6"/>
  <c r="BG114" i="6"/>
  <c r="BG115" i="6"/>
  <c r="BG116" i="6"/>
  <c r="BG117" i="6"/>
  <c r="BG118" i="6"/>
  <c r="BG119" i="6"/>
  <c r="BG120" i="6"/>
  <c r="BG121" i="6"/>
  <c r="BG122" i="6"/>
  <c r="BG123" i="6"/>
  <c r="BG124" i="6"/>
  <c r="BG125" i="6"/>
  <c r="BG126" i="6"/>
  <c r="BG127" i="6"/>
  <c r="BG128" i="6"/>
  <c r="BG129" i="6"/>
  <c r="BG130" i="6"/>
  <c r="BG131" i="6"/>
  <c r="BG132" i="6"/>
  <c r="BG133" i="6"/>
  <c r="BG134" i="6"/>
  <c r="BG135" i="6"/>
  <c r="BG136" i="6"/>
  <c r="BG137" i="6"/>
  <c r="BG138" i="6"/>
  <c r="BG139" i="6"/>
  <c r="BG140" i="6"/>
  <c r="BG141" i="6"/>
  <c r="BG142" i="6"/>
  <c r="BG143" i="6"/>
  <c r="BG144" i="6"/>
  <c r="BG145" i="6"/>
  <c r="BG146" i="6"/>
  <c r="BG147" i="6"/>
  <c r="BG148" i="6"/>
  <c r="BG149" i="6"/>
  <c r="BG150" i="6"/>
  <c r="BG151" i="6"/>
  <c r="BG152" i="6"/>
  <c r="BG153" i="6"/>
  <c r="BG154" i="6"/>
  <c r="BG155" i="6"/>
  <c r="BG156" i="6"/>
  <c r="BG157" i="6"/>
  <c r="BG158" i="6"/>
  <c r="BG159" i="6"/>
  <c r="BG160" i="6"/>
  <c r="BG161" i="6"/>
  <c r="BG162" i="6"/>
  <c r="BG163" i="6"/>
  <c r="BG164" i="6"/>
  <c r="BG165" i="6"/>
  <c r="BG166" i="6"/>
  <c r="BG167" i="6"/>
  <c r="BG168" i="6"/>
  <c r="BG169" i="6"/>
  <c r="BG170" i="6"/>
  <c r="BG171" i="6"/>
  <c r="BG172" i="6"/>
  <c r="BG173" i="6"/>
  <c r="BG174" i="6"/>
  <c r="BG175" i="6"/>
  <c r="BG176" i="6"/>
  <c r="BG177" i="6"/>
  <c r="BG178" i="6"/>
  <c r="BG179" i="6"/>
  <c r="BG180" i="6"/>
  <c r="BG181" i="6"/>
  <c r="BG182" i="6"/>
  <c r="BG183" i="6"/>
  <c r="BG184" i="6"/>
  <c r="BG185" i="6"/>
  <c r="BG186" i="6"/>
  <c r="BG187" i="6"/>
  <c r="BG188" i="6"/>
  <c r="BG189" i="6"/>
  <c r="BG190" i="6"/>
  <c r="BG191" i="6"/>
  <c r="BG192" i="6"/>
  <c r="BG193" i="6"/>
  <c r="BG194" i="6"/>
  <c r="BG195" i="6"/>
  <c r="BG196" i="6"/>
  <c r="BG197" i="6"/>
  <c r="BG198" i="6"/>
  <c r="BG199" i="6"/>
  <c r="BG200" i="6"/>
  <c r="BG201" i="6"/>
  <c r="BG202" i="6"/>
  <c r="BG203" i="6"/>
  <c r="BG204" i="6"/>
  <c r="BG205" i="6"/>
  <c r="BG206" i="6"/>
  <c r="BG207" i="6"/>
  <c r="BG208" i="6"/>
  <c r="BG209" i="6"/>
  <c r="BG210" i="6"/>
  <c r="BG211" i="6"/>
  <c r="BG212" i="6"/>
  <c r="BG213" i="6"/>
  <c r="BG214" i="6"/>
  <c r="BG215" i="6"/>
  <c r="BG216" i="6"/>
  <c r="BG217" i="6"/>
  <c r="BG218" i="6"/>
  <c r="BG219" i="6"/>
  <c r="BG220" i="6"/>
  <c r="BG221" i="6"/>
  <c r="BG222" i="6"/>
  <c r="BG223" i="6"/>
  <c r="BG224" i="6"/>
  <c r="BG225" i="6"/>
  <c r="BG226" i="6"/>
  <c r="BG227" i="6"/>
  <c r="BG228" i="6"/>
  <c r="BG229" i="6"/>
  <c r="BG230" i="6"/>
  <c r="BG231" i="6"/>
  <c r="BG232" i="6"/>
  <c r="BG233" i="6"/>
  <c r="BG234" i="6"/>
  <c r="BG235" i="6"/>
  <c r="BG236" i="6"/>
  <c r="BG237" i="6"/>
  <c r="BG238" i="6"/>
  <c r="BG239" i="6"/>
  <c r="BG240" i="6"/>
  <c r="BG241" i="6"/>
  <c r="BG242" i="6"/>
  <c r="BG243" i="6"/>
  <c r="BG244" i="6"/>
  <c r="BG245" i="6"/>
  <c r="BG246" i="6"/>
  <c r="BG247" i="6"/>
  <c r="BG248" i="6"/>
  <c r="BG249" i="6"/>
  <c r="BG250" i="6"/>
  <c r="BG251" i="6"/>
  <c r="BG252" i="6"/>
  <c r="BG253" i="6"/>
  <c r="BG254" i="6"/>
  <c r="BG255" i="6"/>
  <c r="BG256" i="6"/>
  <c r="BG257" i="6"/>
  <c r="BG258" i="6"/>
  <c r="BG259" i="6"/>
  <c r="BG260" i="6"/>
  <c r="BG261" i="6"/>
  <c r="BG262" i="6"/>
  <c r="BG263" i="6"/>
  <c r="BG264" i="6"/>
  <c r="BG265" i="6"/>
  <c r="BG266" i="6"/>
  <c r="BG267" i="6"/>
  <c r="BG268" i="6"/>
  <c r="BG269" i="6"/>
  <c r="BG270" i="6"/>
  <c r="BG271" i="6"/>
  <c r="BG272" i="6"/>
  <c r="BG273" i="6"/>
  <c r="BG274" i="6"/>
  <c r="BG275" i="6"/>
  <c r="BG276" i="6"/>
  <c r="BG277" i="6"/>
  <c r="BG278" i="6"/>
  <c r="BG279" i="6"/>
  <c r="BG280" i="6"/>
  <c r="BG281" i="6"/>
  <c r="BG282" i="6"/>
  <c r="BG283" i="6"/>
  <c r="BG284" i="6"/>
  <c r="BG285" i="6"/>
  <c r="BG286" i="6"/>
  <c r="BG287" i="6"/>
  <c r="BG288" i="6"/>
  <c r="BG289" i="6"/>
  <c r="BG290" i="6"/>
  <c r="BG291" i="6"/>
  <c r="BG292" i="6"/>
  <c r="BG293" i="6"/>
  <c r="BG294" i="6"/>
  <c r="BG295" i="6"/>
  <c r="BG296" i="6"/>
  <c r="BG297" i="6"/>
  <c r="BG298" i="6"/>
  <c r="BG299" i="6"/>
  <c r="BG300" i="6"/>
  <c r="BG301" i="6"/>
  <c r="BG302" i="6"/>
  <c r="BG303" i="6"/>
  <c r="BG304" i="6"/>
  <c r="BG305" i="6"/>
  <c r="BG306" i="6"/>
  <c r="BG307" i="6"/>
  <c r="BG308" i="6"/>
  <c r="BG309" i="6"/>
  <c r="BG310" i="6"/>
  <c r="BG311" i="6"/>
  <c r="BG312" i="6"/>
  <c r="BG313" i="6"/>
  <c r="BG314" i="6"/>
  <c r="BG315" i="6"/>
  <c r="BG316" i="6"/>
  <c r="BG317" i="6"/>
  <c r="BG318" i="6"/>
  <c r="BG319" i="6"/>
  <c r="BG320" i="6"/>
  <c r="BG321" i="6"/>
  <c r="BG322" i="6"/>
  <c r="BG323" i="6"/>
  <c r="BG324" i="6"/>
  <c r="BG325" i="6"/>
  <c r="BG326" i="6"/>
  <c r="BG327" i="6"/>
  <c r="BG328" i="6"/>
  <c r="BG329" i="6"/>
  <c r="BG330" i="6"/>
  <c r="BG331" i="6"/>
  <c r="BG332" i="6"/>
  <c r="BG333" i="6"/>
  <c r="BG334" i="6"/>
  <c r="BG335" i="6"/>
  <c r="BG336" i="6"/>
  <c r="BG337" i="6"/>
  <c r="BG338" i="6"/>
  <c r="BG339" i="6"/>
  <c r="BG340" i="6"/>
  <c r="BG341" i="6"/>
  <c r="BG342" i="6"/>
  <c r="BG343" i="6"/>
  <c r="BG344" i="6"/>
  <c r="BG345" i="6"/>
  <c r="BG346" i="6"/>
  <c r="BG347" i="6"/>
  <c r="BG348" i="6"/>
  <c r="BG349" i="6"/>
  <c r="BG350" i="6"/>
  <c r="BG351" i="6"/>
  <c r="BG352" i="6"/>
  <c r="BG353" i="6"/>
  <c r="BG354" i="6"/>
  <c r="BG355" i="6"/>
  <c r="BG356" i="6"/>
  <c r="BG357" i="6"/>
  <c r="BG358" i="6"/>
  <c r="BG359" i="6"/>
  <c r="BG360" i="6"/>
  <c r="BG361" i="6"/>
  <c r="BG362" i="6"/>
  <c r="BG363" i="6"/>
  <c r="BG364" i="6"/>
  <c r="BG365" i="6"/>
  <c r="BG366" i="6"/>
  <c r="BG367" i="6"/>
  <c r="BG368" i="6"/>
  <c r="BG369" i="6"/>
  <c r="BG370" i="6"/>
  <c r="BG371" i="6"/>
  <c r="BG372" i="6"/>
  <c r="BG373" i="6"/>
  <c r="BG374" i="6"/>
  <c r="BG375" i="6"/>
  <c r="BG376" i="6"/>
  <c r="BG377" i="6"/>
  <c r="BG378" i="6"/>
  <c r="BG379" i="6"/>
  <c r="BG380" i="6"/>
  <c r="BG381" i="6"/>
  <c r="BG382" i="6"/>
  <c r="BG383" i="6"/>
  <c r="BG384" i="6"/>
  <c r="BG385" i="6"/>
  <c r="BG386" i="6"/>
  <c r="BG387" i="6"/>
  <c r="BG388" i="6"/>
  <c r="BG389" i="6"/>
  <c r="BG390" i="6"/>
  <c r="BG391" i="6"/>
  <c r="BG392" i="6"/>
  <c r="BG393" i="6"/>
  <c r="BG394" i="6"/>
  <c r="BG395" i="6"/>
  <c r="BG396" i="6"/>
  <c r="BG397" i="6"/>
  <c r="BG398" i="6"/>
  <c r="BG399" i="6"/>
  <c r="BG400" i="6"/>
  <c r="BG401" i="6"/>
  <c r="BG402" i="6"/>
  <c r="BG403" i="6"/>
  <c r="BG404" i="6"/>
  <c r="BG405" i="6"/>
  <c r="BG406" i="6"/>
  <c r="BG407" i="6"/>
  <c r="BG408" i="6"/>
  <c r="BG409" i="6"/>
  <c r="BG410" i="6"/>
  <c r="BG411" i="6"/>
  <c r="BG412" i="6"/>
  <c r="BG413" i="6"/>
  <c r="BG414" i="6"/>
  <c r="BG415" i="6"/>
  <c r="BG416" i="6"/>
  <c r="BG417" i="6"/>
  <c r="BG418" i="6"/>
  <c r="BG419" i="6"/>
  <c r="BG420" i="6"/>
  <c r="BG421" i="6"/>
  <c r="BG422" i="6"/>
  <c r="BG423" i="6"/>
  <c r="BG424" i="6"/>
  <c r="BG425" i="6"/>
  <c r="BG426" i="6"/>
  <c r="BG427" i="6"/>
  <c r="BG428" i="6"/>
  <c r="BG429" i="6"/>
  <c r="BG430" i="6"/>
  <c r="BG431" i="6"/>
  <c r="BG432" i="6"/>
  <c r="BG433" i="6"/>
  <c r="BG434" i="6"/>
  <c r="BG435" i="6"/>
  <c r="BG436" i="6"/>
  <c r="BG437" i="6"/>
  <c r="BG438" i="6"/>
  <c r="BG439" i="6"/>
  <c r="BG440" i="6"/>
  <c r="BG441" i="6"/>
  <c r="BG442" i="6"/>
  <c r="BG443" i="6"/>
  <c r="BG444" i="6"/>
  <c r="BG445" i="6"/>
  <c r="BG446" i="6"/>
  <c r="BG447" i="6"/>
  <c r="BG448" i="6"/>
  <c r="BG449" i="6"/>
  <c r="BG450" i="6"/>
  <c r="BG451" i="6"/>
  <c r="BG452" i="6"/>
  <c r="BG453" i="6"/>
  <c r="BG454" i="6"/>
  <c r="BG455" i="6"/>
  <c r="BG456" i="6"/>
  <c r="BG457" i="6"/>
  <c r="BG458" i="6"/>
  <c r="BG459" i="6"/>
  <c r="BG460" i="6"/>
  <c r="BG461" i="6"/>
  <c r="BG462" i="6"/>
  <c r="BG463" i="6"/>
  <c r="BG464" i="6"/>
  <c r="BG501" i="6"/>
  <c r="BG502" i="6"/>
  <c r="BG503" i="6"/>
  <c r="BG504" i="6"/>
  <c r="BG505" i="6"/>
  <c r="BG506" i="6"/>
  <c r="BG465" i="6"/>
  <c r="BG466" i="6"/>
  <c r="BG467" i="6"/>
  <c r="BG468" i="6"/>
  <c r="BG469" i="6"/>
  <c r="BG470" i="6"/>
  <c r="BG471" i="6"/>
  <c r="BG472" i="6"/>
  <c r="BG473" i="6"/>
  <c r="BG474" i="6"/>
  <c r="BG475" i="6"/>
  <c r="BG476" i="6"/>
  <c r="BG477" i="6"/>
  <c r="BG478" i="6"/>
  <c r="BG479" i="6"/>
  <c r="BG480" i="6"/>
  <c r="BG481" i="6"/>
  <c r="BG482" i="6"/>
  <c r="BG483" i="6"/>
  <c r="BG484" i="6"/>
  <c r="BG485" i="6"/>
  <c r="BG486" i="6"/>
  <c r="BG487" i="6"/>
  <c r="BG488" i="6"/>
  <c r="BG489" i="6"/>
  <c r="BG490" i="6"/>
  <c r="BG491" i="6"/>
  <c r="BG492" i="6"/>
  <c r="BG493" i="6"/>
  <c r="BG494" i="6"/>
  <c r="BG495" i="6"/>
  <c r="BG496" i="6"/>
  <c r="BG497" i="6"/>
  <c r="BG498" i="6"/>
  <c r="BG499" i="6"/>
  <c r="BG500" i="6"/>
  <c r="BG507" i="6"/>
  <c r="BG508" i="6"/>
  <c r="BG509" i="6"/>
  <c r="BG510" i="6"/>
  <c r="BG511" i="6"/>
  <c r="BG512" i="6"/>
  <c r="BG513" i="6"/>
  <c r="BG514" i="6"/>
  <c r="BG515" i="6"/>
  <c r="BG516" i="6"/>
  <c r="BG517" i="6"/>
  <c r="BG518" i="6"/>
  <c r="BG519" i="6"/>
  <c r="BG520" i="6"/>
  <c r="BG521" i="6"/>
  <c r="BG522" i="6"/>
  <c r="BG523" i="6"/>
  <c r="BG524" i="6"/>
  <c r="BG525" i="6"/>
  <c r="BG526" i="6"/>
  <c r="BG527" i="6"/>
  <c r="BG528" i="6"/>
  <c r="BG529" i="6"/>
  <c r="BG530" i="6"/>
  <c r="BG531" i="6"/>
  <c r="BG532" i="6"/>
  <c r="BG533" i="6"/>
  <c r="BG534" i="6"/>
  <c r="BG535" i="6"/>
  <c r="BG536" i="6"/>
  <c r="BG537" i="6"/>
  <c r="BG538" i="6"/>
  <c r="BG539" i="6"/>
  <c r="BG540" i="6"/>
  <c r="BG541" i="6"/>
  <c r="BG542" i="6"/>
  <c r="BG543" i="6"/>
  <c r="BG544" i="6"/>
  <c r="BG545" i="6"/>
  <c r="BG546" i="6"/>
  <c r="BG547" i="6"/>
  <c r="BG548" i="6"/>
  <c r="BG549" i="6"/>
  <c r="BG550" i="6"/>
  <c r="BG551" i="6"/>
  <c r="BG552" i="6"/>
  <c r="BG553" i="6"/>
  <c r="BG554" i="6"/>
  <c r="BG555" i="6"/>
  <c r="BG556" i="6"/>
  <c r="BG557" i="6"/>
  <c r="BG558" i="6"/>
  <c r="BG559" i="6"/>
  <c r="BG560" i="6"/>
  <c r="BG561" i="6"/>
  <c r="BG562" i="6"/>
  <c r="BG563" i="6"/>
  <c r="BG564" i="6"/>
  <c r="BG565" i="6"/>
  <c r="BG566" i="6"/>
  <c r="BG567" i="6"/>
  <c r="BG568" i="6"/>
  <c r="BG569" i="6"/>
  <c r="BG570" i="6"/>
  <c r="BG571" i="6"/>
  <c r="BG572" i="6"/>
  <c r="BG573" i="6"/>
  <c r="BG574" i="6"/>
  <c r="BG575" i="6"/>
  <c r="BG576" i="6"/>
  <c r="BG577" i="6"/>
  <c r="BG578" i="6"/>
  <c r="BG579" i="6"/>
  <c r="BG580" i="6"/>
  <c r="BG581" i="6"/>
  <c r="BG582" i="6"/>
  <c r="BG583" i="6"/>
  <c r="BG584" i="6"/>
  <c r="BG585" i="6"/>
  <c r="BG586" i="6"/>
  <c r="BG587" i="6"/>
  <c r="BG588" i="6"/>
  <c r="BG589" i="6"/>
  <c r="BG590" i="6"/>
  <c r="BG591" i="6"/>
  <c r="BG592" i="6"/>
  <c r="BG593" i="6"/>
  <c r="BG594" i="6"/>
  <c r="BG595" i="6"/>
  <c r="BG596" i="6"/>
  <c r="BG597" i="6"/>
  <c r="BG598" i="6"/>
  <c r="BG599" i="6"/>
  <c r="BG600" i="6"/>
  <c r="BG601" i="6"/>
  <c r="BG602" i="6"/>
  <c r="BG603" i="6"/>
  <c r="BG604" i="6"/>
  <c r="BG605" i="6"/>
  <c r="BG606" i="6"/>
  <c r="BG607" i="6"/>
  <c r="BG608" i="6"/>
  <c r="BG609" i="6"/>
  <c r="BG610" i="6"/>
  <c r="BG611" i="6"/>
  <c r="BG612" i="6"/>
  <c r="BG613" i="6"/>
  <c r="BG614" i="6"/>
  <c r="BG615" i="6"/>
  <c r="BG616" i="6"/>
  <c r="BG617" i="6"/>
  <c r="BG618" i="6"/>
  <c r="BG619" i="6"/>
  <c r="BG620" i="6"/>
  <c r="BG621" i="6"/>
  <c r="BG622" i="6"/>
  <c r="BG623" i="6"/>
  <c r="BG624" i="6"/>
  <c r="BG625" i="6"/>
  <c r="BG626" i="6"/>
  <c r="BG627" i="6"/>
  <c r="BG628" i="6"/>
  <c r="BG629" i="6"/>
  <c r="BG630" i="6"/>
  <c r="BG631" i="6"/>
  <c r="BG632" i="6"/>
  <c r="BG633" i="6"/>
  <c r="BG634" i="6"/>
  <c r="BG635" i="6"/>
  <c r="BG636" i="6"/>
  <c r="BG637" i="6"/>
  <c r="BG638" i="6"/>
  <c r="BG639" i="6"/>
  <c r="BG640" i="6"/>
  <c r="BG641" i="6"/>
  <c r="BG642" i="6"/>
  <c r="BG643" i="6"/>
  <c r="BG644" i="6"/>
  <c r="BG645" i="6"/>
  <c r="BG646" i="6"/>
  <c r="BG647" i="6"/>
  <c r="BG648" i="6"/>
  <c r="BG649" i="6"/>
  <c r="BG650" i="6"/>
  <c r="BG651" i="6"/>
  <c r="BG652" i="6"/>
  <c r="BG653" i="6"/>
  <c r="BG654" i="6"/>
  <c r="BG655" i="6"/>
  <c r="BG656" i="6"/>
  <c r="BG657" i="6"/>
  <c r="BG658" i="6"/>
  <c r="BG659" i="6"/>
  <c r="BG660" i="6"/>
  <c r="BG661" i="6"/>
  <c r="BG662" i="6"/>
  <c r="BG663" i="6"/>
  <c r="BG664" i="6"/>
  <c r="BG665" i="6"/>
  <c r="BG666" i="6"/>
  <c r="BG667" i="6"/>
  <c r="BG668" i="6"/>
  <c r="BG669" i="6"/>
  <c r="BG670" i="6"/>
  <c r="BG671" i="6"/>
  <c r="BG672" i="6"/>
  <c r="BG673" i="6"/>
  <c r="BG674" i="6"/>
  <c r="BG675" i="6"/>
  <c r="BG676" i="6"/>
  <c r="BG677" i="6"/>
  <c r="BG678" i="6"/>
  <c r="BG679" i="6"/>
  <c r="BG680" i="6"/>
  <c r="BG681" i="6"/>
  <c r="BG682" i="6"/>
  <c r="BG683" i="6"/>
  <c r="BG684" i="6"/>
  <c r="BG685" i="6"/>
  <c r="BG686" i="6"/>
  <c r="BG687" i="6"/>
  <c r="BG688" i="6"/>
  <c r="BG689" i="6"/>
  <c r="BG690" i="6"/>
  <c r="BG691" i="6"/>
  <c r="BG692" i="6"/>
  <c r="BG693" i="6"/>
  <c r="BG694" i="6"/>
  <c r="BG695" i="6"/>
  <c r="BG696" i="6"/>
  <c r="BG697" i="6"/>
  <c r="BG698" i="6"/>
  <c r="BG699" i="6"/>
  <c r="BG700" i="6"/>
  <c r="BG701" i="6"/>
  <c r="BG702" i="6"/>
  <c r="BG703" i="6"/>
  <c r="BG704" i="6"/>
  <c r="BG705" i="6"/>
  <c r="BG706" i="6"/>
  <c r="BG707" i="6"/>
  <c r="BG708" i="6"/>
  <c r="BG709" i="6"/>
  <c r="BG710" i="6"/>
  <c r="BG711" i="6"/>
  <c r="BG712" i="6"/>
  <c r="BG713" i="6"/>
  <c r="BG714" i="6"/>
  <c r="BG715" i="6"/>
  <c r="BG716" i="6"/>
  <c r="BG717" i="6"/>
  <c r="BG718" i="6"/>
  <c r="BG719" i="6"/>
  <c r="BG720" i="6"/>
  <c r="BG721" i="6"/>
  <c r="BG722" i="6"/>
  <c r="BG723" i="6"/>
  <c r="BG724" i="6"/>
  <c r="BG725" i="6"/>
  <c r="BG726" i="6"/>
  <c r="BG727" i="6"/>
  <c r="BG728" i="6"/>
  <c r="BG729" i="6"/>
  <c r="BG730" i="6"/>
  <c r="BG731" i="6"/>
  <c r="BG732" i="6"/>
  <c r="BG733" i="6"/>
  <c r="BG734" i="6"/>
  <c r="BG735" i="6"/>
  <c r="BG736" i="6"/>
  <c r="BG737" i="6"/>
  <c r="BG738" i="6"/>
  <c r="BG739" i="6"/>
  <c r="BG740" i="6"/>
  <c r="BG741" i="6"/>
  <c r="BG742" i="6"/>
  <c r="BG743" i="6"/>
  <c r="BG744" i="6"/>
  <c r="BG745" i="6"/>
  <c r="BG746" i="6"/>
  <c r="BG747" i="6"/>
  <c r="BG748" i="6"/>
  <c r="BG749" i="6"/>
  <c r="BG750" i="6"/>
  <c r="BG751" i="6"/>
  <c r="BG752" i="6"/>
  <c r="BG753" i="6"/>
  <c r="BG754" i="6"/>
  <c r="BG755" i="6"/>
  <c r="BG756" i="6"/>
  <c r="BG757" i="6"/>
  <c r="BG758" i="6"/>
  <c r="BG759" i="6"/>
  <c r="BG760" i="6"/>
  <c r="BG761" i="6"/>
  <c r="BG762" i="6"/>
  <c r="BG763" i="6"/>
  <c r="BG764" i="6"/>
  <c r="BG765" i="6"/>
  <c r="BG766" i="6"/>
  <c r="BG767" i="6"/>
  <c r="BG768" i="6"/>
  <c r="BG769" i="6"/>
  <c r="BG770" i="6"/>
  <c r="BG771" i="6"/>
  <c r="BG772" i="6"/>
  <c r="BG773" i="6"/>
  <c r="BG774" i="6"/>
  <c r="BG775" i="6"/>
  <c r="BG776" i="6"/>
  <c r="BG777" i="6"/>
  <c r="BG778" i="6"/>
  <c r="BG779" i="6"/>
  <c r="BG780" i="6"/>
  <c r="BG781" i="6"/>
  <c r="BG782" i="6"/>
  <c r="BG783" i="6"/>
  <c r="BG784" i="6"/>
  <c r="BG785" i="6"/>
  <c r="BG786" i="6"/>
  <c r="BG787" i="6"/>
  <c r="BG788" i="6"/>
  <c r="BG789" i="6"/>
  <c r="BG790" i="6"/>
  <c r="BG791" i="6"/>
  <c r="BG792" i="6"/>
  <c r="BG793" i="6"/>
  <c r="BG794" i="6"/>
  <c r="BG795" i="6"/>
  <c r="BG796" i="6"/>
  <c r="BG797" i="6"/>
  <c r="BG798" i="6"/>
  <c r="BG799" i="6"/>
  <c r="BG800" i="6"/>
  <c r="BG801" i="6"/>
  <c r="BG802" i="6"/>
  <c r="BG803" i="6"/>
  <c r="BG804" i="6"/>
  <c r="BG805" i="6"/>
  <c r="BG806" i="6"/>
  <c r="BG807" i="6"/>
  <c r="BG808" i="6"/>
  <c r="BG809" i="6"/>
  <c r="BG810" i="6"/>
  <c r="BG811" i="6"/>
  <c r="BG812" i="6"/>
  <c r="BG813" i="6"/>
  <c r="BG814" i="6"/>
  <c r="BG815" i="6"/>
  <c r="BG816" i="6"/>
  <c r="BG817" i="6"/>
  <c r="BG818" i="6"/>
  <c r="BG819" i="6"/>
  <c r="BG820" i="6"/>
  <c r="BG821" i="6"/>
  <c r="BG822" i="6"/>
  <c r="BG823" i="6"/>
  <c r="BG824" i="6"/>
  <c r="BG825" i="6"/>
  <c r="BG826" i="6"/>
  <c r="BG827" i="6"/>
  <c r="BG828" i="6"/>
  <c r="BG829" i="6"/>
  <c r="BG830" i="6"/>
  <c r="BG831" i="6"/>
  <c r="BG832" i="6"/>
  <c r="BG833" i="6"/>
  <c r="BG834" i="6"/>
  <c r="BG835" i="6"/>
  <c r="BG836" i="6"/>
  <c r="BG837" i="6"/>
  <c r="BG838" i="6"/>
  <c r="BG839" i="6"/>
  <c r="BG840" i="6"/>
  <c r="BG841" i="6"/>
  <c r="BG842" i="6"/>
  <c r="BG843" i="6"/>
  <c r="BG844" i="6"/>
  <c r="BG845" i="6"/>
  <c r="BG846" i="6"/>
  <c r="BG847" i="6"/>
  <c r="BG848" i="6"/>
  <c r="BG849" i="6"/>
  <c r="BG850" i="6"/>
  <c r="BG851" i="6"/>
  <c r="BG852" i="6"/>
  <c r="BG853" i="6"/>
  <c r="BG854" i="6"/>
  <c r="BG855" i="6"/>
  <c r="BG856" i="6"/>
  <c r="BG857" i="6"/>
  <c r="BG858" i="6"/>
  <c r="BG859" i="6"/>
  <c r="BG860" i="6"/>
  <c r="BG861" i="6"/>
  <c r="BG862" i="6"/>
  <c r="BG863" i="6"/>
  <c r="BG864" i="6"/>
  <c r="BG865" i="6"/>
  <c r="BG866" i="6"/>
  <c r="BG867" i="6"/>
  <c r="BG868" i="6"/>
  <c r="BG869" i="6"/>
  <c r="BG870" i="6"/>
  <c r="BG871" i="6"/>
  <c r="BG872" i="6"/>
  <c r="BG873" i="6"/>
  <c r="BG874" i="6"/>
  <c r="BG875" i="6"/>
  <c r="BG876" i="6"/>
  <c r="BG877" i="6"/>
  <c r="BG878" i="6"/>
  <c r="BG879" i="6"/>
  <c r="BG880" i="6"/>
  <c r="BG881" i="6"/>
  <c r="BG882" i="6"/>
  <c r="BG883" i="6"/>
  <c r="BG884" i="6"/>
  <c r="BG885" i="6"/>
  <c r="BG886" i="6"/>
  <c r="BG887" i="6"/>
  <c r="BG888" i="6"/>
  <c r="BG889" i="6"/>
  <c r="BG890" i="6"/>
  <c r="BG891" i="6"/>
  <c r="BG892" i="6"/>
  <c r="BG893" i="6"/>
  <c r="BG894" i="6"/>
  <c r="BG895" i="6"/>
  <c r="BG896" i="6"/>
  <c r="BG897" i="6"/>
  <c r="BG898" i="6"/>
  <c r="BG899" i="6"/>
  <c r="BG900" i="6"/>
  <c r="BG901" i="6"/>
  <c r="BG902" i="6"/>
  <c r="BG903" i="6"/>
  <c r="BG904" i="6"/>
  <c r="BG905" i="6"/>
  <c r="BG906" i="6"/>
  <c r="BG907" i="6"/>
  <c r="BG908" i="6"/>
  <c r="BG909" i="6"/>
  <c r="BG910" i="6"/>
  <c r="BG911" i="6"/>
  <c r="BG912" i="6"/>
  <c r="BG913" i="6"/>
  <c r="BG914" i="6"/>
  <c r="BG915" i="6"/>
  <c r="BG916" i="6"/>
  <c r="BG917" i="6"/>
  <c r="BG918" i="6"/>
  <c r="BG919" i="6"/>
  <c r="BG920" i="6"/>
  <c r="BG921" i="6"/>
  <c r="BG922" i="6"/>
  <c r="BG923" i="6"/>
  <c r="BG924" i="6"/>
  <c r="BG925" i="6"/>
  <c r="BG926" i="6"/>
  <c r="BG927" i="6"/>
  <c r="BG928" i="6"/>
  <c r="BG929" i="6"/>
  <c r="BG930" i="6"/>
  <c r="BG931" i="6"/>
  <c r="BG932" i="6"/>
  <c r="BG933" i="6"/>
  <c r="BG934" i="6"/>
  <c r="BG935" i="6"/>
  <c r="BG936" i="6"/>
  <c r="BG937" i="6"/>
  <c r="BG938" i="6"/>
  <c r="BG939" i="6"/>
  <c r="BG940" i="6"/>
  <c r="BG941" i="6"/>
  <c r="BG942" i="6"/>
  <c r="BG943" i="6"/>
  <c r="BG944" i="6"/>
  <c r="BG945" i="6"/>
  <c r="BG946" i="6"/>
  <c r="BG947" i="6"/>
  <c r="BG948" i="6"/>
  <c r="BG949" i="6"/>
  <c r="BG950" i="6"/>
  <c r="BG951" i="6"/>
  <c r="BG952" i="6"/>
  <c r="BG953" i="6"/>
  <c r="BG954" i="6"/>
  <c r="BG955" i="6"/>
  <c r="BG956" i="6"/>
  <c r="BG957" i="6"/>
  <c r="BG958" i="6"/>
  <c r="BG959" i="6"/>
  <c r="BG960" i="6"/>
  <c r="BG961" i="6"/>
  <c r="BG962" i="6"/>
  <c r="BG963" i="6"/>
  <c r="BG964" i="6"/>
  <c r="BG965" i="6"/>
  <c r="BG966" i="6"/>
  <c r="BG967" i="6"/>
  <c r="BG968" i="6"/>
  <c r="BG969" i="6"/>
  <c r="BG970" i="6"/>
  <c r="BG971" i="6"/>
  <c r="BG972" i="6"/>
  <c r="BG973" i="6"/>
  <c r="BG974" i="6"/>
  <c r="BG975" i="6"/>
  <c r="BG976" i="6"/>
  <c r="BG977" i="6"/>
  <c r="BG978" i="6"/>
  <c r="BG979" i="6"/>
  <c r="BG980" i="6"/>
  <c r="BG981" i="6"/>
  <c r="BG982" i="6"/>
  <c r="BG983" i="6"/>
  <c r="BG984" i="6"/>
  <c r="BG985" i="6"/>
  <c r="BG986" i="6"/>
  <c r="BG987" i="6"/>
  <c r="BG988" i="6"/>
  <c r="BG989" i="6"/>
  <c r="BG990" i="6"/>
  <c r="BG991" i="6"/>
  <c r="BG992" i="6"/>
  <c r="BG993" i="6"/>
  <c r="BG994" i="6"/>
  <c r="BG995" i="6"/>
  <c r="BG996" i="6"/>
  <c r="BG997" i="6"/>
  <c r="BG998" i="6"/>
  <c r="BG999" i="6"/>
  <c r="BG1000" i="6"/>
  <c r="BG1001" i="6"/>
  <c r="BG1002" i="6"/>
  <c r="BG1003" i="6"/>
  <c r="BG1004" i="6"/>
  <c r="BG1005" i="6"/>
  <c r="BG1006" i="6"/>
  <c r="BG1007" i="6"/>
  <c r="BG1008" i="6"/>
  <c r="BG1009" i="6"/>
  <c r="BG1010" i="6"/>
  <c r="BG1011" i="6"/>
  <c r="BG1012" i="6"/>
  <c r="BG1013" i="6"/>
  <c r="BG1014" i="6"/>
  <c r="BG1015" i="6"/>
  <c r="BG1016" i="6"/>
  <c r="BG1017" i="6"/>
  <c r="BG1018" i="6"/>
  <c r="BG1019" i="6"/>
  <c r="BG1020" i="6"/>
  <c r="BG1021" i="6"/>
  <c r="BG1022" i="6"/>
  <c r="BG1023" i="6"/>
  <c r="BG1024" i="6"/>
  <c r="BG1025" i="6"/>
  <c r="BG1026" i="6"/>
  <c r="BG1027" i="6"/>
  <c r="BG1028" i="6"/>
  <c r="BG1029" i="6"/>
  <c r="BG1030" i="6"/>
  <c r="BG1031" i="6"/>
  <c r="BG1032" i="6"/>
  <c r="BG1033" i="6"/>
  <c r="BG1034" i="6"/>
  <c r="BG1035" i="6"/>
  <c r="BG1036" i="6"/>
  <c r="BG1037" i="6"/>
  <c r="BG1038" i="6"/>
  <c r="BG1039" i="6"/>
  <c r="BG1040" i="6"/>
  <c r="BG1041" i="6"/>
  <c r="BG1042" i="6"/>
  <c r="BG1043" i="6"/>
  <c r="BG1044" i="6"/>
  <c r="BG1045" i="6"/>
  <c r="BG1046" i="6"/>
  <c r="BG1047" i="6"/>
  <c r="BG1048" i="6"/>
  <c r="BG1049" i="6"/>
  <c r="BG1050" i="6"/>
  <c r="BG1051" i="6"/>
  <c r="BG1052" i="6"/>
  <c r="BG1053" i="6"/>
  <c r="BG1054" i="6"/>
  <c r="BG1055" i="6"/>
  <c r="BG1056" i="6"/>
  <c r="BG1057" i="6"/>
  <c r="BG1058" i="6"/>
  <c r="BG1059" i="6"/>
  <c r="BG1060" i="6"/>
  <c r="BG1061" i="6"/>
  <c r="BG1062" i="6"/>
  <c r="BG1063" i="6"/>
  <c r="BG1064" i="6"/>
  <c r="BG1065" i="6"/>
  <c r="BG1066" i="6"/>
  <c r="BG1067" i="6"/>
  <c r="BG1068" i="6"/>
  <c r="BG1069" i="6"/>
  <c r="BG1070" i="6"/>
  <c r="BG1071" i="6"/>
  <c r="BG1072" i="6"/>
  <c r="BG1073" i="6"/>
  <c r="BG1074" i="6"/>
  <c r="BG1075" i="6"/>
  <c r="BG1076" i="6"/>
  <c r="BG1077" i="6"/>
  <c r="BG1078" i="6"/>
  <c r="BG1079" i="6"/>
  <c r="BG1080" i="6"/>
  <c r="BG1081" i="6"/>
  <c r="BG1082" i="6"/>
  <c r="BG1083" i="6"/>
  <c r="BG1084" i="6"/>
  <c r="BG1085" i="6"/>
  <c r="BG1086" i="6"/>
  <c r="BG1087" i="6"/>
  <c r="BG1088" i="6"/>
  <c r="BG1089" i="6"/>
  <c r="BG1090" i="6"/>
  <c r="BG1091" i="6"/>
  <c r="BG1092" i="6"/>
  <c r="BG1093" i="6"/>
  <c r="BG1094" i="6"/>
  <c r="BG1095" i="6"/>
  <c r="BG1096" i="6"/>
  <c r="BG1097" i="6"/>
  <c r="BG1098" i="6"/>
  <c r="BG1099" i="6"/>
  <c r="BG1100" i="6"/>
  <c r="BG1101" i="6"/>
  <c r="BG1102" i="6"/>
  <c r="BG1103" i="6"/>
  <c r="BG1104" i="6"/>
  <c r="BG1105" i="6"/>
  <c r="BG1106" i="6"/>
  <c r="BG1107" i="6"/>
  <c r="BG1108" i="6"/>
  <c r="BG1109" i="6"/>
  <c r="BG1110" i="6"/>
  <c r="BG1111" i="6"/>
  <c r="BG1112" i="6"/>
  <c r="BG1113" i="6"/>
  <c r="BG1114" i="6"/>
  <c r="BG1115" i="6"/>
  <c r="BG1116" i="6"/>
  <c r="BG1117" i="6"/>
  <c r="BG1118" i="6"/>
  <c r="BG1119" i="6"/>
  <c r="BG1120" i="6"/>
  <c r="BG1121" i="6"/>
  <c r="BG1122" i="6"/>
  <c r="BG1123" i="6"/>
  <c r="BG1124" i="6"/>
  <c r="BG1125" i="6"/>
  <c r="BG1126" i="6"/>
  <c r="BG1127" i="6"/>
  <c r="BG1128" i="6"/>
  <c r="BG1129" i="6"/>
  <c r="BG1130" i="6"/>
  <c r="BG1131" i="6"/>
  <c r="BG1132" i="6"/>
  <c r="BG1133" i="6"/>
  <c r="BG1134" i="6"/>
  <c r="BG1135" i="6"/>
  <c r="BG1136" i="6"/>
  <c r="BG1137" i="6"/>
  <c r="BG1138" i="6"/>
  <c r="BG1139" i="6"/>
  <c r="BG1140" i="6"/>
  <c r="BG1141" i="6"/>
  <c r="BG1142" i="6"/>
  <c r="BG1143" i="6"/>
  <c r="BG1144" i="6"/>
  <c r="BG1145" i="6"/>
  <c r="BG1146" i="6"/>
  <c r="BG1147" i="6"/>
  <c r="BG1148" i="6"/>
  <c r="BG1171" i="6"/>
  <c r="BG1170" i="6"/>
  <c r="BG1168" i="6"/>
  <c r="BG1169" i="6"/>
  <c r="BG1167" i="6"/>
  <c r="BG1172" i="6"/>
  <c r="BG1165" i="6"/>
  <c r="BG1164" i="6"/>
  <c r="BG1162" i="6"/>
  <c r="BG1163" i="6"/>
  <c r="BG1161" i="6"/>
  <c r="BG1166" i="6"/>
  <c r="BG1159" i="6"/>
  <c r="BG1158" i="6"/>
  <c r="BG1156" i="6"/>
  <c r="BG1157" i="6"/>
  <c r="BG1155" i="6"/>
  <c r="BG1160" i="6"/>
  <c r="BG1153" i="6"/>
  <c r="BG1152" i="6"/>
  <c r="BG1150" i="6"/>
  <c r="BG1151" i="6"/>
  <c r="BG1149" i="6"/>
  <c r="BG1154" i="6"/>
  <c r="BG1173" i="6"/>
  <c r="BG1174" i="6"/>
  <c r="BG1175" i="6"/>
  <c r="BG1176" i="6"/>
  <c r="BG1177" i="6"/>
  <c r="BG1178" i="6"/>
  <c r="BG1179" i="6"/>
  <c r="BG1180" i="6"/>
  <c r="BG1181" i="6"/>
  <c r="BG1182" i="6"/>
  <c r="BG1183" i="6"/>
  <c r="BG1184" i="6"/>
  <c r="BG1185" i="6"/>
  <c r="BG1186" i="6"/>
  <c r="BG1187" i="6"/>
  <c r="BG1188" i="6"/>
  <c r="BG1189" i="6"/>
  <c r="BG1190" i="6"/>
  <c r="BG1191" i="6"/>
  <c r="BG1192" i="6"/>
  <c r="BG1193" i="6"/>
  <c r="BG1194" i="6"/>
  <c r="BG1195" i="6"/>
  <c r="BG1196" i="6"/>
  <c r="BG1197" i="6"/>
  <c r="BG1198" i="6"/>
  <c r="BG1199" i="6"/>
  <c r="BG1200" i="6"/>
  <c r="BG1201" i="6"/>
  <c r="BG1202" i="6"/>
  <c r="BG1203" i="6"/>
  <c r="BG1204" i="6"/>
  <c r="BG1205" i="6"/>
  <c r="BG1206" i="6"/>
  <c r="BG1207" i="6"/>
  <c r="BG1208" i="6"/>
  <c r="BG1209" i="6"/>
  <c r="BG1210" i="6"/>
  <c r="BG1211" i="6"/>
  <c r="BG1212" i="6"/>
  <c r="BG1213" i="6"/>
  <c r="BG1214" i="6"/>
  <c r="BG1215" i="6"/>
  <c r="BG1216" i="6"/>
  <c r="BG1217" i="6"/>
  <c r="BG1218" i="6"/>
  <c r="BG1219" i="6"/>
  <c r="BG1220" i="6"/>
  <c r="BG1221" i="6"/>
  <c r="BG1222" i="6"/>
  <c r="BG1223" i="6"/>
  <c r="BG1224" i="6"/>
  <c r="BG1225" i="6"/>
  <c r="BG1226" i="6"/>
  <c r="BG1227" i="6"/>
  <c r="BG1228" i="6"/>
  <c r="BG1229" i="6"/>
  <c r="BG1230" i="6"/>
  <c r="BG1231" i="6"/>
  <c r="BG1232" i="6"/>
  <c r="BG1233" i="6"/>
  <c r="BG1234" i="6"/>
  <c r="BG1235" i="6"/>
  <c r="BG1236" i="6"/>
  <c r="BG1237" i="6"/>
  <c r="BG1238" i="6"/>
  <c r="BG1239" i="6"/>
  <c r="BG1240" i="6"/>
  <c r="BG1241" i="6"/>
  <c r="BG1242" i="6"/>
  <c r="BG1243" i="6"/>
  <c r="BG1244" i="6"/>
  <c r="BG1245" i="6"/>
  <c r="BG1246" i="6"/>
  <c r="BG1247" i="6"/>
  <c r="BG1248" i="6"/>
  <c r="BG1249" i="6"/>
  <c r="BG1250" i="6"/>
  <c r="BG1251" i="6"/>
  <c r="BG1252" i="6"/>
  <c r="BG1253" i="6"/>
  <c r="BG1254" i="6"/>
  <c r="BG1255" i="6"/>
  <c r="BG1256" i="6"/>
  <c r="BG1257" i="6"/>
  <c r="BG1258" i="6"/>
  <c r="BG1259" i="6"/>
  <c r="BG1260" i="6"/>
  <c r="BG1261" i="6"/>
  <c r="BG1262" i="6"/>
  <c r="BG1263" i="6"/>
  <c r="BG1264" i="6"/>
  <c r="BG1265" i="6"/>
  <c r="BG1266" i="6"/>
  <c r="BG1267" i="6"/>
  <c r="BG1268" i="6"/>
  <c r="BG9" i="6"/>
  <c r="BF531" i="6"/>
  <c r="B10582" i="22" l="1"/>
  <c r="A10583" i="22"/>
  <c r="B10571" i="22"/>
  <c r="A10572" i="22"/>
  <c r="B10552" i="22"/>
  <c r="A10553" i="22"/>
  <c r="B10541" i="22"/>
  <c r="A10542" i="22"/>
  <c r="B10273" i="22"/>
  <c r="A10274" i="22"/>
  <c r="A10584" i="22" l="1"/>
  <c r="B10583" i="22"/>
  <c r="B10572" i="22"/>
  <c r="A10573" i="22"/>
  <c r="A10554" i="22"/>
  <c r="B10553" i="22"/>
  <c r="A10543" i="22"/>
  <c r="B10542" i="22"/>
  <c r="A10275" i="22"/>
  <c r="B10274" i="22"/>
  <c r="B10584" i="22" l="1"/>
  <c r="A10585" i="22"/>
  <c r="B10573" i="22"/>
  <c r="A10574" i="22"/>
  <c r="B10554" i="22"/>
  <c r="A10555" i="22"/>
  <c r="B10543" i="22"/>
  <c r="A10544" i="22"/>
  <c r="B10275" i="22"/>
  <c r="A10276" i="22"/>
  <c r="CE501" i="6"/>
  <c r="CE502" i="6"/>
  <c r="CE503" i="6"/>
  <c r="CE504" i="6"/>
  <c r="CE505" i="6"/>
  <c r="CE506" i="6"/>
  <c r="BY501" i="6"/>
  <c r="BY502" i="6"/>
  <c r="BY503" i="6"/>
  <c r="BY504" i="6"/>
  <c r="BY505" i="6"/>
  <c r="BY506" i="6"/>
  <c r="BQ501" i="6"/>
  <c r="BR501" i="6"/>
  <c r="BS501" i="6"/>
  <c r="BU501" i="6"/>
  <c r="BV501" i="6"/>
  <c r="BW501" i="6"/>
  <c r="BX501" i="6"/>
  <c r="BQ502" i="6"/>
  <c r="BR502" i="6"/>
  <c r="BS502" i="6"/>
  <c r="BU502" i="6"/>
  <c r="BV502" i="6"/>
  <c r="BW502" i="6"/>
  <c r="BQ503" i="6"/>
  <c r="BR503" i="6"/>
  <c r="BS503" i="6"/>
  <c r="BU503" i="6"/>
  <c r="BV503" i="6"/>
  <c r="BW503" i="6"/>
  <c r="BX503" i="6"/>
  <c r="BQ504" i="6"/>
  <c r="BR504" i="6"/>
  <c r="BS504" i="6"/>
  <c r="BU504" i="6"/>
  <c r="BV504" i="6"/>
  <c r="BW504" i="6"/>
  <c r="BX504" i="6"/>
  <c r="BQ505" i="6"/>
  <c r="BR505" i="6"/>
  <c r="BS505" i="6"/>
  <c r="BU505" i="6"/>
  <c r="BV505" i="6"/>
  <c r="BW505" i="6"/>
  <c r="BX505" i="6"/>
  <c r="BQ506" i="6"/>
  <c r="BR506" i="6"/>
  <c r="BS506" i="6"/>
  <c r="BU506" i="6"/>
  <c r="BV506" i="6"/>
  <c r="BW506" i="6"/>
  <c r="BX506" i="6"/>
  <c r="BJ501" i="6"/>
  <c r="BK501" i="6"/>
  <c r="BD501" i="6" s="1"/>
  <c r="BL501" i="6"/>
  <c r="BE501" i="6" s="1"/>
  <c r="BJ502" i="6"/>
  <c r="BJ503" i="6"/>
  <c r="BK503" i="6"/>
  <c r="BD503" i="6" s="1"/>
  <c r="BL503" i="6"/>
  <c r="BE503" i="6" s="1"/>
  <c r="BJ504" i="6"/>
  <c r="BK504" i="6"/>
  <c r="BD504" i="6" s="1"/>
  <c r="BL504" i="6"/>
  <c r="BE504" i="6" s="1"/>
  <c r="BJ505" i="6"/>
  <c r="BK505" i="6"/>
  <c r="BD505" i="6" s="1"/>
  <c r="BL505" i="6"/>
  <c r="BE505" i="6" s="1"/>
  <c r="BJ506" i="6"/>
  <c r="BK506" i="6"/>
  <c r="BD506" i="6" s="1"/>
  <c r="BL506" i="6"/>
  <c r="BE506" i="6" s="1"/>
  <c r="BF501" i="6"/>
  <c r="BF502" i="6"/>
  <c r="BF503" i="6"/>
  <c r="BF504" i="6"/>
  <c r="BF505" i="6"/>
  <c r="BF506" i="6"/>
  <c r="AZ501" i="6"/>
  <c r="AZ502" i="6"/>
  <c r="AZ503" i="6"/>
  <c r="AZ504" i="6"/>
  <c r="AZ505" i="6"/>
  <c r="AZ506" i="6"/>
  <c r="BX502" i="6"/>
  <c r="BC502" i="6" l="1"/>
  <c r="A10586" i="22"/>
  <c r="B10585" i="22"/>
  <c r="A10575" i="22"/>
  <c r="B10574" i="22"/>
  <c r="B10555" i="22"/>
  <c r="A10556" i="22"/>
  <c r="B10544" i="22"/>
  <c r="A10545" i="22"/>
  <c r="B10276" i="22"/>
  <c r="A10277" i="22"/>
  <c r="BL502" i="6"/>
  <c r="BE502" i="6" s="1"/>
  <c r="BK502" i="6"/>
  <c r="BD502" i="6" s="1"/>
  <c r="BC506" i="6"/>
  <c r="BC501" i="6"/>
  <c r="BC505" i="6"/>
  <c r="BC504" i="6"/>
  <c r="BC503" i="6"/>
  <c r="A10587" i="22" l="1"/>
  <c r="B10586" i="22"/>
  <c r="B10575" i="22"/>
  <c r="A10576" i="22"/>
  <c r="B10556" i="22"/>
  <c r="A10557" i="22"/>
  <c r="B10545" i="22"/>
  <c r="A10546" i="22"/>
  <c r="B10277" i="22"/>
  <c r="A10278" i="22"/>
  <c r="Q26" i="27"/>
  <c r="R26" i="27"/>
  <c r="S26" i="27"/>
  <c r="T26" i="27"/>
  <c r="U26" i="27"/>
  <c r="V26" i="27"/>
  <c r="W26" i="27"/>
  <c r="X26" i="27"/>
  <c r="P26" i="27"/>
  <c r="Q125" i="27"/>
  <c r="R125" i="27"/>
  <c r="S125" i="27"/>
  <c r="T125" i="27"/>
  <c r="U125" i="27"/>
  <c r="V125" i="27"/>
  <c r="W125" i="27"/>
  <c r="X125" i="27"/>
  <c r="P125" i="27"/>
  <c r="Q254" i="27"/>
  <c r="R254" i="27"/>
  <c r="S254" i="27"/>
  <c r="T254" i="27"/>
  <c r="U254" i="27"/>
  <c r="V254" i="27"/>
  <c r="W254" i="27"/>
  <c r="X254" i="27"/>
  <c r="P254" i="27"/>
  <c r="Q373" i="27"/>
  <c r="R373" i="27"/>
  <c r="S373" i="27"/>
  <c r="T373" i="27"/>
  <c r="U373" i="27"/>
  <c r="V373" i="27"/>
  <c r="W373" i="27"/>
  <c r="X373" i="27"/>
  <c r="P373" i="27"/>
  <c r="Q438" i="27"/>
  <c r="R438" i="27"/>
  <c r="S438" i="27"/>
  <c r="T438" i="27"/>
  <c r="U438" i="27"/>
  <c r="V438" i="27"/>
  <c r="W438" i="27"/>
  <c r="X438" i="27"/>
  <c r="P438" i="27"/>
  <c r="A10588" i="22" l="1"/>
  <c r="B10587" i="22"/>
  <c r="B10576" i="22"/>
  <c r="A10577" i="22"/>
  <c r="A10558" i="22"/>
  <c r="B10557" i="22"/>
  <c r="A10547" i="22"/>
  <c r="B10546" i="22"/>
  <c r="A10279" i="22"/>
  <c r="B10278" i="22"/>
  <c r="B28" i="32"/>
  <c r="C28" i="32"/>
  <c r="E28" i="32"/>
  <c r="F28" i="32"/>
  <c r="H28" i="32"/>
  <c r="I28" i="32"/>
  <c r="J28" i="32"/>
  <c r="L28" i="32"/>
  <c r="M28" i="32"/>
  <c r="N28" i="32"/>
  <c r="O28" i="32"/>
  <c r="P28" i="32"/>
  <c r="Q28" i="32"/>
  <c r="R28" i="32"/>
  <c r="T28" i="32"/>
  <c r="U28" i="32"/>
  <c r="V28" i="32"/>
  <c r="B10588" i="22" l="1"/>
  <c r="A10589" i="22"/>
  <c r="B10577" i="22"/>
  <c r="A10578" i="22"/>
  <c r="B10558" i="22"/>
  <c r="A10559" i="22"/>
  <c r="B10547" i="22"/>
  <c r="A10548" i="22"/>
  <c r="B10279" i="22"/>
  <c r="A10280" i="22"/>
  <c r="C22" i="31"/>
  <c r="C23" i="31"/>
  <c r="C24" i="31"/>
  <c r="C25" i="31"/>
  <c r="C26" i="31"/>
  <c r="C21" i="31"/>
  <c r="A10590" i="22" l="1"/>
  <c r="B10589" i="22"/>
  <c r="A10579" i="22"/>
  <c r="B10579" i="22" s="1"/>
  <c r="B10578" i="22"/>
  <c r="B10559" i="22"/>
  <c r="A10560" i="22"/>
  <c r="B10548" i="22"/>
  <c r="A10549" i="22"/>
  <c r="B10549" i="22" s="1"/>
  <c r="B10280" i="22"/>
  <c r="A10281" i="22"/>
  <c r="CE633" i="6"/>
  <c r="CE634" i="6"/>
  <c r="CE635" i="6"/>
  <c r="CE636" i="6"/>
  <c r="CE637" i="6"/>
  <c r="CE638" i="6"/>
  <c r="A10591" i="22" l="1"/>
  <c r="B10590" i="22"/>
  <c r="B10560" i="22"/>
  <c r="A10561" i="22"/>
  <c r="B10281" i="22"/>
  <c r="A10282" i="22"/>
  <c r="BV1162" i="6"/>
  <c r="A10592" i="22" l="1"/>
  <c r="B10591" i="22"/>
  <c r="A10562" i="22"/>
  <c r="B10561" i="22"/>
  <c r="A10283" i="22"/>
  <c r="B10282" i="22"/>
  <c r="BK926" i="6"/>
  <c r="B10592" i="22" l="1"/>
  <c r="A10593" i="22"/>
  <c r="B10562" i="22"/>
  <c r="A10563" i="22"/>
  <c r="B10283" i="22"/>
  <c r="A10284" i="22"/>
  <c r="O332" i="27"/>
  <c r="O265" i="27"/>
  <c r="O262" i="27"/>
  <c r="O241" i="27"/>
  <c r="O139" i="27"/>
  <c r="O135" i="27"/>
  <c r="B10593" i="22" l="1"/>
  <c r="A10594" i="22"/>
  <c r="B10594" i="22" s="1"/>
  <c r="B10563" i="22"/>
  <c r="A10564" i="22"/>
  <c r="B10284" i="22"/>
  <c r="A10285" i="22"/>
  <c r="O34" i="27"/>
  <c r="A10565" i="22" l="1"/>
  <c r="B10564" i="22"/>
  <c r="B10285" i="22"/>
  <c r="A10286" i="22"/>
  <c r="AZ412" i="6"/>
  <c r="AZ413" i="6"/>
  <c r="AZ414" i="6"/>
  <c r="AZ415" i="6"/>
  <c r="AZ416" i="6"/>
  <c r="AZ273" i="6"/>
  <c r="AZ274" i="6"/>
  <c r="AZ275" i="6"/>
  <c r="AZ276" i="6"/>
  <c r="AZ277" i="6"/>
  <c r="AZ278" i="6"/>
  <c r="AZ213" i="6"/>
  <c r="AZ214" i="6"/>
  <c r="AZ215" i="6"/>
  <c r="AZ216" i="6"/>
  <c r="AZ217" i="6"/>
  <c r="AZ218" i="6"/>
  <c r="AZ531" i="6"/>
  <c r="AZ532" i="6"/>
  <c r="AZ533" i="6"/>
  <c r="AZ534" i="6"/>
  <c r="AZ535" i="6"/>
  <c r="AZ536" i="6"/>
  <c r="AZ621" i="6"/>
  <c r="AZ622" i="6"/>
  <c r="AZ623" i="6"/>
  <c r="AZ624" i="6"/>
  <c r="AZ625" i="6"/>
  <c r="AZ626" i="6"/>
  <c r="AZ417" i="6"/>
  <c r="AZ418" i="6"/>
  <c r="AZ419" i="6"/>
  <c r="AZ420" i="6"/>
  <c r="AZ421" i="6"/>
  <c r="AZ422" i="6"/>
  <c r="AZ633" i="6"/>
  <c r="AZ634" i="6"/>
  <c r="AZ635" i="6"/>
  <c r="AZ636" i="6"/>
  <c r="AZ637" i="6"/>
  <c r="AZ638" i="6"/>
  <c r="AZ639" i="6"/>
  <c r="AZ640" i="6"/>
  <c r="AZ641" i="6"/>
  <c r="AZ642" i="6"/>
  <c r="AZ643" i="6"/>
  <c r="AZ644" i="6"/>
  <c r="AZ645" i="6"/>
  <c r="AZ646" i="6"/>
  <c r="AZ647" i="6"/>
  <c r="AZ648" i="6"/>
  <c r="AZ649" i="6"/>
  <c r="AZ650" i="6"/>
  <c r="AZ801" i="6"/>
  <c r="AZ802" i="6"/>
  <c r="AZ803" i="6"/>
  <c r="AZ804" i="6"/>
  <c r="AZ805" i="6"/>
  <c r="AZ806" i="6"/>
  <c r="AZ1017" i="6"/>
  <c r="AZ1018" i="6"/>
  <c r="AZ1019" i="6"/>
  <c r="AZ1020" i="6"/>
  <c r="AZ1021" i="6"/>
  <c r="AZ1022" i="6"/>
  <c r="AZ1023" i="6"/>
  <c r="AZ1024" i="6"/>
  <c r="AZ1025" i="6"/>
  <c r="AZ1026" i="6"/>
  <c r="AZ1027" i="6"/>
  <c r="AZ1028" i="6"/>
  <c r="AZ1029" i="6"/>
  <c r="AZ1030" i="6"/>
  <c r="AZ1031" i="6"/>
  <c r="AZ1032" i="6"/>
  <c r="AZ1033" i="6"/>
  <c r="AZ1034" i="6"/>
  <c r="AZ1035" i="6"/>
  <c r="AZ1036" i="6"/>
  <c r="AZ1037" i="6"/>
  <c r="AZ1038" i="6"/>
  <c r="AZ1039" i="6"/>
  <c r="AZ1040" i="6"/>
  <c r="AZ1041" i="6"/>
  <c r="AZ1042" i="6"/>
  <c r="AZ1043" i="6"/>
  <c r="AZ1044" i="6"/>
  <c r="AZ1045" i="6"/>
  <c r="AZ1046" i="6"/>
  <c r="AZ1153" i="6"/>
  <c r="AZ1159" i="6"/>
  <c r="AZ1165" i="6"/>
  <c r="AZ1171" i="6"/>
  <c r="AZ1183" i="6"/>
  <c r="AZ1154" i="6"/>
  <c r="AZ1195" i="6"/>
  <c r="AZ1213" i="6"/>
  <c r="AZ1152" i="6"/>
  <c r="AZ1158" i="6"/>
  <c r="AZ1164" i="6"/>
  <c r="AZ1160" i="6"/>
  <c r="AZ1170" i="6"/>
  <c r="AZ1182" i="6"/>
  <c r="AZ1194" i="6"/>
  <c r="AZ1212" i="6"/>
  <c r="AZ1150" i="6"/>
  <c r="AZ1166" i="6"/>
  <c r="AZ1156" i="6"/>
  <c r="AZ1162" i="6"/>
  <c r="AZ1168" i="6"/>
  <c r="AZ1180" i="6"/>
  <c r="AZ1192" i="6"/>
  <c r="AZ1172" i="6"/>
  <c r="AZ1173" i="6"/>
  <c r="AZ1174" i="6"/>
  <c r="AZ1175" i="6"/>
  <c r="AZ1176" i="6"/>
  <c r="AZ1177" i="6"/>
  <c r="AZ1178" i="6"/>
  <c r="AZ1210" i="6"/>
  <c r="AZ1151" i="6"/>
  <c r="AZ1157" i="6"/>
  <c r="AZ1163" i="6"/>
  <c r="AZ1169" i="6"/>
  <c r="AZ1184" i="6"/>
  <c r="AZ9" i="6"/>
  <c r="AZ10" i="6"/>
  <c r="AZ11" i="6"/>
  <c r="AZ12" i="6"/>
  <c r="AZ13" i="6"/>
  <c r="AZ14" i="6"/>
  <c r="AZ15" i="6"/>
  <c r="AZ16" i="6"/>
  <c r="AZ17" i="6"/>
  <c r="AZ18" i="6"/>
  <c r="AZ19" i="6"/>
  <c r="AZ20" i="6"/>
  <c r="AZ21" i="6"/>
  <c r="AZ22" i="6"/>
  <c r="AZ23" i="6"/>
  <c r="AZ24" i="6"/>
  <c r="AZ25" i="6"/>
  <c r="AZ26" i="6"/>
  <c r="AZ27" i="6"/>
  <c r="AZ28" i="6"/>
  <c r="AZ29" i="6"/>
  <c r="AZ30" i="6"/>
  <c r="AZ31" i="6"/>
  <c r="AZ32" i="6"/>
  <c r="AZ33" i="6"/>
  <c r="AZ34" i="6"/>
  <c r="AZ35" i="6"/>
  <c r="AZ36" i="6"/>
  <c r="AZ37" i="6"/>
  <c r="AZ38" i="6"/>
  <c r="AZ183" i="6"/>
  <c r="AZ184" i="6"/>
  <c r="AZ185" i="6"/>
  <c r="AZ186" i="6"/>
  <c r="AZ187" i="6"/>
  <c r="AZ188" i="6"/>
  <c r="AZ291" i="6"/>
  <c r="AZ292" i="6"/>
  <c r="AZ293" i="6"/>
  <c r="AZ294" i="6"/>
  <c r="AZ295" i="6"/>
  <c r="AZ296" i="6"/>
  <c r="AZ297" i="6"/>
  <c r="AZ298" i="6"/>
  <c r="AZ299" i="6"/>
  <c r="AZ300" i="6"/>
  <c r="AZ301" i="6"/>
  <c r="AZ302" i="6"/>
  <c r="AZ579" i="6"/>
  <c r="AZ580" i="6"/>
  <c r="AZ581" i="6"/>
  <c r="AZ582" i="6"/>
  <c r="AZ583" i="6"/>
  <c r="AZ584" i="6"/>
  <c r="AZ303" i="6"/>
  <c r="AZ304" i="6"/>
  <c r="AZ305" i="6"/>
  <c r="AZ306" i="6"/>
  <c r="AZ307" i="6"/>
  <c r="AZ308" i="6"/>
  <c r="AZ537" i="6"/>
  <c r="AZ538" i="6"/>
  <c r="AZ539" i="6"/>
  <c r="AZ540" i="6"/>
  <c r="AZ541" i="6"/>
  <c r="AZ542" i="6"/>
  <c r="AZ309" i="6"/>
  <c r="AZ310" i="6"/>
  <c r="AZ311" i="6"/>
  <c r="AZ312" i="6"/>
  <c r="AZ313" i="6"/>
  <c r="AZ314" i="6"/>
  <c r="AZ315" i="6"/>
  <c r="AZ316" i="6"/>
  <c r="AZ317" i="6"/>
  <c r="AZ318" i="6"/>
  <c r="AZ319" i="6"/>
  <c r="AZ320" i="6"/>
  <c r="AZ423" i="6"/>
  <c r="AZ424" i="6"/>
  <c r="AZ425" i="6"/>
  <c r="AZ426" i="6"/>
  <c r="AZ427" i="6"/>
  <c r="AZ428" i="6"/>
  <c r="AZ279" i="6"/>
  <c r="AZ280" i="6"/>
  <c r="AZ281" i="6"/>
  <c r="AZ282" i="6"/>
  <c r="AZ283" i="6"/>
  <c r="AZ284" i="6"/>
  <c r="AZ285" i="6"/>
  <c r="AZ286" i="6"/>
  <c r="AZ287" i="6"/>
  <c r="AZ288" i="6"/>
  <c r="AZ289" i="6"/>
  <c r="AZ290" i="6"/>
  <c r="AZ375" i="6"/>
  <c r="AZ376" i="6"/>
  <c r="AZ377" i="6"/>
  <c r="AZ378" i="6"/>
  <c r="AZ379" i="6"/>
  <c r="AZ380" i="6"/>
  <c r="AZ435" i="6"/>
  <c r="AZ436" i="6"/>
  <c r="AZ437" i="6"/>
  <c r="AZ438" i="6"/>
  <c r="AZ439" i="6"/>
  <c r="AZ440" i="6"/>
  <c r="AZ651" i="6"/>
  <c r="AZ652" i="6"/>
  <c r="AZ653" i="6"/>
  <c r="AZ654" i="6"/>
  <c r="AZ655" i="6"/>
  <c r="AZ656" i="6"/>
  <c r="AZ957" i="6"/>
  <c r="AZ958" i="6"/>
  <c r="AZ959" i="6"/>
  <c r="AZ960" i="6"/>
  <c r="AZ961" i="6"/>
  <c r="AZ962" i="6"/>
  <c r="AZ1047" i="6"/>
  <c r="AZ1048" i="6"/>
  <c r="AZ1049" i="6"/>
  <c r="AZ1050" i="6"/>
  <c r="AZ1051" i="6"/>
  <c r="AZ1052" i="6"/>
  <c r="AZ963" i="6"/>
  <c r="AZ964" i="6"/>
  <c r="AZ965" i="6"/>
  <c r="AZ966" i="6"/>
  <c r="AZ967" i="6"/>
  <c r="AZ968" i="6"/>
  <c r="AZ1053" i="6"/>
  <c r="AZ1054" i="6"/>
  <c r="AZ1055" i="6"/>
  <c r="AZ1056" i="6"/>
  <c r="AZ1057" i="6"/>
  <c r="AZ1058" i="6"/>
  <c r="AZ1059" i="6"/>
  <c r="AZ1060" i="6"/>
  <c r="AZ1061" i="6"/>
  <c r="AZ1062" i="6"/>
  <c r="AZ1063" i="6"/>
  <c r="AZ1064" i="6"/>
  <c r="AZ969" i="6"/>
  <c r="AZ970" i="6"/>
  <c r="AZ971" i="6"/>
  <c r="AZ972" i="6"/>
  <c r="AZ973" i="6"/>
  <c r="AZ974" i="6"/>
  <c r="AZ1065" i="6"/>
  <c r="AZ1066" i="6"/>
  <c r="AZ1067" i="6"/>
  <c r="AZ1068" i="6"/>
  <c r="AZ1069" i="6"/>
  <c r="AZ1070" i="6"/>
  <c r="AZ1071" i="6"/>
  <c r="AZ1072" i="6"/>
  <c r="AZ1073" i="6"/>
  <c r="AZ1074" i="6"/>
  <c r="AZ1075" i="6"/>
  <c r="AZ1076" i="6"/>
  <c r="AZ1077" i="6"/>
  <c r="AZ1078" i="6"/>
  <c r="AZ1079" i="6"/>
  <c r="AZ1080" i="6"/>
  <c r="AZ1081" i="6"/>
  <c r="AZ1082" i="6"/>
  <c r="AZ975" i="6"/>
  <c r="AZ976" i="6"/>
  <c r="AZ977" i="6"/>
  <c r="AZ978" i="6"/>
  <c r="AZ979" i="6"/>
  <c r="AZ980" i="6"/>
  <c r="AZ1185" i="6"/>
  <c r="AZ1186" i="6"/>
  <c r="AZ1187" i="6"/>
  <c r="AZ1188" i="6"/>
  <c r="AZ1189" i="6"/>
  <c r="AZ1190" i="6"/>
  <c r="AZ1181" i="6"/>
  <c r="AZ1193" i="6"/>
  <c r="AZ1211" i="6"/>
  <c r="AZ1149" i="6"/>
  <c r="AZ1155" i="6"/>
  <c r="AZ1196" i="6"/>
  <c r="AZ1197" i="6"/>
  <c r="AZ1198" i="6"/>
  <c r="AZ1199" i="6"/>
  <c r="AZ1200" i="6"/>
  <c r="AZ1201" i="6"/>
  <c r="AZ1202" i="6"/>
  <c r="AZ1203" i="6"/>
  <c r="AZ1204" i="6"/>
  <c r="AZ1205" i="6"/>
  <c r="AZ1206" i="6"/>
  <c r="AZ1207" i="6"/>
  <c r="AZ1208" i="6"/>
  <c r="AZ1161" i="6"/>
  <c r="AZ1167" i="6"/>
  <c r="AZ1179" i="6"/>
  <c r="AZ1191" i="6"/>
  <c r="AZ1209" i="6"/>
  <c r="AZ1214" i="6"/>
  <c r="AZ1215" i="6"/>
  <c r="AZ1216" i="6"/>
  <c r="AZ1217" i="6"/>
  <c r="AZ1218" i="6"/>
  <c r="AZ1219" i="6"/>
  <c r="AZ1220" i="6"/>
  <c r="AZ1221" i="6"/>
  <c r="AZ1222" i="6"/>
  <c r="AZ1223" i="6"/>
  <c r="AZ1224" i="6"/>
  <c r="AZ1225" i="6"/>
  <c r="AZ1226" i="6"/>
  <c r="AZ1227" i="6"/>
  <c r="AZ1228" i="6"/>
  <c r="AZ1229" i="6"/>
  <c r="AZ1230" i="6"/>
  <c r="AZ1231" i="6"/>
  <c r="AZ1232" i="6"/>
  <c r="AZ1233" i="6"/>
  <c r="AZ1234" i="6"/>
  <c r="AZ1235" i="6"/>
  <c r="AZ1236" i="6"/>
  <c r="AZ1237" i="6"/>
  <c r="AZ1238" i="6"/>
  <c r="AZ105" i="6"/>
  <c r="AZ106" i="6"/>
  <c r="AZ107" i="6"/>
  <c r="AZ108" i="6"/>
  <c r="AZ109" i="6"/>
  <c r="AZ110" i="6"/>
  <c r="AZ111" i="6"/>
  <c r="AZ112" i="6"/>
  <c r="AZ113" i="6"/>
  <c r="AZ114" i="6"/>
  <c r="AZ115" i="6"/>
  <c r="AZ116" i="6"/>
  <c r="AZ117" i="6"/>
  <c r="AZ118" i="6"/>
  <c r="AZ119" i="6"/>
  <c r="AZ120" i="6"/>
  <c r="AZ121" i="6"/>
  <c r="AZ122" i="6"/>
  <c r="AZ123" i="6"/>
  <c r="AZ124" i="6"/>
  <c r="AZ125" i="6"/>
  <c r="AZ126" i="6"/>
  <c r="AZ127" i="6"/>
  <c r="AZ128" i="6"/>
  <c r="AZ39" i="6"/>
  <c r="AZ40" i="6"/>
  <c r="AZ41" i="6"/>
  <c r="AZ42" i="6"/>
  <c r="AZ43" i="6"/>
  <c r="AZ44" i="6"/>
  <c r="AZ45" i="6"/>
  <c r="AZ46" i="6"/>
  <c r="AZ47" i="6"/>
  <c r="AZ48" i="6"/>
  <c r="AZ49" i="6"/>
  <c r="AZ50" i="6"/>
  <c r="AZ51" i="6"/>
  <c r="AZ52" i="6"/>
  <c r="AZ53" i="6"/>
  <c r="AZ54" i="6"/>
  <c r="AZ55" i="6"/>
  <c r="AZ56" i="6"/>
  <c r="AZ57" i="6"/>
  <c r="AZ58" i="6"/>
  <c r="AZ59" i="6"/>
  <c r="AZ60" i="6"/>
  <c r="AZ61" i="6"/>
  <c r="AZ62" i="6"/>
  <c r="AZ63" i="6"/>
  <c r="AZ64" i="6"/>
  <c r="AZ65" i="6"/>
  <c r="AZ66" i="6"/>
  <c r="AZ67" i="6"/>
  <c r="AZ68" i="6"/>
  <c r="AZ69" i="6"/>
  <c r="AZ70" i="6"/>
  <c r="AZ71" i="6"/>
  <c r="AZ72" i="6"/>
  <c r="AZ73" i="6"/>
  <c r="AZ74" i="6"/>
  <c r="AZ75" i="6"/>
  <c r="AZ76" i="6"/>
  <c r="AZ77" i="6"/>
  <c r="AZ78" i="6"/>
  <c r="AZ79" i="6"/>
  <c r="AZ80" i="6"/>
  <c r="AZ129" i="6"/>
  <c r="AZ130" i="6"/>
  <c r="AZ131" i="6"/>
  <c r="AZ132" i="6"/>
  <c r="AZ133" i="6"/>
  <c r="AZ134" i="6"/>
  <c r="AZ135" i="6"/>
  <c r="AZ136" i="6"/>
  <c r="AZ137" i="6"/>
  <c r="AZ138" i="6"/>
  <c r="AZ139" i="6"/>
  <c r="AZ140" i="6"/>
  <c r="AZ141" i="6"/>
  <c r="AZ142" i="6"/>
  <c r="AZ143" i="6"/>
  <c r="AZ144" i="6"/>
  <c r="AZ145" i="6"/>
  <c r="AZ146" i="6"/>
  <c r="AZ147" i="6"/>
  <c r="AZ148" i="6"/>
  <c r="AZ149" i="6"/>
  <c r="AZ150" i="6"/>
  <c r="AZ151" i="6"/>
  <c r="AZ152" i="6"/>
  <c r="AZ81" i="6"/>
  <c r="AZ82" i="6"/>
  <c r="AZ83" i="6"/>
  <c r="AZ84" i="6"/>
  <c r="AZ85" i="6"/>
  <c r="AZ86" i="6"/>
  <c r="AZ87" i="6"/>
  <c r="AZ88" i="6"/>
  <c r="AZ89" i="6"/>
  <c r="AZ90" i="6"/>
  <c r="AZ91" i="6"/>
  <c r="AZ92" i="6"/>
  <c r="AZ153" i="6"/>
  <c r="AZ154" i="6"/>
  <c r="AZ155" i="6"/>
  <c r="AZ156" i="6"/>
  <c r="AZ157" i="6"/>
  <c r="AZ158" i="6"/>
  <c r="AZ159" i="6"/>
  <c r="AZ160" i="6"/>
  <c r="AZ161" i="6"/>
  <c r="AZ162" i="6"/>
  <c r="AZ163" i="6"/>
  <c r="AZ164" i="6"/>
  <c r="AZ93" i="6"/>
  <c r="AZ94" i="6"/>
  <c r="AZ95" i="6"/>
  <c r="AZ96" i="6"/>
  <c r="AZ97" i="6"/>
  <c r="AZ98" i="6"/>
  <c r="AZ165" i="6"/>
  <c r="AZ166" i="6"/>
  <c r="AZ167" i="6"/>
  <c r="AZ168" i="6"/>
  <c r="AZ169" i="6"/>
  <c r="AZ170" i="6"/>
  <c r="AZ171" i="6"/>
  <c r="AZ172" i="6"/>
  <c r="AZ173" i="6"/>
  <c r="AZ174" i="6"/>
  <c r="AZ175" i="6"/>
  <c r="AZ176" i="6"/>
  <c r="AZ99" i="6"/>
  <c r="AZ100" i="6"/>
  <c r="AZ101" i="6"/>
  <c r="AZ102" i="6"/>
  <c r="AZ103" i="6"/>
  <c r="AZ104" i="6"/>
  <c r="AZ177" i="6"/>
  <c r="AZ178" i="6"/>
  <c r="AZ179" i="6"/>
  <c r="AZ180" i="6"/>
  <c r="AZ181" i="6"/>
  <c r="AZ182" i="6"/>
  <c r="AZ189" i="6"/>
  <c r="AZ190" i="6"/>
  <c r="AZ191" i="6"/>
  <c r="AZ192" i="6"/>
  <c r="AZ193" i="6"/>
  <c r="AZ194" i="6"/>
  <c r="AZ195" i="6"/>
  <c r="AZ196" i="6"/>
  <c r="AZ197" i="6"/>
  <c r="AZ198" i="6"/>
  <c r="AZ199" i="6"/>
  <c r="AZ200" i="6"/>
  <c r="AZ201" i="6"/>
  <c r="AZ202" i="6"/>
  <c r="AZ203" i="6"/>
  <c r="AZ204" i="6"/>
  <c r="AZ205" i="6"/>
  <c r="AZ206" i="6"/>
  <c r="AZ207" i="6"/>
  <c r="AZ208" i="6"/>
  <c r="AZ209" i="6"/>
  <c r="AZ210" i="6"/>
  <c r="AZ211" i="6"/>
  <c r="AZ212" i="6"/>
  <c r="AZ219" i="6"/>
  <c r="AZ220" i="6"/>
  <c r="AZ221" i="6"/>
  <c r="AZ222" i="6"/>
  <c r="AZ223" i="6"/>
  <c r="AZ224" i="6"/>
  <c r="AZ225" i="6"/>
  <c r="AZ226" i="6"/>
  <c r="AZ227" i="6"/>
  <c r="AZ228" i="6"/>
  <c r="AZ229" i="6"/>
  <c r="AZ230" i="6"/>
  <c r="AZ231" i="6"/>
  <c r="AZ232" i="6"/>
  <c r="AZ233" i="6"/>
  <c r="AZ234" i="6"/>
  <c r="AZ235" i="6"/>
  <c r="AZ236" i="6"/>
  <c r="AZ237" i="6"/>
  <c r="AZ238" i="6"/>
  <c r="AZ239" i="6"/>
  <c r="AZ240" i="6"/>
  <c r="AZ241" i="6"/>
  <c r="AZ242" i="6"/>
  <c r="AZ243" i="6"/>
  <c r="AZ244" i="6"/>
  <c r="AZ245" i="6"/>
  <c r="AZ246" i="6"/>
  <c r="AZ247" i="6"/>
  <c r="AZ248" i="6"/>
  <c r="AZ249" i="6"/>
  <c r="AZ250" i="6"/>
  <c r="AZ251" i="6"/>
  <c r="AZ252" i="6"/>
  <c r="AZ253" i="6"/>
  <c r="AZ254" i="6"/>
  <c r="AZ255" i="6"/>
  <c r="AZ256" i="6"/>
  <c r="AZ257" i="6"/>
  <c r="AZ258" i="6"/>
  <c r="AZ259" i="6"/>
  <c r="AZ260" i="6"/>
  <c r="AZ261" i="6"/>
  <c r="AZ262" i="6"/>
  <c r="AZ263" i="6"/>
  <c r="AZ264" i="6"/>
  <c r="AZ265" i="6"/>
  <c r="AZ266" i="6"/>
  <c r="AZ267" i="6"/>
  <c r="AZ268" i="6"/>
  <c r="AZ269" i="6"/>
  <c r="AZ270" i="6"/>
  <c r="AZ271" i="6"/>
  <c r="AZ272" i="6"/>
  <c r="AZ333" i="6"/>
  <c r="AZ334" i="6"/>
  <c r="AZ335" i="6"/>
  <c r="AZ336" i="6"/>
  <c r="AZ337" i="6"/>
  <c r="AZ338" i="6"/>
  <c r="AZ339" i="6"/>
  <c r="AZ340" i="6"/>
  <c r="AZ341" i="6"/>
  <c r="AZ342" i="6"/>
  <c r="AZ343" i="6"/>
  <c r="AZ344" i="6"/>
  <c r="AZ441" i="6"/>
  <c r="AZ442" i="6"/>
  <c r="AZ443" i="6"/>
  <c r="AZ444" i="6"/>
  <c r="AZ445" i="6"/>
  <c r="AZ446" i="6"/>
  <c r="AZ447" i="6"/>
  <c r="AZ448" i="6"/>
  <c r="AZ449" i="6"/>
  <c r="AZ450" i="6"/>
  <c r="AZ451" i="6"/>
  <c r="AZ452" i="6"/>
  <c r="AZ543" i="6"/>
  <c r="AZ544" i="6"/>
  <c r="AZ545" i="6"/>
  <c r="AZ546" i="6"/>
  <c r="AZ547" i="6"/>
  <c r="AZ548" i="6"/>
  <c r="AZ453" i="6"/>
  <c r="AZ454" i="6"/>
  <c r="AZ455" i="6"/>
  <c r="AZ456" i="6"/>
  <c r="AZ457" i="6"/>
  <c r="AZ458" i="6"/>
  <c r="AZ321" i="6"/>
  <c r="AZ322" i="6"/>
  <c r="AZ323" i="6"/>
  <c r="AZ324" i="6"/>
  <c r="AZ325" i="6"/>
  <c r="AZ326" i="6"/>
  <c r="AZ549" i="6"/>
  <c r="AZ550" i="6"/>
  <c r="AZ551" i="6"/>
  <c r="AZ552" i="6"/>
  <c r="AZ553" i="6"/>
  <c r="AZ554" i="6"/>
  <c r="AZ381" i="6"/>
  <c r="AZ382" i="6"/>
  <c r="AZ383" i="6"/>
  <c r="AZ384" i="6"/>
  <c r="AZ385" i="6"/>
  <c r="AZ386" i="6"/>
  <c r="AZ387" i="6"/>
  <c r="AZ388" i="6"/>
  <c r="AZ389" i="6"/>
  <c r="AZ390" i="6"/>
  <c r="AZ391" i="6"/>
  <c r="AZ392" i="6"/>
  <c r="AZ345" i="6"/>
  <c r="AZ346" i="6"/>
  <c r="AZ347" i="6"/>
  <c r="AZ348" i="6"/>
  <c r="AZ349" i="6"/>
  <c r="AZ350" i="6"/>
  <c r="AZ459" i="6"/>
  <c r="AZ460" i="6"/>
  <c r="AZ461" i="6"/>
  <c r="AZ462" i="6"/>
  <c r="AZ463" i="6"/>
  <c r="AZ464" i="6"/>
  <c r="AZ351" i="6"/>
  <c r="AZ352" i="6"/>
  <c r="AZ353" i="6"/>
  <c r="AZ354" i="6"/>
  <c r="AZ355" i="6"/>
  <c r="AZ356" i="6"/>
  <c r="AZ465" i="6"/>
  <c r="AZ466" i="6"/>
  <c r="AZ467" i="6"/>
  <c r="AZ468" i="6"/>
  <c r="AZ469" i="6"/>
  <c r="AZ470" i="6"/>
  <c r="AZ471" i="6"/>
  <c r="AZ472" i="6"/>
  <c r="AZ473" i="6"/>
  <c r="AZ474" i="6"/>
  <c r="AZ475" i="6"/>
  <c r="AZ476" i="6"/>
  <c r="AZ357" i="6"/>
  <c r="AZ358" i="6"/>
  <c r="AZ359" i="6"/>
  <c r="AZ360" i="6"/>
  <c r="AZ361" i="6"/>
  <c r="AZ362" i="6"/>
  <c r="AZ393" i="6"/>
  <c r="AZ394" i="6"/>
  <c r="AZ395" i="6"/>
  <c r="AZ396" i="6"/>
  <c r="AZ397" i="6"/>
  <c r="AZ398" i="6"/>
  <c r="AZ585" i="6"/>
  <c r="AZ586" i="6"/>
  <c r="AZ587" i="6"/>
  <c r="AZ588" i="6"/>
  <c r="AZ589" i="6"/>
  <c r="AZ590" i="6"/>
  <c r="AZ591" i="6"/>
  <c r="AZ592" i="6"/>
  <c r="AZ593" i="6"/>
  <c r="AZ594" i="6"/>
  <c r="AZ595" i="6"/>
  <c r="AZ596" i="6"/>
  <c r="AZ627" i="6"/>
  <c r="AZ628" i="6"/>
  <c r="AZ629" i="6"/>
  <c r="AZ630" i="6"/>
  <c r="AZ631" i="6"/>
  <c r="AZ632" i="6"/>
  <c r="AZ477" i="6"/>
  <c r="AZ478" i="6"/>
  <c r="AZ479" i="6"/>
  <c r="AZ480" i="6"/>
  <c r="AZ481" i="6"/>
  <c r="AZ482" i="6"/>
  <c r="AZ483" i="6"/>
  <c r="AZ484" i="6"/>
  <c r="AZ485" i="6"/>
  <c r="AZ486" i="6"/>
  <c r="AZ487" i="6"/>
  <c r="AZ488" i="6"/>
  <c r="AZ489" i="6"/>
  <c r="AZ490" i="6"/>
  <c r="AZ491" i="6"/>
  <c r="AZ492" i="6"/>
  <c r="AZ493" i="6"/>
  <c r="AZ494" i="6"/>
  <c r="AZ495" i="6"/>
  <c r="AZ496" i="6"/>
  <c r="AZ497" i="6"/>
  <c r="AZ498" i="6"/>
  <c r="AZ499" i="6"/>
  <c r="AZ500" i="6"/>
  <c r="AZ363" i="6"/>
  <c r="AZ364" i="6"/>
  <c r="AZ365" i="6"/>
  <c r="AZ366" i="6"/>
  <c r="AZ367" i="6"/>
  <c r="AZ368" i="6"/>
  <c r="AZ597" i="6"/>
  <c r="AZ598" i="6"/>
  <c r="AZ599" i="6"/>
  <c r="AZ600" i="6"/>
  <c r="AZ601" i="6"/>
  <c r="AZ602" i="6"/>
  <c r="AZ327" i="6"/>
  <c r="AZ328" i="6"/>
  <c r="AZ329" i="6"/>
  <c r="AZ330" i="6"/>
  <c r="AZ331" i="6"/>
  <c r="AZ332" i="6"/>
  <c r="AZ507" i="6"/>
  <c r="AZ508" i="6"/>
  <c r="AZ509" i="6"/>
  <c r="AZ510" i="6"/>
  <c r="AZ511" i="6"/>
  <c r="AZ512" i="6"/>
  <c r="AZ399" i="6"/>
  <c r="AZ400" i="6"/>
  <c r="AZ401" i="6"/>
  <c r="AZ402" i="6"/>
  <c r="AZ403" i="6"/>
  <c r="AZ404" i="6"/>
  <c r="AZ405" i="6"/>
  <c r="AZ406" i="6"/>
  <c r="AZ407" i="6"/>
  <c r="AZ408" i="6"/>
  <c r="AZ409" i="6"/>
  <c r="AZ410" i="6"/>
  <c r="AZ513" i="6"/>
  <c r="AZ514" i="6"/>
  <c r="AZ515" i="6"/>
  <c r="AZ516" i="6"/>
  <c r="AZ517" i="6"/>
  <c r="AZ518" i="6"/>
  <c r="AZ603" i="6"/>
  <c r="AZ604" i="6"/>
  <c r="AZ605" i="6"/>
  <c r="AZ606" i="6"/>
  <c r="AZ607" i="6"/>
  <c r="AZ608" i="6"/>
  <c r="AZ555" i="6"/>
  <c r="AZ556" i="6"/>
  <c r="AZ557" i="6"/>
  <c r="AZ558" i="6"/>
  <c r="AZ559" i="6"/>
  <c r="AZ560" i="6"/>
  <c r="AZ369" i="6"/>
  <c r="AZ370" i="6"/>
  <c r="AZ371" i="6"/>
  <c r="AZ372" i="6"/>
  <c r="AZ373" i="6"/>
  <c r="AZ374" i="6"/>
  <c r="AZ609" i="6"/>
  <c r="AZ610" i="6"/>
  <c r="AZ611" i="6"/>
  <c r="AZ612" i="6"/>
  <c r="AZ613" i="6"/>
  <c r="AZ614" i="6"/>
  <c r="AZ519" i="6"/>
  <c r="AZ520" i="6"/>
  <c r="AZ521" i="6"/>
  <c r="AZ522" i="6"/>
  <c r="AZ523" i="6"/>
  <c r="AZ524" i="6"/>
  <c r="AZ525" i="6"/>
  <c r="AZ526" i="6"/>
  <c r="AZ527" i="6"/>
  <c r="AZ528" i="6"/>
  <c r="AZ529" i="6"/>
  <c r="AZ530" i="6"/>
  <c r="AZ561" i="6"/>
  <c r="AZ562" i="6"/>
  <c r="AZ563" i="6"/>
  <c r="AZ564" i="6"/>
  <c r="AZ565" i="6"/>
  <c r="AZ566" i="6"/>
  <c r="AZ567" i="6"/>
  <c r="AZ568" i="6"/>
  <c r="AZ569" i="6"/>
  <c r="AZ570" i="6"/>
  <c r="AZ571" i="6"/>
  <c r="AZ572" i="6"/>
  <c r="AZ573" i="6"/>
  <c r="AZ574" i="6"/>
  <c r="AZ575" i="6"/>
  <c r="AZ576" i="6"/>
  <c r="AZ577" i="6"/>
  <c r="AZ578" i="6"/>
  <c r="AZ615" i="6"/>
  <c r="AZ616" i="6"/>
  <c r="AZ617" i="6"/>
  <c r="AZ618" i="6"/>
  <c r="AZ619" i="6"/>
  <c r="AZ620" i="6"/>
  <c r="AZ807" i="6"/>
  <c r="AZ808" i="6"/>
  <c r="AZ809" i="6"/>
  <c r="AZ810" i="6"/>
  <c r="AZ811" i="6"/>
  <c r="AZ812" i="6"/>
  <c r="AZ657" i="6"/>
  <c r="AZ658" i="6"/>
  <c r="AZ659" i="6"/>
  <c r="AZ660" i="6"/>
  <c r="AZ661" i="6"/>
  <c r="AZ662" i="6"/>
  <c r="AZ663" i="6"/>
  <c r="AZ664" i="6"/>
  <c r="AZ665" i="6"/>
  <c r="AZ666" i="6"/>
  <c r="AZ667" i="6"/>
  <c r="AZ668" i="6"/>
  <c r="AZ669" i="6"/>
  <c r="AZ670" i="6"/>
  <c r="AZ671" i="6"/>
  <c r="AZ672" i="6"/>
  <c r="AZ673" i="6"/>
  <c r="AZ674" i="6"/>
  <c r="AZ675" i="6"/>
  <c r="AZ676" i="6"/>
  <c r="AZ677" i="6"/>
  <c r="AZ678" i="6"/>
  <c r="AZ679" i="6"/>
  <c r="AZ680" i="6"/>
  <c r="AZ681" i="6"/>
  <c r="AZ682" i="6"/>
  <c r="AZ683" i="6"/>
  <c r="AZ684" i="6"/>
  <c r="AZ685" i="6"/>
  <c r="AZ686" i="6"/>
  <c r="AZ813" i="6"/>
  <c r="AZ814" i="6"/>
  <c r="AZ815" i="6"/>
  <c r="AZ816" i="6"/>
  <c r="AZ817" i="6"/>
  <c r="AZ818" i="6"/>
  <c r="AZ819" i="6"/>
  <c r="AZ820" i="6"/>
  <c r="AZ821" i="6"/>
  <c r="AZ822" i="6"/>
  <c r="AZ823" i="6"/>
  <c r="AZ824" i="6"/>
  <c r="AZ825" i="6"/>
  <c r="AZ826" i="6"/>
  <c r="AZ827" i="6"/>
  <c r="AZ828" i="6"/>
  <c r="AZ829" i="6"/>
  <c r="AZ830" i="6"/>
  <c r="AZ831" i="6"/>
  <c r="AZ832" i="6"/>
  <c r="AZ833" i="6"/>
  <c r="AZ834" i="6"/>
  <c r="AZ835" i="6"/>
  <c r="AZ836" i="6"/>
  <c r="AZ837" i="6"/>
  <c r="AZ838" i="6"/>
  <c r="AZ839" i="6"/>
  <c r="AZ840" i="6"/>
  <c r="AZ841" i="6"/>
  <c r="AZ842" i="6"/>
  <c r="AZ843" i="6"/>
  <c r="AZ844" i="6"/>
  <c r="AZ845" i="6"/>
  <c r="AZ846" i="6"/>
  <c r="AZ847" i="6"/>
  <c r="AZ848" i="6"/>
  <c r="AZ849" i="6"/>
  <c r="AZ850" i="6"/>
  <c r="AZ851" i="6"/>
  <c r="AZ852" i="6"/>
  <c r="AZ853" i="6"/>
  <c r="AZ854" i="6"/>
  <c r="AZ855" i="6"/>
  <c r="AZ856" i="6"/>
  <c r="AZ857" i="6"/>
  <c r="AZ858" i="6"/>
  <c r="AZ859" i="6"/>
  <c r="AZ860" i="6"/>
  <c r="AZ687" i="6"/>
  <c r="AZ688" i="6"/>
  <c r="AZ689" i="6"/>
  <c r="AZ690" i="6"/>
  <c r="AZ691" i="6"/>
  <c r="AZ692" i="6"/>
  <c r="AZ693" i="6"/>
  <c r="AZ694" i="6"/>
  <c r="AZ695" i="6"/>
  <c r="AZ696" i="6"/>
  <c r="AZ697" i="6"/>
  <c r="AZ698" i="6"/>
  <c r="AZ861" i="6"/>
  <c r="AZ862" i="6"/>
  <c r="AZ863" i="6"/>
  <c r="AZ864" i="6"/>
  <c r="AZ865" i="6"/>
  <c r="AZ866" i="6"/>
  <c r="AZ867" i="6"/>
  <c r="AZ868" i="6"/>
  <c r="AZ869" i="6"/>
  <c r="AZ870" i="6"/>
  <c r="AZ871" i="6"/>
  <c r="AZ872" i="6"/>
  <c r="AZ741" i="6"/>
  <c r="AZ742" i="6"/>
  <c r="AZ743" i="6"/>
  <c r="AZ744" i="6"/>
  <c r="AZ745" i="6"/>
  <c r="AZ746" i="6"/>
  <c r="AZ747" i="6"/>
  <c r="AZ748" i="6"/>
  <c r="AZ749" i="6"/>
  <c r="AZ750" i="6"/>
  <c r="AZ751" i="6"/>
  <c r="AZ752" i="6"/>
  <c r="AZ753" i="6"/>
  <c r="AZ754" i="6"/>
  <c r="AZ755" i="6"/>
  <c r="AZ756" i="6"/>
  <c r="AZ757" i="6"/>
  <c r="AZ758" i="6"/>
  <c r="AZ759" i="6"/>
  <c r="AZ760" i="6"/>
  <c r="AZ761" i="6"/>
  <c r="AZ762" i="6"/>
  <c r="AZ763" i="6"/>
  <c r="AZ764" i="6"/>
  <c r="AZ765" i="6"/>
  <c r="AZ766" i="6"/>
  <c r="AZ767" i="6"/>
  <c r="AZ768" i="6"/>
  <c r="AZ769" i="6"/>
  <c r="AZ770" i="6"/>
  <c r="AZ771" i="6"/>
  <c r="AZ772" i="6"/>
  <c r="AZ773" i="6"/>
  <c r="AZ774" i="6"/>
  <c r="AZ775" i="6"/>
  <c r="AZ776" i="6"/>
  <c r="AZ777" i="6"/>
  <c r="AZ778" i="6"/>
  <c r="AZ779" i="6"/>
  <c r="AZ780" i="6"/>
  <c r="AZ781" i="6"/>
  <c r="AZ782" i="6"/>
  <c r="AZ783" i="6"/>
  <c r="AZ784" i="6"/>
  <c r="AZ785" i="6"/>
  <c r="AZ786" i="6"/>
  <c r="AZ787" i="6"/>
  <c r="AZ788" i="6"/>
  <c r="AZ699" i="6"/>
  <c r="AZ700" i="6"/>
  <c r="AZ701" i="6"/>
  <c r="AZ702" i="6"/>
  <c r="AZ703" i="6"/>
  <c r="AZ704" i="6"/>
  <c r="AZ873" i="6"/>
  <c r="AZ874" i="6"/>
  <c r="AZ875" i="6"/>
  <c r="AZ876" i="6"/>
  <c r="AZ877" i="6"/>
  <c r="AZ878" i="6"/>
  <c r="AZ879" i="6"/>
  <c r="AZ880" i="6"/>
  <c r="AZ881" i="6"/>
  <c r="AZ882" i="6"/>
  <c r="AZ883" i="6"/>
  <c r="AZ884" i="6"/>
  <c r="AZ885" i="6"/>
  <c r="AZ886" i="6"/>
  <c r="AZ887" i="6"/>
  <c r="AZ888" i="6"/>
  <c r="AZ889" i="6"/>
  <c r="AZ890" i="6"/>
  <c r="AZ891" i="6"/>
  <c r="AZ892" i="6"/>
  <c r="AZ893" i="6"/>
  <c r="AZ894" i="6"/>
  <c r="AZ895" i="6"/>
  <c r="AZ896" i="6"/>
  <c r="AZ897" i="6"/>
  <c r="AZ898" i="6"/>
  <c r="AZ899" i="6"/>
  <c r="AZ900" i="6"/>
  <c r="AZ901" i="6"/>
  <c r="AZ902" i="6"/>
  <c r="AZ705" i="6"/>
  <c r="AZ706" i="6"/>
  <c r="AZ707" i="6"/>
  <c r="AZ708" i="6"/>
  <c r="AZ709" i="6"/>
  <c r="AZ710" i="6"/>
  <c r="AZ945" i="6"/>
  <c r="AZ946" i="6"/>
  <c r="AZ947" i="6"/>
  <c r="AZ948" i="6"/>
  <c r="AZ949" i="6"/>
  <c r="AZ950" i="6"/>
  <c r="AZ903" i="6"/>
  <c r="AZ904" i="6"/>
  <c r="AZ905" i="6"/>
  <c r="AZ906" i="6"/>
  <c r="AZ907" i="6"/>
  <c r="AZ908" i="6"/>
  <c r="AZ789" i="6"/>
  <c r="AZ790" i="6"/>
  <c r="AZ791" i="6"/>
  <c r="AZ792" i="6"/>
  <c r="AZ793" i="6"/>
  <c r="AZ794" i="6"/>
  <c r="AZ795" i="6"/>
  <c r="AZ796" i="6"/>
  <c r="AZ797" i="6"/>
  <c r="AZ798" i="6"/>
  <c r="AZ799" i="6"/>
  <c r="AZ800" i="6"/>
  <c r="AZ711" i="6"/>
  <c r="AZ712" i="6"/>
  <c r="AZ713" i="6"/>
  <c r="AZ714" i="6"/>
  <c r="AZ715" i="6"/>
  <c r="AZ716" i="6"/>
  <c r="AZ915" i="6"/>
  <c r="AZ916" i="6"/>
  <c r="AZ917" i="6"/>
  <c r="AZ918" i="6"/>
  <c r="AZ919" i="6"/>
  <c r="AZ920" i="6"/>
  <c r="AZ951" i="6"/>
  <c r="AZ952" i="6"/>
  <c r="AZ953" i="6"/>
  <c r="AZ954" i="6"/>
  <c r="AZ955" i="6"/>
  <c r="AZ956" i="6"/>
  <c r="AZ921" i="6"/>
  <c r="AZ922" i="6"/>
  <c r="AZ923" i="6"/>
  <c r="AZ924" i="6"/>
  <c r="AZ925" i="6"/>
  <c r="AZ926" i="6"/>
  <c r="AZ927" i="6"/>
  <c r="AZ928" i="6"/>
  <c r="AZ929" i="6"/>
  <c r="AZ930" i="6"/>
  <c r="AZ931" i="6"/>
  <c r="AZ932" i="6"/>
  <c r="AZ933" i="6"/>
  <c r="AZ934" i="6"/>
  <c r="AZ935" i="6"/>
  <c r="AZ936" i="6"/>
  <c r="AZ937" i="6"/>
  <c r="AZ938" i="6"/>
  <c r="AZ717" i="6"/>
  <c r="AZ718" i="6"/>
  <c r="AZ719" i="6"/>
  <c r="AZ720" i="6"/>
  <c r="AZ721" i="6"/>
  <c r="AZ722" i="6"/>
  <c r="AZ939" i="6"/>
  <c r="AZ940" i="6"/>
  <c r="AZ941" i="6"/>
  <c r="AZ942" i="6"/>
  <c r="AZ943" i="6"/>
  <c r="AZ944" i="6"/>
  <c r="AZ723" i="6"/>
  <c r="AZ724" i="6"/>
  <c r="AZ725" i="6"/>
  <c r="AZ726" i="6"/>
  <c r="AZ727" i="6"/>
  <c r="AZ728" i="6"/>
  <c r="AZ729" i="6"/>
  <c r="AZ730" i="6"/>
  <c r="AZ731" i="6"/>
  <c r="AZ732" i="6"/>
  <c r="AZ733" i="6"/>
  <c r="AZ734" i="6"/>
  <c r="AZ735" i="6"/>
  <c r="AZ736" i="6"/>
  <c r="AZ737" i="6"/>
  <c r="AZ738" i="6"/>
  <c r="AZ739" i="6"/>
  <c r="AZ740" i="6"/>
  <c r="AZ1083" i="6"/>
  <c r="AZ1084" i="6"/>
  <c r="AZ1085" i="6"/>
  <c r="AZ1086" i="6"/>
  <c r="AZ1087" i="6"/>
  <c r="AZ1088" i="6"/>
  <c r="AZ981" i="6"/>
  <c r="AZ982" i="6"/>
  <c r="AZ983" i="6"/>
  <c r="AZ984" i="6"/>
  <c r="AZ985" i="6"/>
  <c r="AZ986" i="6"/>
  <c r="AZ987" i="6"/>
  <c r="AZ988" i="6"/>
  <c r="AZ989" i="6"/>
  <c r="AZ990" i="6"/>
  <c r="AZ991" i="6"/>
  <c r="AZ992" i="6"/>
  <c r="AZ993" i="6"/>
  <c r="AZ994" i="6"/>
  <c r="AZ995" i="6"/>
  <c r="AZ996" i="6"/>
  <c r="AZ997" i="6"/>
  <c r="AZ998" i="6"/>
  <c r="AZ1089" i="6"/>
  <c r="AZ1090" i="6"/>
  <c r="AZ1091" i="6"/>
  <c r="AZ1092" i="6"/>
  <c r="AZ1093" i="6"/>
  <c r="AZ1094" i="6"/>
  <c r="AZ1125" i="6"/>
  <c r="AZ1126" i="6"/>
  <c r="AZ1127" i="6"/>
  <c r="AZ1128" i="6"/>
  <c r="AZ1129" i="6"/>
  <c r="AZ1130" i="6"/>
  <c r="AZ1131" i="6"/>
  <c r="AZ1132" i="6"/>
  <c r="AZ1133" i="6"/>
  <c r="AZ1134" i="6"/>
  <c r="AZ1135" i="6"/>
  <c r="AZ1136" i="6"/>
  <c r="AZ1095" i="6"/>
  <c r="AZ1096" i="6"/>
  <c r="AZ1097" i="6"/>
  <c r="AZ1098" i="6"/>
  <c r="AZ1099" i="6"/>
  <c r="AZ1100" i="6"/>
  <c r="AZ1101" i="6"/>
  <c r="AZ1102" i="6"/>
  <c r="AZ1103" i="6"/>
  <c r="AZ1104" i="6"/>
  <c r="AZ1105" i="6"/>
  <c r="AZ1106" i="6"/>
  <c r="AZ1137" i="6"/>
  <c r="AZ1138" i="6"/>
  <c r="AZ1139" i="6"/>
  <c r="AZ1140" i="6"/>
  <c r="AZ1141" i="6"/>
  <c r="AZ1142" i="6"/>
  <c r="AZ999" i="6"/>
  <c r="AZ1000" i="6"/>
  <c r="AZ1001" i="6"/>
  <c r="AZ1002" i="6"/>
  <c r="AZ1003" i="6"/>
  <c r="AZ1004" i="6"/>
  <c r="AZ1107" i="6"/>
  <c r="AZ1108" i="6"/>
  <c r="AZ1109" i="6"/>
  <c r="AZ1110" i="6"/>
  <c r="AZ1111" i="6"/>
  <c r="AZ1112" i="6"/>
  <c r="AZ1113" i="6"/>
  <c r="AZ1114" i="6"/>
  <c r="AZ1115" i="6"/>
  <c r="AZ1116" i="6"/>
  <c r="AZ1117" i="6"/>
  <c r="AZ1118" i="6"/>
  <c r="AZ1005" i="6"/>
  <c r="AZ1006" i="6"/>
  <c r="AZ1007" i="6"/>
  <c r="AZ1008" i="6"/>
  <c r="AZ1009" i="6"/>
  <c r="AZ1010" i="6"/>
  <c r="AZ1119" i="6"/>
  <c r="AZ1120" i="6"/>
  <c r="AZ1121" i="6"/>
  <c r="AZ1122" i="6"/>
  <c r="AZ1123" i="6"/>
  <c r="AZ1124" i="6"/>
  <c r="AZ1143" i="6"/>
  <c r="AZ1144" i="6"/>
  <c r="AZ1145" i="6"/>
  <c r="AZ1146" i="6"/>
  <c r="AZ1147" i="6"/>
  <c r="AZ1148" i="6"/>
  <c r="AZ1243" i="6"/>
  <c r="AZ1249" i="6"/>
  <c r="AZ1242" i="6"/>
  <c r="AZ1248" i="6"/>
  <c r="AZ1240" i="6"/>
  <c r="AZ1244" i="6"/>
  <c r="AZ1246" i="6"/>
  <c r="AZ1241" i="6"/>
  <c r="AZ1247" i="6"/>
  <c r="AZ1239" i="6"/>
  <c r="AZ1245" i="6"/>
  <c r="AZ1250" i="6"/>
  <c r="AZ1251" i="6"/>
  <c r="AZ1252" i="6"/>
  <c r="AZ1253" i="6"/>
  <c r="AZ1254" i="6"/>
  <c r="AZ1255" i="6"/>
  <c r="AZ1256" i="6"/>
  <c r="AZ1257" i="6"/>
  <c r="AZ1258" i="6"/>
  <c r="AZ1259" i="6"/>
  <c r="AZ1260" i="6"/>
  <c r="AZ1261" i="6"/>
  <c r="AZ1262" i="6"/>
  <c r="AZ1263" i="6"/>
  <c r="AZ1264" i="6"/>
  <c r="AZ1265" i="6"/>
  <c r="AZ1266" i="6"/>
  <c r="AZ1267" i="6"/>
  <c r="AZ1268" i="6"/>
  <c r="AZ909" i="6"/>
  <c r="AZ910" i="6"/>
  <c r="AZ911" i="6"/>
  <c r="AZ912" i="6"/>
  <c r="AZ913" i="6"/>
  <c r="AZ914" i="6"/>
  <c r="AZ1011" i="6"/>
  <c r="AZ1012" i="6"/>
  <c r="AZ1013" i="6"/>
  <c r="AZ1014" i="6"/>
  <c r="AZ1015" i="6"/>
  <c r="AZ1016" i="6"/>
  <c r="AZ429" i="6"/>
  <c r="AZ430" i="6"/>
  <c r="AZ431" i="6"/>
  <c r="AZ432" i="6"/>
  <c r="AZ433" i="6"/>
  <c r="AZ434" i="6"/>
  <c r="AZ411" i="6"/>
  <c r="BF217" i="6"/>
  <c r="BD2" i="6"/>
  <c r="BD3" i="6"/>
  <c r="A10566" i="22" l="1"/>
  <c r="B10566" i="22" s="1"/>
  <c r="B10565" i="22"/>
  <c r="A10287" i="22"/>
  <c r="B10286" i="22"/>
  <c r="BF412" i="6"/>
  <c r="BF413" i="6"/>
  <c r="BF414" i="6"/>
  <c r="BF415" i="6"/>
  <c r="BF416" i="6"/>
  <c r="BF273" i="6"/>
  <c r="BF274" i="6"/>
  <c r="BF275" i="6"/>
  <c r="BF276" i="6"/>
  <c r="BF277" i="6"/>
  <c r="BF278" i="6"/>
  <c r="BF213" i="6"/>
  <c r="BF214" i="6"/>
  <c r="BF215" i="6"/>
  <c r="BF216" i="6"/>
  <c r="BF218" i="6"/>
  <c r="BF532" i="6"/>
  <c r="BF533" i="6"/>
  <c r="BF534" i="6"/>
  <c r="BF535" i="6"/>
  <c r="BF536" i="6"/>
  <c r="BF621" i="6"/>
  <c r="BF622" i="6"/>
  <c r="BF623" i="6"/>
  <c r="BF624" i="6"/>
  <c r="BF625" i="6"/>
  <c r="BF626" i="6"/>
  <c r="BF417" i="6"/>
  <c r="BF418" i="6"/>
  <c r="BF419" i="6"/>
  <c r="BF420" i="6"/>
  <c r="BF421" i="6"/>
  <c r="BF422" i="6"/>
  <c r="BF635" i="6"/>
  <c r="BF638" i="6"/>
  <c r="BF639" i="6"/>
  <c r="BF640" i="6"/>
  <c r="BF641" i="6"/>
  <c r="BF642" i="6"/>
  <c r="BF643" i="6"/>
  <c r="BF644" i="6"/>
  <c r="BF645" i="6"/>
  <c r="BF646" i="6"/>
  <c r="BF647" i="6"/>
  <c r="BF648" i="6"/>
  <c r="BF649" i="6"/>
  <c r="BF650" i="6"/>
  <c r="BF801" i="6"/>
  <c r="BF802" i="6"/>
  <c r="BF803" i="6"/>
  <c r="BF804" i="6"/>
  <c r="BF805" i="6"/>
  <c r="BF806" i="6"/>
  <c r="BF1017" i="6"/>
  <c r="BF1018" i="6"/>
  <c r="BF1019" i="6"/>
  <c r="BF1020" i="6"/>
  <c r="BF1021" i="6"/>
  <c r="BF1022" i="6"/>
  <c r="BF1023" i="6"/>
  <c r="BF1024" i="6"/>
  <c r="BF1025" i="6"/>
  <c r="BF1026" i="6"/>
  <c r="BF1027" i="6"/>
  <c r="BF1028" i="6"/>
  <c r="BF1029" i="6"/>
  <c r="BF1030" i="6"/>
  <c r="BF1031" i="6"/>
  <c r="BF1032" i="6"/>
  <c r="BF1033" i="6"/>
  <c r="BF1034" i="6"/>
  <c r="BF1035" i="6"/>
  <c r="BF1036" i="6"/>
  <c r="BF1037" i="6"/>
  <c r="BF1038" i="6"/>
  <c r="BF1039" i="6"/>
  <c r="BF1040" i="6"/>
  <c r="BF1041" i="6"/>
  <c r="BF1042" i="6"/>
  <c r="BF1043" i="6"/>
  <c r="BF1044" i="6"/>
  <c r="BF1045" i="6"/>
  <c r="BF1046" i="6"/>
  <c r="BF1153" i="6"/>
  <c r="BF1159" i="6"/>
  <c r="BF1165" i="6"/>
  <c r="BF1171" i="6"/>
  <c r="BF1183" i="6"/>
  <c r="BF1154" i="6"/>
  <c r="BF1195" i="6"/>
  <c r="BF1213" i="6"/>
  <c r="BF1152" i="6"/>
  <c r="BF1158" i="6"/>
  <c r="BF1164" i="6"/>
  <c r="BF1160" i="6"/>
  <c r="BF1170" i="6"/>
  <c r="BF1182" i="6"/>
  <c r="BF1194" i="6"/>
  <c r="BF1212" i="6"/>
  <c r="BF1150" i="6"/>
  <c r="BF1166" i="6"/>
  <c r="BF1156" i="6"/>
  <c r="BF1162" i="6"/>
  <c r="BF1168" i="6"/>
  <c r="BF1180" i="6"/>
  <c r="BF1192" i="6"/>
  <c r="BF1172" i="6"/>
  <c r="BF1173" i="6"/>
  <c r="BF1174" i="6"/>
  <c r="BF1175" i="6"/>
  <c r="BF1176" i="6"/>
  <c r="BF1177" i="6"/>
  <c r="BF1178" i="6"/>
  <c r="BF1210" i="6"/>
  <c r="BF1151" i="6"/>
  <c r="BF1157" i="6"/>
  <c r="BF1163" i="6"/>
  <c r="BF1169" i="6"/>
  <c r="BF1184" i="6"/>
  <c r="BF9" i="6"/>
  <c r="BF10" i="6"/>
  <c r="BF11" i="6"/>
  <c r="BF12" i="6"/>
  <c r="BF13" i="6"/>
  <c r="BF14" i="6"/>
  <c r="BF15" i="6"/>
  <c r="BF16" i="6"/>
  <c r="BF17" i="6"/>
  <c r="BF18" i="6"/>
  <c r="BF19" i="6"/>
  <c r="BF20" i="6"/>
  <c r="BF21" i="6"/>
  <c r="BF22" i="6"/>
  <c r="BF23" i="6"/>
  <c r="BF24" i="6"/>
  <c r="BF25" i="6"/>
  <c r="BF26" i="6"/>
  <c r="BF27" i="6"/>
  <c r="BF28" i="6"/>
  <c r="BF29" i="6"/>
  <c r="BF30" i="6"/>
  <c r="BF31" i="6"/>
  <c r="BF32" i="6"/>
  <c r="BF33" i="6"/>
  <c r="BF34" i="6"/>
  <c r="BF35" i="6"/>
  <c r="BF36" i="6"/>
  <c r="BF37" i="6"/>
  <c r="BF38" i="6"/>
  <c r="BF183" i="6"/>
  <c r="BF184" i="6"/>
  <c r="BF185" i="6"/>
  <c r="BF186" i="6"/>
  <c r="BF187" i="6"/>
  <c r="BF188" i="6"/>
  <c r="BF291" i="6"/>
  <c r="BF292" i="6"/>
  <c r="BF293" i="6"/>
  <c r="BF294" i="6"/>
  <c r="BF295" i="6"/>
  <c r="BF296" i="6"/>
  <c r="BF297" i="6"/>
  <c r="BF298" i="6"/>
  <c r="BF299" i="6"/>
  <c r="BF300" i="6"/>
  <c r="BF301" i="6"/>
  <c r="BF302" i="6"/>
  <c r="BF579" i="6"/>
  <c r="BF580" i="6"/>
  <c r="BF581" i="6"/>
  <c r="BF582" i="6"/>
  <c r="BF583" i="6"/>
  <c r="BF584" i="6"/>
  <c r="BF303" i="6"/>
  <c r="BF304" i="6"/>
  <c r="BF305" i="6"/>
  <c r="BF306" i="6"/>
  <c r="BF307" i="6"/>
  <c r="BF308" i="6"/>
  <c r="BF537" i="6"/>
  <c r="BF538" i="6"/>
  <c r="BF539" i="6"/>
  <c r="BF540" i="6"/>
  <c r="BF541" i="6"/>
  <c r="BF542" i="6"/>
  <c r="BF309" i="6"/>
  <c r="BF310" i="6"/>
  <c r="BF311" i="6"/>
  <c r="BF312" i="6"/>
  <c r="BF313" i="6"/>
  <c r="BF314" i="6"/>
  <c r="BF315" i="6"/>
  <c r="BF316" i="6"/>
  <c r="BF317" i="6"/>
  <c r="BF318" i="6"/>
  <c r="BF319" i="6"/>
  <c r="BF320" i="6"/>
  <c r="BF423" i="6"/>
  <c r="BF424" i="6"/>
  <c r="BF425" i="6"/>
  <c r="BF426" i="6"/>
  <c r="BF427" i="6"/>
  <c r="BF428" i="6"/>
  <c r="BF279" i="6"/>
  <c r="BF280" i="6"/>
  <c r="BF281" i="6"/>
  <c r="BF282" i="6"/>
  <c r="BF283" i="6"/>
  <c r="BF284" i="6"/>
  <c r="BF285" i="6"/>
  <c r="BF286" i="6"/>
  <c r="BF287" i="6"/>
  <c r="BF288" i="6"/>
  <c r="BF289" i="6"/>
  <c r="BF290" i="6"/>
  <c r="BF375" i="6"/>
  <c r="BF376" i="6"/>
  <c r="BF377" i="6"/>
  <c r="BF378" i="6"/>
  <c r="BF379" i="6"/>
  <c r="BF380" i="6"/>
  <c r="BF435" i="6"/>
  <c r="BF436" i="6"/>
  <c r="BF437" i="6"/>
  <c r="BF438" i="6"/>
  <c r="BF439" i="6"/>
  <c r="BF440" i="6"/>
  <c r="BF651" i="6"/>
  <c r="BF652" i="6"/>
  <c r="BF653" i="6"/>
  <c r="BF654" i="6"/>
  <c r="BF655" i="6"/>
  <c r="BF656" i="6"/>
  <c r="BF957" i="6"/>
  <c r="BF958" i="6"/>
  <c r="BF959" i="6"/>
  <c r="BF960" i="6"/>
  <c r="BF961" i="6"/>
  <c r="BF962" i="6"/>
  <c r="BF1047" i="6"/>
  <c r="BF1048" i="6"/>
  <c r="BF1049" i="6"/>
  <c r="BF1050" i="6"/>
  <c r="BF1051" i="6"/>
  <c r="BF1052" i="6"/>
  <c r="BF963" i="6"/>
  <c r="BF964" i="6"/>
  <c r="BF965" i="6"/>
  <c r="BF966" i="6"/>
  <c r="BF967" i="6"/>
  <c r="BF968" i="6"/>
  <c r="BF1053" i="6"/>
  <c r="BF1054" i="6"/>
  <c r="BF1055" i="6"/>
  <c r="BF1056" i="6"/>
  <c r="BF1057" i="6"/>
  <c r="BF1058" i="6"/>
  <c r="BF1059" i="6"/>
  <c r="BF1060" i="6"/>
  <c r="BF1061" i="6"/>
  <c r="BF1062" i="6"/>
  <c r="BF1063" i="6"/>
  <c r="BF1064" i="6"/>
  <c r="BF969" i="6"/>
  <c r="BF970" i="6"/>
  <c r="BF971" i="6"/>
  <c r="BF972" i="6"/>
  <c r="BF973" i="6"/>
  <c r="BF974" i="6"/>
  <c r="BF1065" i="6"/>
  <c r="BF1066" i="6"/>
  <c r="BF1067" i="6"/>
  <c r="BF1068" i="6"/>
  <c r="BF1069" i="6"/>
  <c r="BF1070" i="6"/>
  <c r="BF1071" i="6"/>
  <c r="BF1072" i="6"/>
  <c r="BF1073" i="6"/>
  <c r="BF1074" i="6"/>
  <c r="BF1075" i="6"/>
  <c r="BF1076" i="6"/>
  <c r="BF1077" i="6"/>
  <c r="BF1078" i="6"/>
  <c r="BF1079" i="6"/>
  <c r="BF1080" i="6"/>
  <c r="BF1081" i="6"/>
  <c r="BF1082" i="6"/>
  <c r="BF975" i="6"/>
  <c r="BF976" i="6"/>
  <c r="BF977" i="6"/>
  <c r="BF978" i="6"/>
  <c r="BF979" i="6"/>
  <c r="BF980" i="6"/>
  <c r="BF1185" i="6"/>
  <c r="BF1186" i="6"/>
  <c r="BF1187" i="6"/>
  <c r="BF1188" i="6"/>
  <c r="BF1189" i="6"/>
  <c r="BF1190" i="6"/>
  <c r="BF1181" i="6"/>
  <c r="BF1193" i="6"/>
  <c r="BF1211" i="6"/>
  <c r="BF1149" i="6"/>
  <c r="BF1155" i="6"/>
  <c r="BF1196" i="6"/>
  <c r="BF1197" i="6"/>
  <c r="BF1198" i="6"/>
  <c r="BF1199" i="6"/>
  <c r="BF1200" i="6"/>
  <c r="BF1201" i="6"/>
  <c r="BF1202" i="6"/>
  <c r="BF1203" i="6"/>
  <c r="BF1204" i="6"/>
  <c r="BF1205" i="6"/>
  <c r="BF1206" i="6"/>
  <c r="BF1207" i="6"/>
  <c r="BF1208" i="6"/>
  <c r="BF1161" i="6"/>
  <c r="BF1167" i="6"/>
  <c r="BF1179" i="6"/>
  <c r="BF1191" i="6"/>
  <c r="BF1209" i="6"/>
  <c r="BF1214" i="6"/>
  <c r="BF1215" i="6"/>
  <c r="BF1216" i="6"/>
  <c r="BF1217" i="6"/>
  <c r="BF1218" i="6"/>
  <c r="BF1219" i="6"/>
  <c r="BF1220" i="6"/>
  <c r="BF1221" i="6"/>
  <c r="BF1222" i="6"/>
  <c r="BF1223" i="6"/>
  <c r="BF1224" i="6"/>
  <c r="BF1225" i="6"/>
  <c r="BF1226" i="6"/>
  <c r="BF1227" i="6"/>
  <c r="BF1228" i="6"/>
  <c r="BF1229" i="6"/>
  <c r="BF1230" i="6"/>
  <c r="BF1231" i="6"/>
  <c r="BF1232" i="6"/>
  <c r="BF1233" i="6"/>
  <c r="BF1234" i="6"/>
  <c r="BF1235" i="6"/>
  <c r="BF1236" i="6"/>
  <c r="BF1237" i="6"/>
  <c r="BF1238" i="6"/>
  <c r="BF105" i="6"/>
  <c r="BF106" i="6"/>
  <c r="BF107" i="6"/>
  <c r="BF108" i="6"/>
  <c r="BF109" i="6"/>
  <c r="BF110" i="6"/>
  <c r="BF111" i="6"/>
  <c r="BF112" i="6"/>
  <c r="BF113" i="6"/>
  <c r="BF114" i="6"/>
  <c r="BF115" i="6"/>
  <c r="BF116" i="6"/>
  <c r="BF117" i="6"/>
  <c r="BF118" i="6"/>
  <c r="BF119" i="6"/>
  <c r="BF120" i="6"/>
  <c r="BF121" i="6"/>
  <c r="BF122" i="6"/>
  <c r="BF123" i="6"/>
  <c r="BF124" i="6"/>
  <c r="BF125" i="6"/>
  <c r="BF126" i="6"/>
  <c r="BF127" i="6"/>
  <c r="BF128" i="6"/>
  <c r="BF39" i="6"/>
  <c r="BF40" i="6"/>
  <c r="BF41" i="6"/>
  <c r="BF42" i="6"/>
  <c r="BF43" i="6"/>
  <c r="BF44" i="6"/>
  <c r="BF45" i="6"/>
  <c r="BF46" i="6"/>
  <c r="BF47" i="6"/>
  <c r="BF48" i="6"/>
  <c r="BF49" i="6"/>
  <c r="BF50" i="6"/>
  <c r="BF51" i="6"/>
  <c r="BF52" i="6"/>
  <c r="BF53" i="6"/>
  <c r="BF54" i="6"/>
  <c r="BF55" i="6"/>
  <c r="BF56" i="6"/>
  <c r="BF57" i="6"/>
  <c r="BF58" i="6"/>
  <c r="BF59" i="6"/>
  <c r="BF60" i="6"/>
  <c r="BF61" i="6"/>
  <c r="BF62" i="6"/>
  <c r="BF63" i="6"/>
  <c r="BF64" i="6"/>
  <c r="BF65" i="6"/>
  <c r="BF66" i="6"/>
  <c r="BF67" i="6"/>
  <c r="BF68" i="6"/>
  <c r="BF69" i="6"/>
  <c r="BF70" i="6"/>
  <c r="BF71" i="6"/>
  <c r="BF72" i="6"/>
  <c r="BF73" i="6"/>
  <c r="BF74" i="6"/>
  <c r="BF75" i="6"/>
  <c r="BF76" i="6"/>
  <c r="BF77" i="6"/>
  <c r="BF78" i="6"/>
  <c r="BF79" i="6"/>
  <c r="BF80" i="6"/>
  <c r="BF129" i="6"/>
  <c r="BF130" i="6"/>
  <c r="BF131" i="6"/>
  <c r="BF132" i="6"/>
  <c r="BF133" i="6"/>
  <c r="BF134" i="6"/>
  <c r="BF135" i="6"/>
  <c r="BF136" i="6"/>
  <c r="BF137" i="6"/>
  <c r="BF138" i="6"/>
  <c r="BF139" i="6"/>
  <c r="BF140" i="6"/>
  <c r="BF141" i="6"/>
  <c r="BF142" i="6"/>
  <c r="BF143" i="6"/>
  <c r="BF144" i="6"/>
  <c r="BF145" i="6"/>
  <c r="BF146" i="6"/>
  <c r="BF147" i="6"/>
  <c r="BF148" i="6"/>
  <c r="BF149" i="6"/>
  <c r="BF150" i="6"/>
  <c r="BF151" i="6"/>
  <c r="BF152" i="6"/>
  <c r="BF81" i="6"/>
  <c r="BF82" i="6"/>
  <c r="BF83" i="6"/>
  <c r="BF84" i="6"/>
  <c r="BF85" i="6"/>
  <c r="BF86" i="6"/>
  <c r="BF87" i="6"/>
  <c r="BF88" i="6"/>
  <c r="BF89" i="6"/>
  <c r="BF90" i="6"/>
  <c r="BF91" i="6"/>
  <c r="BF92" i="6"/>
  <c r="BF153" i="6"/>
  <c r="BF154" i="6"/>
  <c r="BF155" i="6"/>
  <c r="BF156" i="6"/>
  <c r="BF157" i="6"/>
  <c r="BF158" i="6"/>
  <c r="BF159" i="6"/>
  <c r="BF160" i="6"/>
  <c r="BF161" i="6"/>
  <c r="BF162" i="6"/>
  <c r="BF163" i="6"/>
  <c r="BF164" i="6"/>
  <c r="BF93" i="6"/>
  <c r="BF94" i="6"/>
  <c r="BF95" i="6"/>
  <c r="BF96" i="6"/>
  <c r="BF97" i="6"/>
  <c r="BF98" i="6"/>
  <c r="BF165" i="6"/>
  <c r="BF166" i="6"/>
  <c r="BF167" i="6"/>
  <c r="BF168" i="6"/>
  <c r="BF169" i="6"/>
  <c r="BF170" i="6"/>
  <c r="BF171" i="6"/>
  <c r="BF172" i="6"/>
  <c r="BF173" i="6"/>
  <c r="BF174" i="6"/>
  <c r="BF175" i="6"/>
  <c r="BF176" i="6"/>
  <c r="BF99" i="6"/>
  <c r="BF100" i="6"/>
  <c r="BF101" i="6"/>
  <c r="BF102" i="6"/>
  <c r="BF103" i="6"/>
  <c r="BF104" i="6"/>
  <c r="BF177" i="6"/>
  <c r="BF178" i="6"/>
  <c r="BF179" i="6"/>
  <c r="BF180" i="6"/>
  <c r="BF181" i="6"/>
  <c r="BF182" i="6"/>
  <c r="BF189" i="6"/>
  <c r="BF190" i="6"/>
  <c r="BF191" i="6"/>
  <c r="BF192" i="6"/>
  <c r="BF193" i="6"/>
  <c r="BF194" i="6"/>
  <c r="BF195" i="6"/>
  <c r="BF196" i="6"/>
  <c r="BF197" i="6"/>
  <c r="BF198" i="6"/>
  <c r="BF199" i="6"/>
  <c r="BF200" i="6"/>
  <c r="BF201" i="6"/>
  <c r="BF202" i="6"/>
  <c r="BF203" i="6"/>
  <c r="BF204" i="6"/>
  <c r="BF205" i="6"/>
  <c r="BF206" i="6"/>
  <c r="BF207" i="6"/>
  <c r="BF208" i="6"/>
  <c r="BF209" i="6"/>
  <c r="BF210" i="6"/>
  <c r="BF211" i="6"/>
  <c r="BF212" i="6"/>
  <c r="BF219" i="6"/>
  <c r="BF220" i="6"/>
  <c r="BF221" i="6"/>
  <c r="BF222" i="6"/>
  <c r="BF223" i="6"/>
  <c r="BF224" i="6"/>
  <c r="BF225" i="6"/>
  <c r="BF226" i="6"/>
  <c r="BF227" i="6"/>
  <c r="BF228" i="6"/>
  <c r="BF229" i="6"/>
  <c r="BF230" i="6"/>
  <c r="BF231" i="6"/>
  <c r="BF232" i="6"/>
  <c r="BF233" i="6"/>
  <c r="BF234" i="6"/>
  <c r="BF235" i="6"/>
  <c r="BF236" i="6"/>
  <c r="BF237" i="6"/>
  <c r="BF238" i="6"/>
  <c r="BF239" i="6"/>
  <c r="BF240" i="6"/>
  <c r="BF241" i="6"/>
  <c r="BF242" i="6"/>
  <c r="BF243" i="6"/>
  <c r="BF244" i="6"/>
  <c r="BF245" i="6"/>
  <c r="BF246" i="6"/>
  <c r="BF247" i="6"/>
  <c r="BF248" i="6"/>
  <c r="BF249" i="6"/>
  <c r="BF250" i="6"/>
  <c r="BF251" i="6"/>
  <c r="BF252" i="6"/>
  <c r="BF253" i="6"/>
  <c r="BF254" i="6"/>
  <c r="BF255" i="6"/>
  <c r="BF256" i="6"/>
  <c r="BF257" i="6"/>
  <c r="BF258" i="6"/>
  <c r="BF259" i="6"/>
  <c r="BF260" i="6"/>
  <c r="BF261" i="6"/>
  <c r="BF262" i="6"/>
  <c r="BF263" i="6"/>
  <c r="BF264" i="6"/>
  <c r="BF265" i="6"/>
  <c r="BF266" i="6"/>
  <c r="BF267" i="6"/>
  <c r="BF268" i="6"/>
  <c r="BF269" i="6"/>
  <c r="BF270" i="6"/>
  <c r="BF271" i="6"/>
  <c r="BF272" i="6"/>
  <c r="BF333" i="6"/>
  <c r="BF334" i="6"/>
  <c r="BF335" i="6"/>
  <c r="BF336" i="6"/>
  <c r="BF337" i="6"/>
  <c r="BF338" i="6"/>
  <c r="BF339" i="6"/>
  <c r="BF340" i="6"/>
  <c r="BF341" i="6"/>
  <c r="BF342" i="6"/>
  <c r="BF343" i="6"/>
  <c r="BF344" i="6"/>
  <c r="BF441" i="6"/>
  <c r="BF442" i="6"/>
  <c r="BF443" i="6"/>
  <c r="BF444" i="6"/>
  <c r="BF445" i="6"/>
  <c r="BF446" i="6"/>
  <c r="BF447" i="6"/>
  <c r="BF448" i="6"/>
  <c r="BF449" i="6"/>
  <c r="BF450" i="6"/>
  <c r="BF451" i="6"/>
  <c r="BF452" i="6"/>
  <c r="BF543" i="6"/>
  <c r="BF544" i="6"/>
  <c r="BF545" i="6"/>
  <c r="BF546" i="6"/>
  <c r="BF547" i="6"/>
  <c r="BF548" i="6"/>
  <c r="BF453" i="6"/>
  <c r="BF454" i="6"/>
  <c r="BF455" i="6"/>
  <c r="BF456" i="6"/>
  <c r="BF457" i="6"/>
  <c r="BF458" i="6"/>
  <c r="BF321" i="6"/>
  <c r="BF322" i="6"/>
  <c r="BF323" i="6"/>
  <c r="BF324" i="6"/>
  <c r="BF325" i="6"/>
  <c r="BF326" i="6"/>
  <c r="BF549" i="6"/>
  <c r="BF550" i="6"/>
  <c r="BF551" i="6"/>
  <c r="BF552" i="6"/>
  <c r="BF553" i="6"/>
  <c r="BF554" i="6"/>
  <c r="BF381" i="6"/>
  <c r="BF382" i="6"/>
  <c r="BF383" i="6"/>
  <c r="BF384" i="6"/>
  <c r="BF385" i="6"/>
  <c r="BF386" i="6"/>
  <c r="BF387" i="6"/>
  <c r="BF388" i="6"/>
  <c r="BF389" i="6"/>
  <c r="BF390" i="6"/>
  <c r="BF391" i="6"/>
  <c r="BF392" i="6"/>
  <c r="BF345" i="6"/>
  <c r="BF346" i="6"/>
  <c r="BF347" i="6"/>
  <c r="BF348" i="6"/>
  <c r="BF349" i="6"/>
  <c r="BF350" i="6"/>
  <c r="BF459" i="6"/>
  <c r="BF460" i="6"/>
  <c r="BF461" i="6"/>
  <c r="BF462" i="6"/>
  <c r="BF463" i="6"/>
  <c r="BF464" i="6"/>
  <c r="BF351" i="6"/>
  <c r="BF352" i="6"/>
  <c r="BF353" i="6"/>
  <c r="BF354" i="6"/>
  <c r="BF355" i="6"/>
  <c r="BF356" i="6"/>
  <c r="BF465" i="6"/>
  <c r="BF466" i="6"/>
  <c r="BF467" i="6"/>
  <c r="BF468" i="6"/>
  <c r="BF469" i="6"/>
  <c r="BF470" i="6"/>
  <c r="BF471" i="6"/>
  <c r="BF472" i="6"/>
  <c r="BF473" i="6"/>
  <c r="BF474" i="6"/>
  <c r="BF475" i="6"/>
  <c r="BF476" i="6"/>
  <c r="BF357" i="6"/>
  <c r="BF358" i="6"/>
  <c r="BF359" i="6"/>
  <c r="BF360" i="6"/>
  <c r="BF361" i="6"/>
  <c r="BF362" i="6"/>
  <c r="BF393" i="6"/>
  <c r="BF394" i="6"/>
  <c r="BF395" i="6"/>
  <c r="BF396" i="6"/>
  <c r="BF397" i="6"/>
  <c r="BF398" i="6"/>
  <c r="BF585" i="6"/>
  <c r="BF586" i="6"/>
  <c r="BF587" i="6"/>
  <c r="BF588" i="6"/>
  <c r="BF589" i="6"/>
  <c r="BF590" i="6"/>
  <c r="BF591" i="6"/>
  <c r="BF592" i="6"/>
  <c r="BF593" i="6"/>
  <c r="BF594" i="6"/>
  <c r="BF595" i="6"/>
  <c r="BF596" i="6"/>
  <c r="BF627" i="6"/>
  <c r="BF628" i="6"/>
  <c r="BF629" i="6"/>
  <c r="BF630" i="6"/>
  <c r="BF631" i="6"/>
  <c r="BF632" i="6"/>
  <c r="BF477" i="6"/>
  <c r="BF478" i="6"/>
  <c r="BF479" i="6"/>
  <c r="BF480" i="6"/>
  <c r="BF481" i="6"/>
  <c r="BF482" i="6"/>
  <c r="BF483" i="6"/>
  <c r="BF484" i="6"/>
  <c r="BF485" i="6"/>
  <c r="BF486" i="6"/>
  <c r="BF487" i="6"/>
  <c r="BF488" i="6"/>
  <c r="BF489" i="6"/>
  <c r="BF490" i="6"/>
  <c r="BF491" i="6"/>
  <c r="BF492" i="6"/>
  <c r="BF493" i="6"/>
  <c r="BF494" i="6"/>
  <c r="BF495" i="6"/>
  <c r="BF496" i="6"/>
  <c r="BF497" i="6"/>
  <c r="BF498" i="6"/>
  <c r="BF499" i="6"/>
  <c r="BF500" i="6"/>
  <c r="BF363" i="6"/>
  <c r="BF364" i="6"/>
  <c r="BF365" i="6"/>
  <c r="BF366" i="6"/>
  <c r="BF367" i="6"/>
  <c r="BF368" i="6"/>
  <c r="BF597" i="6"/>
  <c r="BF598" i="6"/>
  <c r="BF599" i="6"/>
  <c r="BF600" i="6"/>
  <c r="BF601" i="6"/>
  <c r="BF602" i="6"/>
  <c r="BF327" i="6"/>
  <c r="BF328" i="6"/>
  <c r="BF329" i="6"/>
  <c r="BF330" i="6"/>
  <c r="BF331" i="6"/>
  <c r="BF332" i="6"/>
  <c r="BF507" i="6"/>
  <c r="BF508" i="6"/>
  <c r="BF509" i="6"/>
  <c r="BF510" i="6"/>
  <c r="BF511" i="6"/>
  <c r="BF512" i="6"/>
  <c r="BF399" i="6"/>
  <c r="BF400" i="6"/>
  <c r="BF401" i="6"/>
  <c r="BF402" i="6"/>
  <c r="BF403" i="6"/>
  <c r="BF404" i="6"/>
  <c r="BF405" i="6"/>
  <c r="BF406" i="6"/>
  <c r="BF407" i="6"/>
  <c r="BF408" i="6"/>
  <c r="BF409" i="6"/>
  <c r="BF410" i="6"/>
  <c r="BF513" i="6"/>
  <c r="BF514" i="6"/>
  <c r="BF515" i="6"/>
  <c r="BF516" i="6"/>
  <c r="BF517" i="6"/>
  <c r="BF518" i="6"/>
  <c r="BF603" i="6"/>
  <c r="BF604" i="6"/>
  <c r="BF605" i="6"/>
  <c r="BF606" i="6"/>
  <c r="BF607" i="6"/>
  <c r="BF608" i="6"/>
  <c r="BF555" i="6"/>
  <c r="BF556" i="6"/>
  <c r="BF557" i="6"/>
  <c r="BF558" i="6"/>
  <c r="BF559" i="6"/>
  <c r="BF560" i="6"/>
  <c r="BF369" i="6"/>
  <c r="BF370" i="6"/>
  <c r="BF371" i="6"/>
  <c r="BF372" i="6"/>
  <c r="BF373" i="6"/>
  <c r="BF374" i="6"/>
  <c r="BF609" i="6"/>
  <c r="BF610" i="6"/>
  <c r="BF611" i="6"/>
  <c r="BF612" i="6"/>
  <c r="BF613" i="6"/>
  <c r="BF614" i="6"/>
  <c r="BF519" i="6"/>
  <c r="BF520" i="6"/>
  <c r="BF521" i="6"/>
  <c r="BF522" i="6"/>
  <c r="BF523" i="6"/>
  <c r="BF524" i="6"/>
  <c r="BF525" i="6"/>
  <c r="BF526" i="6"/>
  <c r="BF527" i="6"/>
  <c r="BF528" i="6"/>
  <c r="BF529" i="6"/>
  <c r="BF530" i="6"/>
  <c r="BF561" i="6"/>
  <c r="BF562" i="6"/>
  <c r="BF563" i="6"/>
  <c r="BF564" i="6"/>
  <c r="BF565" i="6"/>
  <c r="BF566" i="6"/>
  <c r="BF567" i="6"/>
  <c r="BF568" i="6"/>
  <c r="BF569" i="6"/>
  <c r="BF570" i="6"/>
  <c r="BF571" i="6"/>
  <c r="BF572" i="6"/>
  <c r="BF573" i="6"/>
  <c r="BF574" i="6"/>
  <c r="BF575" i="6"/>
  <c r="BF576" i="6"/>
  <c r="BF577" i="6"/>
  <c r="BF578" i="6"/>
  <c r="BF615" i="6"/>
  <c r="BF616" i="6"/>
  <c r="BF617" i="6"/>
  <c r="BF618" i="6"/>
  <c r="BF619" i="6"/>
  <c r="BF620" i="6"/>
  <c r="BF807" i="6"/>
  <c r="BF808" i="6"/>
  <c r="BF809" i="6"/>
  <c r="BF810" i="6"/>
  <c r="BF811" i="6"/>
  <c r="BF812" i="6"/>
  <c r="BF657" i="6"/>
  <c r="BF658" i="6"/>
  <c r="BF659" i="6"/>
  <c r="BF660" i="6"/>
  <c r="BF661" i="6"/>
  <c r="BF662" i="6"/>
  <c r="BF663" i="6"/>
  <c r="BF664" i="6"/>
  <c r="BF665" i="6"/>
  <c r="BF666" i="6"/>
  <c r="BF667" i="6"/>
  <c r="BF668" i="6"/>
  <c r="BF669" i="6"/>
  <c r="BF670" i="6"/>
  <c r="BF671" i="6"/>
  <c r="BF672" i="6"/>
  <c r="BF673" i="6"/>
  <c r="BF674" i="6"/>
  <c r="BF675" i="6"/>
  <c r="BF676" i="6"/>
  <c r="BF677" i="6"/>
  <c r="BF678" i="6"/>
  <c r="BF679" i="6"/>
  <c r="BF680" i="6"/>
  <c r="BF681" i="6"/>
  <c r="BF682" i="6"/>
  <c r="BF683" i="6"/>
  <c r="BF684" i="6"/>
  <c r="BF685" i="6"/>
  <c r="BF686" i="6"/>
  <c r="BF813" i="6"/>
  <c r="BF814" i="6"/>
  <c r="BF815" i="6"/>
  <c r="BF816" i="6"/>
  <c r="BF817" i="6"/>
  <c r="BF818" i="6"/>
  <c r="BF819" i="6"/>
  <c r="BF820" i="6"/>
  <c r="BF821" i="6"/>
  <c r="BF822" i="6"/>
  <c r="BF823" i="6"/>
  <c r="BF824" i="6"/>
  <c r="BF825" i="6"/>
  <c r="BF826" i="6"/>
  <c r="BF827" i="6"/>
  <c r="BF828" i="6"/>
  <c r="BF829" i="6"/>
  <c r="BF830" i="6"/>
  <c r="BF831" i="6"/>
  <c r="BF832" i="6"/>
  <c r="BF833" i="6"/>
  <c r="BF834" i="6"/>
  <c r="BF835" i="6"/>
  <c r="BF836" i="6"/>
  <c r="BF837" i="6"/>
  <c r="BF838" i="6"/>
  <c r="BF839" i="6"/>
  <c r="BF840" i="6"/>
  <c r="BF841" i="6"/>
  <c r="BF842" i="6"/>
  <c r="BF843" i="6"/>
  <c r="BF844" i="6"/>
  <c r="BF845" i="6"/>
  <c r="BF846" i="6"/>
  <c r="BF847" i="6"/>
  <c r="BF848" i="6"/>
  <c r="BF849" i="6"/>
  <c r="BF850" i="6"/>
  <c r="BF851" i="6"/>
  <c r="BF852" i="6"/>
  <c r="BF853" i="6"/>
  <c r="BF854" i="6"/>
  <c r="BF855" i="6"/>
  <c r="BF856" i="6"/>
  <c r="BF857" i="6"/>
  <c r="BF858" i="6"/>
  <c r="BF859" i="6"/>
  <c r="BF860" i="6"/>
  <c r="BF687" i="6"/>
  <c r="BF688" i="6"/>
  <c r="BF689" i="6"/>
  <c r="BF690" i="6"/>
  <c r="BF691" i="6"/>
  <c r="BF692" i="6"/>
  <c r="BF693" i="6"/>
  <c r="BF694" i="6"/>
  <c r="BF695" i="6"/>
  <c r="BF696" i="6"/>
  <c r="BF697" i="6"/>
  <c r="BF698" i="6"/>
  <c r="BF861" i="6"/>
  <c r="BF862" i="6"/>
  <c r="BF863" i="6"/>
  <c r="BF864" i="6"/>
  <c r="BF865" i="6"/>
  <c r="BF866" i="6"/>
  <c r="BF867" i="6"/>
  <c r="BF868" i="6"/>
  <c r="BF869" i="6"/>
  <c r="BF870" i="6"/>
  <c r="BF871" i="6"/>
  <c r="BF872" i="6"/>
  <c r="BF741" i="6"/>
  <c r="BF742" i="6"/>
  <c r="BF743" i="6"/>
  <c r="BF744" i="6"/>
  <c r="BF745" i="6"/>
  <c r="BF746" i="6"/>
  <c r="BF747" i="6"/>
  <c r="BF748" i="6"/>
  <c r="BF749" i="6"/>
  <c r="BF750" i="6"/>
  <c r="BF751" i="6"/>
  <c r="BF752" i="6"/>
  <c r="BF753" i="6"/>
  <c r="BF754" i="6"/>
  <c r="BF755" i="6"/>
  <c r="BF756" i="6"/>
  <c r="BF757" i="6"/>
  <c r="BF758" i="6"/>
  <c r="BF759" i="6"/>
  <c r="BF760" i="6"/>
  <c r="BF761" i="6"/>
  <c r="BF762" i="6"/>
  <c r="BF763" i="6"/>
  <c r="BF764" i="6"/>
  <c r="BF765" i="6"/>
  <c r="BF766" i="6"/>
  <c r="BF767" i="6"/>
  <c r="BF768" i="6"/>
  <c r="BF769" i="6"/>
  <c r="BF770" i="6"/>
  <c r="BF771" i="6"/>
  <c r="BF772" i="6"/>
  <c r="BF773" i="6"/>
  <c r="BF774" i="6"/>
  <c r="BF775" i="6"/>
  <c r="BF776" i="6"/>
  <c r="BF777" i="6"/>
  <c r="BF778" i="6"/>
  <c r="BF779" i="6"/>
  <c r="BF780" i="6"/>
  <c r="BF781" i="6"/>
  <c r="BF782" i="6"/>
  <c r="BF783" i="6"/>
  <c r="BF784" i="6"/>
  <c r="BF785" i="6"/>
  <c r="BF786" i="6"/>
  <c r="BF787" i="6"/>
  <c r="BF788" i="6"/>
  <c r="BF699" i="6"/>
  <c r="BF700" i="6"/>
  <c r="BF701" i="6"/>
  <c r="BF702" i="6"/>
  <c r="BF703" i="6"/>
  <c r="BF704" i="6"/>
  <c r="BF873" i="6"/>
  <c r="BF874" i="6"/>
  <c r="BF875" i="6"/>
  <c r="BF876" i="6"/>
  <c r="BF877" i="6"/>
  <c r="BF878" i="6"/>
  <c r="BF879" i="6"/>
  <c r="BF880" i="6"/>
  <c r="BF881" i="6"/>
  <c r="BF882" i="6"/>
  <c r="BF883" i="6"/>
  <c r="BF884" i="6"/>
  <c r="BF885" i="6"/>
  <c r="BF886" i="6"/>
  <c r="BF887" i="6"/>
  <c r="BF888" i="6"/>
  <c r="BF889" i="6"/>
  <c r="BF890" i="6"/>
  <c r="BF891" i="6"/>
  <c r="BF892" i="6"/>
  <c r="BF893" i="6"/>
  <c r="BF894" i="6"/>
  <c r="BF895" i="6"/>
  <c r="BF896" i="6"/>
  <c r="BF897" i="6"/>
  <c r="BF898" i="6"/>
  <c r="BF899" i="6"/>
  <c r="BF900" i="6"/>
  <c r="BF901" i="6"/>
  <c r="BF902" i="6"/>
  <c r="BF705" i="6"/>
  <c r="BF706" i="6"/>
  <c r="BF707" i="6"/>
  <c r="BF708" i="6"/>
  <c r="BF709" i="6"/>
  <c r="BF710" i="6"/>
  <c r="BF945" i="6"/>
  <c r="BF946" i="6"/>
  <c r="BF947" i="6"/>
  <c r="BF948" i="6"/>
  <c r="BF949" i="6"/>
  <c r="BF950" i="6"/>
  <c r="BF903" i="6"/>
  <c r="BF904" i="6"/>
  <c r="BF905" i="6"/>
  <c r="BF906" i="6"/>
  <c r="BF907" i="6"/>
  <c r="BF908" i="6"/>
  <c r="BF789" i="6"/>
  <c r="BF790" i="6"/>
  <c r="BF791" i="6"/>
  <c r="BF792" i="6"/>
  <c r="BF793" i="6"/>
  <c r="BF794" i="6"/>
  <c r="BF795" i="6"/>
  <c r="BF796" i="6"/>
  <c r="BF797" i="6"/>
  <c r="BF798" i="6"/>
  <c r="BF799" i="6"/>
  <c r="BF800" i="6"/>
  <c r="BF711" i="6"/>
  <c r="BF712" i="6"/>
  <c r="BF713" i="6"/>
  <c r="BF714" i="6"/>
  <c r="BF715" i="6"/>
  <c r="BF716" i="6"/>
  <c r="BF915" i="6"/>
  <c r="BF916" i="6"/>
  <c r="BF917" i="6"/>
  <c r="BF918" i="6"/>
  <c r="BF919" i="6"/>
  <c r="BF920" i="6"/>
  <c r="BF951" i="6"/>
  <c r="BF952" i="6"/>
  <c r="BF953" i="6"/>
  <c r="BF954" i="6"/>
  <c r="BF955" i="6"/>
  <c r="BF956" i="6"/>
  <c r="BF921" i="6"/>
  <c r="BF922" i="6"/>
  <c r="BF923" i="6"/>
  <c r="BF924" i="6"/>
  <c r="BF925" i="6"/>
  <c r="BF926" i="6"/>
  <c r="BF927" i="6"/>
  <c r="BF928" i="6"/>
  <c r="BF929" i="6"/>
  <c r="BF930" i="6"/>
  <c r="BF931" i="6"/>
  <c r="BF932" i="6"/>
  <c r="BF933" i="6"/>
  <c r="BF934" i="6"/>
  <c r="BF935" i="6"/>
  <c r="BF936" i="6"/>
  <c r="BF937" i="6"/>
  <c r="BF938" i="6"/>
  <c r="BF717" i="6"/>
  <c r="BF718" i="6"/>
  <c r="BF719" i="6"/>
  <c r="BF720" i="6"/>
  <c r="BF721" i="6"/>
  <c r="BF722" i="6"/>
  <c r="BF939" i="6"/>
  <c r="BF940" i="6"/>
  <c r="BF941" i="6"/>
  <c r="BF942" i="6"/>
  <c r="BF943" i="6"/>
  <c r="BF944" i="6"/>
  <c r="BF723" i="6"/>
  <c r="BF724" i="6"/>
  <c r="BF725" i="6"/>
  <c r="BF726" i="6"/>
  <c r="BF727" i="6"/>
  <c r="BF728" i="6"/>
  <c r="BF729" i="6"/>
  <c r="BF730" i="6"/>
  <c r="BF731" i="6"/>
  <c r="BF732" i="6"/>
  <c r="BF733" i="6"/>
  <c r="BF734" i="6"/>
  <c r="BF735" i="6"/>
  <c r="BF736" i="6"/>
  <c r="BF737" i="6"/>
  <c r="BF738" i="6"/>
  <c r="BF739" i="6"/>
  <c r="BF740" i="6"/>
  <c r="BF1083" i="6"/>
  <c r="BF1084" i="6"/>
  <c r="BF1085" i="6"/>
  <c r="BF1086" i="6"/>
  <c r="BF1087" i="6"/>
  <c r="BF1088" i="6"/>
  <c r="BF981" i="6"/>
  <c r="BF982" i="6"/>
  <c r="BF983" i="6"/>
  <c r="BF984" i="6"/>
  <c r="BF985" i="6"/>
  <c r="BF986" i="6"/>
  <c r="BF987" i="6"/>
  <c r="BF988" i="6"/>
  <c r="BF989" i="6"/>
  <c r="BF990" i="6"/>
  <c r="BF991" i="6"/>
  <c r="BF992" i="6"/>
  <c r="BF993" i="6"/>
  <c r="BF994" i="6"/>
  <c r="BF995" i="6"/>
  <c r="BF996" i="6"/>
  <c r="BF997" i="6"/>
  <c r="BF998" i="6"/>
  <c r="BF1089" i="6"/>
  <c r="BF1090" i="6"/>
  <c r="BF1091" i="6"/>
  <c r="BF1092" i="6"/>
  <c r="BF1093" i="6"/>
  <c r="BF1094" i="6"/>
  <c r="BF1125" i="6"/>
  <c r="BF1126" i="6"/>
  <c r="BF1127" i="6"/>
  <c r="BF1128" i="6"/>
  <c r="BF1129" i="6"/>
  <c r="BF1130" i="6"/>
  <c r="BF1131" i="6"/>
  <c r="BF1132" i="6"/>
  <c r="BF1133" i="6"/>
  <c r="BF1134" i="6"/>
  <c r="BF1135" i="6"/>
  <c r="BF1136" i="6"/>
  <c r="BF1095" i="6"/>
  <c r="BF1096" i="6"/>
  <c r="BF1097" i="6"/>
  <c r="BF1098" i="6"/>
  <c r="BF1099" i="6"/>
  <c r="BF1100" i="6"/>
  <c r="BF1101" i="6"/>
  <c r="BF1102" i="6"/>
  <c r="BF1103" i="6"/>
  <c r="BF1104" i="6"/>
  <c r="BF1105" i="6"/>
  <c r="BF1106" i="6"/>
  <c r="BF1137" i="6"/>
  <c r="BF1138" i="6"/>
  <c r="BF1139" i="6"/>
  <c r="BF1140" i="6"/>
  <c r="BF1141" i="6"/>
  <c r="BF1142" i="6"/>
  <c r="BF999" i="6"/>
  <c r="BF1000" i="6"/>
  <c r="BF1001" i="6"/>
  <c r="BF1002" i="6"/>
  <c r="BF1003" i="6"/>
  <c r="BF1004" i="6"/>
  <c r="BF1107" i="6"/>
  <c r="BF1108" i="6"/>
  <c r="BF1109" i="6"/>
  <c r="BF1110" i="6"/>
  <c r="BF1111" i="6"/>
  <c r="BF1112" i="6"/>
  <c r="BF1113" i="6"/>
  <c r="BF1114" i="6"/>
  <c r="BF1115" i="6"/>
  <c r="BF1116" i="6"/>
  <c r="BF1117" i="6"/>
  <c r="BF1118" i="6"/>
  <c r="BF1005" i="6"/>
  <c r="BF1006" i="6"/>
  <c r="BF1007" i="6"/>
  <c r="BF1008" i="6"/>
  <c r="BF1009" i="6"/>
  <c r="BF1010" i="6"/>
  <c r="BF1119" i="6"/>
  <c r="BF1120" i="6"/>
  <c r="BF1121" i="6"/>
  <c r="BF1122" i="6"/>
  <c r="BF1123" i="6"/>
  <c r="BF1124" i="6"/>
  <c r="BF1143" i="6"/>
  <c r="BF1144" i="6"/>
  <c r="BF1145" i="6"/>
  <c r="BF1146" i="6"/>
  <c r="BF1147" i="6"/>
  <c r="BF1148" i="6"/>
  <c r="BF1243" i="6"/>
  <c r="BF1249" i="6"/>
  <c r="BF1242" i="6"/>
  <c r="BF1248" i="6"/>
  <c r="BF1240" i="6"/>
  <c r="BF1244" i="6"/>
  <c r="BF1246" i="6"/>
  <c r="BF1241" i="6"/>
  <c r="BF1247" i="6"/>
  <c r="BF1239" i="6"/>
  <c r="BF1245" i="6"/>
  <c r="BF1250" i="6"/>
  <c r="BF1251" i="6"/>
  <c r="BF1252" i="6"/>
  <c r="BF1253" i="6"/>
  <c r="BF1254" i="6"/>
  <c r="BF1255" i="6"/>
  <c r="BF1256" i="6"/>
  <c r="BF1257" i="6"/>
  <c r="BF1258" i="6"/>
  <c r="BF1259" i="6"/>
  <c r="BF1260" i="6"/>
  <c r="BF1261" i="6"/>
  <c r="BF1262" i="6"/>
  <c r="BF1263" i="6"/>
  <c r="BF1264" i="6"/>
  <c r="BF1265" i="6"/>
  <c r="BF1266" i="6"/>
  <c r="BF1267" i="6"/>
  <c r="BF1268" i="6"/>
  <c r="BF909" i="6"/>
  <c r="BF910" i="6"/>
  <c r="BF911" i="6"/>
  <c r="BF912" i="6"/>
  <c r="BF913" i="6"/>
  <c r="BF914" i="6"/>
  <c r="BF1011" i="6"/>
  <c r="BF1012" i="6"/>
  <c r="BF1013" i="6"/>
  <c r="BF1014" i="6"/>
  <c r="BF1015" i="6"/>
  <c r="BF1016" i="6"/>
  <c r="BF429" i="6"/>
  <c r="BF430" i="6"/>
  <c r="BF431" i="6"/>
  <c r="BF432" i="6"/>
  <c r="BF433" i="6"/>
  <c r="BF434" i="6"/>
  <c r="BF411" i="6"/>
  <c r="B10287" i="22" l="1"/>
  <c r="A10288" i="22"/>
  <c r="BF634" i="6"/>
  <c r="BF636" i="6"/>
  <c r="BF637" i="6"/>
  <c r="B10288" i="22" l="1"/>
  <c r="A10289" i="22"/>
  <c r="O102" i="27"/>
  <c r="O103" i="27"/>
  <c r="O104" i="27"/>
  <c r="O105" i="27"/>
  <c r="O106" i="27"/>
  <c r="O107" i="27"/>
  <c r="O109" i="27"/>
  <c r="O110" i="27"/>
  <c r="O111" i="27"/>
  <c r="O112" i="27"/>
  <c r="O113" i="27"/>
  <c r="O114" i="27"/>
  <c r="O125" i="27"/>
  <c r="O115" i="27"/>
  <c r="O116" i="27"/>
  <c r="O117" i="27"/>
  <c r="O118" i="27"/>
  <c r="O119" i="27"/>
  <c r="O120" i="27"/>
  <c r="O121" i="27"/>
  <c r="O122" i="27"/>
  <c r="O123" i="27"/>
  <c r="O124" i="27"/>
  <c r="O126" i="27"/>
  <c r="O127" i="27"/>
  <c r="O128" i="27"/>
  <c r="O129" i="27"/>
  <c r="O130" i="27"/>
  <c r="O131" i="27"/>
  <c r="O132" i="27"/>
  <c r="O133" i="27"/>
  <c r="O134" i="27"/>
  <c r="O136" i="27"/>
  <c r="O137" i="27"/>
  <c r="O138" i="27"/>
  <c r="O140" i="27"/>
  <c r="O141" i="27"/>
  <c r="O142" i="27"/>
  <c r="O143" i="27"/>
  <c r="O144" i="27"/>
  <c r="O145" i="27"/>
  <c r="O146" i="27"/>
  <c r="O147" i="27"/>
  <c r="O148" i="27"/>
  <c r="O149" i="27"/>
  <c r="O150" i="27"/>
  <c r="O151" i="27"/>
  <c r="O152" i="27"/>
  <c r="O153" i="27"/>
  <c r="O154" i="27"/>
  <c r="O155" i="27"/>
  <c r="O156" i="27"/>
  <c r="O157" i="27"/>
  <c r="O158" i="27"/>
  <c r="O159" i="27"/>
  <c r="O160" i="27"/>
  <c r="O161" i="27"/>
  <c r="O162" i="27"/>
  <c r="O163" i="27"/>
  <c r="O164" i="27"/>
  <c r="O165" i="27"/>
  <c r="O166" i="27"/>
  <c r="O167" i="27"/>
  <c r="O168" i="27"/>
  <c r="O169" i="27"/>
  <c r="O170" i="27"/>
  <c r="O171" i="27"/>
  <c r="O172" i="27"/>
  <c r="O173" i="27"/>
  <c r="O174" i="27"/>
  <c r="O175" i="27"/>
  <c r="O176" i="27"/>
  <c r="O177" i="27"/>
  <c r="O178" i="27"/>
  <c r="O179" i="27"/>
  <c r="O180" i="27"/>
  <c r="O181" i="27"/>
  <c r="O182" i="27"/>
  <c r="O183" i="27"/>
  <c r="O184" i="27"/>
  <c r="O185" i="27"/>
  <c r="O186" i="27"/>
  <c r="O187" i="27"/>
  <c r="O188" i="27"/>
  <c r="O189" i="27"/>
  <c r="O190" i="27"/>
  <c r="O191" i="27"/>
  <c r="O192" i="27"/>
  <c r="O193" i="27"/>
  <c r="O194" i="27"/>
  <c r="O195" i="27"/>
  <c r="O196" i="27"/>
  <c r="O197" i="27"/>
  <c r="O198" i="27"/>
  <c r="O200" i="27"/>
  <c r="O201" i="27"/>
  <c r="O202" i="27"/>
  <c r="O203" i="27"/>
  <c r="O204" i="27"/>
  <c r="O205" i="27"/>
  <c r="O206" i="27"/>
  <c r="O207" i="27"/>
  <c r="O208" i="27"/>
  <c r="O209" i="27"/>
  <c r="O210" i="27"/>
  <c r="O211" i="27"/>
  <c r="O212" i="27"/>
  <c r="O213" i="27"/>
  <c r="O214" i="27"/>
  <c r="O215" i="27"/>
  <c r="O216" i="27"/>
  <c r="O217" i="27"/>
  <c r="O218" i="27"/>
  <c r="O219" i="27"/>
  <c r="O220" i="27"/>
  <c r="O221" i="27"/>
  <c r="O222" i="27"/>
  <c r="O223" i="27"/>
  <c r="O224" i="27"/>
  <c r="O225" i="27"/>
  <c r="O226" i="27"/>
  <c r="O227" i="27"/>
  <c r="O228" i="27"/>
  <c r="O229" i="27"/>
  <c r="O9" i="27"/>
  <c r="O10" i="27"/>
  <c r="O11" i="27"/>
  <c r="O12" i="27"/>
  <c r="O13" i="27"/>
  <c r="P13" i="27"/>
  <c r="Q13" i="27"/>
  <c r="R13" i="27"/>
  <c r="S13" i="27"/>
  <c r="T13" i="27"/>
  <c r="U13" i="27"/>
  <c r="V13" i="27"/>
  <c r="W13" i="27"/>
  <c r="X13" i="27"/>
  <c r="O14" i="27"/>
  <c r="O15" i="27"/>
  <c r="O16" i="27"/>
  <c r="O17" i="27"/>
  <c r="O18" i="27"/>
  <c r="O26" i="27"/>
  <c r="O19" i="27"/>
  <c r="O20" i="27"/>
  <c r="O21" i="27"/>
  <c r="O22" i="27"/>
  <c r="O23" i="27"/>
  <c r="O24" i="27"/>
  <c r="O25" i="27"/>
  <c r="O27" i="27"/>
  <c r="O28" i="27"/>
  <c r="O29" i="27"/>
  <c r="O30" i="27"/>
  <c r="O31" i="27"/>
  <c r="O32" i="27"/>
  <c r="O33" i="27"/>
  <c r="O35" i="27"/>
  <c r="O36" i="27"/>
  <c r="O37" i="27"/>
  <c r="O38" i="27"/>
  <c r="O39" i="27"/>
  <c r="O40" i="27"/>
  <c r="O41" i="27"/>
  <c r="O42" i="27"/>
  <c r="O43" i="27"/>
  <c r="O44" i="27"/>
  <c r="O45" i="27"/>
  <c r="O46" i="27"/>
  <c r="O47" i="27"/>
  <c r="O48" i="27"/>
  <c r="O49" i="27"/>
  <c r="O50" i="27"/>
  <c r="O51" i="27"/>
  <c r="O52" i="27"/>
  <c r="O53" i="27"/>
  <c r="O54" i="27"/>
  <c r="O55" i="27"/>
  <c r="O56" i="27"/>
  <c r="O57" i="27"/>
  <c r="O58" i="27"/>
  <c r="O59" i="27"/>
  <c r="O60" i="27"/>
  <c r="O61" i="27"/>
  <c r="O62" i="27"/>
  <c r="O63" i="27"/>
  <c r="O64" i="27"/>
  <c r="O65" i="27"/>
  <c r="O66" i="27"/>
  <c r="O67" i="27"/>
  <c r="O68" i="27"/>
  <c r="O69" i="27"/>
  <c r="O70" i="27"/>
  <c r="O71" i="27"/>
  <c r="O72" i="27"/>
  <c r="O73" i="27"/>
  <c r="O74" i="27"/>
  <c r="O75" i="27"/>
  <c r="O76" i="27"/>
  <c r="O77" i="27"/>
  <c r="O78" i="27"/>
  <c r="O79" i="27"/>
  <c r="O80" i="27"/>
  <c r="O81" i="27"/>
  <c r="O82" i="27"/>
  <c r="O83" i="27"/>
  <c r="O84" i="27"/>
  <c r="O85" i="27"/>
  <c r="O86" i="27"/>
  <c r="O87" i="27"/>
  <c r="O88" i="27"/>
  <c r="O89" i="27"/>
  <c r="O90" i="27"/>
  <c r="O91" i="27"/>
  <c r="O92" i="27"/>
  <c r="O93" i="27"/>
  <c r="O94" i="27"/>
  <c r="O95" i="27"/>
  <c r="O96" i="27"/>
  <c r="O97" i="27"/>
  <c r="O98" i="27"/>
  <c r="O99" i="27"/>
  <c r="O100" i="27"/>
  <c r="O101" i="27"/>
  <c r="O230" i="27"/>
  <c r="O231" i="27"/>
  <c r="O232" i="27"/>
  <c r="O233" i="27"/>
  <c r="O234" i="27"/>
  <c r="O235" i="27"/>
  <c r="O237" i="27"/>
  <c r="O238" i="27"/>
  <c r="O239" i="27"/>
  <c r="O240" i="27"/>
  <c r="O242" i="27"/>
  <c r="O243" i="27"/>
  <c r="O254" i="27"/>
  <c r="O244" i="27"/>
  <c r="O245" i="27"/>
  <c r="O246" i="27"/>
  <c r="O247" i="27"/>
  <c r="O248" i="27"/>
  <c r="O249" i="27"/>
  <c r="O250" i="27"/>
  <c r="O251" i="27"/>
  <c r="O252" i="27"/>
  <c r="O253" i="27"/>
  <c r="O255" i="27"/>
  <c r="O256" i="27"/>
  <c r="O257" i="27"/>
  <c r="O258" i="27"/>
  <c r="O259" i="27"/>
  <c r="O260" i="27"/>
  <c r="O261" i="27"/>
  <c r="O263" i="27"/>
  <c r="O264" i="27"/>
  <c r="O266" i="27"/>
  <c r="O267" i="27"/>
  <c r="O268" i="27"/>
  <c r="O269" i="27"/>
  <c r="O270" i="27"/>
  <c r="O271" i="27"/>
  <c r="O272" i="27"/>
  <c r="O273" i="27"/>
  <c r="O274" i="27"/>
  <c r="O275" i="27"/>
  <c r="O276" i="27"/>
  <c r="O277" i="27"/>
  <c r="O278" i="27"/>
  <c r="O279" i="27"/>
  <c r="O280" i="27"/>
  <c r="O281" i="27"/>
  <c r="O282" i="27"/>
  <c r="O283" i="27"/>
  <c r="O284" i="27"/>
  <c r="O285" i="27"/>
  <c r="O286" i="27"/>
  <c r="O287" i="27"/>
  <c r="O288" i="27"/>
  <c r="O289" i="27"/>
  <c r="O290" i="27"/>
  <c r="O291" i="27"/>
  <c r="O292" i="27"/>
  <c r="O293" i="27"/>
  <c r="O294" i="27"/>
  <c r="O295" i="27"/>
  <c r="O296" i="27"/>
  <c r="O297" i="27"/>
  <c r="O298" i="27"/>
  <c r="O299" i="27"/>
  <c r="O300" i="27"/>
  <c r="O301" i="27"/>
  <c r="O302" i="27"/>
  <c r="O303" i="27"/>
  <c r="O304" i="27"/>
  <c r="O305" i="27"/>
  <c r="O306" i="27"/>
  <c r="O307" i="27"/>
  <c r="O308" i="27"/>
  <c r="O309" i="27"/>
  <c r="O310" i="27"/>
  <c r="O311" i="27"/>
  <c r="O312" i="27"/>
  <c r="O313" i="27"/>
  <c r="O314" i="27"/>
  <c r="O315" i="27"/>
  <c r="O316" i="27"/>
  <c r="O317" i="27"/>
  <c r="O318" i="27"/>
  <c r="O319" i="27"/>
  <c r="O320" i="27"/>
  <c r="O321" i="27"/>
  <c r="O322" i="27"/>
  <c r="O323" i="27"/>
  <c r="O324" i="27"/>
  <c r="O325" i="27"/>
  <c r="O327" i="27"/>
  <c r="O328" i="27"/>
  <c r="O329" i="27"/>
  <c r="O330" i="27"/>
  <c r="O331" i="27"/>
  <c r="O334" i="27"/>
  <c r="O335" i="27"/>
  <c r="O336" i="27"/>
  <c r="O337" i="27"/>
  <c r="O338" i="27"/>
  <c r="O339" i="27"/>
  <c r="O340" i="27"/>
  <c r="O341" i="27"/>
  <c r="O342" i="27"/>
  <c r="O343" i="27"/>
  <c r="O344" i="27"/>
  <c r="O345" i="27"/>
  <c r="O346" i="27"/>
  <c r="O347" i="27"/>
  <c r="O348" i="27"/>
  <c r="O349" i="27"/>
  <c r="O350" i="27"/>
  <c r="O351" i="27"/>
  <c r="O352" i="27"/>
  <c r="O353" i="27"/>
  <c r="O354" i="27"/>
  <c r="O355" i="27"/>
  <c r="O356" i="27"/>
  <c r="O357" i="27"/>
  <c r="O358" i="27"/>
  <c r="O359" i="27"/>
  <c r="O360" i="27"/>
  <c r="O361" i="27"/>
  <c r="O362" i="27"/>
  <c r="O363" i="27"/>
  <c r="O364" i="27"/>
  <c r="O365" i="27"/>
  <c r="O367" i="27"/>
  <c r="O368" i="27"/>
  <c r="O369" i="27"/>
  <c r="O373" i="27"/>
  <c r="O370" i="27"/>
  <c r="O371" i="27"/>
  <c r="O372" i="27"/>
  <c r="O374" i="27"/>
  <c r="O375" i="27"/>
  <c r="O376" i="27"/>
  <c r="O377" i="27"/>
  <c r="O378" i="27"/>
  <c r="O379" i="27"/>
  <c r="O380" i="27"/>
  <c r="O381" i="27"/>
  <c r="O382" i="27"/>
  <c r="O383" i="27"/>
  <c r="O384" i="27"/>
  <c r="O385" i="27"/>
  <c r="O386" i="27"/>
  <c r="O387" i="27"/>
  <c r="O388" i="27"/>
  <c r="O389" i="27"/>
  <c r="O390" i="27"/>
  <c r="O391" i="27"/>
  <c r="O392" i="27"/>
  <c r="O393" i="27"/>
  <c r="O394" i="27"/>
  <c r="O395" i="27"/>
  <c r="O396" i="27"/>
  <c r="O397" i="27"/>
  <c r="O398" i="27"/>
  <c r="O399" i="27"/>
  <c r="O400" i="27"/>
  <c r="O401" i="27"/>
  <c r="O402" i="27"/>
  <c r="O403" i="27"/>
  <c r="O404" i="27"/>
  <c r="O405" i="27"/>
  <c r="O406" i="27"/>
  <c r="O407" i="27"/>
  <c r="O408" i="27"/>
  <c r="O409" i="27"/>
  <c r="O410" i="27"/>
  <c r="O411" i="27"/>
  <c r="O412" i="27"/>
  <c r="O413" i="27"/>
  <c r="O414" i="27"/>
  <c r="O415" i="27"/>
  <c r="O416" i="27"/>
  <c r="O417" i="27"/>
  <c r="O418" i="27"/>
  <c r="O419" i="27"/>
  <c r="O420" i="27"/>
  <c r="O421" i="27"/>
  <c r="O422" i="27"/>
  <c r="O423" i="27"/>
  <c r="O424" i="27"/>
  <c r="O426" i="27"/>
  <c r="O427" i="27"/>
  <c r="O428" i="27"/>
  <c r="O429" i="27"/>
  <c r="O430" i="27"/>
  <c r="O438" i="27"/>
  <c r="O431" i="27"/>
  <c r="O432" i="27"/>
  <c r="O433" i="27"/>
  <c r="O434" i="27"/>
  <c r="O435" i="27"/>
  <c r="O436" i="27"/>
  <c r="O437" i="27"/>
  <c r="O439" i="27"/>
  <c r="O440" i="27"/>
  <c r="O441" i="27"/>
  <c r="O442" i="27"/>
  <c r="O443" i="27"/>
  <c r="O444" i="27"/>
  <c r="O445" i="27"/>
  <c r="O446" i="27"/>
  <c r="O447" i="27"/>
  <c r="O448" i="27"/>
  <c r="O449" i="27"/>
  <c r="O450" i="27"/>
  <c r="O451" i="27"/>
  <c r="O452" i="27"/>
  <c r="O453" i="27"/>
  <c r="O454" i="27"/>
  <c r="O455" i="27"/>
  <c r="O456" i="27"/>
  <c r="O457" i="27"/>
  <c r="O458" i="27"/>
  <c r="O459" i="27"/>
  <c r="O460" i="27"/>
  <c r="O461" i="27"/>
  <c r="O462" i="27"/>
  <c r="O463" i="27"/>
  <c r="O464" i="27"/>
  <c r="O465" i="27"/>
  <c r="O466" i="27"/>
  <c r="O467" i="27"/>
  <c r="O468" i="27"/>
  <c r="O469" i="27"/>
  <c r="O470" i="27"/>
  <c r="O471" i="27"/>
  <c r="O472" i="27"/>
  <c r="O473" i="27"/>
  <c r="O474" i="27"/>
  <c r="O475" i="27"/>
  <c r="O476" i="27"/>
  <c r="O477" i="27"/>
  <c r="O478" i="27"/>
  <c r="O479" i="27"/>
  <c r="O480" i="27"/>
  <c r="O481" i="27"/>
  <c r="O482" i="27"/>
  <c r="O483" i="27"/>
  <c r="O484" i="27"/>
  <c r="O485" i="27"/>
  <c r="O486" i="27"/>
  <c r="O487" i="27"/>
  <c r="O488" i="27"/>
  <c r="O489" i="27"/>
  <c r="O490" i="27"/>
  <c r="O491" i="27"/>
  <c r="O492" i="27"/>
  <c r="O493" i="27"/>
  <c r="O494" i="27"/>
  <c r="O495" i="27"/>
  <c r="O496" i="27"/>
  <c r="O497" i="27"/>
  <c r="O498" i="27"/>
  <c r="O499" i="27"/>
  <c r="O500" i="27"/>
  <c r="O501" i="27"/>
  <c r="O502" i="27"/>
  <c r="O108" i="27"/>
  <c r="O236" i="27"/>
  <c r="O366" i="27"/>
  <c r="O425" i="27"/>
  <c r="P425" i="27"/>
  <c r="Q425" i="27"/>
  <c r="R425" i="27"/>
  <c r="S425" i="27"/>
  <c r="T425" i="27"/>
  <c r="U425" i="27"/>
  <c r="V425" i="27"/>
  <c r="W425" i="27"/>
  <c r="X425" i="27"/>
  <c r="B2" i="22"/>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5" i="22"/>
  <c r="B146" i="22"/>
  <c r="B147"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88" i="22"/>
  <c r="B189" i="22"/>
  <c r="B190" i="22"/>
  <c r="B191" i="22"/>
  <c r="B192" i="22"/>
  <c r="B193" i="22"/>
  <c r="B194" i="22"/>
  <c r="B195" i="22"/>
  <c r="B196" i="22"/>
  <c r="B197" i="22"/>
  <c r="B198" i="22"/>
  <c r="B199" i="22"/>
  <c r="B200" i="22"/>
  <c r="B201" i="22"/>
  <c r="B202" i="22"/>
  <c r="B203" i="22"/>
  <c r="B204" i="22"/>
  <c r="B205" i="22"/>
  <c r="B206" i="22"/>
  <c r="B207" i="22"/>
  <c r="B208" i="22"/>
  <c r="B209" i="22"/>
  <c r="B210" i="22"/>
  <c r="B211" i="22"/>
  <c r="B212" i="22"/>
  <c r="B213" i="22"/>
  <c r="B214" i="22"/>
  <c r="B215" i="22"/>
  <c r="B216" i="22"/>
  <c r="B217" i="22"/>
  <c r="B218" i="22"/>
  <c r="B219" i="22"/>
  <c r="B220" i="22"/>
  <c r="B221" i="22"/>
  <c r="B222" i="22"/>
  <c r="B223" i="22"/>
  <c r="B224" i="22"/>
  <c r="B225" i="22"/>
  <c r="B226" i="22"/>
  <c r="B227" i="22"/>
  <c r="B228" i="22"/>
  <c r="B229" i="22"/>
  <c r="B230" i="22"/>
  <c r="B231" i="22"/>
  <c r="B232" i="22"/>
  <c r="B233" i="22"/>
  <c r="B234" i="22"/>
  <c r="B235" i="22"/>
  <c r="B236" i="22"/>
  <c r="B237" i="22"/>
  <c r="B238" i="22"/>
  <c r="B239" i="22"/>
  <c r="B240" i="22"/>
  <c r="B241" i="22"/>
  <c r="B242" i="22"/>
  <c r="B243" i="22"/>
  <c r="B244" i="22"/>
  <c r="B245" i="22"/>
  <c r="B246" i="22"/>
  <c r="B247" i="22"/>
  <c r="B248" i="22"/>
  <c r="B249" i="22"/>
  <c r="B250" i="22"/>
  <c r="B251" i="22"/>
  <c r="B252" i="22"/>
  <c r="B253" i="22"/>
  <c r="B254" i="22"/>
  <c r="B255" i="22"/>
  <c r="B256" i="22"/>
  <c r="B257" i="22"/>
  <c r="B258" i="22"/>
  <c r="B259" i="22"/>
  <c r="B260" i="22"/>
  <c r="B261" i="22"/>
  <c r="B262" i="22"/>
  <c r="B263" i="22"/>
  <c r="B264" i="22"/>
  <c r="B265" i="22"/>
  <c r="B266" i="22"/>
  <c r="B267" i="22"/>
  <c r="B268" i="22"/>
  <c r="B269" i="22"/>
  <c r="B270" i="22"/>
  <c r="B271" i="22"/>
  <c r="B272" i="22"/>
  <c r="B273" i="22"/>
  <c r="B274" i="22"/>
  <c r="B275" i="22"/>
  <c r="B276" i="22"/>
  <c r="B277" i="22"/>
  <c r="B278" i="22"/>
  <c r="B279" i="22"/>
  <c r="B280" i="22"/>
  <c r="B281" i="22"/>
  <c r="B282" i="22"/>
  <c r="B283" i="22"/>
  <c r="B284" i="22"/>
  <c r="B285" i="22"/>
  <c r="B286" i="22"/>
  <c r="B287" i="22"/>
  <c r="B288" i="22"/>
  <c r="B289" i="22"/>
  <c r="B290" i="22"/>
  <c r="B291" i="22"/>
  <c r="B292" i="22"/>
  <c r="B293" i="22"/>
  <c r="B294" i="22"/>
  <c r="B295" i="22"/>
  <c r="B296" i="22"/>
  <c r="B297" i="22"/>
  <c r="B298" i="22"/>
  <c r="B299" i="22"/>
  <c r="B300" i="22"/>
  <c r="B301" i="22"/>
  <c r="B302" i="22"/>
  <c r="B303" i="22"/>
  <c r="B304" i="22"/>
  <c r="B305" i="22"/>
  <c r="B306" i="22"/>
  <c r="B307" i="22"/>
  <c r="B308" i="22"/>
  <c r="B309" i="22"/>
  <c r="B310" i="22"/>
  <c r="B311" i="22"/>
  <c r="B312" i="22"/>
  <c r="B313" i="22"/>
  <c r="B314" i="22"/>
  <c r="B315" i="22"/>
  <c r="B316" i="22"/>
  <c r="B317" i="22"/>
  <c r="B318" i="22"/>
  <c r="B319" i="22"/>
  <c r="B320" i="22"/>
  <c r="B321" i="22"/>
  <c r="B322" i="22"/>
  <c r="B323" i="22"/>
  <c r="B324" i="22"/>
  <c r="B325" i="22"/>
  <c r="B326" i="22"/>
  <c r="B327" i="22"/>
  <c r="B328" i="22"/>
  <c r="B329" i="22"/>
  <c r="B330" i="22"/>
  <c r="B331" i="22"/>
  <c r="B332" i="22"/>
  <c r="B333" i="22"/>
  <c r="B334" i="22"/>
  <c r="B335" i="22"/>
  <c r="B336" i="22"/>
  <c r="B337" i="22"/>
  <c r="B338" i="22"/>
  <c r="B339" i="22"/>
  <c r="B340" i="22"/>
  <c r="B341" i="22"/>
  <c r="B342" i="22"/>
  <c r="B343" i="22"/>
  <c r="B344" i="22"/>
  <c r="B345" i="22"/>
  <c r="B346" i="22"/>
  <c r="B347" i="22"/>
  <c r="B348" i="22"/>
  <c r="B349" i="22"/>
  <c r="B350" i="22"/>
  <c r="B351" i="22"/>
  <c r="B352" i="22"/>
  <c r="B353" i="22"/>
  <c r="B354" i="22"/>
  <c r="B355" i="22"/>
  <c r="B356" i="22"/>
  <c r="B357" i="22"/>
  <c r="B358" i="22"/>
  <c r="B359" i="22"/>
  <c r="B360" i="22"/>
  <c r="B361" i="22"/>
  <c r="B362" i="22"/>
  <c r="B363" i="22"/>
  <c r="B364" i="22"/>
  <c r="B365" i="22"/>
  <c r="B366" i="22"/>
  <c r="B367" i="22"/>
  <c r="B368" i="22"/>
  <c r="B369" i="22"/>
  <c r="B370" i="22"/>
  <c r="B371" i="22"/>
  <c r="B372" i="22"/>
  <c r="B373" i="22"/>
  <c r="B374" i="22"/>
  <c r="B375" i="22"/>
  <c r="B376" i="22"/>
  <c r="B377" i="22"/>
  <c r="B378" i="22"/>
  <c r="B379" i="22"/>
  <c r="B380" i="22"/>
  <c r="B381" i="22"/>
  <c r="B382" i="22"/>
  <c r="B383" i="22"/>
  <c r="B384" i="22"/>
  <c r="B385" i="22"/>
  <c r="B386" i="22"/>
  <c r="B387" i="22"/>
  <c r="B388" i="22"/>
  <c r="B389" i="22"/>
  <c r="B390" i="22"/>
  <c r="B391" i="22"/>
  <c r="B392" i="22"/>
  <c r="B393" i="22"/>
  <c r="B394" i="22"/>
  <c r="B395" i="22"/>
  <c r="B396" i="22"/>
  <c r="B397" i="22"/>
  <c r="B398" i="22"/>
  <c r="B399" i="22"/>
  <c r="B400" i="22"/>
  <c r="B401" i="22"/>
  <c r="B402" i="22"/>
  <c r="B403" i="22"/>
  <c r="B404" i="22"/>
  <c r="B405" i="22"/>
  <c r="B406" i="22"/>
  <c r="B407" i="22"/>
  <c r="B408" i="22"/>
  <c r="B409" i="22"/>
  <c r="B410" i="22"/>
  <c r="B411" i="22"/>
  <c r="B412" i="22"/>
  <c r="B413" i="22"/>
  <c r="B414" i="22"/>
  <c r="B415" i="22"/>
  <c r="B416" i="22"/>
  <c r="B417" i="22"/>
  <c r="B418" i="22"/>
  <c r="B419" i="22"/>
  <c r="B420" i="22"/>
  <c r="B421" i="22"/>
  <c r="B422" i="22"/>
  <c r="B423" i="22"/>
  <c r="B424" i="22"/>
  <c r="B425" i="22"/>
  <c r="B426" i="22"/>
  <c r="B427" i="22"/>
  <c r="B428" i="22"/>
  <c r="B429" i="22"/>
  <c r="B430" i="22"/>
  <c r="B431" i="22"/>
  <c r="B432" i="22"/>
  <c r="B433" i="22"/>
  <c r="B434" i="22"/>
  <c r="B435" i="22"/>
  <c r="B436" i="22"/>
  <c r="B437" i="22"/>
  <c r="B438" i="22"/>
  <c r="B439" i="22"/>
  <c r="B440" i="22"/>
  <c r="B441" i="22"/>
  <c r="B442" i="22"/>
  <c r="B443" i="22"/>
  <c r="B444" i="22"/>
  <c r="B445" i="22"/>
  <c r="B446" i="22"/>
  <c r="B447" i="22"/>
  <c r="B448" i="22"/>
  <c r="B449" i="22"/>
  <c r="B450" i="22"/>
  <c r="B451" i="22"/>
  <c r="B452" i="22"/>
  <c r="B453" i="22"/>
  <c r="B454" i="22"/>
  <c r="B455" i="22"/>
  <c r="B456" i="22"/>
  <c r="B457" i="22"/>
  <c r="B458" i="22"/>
  <c r="B459" i="22"/>
  <c r="B460" i="22"/>
  <c r="B461" i="22"/>
  <c r="B462" i="22"/>
  <c r="B463" i="22"/>
  <c r="B464" i="22"/>
  <c r="B465" i="22"/>
  <c r="B466" i="22"/>
  <c r="B467" i="22"/>
  <c r="B468" i="22"/>
  <c r="B469" i="22"/>
  <c r="B470" i="22"/>
  <c r="B471" i="22"/>
  <c r="B472" i="22"/>
  <c r="B473" i="22"/>
  <c r="B474" i="22"/>
  <c r="B475" i="22"/>
  <c r="B476" i="22"/>
  <c r="B477" i="22"/>
  <c r="B478" i="22"/>
  <c r="B479" i="22"/>
  <c r="B480" i="22"/>
  <c r="B481" i="22"/>
  <c r="B482" i="22"/>
  <c r="B483" i="22"/>
  <c r="B484" i="22"/>
  <c r="B485" i="22"/>
  <c r="B486" i="22"/>
  <c r="B487" i="22"/>
  <c r="B488" i="22"/>
  <c r="B489" i="22"/>
  <c r="B490" i="22"/>
  <c r="B491" i="22"/>
  <c r="B492" i="22"/>
  <c r="B493" i="22"/>
  <c r="B494" i="22"/>
  <c r="B495" i="22"/>
  <c r="B496" i="22"/>
  <c r="B497" i="22"/>
  <c r="B498" i="22"/>
  <c r="B499" i="22"/>
  <c r="B500" i="22"/>
  <c r="B501" i="22"/>
  <c r="B502" i="22"/>
  <c r="B503" i="22"/>
  <c r="B504" i="22"/>
  <c r="B505" i="22"/>
  <c r="B506" i="22"/>
  <c r="B507" i="22"/>
  <c r="B508" i="22"/>
  <c r="B509" i="22"/>
  <c r="B510" i="22"/>
  <c r="B511" i="22"/>
  <c r="B512" i="22"/>
  <c r="B513" i="22"/>
  <c r="B514" i="22"/>
  <c r="B515" i="22"/>
  <c r="B516" i="22"/>
  <c r="B517" i="22"/>
  <c r="B518" i="22"/>
  <c r="B519" i="22"/>
  <c r="B520" i="22"/>
  <c r="B521" i="22"/>
  <c r="B522" i="22"/>
  <c r="B523" i="22"/>
  <c r="B524" i="22"/>
  <c r="B525" i="22"/>
  <c r="B526" i="22"/>
  <c r="B527" i="22"/>
  <c r="B528" i="22"/>
  <c r="B529" i="22"/>
  <c r="B530" i="22"/>
  <c r="B531" i="22"/>
  <c r="B532" i="22"/>
  <c r="B533" i="22"/>
  <c r="B534" i="22"/>
  <c r="B535" i="22"/>
  <c r="B536" i="22"/>
  <c r="B537" i="22"/>
  <c r="B538" i="22"/>
  <c r="B539" i="22"/>
  <c r="B540" i="22"/>
  <c r="B541" i="22"/>
  <c r="B542" i="22"/>
  <c r="B543" i="22"/>
  <c r="B544" i="22"/>
  <c r="B545" i="22"/>
  <c r="B546" i="22"/>
  <c r="B547" i="22"/>
  <c r="B548" i="22"/>
  <c r="B549" i="22"/>
  <c r="B550" i="22"/>
  <c r="B551" i="22"/>
  <c r="B552" i="22"/>
  <c r="B553" i="22"/>
  <c r="B554" i="22"/>
  <c r="B555" i="22"/>
  <c r="B556" i="22"/>
  <c r="B557" i="22"/>
  <c r="B558" i="22"/>
  <c r="B559" i="22"/>
  <c r="B560" i="22"/>
  <c r="B561" i="22"/>
  <c r="B562" i="22"/>
  <c r="B563" i="22"/>
  <c r="B564" i="22"/>
  <c r="B565" i="22"/>
  <c r="B566" i="22"/>
  <c r="B567" i="22"/>
  <c r="B568" i="22"/>
  <c r="B569" i="22"/>
  <c r="B570" i="22"/>
  <c r="B571" i="22"/>
  <c r="B572" i="22"/>
  <c r="B573" i="22"/>
  <c r="B574" i="22"/>
  <c r="B575" i="22"/>
  <c r="B576" i="22"/>
  <c r="B577" i="22"/>
  <c r="B578" i="22"/>
  <c r="B579" i="22"/>
  <c r="B580" i="22"/>
  <c r="B581" i="22"/>
  <c r="B582" i="22"/>
  <c r="B583" i="22"/>
  <c r="B584" i="22"/>
  <c r="B585" i="22"/>
  <c r="B586" i="22"/>
  <c r="B587" i="22"/>
  <c r="B588" i="22"/>
  <c r="B589" i="22"/>
  <c r="B590" i="22"/>
  <c r="B591" i="22"/>
  <c r="B592" i="22"/>
  <c r="B593" i="22"/>
  <c r="B594" i="22"/>
  <c r="B595" i="22"/>
  <c r="B596" i="22"/>
  <c r="B597" i="22"/>
  <c r="B598" i="22"/>
  <c r="B599" i="22"/>
  <c r="B600" i="22"/>
  <c r="B601" i="22"/>
  <c r="B602" i="22"/>
  <c r="B603" i="22"/>
  <c r="B604" i="22"/>
  <c r="B605" i="22"/>
  <c r="B606" i="22"/>
  <c r="B607" i="22"/>
  <c r="B608" i="22"/>
  <c r="B609" i="22"/>
  <c r="B610" i="22"/>
  <c r="B611" i="22"/>
  <c r="B612" i="22"/>
  <c r="B613" i="22"/>
  <c r="B614" i="22"/>
  <c r="B615" i="22"/>
  <c r="B616" i="22"/>
  <c r="B617" i="22"/>
  <c r="B618" i="22"/>
  <c r="B619" i="22"/>
  <c r="B620" i="22"/>
  <c r="B621" i="22"/>
  <c r="B622" i="22"/>
  <c r="B623" i="22"/>
  <c r="B624" i="22"/>
  <c r="B625" i="22"/>
  <c r="B626" i="22"/>
  <c r="B627" i="22"/>
  <c r="B628" i="22"/>
  <c r="B629" i="22"/>
  <c r="B630" i="22"/>
  <c r="B631" i="22"/>
  <c r="B632" i="22"/>
  <c r="B633" i="22"/>
  <c r="B634" i="22"/>
  <c r="B635" i="22"/>
  <c r="B636" i="22"/>
  <c r="B637" i="22"/>
  <c r="B638" i="22"/>
  <c r="B639" i="22"/>
  <c r="B640" i="22"/>
  <c r="B641" i="22"/>
  <c r="B642" i="22"/>
  <c r="B643" i="22"/>
  <c r="B644" i="22"/>
  <c r="B645" i="22"/>
  <c r="B646" i="22"/>
  <c r="B647" i="22"/>
  <c r="B648" i="22"/>
  <c r="B649" i="22"/>
  <c r="B650" i="22"/>
  <c r="B651" i="22"/>
  <c r="B652" i="22"/>
  <c r="B653" i="22"/>
  <c r="B654" i="22"/>
  <c r="B655" i="22"/>
  <c r="B656" i="22"/>
  <c r="B657" i="22"/>
  <c r="B658" i="22"/>
  <c r="B659" i="22"/>
  <c r="B660" i="22"/>
  <c r="B661" i="22"/>
  <c r="B662" i="22"/>
  <c r="B663" i="22"/>
  <c r="B664" i="22"/>
  <c r="B665" i="22"/>
  <c r="B666" i="22"/>
  <c r="B667" i="22"/>
  <c r="B668" i="22"/>
  <c r="B669" i="22"/>
  <c r="B670" i="22"/>
  <c r="B671" i="22"/>
  <c r="B672" i="22"/>
  <c r="B673" i="22"/>
  <c r="B674" i="22"/>
  <c r="B675" i="22"/>
  <c r="B676" i="22"/>
  <c r="B677" i="22"/>
  <c r="B678" i="22"/>
  <c r="B679" i="22"/>
  <c r="B680" i="22"/>
  <c r="B681" i="22"/>
  <c r="B682" i="22"/>
  <c r="B683" i="22"/>
  <c r="B684" i="22"/>
  <c r="B685" i="22"/>
  <c r="B686" i="22"/>
  <c r="B687" i="22"/>
  <c r="B688" i="22"/>
  <c r="B689" i="22"/>
  <c r="B690" i="22"/>
  <c r="B691" i="22"/>
  <c r="B692" i="22"/>
  <c r="B693" i="22"/>
  <c r="B694" i="22"/>
  <c r="B695" i="22"/>
  <c r="B696" i="22"/>
  <c r="B697" i="22"/>
  <c r="B698" i="22"/>
  <c r="B699" i="22"/>
  <c r="B700" i="22"/>
  <c r="B701" i="22"/>
  <c r="B702" i="22"/>
  <c r="B703" i="22"/>
  <c r="B704" i="22"/>
  <c r="B705" i="22"/>
  <c r="B706" i="22"/>
  <c r="B707" i="22"/>
  <c r="B708" i="22"/>
  <c r="B709" i="22"/>
  <c r="B710" i="22"/>
  <c r="B711" i="22"/>
  <c r="B712" i="22"/>
  <c r="B713" i="22"/>
  <c r="B714" i="22"/>
  <c r="B715" i="22"/>
  <c r="B716" i="22"/>
  <c r="B717" i="22"/>
  <c r="B718" i="22"/>
  <c r="B719" i="22"/>
  <c r="B720" i="22"/>
  <c r="B721" i="22"/>
  <c r="B722" i="22"/>
  <c r="B723" i="22"/>
  <c r="B724" i="22"/>
  <c r="B725" i="22"/>
  <c r="B726" i="22"/>
  <c r="B727" i="22"/>
  <c r="B728" i="22"/>
  <c r="B729" i="22"/>
  <c r="B730" i="22"/>
  <c r="B731" i="22"/>
  <c r="B732" i="22"/>
  <c r="B733" i="22"/>
  <c r="B734" i="22"/>
  <c r="B735" i="22"/>
  <c r="B736" i="22"/>
  <c r="B737" i="22"/>
  <c r="B738" i="22"/>
  <c r="B739" i="22"/>
  <c r="B740" i="22"/>
  <c r="B741" i="22"/>
  <c r="B742" i="22"/>
  <c r="B743" i="22"/>
  <c r="B744" i="22"/>
  <c r="B745" i="22"/>
  <c r="B746" i="22"/>
  <c r="B747" i="22"/>
  <c r="B748" i="22"/>
  <c r="B749" i="22"/>
  <c r="B750" i="22"/>
  <c r="B751" i="22"/>
  <c r="B752" i="22"/>
  <c r="B753" i="22"/>
  <c r="B754" i="22"/>
  <c r="B755" i="22"/>
  <c r="B756" i="22"/>
  <c r="B757" i="22"/>
  <c r="B758" i="22"/>
  <c r="B759" i="22"/>
  <c r="B760" i="22"/>
  <c r="B761" i="22"/>
  <c r="B762" i="22"/>
  <c r="B763" i="22"/>
  <c r="B764" i="22"/>
  <c r="B765" i="22"/>
  <c r="B766" i="22"/>
  <c r="B767" i="22"/>
  <c r="B768" i="22"/>
  <c r="B769" i="22"/>
  <c r="B770" i="22"/>
  <c r="B771" i="22"/>
  <c r="B772" i="22"/>
  <c r="B773" i="22"/>
  <c r="B774" i="22"/>
  <c r="B775" i="22"/>
  <c r="B776" i="22"/>
  <c r="B777" i="22"/>
  <c r="B778" i="22"/>
  <c r="B779" i="22"/>
  <c r="B780" i="22"/>
  <c r="B781" i="22"/>
  <c r="B782" i="22"/>
  <c r="B783" i="22"/>
  <c r="B784" i="22"/>
  <c r="B785" i="22"/>
  <c r="B786" i="22"/>
  <c r="B787" i="22"/>
  <c r="B788" i="22"/>
  <c r="B789" i="22"/>
  <c r="B790" i="22"/>
  <c r="B791" i="22"/>
  <c r="B792" i="22"/>
  <c r="B793" i="22"/>
  <c r="B794" i="22"/>
  <c r="B795" i="22"/>
  <c r="B796" i="22"/>
  <c r="B797" i="22"/>
  <c r="B798" i="22"/>
  <c r="B799" i="22"/>
  <c r="B800" i="22"/>
  <c r="B801" i="22"/>
  <c r="B802" i="22"/>
  <c r="B803" i="22"/>
  <c r="B804" i="22"/>
  <c r="B805" i="22"/>
  <c r="B806" i="22"/>
  <c r="B807" i="22"/>
  <c r="B808" i="22"/>
  <c r="B809" i="22"/>
  <c r="B810" i="22"/>
  <c r="B811" i="22"/>
  <c r="B812" i="22"/>
  <c r="B813" i="22"/>
  <c r="B814" i="22"/>
  <c r="B815" i="22"/>
  <c r="B816" i="22"/>
  <c r="B817" i="22"/>
  <c r="B818" i="22"/>
  <c r="B819" i="22"/>
  <c r="B820" i="22"/>
  <c r="B821" i="22"/>
  <c r="B822" i="22"/>
  <c r="B823" i="22"/>
  <c r="B824" i="22"/>
  <c r="B825" i="22"/>
  <c r="B826" i="22"/>
  <c r="B827" i="22"/>
  <c r="B828" i="22"/>
  <c r="B829" i="22"/>
  <c r="B830" i="22"/>
  <c r="B831" i="22"/>
  <c r="B832" i="22"/>
  <c r="B833" i="22"/>
  <c r="B834" i="22"/>
  <c r="B835" i="22"/>
  <c r="B836" i="22"/>
  <c r="B837" i="22"/>
  <c r="B838" i="22"/>
  <c r="B839" i="22"/>
  <c r="B840" i="22"/>
  <c r="B841" i="22"/>
  <c r="B842" i="22"/>
  <c r="B843" i="22"/>
  <c r="B844" i="22"/>
  <c r="B845" i="22"/>
  <c r="B846" i="22"/>
  <c r="B847" i="22"/>
  <c r="B848" i="22"/>
  <c r="B849" i="22"/>
  <c r="B850" i="22"/>
  <c r="B851" i="22"/>
  <c r="B852" i="22"/>
  <c r="B853" i="22"/>
  <c r="B854" i="22"/>
  <c r="B855" i="22"/>
  <c r="B856" i="22"/>
  <c r="B857" i="22"/>
  <c r="B858" i="22"/>
  <c r="B859" i="22"/>
  <c r="B860" i="22"/>
  <c r="B861" i="22"/>
  <c r="B862" i="22"/>
  <c r="B863" i="22"/>
  <c r="B864" i="22"/>
  <c r="B865" i="22"/>
  <c r="B866" i="22"/>
  <c r="B867" i="22"/>
  <c r="B868" i="22"/>
  <c r="B869" i="22"/>
  <c r="B870" i="22"/>
  <c r="B871" i="22"/>
  <c r="B872" i="22"/>
  <c r="B873" i="22"/>
  <c r="B874" i="22"/>
  <c r="B875" i="22"/>
  <c r="B876" i="22"/>
  <c r="B877" i="22"/>
  <c r="B878" i="22"/>
  <c r="B879" i="22"/>
  <c r="B880" i="22"/>
  <c r="B881" i="22"/>
  <c r="B882" i="22"/>
  <c r="B883" i="22"/>
  <c r="B884" i="22"/>
  <c r="B885" i="22"/>
  <c r="B886" i="22"/>
  <c r="B887" i="22"/>
  <c r="B888" i="22"/>
  <c r="B889" i="22"/>
  <c r="B890" i="22"/>
  <c r="B891" i="22"/>
  <c r="B892" i="22"/>
  <c r="B893" i="22"/>
  <c r="B894" i="22"/>
  <c r="B895" i="22"/>
  <c r="B896" i="22"/>
  <c r="B897" i="22"/>
  <c r="B898" i="22"/>
  <c r="B899" i="22"/>
  <c r="B900" i="22"/>
  <c r="B901" i="22"/>
  <c r="B902" i="22"/>
  <c r="B903" i="22"/>
  <c r="B904" i="22"/>
  <c r="B905" i="22"/>
  <c r="B906" i="22"/>
  <c r="B907" i="22"/>
  <c r="B908" i="22"/>
  <c r="B909" i="22"/>
  <c r="B910" i="22"/>
  <c r="B911" i="22"/>
  <c r="B912" i="22"/>
  <c r="B913" i="22"/>
  <c r="B914" i="22"/>
  <c r="B915" i="22"/>
  <c r="B916" i="22"/>
  <c r="B917" i="22"/>
  <c r="B918" i="22"/>
  <c r="B919" i="22"/>
  <c r="B920" i="22"/>
  <c r="B921" i="22"/>
  <c r="B922" i="22"/>
  <c r="B923" i="22"/>
  <c r="B924" i="22"/>
  <c r="B925" i="22"/>
  <c r="B926" i="22"/>
  <c r="B927" i="22"/>
  <c r="B928" i="22"/>
  <c r="B929" i="22"/>
  <c r="B930" i="22"/>
  <c r="B931" i="22"/>
  <c r="B932" i="22"/>
  <c r="B933" i="22"/>
  <c r="B934" i="22"/>
  <c r="B935" i="22"/>
  <c r="B936" i="22"/>
  <c r="B937" i="22"/>
  <c r="B938" i="22"/>
  <c r="B939" i="22"/>
  <c r="B940" i="22"/>
  <c r="B941" i="22"/>
  <c r="B942" i="22"/>
  <c r="B943" i="22"/>
  <c r="B944" i="22"/>
  <c r="B945" i="22"/>
  <c r="B946" i="22"/>
  <c r="B947" i="22"/>
  <c r="B948" i="22"/>
  <c r="B949" i="22"/>
  <c r="B950" i="22"/>
  <c r="B951" i="22"/>
  <c r="B952" i="22"/>
  <c r="B953" i="22"/>
  <c r="B954" i="22"/>
  <c r="B955" i="22"/>
  <c r="B956" i="22"/>
  <c r="B957" i="22"/>
  <c r="B958" i="22"/>
  <c r="B959" i="22"/>
  <c r="B960" i="22"/>
  <c r="B961" i="22"/>
  <c r="B962" i="22"/>
  <c r="B963" i="22"/>
  <c r="B964" i="22"/>
  <c r="B965" i="22"/>
  <c r="B966" i="22"/>
  <c r="B967" i="22"/>
  <c r="B968" i="22"/>
  <c r="B969" i="22"/>
  <c r="B970" i="22"/>
  <c r="B971" i="22"/>
  <c r="B972" i="22"/>
  <c r="B973" i="22"/>
  <c r="B974" i="22"/>
  <c r="B975" i="22"/>
  <c r="B976" i="22"/>
  <c r="B977" i="22"/>
  <c r="B978" i="22"/>
  <c r="B979" i="22"/>
  <c r="B980" i="22"/>
  <c r="B981" i="22"/>
  <c r="B982" i="22"/>
  <c r="B983" i="22"/>
  <c r="B984" i="22"/>
  <c r="B985" i="22"/>
  <c r="B986" i="22"/>
  <c r="B987" i="22"/>
  <c r="B988" i="22"/>
  <c r="B989" i="22"/>
  <c r="B990" i="22"/>
  <c r="B991" i="22"/>
  <c r="B992" i="22"/>
  <c r="B993" i="22"/>
  <c r="B994" i="22"/>
  <c r="B995" i="22"/>
  <c r="B996" i="22"/>
  <c r="B997" i="22"/>
  <c r="B998" i="22"/>
  <c r="B999" i="22"/>
  <c r="B1000" i="22"/>
  <c r="B1001" i="22"/>
  <c r="B1002" i="22"/>
  <c r="B1003" i="22"/>
  <c r="B1004" i="22"/>
  <c r="B1005" i="22"/>
  <c r="B1006" i="22"/>
  <c r="B1007" i="22"/>
  <c r="B1008" i="22"/>
  <c r="B1009" i="22"/>
  <c r="B1010" i="22"/>
  <c r="B1011" i="22"/>
  <c r="B1012" i="22"/>
  <c r="B1013" i="22"/>
  <c r="B1014" i="22"/>
  <c r="B1015" i="22"/>
  <c r="B1016" i="22"/>
  <c r="B1017" i="22"/>
  <c r="B1018" i="22"/>
  <c r="B1019" i="22"/>
  <c r="B1020" i="22"/>
  <c r="B1021" i="22"/>
  <c r="B1022" i="22"/>
  <c r="B1023" i="22"/>
  <c r="B1024" i="22"/>
  <c r="B1025" i="22"/>
  <c r="B1026" i="22"/>
  <c r="B1027" i="22"/>
  <c r="B1028" i="22"/>
  <c r="B1029" i="22"/>
  <c r="B1030" i="22"/>
  <c r="B1031" i="22"/>
  <c r="B1032" i="22"/>
  <c r="B1033" i="22"/>
  <c r="B1034" i="22"/>
  <c r="B1035" i="22"/>
  <c r="B1036" i="22"/>
  <c r="B1037" i="22"/>
  <c r="B1038" i="22"/>
  <c r="B1039" i="22"/>
  <c r="B1040" i="22"/>
  <c r="B1041" i="22"/>
  <c r="B1042" i="22"/>
  <c r="B1043" i="22"/>
  <c r="B1044" i="22"/>
  <c r="B1045" i="22"/>
  <c r="B1046" i="22"/>
  <c r="B1047" i="22"/>
  <c r="B1048" i="22"/>
  <c r="B1049" i="22"/>
  <c r="B1050" i="22"/>
  <c r="B1051" i="22"/>
  <c r="B1052" i="22"/>
  <c r="B1053" i="22"/>
  <c r="B1054" i="22"/>
  <c r="B1055" i="22"/>
  <c r="B1056" i="22"/>
  <c r="B1057" i="22"/>
  <c r="B1058" i="22"/>
  <c r="B1059" i="22"/>
  <c r="B1060" i="22"/>
  <c r="B1061" i="22"/>
  <c r="B1062" i="22"/>
  <c r="B1063" i="22"/>
  <c r="B1064" i="22"/>
  <c r="B1065" i="22"/>
  <c r="B1066" i="22"/>
  <c r="B1067" i="22"/>
  <c r="B1068" i="22"/>
  <c r="B1069" i="22"/>
  <c r="B1070" i="22"/>
  <c r="B1071" i="22"/>
  <c r="B1072" i="22"/>
  <c r="B1073" i="22"/>
  <c r="B1074" i="22"/>
  <c r="B1075" i="22"/>
  <c r="B1076" i="22"/>
  <c r="B1077" i="22"/>
  <c r="B1078" i="22"/>
  <c r="B1079" i="22"/>
  <c r="B1080" i="22"/>
  <c r="B1081" i="22"/>
  <c r="B1082" i="22"/>
  <c r="B1083" i="22"/>
  <c r="B1084" i="22"/>
  <c r="B1085" i="22"/>
  <c r="B1086" i="22"/>
  <c r="B1087" i="22"/>
  <c r="B1088" i="22"/>
  <c r="B1089" i="22"/>
  <c r="B1090" i="22"/>
  <c r="B1091" i="22"/>
  <c r="B1092" i="22"/>
  <c r="B1093" i="22"/>
  <c r="B1094" i="22"/>
  <c r="B1095" i="22"/>
  <c r="B1096" i="22"/>
  <c r="B1097" i="22"/>
  <c r="B1098" i="22"/>
  <c r="B1099" i="22"/>
  <c r="B1100" i="22"/>
  <c r="B1101" i="22"/>
  <c r="B1102" i="22"/>
  <c r="B1103" i="22"/>
  <c r="B1104" i="22"/>
  <c r="B1105" i="22"/>
  <c r="B1106" i="22"/>
  <c r="B1107" i="22"/>
  <c r="B1108" i="22"/>
  <c r="B1109" i="22"/>
  <c r="B1110" i="22"/>
  <c r="B1111" i="22"/>
  <c r="B1112" i="22"/>
  <c r="B1113" i="22"/>
  <c r="B1114" i="22"/>
  <c r="B1115" i="22"/>
  <c r="B1116" i="22"/>
  <c r="B1117" i="22"/>
  <c r="B1118" i="22"/>
  <c r="B1119" i="22"/>
  <c r="B1120" i="22"/>
  <c r="B1121" i="22"/>
  <c r="B1122" i="22"/>
  <c r="B1123" i="22"/>
  <c r="B1124" i="22"/>
  <c r="B1125" i="22"/>
  <c r="B1126" i="22"/>
  <c r="B1127" i="22"/>
  <c r="B1128" i="22"/>
  <c r="B1129" i="22"/>
  <c r="B1130" i="22"/>
  <c r="B1131" i="22"/>
  <c r="B1132" i="22"/>
  <c r="B1133" i="22"/>
  <c r="B1134" i="22"/>
  <c r="B1135" i="22"/>
  <c r="B1136" i="22"/>
  <c r="B1137" i="22"/>
  <c r="B1138" i="22"/>
  <c r="B1139" i="22"/>
  <c r="B1140" i="22"/>
  <c r="B1141" i="22"/>
  <c r="B1142" i="22"/>
  <c r="B1143" i="22"/>
  <c r="B1144" i="22"/>
  <c r="B1145" i="22"/>
  <c r="B1146" i="22"/>
  <c r="B1147" i="22"/>
  <c r="B1148" i="22"/>
  <c r="B1149" i="22"/>
  <c r="B1150" i="22"/>
  <c r="B1151" i="22"/>
  <c r="B1152" i="22"/>
  <c r="B1153" i="22"/>
  <c r="B1154" i="22"/>
  <c r="B1155" i="22"/>
  <c r="B1156" i="22"/>
  <c r="B1157" i="22"/>
  <c r="B1158" i="22"/>
  <c r="B1159" i="22"/>
  <c r="B1160" i="22"/>
  <c r="B1161" i="22"/>
  <c r="B1162" i="22"/>
  <c r="B1163" i="22"/>
  <c r="B1164" i="22"/>
  <c r="B1165" i="22"/>
  <c r="B1166" i="22"/>
  <c r="B1167" i="22"/>
  <c r="B1168" i="22"/>
  <c r="B1169" i="22"/>
  <c r="B1170" i="22"/>
  <c r="B1171" i="22"/>
  <c r="B1172" i="22"/>
  <c r="B1173" i="22"/>
  <c r="B1174" i="22"/>
  <c r="B1175" i="22"/>
  <c r="B1176" i="22"/>
  <c r="B1177" i="22"/>
  <c r="B1178" i="22"/>
  <c r="B1179" i="22"/>
  <c r="B1180" i="22"/>
  <c r="B1181" i="22"/>
  <c r="B1182" i="22"/>
  <c r="B1183" i="22"/>
  <c r="B1184" i="22"/>
  <c r="B1185" i="22"/>
  <c r="B1186" i="22"/>
  <c r="B1187" i="22"/>
  <c r="B1188" i="22"/>
  <c r="B1189" i="22"/>
  <c r="B1190" i="22"/>
  <c r="B1191" i="22"/>
  <c r="B1192" i="22"/>
  <c r="B1193" i="22"/>
  <c r="B1194" i="22"/>
  <c r="B1195" i="22"/>
  <c r="B1196" i="22"/>
  <c r="B1197" i="22"/>
  <c r="B1198" i="22"/>
  <c r="B1199" i="22"/>
  <c r="B1200" i="22"/>
  <c r="B1201" i="22"/>
  <c r="B1202" i="22"/>
  <c r="B1203" i="22"/>
  <c r="B1204" i="22"/>
  <c r="B1205" i="22"/>
  <c r="B1206" i="22"/>
  <c r="B1207" i="22"/>
  <c r="B1208" i="22"/>
  <c r="B1209" i="22"/>
  <c r="B1210" i="22"/>
  <c r="B1211" i="22"/>
  <c r="B1212" i="22"/>
  <c r="B1213" i="22"/>
  <c r="B1214" i="22"/>
  <c r="B1215" i="22"/>
  <c r="B1216" i="22"/>
  <c r="B1217" i="22"/>
  <c r="B1218" i="22"/>
  <c r="B1219" i="22"/>
  <c r="B1220" i="22"/>
  <c r="B1221" i="22"/>
  <c r="B1222" i="22"/>
  <c r="B1223" i="22"/>
  <c r="B1224" i="22"/>
  <c r="B1225" i="22"/>
  <c r="B1226" i="22"/>
  <c r="B1227" i="22"/>
  <c r="B1228" i="22"/>
  <c r="B1229" i="22"/>
  <c r="B1230" i="22"/>
  <c r="B1231" i="22"/>
  <c r="B1232" i="22"/>
  <c r="B1233" i="22"/>
  <c r="B1234" i="22"/>
  <c r="B1235" i="22"/>
  <c r="B1236" i="22"/>
  <c r="B1237" i="22"/>
  <c r="B1238" i="22"/>
  <c r="B1239" i="22"/>
  <c r="B1240" i="22"/>
  <c r="B1241" i="22"/>
  <c r="B1242" i="22"/>
  <c r="B1243" i="22"/>
  <c r="B1244" i="22"/>
  <c r="B1245" i="22"/>
  <c r="B1246" i="22"/>
  <c r="B1247" i="22"/>
  <c r="B1248" i="22"/>
  <c r="B1249" i="22"/>
  <c r="B1250" i="22"/>
  <c r="B1251" i="22"/>
  <c r="B1252" i="22"/>
  <c r="B1253" i="22"/>
  <c r="B1254" i="22"/>
  <c r="B1255" i="22"/>
  <c r="B1256" i="22"/>
  <c r="B1257" i="22"/>
  <c r="B1258" i="22"/>
  <c r="B1259" i="22"/>
  <c r="B1260" i="22"/>
  <c r="B1261" i="22"/>
  <c r="B1262" i="22"/>
  <c r="B1263" i="22"/>
  <c r="B1264" i="22"/>
  <c r="B1265" i="22"/>
  <c r="B1266" i="22"/>
  <c r="B1267" i="22"/>
  <c r="B1268" i="22"/>
  <c r="B1269" i="22"/>
  <c r="B1270" i="22"/>
  <c r="B1271" i="22"/>
  <c r="B1272" i="22"/>
  <c r="B1273" i="22"/>
  <c r="B1274" i="22"/>
  <c r="B1275" i="22"/>
  <c r="B1276" i="22"/>
  <c r="B1277" i="22"/>
  <c r="B1278" i="22"/>
  <c r="B1279" i="22"/>
  <c r="B1280" i="22"/>
  <c r="B1281" i="22"/>
  <c r="B1282" i="22"/>
  <c r="B1283" i="22"/>
  <c r="B1284" i="22"/>
  <c r="B1285" i="22"/>
  <c r="B1286" i="22"/>
  <c r="B1287" i="22"/>
  <c r="B1288" i="22"/>
  <c r="B1289" i="22"/>
  <c r="B1290" i="22"/>
  <c r="B1291" i="22"/>
  <c r="B1292" i="22"/>
  <c r="B1293" i="22"/>
  <c r="B1294" i="22"/>
  <c r="B1295" i="22"/>
  <c r="B1296" i="22"/>
  <c r="B1297" i="22"/>
  <c r="B1298" i="22"/>
  <c r="B1299" i="22"/>
  <c r="B1300" i="22"/>
  <c r="B1301" i="22"/>
  <c r="B1302" i="22"/>
  <c r="B1303" i="22"/>
  <c r="B1304" i="22"/>
  <c r="B1305" i="22"/>
  <c r="B1306" i="22"/>
  <c r="B1307" i="22"/>
  <c r="B1308" i="22"/>
  <c r="B1309" i="22"/>
  <c r="B1310" i="22"/>
  <c r="B1311" i="22"/>
  <c r="B1312" i="22"/>
  <c r="B1313" i="22"/>
  <c r="B1314" i="22"/>
  <c r="B1315" i="22"/>
  <c r="B1316" i="22"/>
  <c r="B1317" i="22"/>
  <c r="B1318" i="22"/>
  <c r="B1319" i="22"/>
  <c r="B1320" i="22"/>
  <c r="B1321" i="22"/>
  <c r="B1322" i="22"/>
  <c r="B1323" i="22"/>
  <c r="B1324" i="22"/>
  <c r="B1325" i="22"/>
  <c r="B1326" i="22"/>
  <c r="B1327" i="22"/>
  <c r="B1328" i="22"/>
  <c r="B1329" i="22"/>
  <c r="B1330" i="22"/>
  <c r="B1331" i="22"/>
  <c r="B1332" i="22"/>
  <c r="B1333" i="22"/>
  <c r="B1334" i="22"/>
  <c r="B1335" i="22"/>
  <c r="B1336" i="22"/>
  <c r="B1337" i="22"/>
  <c r="B1338" i="22"/>
  <c r="B1339" i="22"/>
  <c r="B1340" i="22"/>
  <c r="B1341" i="22"/>
  <c r="B1342" i="22"/>
  <c r="B1343" i="22"/>
  <c r="B1344" i="22"/>
  <c r="B1345" i="22"/>
  <c r="B1346" i="22"/>
  <c r="B1347" i="22"/>
  <c r="B1348" i="22"/>
  <c r="B1349" i="22"/>
  <c r="B1350" i="22"/>
  <c r="B1351" i="22"/>
  <c r="B1352" i="22"/>
  <c r="B1353" i="22"/>
  <c r="B1354" i="22"/>
  <c r="B1355" i="22"/>
  <c r="B1356" i="22"/>
  <c r="B1357" i="22"/>
  <c r="B1358" i="22"/>
  <c r="B1359" i="22"/>
  <c r="B1360" i="22"/>
  <c r="B1361" i="22"/>
  <c r="B1362" i="22"/>
  <c r="B1363" i="22"/>
  <c r="B1364" i="22"/>
  <c r="B1365" i="22"/>
  <c r="B1366" i="22"/>
  <c r="B1367" i="22"/>
  <c r="B1368" i="22"/>
  <c r="B1369" i="22"/>
  <c r="B1370" i="22"/>
  <c r="B1371" i="22"/>
  <c r="B1372" i="22"/>
  <c r="B1373" i="22"/>
  <c r="B1374" i="22"/>
  <c r="B1375" i="22"/>
  <c r="B1376" i="22"/>
  <c r="B1377" i="22"/>
  <c r="B1378" i="22"/>
  <c r="B1379" i="22"/>
  <c r="B1380" i="22"/>
  <c r="B1381" i="22"/>
  <c r="B1382" i="22"/>
  <c r="B1383" i="22"/>
  <c r="B1384" i="22"/>
  <c r="B1385" i="22"/>
  <c r="B1386" i="22"/>
  <c r="B1387" i="22"/>
  <c r="B1388" i="22"/>
  <c r="B1389" i="22"/>
  <c r="B1390" i="22"/>
  <c r="B1391" i="22"/>
  <c r="B1392" i="22"/>
  <c r="B1393" i="22"/>
  <c r="B1394" i="22"/>
  <c r="B1395" i="22"/>
  <c r="B1396" i="22"/>
  <c r="B1397" i="22"/>
  <c r="B1398" i="22"/>
  <c r="B1399" i="22"/>
  <c r="B1400" i="22"/>
  <c r="B1401" i="22"/>
  <c r="B1402" i="22"/>
  <c r="B1403" i="22"/>
  <c r="B1404" i="22"/>
  <c r="B1405" i="22"/>
  <c r="B1406" i="22"/>
  <c r="B1407" i="22"/>
  <c r="B1408" i="22"/>
  <c r="B1409" i="22"/>
  <c r="B1410" i="22"/>
  <c r="B1411" i="22"/>
  <c r="B1412" i="22"/>
  <c r="B1413" i="22"/>
  <c r="B1414" i="22"/>
  <c r="B1415" i="22"/>
  <c r="B1416" i="22"/>
  <c r="B1417" i="22"/>
  <c r="B1418" i="22"/>
  <c r="B1419" i="22"/>
  <c r="B1420" i="22"/>
  <c r="B1421" i="22"/>
  <c r="B1422" i="22"/>
  <c r="B1423" i="22"/>
  <c r="B1424" i="22"/>
  <c r="B1425" i="22"/>
  <c r="B1426" i="22"/>
  <c r="B1427" i="22"/>
  <c r="B1428" i="22"/>
  <c r="B1429" i="22"/>
  <c r="B1430" i="22"/>
  <c r="B1431" i="22"/>
  <c r="B1432" i="22"/>
  <c r="B1433" i="22"/>
  <c r="B1434" i="22"/>
  <c r="B1435" i="22"/>
  <c r="B1436" i="22"/>
  <c r="B1437" i="22"/>
  <c r="B1438" i="22"/>
  <c r="B1439" i="22"/>
  <c r="B1440" i="22"/>
  <c r="B1441" i="22"/>
  <c r="B1442" i="22"/>
  <c r="B1443" i="22"/>
  <c r="B1444" i="22"/>
  <c r="B1445" i="22"/>
  <c r="B1446" i="22"/>
  <c r="B1447" i="22"/>
  <c r="B1448" i="22"/>
  <c r="B1449" i="22"/>
  <c r="B1450" i="22"/>
  <c r="B1451" i="22"/>
  <c r="B1452" i="22"/>
  <c r="B1453" i="22"/>
  <c r="B1454" i="22"/>
  <c r="B1455" i="22"/>
  <c r="B1456" i="22"/>
  <c r="B1457" i="22"/>
  <c r="B1458" i="22"/>
  <c r="B1459" i="22"/>
  <c r="B1460" i="22"/>
  <c r="B1461" i="22"/>
  <c r="B1462" i="22"/>
  <c r="B1463" i="22"/>
  <c r="B1464" i="22"/>
  <c r="B1465" i="22"/>
  <c r="B1466" i="22"/>
  <c r="B1467" i="22"/>
  <c r="B1468" i="22"/>
  <c r="B1469" i="22"/>
  <c r="B1470" i="22"/>
  <c r="B1471" i="22"/>
  <c r="B1472" i="22"/>
  <c r="B1473" i="22"/>
  <c r="B1474" i="22"/>
  <c r="B1475" i="22"/>
  <c r="B1476" i="22"/>
  <c r="B1477" i="22"/>
  <c r="B1478" i="22"/>
  <c r="B1479" i="22"/>
  <c r="B1480" i="22"/>
  <c r="B1481" i="22"/>
  <c r="B1482" i="22"/>
  <c r="B1483" i="22"/>
  <c r="B1484" i="22"/>
  <c r="B1485" i="22"/>
  <c r="B1486" i="22"/>
  <c r="B1487" i="22"/>
  <c r="B1488" i="22"/>
  <c r="B1489" i="22"/>
  <c r="B1490" i="22"/>
  <c r="B1491" i="22"/>
  <c r="B1492" i="22"/>
  <c r="B1493" i="22"/>
  <c r="B1494" i="22"/>
  <c r="B1495" i="22"/>
  <c r="B1496" i="22"/>
  <c r="B1497" i="22"/>
  <c r="B1498" i="22"/>
  <c r="B1499" i="22"/>
  <c r="B1500" i="22"/>
  <c r="B1501" i="22"/>
  <c r="B1502" i="22"/>
  <c r="B1503" i="22"/>
  <c r="B1504" i="22"/>
  <c r="B1505" i="22"/>
  <c r="B1506" i="22"/>
  <c r="B1507" i="22"/>
  <c r="B1508" i="22"/>
  <c r="B1509" i="22"/>
  <c r="B1510" i="22"/>
  <c r="B1511" i="22"/>
  <c r="B1512" i="22"/>
  <c r="B1513" i="22"/>
  <c r="B1514" i="22"/>
  <c r="B1515" i="22"/>
  <c r="B1516" i="22"/>
  <c r="B1517" i="22"/>
  <c r="B1518" i="22"/>
  <c r="B1519" i="22"/>
  <c r="B1520" i="22"/>
  <c r="B1521" i="22"/>
  <c r="B1522" i="22"/>
  <c r="B1523" i="22"/>
  <c r="B1524" i="22"/>
  <c r="B1525" i="22"/>
  <c r="B1526" i="22"/>
  <c r="B1527" i="22"/>
  <c r="B1528" i="22"/>
  <c r="B1529" i="22"/>
  <c r="B1530" i="22"/>
  <c r="B1531" i="22"/>
  <c r="B1532" i="22"/>
  <c r="B1533" i="22"/>
  <c r="B1534" i="22"/>
  <c r="B1535" i="22"/>
  <c r="B1536" i="22"/>
  <c r="B1537" i="22"/>
  <c r="B1538" i="22"/>
  <c r="B1539" i="22"/>
  <c r="B1540" i="22"/>
  <c r="B1541" i="22"/>
  <c r="B1542" i="22"/>
  <c r="B1543" i="22"/>
  <c r="B1544" i="22"/>
  <c r="B1545" i="22"/>
  <c r="B1546" i="22"/>
  <c r="B1547" i="22"/>
  <c r="B1548" i="22"/>
  <c r="B1549" i="22"/>
  <c r="B1550" i="22"/>
  <c r="B1551" i="22"/>
  <c r="B1552" i="22"/>
  <c r="B1553" i="22"/>
  <c r="B1554" i="22"/>
  <c r="B1555" i="22"/>
  <c r="B1556" i="22"/>
  <c r="B1557" i="22"/>
  <c r="B1558" i="22"/>
  <c r="B1559" i="22"/>
  <c r="B1560" i="22"/>
  <c r="B1561" i="22"/>
  <c r="B1562" i="22"/>
  <c r="B1563" i="22"/>
  <c r="B1564" i="22"/>
  <c r="B1565" i="22"/>
  <c r="B1566" i="22"/>
  <c r="B1567" i="22"/>
  <c r="B1568" i="22"/>
  <c r="B1569" i="22"/>
  <c r="B1570" i="22"/>
  <c r="B1571" i="22"/>
  <c r="B1572" i="22"/>
  <c r="B1573" i="22"/>
  <c r="B1574" i="22"/>
  <c r="B1575" i="22"/>
  <c r="B1576" i="22"/>
  <c r="B1577" i="22"/>
  <c r="B1578" i="22"/>
  <c r="B1579" i="22"/>
  <c r="B1580" i="22"/>
  <c r="B1581" i="22"/>
  <c r="B1582" i="22"/>
  <c r="B1583" i="22"/>
  <c r="B1584" i="22"/>
  <c r="B1585" i="22"/>
  <c r="B1586" i="22"/>
  <c r="B1587" i="22"/>
  <c r="B1588" i="22"/>
  <c r="B1589" i="22"/>
  <c r="B1590" i="22"/>
  <c r="B1591" i="22"/>
  <c r="B1592" i="22"/>
  <c r="B1593" i="22"/>
  <c r="B1594" i="22"/>
  <c r="B1595" i="22"/>
  <c r="B1596" i="22"/>
  <c r="B1597" i="22"/>
  <c r="B1598" i="22"/>
  <c r="B1599" i="22"/>
  <c r="B1600" i="22"/>
  <c r="B1601" i="22"/>
  <c r="B1602" i="22"/>
  <c r="B1603" i="22"/>
  <c r="B1604" i="22"/>
  <c r="B1605" i="22"/>
  <c r="B1606" i="22"/>
  <c r="B1607" i="22"/>
  <c r="B1608" i="22"/>
  <c r="B1609" i="22"/>
  <c r="B1610" i="22"/>
  <c r="B1611" i="22"/>
  <c r="B1612" i="22"/>
  <c r="B1613" i="22"/>
  <c r="B1614" i="22"/>
  <c r="B1615" i="22"/>
  <c r="B1616" i="22"/>
  <c r="B1617" i="22"/>
  <c r="B1618" i="22"/>
  <c r="B1619" i="22"/>
  <c r="B1620" i="22"/>
  <c r="B1621" i="22"/>
  <c r="B1622" i="22"/>
  <c r="B1623" i="22"/>
  <c r="B1624" i="22"/>
  <c r="B1625" i="22"/>
  <c r="B1626" i="22"/>
  <c r="B1627" i="22"/>
  <c r="B1628" i="22"/>
  <c r="B1629" i="22"/>
  <c r="B1630" i="22"/>
  <c r="B1631" i="22"/>
  <c r="B1632" i="22"/>
  <c r="B1633" i="22"/>
  <c r="B1634" i="22"/>
  <c r="B1635" i="22"/>
  <c r="B1636" i="22"/>
  <c r="B1637" i="22"/>
  <c r="B1638" i="22"/>
  <c r="B1639" i="22"/>
  <c r="B1640" i="22"/>
  <c r="B1641" i="22"/>
  <c r="B1642" i="22"/>
  <c r="B1643" i="22"/>
  <c r="B1644" i="22"/>
  <c r="B1645" i="22"/>
  <c r="B1646" i="22"/>
  <c r="B1647" i="22"/>
  <c r="B1648" i="22"/>
  <c r="B1649" i="22"/>
  <c r="B1650" i="22"/>
  <c r="B1651" i="22"/>
  <c r="B1652" i="22"/>
  <c r="B1653" i="22"/>
  <c r="B1654" i="22"/>
  <c r="B1655" i="22"/>
  <c r="B1656" i="22"/>
  <c r="B1657" i="22"/>
  <c r="B1658" i="22"/>
  <c r="B1659" i="22"/>
  <c r="B1660" i="22"/>
  <c r="B1661" i="22"/>
  <c r="B1662" i="22"/>
  <c r="B1663" i="22"/>
  <c r="B1664" i="22"/>
  <c r="B1665" i="22"/>
  <c r="B1666" i="22"/>
  <c r="B1667" i="22"/>
  <c r="B1668" i="22"/>
  <c r="B1669" i="22"/>
  <c r="B1670" i="22"/>
  <c r="B1671" i="22"/>
  <c r="B1672" i="22"/>
  <c r="B1673" i="22"/>
  <c r="B1674" i="22"/>
  <c r="B1675" i="22"/>
  <c r="B1676" i="22"/>
  <c r="B1677" i="22"/>
  <c r="B1678" i="22"/>
  <c r="B1679" i="22"/>
  <c r="B1680" i="22"/>
  <c r="B1681" i="22"/>
  <c r="B1682" i="22"/>
  <c r="B1683" i="22"/>
  <c r="B1684" i="22"/>
  <c r="B1685" i="22"/>
  <c r="B1686" i="22"/>
  <c r="B1687" i="22"/>
  <c r="B1688" i="22"/>
  <c r="B1689" i="22"/>
  <c r="B1690" i="22"/>
  <c r="B1691" i="22"/>
  <c r="B1692" i="22"/>
  <c r="B1693" i="22"/>
  <c r="B1694" i="22"/>
  <c r="B1695" i="22"/>
  <c r="B1696" i="22"/>
  <c r="B1697" i="22"/>
  <c r="B1698" i="22"/>
  <c r="B1699" i="22"/>
  <c r="B1700" i="22"/>
  <c r="B1701" i="22"/>
  <c r="B1702" i="22"/>
  <c r="B1703" i="22"/>
  <c r="B1704" i="22"/>
  <c r="B1705" i="22"/>
  <c r="B1706" i="22"/>
  <c r="B1707" i="22"/>
  <c r="B1708" i="22"/>
  <c r="B1709" i="22"/>
  <c r="B1710" i="22"/>
  <c r="B1711" i="22"/>
  <c r="B1712" i="22"/>
  <c r="B1713" i="22"/>
  <c r="B1714" i="22"/>
  <c r="B1715" i="22"/>
  <c r="B1716" i="22"/>
  <c r="B1717" i="22"/>
  <c r="B1718" i="22"/>
  <c r="B1719" i="22"/>
  <c r="B1720" i="22"/>
  <c r="B1721" i="22"/>
  <c r="B1722" i="22"/>
  <c r="B1723" i="22"/>
  <c r="B1724" i="22"/>
  <c r="B1725" i="22"/>
  <c r="B1726" i="22"/>
  <c r="B1727" i="22"/>
  <c r="B1728" i="22"/>
  <c r="B1729" i="22"/>
  <c r="B1730" i="22"/>
  <c r="B1731" i="22"/>
  <c r="B1732" i="22"/>
  <c r="B1733" i="22"/>
  <c r="B1734" i="22"/>
  <c r="B1735" i="22"/>
  <c r="B1736" i="22"/>
  <c r="B1737" i="22"/>
  <c r="B1738" i="22"/>
  <c r="B1739" i="22"/>
  <c r="B1740" i="22"/>
  <c r="B1741" i="22"/>
  <c r="B1742" i="22"/>
  <c r="B1743" i="22"/>
  <c r="B1744" i="22"/>
  <c r="B1745" i="22"/>
  <c r="B1746" i="22"/>
  <c r="B1747" i="22"/>
  <c r="B1748" i="22"/>
  <c r="B1749" i="22"/>
  <c r="B1750" i="22"/>
  <c r="B1751" i="22"/>
  <c r="B1752" i="22"/>
  <c r="B1753" i="22"/>
  <c r="B1754" i="22"/>
  <c r="B1755" i="22"/>
  <c r="B1756" i="22"/>
  <c r="B1757" i="22"/>
  <c r="B1758" i="22"/>
  <c r="B1759" i="22"/>
  <c r="B1760" i="22"/>
  <c r="B1761" i="22"/>
  <c r="B1762" i="22"/>
  <c r="B1763" i="22"/>
  <c r="B1764" i="22"/>
  <c r="B1765" i="22"/>
  <c r="B1766" i="22"/>
  <c r="B1767" i="22"/>
  <c r="B1768" i="22"/>
  <c r="B1769" i="22"/>
  <c r="B1770" i="22"/>
  <c r="B1771" i="22"/>
  <c r="B1772" i="22"/>
  <c r="B1773" i="22"/>
  <c r="B1774" i="22"/>
  <c r="B1775" i="22"/>
  <c r="B1776" i="22"/>
  <c r="B1777" i="22"/>
  <c r="B1778" i="22"/>
  <c r="B1779" i="22"/>
  <c r="B1780" i="22"/>
  <c r="B1781" i="22"/>
  <c r="B1782" i="22"/>
  <c r="B1783" i="22"/>
  <c r="B1784" i="22"/>
  <c r="B1785" i="22"/>
  <c r="B1786" i="22"/>
  <c r="B1787" i="22"/>
  <c r="B1788" i="22"/>
  <c r="B1789" i="22"/>
  <c r="B1790" i="22"/>
  <c r="B1791" i="22"/>
  <c r="B1792" i="22"/>
  <c r="B1793" i="22"/>
  <c r="B1794" i="22"/>
  <c r="B1795" i="22"/>
  <c r="B1796" i="22"/>
  <c r="B1797" i="22"/>
  <c r="B1798" i="22"/>
  <c r="B1799" i="22"/>
  <c r="B1800" i="22"/>
  <c r="B1801" i="22"/>
  <c r="B1802" i="22"/>
  <c r="B1803" i="22"/>
  <c r="B1804" i="22"/>
  <c r="B1805" i="22"/>
  <c r="B1806" i="22"/>
  <c r="B1807" i="22"/>
  <c r="B1808" i="22"/>
  <c r="B1809" i="22"/>
  <c r="B1810" i="22"/>
  <c r="B1811" i="22"/>
  <c r="B1812" i="22"/>
  <c r="B1813" i="22"/>
  <c r="B1814" i="22"/>
  <c r="B1815" i="22"/>
  <c r="B1816" i="22"/>
  <c r="B1817" i="22"/>
  <c r="B1818" i="22"/>
  <c r="B1819" i="22"/>
  <c r="B1820" i="22"/>
  <c r="B1821" i="22"/>
  <c r="B1822" i="22"/>
  <c r="B1823" i="22"/>
  <c r="B1824" i="22"/>
  <c r="B1825" i="22"/>
  <c r="B1826" i="22"/>
  <c r="B1827" i="22"/>
  <c r="B1828" i="22"/>
  <c r="B1829" i="22"/>
  <c r="B1830" i="22"/>
  <c r="B1831" i="22"/>
  <c r="B1832" i="22"/>
  <c r="B1833" i="22"/>
  <c r="B1834" i="22"/>
  <c r="B1835" i="22"/>
  <c r="B1836" i="22"/>
  <c r="B1837" i="22"/>
  <c r="B1838" i="22"/>
  <c r="B1839" i="22"/>
  <c r="B1840" i="22"/>
  <c r="B1841" i="22"/>
  <c r="B1842" i="22"/>
  <c r="B1843" i="22"/>
  <c r="B1844" i="22"/>
  <c r="B1845" i="22"/>
  <c r="B1846" i="22"/>
  <c r="B1847" i="22"/>
  <c r="B1848" i="22"/>
  <c r="B1849" i="22"/>
  <c r="B1850" i="22"/>
  <c r="B1851" i="22"/>
  <c r="B1852" i="22"/>
  <c r="B1853" i="22"/>
  <c r="B1854" i="22"/>
  <c r="B1855" i="22"/>
  <c r="B1856" i="22"/>
  <c r="B1857" i="22"/>
  <c r="B1858" i="22"/>
  <c r="B1859" i="22"/>
  <c r="B1860" i="22"/>
  <c r="B1861" i="22"/>
  <c r="B1862" i="22"/>
  <c r="B1863" i="22"/>
  <c r="B1864" i="22"/>
  <c r="B1865" i="22"/>
  <c r="B1866" i="22"/>
  <c r="B1867" i="22"/>
  <c r="B1868" i="22"/>
  <c r="B1869" i="22"/>
  <c r="B1870" i="22"/>
  <c r="B1871" i="22"/>
  <c r="B1872" i="22"/>
  <c r="B1873" i="22"/>
  <c r="B1874" i="22"/>
  <c r="B1875" i="22"/>
  <c r="B1876" i="22"/>
  <c r="B1877" i="22"/>
  <c r="B1878" i="22"/>
  <c r="B1879" i="22"/>
  <c r="B1880" i="22"/>
  <c r="B1881" i="22"/>
  <c r="B1882" i="22"/>
  <c r="B1883" i="22"/>
  <c r="B1884" i="22"/>
  <c r="B1885" i="22"/>
  <c r="B1886" i="22"/>
  <c r="B1887" i="22"/>
  <c r="B1888" i="22"/>
  <c r="B1889" i="22"/>
  <c r="B1890" i="22"/>
  <c r="B1891" i="22"/>
  <c r="B1892" i="22"/>
  <c r="B1893" i="22"/>
  <c r="B1894" i="22"/>
  <c r="B1895" i="22"/>
  <c r="B1896" i="22"/>
  <c r="B1897" i="22"/>
  <c r="B1898" i="22"/>
  <c r="B1899" i="22"/>
  <c r="B1900" i="22"/>
  <c r="B1901" i="22"/>
  <c r="B1902" i="22"/>
  <c r="B1903" i="22"/>
  <c r="B1904" i="22"/>
  <c r="B1905" i="22"/>
  <c r="B1906" i="22"/>
  <c r="B1907" i="22"/>
  <c r="B1908" i="22"/>
  <c r="B1909" i="22"/>
  <c r="B1910" i="22"/>
  <c r="B1911" i="22"/>
  <c r="B1912" i="22"/>
  <c r="B1913" i="22"/>
  <c r="B1914" i="22"/>
  <c r="B1915" i="22"/>
  <c r="B1916" i="22"/>
  <c r="B1917" i="22"/>
  <c r="B1918" i="22"/>
  <c r="B1919" i="22"/>
  <c r="B1920" i="22"/>
  <c r="B1921" i="22"/>
  <c r="B1922" i="22"/>
  <c r="B1923" i="22"/>
  <c r="B1924" i="22"/>
  <c r="B1925" i="22"/>
  <c r="B1926" i="22"/>
  <c r="B1927" i="22"/>
  <c r="B1928" i="22"/>
  <c r="B1929" i="22"/>
  <c r="B1930" i="22"/>
  <c r="B1931" i="22"/>
  <c r="B1932" i="22"/>
  <c r="B1933" i="22"/>
  <c r="B1934" i="22"/>
  <c r="B1935" i="22"/>
  <c r="B1936" i="22"/>
  <c r="B1937" i="22"/>
  <c r="B1938" i="22"/>
  <c r="B1939" i="22"/>
  <c r="B1940" i="22"/>
  <c r="B1941" i="22"/>
  <c r="B1942" i="22"/>
  <c r="B1943" i="22"/>
  <c r="B1944" i="22"/>
  <c r="B1945" i="22"/>
  <c r="B1946" i="22"/>
  <c r="B1947" i="22"/>
  <c r="B1948" i="22"/>
  <c r="B1949" i="22"/>
  <c r="B1950" i="22"/>
  <c r="B1951" i="22"/>
  <c r="B1952" i="22"/>
  <c r="B1953" i="22"/>
  <c r="B1954" i="22"/>
  <c r="B1955" i="22"/>
  <c r="B1956" i="22"/>
  <c r="B1957" i="22"/>
  <c r="B1958" i="22"/>
  <c r="B1959" i="22"/>
  <c r="B1960" i="22"/>
  <c r="B1961" i="22"/>
  <c r="B1962" i="22"/>
  <c r="B1963" i="22"/>
  <c r="B1964" i="22"/>
  <c r="B1965" i="22"/>
  <c r="B1966" i="22"/>
  <c r="B1967" i="22"/>
  <c r="B1968" i="22"/>
  <c r="B1969" i="22"/>
  <c r="B1970" i="22"/>
  <c r="B1971" i="22"/>
  <c r="B1972" i="22"/>
  <c r="B1973" i="22"/>
  <c r="B1974" i="22"/>
  <c r="B1975" i="22"/>
  <c r="B1976" i="22"/>
  <c r="B1977" i="22"/>
  <c r="B1978" i="22"/>
  <c r="B1979" i="22"/>
  <c r="B1980" i="22"/>
  <c r="B1981" i="22"/>
  <c r="B1982" i="22"/>
  <c r="B1983" i="22"/>
  <c r="B1984" i="22"/>
  <c r="B1985" i="22"/>
  <c r="B1986" i="22"/>
  <c r="B1987" i="22"/>
  <c r="B1988" i="22"/>
  <c r="B1989" i="22"/>
  <c r="B1990" i="22"/>
  <c r="B1991" i="22"/>
  <c r="B1992" i="22"/>
  <c r="B1993" i="22"/>
  <c r="B1994" i="22"/>
  <c r="B1995" i="22"/>
  <c r="B1996" i="22"/>
  <c r="B1997" i="22"/>
  <c r="B1998" i="22"/>
  <c r="B1999" i="22"/>
  <c r="B2000" i="22"/>
  <c r="B2001" i="22"/>
  <c r="B2002" i="22"/>
  <c r="B2003" i="22"/>
  <c r="B2004" i="22"/>
  <c r="B2005" i="22"/>
  <c r="B2006" i="22"/>
  <c r="B2007" i="22"/>
  <c r="B2008" i="22"/>
  <c r="B2009" i="22"/>
  <c r="B2010" i="22"/>
  <c r="B2011" i="22"/>
  <c r="B2012" i="22"/>
  <c r="B2013" i="22"/>
  <c r="B2014" i="22"/>
  <c r="B2015" i="22"/>
  <c r="B2016" i="22"/>
  <c r="B2017" i="22"/>
  <c r="B2018" i="22"/>
  <c r="B2019" i="22"/>
  <c r="B2020" i="22"/>
  <c r="B2021" i="22"/>
  <c r="B2022" i="22"/>
  <c r="B2023" i="22"/>
  <c r="B2024" i="22"/>
  <c r="B2025" i="22"/>
  <c r="B2026" i="22"/>
  <c r="B2027" i="22"/>
  <c r="B2028" i="22"/>
  <c r="B2029" i="22"/>
  <c r="B2030" i="22"/>
  <c r="B2031" i="22"/>
  <c r="B2032" i="22"/>
  <c r="B2033" i="22"/>
  <c r="B2034" i="22"/>
  <c r="B2035" i="22"/>
  <c r="B2036" i="22"/>
  <c r="B2037" i="22"/>
  <c r="B2038" i="22"/>
  <c r="B2039" i="22"/>
  <c r="B2040" i="22"/>
  <c r="B2041" i="22"/>
  <c r="B2042" i="22"/>
  <c r="B2043" i="22"/>
  <c r="B2044" i="22"/>
  <c r="B2045" i="22"/>
  <c r="B2046" i="22"/>
  <c r="B2047" i="22"/>
  <c r="B2048" i="22"/>
  <c r="B2049" i="22"/>
  <c r="B2050" i="22"/>
  <c r="B2051" i="22"/>
  <c r="B2052" i="22"/>
  <c r="B2053" i="22"/>
  <c r="B2054" i="22"/>
  <c r="B2055" i="22"/>
  <c r="B2056" i="22"/>
  <c r="B2057" i="22"/>
  <c r="B2058" i="22"/>
  <c r="B2059" i="22"/>
  <c r="B2060" i="22"/>
  <c r="B2061" i="22"/>
  <c r="B2062" i="22"/>
  <c r="B2063" i="22"/>
  <c r="B2064" i="22"/>
  <c r="B2065" i="22"/>
  <c r="B2066" i="22"/>
  <c r="B2067" i="22"/>
  <c r="B2068" i="22"/>
  <c r="B2069" i="22"/>
  <c r="B2070" i="22"/>
  <c r="B2071" i="22"/>
  <c r="B2072" i="22"/>
  <c r="B2073" i="22"/>
  <c r="B2074" i="22"/>
  <c r="B2075" i="22"/>
  <c r="B2076" i="22"/>
  <c r="B2077" i="22"/>
  <c r="B2078" i="22"/>
  <c r="B2079" i="22"/>
  <c r="B2080" i="22"/>
  <c r="B2081" i="22"/>
  <c r="B2082" i="22"/>
  <c r="B2083" i="22"/>
  <c r="B2084" i="22"/>
  <c r="B2085" i="22"/>
  <c r="B2086" i="22"/>
  <c r="B2087" i="22"/>
  <c r="B2088" i="22"/>
  <c r="B2089" i="22"/>
  <c r="B2090" i="22"/>
  <c r="B2091" i="22"/>
  <c r="B2092" i="22"/>
  <c r="B2093" i="22"/>
  <c r="B2094" i="22"/>
  <c r="B2095" i="22"/>
  <c r="B2096" i="22"/>
  <c r="B2097" i="22"/>
  <c r="B2098" i="22"/>
  <c r="B2099" i="22"/>
  <c r="B2100" i="22"/>
  <c r="B2101" i="22"/>
  <c r="B2102" i="22"/>
  <c r="B2103" i="22"/>
  <c r="B2104" i="22"/>
  <c r="B2105" i="22"/>
  <c r="B2106" i="22"/>
  <c r="B2107" i="22"/>
  <c r="B2108" i="22"/>
  <c r="B2109" i="22"/>
  <c r="B2110" i="22"/>
  <c r="B2111" i="22"/>
  <c r="B2112" i="22"/>
  <c r="B2113" i="22"/>
  <c r="B2114" i="22"/>
  <c r="B2115" i="22"/>
  <c r="B2116" i="22"/>
  <c r="B2117" i="22"/>
  <c r="B2118" i="22"/>
  <c r="B2119" i="22"/>
  <c r="B2120" i="22"/>
  <c r="B2121" i="22"/>
  <c r="B2122" i="22"/>
  <c r="B2123" i="22"/>
  <c r="B2124" i="22"/>
  <c r="B2125" i="22"/>
  <c r="B2126" i="22"/>
  <c r="B2127" i="22"/>
  <c r="B2128" i="22"/>
  <c r="B2129" i="22"/>
  <c r="B2130" i="22"/>
  <c r="B2131" i="22"/>
  <c r="B2132" i="22"/>
  <c r="B2133" i="22"/>
  <c r="B2134" i="22"/>
  <c r="B2135" i="22"/>
  <c r="B2136" i="22"/>
  <c r="B2137" i="22"/>
  <c r="B2138" i="22"/>
  <c r="B2139" i="22"/>
  <c r="B2140" i="22"/>
  <c r="B2141" i="22"/>
  <c r="B2142" i="22"/>
  <c r="B2143" i="22"/>
  <c r="B2144" i="22"/>
  <c r="B2145" i="22"/>
  <c r="B2146" i="22"/>
  <c r="B2147" i="22"/>
  <c r="B2148" i="22"/>
  <c r="B2149" i="22"/>
  <c r="B2150" i="22"/>
  <c r="B2151" i="22"/>
  <c r="B2152" i="22"/>
  <c r="B2153" i="22"/>
  <c r="B2154" i="22"/>
  <c r="B2155" i="22"/>
  <c r="B2156" i="22"/>
  <c r="B2157" i="22"/>
  <c r="B2158" i="22"/>
  <c r="B2159" i="22"/>
  <c r="B2160" i="22"/>
  <c r="B2161" i="22"/>
  <c r="B2162" i="22"/>
  <c r="B2163" i="22"/>
  <c r="B2164" i="22"/>
  <c r="B2165" i="22"/>
  <c r="B2166" i="22"/>
  <c r="B2167" i="22"/>
  <c r="B2168" i="22"/>
  <c r="B2169" i="22"/>
  <c r="B2170" i="22"/>
  <c r="B2171" i="22"/>
  <c r="B2172" i="22"/>
  <c r="B2173" i="22"/>
  <c r="B2174" i="22"/>
  <c r="B2175" i="22"/>
  <c r="B2176" i="22"/>
  <c r="B2177" i="22"/>
  <c r="B2178" i="22"/>
  <c r="B2179" i="22"/>
  <c r="B2180" i="22"/>
  <c r="B2181" i="22"/>
  <c r="B2182" i="22"/>
  <c r="B2183" i="22"/>
  <c r="B2184" i="22"/>
  <c r="B2185" i="22"/>
  <c r="B2186" i="22"/>
  <c r="B2187" i="22"/>
  <c r="B2188" i="22"/>
  <c r="B2189" i="22"/>
  <c r="B2190" i="22"/>
  <c r="B2191" i="22"/>
  <c r="B2192" i="22"/>
  <c r="B2193" i="22"/>
  <c r="B2194" i="22"/>
  <c r="B2195" i="22"/>
  <c r="B2196" i="22"/>
  <c r="B2197" i="22"/>
  <c r="B2198" i="22"/>
  <c r="B2199" i="22"/>
  <c r="B2200" i="22"/>
  <c r="B2201" i="22"/>
  <c r="B2202" i="22"/>
  <c r="B2203" i="22"/>
  <c r="B2204" i="22"/>
  <c r="B2205" i="22"/>
  <c r="B2206" i="22"/>
  <c r="B2207" i="22"/>
  <c r="B2208" i="22"/>
  <c r="B2209" i="22"/>
  <c r="B2210" i="22"/>
  <c r="B2211" i="22"/>
  <c r="B2212" i="22"/>
  <c r="B2213" i="22"/>
  <c r="B2214" i="22"/>
  <c r="B2215" i="22"/>
  <c r="B2216" i="22"/>
  <c r="B2217" i="22"/>
  <c r="B2218" i="22"/>
  <c r="B2219" i="22"/>
  <c r="B2220" i="22"/>
  <c r="B2221" i="22"/>
  <c r="B2222" i="22"/>
  <c r="B2223" i="22"/>
  <c r="B2224" i="22"/>
  <c r="B2225" i="22"/>
  <c r="B2226" i="22"/>
  <c r="B2227" i="22"/>
  <c r="B2228" i="22"/>
  <c r="B2229" i="22"/>
  <c r="B2230" i="22"/>
  <c r="B2231" i="22"/>
  <c r="B2232" i="22"/>
  <c r="B2233" i="22"/>
  <c r="B2234" i="22"/>
  <c r="B2235" i="22"/>
  <c r="B2236" i="22"/>
  <c r="B2237" i="22"/>
  <c r="B2238" i="22"/>
  <c r="B2239" i="22"/>
  <c r="B2240" i="22"/>
  <c r="B2241" i="22"/>
  <c r="B2242" i="22"/>
  <c r="B2243" i="22"/>
  <c r="B2244" i="22"/>
  <c r="B2245" i="22"/>
  <c r="B2246" i="22"/>
  <c r="B2247" i="22"/>
  <c r="B2248" i="22"/>
  <c r="B2249" i="22"/>
  <c r="B2250" i="22"/>
  <c r="B2251" i="22"/>
  <c r="B2252" i="22"/>
  <c r="B2253" i="22"/>
  <c r="B2254" i="22"/>
  <c r="B2255" i="22"/>
  <c r="B2256" i="22"/>
  <c r="B2257" i="22"/>
  <c r="B2258" i="22"/>
  <c r="B2259" i="22"/>
  <c r="B2260" i="22"/>
  <c r="B2261" i="22"/>
  <c r="B2262" i="22"/>
  <c r="B2263" i="22"/>
  <c r="B2264" i="22"/>
  <c r="B2265" i="22"/>
  <c r="B2266" i="22"/>
  <c r="B2267" i="22"/>
  <c r="B2268" i="22"/>
  <c r="B2269" i="22"/>
  <c r="B2270" i="22"/>
  <c r="B2271" i="22"/>
  <c r="B2272" i="22"/>
  <c r="B2273" i="22"/>
  <c r="B2274" i="22"/>
  <c r="B2275" i="22"/>
  <c r="B2276" i="22"/>
  <c r="B2277" i="22"/>
  <c r="B2278" i="22"/>
  <c r="B2279" i="22"/>
  <c r="B2280" i="22"/>
  <c r="B2281" i="22"/>
  <c r="B2282" i="22"/>
  <c r="B2283" i="22"/>
  <c r="B2284" i="22"/>
  <c r="B2285" i="22"/>
  <c r="B2286" i="22"/>
  <c r="B2287" i="22"/>
  <c r="B2288" i="22"/>
  <c r="B2289" i="22"/>
  <c r="B2290" i="22"/>
  <c r="B2291" i="22"/>
  <c r="B2292" i="22"/>
  <c r="B2293" i="22"/>
  <c r="B2294" i="22"/>
  <c r="B2295" i="22"/>
  <c r="B2296" i="22"/>
  <c r="B2297" i="22"/>
  <c r="B2298" i="22"/>
  <c r="B2299" i="22"/>
  <c r="B2300" i="22"/>
  <c r="B2301" i="22"/>
  <c r="B2302" i="22"/>
  <c r="B2303" i="22"/>
  <c r="B2304" i="22"/>
  <c r="B2305" i="22"/>
  <c r="B2306" i="22"/>
  <c r="B2307" i="22"/>
  <c r="B2308" i="22"/>
  <c r="B2309" i="22"/>
  <c r="B2310" i="22"/>
  <c r="B2311" i="22"/>
  <c r="B2312" i="22"/>
  <c r="B2313" i="22"/>
  <c r="B2314" i="22"/>
  <c r="B2315" i="22"/>
  <c r="B2316" i="22"/>
  <c r="B2317" i="22"/>
  <c r="B2318" i="22"/>
  <c r="B2319" i="22"/>
  <c r="B2320" i="22"/>
  <c r="B2321" i="22"/>
  <c r="B2322" i="22"/>
  <c r="B2323" i="22"/>
  <c r="B2324" i="22"/>
  <c r="B2325" i="22"/>
  <c r="B2326" i="22"/>
  <c r="B2327" i="22"/>
  <c r="B2328" i="22"/>
  <c r="B2329" i="22"/>
  <c r="B2330" i="22"/>
  <c r="B2331" i="22"/>
  <c r="B2332" i="22"/>
  <c r="B2333" i="22"/>
  <c r="B2334" i="22"/>
  <c r="B2335" i="22"/>
  <c r="B2336" i="22"/>
  <c r="B2337" i="22"/>
  <c r="B2338" i="22"/>
  <c r="B2339" i="22"/>
  <c r="B2340" i="22"/>
  <c r="B2341" i="22"/>
  <c r="B2342" i="22"/>
  <c r="B2343" i="22"/>
  <c r="B2344" i="22"/>
  <c r="B2345" i="22"/>
  <c r="B2346" i="22"/>
  <c r="B2347" i="22"/>
  <c r="B2348" i="22"/>
  <c r="B2349" i="22"/>
  <c r="B2350" i="22"/>
  <c r="B2351" i="22"/>
  <c r="B2352" i="22"/>
  <c r="B2353" i="22"/>
  <c r="B2354" i="22"/>
  <c r="B2355" i="22"/>
  <c r="B2356" i="22"/>
  <c r="B2357" i="22"/>
  <c r="B2358" i="22"/>
  <c r="B2359" i="22"/>
  <c r="B2360" i="22"/>
  <c r="B2361" i="22"/>
  <c r="B2362" i="22"/>
  <c r="B2363" i="22"/>
  <c r="B2364" i="22"/>
  <c r="B2365" i="22"/>
  <c r="B2366" i="22"/>
  <c r="B2367" i="22"/>
  <c r="B2368" i="22"/>
  <c r="B2369" i="22"/>
  <c r="B2370" i="22"/>
  <c r="B2371" i="22"/>
  <c r="B2372" i="22"/>
  <c r="B2373" i="22"/>
  <c r="B2374" i="22"/>
  <c r="B2375" i="22"/>
  <c r="B2376" i="22"/>
  <c r="B2377" i="22"/>
  <c r="B2378" i="22"/>
  <c r="B2379" i="22"/>
  <c r="B2380" i="22"/>
  <c r="B2381" i="22"/>
  <c r="B2382" i="22"/>
  <c r="B2383" i="22"/>
  <c r="B2384" i="22"/>
  <c r="B2385" i="22"/>
  <c r="B2386" i="22"/>
  <c r="B2387" i="22"/>
  <c r="B2388" i="22"/>
  <c r="B2389" i="22"/>
  <c r="B2390" i="22"/>
  <c r="B2391" i="22"/>
  <c r="B2392" i="22"/>
  <c r="B2393" i="22"/>
  <c r="B2394" i="22"/>
  <c r="B2395" i="22"/>
  <c r="B2396" i="22"/>
  <c r="B2397" i="22"/>
  <c r="B2398" i="22"/>
  <c r="B2399" i="22"/>
  <c r="B2400" i="22"/>
  <c r="B2401" i="22"/>
  <c r="B2402" i="22"/>
  <c r="B2403" i="22"/>
  <c r="B2404" i="22"/>
  <c r="B2405" i="22"/>
  <c r="B2406" i="22"/>
  <c r="B2407" i="22"/>
  <c r="B2408" i="22"/>
  <c r="B2409" i="22"/>
  <c r="B2410" i="22"/>
  <c r="B2411" i="22"/>
  <c r="B2412" i="22"/>
  <c r="B2413" i="22"/>
  <c r="B2414" i="22"/>
  <c r="B2415" i="22"/>
  <c r="B2416" i="22"/>
  <c r="B2417" i="22"/>
  <c r="B2418" i="22"/>
  <c r="B2419" i="22"/>
  <c r="B2420" i="22"/>
  <c r="B2421" i="22"/>
  <c r="B2422" i="22"/>
  <c r="B2423" i="22"/>
  <c r="B2424" i="22"/>
  <c r="B2425" i="22"/>
  <c r="B2426" i="22"/>
  <c r="B2427" i="22"/>
  <c r="B2428" i="22"/>
  <c r="B2429" i="22"/>
  <c r="B2430" i="22"/>
  <c r="B2431" i="22"/>
  <c r="B2432" i="22"/>
  <c r="B2433" i="22"/>
  <c r="B2434" i="22"/>
  <c r="B2435" i="22"/>
  <c r="B2436" i="22"/>
  <c r="B2437" i="22"/>
  <c r="B2438" i="22"/>
  <c r="B2439" i="22"/>
  <c r="B2440" i="22"/>
  <c r="B2441" i="22"/>
  <c r="B2442" i="22"/>
  <c r="B2443" i="22"/>
  <c r="B2444" i="22"/>
  <c r="B2445" i="22"/>
  <c r="B2446" i="22"/>
  <c r="B2447" i="22"/>
  <c r="B2448" i="22"/>
  <c r="B2449" i="22"/>
  <c r="B2450" i="22"/>
  <c r="B2451" i="22"/>
  <c r="B2452" i="22"/>
  <c r="B2453" i="22"/>
  <c r="B2454" i="22"/>
  <c r="B2455" i="22"/>
  <c r="B2456" i="22"/>
  <c r="B2457" i="22"/>
  <c r="B2458" i="22"/>
  <c r="B2459" i="22"/>
  <c r="B2460" i="22"/>
  <c r="B2461" i="22"/>
  <c r="B2462" i="22"/>
  <c r="B2463" i="22"/>
  <c r="B2464" i="22"/>
  <c r="B2465" i="22"/>
  <c r="B2466" i="22"/>
  <c r="B2467" i="22"/>
  <c r="B2468" i="22"/>
  <c r="B2469" i="22"/>
  <c r="B2470" i="22"/>
  <c r="B2471" i="22"/>
  <c r="B2472" i="22"/>
  <c r="B2473" i="22"/>
  <c r="B2474" i="22"/>
  <c r="B2475" i="22"/>
  <c r="B2476" i="22"/>
  <c r="B2477" i="22"/>
  <c r="B2478" i="22"/>
  <c r="B2479" i="22"/>
  <c r="B2480" i="22"/>
  <c r="B2481" i="22"/>
  <c r="B2482" i="22"/>
  <c r="B2483" i="22"/>
  <c r="B2484" i="22"/>
  <c r="B2485" i="22"/>
  <c r="B2486" i="22"/>
  <c r="B2487" i="22"/>
  <c r="B2488" i="22"/>
  <c r="B2489" i="22"/>
  <c r="B2490" i="22"/>
  <c r="B2491" i="22"/>
  <c r="B2492" i="22"/>
  <c r="B2493" i="22"/>
  <c r="B2494" i="22"/>
  <c r="B2495" i="22"/>
  <c r="B2496" i="22"/>
  <c r="B2497" i="22"/>
  <c r="B2498" i="22"/>
  <c r="B2499" i="22"/>
  <c r="B2500" i="22"/>
  <c r="B2501" i="22"/>
  <c r="B2502" i="22"/>
  <c r="B2503" i="22"/>
  <c r="B2504" i="22"/>
  <c r="B2505" i="22"/>
  <c r="B2506" i="22"/>
  <c r="B2507" i="22"/>
  <c r="B2508" i="22"/>
  <c r="B2509" i="22"/>
  <c r="B2510" i="22"/>
  <c r="B2511" i="22"/>
  <c r="B2512" i="22"/>
  <c r="B2513" i="22"/>
  <c r="B2514" i="22"/>
  <c r="B2515" i="22"/>
  <c r="B2516" i="22"/>
  <c r="B2517" i="22"/>
  <c r="B2518" i="22"/>
  <c r="B2519" i="22"/>
  <c r="B2520" i="22"/>
  <c r="B2521" i="22"/>
  <c r="B2522" i="22"/>
  <c r="B2523" i="22"/>
  <c r="B2524" i="22"/>
  <c r="B2525" i="22"/>
  <c r="B2526" i="22"/>
  <c r="B2527" i="22"/>
  <c r="B2528" i="22"/>
  <c r="B2529" i="22"/>
  <c r="B2530" i="22"/>
  <c r="B2531" i="22"/>
  <c r="B2532" i="22"/>
  <c r="B2533" i="22"/>
  <c r="B2534" i="22"/>
  <c r="B2535" i="22"/>
  <c r="B2536" i="22"/>
  <c r="B2537" i="22"/>
  <c r="B2538" i="22"/>
  <c r="B2539" i="22"/>
  <c r="B2540" i="22"/>
  <c r="B2541" i="22"/>
  <c r="B2542" i="22"/>
  <c r="B2543" i="22"/>
  <c r="B2544" i="22"/>
  <c r="B2545" i="22"/>
  <c r="B2546" i="22"/>
  <c r="B2547" i="22"/>
  <c r="B2548" i="22"/>
  <c r="B2549" i="22"/>
  <c r="B2550" i="22"/>
  <c r="B2551" i="22"/>
  <c r="B2552" i="22"/>
  <c r="B2553" i="22"/>
  <c r="B2554" i="22"/>
  <c r="B2555" i="22"/>
  <c r="B2556" i="22"/>
  <c r="B2557" i="22"/>
  <c r="B2558" i="22"/>
  <c r="B2559" i="22"/>
  <c r="B2560" i="22"/>
  <c r="B2561" i="22"/>
  <c r="B2562" i="22"/>
  <c r="B2563" i="22"/>
  <c r="B2564" i="22"/>
  <c r="B2565" i="22"/>
  <c r="B2566" i="22"/>
  <c r="B2567" i="22"/>
  <c r="B2568" i="22"/>
  <c r="B2569" i="22"/>
  <c r="B2570" i="22"/>
  <c r="B2571" i="22"/>
  <c r="B2572" i="22"/>
  <c r="B2573" i="22"/>
  <c r="B2574" i="22"/>
  <c r="B2575" i="22"/>
  <c r="B2576" i="22"/>
  <c r="B2577" i="22"/>
  <c r="B2578" i="22"/>
  <c r="B2579" i="22"/>
  <c r="B2580" i="22"/>
  <c r="B2581" i="22"/>
  <c r="B2582" i="22"/>
  <c r="B2583" i="22"/>
  <c r="B2584" i="22"/>
  <c r="B2585" i="22"/>
  <c r="B2586" i="22"/>
  <c r="B2587" i="22"/>
  <c r="B2588" i="22"/>
  <c r="B2589" i="22"/>
  <c r="B2590" i="22"/>
  <c r="B2591" i="22"/>
  <c r="B2592" i="22"/>
  <c r="B2593" i="22"/>
  <c r="B2594" i="22"/>
  <c r="B2595" i="22"/>
  <c r="B2596" i="22"/>
  <c r="B2597" i="22"/>
  <c r="B2598" i="22"/>
  <c r="B2599" i="22"/>
  <c r="B2600" i="22"/>
  <c r="B2601" i="22"/>
  <c r="B2602" i="22"/>
  <c r="B2603" i="22"/>
  <c r="B2604" i="22"/>
  <c r="B2605" i="22"/>
  <c r="B2606" i="22"/>
  <c r="B2607" i="22"/>
  <c r="B2608" i="22"/>
  <c r="B2609" i="22"/>
  <c r="B2610" i="22"/>
  <c r="B2611" i="22"/>
  <c r="B2612" i="22"/>
  <c r="B2613" i="22"/>
  <c r="B2614" i="22"/>
  <c r="B2615" i="22"/>
  <c r="B2616" i="22"/>
  <c r="B2617" i="22"/>
  <c r="B2618" i="22"/>
  <c r="B2619" i="22"/>
  <c r="B2620" i="22"/>
  <c r="B2621" i="22"/>
  <c r="B2622" i="22"/>
  <c r="B2623" i="22"/>
  <c r="B2624" i="22"/>
  <c r="B2625" i="22"/>
  <c r="B2626" i="22"/>
  <c r="B2627" i="22"/>
  <c r="B2628" i="22"/>
  <c r="B2629" i="22"/>
  <c r="B2630" i="22"/>
  <c r="B2631" i="22"/>
  <c r="B2632" i="22"/>
  <c r="B2633" i="22"/>
  <c r="B2634" i="22"/>
  <c r="B2635" i="22"/>
  <c r="B2636" i="22"/>
  <c r="B2637" i="22"/>
  <c r="B2638" i="22"/>
  <c r="B2639" i="22"/>
  <c r="B2640" i="22"/>
  <c r="B2641" i="22"/>
  <c r="B2642" i="22"/>
  <c r="B2643" i="22"/>
  <c r="B2644" i="22"/>
  <c r="B2645" i="22"/>
  <c r="B2646" i="22"/>
  <c r="B2647" i="22"/>
  <c r="B2648" i="22"/>
  <c r="B2649" i="22"/>
  <c r="B2650" i="22"/>
  <c r="B2651" i="22"/>
  <c r="B2652" i="22"/>
  <c r="B2653" i="22"/>
  <c r="B2654" i="22"/>
  <c r="B2655" i="22"/>
  <c r="B2656" i="22"/>
  <c r="B2657" i="22"/>
  <c r="B2658" i="22"/>
  <c r="B2659" i="22"/>
  <c r="B2660" i="22"/>
  <c r="B2661" i="22"/>
  <c r="B2662" i="22"/>
  <c r="B2663" i="22"/>
  <c r="B2664" i="22"/>
  <c r="B2665" i="22"/>
  <c r="B2666" i="22"/>
  <c r="B2667" i="22"/>
  <c r="B2668" i="22"/>
  <c r="B2669" i="22"/>
  <c r="B2670" i="22"/>
  <c r="B2671" i="22"/>
  <c r="B2672" i="22"/>
  <c r="B2673" i="22"/>
  <c r="B2674" i="22"/>
  <c r="B2675" i="22"/>
  <c r="B2676" i="22"/>
  <c r="B2677" i="22"/>
  <c r="B2678" i="22"/>
  <c r="B2679" i="22"/>
  <c r="B2680" i="22"/>
  <c r="B2681" i="22"/>
  <c r="B2682" i="22"/>
  <c r="B2683" i="22"/>
  <c r="B2684" i="22"/>
  <c r="B2685" i="22"/>
  <c r="B2686" i="22"/>
  <c r="B2687" i="22"/>
  <c r="B2688" i="22"/>
  <c r="B2689" i="22"/>
  <c r="B2690" i="22"/>
  <c r="B2691" i="22"/>
  <c r="B2692" i="22"/>
  <c r="B2693" i="22"/>
  <c r="B2694" i="22"/>
  <c r="B2695" i="22"/>
  <c r="B2696" i="22"/>
  <c r="B2697" i="22"/>
  <c r="B2698" i="22"/>
  <c r="B2699" i="22"/>
  <c r="B2700" i="22"/>
  <c r="B2701" i="22"/>
  <c r="B2702" i="22"/>
  <c r="B2703" i="22"/>
  <c r="B2704" i="22"/>
  <c r="B2705" i="22"/>
  <c r="B2706" i="22"/>
  <c r="B2707" i="22"/>
  <c r="B2708" i="22"/>
  <c r="B2709" i="22"/>
  <c r="B2710" i="22"/>
  <c r="B2711" i="22"/>
  <c r="B2712" i="22"/>
  <c r="B2713" i="22"/>
  <c r="B2714" i="22"/>
  <c r="B2715" i="22"/>
  <c r="B2716" i="22"/>
  <c r="B2717" i="22"/>
  <c r="B2718" i="22"/>
  <c r="B2719" i="22"/>
  <c r="B2720" i="22"/>
  <c r="B2721" i="22"/>
  <c r="B2722" i="22"/>
  <c r="B2723" i="22"/>
  <c r="B2724" i="22"/>
  <c r="B2725" i="22"/>
  <c r="B2726" i="22"/>
  <c r="B2727" i="22"/>
  <c r="B2728" i="22"/>
  <c r="B2729" i="22"/>
  <c r="B2730" i="22"/>
  <c r="B2731" i="22"/>
  <c r="B2732" i="22"/>
  <c r="B2733" i="22"/>
  <c r="B2734" i="22"/>
  <c r="B2735" i="22"/>
  <c r="B2736" i="22"/>
  <c r="B2737" i="22"/>
  <c r="B2738" i="22"/>
  <c r="B2739" i="22"/>
  <c r="B2740" i="22"/>
  <c r="B2741" i="22"/>
  <c r="B2742" i="22"/>
  <c r="B2743" i="22"/>
  <c r="B2744" i="22"/>
  <c r="B2745" i="22"/>
  <c r="B2746" i="22"/>
  <c r="B2747" i="22"/>
  <c r="B2748" i="22"/>
  <c r="B2749" i="22"/>
  <c r="B2750" i="22"/>
  <c r="B2751" i="22"/>
  <c r="B2752" i="22"/>
  <c r="B2753" i="22"/>
  <c r="B2754" i="22"/>
  <c r="B2755" i="22"/>
  <c r="B2756" i="22"/>
  <c r="B2757" i="22"/>
  <c r="B2758" i="22"/>
  <c r="B2759" i="22"/>
  <c r="B2760" i="22"/>
  <c r="B2761" i="22"/>
  <c r="B2762" i="22"/>
  <c r="B2763" i="22"/>
  <c r="B2764" i="22"/>
  <c r="B2765" i="22"/>
  <c r="B2766" i="22"/>
  <c r="B2767" i="22"/>
  <c r="B2768" i="22"/>
  <c r="B2769" i="22"/>
  <c r="B2770" i="22"/>
  <c r="B2771" i="22"/>
  <c r="B2772" i="22"/>
  <c r="B2773" i="22"/>
  <c r="B2774" i="22"/>
  <c r="B2775" i="22"/>
  <c r="B2776" i="22"/>
  <c r="B2777" i="22"/>
  <c r="B2778" i="22"/>
  <c r="B2779" i="22"/>
  <c r="B2780" i="22"/>
  <c r="B2781" i="22"/>
  <c r="B2782" i="22"/>
  <c r="B2783" i="22"/>
  <c r="B2784" i="22"/>
  <c r="B2785" i="22"/>
  <c r="B2786" i="22"/>
  <c r="B2787" i="22"/>
  <c r="B2788" i="22"/>
  <c r="B2789" i="22"/>
  <c r="B2790" i="22"/>
  <c r="B2791" i="22"/>
  <c r="B2792" i="22"/>
  <c r="B2793" i="22"/>
  <c r="B2794" i="22"/>
  <c r="B2795" i="22"/>
  <c r="B2796" i="22"/>
  <c r="B2797" i="22"/>
  <c r="B2798" i="22"/>
  <c r="B2799" i="22"/>
  <c r="B2800" i="22"/>
  <c r="B2801" i="22"/>
  <c r="B2802" i="22"/>
  <c r="B2803" i="22"/>
  <c r="B2804" i="22"/>
  <c r="B2805" i="22"/>
  <c r="B2806" i="22"/>
  <c r="B2807" i="22"/>
  <c r="B2808" i="22"/>
  <c r="B2809" i="22"/>
  <c r="B2810" i="22"/>
  <c r="B2811" i="22"/>
  <c r="B2812" i="22"/>
  <c r="B2813" i="22"/>
  <c r="B2814" i="22"/>
  <c r="B2815" i="22"/>
  <c r="B2816" i="22"/>
  <c r="B2817" i="22"/>
  <c r="B2818" i="22"/>
  <c r="B2819" i="22"/>
  <c r="B2820" i="22"/>
  <c r="B2821" i="22"/>
  <c r="B2822" i="22"/>
  <c r="B2823" i="22"/>
  <c r="B2824" i="22"/>
  <c r="B2825" i="22"/>
  <c r="B2826" i="22"/>
  <c r="B2827" i="22"/>
  <c r="B2828" i="22"/>
  <c r="B2829" i="22"/>
  <c r="B2830" i="22"/>
  <c r="B2831" i="22"/>
  <c r="B2832" i="22"/>
  <c r="B2833" i="22"/>
  <c r="B2834" i="22"/>
  <c r="B2835" i="22"/>
  <c r="B2836" i="22"/>
  <c r="B2837" i="22"/>
  <c r="B2838" i="22"/>
  <c r="B2839" i="22"/>
  <c r="B2840" i="22"/>
  <c r="B2841" i="22"/>
  <c r="B2842" i="22"/>
  <c r="B2843" i="22"/>
  <c r="B2844" i="22"/>
  <c r="B2845" i="22"/>
  <c r="B2846" i="22"/>
  <c r="B2847" i="22"/>
  <c r="B2848" i="22"/>
  <c r="B2849" i="22"/>
  <c r="B2850" i="22"/>
  <c r="B2851" i="22"/>
  <c r="B2852" i="22"/>
  <c r="B2853" i="22"/>
  <c r="B2854" i="22"/>
  <c r="B2855" i="22"/>
  <c r="B2856" i="22"/>
  <c r="B2857" i="22"/>
  <c r="B2858" i="22"/>
  <c r="B2859" i="22"/>
  <c r="B2860" i="22"/>
  <c r="B2861" i="22"/>
  <c r="B2862" i="22"/>
  <c r="B2863" i="22"/>
  <c r="B2864" i="22"/>
  <c r="B2865" i="22"/>
  <c r="B2866" i="22"/>
  <c r="B2867" i="22"/>
  <c r="B2868" i="22"/>
  <c r="B2869" i="22"/>
  <c r="B2870" i="22"/>
  <c r="B2871" i="22"/>
  <c r="B2872" i="22"/>
  <c r="B2873" i="22"/>
  <c r="B2874" i="22"/>
  <c r="B2875" i="22"/>
  <c r="B2876" i="22"/>
  <c r="B2877" i="22"/>
  <c r="B2878" i="22"/>
  <c r="B2879" i="22"/>
  <c r="B2880" i="22"/>
  <c r="B2881" i="22"/>
  <c r="B2882" i="22"/>
  <c r="B2883" i="22"/>
  <c r="B2884" i="22"/>
  <c r="B2885" i="22"/>
  <c r="B2886" i="22"/>
  <c r="B2887" i="22"/>
  <c r="B2888" i="22"/>
  <c r="B2889" i="22"/>
  <c r="B2890" i="22"/>
  <c r="B2891" i="22"/>
  <c r="B2892" i="22"/>
  <c r="B2893" i="22"/>
  <c r="B2894" i="22"/>
  <c r="B2895" i="22"/>
  <c r="B2896" i="22"/>
  <c r="B2897" i="22"/>
  <c r="B2898" i="22"/>
  <c r="B2899" i="22"/>
  <c r="B2900" i="22"/>
  <c r="B2901" i="22"/>
  <c r="B2902" i="22"/>
  <c r="B2903" i="22"/>
  <c r="B2904" i="22"/>
  <c r="B2905" i="22"/>
  <c r="B2906" i="22"/>
  <c r="B2907" i="22"/>
  <c r="B2908" i="22"/>
  <c r="B2909" i="22"/>
  <c r="B2910" i="22"/>
  <c r="B2911" i="22"/>
  <c r="B2912" i="22"/>
  <c r="B2913" i="22"/>
  <c r="B2914" i="22"/>
  <c r="B2915" i="22"/>
  <c r="B2916" i="22"/>
  <c r="B2917" i="22"/>
  <c r="B2918" i="22"/>
  <c r="B2919" i="22"/>
  <c r="B2920" i="22"/>
  <c r="B2921" i="22"/>
  <c r="B2922" i="22"/>
  <c r="B2923" i="22"/>
  <c r="B2924" i="22"/>
  <c r="B2925" i="22"/>
  <c r="B2926" i="22"/>
  <c r="B2927" i="22"/>
  <c r="B2928" i="22"/>
  <c r="B2929" i="22"/>
  <c r="B2930" i="22"/>
  <c r="B2931" i="22"/>
  <c r="B2932" i="22"/>
  <c r="B2933" i="22"/>
  <c r="B2934" i="22"/>
  <c r="B2935" i="22"/>
  <c r="B2936" i="22"/>
  <c r="B2937" i="22"/>
  <c r="B2938" i="22"/>
  <c r="B2939" i="22"/>
  <c r="B2940" i="22"/>
  <c r="B2941" i="22"/>
  <c r="B2942" i="22"/>
  <c r="B2943" i="22"/>
  <c r="B2944" i="22"/>
  <c r="B2945" i="22"/>
  <c r="B2946" i="22"/>
  <c r="B2947" i="22"/>
  <c r="B2948" i="22"/>
  <c r="B2949" i="22"/>
  <c r="B2950" i="22"/>
  <c r="B2951" i="22"/>
  <c r="B2952" i="22"/>
  <c r="B2953" i="22"/>
  <c r="B2954" i="22"/>
  <c r="B2955" i="22"/>
  <c r="B2956" i="22"/>
  <c r="B2957" i="22"/>
  <c r="B2958" i="22"/>
  <c r="B2959" i="22"/>
  <c r="B2960" i="22"/>
  <c r="B2961" i="22"/>
  <c r="B2962" i="22"/>
  <c r="B2963" i="22"/>
  <c r="B2964" i="22"/>
  <c r="B2965" i="22"/>
  <c r="B2966" i="22"/>
  <c r="B2967" i="22"/>
  <c r="B2968" i="22"/>
  <c r="B2969" i="22"/>
  <c r="B2970" i="22"/>
  <c r="B2971" i="22"/>
  <c r="B2972" i="22"/>
  <c r="B2973" i="22"/>
  <c r="B2974" i="22"/>
  <c r="B2975" i="22"/>
  <c r="B2976" i="22"/>
  <c r="B2977" i="22"/>
  <c r="B2978" i="22"/>
  <c r="B2979" i="22"/>
  <c r="B2980" i="22"/>
  <c r="B2981" i="22"/>
  <c r="B2982" i="22"/>
  <c r="B2983" i="22"/>
  <c r="B2984" i="22"/>
  <c r="B2985" i="22"/>
  <c r="B2986" i="22"/>
  <c r="B2987" i="22"/>
  <c r="B2988" i="22"/>
  <c r="B2989" i="22"/>
  <c r="B2990" i="22"/>
  <c r="B2991" i="22"/>
  <c r="B2992" i="22"/>
  <c r="B2993" i="22"/>
  <c r="B2994" i="22"/>
  <c r="B2995" i="22"/>
  <c r="B2996" i="22"/>
  <c r="B2997" i="22"/>
  <c r="B2998" i="22"/>
  <c r="B2999" i="22"/>
  <c r="B3000" i="22"/>
  <c r="B3001" i="22"/>
  <c r="B3002" i="22"/>
  <c r="B3003" i="22"/>
  <c r="B3004" i="22"/>
  <c r="B3005" i="22"/>
  <c r="B3006" i="22"/>
  <c r="B3007" i="22"/>
  <c r="B3008" i="22"/>
  <c r="B3009" i="22"/>
  <c r="B3010" i="22"/>
  <c r="B3011" i="22"/>
  <c r="B3012" i="22"/>
  <c r="B3013" i="22"/>
  <c r="B3014" i="22"/>
  <c r="B3015" i="22"/>
  <c r="B3016" i="22"/>
  <c r="B3017" i="22"/>
  <c r="B3018" i="22"/>
  <c r="B3019" i="22"/>
  <c r="B3020" i="22"/>
  <c r="B3021" i="22"/>
  <c r="B3022" i="22"/>
  <c r="B3023" i="22"/>
  <c r="B3024" i="22"/>
  <c r="B3025" i="22"/>
  <c r="B3026" i="22"/>
  <c r="B3027" i="22"/>
  <c r="B3028" i="22"/>
  <c r="B3029" i="22"/>
  <c r="B3030" i="22"/>
  <c r="B3031" i="22"/>
  <c r="B3032" i="22"/>
  <c r="B3033" i="22"/>
  <c r="B3034" i="22"/>
  <c r="B3035" i="22"/>
  <c r="B3036" i="22"/>
  <c r="B3037" i="22"/>
  <c r="B3038" i="22"/>
  <c r="B3039" i="22"/>
  <c r="B3040" i="22"/>
  <c r="B3041" i="22"/>
  <c r="B3042" i="22"/>
  <c r="B3043" i="22"/>
  <c r="B3044" i="22"/>
  <c r="B3045" i="22"/>
  <c r="B3046" i="22"/>
  <c r="B3047" i="22"/>
  <c r="B3048" i="22"/>
  <c r="B3049" i="22"/>
  <c r="B3050" i="22"/>
  <c r="B3051" i="22"/>
  <c r="B3052" i="22"/>
  <c r="B3053" i="22"/>
  <c r="B3054" i="22"/>
  <c r="B3055" i="22"/>
  <c r="B3056" i="22"/>
  <c r="B3057" i="22"/>
  <c r="B3058" i="22"/>
  <c r="B3059" i="22"/>
  <c r="B3060" i="22"/>
  <c r="B3061" i="22"/>
  <c r="B3062" i="22"/>
  <c r="B3063" i="22"/>
  <c r="B3064" i="22"/>
  <c r="B3065" i="22"/>
  <c r="B3066" i="22"/>
  <c r="B3067" i="22"/>
  <c r="B3068" i="22"/>
  <c r="B3069" i="22"/>
  <c r="B3070" i="22"/>
  <c r="B3071" i="22"/>
  <c r="B3072" i="22"/>
  <c r="B3073" i="22"/>
  <c r="B3074" i="22"/>
  <c r="B3075" i="22"/>
  <c r="B3076" i="22"/>
  <c r="B3077" i="22"/>
  <c r="B3078" i="22"/>
  <c r="B3079" i="22"/>
  <c r="B3080" i="22"/>
  <c r="B3081" i="22"/>
  <c r="B3082" i="22"/>
  <c r="B3083" i="22"/>
  <c r="B3084" i="22"/>
  <c r="B3085" i="22"/>
  <c r="B3086" i="22"/>
  <c r="B3087" i="22"/>
  <c r="B3088" i="22"/>
  <c r="B3089" i="22"/>
  <c r="B3090" i="22"/>
  <c r="B3091" i="22"/>
  <c r="B3092" i="22"/>
  <c r="B3093" i="22"/>
  <c r="B3094" i="22"/>
  <c r="B3095" i="22"/>
  <c r="B3096" i="22"/>
  <c r="B3097" i="22"/>
  <c r="B3098" i="22"/>
  <c r="B3099" i="22"/>
  <c r="B3100" i="22"/>
  <c r="B3101" i="22"/>
  <c r="B3102" i="22"/>
  <c r="B3103" i="22"/>
  <c r="B3104" i="22"/>
  <c r="B3105" i="22"/>
  <c r="B3106" i="22"/>
  <c r="B3107" i="22"/>
  <c r="B3108" i="22"/>
  <c r="B3109" i="22"/>
  <c r="B3110" i="22"/>
  <c r="B3111" i="22"/>
  <c r="B3112" i="22"/>
  <c r="B3113" i="22"/>
  <c r="B3114" i="22"/>
  <c r="B3115" i="22"/>
  <c r="B3116" i="22"/>
  <c r="B3117" i="22"/>
  <c r="B3118" i="22"/>
  <c r="B3119" i="22"/>
  <c r="B3120" i="22"/>
  <c r="B3121" i="22"/>
  <c r="B3122" i="22"/>
  <c r="B3123" i="22"/>
  <c r="B3124" i="22"/>
  <c r="B3125" i="22"/>
  <c r="B3126" i="22"/>
  <c r="B3127" i="22"/>
  <c r="B3128" i="22"/>
  <c r="B3129" i="22"/>
  <c r="B3130" i="22"/>
  <c r="B3131" i="22"/>
  <c r="B3132" i="22"/>
  <c r="B3133" i="22"/>
  <c r="B3134" i="22"/>
  <c r="B3135" i="22"/>
  <c r="B3136" i="22"/>
  <c r="B3137" i="22"/>
  <c r="B3138" i="22"/>
  <c r="B3139" i="22"/>
  <c r="B3140" i="22"/>
  <c r="B3141" i="22"/>
  <c r="B3142" i="22"/>
  <c r="B3143" i="22"/>
  <c r="B3144" i="22"/>
  <c r="B3145" i="22"/>
  <c r="B3146" i="22"/>
  <c r="B3147" i="22"/>
  <c r="B3148" i="22"/>
  <c r="B3149" i="22"/>
  <c r="B3150" i="22"/>
  <c r="B3151" i="22"/>
  <c r="B3152" i="22"/>
  <c r="B3153" i="22"/>
  <c r="B3154" i="22"/>
  <c r="B3155" i="22"/>
  <c r="B3156" i="22"/>
  <c r="B3157" i="22"/>
  <c r="B3158" i="22"/>
  <c r="B3159" i="22"/>
  <c r="B3160" i="22"/>
  <c r="B3161" i="22"/>
  <c r="B3162" i="22"/>
  <c r="B3163" i="22"/>
  <c r="B3164" i="22"/>
  <c r="B3165" i="22"/>
  <c r="B3166" i="22"/>
  <c r="B3167" i="22"/>
  <c r="B3168" i="22"/>
  <c r="B3169" i="22"/>
  <c r="B3170" i="22"/>
  <c r="B3171" i="22"/>
  <c r="B3172" i="22"/>
  <c r="B3173" i="22"/>
  <c r="B3174" i="22"/>
  <c r="B3175" i="22"/>
  <c r="B3176" i="22"/>
  <c r="B3177" i="22"/>
  <c r="B3178" i="22"/>
  <c r="B3179" i="22"/>
  <c r="B3180" i="22"/>
  <c r="B3181" i="22"/>
  <c r="B3182" i="22"/>
  <c r="B3183" i="22"/>
  <c r="B3184" i="22"/>
  <c r="B3185" i="22"/>
  <c r="B3186" i="22"/>
  <c r="B3187" i="22"/>
  <c r="B3188" i="22"/>
  <c r="B3189" i="22"/>
  <c r="B3190" i="22"/>
  <c r="B3191" i="22"/>
  <c r="B3192" i="22"/>
  <c r="B3193" i="22"/>
  <c r="B3194" i="22"/>
  <c r="B3195" i="22"/>
  <c r="B3196" i="22"/>
  <c r="B3197" i="22"/>
  <c r="B3198" i="22"/>
  <c r="B3199" i="22"/>
  <c r="B3200" i="22"/>
  <c r="B3201" i="22"/>
  <c r="B3202" i="22"/>
  <c r="B3203" i="22"/>
  <c r="B3204" i="22"/>
  <c r="B3205" i="22"/>
  <c r="B3206" i="22"/>
  <c r="B3207" i="22"/>
  <c r="B3208" i="22"/>
  <c r="B3209" i="22"/>
  <c r="B3210" i="22"/>
  <c r="B3211" i="22"/>
  <c r="B3212" i="22"/>
  <c r="B3213" i="22"/>
  <c r="B3214" i="22"/>
  <c r="B3215" i="22"/>
  <c r="B3216" i="22"/>
  <c r="B3217" i="22"/>
  <c r="B3218" i="22"/>
  <c r="B3219" i="22"/>
  <c r="B3220" i="22"/>
  <c r="B3221" i="22"/>
  <c r="B3222" i="22"/>
  <c r="B3223" i="22"/>
  <c r="B3224" i="22"/>
  <c r="B3225" i="22"/>
  <c r="B3226" i="22"/>
  <c r="B3227" i="22"/>
  <c r="B3228" i="22"/>
  <c r="B3229" i="22"/>
  <c r="B3230" i="22"/>
  <c r="B3231" i="22"/>
  <c r="B3232" i="22"/>
  <c r="B3233" i="22"/>
  <c r="B3234" i="22"/>
  <c r="B3235" i="22"/>
  <c r="B3236" i="22"/>
  <c r="B3237" i="22"/>
  <c r="B3238" i="22"/>
  <c r="B3239" i="22"/>
  <c r="B3240" i="22"/>
  <c r="B3241" i="22"/>
  <c r="B3242" i="22"/>
  <c r="B3243" i="22"/>
  <c r="B3244" i="22"/>
  <c r="B3245" i="22"/>
  <c r="B3246" i="22"/>
  <c r="B3247" i="22"/>
  <c r="B3248" i="22"/>
  <c r="B3249" i="22"/>
  <c r="B3250" i="22"/>
  <c r="B3251" i="22"/>
  <c r="B3252" i="22"/>
  <c r="B3253" i="22"/>
  <c r="B3254" i="22"/>
  <c r="B3255" i="22"/>
  <c r="B3256" i="22"/>
  <c r="B3257" i="22"/>
  <c r="B3258" i="22"/>
  <c r="B3259" i="22"/>
  <c r="B3260" i="22"/>
  <c r="B3261" i="22"/>
  <c r="B3262" i="22"/>
  <c r="B3263" i="22"/>
  <c r="B3264" i="22"/>
  <c r="B3265" i="22"/>
  <c r="B3266" i="22"/>
  <c r="B3267" i="22"/>
  <c r="B3268" i="22"/>
  <c r="B3269" i="22"/>
  <c r="B3270" i="22"/>
  <c r="B3271" i="22"/>
  <c r="B3272" i="22"/>
  <c r="B3273" i="22"/>
  <c r="B3274" i="22"/>
  <c r="B3275" i="22"/>
  <c r="B3276" i="22"/>
  <c r="B3277" i="22"/>
  <c r="B3278" i="22"/>
  <c r="B3279" i="22"/>
  <c r="B3280" i="22"/>
  <c r="B3281" i="22"/>
  <c r="B3282" i="22"/>
  <c r="B3283" i="22"/>
  <c r="B3284" i="22"/>
  <c r="B3285" i="22"/>
  <c r="B3286" i="22"/>
  <c r="B3287" i="22"/>
  <c r="B3288" i="22"/>
  <c r="B3289" i="22"/>
  <c r="B3290" i="22"/>
  <c r="B3291" i="22"/>
  <c r="B3292" i="22"/>
  <c r="B3293" i="22"/>
  <c r="B3294" i="22"/>
  <c r="B3295" i="22"/>
  <c r="B3296" i="22"/>
  <c r="B3297" i="22"/>
  <c r="B3298" i="22"/>
  <c r="B3299" i="22"/>
  <c r="B3300" i="22"/>
  <c r="B3301" i="22"/>
  <c r="B3302" i="22"/>
  <c r="B3303" i="22"/>
  <c r="B3304" i="22"/>
  <c r="B3305" i="22"/>
  <c r="B3306" i="22"/>
  <c r="B3307" i="22"/>
  <c r="B3308" i="22"/>
  <c r="B3309" i="22"/>
  <c r="B3310" i="22"/>
  <c r="B3311" i="22"/>
  <c r="B3312" i="22"/>
  <c r="B3313" i="22"/>
  <c r="B3314" i="22"/>
  <c r="B3315" i="22"/>
  <c r="B3316" i="22"/>
  <c r="B3317" i="22"/>
  <c r="B3318" i="22"/>
  <c r="B3319" i="22"/>
  <c r="B3320" i="22"/>
  <c r="B3321" i="22"/>
  <c r="B3322" i="22"/>
  <c r="B3323" i="22"/>
  <c r="B3324" i="22"/>
  <c r="B3325" i="22"/>
  <c r="B3326" i="22"/>
  <c r="B3327" i="22"/>
  <c r="B3328" i="22"/>
  <c r="B3329" i="22"/>
  <c r="B3330" i="22"/>
  <c r="B3331" i="22"/>
  <c r="B3332" i="22"/>
  <c r="B3333" i="22"/>
  <c r="B3334" i="22"/>
  <c r="B3335" i="22"/>
  <c r="B3336" i="22"/>
  <c r="B3337" i="22"/>
  <c r="B3338" i="22"/>
  <c r="B3339" i="22"/>
  <c r="B3340" i="22"/>
  <c r="B3341" i="22"/>
  <c r="B3342" i="22"/>
  <c r="B3343" i="22"/>
  <c r="B3344" i="22"/>
  <c r="B3345" i="22"/>
  <c r="B3346" i="22"/>
  <c r="B3347" i="22"/>
  <c r="B3348" i="22"/>
  <c r="B3349" i="22"/>
  <c r="B3350" i="22"/>
  <c r="B3351" i="22"/>
  <c r="B3352" i="22"/>
  <c r="B3353" i="22"/>
  <c r="B3354" i="22"/>
  <c r="B3355" i="22"/>
  <c r="B3356" i="22"/>
  <c r="B3357" i="22"/>
  <c r="B3358" i="22"/>
  <c r="B3359" i="22"/>
  <c r="B3360" i="22"/>
  <c r="B3361" i="22"/>
  <c r="B3362" i="22"/>
  <c r="B3363" i="22"/>
  <c r="B3364" i="22"/>
  <c r="B3365" i="22"/>
  <c r="B3366" i="22"/>
  <c r="B3367" i="22"/>
  <c r="B3368" i="22"/>
  <c r="B3369" i="22"/>
  <c r="B3370" i="22"/>
  <c r="B3371" i="22"/>
  <c r="B3372" i="22"/>
  <c r="B3373" i="22"/>
  <c r="B3374" i="22"/>
  <c r="B3375" i="22"/>
  <c r="B3376" i="22"/>
  <c r="B3377" i="22"/>
  <c r="B3378" i="22"/>
  <c r="B3379" i="22"/>
  <c r="B3380" i="22"/>
  <c r="B3381" i="22"/>
  <c r="B3382" i="22"/>
  <c r="B3383" i="22"/>
  <c r="B3384" i="22"/>
  <c r="B3385" i="22"/>
  <c r="B3386" i="22"/>
  <c r="B3387" i="22"/>
  <c r="B3388" i="22"/>
  <c r="B3389" i="22"/>
  <c r="B3390" i="22"/>
  <c r="B3391" i="22"/>
  <c r="B3392" i="22"/>
  <c r="B3393" i="22"/>
  <c r="B3394" i="22"/>
  <c r="B3395" i="22"/>
  <c r="B3396" i="22"/>
  <c r="B3397" i="22"/>
  <c r="B3398" i="22"/>
  <c r="B3399" i="22"/>
  <c r="B3400" i="22"/>
  <c r="B3401" i="22"/>
  <c r="B3402" i="22"/>
  <c r="B3403" i="22"/>
  <c r="B3404" i="22"/>
  <c r="B3405" i="22"/>
  <c r="B3406" i="22"/>
  <c r="B3407" i="22"/>
  <c r="B3408" i="22"/>
  <c r="B3409" i="22"/>
  <c r="B3410" i="22"/>
  <c r="B3411" i="22"/>
  <c r="B3412" i="22"/>
  <c r="B3413" i="22"/>
  <c r="B3414" i="22"/>
  <c r="B3415" i="22"/>
  <c r="B3416" i="22"/>
  <c r="B3417" i="22"/>
  <c r="B3418" i="22"/>
  <c r="B3419" i="22"/>
  <c r="B3420" i="22"/>
  <c r="B3421" i="22"/>
  <c r="B3422" i="22"/>
  <c r="B3423" i="22"/>
  <c r="B3424" i="22"/>
  <c r="B3425" i="22"/>
  <c r="B3426" i="22"/>
  <c r="B3427" i="22"/>
  <c r="B3428" i="22"/>
  <c r="B3429" i="22"/>
  <c r="B3430" i="22"/>
  <c r="B3431" i="22"/>
  <c r="B3432" i="22"/>
  <c r="B3433" i="22"/>
  <c r="B3434" i="22"/>
  <c r="B3435" i="22"/>
  <c r="B3436" i="22"/>
  <c r="B3437" i="22"/>
  <c r="B3438" i="22"/>
  <c r="B3439" i="22"/>
  <c r="B3440" i="22"/>
  <c r="B3441" i="22"/>
  <c r="B3442" i="22"/>
  <c r="B3443" i="22"/>
  <c r="B3444" i="22"/>
  <c r="B3445" i="22"/>
  <c r="B3446" i="22"/>
  <c r="B3447" i="22"/>
  <c r="B3448" i="22"/>
  <c r="B3449" i="22"/>
  <c r="B3450" i="22"/>
  <c r="B3451" i="22"/>
  <c r="B3452" i="22"/>
  <c r="B3453" i="22"/>
  <c r="B3454" i="22"/>
  <c r="B3455" i="22"/>
  <c r="B3456" i="22"/>
  <c r="B3457" i="22"/>
  <c r="B3458" i="22"/>
  <c r="B3459" i="22"/>
  <c r="B3460" i="22"/>
  <c r="B3461" i="22"/>
  <c r="B3462" i="22"/>
  <c r="B3463" i="22"/>
  <c r="B3464" i="22"/>
  <c r="B3465" i="22"/>
  <c r="B3466" i="22"/>
  <c r="B3467" i="22"/>
  <c r="B3468" i="22"/>
  <c r="B3469" i="22"/>
  <c r="B3470" i="22"/>
  <c r="B3471" i="22"/>
  <c r="B3472" i="22"/>
  <c r="B3473" i="22"/>
  <c r="B3474" i="22"/>
  <c r="B3475" i="22"/>
  <c r="B3476" i="22"/>
  <c r="B3477" i="22"/>
  <c r="B3478" i="22"/>
  <c r="B3479" i="22"/>
  <c r="B3480" i="22"/>
  <c r="B3481" i="22"/>
  <c r="B3482" i="22"/>
  <c r="B3483" i="22"/>
  <c r="B3484" i="22"/>
  <c r="B3485" i="22"/>
  <c r="B3486" i="22"/>
  <c r="B3487" i="22"/>
  <c r="B3488" i="22"/>
  <c r="B3489" i="22"/>
  <c r="B3490" i="22"/>
  <c r="B3491" i="22"/>
  <c r="B3492" i="22"/>
  <c r="B3493" i="22"/>
  <c r="B3494" i="22"/>
  <c r="B3495" i="22"/>
  <c r="B3496" i="22"/>
  <c r="B3497" i="22"/>
  <c r="B3498" i="22"/>
  <c r="B3499" i="22"/>
  <c r="B3500" i="22"/>
  <c r="B3501" i="22"/>
  <c r="B3502" i="22"/>
  <c r="B3503" i="22"/>
  <c r="B3504" i="22"/>
  <c r="B3505" i="22"/>
  <c r="B3506" i="22"/>
  <c r="B3507" i="22"/>
  <c r="B3508" i="22"/>
  <c r="B3509" i="22"/>
  <c r="B3510" i="22"/>
  <c r="B3511" i="22"/>
  <c r="B3512" i="22"/>
  <c r="B3513" i="22"/>
  <c r="B3514" i="22"/>
  <c r="B3515" i="22"/>
  <c r="B3516" i="22"/>
  <c r="B3517" i="22"/>
  <c r="B3518" i="22"/>
  <c r="B3519" i="22"/>
  <c r="B3520" i="22"/>
  <c r="B3521" i="22"/>
  <c r="B3522" i="22"/>
  <c r="B3523" i="22"/>
  <c r="B3524" i="22"/>
  <c r="B3525" i="22"/>
  <c r="B3526" i="22"/>
  <c r="B3527" i="22"/>
  <c r="B3528" i="22"/>
  <c r="B3529" i="22"/>
  <c r="B3530" i="22"/>
  <c r="B3531" i="22"/>
  <c r="B3532" i="22"/>
  <c r="B3533" i="22"/>
  <c r="B3534" i="22"/>
  <c r="B3535" i="22"/>
  <c r="B3536" i="22"/>
  <c r="B3537" i="22"/>
  <c r="B3538" i="22"/>
  <c r="B3539" i="22"/>
  <c r="B3540" i="22"/>
  <c r="B3541" i="22"/>
  <c r="B3542" i="22"/>
  <c r="B3543" i="22"/>
  <c r="B3544" i="22"/>
  <c r="B3545" i="22"/>
  <c r="B3546" i="22"/>
  <c r="B3547" i="22"/>
  <c r="B3548" i="22"/>
  <c r="B3549" i="22"/>
  <c r="B3550" i="22"/>
  <c r="B3551" i="22"/>
  <c r="B3552" i="22"/>
  <c r="B3553" i="22"/>
  <c r="B3554" i="22"/>
  <c r="B3555" i="22"/>
  <c r="B3556" i="22"/>
  <c r="B3557" i="22"/>
  <c r="B3558" i="22"/>
  <c r="B3559" i="22"/>
  <c r="B3560" i="22"/>
  <c r="B3561" i="22"/>
  <c r="B3562" i="22"/>
  <c r="B3563" i="22"/>
  <c r="B3564" i="22"/>
  <c r="B3565" i="22"/>
  <c r="B3566" i="22"/>
  <c r="B3567" i="22"/>
  <c r="B3568" i="22"/>
  <c r="B3569" i="22"/>
  <c r="B3570" i="22"/>
  <c r="B3571" i="22"/>
  <c r="B3572" i="22"/>
  <c r="B3573" i="22"/>
  <c r="B3574" i="22"/>
  <c r="B3575" i="22"/>
  <c r="B3576" i="22"/>
  <c r="B3577" i="22"/>
  <c r="B3578" i="22"/>
  <c r="B3579" i="22"/>
  <c r="B3580" i="22"/>
  <c r="B3581" i="22"/>
  <c r="B3582" i="22"/>
  <c r="B3583" i="22"/>
  <c r="B3584" i="22"/>
  <c r="B3585" i="22"/>
  <c r="B3586" i="22"/>
  <c r="B3587" i="22"/>
  <c r="B3588" i="22"/>
  <c r="B3589" i="22"/>
  <c r="B3590" i="22"/>
  <c r="B3591" i="22"/>
  <c r="B3592" i="22"/>
  <c r="B3593" i="22"/>
  <c r="B3594" i="22"/>
  <c r="B3595" i="22"/>
  <c r="B3596" i="22"/>
  <c r="B3597" i="22"/>
  <c r="B3598" i="22"/>
  <c r="B3599" i="22"/>
  <c r="B3600" i="22"/>
  <c r="B3601" i="22"/>
  <c r="B3602" i="22"/>
  <c r="B3603" i="22"/>
  <c r="B3604" i="22"/>
  <c r="B3605" i="22"/>
  <c r="B3606" i="22"/>
  <c r="B3607" i="22"/>
  <c r="B3608" i="22"/>
  <c r="B3609" i="22"/>
  <c r="B3610" i="22"/>
  <c r="B3611" i="22"/>
  <c r="B3612" i="22"/>
  <c r="B3613" i="22"/>
  <c r="B3614" i="22"/>
  <c r="B3615" i="22"/>
  <c r="B3616" i="22"/>
  <c r="B3617" i="22"/>
  <c r="B3618" i="22"/>
  <c r="B3619" i="22"/>
  <c r="B3620" i="22"/>
  <c r="B3621" i="22"/>
  <c r="B3622" i="22"/>
  <c r="B3623" i="22"/>
  <c r="B3624" i="22"/>
  <c r="B3625" i="22"/>
  <c r="B3626" i="22"/>
  <c r="B3627" i="22"/>
  <c r="B3628" i="22"/>
  <c r="B3629" i="22"/>
  <c r="B3630" i="22"/>
  <c r="B3631" i="22"/>
  <c r="B3632" i="22"/>
  <c r="B3633" i="22"/>
  <c r="B3634" i="22"/>
  <c r="B3635" i="22"/>
  <c r="B3636" i="22"/>
  <c r="B3637" i="22"/>
  <c r="B3638" i="22"/>
  <c r="B3639" i="22"/>
  <c r="B3640" i="22"/>
  <c r="B3641" i="22"/>
  <c r="B3642" i="22"/>
  <c r="B3643" i="22"/>
  <c r="B3644" i="22"/>
  <c r="B3645" i="22"/>
  <c r="B3646" i="22"/>
  <c r="B3647" i="22"/>
  <c r="B3648" i="22"/>
  <c r="B3649" i="22"/>
  <c r="B3650" i="22"/>
  <c r="B3651" i="22"/>
  <c r="B3652" i="22"/>
  <c r="B3653" i="22"/>
  <c r="B3654" i="22"/>
  <c r="B3655" i="22"/>
  <c r="B3656" i="22"/>
  <c r="B3657" i="22"/>
  <c r="B3658" i="22"/>
  <c r="B3659" i="22"/>
  <c r="B3660" i="22"/>
  <c r="B3661" i="22"/>
  <c r="B3662" i="22"/>
  <c r="B3663" i="22"/>
  <c r="B3664" i="22"/>
  <c r="B3665" i="22"/>
  <c r="B3666" i="22"/>
  <c r="B3667" i="22"/>
  <c r="B3668" i="22"/>
  <c r="B3669" i="22"/>
  <c r="B3670" i="22"/>
  <c r="B3671" i="22"/>
  <c r="B3672" i="22"/>
  <c r="B3673" i="22"/>
  <c r="B3674" i="22"/>
  <c r="B3675" i="22"/>
  <c r="B3676" i="22"/>
  <c r="B3677" i="22"/>
  <c r="B3678" i="22"/>
  <c r="B3679" i="22"/>
  <c r="B3680" i="22"/>
  <c r="B3681" i="22"/>
  <c r="B3682" i="22"/>
  <c r="B3683" i="22"/>
  <c r="B3684" i="22"/>
  <c r="B3685" i="22"/>
  <c r="B3686" i="22"/>
  <c r="B3687" i="22"/>
  <c r="B3688" i="22"/>
  <c r="B3689" i="22"/>
  <c r="B3690" i="22"/>
  <c r="B3691" i="22"/>
  <c r="B3692" i="22"/>
  <c r="B3693" i="22"/>
  <c r="B3694" i="22"/>
  <c r="B3695" i="22"/>
  <c r="B3696" i="22"/>
  <c r="B3697" i="22"/>
  <c r="B3698" i="22"/>
  <c r="B3699" i="22"/>
  <c r="B3700" i="22"/>
  <c r="B3701" i="22"/>
  <c r="B3702" i="22"/>
  <c r="B3703" i="22"/>
  <c r="B3704" i="22"/>
  <c r="B3705" i="22"/>
  <c r="B3706" i="22"/>
  <c r="B3707" i="22"/>
  <c r="B3708" i="22"/>
  <c r="B3709" i="22"/>
  <c r="B3710" i="22"/>
  <c r="B3711" i="22"/>
  <c r="B3712" i="22"/>
  <c r="B3713" i="22"/>
  <c r="B3714" i="22"/>
  <c r="B3715" i="22"/>
  <c r="B3716" i="22"/>
  <c r="B3717" i="22"/>
  <c r="B3718" i="22"/>
  <c r="B3719" i="22"/>
  <c r="B3720" i="22"/>
  <c r="B3721" i="22"/>
  <c r="B3722" i="22"/>
  <c r="B3723" i="22"/>
  <c r="B3724" i="22"/>
  <c r="B3725" i="22"/>
  <c r="B3726" i="22"/>
  <c r="B3727" i="22"/>
  <c r="B3728" i="22"/>
  <c r="B3729" i="22"/>
  <c r="B3730" i="22"/>
  <c r="B3731" i="22"/>
  <c r="B3732" i="22"/>
  <c r="B3733" i="22"/>
  <c r="B3734" i="22"/>
  <c r="B3735" i="22"/>
  <c r="B3736" i="22"/>
  <c r="B3737" i="22"/>
  <c r="B3738" i="22"/>
  <c r="B3739" i="22"/>
  <c r="B3740" i="22"/>
  <c r="B3741" i="22"/>
  <c r="B3742" i="22"/>
  <c r="B3743" i="22"/>
  <c r="B3744" i="22"/>
  <c r="B3745" i="22"/>
  <c r="B3746" i="22"/>
  <c r="B3747" i="22"/>
  <c r="B3748" i="22"/>
  <c r="B3749" i="22"/>
  <c r="B3750" i="22"/>
  <c r="B3751" i="22"/>
  <c r="B3752" i="22"/>
  <c r="B3753" i="22"/>
  <c r="B3754" i="22"/>
  <c r="B3755" i="22"/>
  <c r="B3756" i="22"/>
  <c r="B3757" i="22"/>
  <c r="B3758" i="22"/>
  <c r="B3759" i="22"/>
  <c r="B3760" i="22"/>
  <c r="B3761" i="22"/>
  <c r="B3762" i="22"/>
  <c r="B3763" i="22"/>
  <c r="B3764" i="22"/>
  <c r="B3765" i="22"/>
  <c r="B3766" i="22"/>
  <c r="B3767" i="22"/>
  <c r="B3768" i="22"/>
  <c r="B3769" i="22"/>
  <c r="B3770" i="22"/>
  <c r="B3771" i="22"/>
  <c r="B3772" i="22"/>
  <c r="B3773" i="22"/>
  <c r="B3774" i="22"/>
  <c r="B3775" i="22"/>
  <c r="B3776" i="22"/>
  <c r="B3777" i="22"/>
  <c r="B3778" i="22"/>
  <c r="B3779" i="22"/>
  <c r="B3780" i="22"/>
  <c r="B3781" i="22"/>
  <c r="B3782" i="22"/>
  <c r="B3783" i="22"/>
  <c r="B3784" i="22"/>
  <c r="B3785" i="22"/>
  <c r="B3786" i="22"/>
  <c r="B3787" i="22"/>
  <c r="B3788" i="22"/>
  <c r="B3789" i="22"/>
  <c r="B3790" i="22"/>
  <c r="B3791" i="22"/>
  <c r="B3792" i="22"/>
  <c r="B3793" i="22"/>
  <c r="B3794" i="22"/>
  <c r="B3795" i="22"/>
  <c r="B3796" i="22"/>
  <c r="B3797" i="22"/>
  <c r="B3798" i="22"/>
  <c r="B3799" i="22"/>
  <c r="B3800" i="22"/>
  <c r="B3801" i="22"/>
  <c r="B3802" i="22"/>
  <c r="B3803" i="22"/>
  <c r="B3804" i="22"/>
  <c r="B3805" i="22"/>
  <c r="B3806" i="22"/>
  <c r="B3807" i="22"/>
  <c r="B3808" i="22"/>
  <c r="B3809" i="22"/>
  <c r="B3810" i="22"/>
  <c r="B3811" i="22"/>
  <c r="B3812" i="22"/>
  <c r="B3813" i="22"/>
  <c r="B3814" i="22"/>
  <c r="B3815" i="22"/>
  <c r="B3816" i="22"/>
  <c r="B3817" i="22"/>
  <c r="B3818" i="22"/>
  <c r="B3819" i="22"/>
  <c r="B3820" i="22"/>
  <c r="B3821" i="22"/>
  <c r="B3822" i="22"/>
  <c r="B3823" i="22"/>
  <c r="B3824" i="22"/>
  <c r="B3825" i="22"/>
  <c r="B3826" i="22"/>
  <c r="B3827" i="22"/>
  <c r="B3828" i="22"/>
  <c r="B3829" i="22"/>
  <c r="B3830" i="22"/>
  <c r="B3831" i="22"/>
  <c r="B3832" i="22"/>
  <c r="B3833" i="22"/>
  <c r="B3834" i="22"/>
  <c r="B3835" i="22"/>
  <c r="B3836" i="22"/>
  <c r="B3837" i="22"/>
  <c r="B3838" i="22"/>
  <c r="B3839" i="22"/>
  <c r="B3840" i="22"/>
  <c r="B3841" i="22"/>
  <c r="B3842" i="22"/>
  <c r="B3843" i="22"/>
  <c r="B3844" i="22"/>
  <c r="B3845" i="22"/>
  <c r="B3846" i="22"/>
  <c r="B3847" i="22"/>
  <c r="B3848" i="22"/>
  <c r="B3849" i="22"/>
  <c r="B3850" i="22"/>
  <c r="B3851" i="22"/>
  <c r="B3852" i="22"/>
  <c r="B3853" i="22"/>
  <c r="B3854" i="22"/>
  <c r="B3855" i="22"/>
  <c r="B3856" i="22"/>
  <c r="B3857" i="22"/>
  <c r="B3858" i="22"/>
  <c r="B3859" i="22"/>
  <c r="B3860" i="22"/>
  <c r="B3861" i="22"/>
  <c r="B3862" i="22"/>
  <c r="B3863" i="22"/>
  <c r="B3864" i="22"/>
  <c r="B3865" i="22"/>
  <c r="B3866" i="22"/>
  <c r="B3867" i="22"/>
  <c r="B3868" i="22"/>
  <c r="B3869" i="22"/>
  <c r="B3870" i="22"/>
  <c r="B3871" i="22"/>
  <c r="B3872" i="22"/>
  <c r="B3873" i="22"/>
  <c r="B3874" i="22"/>
  <c r="B3875" i="22"/>
  <c r="B3876" i="22"/>
  <c r="B3877" i="22"/>
  <c r="B3878" i="22"/>
  <c r="B3879" i="22"/>
  <c r="B3880" i="22"/>
  <c r="B3881" i="22"/>
  <c r="B3882" i="22"/>
  <c r="B3883" i="22"/>
  <c r="B3884" i="22"/>
  <c r="B3885" i="22"/>
  <c r="B3886" i="22"/>
  <c r="B3887" i="22"/>
  <c r="B3888" i="22"/>
  <c r="B3889" i="22"/>
  <c r="B3890" i="22"/>
  <c r="B3891" i="22"/>
  <c r="B3892" i="22"/>
  <c r="B3893" i="22"/>
  <c r="B3894" i="22"/>
  <c r="B3895" i="22"/>
  <c r="B3896" i="22"/>
  <c r="B3897" i="22"/>
  <c r="B3898" i="22"/>
  <c r="B3899" i="22"/>
  <c r="B3900" i="22"/>
  <c r="B3901" i="22"/>
  <c r="B3902" i="22"/>
  <c r="B3903" i="22"/>
  <c r="B3904" i="22"/>
  <c r="B3905" i="22"/>
  <c r="B3906" i="22"/>
  <c r="B3907" i="22"/>
  <c r="B3908" i="22"/>
  <c r="B3909" i="22"/>
  <c r="B3910" i="22"/>
  <c r="B3911" i="22"/>
  <c r="B3912" i="22"/>
  <c r="B3913" i="22"/>
  <c r="B3914" i="22"/>
  <c r="B3915" i="22"/>
  <c r="B3916" i="22"/>
  <c r="B3917" i="22"/>
  <c r="B3918" i="22"/>
  <c r="B3919" i="22"/>
  <c r="B3920" i="22"/>
  <c r="B3921" i="22"/>
  <c r="B3922" i="22"/>
  <c r="B3923" i="22"/>
  <c r="B3924" i="22"/>
  <c r="B3925" i="22"/>
  <c r="B3926" i="22"/>
  <c r="B3927" i="22"/>
  <c r="B3928" i="22"/>
  <c r="B3929" i="22"/>
  <c r="B3930" i="22"/>
  <c r="B3931" i="22"/>
  <c r="B3932" i="22"/>
  <c r="B3933" i="22"/>
  <c r="B3934" i="22"/>
  <c r="B3935" i="22"/>
  <c r="B3936" i="22"/>
  <c r="B3937" i="22"/>
  <c r="B3938" i="22"/>
  <c r="B3939" i="22"/>
  <c r="B3940" i="22"/>
  <c r="B3941" i="22"/>
  <c r="B3942" i="22"/>
  <c r="B3943" i="22"/>
  <c r="B3944" i="22"/>
  <c r="B3945" i="22"/>
  <c r="B3946" i="22"/>
  <c r="B3947" i="22"/>
  <c r="B3948" i="22"/>
  <c r="B3949" i="22"/>
  <c r="B3950" i="22"/>
  <c r="B3951" i="22"/>
  <c r="B3952" i="22"/>
  <c r="B3953" i="22"/>
  <c r="B3954" i="22"/>
  <c r="B3955" i="22"/>
  <c r="B3956" i="22"/>
  <c r="B3957" i="22"/>
  <c r="B3958" i="22"/>
  <c r="B3959" i="22"/>
  <c r="B3960" i="22"/>
  <c r="B3961" i="22"/>
  <c r="B3962" i="22"/>
  <c r="B3963" i="22"/>
  <c r="B3964" i="22"/>
  <c r="B3965" i="22"/>
  <c r="B3966" i="22"/>
  <c r="B3967" i="22"/>
  <c r="B3968" i="22"/>
  <c r="B3969" i="22"/>
  <c r="B3970" i="22"/>
  <c r="B3971" i="22"/>
  <c r="B3972" i="22"/>
  <c r="B3973" i="22"/>
  <c r="B3974" i="22"/>
  <c r="B3975" i="22"/>
  <c r="B3976" i="22"/>
  <c r="B3977" i="22"/>
  <c r="B3978" i="22"/>
  <c r="B3979" i="22"/>
  <c r="B3980" i="22"/>
  <c r="B3981" i="22"/>
  <c r="B3982" i="22"/>
  <c r="B3983" i="22"/>
  <c r="B3984" i="22"/>
  <c r="B3985" i="22"/>
  <c r="B3986" i="22"/>
  <c r="B3987" i="22"/>
  <c r="B3988" i="22"/>
  <c r="B3989" i="22"/>
  <c r="B3990" i="22"/>
  <c r="B3991" i="22"/>
  <c r="B3992" i="22"/>
  <c r="B3993" i="22"/>
  <c r="B3994" i="22"/>
  <c r="B3995" i="22"/>
  <c r="B3996" i="22"/>
  <c r="B3997" i="22"/>
  <c r="B3998" i="22"/>
  <c r="B3999" i="22"/>
  <c r="B4000" i="22"/>
  <c r="B4001" i="22"/>
  <c r="B4002" i="22"/>
  <c r="B4003" i="22"/>
  <c r="B4004" i="22"/>
  <c r="B4005" i="22"/>
  <c r="B4006" i="22"/>
  <c r="B4007" i="22"/>
  <c r="B4008" i="22"/>
  <c r="B4009" i="22"/>
  <c r="B4010" i="22"/>
  <c r="B4011" i="22"/>
  <c r="B4012" i="22"/>
  <c r="B4013" i="22"/>
  <c r="B4014" i="22"/>
  <c r="B4015" i="22"/>
  <c r="B4016" i="22"/>
  <c r="B4017" i="22"/>
  <c r="B4018" i="22"/>
  <c r="B4019" i="22"/>
  <c r="B4020" i="22"/>
  <c r="B4021" i="22"/>
  <c r="B4022" i="22"/>
  <c r="B4023" i="22"/>
  <c r="B4024" i="22"/>
  <c r="B4025" i="22"/>
  <c r="B4026" i="22"/>
  <c r="B4027" i="22"/>
  <c r="B4028" i="22"/>
  <c r="B4029" i="22"/>
  <c r="B4030" i="22"/>
  <c r="B4031" i="22"/>
  <c r="B4032" i="22"/>
  <c r="B4033" i="22"/>
  <c r="B4034" i="22"/>
  <c r="B4035" i="22"/>
  <c r="B4036" i="22"/>
  <c r="B4037" i="22"/>
  <c r="B4038" i="22"/>
  <c r="B4039" i="22"/>
  <c r="B4040" i="22"/>
  <c r="B4041" i="22"/>
  <c r="B4042" i="22"/>
  <c r="B4043" i="22"/>
  <c r="B4044" i="22"/>
  <c r="B4045" i="22"/>
  <c r="B4046" i="22"/>
  <c r="B4047" i="22"/>
  <c r="B4048" i="22"/>
  <c r="B4049" i="22"/>
  <c r="B4050" i="22"/>
  <c r="B4051" i="22"/>
  <c r="B4052" i="22"/>
  <c r="B4053" i="22"/>
  <c r="B4054" i="22"/>
  <c r="B4055" i="22"/>
  <c r="B4056" i="22"/>
  <c r="B4057" i="22"/>
  <c r="B4058" i="22"/>
  <c r="B4059" i="22"/>
  <c r="B4060" i="22"/>
  <c r="B4061" i="22"/>
  <c r="B4062" i="22"/>
  <c r="B4063" i="22"/>
  <c r="B4064" i="22"/>
  <c r="B4065" i="22"/>
  <c r="B4066" i="22"/>
  <c r="B4067" i="22"/>
  <c r="B4068" i="22"/>
  <c r="B4069" i="22"/>
  <c r="B4070" i="22"/>
  <c r="B4071" i="22"/>
  <c r="B4072" i="22"/>
  <c r="B4073" i="22"/>
  <c r="B4074" i="22"/>
  <c r="B4075" i="22"/>
  <c r="B4076" i="22"/>
  <c r="B4077" i="22"/>
  <c r="B4078" i="22"/>
  <c r="B4079" i="22"/>
  <c r="B4080" i="22"/>
  <c r="B4081" i="22"/>
  <c r="B4082" i="22"/>
  <c r="B4083" i="22"/>
  <c r="B4084" i="22"/>
  <c r="B4085" i="22"/>
  <c r="B4086" i="22"/>
  <c r="B4087" i="22"/>
  <c r="B4088" i="22"/>
  <c r="B4089" i="22"/>
  <c r="B4090" i="22"/>
  <c r="B4091" i="22"/>
  <c r="B4092" i="22"/>
  <c r="B4093" i="22"/>
  <c r="B4094" i="22"/>
  <c r="B4095" i="22"/>
  <c r="B4096" i="22"/>
  <c r="B4097" i="22"/>
  <c r="B4098" i="22"/>
  <c r="B4099" i="22"/>
  <c r="B4100" i="22"/>
  <c r="B4101" i="22"/>
  <c r="B4102" i="22"/>
  <c r="B4103" i="22"/>
  <c r="B4104" i="22"/>
  <c r="B4105" i="22"/>
  <c r="B4106" i="22"/>
  <c r="B4107" i="22"/>
  <c r="B4108" i="22"/>
  <c r="B4109" i="22"/>
  <c r="B4110" i="22"/>
  <c r="B4111" i="22"/>
  <c r="B4112" i="22"/>
  <c r="B4113" i="22"/>
  <c r="B4114" i="22"/>
  <c r="B4115" i="22"/>
  <c r="B4116" i="22"/>
  <c r="B4117" i="22"/>
  <c r="B4118" i="22"/>
  <c r="B4119" i="22"/>
  <c r="B4120" i="22"/>
  <c r="B4121" i="22"/>
  <c r="B4122" i="22"/>
  <c r="B4123" i="22"/>
  <c r="B4124" i="22"/>
  <c r="B4125" i="22"/>
  <c r="B4126" i="22"/>
  <c r="B4127" i="22"/>
  <c r="B4128" i="22"/>
  <c r="B4129" i="22"/>
  <c r="B4130" i="22"/>
  <c r="B4131" i="22"/>
  <c r="B4132" i="22"/>
  <c r="B4133" i="22"/>
  <c r="B4134" i="22"/>
  <c r="B4135" i="22"/>
  <c r="B4136" i="22"/>
  <c r="B4137" i="22"/>
  <c r="B4138" i="22"/>
  <c r="B4139" i="22"/>
  <c r="B4140" i="22"/>
  <c r="B4141" i="22"/>
  <c r="B4142" i="22"/>
  <c r="B4143" i="22"/>
  <c r="B4144" i="22"/>
  <c r="B4145" i="22"/>
  <c r="B4146" i="22"/>
  <c r="B4147" i="22"/>
  <c r="B4148" i="22"/>
  <c r="B4149" i="22"/>
  <c r="B4150" i="22"/>
  <c r="B4151" i="22"/>
  <c r="B4152" i="22"/>
  <c r="B4153" i="22"/>
  <c r="B4154" i="22"/>
  <c r="B4155" i="22"/>
  <c r="B4156" i="22"/>
  <c r="B4157" i="22"/>
  <c r="B4158" i="22"/>
  <c r="B4159" i="22"/>
  <c r="B4160" i="22"/>
  <c r="B4161" i="22"/>
  <c r="B4162" i="22"/>
  <c r="B4163" i="22"/>
  <c r="B4164" i="22"/>
  <c r="B4165" i="22"/>
  <c r="B4166" i="22"/>
  <c r="B4167" i="22"/>
  <c r="B4168" i="22"/>
  <c r="B4169" i="22"/>
  <c r="B4170" i="22"/>
  <c r="B4171" i="22"/>
  <c r="B4172" i="22"/>
  <c r="B4173" i="22"/>
  <c r="B4174" i="22"/>
  <c r="B4175" i="22"/>
  <c r="B4176" i="22"/>
  <c r="B4177" i="22"/>
  <c r="B4178" i="22"/>
  <c r="B4179" i="22"/>
  <c r="B4180" i="22"/>
  <c r="B4181" i="22"/>
  <c r="B4182" i="22"/>
  <c r="B4183" i="22"/>
  <c r="B4184" i="22"/>
  <c r="B4185" i="22"/>
  <c r="B4186" i="22"/>
  <c r="B4187" i="22"/>
  <c r="B4188" i="22"/>
  <c r="B4189" i="22"/>
  <c r="B4190" i="22"/>
  <c r="B4191" i="22"/>
  <c r="B4192" i="22"/>
  <c r="B4193" i="22"/>
  <c r="B4194" i="22"/>
  <c r="B4195" i="22"/>
  <c r="B4196" i="22"/>
  <c r="B4197" i="22"/>
  <c r="B4198" i="22"/>
  <c r="B4199" i="22"/>
  <c r="B4200" i="22"/>
  <c r="B4201" i="22"/>
  <c r="B4202" i="22"/>
  <c r="B4203" i="22"/>
  <c r="B4204" i="22"/>
  <c r="B4205" i="22"/>
  <c r="B4206" i="22"/>
  <c r="B4207" i="22"/>
  <c r="B4208" i="22"/>
  <c r="B4209" i="22"/>
  <c r="B4210" i="22"/>
  <c r="B4211" i="22"/>
  <c r="B4212" i="22"/>
  <c r="B4213" i="22"/>
  <c r="B4214" i="22"/>
  <c r="B4215" i="22"/>
  <c r="B4216" i="22"/>
  <c r="B4217" i="22"/>
  <c r="B4218" i="22"/>
  <c r="B4219" i="22"/>
  <c r="B4220" i="22"/>
  <c r="B4221" i="22"/>
  <c r="B4222" i="22"/>
  <c r="B4223" i="22"/>
  <c r="B4224" i="22"/>
  <c r="B4225" i="22"/>
  <c r="B4226" i="22"/>
  <c r="B4227" i="22"/>
  <c r="B4228" i="22"/>
  <c r="B4229" i="22"/>
  <c r="B4230" i="22"/>
  <c r="B4231" i="22"/>
  <c r="B4232" i="22"/>
  <c r="B4233" i="22"/>
  <c r="B4234" i="22"/>
  <c r="B4235" i="22"/>
  <c r="B4236" i="22"/>
  <c r="B4237" i="22"/>
  <c r="B4238" i="22"/>
  <c r="B4239" i="22"/>
  <c r="B4240" i="22"/>
  <c r="B4241" i="22"/>
  <c r="B4242" i="22"/>
  <c r="B4243" i="22"/>
  <c r="B4244" i="22"/>
  <c r="B4245" i="22"/>
  <c r="B4246" i="22"/>
  <c r="B4247" i="22"/>
  <c r="B4248" i="22"/>
  <c r="B4249" i="22"/>
  <c r="B4250" i="22"/>
  <c r="B4251" i="22"/>
  <c r="B4252" i="22"/>
  <c r="B4253" i="22"/>
  <c r="B4254" i="22"/>
  <c r="B4255" i="22"/>
  <c r="B4256" i="22"/>
  <c r="B4257" i="22"/>
  <c r="B4258" i="22"/>
  <c r="B4259" i="22"/>
  <c r="B4260" i="22"/>
  <c r="B4261" i="22"/>
  <c r="B4262" i="22"/>
  <c r="B4263" i="22"/>
  <c r="B4264" i="22"/>
  <c r="B4265" i="22"/>
  <c r="B4266" i="22"/>
  <c r="B4267" i="22"/>
  <c r="B4268" i="22"/>
  <c r="B4269" i="22"/>
  <c r="B4270" i="22"/>
  <c r="B4271" i="22"/>
  <c r="B4272" i="22"/>
  <c r="B4273" i="22"/>
  <c r="B4274" i="22"/>
  <c r="B4275" i="22"/>
  <c r="B4276" i="22"/>
  <c r="B4277" i="22"/>
  <c r="B4278" i="22"/>
  <c r="B4279" i="22"/>
  <c r="B4280" i="22"/>
  <c r="B4281" i="22"/>
  <c r="B4282" i="22"/>
  <c r="B4283" i="22"/>
  <c r="B4284" i="22"/>
  <c r="B4285" i="22"/>
  <c r="B4286" i="22"/>
  <c r="B4287" i="22"/>
  <c r="B4288" i="22"/>
  <c r="B4289" i="22"/>
  <c r="B4290" i="22"/>
  <c r="B4291" i="22"/>
  <c r="B4292" i="22"/>
  <c r="B4293" i="22"/>
  <c r="B4294" i="22"/>
  <c r="B4295" i="22"/>
  <c r="B4296" i="22"/>
  <c r="B4297" i="22"/>
  <c r="B4298" i="22"/>
  <c r="B4299" i="22"/>
  <c r="B4300" i="22"/>
  <c r="B4301" i="22"/>
  <c r="B4302" i="22"/>
  <c r="B4303" i="22"/>
  <c r="B4304" i="22"/>
  <c r="B4305" i="22"/>
  <c r="B4306" i="22"/>
  <c r="B4307" i="22"/>
  <c r="B4308" i="22"/>
  <c r="B4309" i="22"/>
  <c r="B4310" i="22"/>
  <c r="B4311" i="22"/>
  <c r="B4312" i="22"/>
  <c r="B4313" i="22"/>
  <c r="B4314" i="22"/>
  <c r="B4315" i="22"/>
  <c r="B4316" i="22"/>
  <c r="B4317" i="22"/>
  <c r="B4318" i="22"/>
  <c r="B4319" i="22"/>
  <c r="B4320" i="22"/>
  <c r="B4321" i="22"/>
  <c r="B4322" i="22"/>
  <c r="B4323" i="22"/>
  <c r="B4324" i="22"/>
  <c r="B4325" i="22"/>
  <c r="B4326" i="22"/>
  <c r="B4327" i="22"/>
  <c r="B4328" i="22"/>
  <c r="B4329" i="22"/>
  <c r="B4330" i="22"/>
  <c r="B4331" i="22"/>
  <c r="B4332" i="22"/>
  <c r="B4333" i="22"/>
  <c r="B4334" i="22"/>
  <c r="B4335" i="22"/>
  <c r="B4336" i="22"/>
  <c r="B4337" i="22"/>
  <c r="B4338" i="22"/>
  <c r="B4339" i="22"/>
  <c r="B4340" i="22"/>
  <c r="B4341" i="22"/>
  <c r="B4342" i="22"/>
  <c r="B4343" i="22"/>
  <c r="B4344" i="22"/>
  <c r="B4345" i="22"/>
  <c r="B4346" i="22"/>
  <c r="B4347" i="22"/>
  <c r="B4348" i="22"/>
  <c r="B4349" i="22"/>
  <c r="B4350" i="22"/>
  <c r="B4351" i="22"/>
  <c r="B4352" i="22"/>
  <c r="B4353" i="22"/>
  <c r="B4354" i="22"/>
  <c r="B4355" i="22"/>
  <c r="B4356" i="22"/>
  <c r="B4357" i="22"/>
  <c r="B4358" i="22"/>
  <c r="B4359" i="22"/>
  <c r="B4360" i="22"/>
  <c r="B4361" i="22"/>
  <c r="B4362" i="22"/>
  <c r="B4363" i="22"/>
  <c r="B4364" i="22"/>
  <c r="B4365" i="22"/>
  <c r="B4366" i="22"/>
  <c r="B4367" i="22"/>
  <c r="B4368" i="22"/>
  <c r="B4369" i="22"/>
  <c r="B4370" i="22"/>
  <c r="B4371" i="22"/>
  <c r="B4372" i="22"/>
  <c r="B4373" i="22"/>
  <c r="B4374" i="22"/>
  <c r="B4375" i="22"/>
  <c r="B4376" i="22"/>
  <c r="B4377" i="22"/>
  <c r="B4378" i="22"/>
  <c r="B4379" i="22"/>
  <c r="B4380" i="22"/>
  <c r="B4381" i="22"/>
  <c r="B4382" i="22"/>
  <c r="B4383" i="22"/>
  <c r="B4384" i="22"/>
  <c r="B4385" i="22"/>
  <c r="B4386" i="22"/>
  <c r="B4387" i="22"/>
  <c r="B4388" i="22"/>
  <c r="B4389" i="22"/>
  <c r="B4390" i="22"/>
  <c r="B4391" i="22"/>
  <c r="B4392" i="22"/>
  <c r="B4393" i="22"/>
  <c r="B4394" i="22"/>
  <c r="B4395" i="22"/>
  <c r="B4396" i="22"/>
  <c r="B4397" i="22"/>
  <c r="B4398" i="22"/>
  <c r="B4399" i="22"/>
  <c r="B4400" i="22"/>
  <c r="B4401" i="22"/>
  <c r="B4402" i="22"/>
  <c r="B4403" i="22"/>
  <c r="B4404" i="22"/>
  <c r="B4405" i="22"/>
  <c r="B4406" i="22"/>
  <c r="B4407" i="22"/>
  <c r="B4408" i="22"/>
  <c r="B4409" i="22"/>
  <c r="B4410" i="22"/>
  <c r="B4411" i="22"/>
  <c r="B4412" i="22"/>
  <c r="B4413" i="22"/>
  <c r="B4414" i="22"/>
  <c r="B4415" i="22"/>
  <c r="B4416" i="22"/>
  <c r="B4417" i="22"/>
  <c r="B4418" i="22"/>
  <c r="B4419" i="22"/>
  <c r="B4420" i="22"/>
  <c r="B4421" i="22"/>
  <c r="B4422" i="22"/>
  <c r="B4423" i="22"/>
  <c r="B4424" i="22"/>
  <c r="B4425" i="22"/>
  <c r="B4426" i="22"/>
  <c r="B4427" i="22"/>
  <c r="B4428" i="22"/>
  <c r="B4429" i="22"/>
  <c r="B4430" i="22"/>
  <c r="B4431" i="22"/>
  <c r="B4432" i="22"/>
  <c r="B4433" i="22"/>
  <c r="B4434" i="22"/>
  <c r="B4435" i="22"/>
  <c r="B4436" i="22"/>
  <c r="B4437" i="22"/>
  <c r="B4438" i="22"/>
  <c r="B4439" i="22"/>
  <c r="B4440" i="22"/>
  <c r="B4441" i="22"/>
  <c r="B4442" i="22"/>
  <c r="B4443" i="22"/>
  <c r="B4444" i="22"/>
  <c r="B4445" i="22"/>
  <c r="B4446" i="22"/>
  <c r="B4447" i="22"/>
  <c r="B4448" i="22"/>
  <c r="B4449" i="22"/>
  <c r="B4450" i="22"/>
  <c r="B4451" i="22"/>
  <c r="B4452" i="22"/>
  <c r="B4453" i="22"/>
  <c r="B4454" i="22"/>
  <c r="B4455" i="22"/>
  <c r="B4456" i="22"/>
  <c r="B4457" i="22"/>
  <c r="B4458" i="22"/>
  <c r="B4459" i="22"/>
  <c r="B4460" i="22"/>
  <c r="B4461" i="22"/>
  <c r="B4462" i="22"/>
  <c r="B4463" i="22"/>
  <c r="B4464" i="22"/>
  <c r="B4465" i="22"/>
  <c r="B4466" i="22"/>
  <c r="B4467" i="22"/>
  <c r="B4468" i="22"/>
  <c r="B4469" i="22"/>
  <c r="B4470" i="22"/>
  <c r="B4471" i="22"/>
  <c r="B4472" i="22"/>
  <c r="B4473" i="22"/>
  <c r="B4474" i="22"/>
  <c r="B4475" i="22"/>
  <c r="B4476" i="22"/>
  <c r="B4477" i="22"/>
  <c r="B4478" i="22"/>
  <c r="B4479" i="22"/>
  <c r="B4480" i="22"/>
  <c r="B4481" i="22"/>
  <c r="B4482" i="22"/>
  <c r="B4483" i="22"/>
  <c r="B4484" i="22"/>
  <c r="B4485" i="22"/>
  <c r="B4486" i="22"/>
  <c r="B4487" i="22"/>
  <c r="B4488" i="22"/>
  <c r="B4489" i="22"/>
  <c r="B4490" i="22"/>
  <c r="B4491" i="22"/>
  <c r="B4492" i="22"/>
  <c r="B4493" i="22"/>
  <c r="B4494" i="22"/>
  <c r="B4495" i="22"/>
  <c r="B4496" i="22"/>
  <c r="B4497" i="22"/>
  <c r="B4498" i="22"/>
  <c r="B4499" i="22"/>
  <c r="B4500" i="22"/>
  <c r="B4501" i="22"/>
  <c r="B4502" i="22"/>
  <c r="B4503" i="22"/>
  <c r="B4504" i="22"/>
  <c r="B4505" i="22"/>
  <c r="B4506" i="22"/>
  <c r="B4507" i="22"/>
  <c r="B4508" i="22"/>
  <c r="B4509" i="22"/>
  <c r="B4510" i="22"/>
  <c r="B4511" i="22"/>
  <c r="B4512" i="22"/>
  <c r="B4513" i="22"/>
  <c r="B4514" i="22"/>
  <c r="B4515" i="22"/>
  <c r="B4516" i="22"/>
  <c r="B4517" i="22"/>
  <c r="B4518" i="22"/>
  <c r="B4519" i="22"/>
  <c r="B4520" i="22"/>
  <c r="B4521" i="22"/>
  <c r="B4522" i="22"/>
  <c r="B4523" i="22"/>
  <c r="B4524" i="22"/>
  <c r="B4525" i="22"/>
  <c r="B4526" i="22"/>
  <c r="B4527" i="22"/>
  <c r="B4528" i="22"/>
  <c r="B4529" i="22"/>
  <c r="B4530" i="22"/>
  <c r="B4531" i="22"/>
  <c r="B4532" i="22"/>
  <c r="B4533" i="22"/>
  <c r="B4534" i="22"/>
  <c r="B4535" i="22"/>
  <c r="B4536" i="22"/>
  <c r="B4537" i="22"/>
  <c r="B4538" i="22"/>
  <c r="B4539" i="22"/>
  <c r="B4540" i="22"/>
  <c r="B4541" i="22"/>
  <c r="B4542" i="22"/>
  <c r="B4543" i="22"/>
  <c r="B4544" i="22"/>
  <c r="B4545" i="22"/>
  <c r="B4546" i="22"/>
  <c r="B4547" i="22"/>
  <c r="B4548" i="22"/>
  <c r="B4549" i="22"/>
  <c r="B4550" i="22"/>
  <c r="B4551" i="22"/>
  <c r="B4552" i="22"/>
  <c r="B4553" i="22"/>
  <c r="B4554" i="22"/>
  <c r="B4555" i="22"/>
  <c r="B4556" i="22"/>
  <c r="B4557" i="22"/>
  <c r="B4558" i="22"/>
  <c r="B4559" i="22"/>
  <c r="B4560" i="22"/>
  <c r="B4561" i="22"/>
  <c r="B4562" i="22"/>
  <c r="B4563" i="22"/>
  <c r="B4564" i="22"/>
  <c r="B4565" i="22"/>
  <c r="B4566" i="22"/>
  <c r="B4567" i="22"/>
  <c r="B4568" i="22"/>
  <c r="B4569" i="22"/>
  <c r="B4570" i="22"/>
  <c r="B4571" i="22"/>
  <c r="B4572" i="22"/>
  <c r="B4573" i="22"/>
  <c r="B4574" i="22"/>
  <c r="B4575" i="22"/>
  <c r="B4576" i="22"/>
  <c r="B4577" i="22"/>
  <c r="B4578" i="22"/>
  <c r="B4579" i="22"/>
  <c r="B4580" i="22"/>
  <c r="B4581" i="22"/>
  <c r="B4582" i="22"/>
  <c r="B4583" i="22"/>
  <c r="B4584" i="22"/>
  <c r="B4585" i="22"/>
  <c r="B4586" i="22"/>
  <c r="B4587" i="22"/>
  <c r="B4588" i="22"/>
  <c r="B4589" i="22"/>
  <c r="B4590" i="22"/>
  <c r="B4591" i="22"/>
  <c r="B4592" i="22"/>
  <c r="B4593" i="22"/>
  <c r="B4594" i="22"/>
  <c r="B4595" i="22"/>
  <c r="B4596" i="22"/>
  <c r="B4597" i="22"/>
  <c r="B4598" i="22"/>
  <c r="B4599" i="22"/>
  <c r="B4600" i="22"/>
  <c r="B4601" i="22"/>
  <c r="B4602" i="22"/>
  <c r="B4603" i="22"/>
  <c r="B4604" i="22"/>
  <c r="B4605" i="22"/>
  <c r="B4606" i="22"/>
  <c r="B4607" i="22"/>
  <c r="B4608" i="22"/>
  <c r="B4609" i="22"/>
  <c r="B4610" i="22"/>
  <c r="B4611" i="22"/>
  <c r="B4612" i="22"/>
  <c r="B4613" i="22"/>
  <c r="B4614" i="22"/>
  <c r="B4615" i="22"/>
  <c r="B4616" i="22"/>
  <c r="B4617" i="22"/>
  <c r="B4618" i="22"/>
  <c r="B4619" i="22"/>
  <c r="B4620" i="22"/>
  <c r="B4621" i="22"/>
  <c r="B4622" i="22"/>
  <c r="B4623" i="22"/>
  <c r="B4624" i="22"/>
  <c r="B4625" i="22"/>
  <c r="B4626" i="22"/>
  <c r="B4627" i="22"/>
  <c r="B4628" i="22"/>
  <c r="B4629" i="22"/>
  <c r="B4630" i="22"/>
  <c r="B4631" i="22"/>
  <c r="B4632" i="22"/>
  <c r="B4633" i="22"/>
  <c r="B4634" i="22"/>
  <c r="B4635" i="22"/>
  <c r="B4636" i="22"/>
  <c r="B4637" i="22"/>
  <c r="B4638" i="22"/>
  <c r="B4639" i="22"/>
  <c r="B4640" i="22"/>
  <c r="B4641" i="22"/>
  <c r="B4642" i="22"/>
  <c r="B4643" i="22"/>
  <c r="B4644" i="22"/>
  <c r="B4645" i="22"/>
  <c r="B4646" i="22"/>
  <c r="B4647" i="22"/>
  <c r="B4648" i="22"/>
  <c r="B4649" i="22"/>
  <c r="B4650" i="22"/>
  <c r="B4651" i="22"/>
  <c r="B4652" i="22"/>
  <c r="B4653" i="22"/>
  <c r="B4654" i="22"/>
  <c r="B4655" i="22"/>
  <c r="B4656" i="22"/>
  <c r="B4657" i="22"/>
  <c r="B4658" i="22"/>
  <c r="B4659" i="22"/>
  <c r="B4660" i="22"/>
  <c r="B4661" i="22"/>
  <c r="B4662" i="22"/>
  <c r="B4663" i="22"/>
  <c r="B4664" i="22"/>
  <c r="B4665" i="22"/>
  <c r="B4666" i="22"/>
  <c r="B4667" i="22"/>
  <c r="B4668" i="22"/>
  <c r="B4669" i="22"/>
  <c r="B4670" i="22"/>
  <c r="B4671" i="22"/>
  <c r="B4672" i="22"/>
  <c r="B4673" i="22"/>
  <c r="B4674" i="22"/>
  <c r="B4675" i="22"/>
  <c r="B4676" i="22"/>
  <c r="B4677" i="22"/>
  <c r="B4678" i="22"/>
  <c r="B4679" i="22"/>
  <c r="B4680" i="22"/>
  <c r="B4681" i="22"/>
  <c r="B4682" i="22"/>
  <c r="B4683" i="22"/>
  <c r="B4684" i="22"/>
  <c r="B4685" i="22"/>
  <c r="B4686" i="22"/>
  <c r="B4687" i="22"/>
  <c r="B4688" i="22"/>
  <c r="B4689" i="22"/>
  <c r="B4690" i="22"/>
  <c r="B4691" i="22"/>
  <c r="B4692" i="22"/>
  <c r="B4693" i="22"/>
  <c r="B4694" i="22"/>
  <c r="B4695" i="22"/>
  <c r="B4696" i="22"/>
  <c r="B4697" i="22"/>
  <c r="B4698" i="22"/>
  <c r="B4699" i="22"/>
  <c r="B4700" i="22"/>
  <c r="B4701" i="22"/>
  <c r="B4702" i="22"/>
  <c r="B4703" i="22"/>
  <c r="B4704" i="22"/>
  <c r="B4705" i="22"/>
  <c r="B4706" i="22"/>
  <c r="B4707" i="22"/>
  <c r="B4708" i="22"/>
  <c r="B4709" i="22"/>
  <c r="B4710" i="22"/>
  <c r="B4711" i="22"/>
  <c r="B4712" i="22"/>
  <c r="B4713" i="22"/>
  <c r="B4714" i="22"/>
  <c r="B4715" i="22"/>
  <c r="B4716" i="22"/>
  <c r="B4717" i="22"/>
  <c r="B4718" i="22"/>
  <c r="B4719" i="22"/>
  <c r="B4720" i="22"/>
  <c r="B4721" i="22"/>
  <c r="B4722" i="22"/>
  <c r="B4723" i="22"/>
  <c r="B4724" i="22"/>
  <c r="B4725" i="22"/>
  <c r="B4726" i="22"/>
  <c r="B4727" i="22"/>
  <c r="B4728" i="22"/>
  <c r="B4729" i="22"/>
  <c r="B4730" i="22"/>
  <c r="B4731" i="22"/>
  <c r="B4732" i="22"/>
  <c r="B4733" i="22"/>
  <c r="B4734" i="22"/>
  <c r="B4735" i="22"/>
  <c r="B4736" i="22"/>
  <c r="B4737" i="22"/>
  <c r="B4738" i="22"/>
  <c r="B4739" i="22"/>
  <c r="B4740" i="22"/>
  <c r="B4741" i="22"/>
  <c r="B4742" i="22"/>
  <c r="B4743" i="22"/>
  <c r="B4744" i="22"/>
  <c r="B4745" i="22"/>
  <c r="B4746" i="22"/>
  <c r="B4747" i="22"/>
  <c r="B4748" i="22"/>
  <c r="B4749" i="22"/>
  <c r="B4750" i="22"/>
  <c r="B4751" i="22"/>
  <c r="B4752" i="22"/>
  <c r="B4753" i="22"/>
  <c r="B4754" i="22"/>
  <c r="B4755" i="22"/>
  <c r="B4756" i="22"/>
  <c r="B4757" i="22"/>
  <c r="B4758" i="22"/>
  <c r="B4759" i="22"/>
  <c r="B4760" i="22"/>
  <c r="B4761" i="22"/>
  <c r="B4762" i="22"/>
  <c r="B4763" i="22"/>
  <c r="B4764" i="22"/>
  <c r="B4765" i="22"/>
  <c r="B4766" i="22"/>
  <c r="B4767" i="22"/>
  <c r="B4768" i="22"/>
  <c r="B4769" i="22"/>
  <c r="B4770" i="22"/>
  <c r="B4771" i="22"/>
  <c r="B4772" i="22"/>
  <c r="B4773" i="22"/>
  <c r="B4774" i="22"/>
  <c r="B4775" i="22"/>
  <c r="B4776" i="22"/>
  <c r="B4777" i="22"/>
  <c r="B4778" i="22"/>
  <c r="B4779" i="22"/>
  <c r="B4780" i="22"/>
  <c r="B4781" i="22"/>
  <c r="B4782" i="22"/>
  <c r="B4783" i="22"/>
  <c r="B4784" i="22"/>
  <c r="B4785" i="22"/>
  <c r="B4786" i="22"/>
  <c r="B4787" i="22"/>
  <c r="B4788" i="22"/>
  <c r="B4789" i="22"/>
  <c r="B4790" i="22"/>
  <c r="B4791" i="22"/>
  <c r="B4792" i="22"/>
  <c r="B4793" i="22"/>
  <c r="B4794" i="22"/>
  <c r="B4795" i="22"/>
  <c r="B4796" i="22"/>
  <c r="B4797" i="22"/>
  <c r="B4798" i="22"/>
  <c r="B4799" i="22"/>
  <c r="B4800" i="22"/>
  <c r="B4801" i="22"/>
  <c r="B4802" i="22"/>
  <c r="B4803" i="22"/>
  <c r="B4804" i="22"/>
  <c r="B4805" i="22"/>
  <c r="B4806" i="22"/>
  <c r="B4807" i="22"/>
  <c r="B4808" i="22"/>
  <c r="B4809" i="22"/>
  <c r="B4810" i="22"/>
  <c r="B4811" i="22"/>
  <c r="B4812" i="22"/>
  <c r="B4813" i="22"/>
  <c r="B4814" i="22"/>
  <c r="B4815" i="22"/>
  <c r="B4816" i="22"/>
  <c r="B4817" i="22"/>
  <c r="B4818" i="22"/>
  <c r="B4819" i="22"/>
  <c r="B4820" i="22"/>
  <c r="B4821" i="22"/>
  <c r="B4822" i="22"/>
  <c r="B4823" i="22"/>
  <c r="B4824" i="22"/>
  <c r="B4825" i="22"/>
  <c r="B4826" i="22"/>
  <c r="B4827" i="22"/>
  <c r="B4828" i="22"/>
  <c r="B4829" i="22"/>
  <c r="B4830" i="22"/>
  <c r="B4831" i="22"/>
  <c r="B4832" i="22"/>
  <c r="B4833" i="22"/>
  <c r="B4834" i="22"/>
  <c r="B4835" i="22"/>
  <c r="B4836" i="22"/>
  <c r="B4837" i="22"/>
  <c r="B4838" i="22"/>
  <c r="B4839" i="22"/>
  <c r="B4840" i="22"/>
  <c r="B4841" i="22"/>
  <c r="B4842" i="22"/>
  <c r="B4843" i="22"/>
  <c r="B4844" i="22"/>
  <c r="B4845" i="22"/>
  <c r="B4846" i="22"/>
  <c r="B4847" i="22"/>
  <c r="B4848" i="22"/>
  <c r="B4849" i="22"/>
  <c r="B4850" i="22"/>
  <c r="B4851" i="22"/>
  <c r="B4852" i="22"/>
  <c r="B4853" i="22"/>
  <c r="B4854" i="22"/>
  <c r="B4855" i="22"/>
  <c r="B4856" i="22"/>
  <c r="B4857" i="22"/>
  <c r="B4858" i="22"/>
  <c r="B4859" i="22"/>
  <c r="B4860" i="22"/>
  <c r="B4861" i="22"/>
  <c r="B4862" i="22"/>
  <c r="B4863" i="22"/>
  <c r="B4864" i="22"/>
  <c r="B4865" i="22"/>
  <c r="B4866" i="22"/>
  <c r="B4867" i="22"/>
  <c r="B4868" i="22"/>
  <c r="B4869" i="22"/>
  <c r="B4870" i="22"/>
  <c r="B4871" i="22"/>
  <c r="B4872" i="22"/>
  <c r="B4873" i="22"/>
  <c r="B4874" i="22"/>
  <c r="B4875" i="22"/>
  <c r="B4876" i="22"/>
  <c r="B4877" i="22"/>
  <c r="B4878" i="22"/>
  <c r="B4879" i="22"/>
  <c r="B4880" i="22"/>
  <c r="B4881" i="22"/>
  <c r="B4882" i="22"/>
  <c r="B4883" i="22"/>
  <c r="B4884" i="22"/>
  <c r="B4885" i="22"/>
  <c r="B4886" i="22"/>
  <c r="B4887" i="22"/>
  <c r="B4888" i="22"/>
  <c r="B4889" i="22"/>
  <c r="B4890" i="22"/>
  <c r="B4891" i="22"/>
  <c r="B4892" i="22"/>
  <c r="B4893" i="22"/>
  <c r="B4894" i="22"/>
  <c r="B4895" i="22"/>
  <c r="B4896" i="22"/>
  <c r="B4897" i="22"/>
  <c r="B4898" i="22"/>
  <c r="B4899" i="22"/>
  <c r="B4900" i="22"/>
  <c r="B4901" i="22"/>
  <c r="B4902" i="22"/>
  <c r="B4903" i="22"/>
  <c r="B4904" i="22"/>
  <c r="B4905" i="22"/>
  <c r="B4906" i="22"/>
  <c r="B4907" i="22"/>
  <c r="B4908" i="22"/>
  <c r="B4909" i="22"/>
  <c r="B4910" i="22"/>
  <c r="B4911" i="22"/>
  <c r="B4912" i="22"/>
  <c r="B4913" i="22"/>
  <c r="B4914" i="22"/>
  <c r="B4915" i="22"/>
  <c r="B4916" i="22"/>
  <c r="B4917" i="22"/>
  <c r="B4918" i="22"/>
  <c r="B4919" i="22"/>
  <c r="B4920" i="22"/>
  <c r="B4921" i="22"/>
  <c r="B4922" i="22"/>
  <c r="B4923" i="22"/>
  <c r="B4924" i="22"/>
  <c r="B4925" i="22"/>
  <c r="B4926" i="22"/>
  <c r="B4927" i="22"/>
  <c r="B4928" i="22"/>
  <c r="B4929" i="22"/>
  <c r="B4930" i="22"/>
  <c r="B4931" i="22"/>
  <c r="B4932" i="22"/>
  <c r="B4933" i="22"/>
  <c r="B4934" i="22"/>
  <c r="B4935" i="22"/>
  <c r="B4936" i="22"/>
  <c r="B4937" i="22"/>
  <c r="B4938" i="22"/>
  <c r="B4939" i="22"/>
  <c r="B4940" i="22"/>
  <c r="B4941" i="22"/>
  <c r="B4942" i="22"/>
  <c r="B4943" i="22"/>
  <c r="B4944" i="22"/>
  <c r="B4945" i="22"/>
  <c r="B4946" i="22"/>
  <c r="B4947" i="22"/>
  <c r="B4948" i="22"/>
  <c r="B4949" i="22"/>
  <c r="B4950" i="22"/>
  <c r="B4951" i="22"/>
  <c r="B4952" i="22"/>
  <c r="B4953" i="22"/>
  <c r="B4954" i="22"/>
  <c r="B4955" i="22"/>
  <c r="B4956" i="22"/>
  <c r="B4957" i="22"/>
  <c r="B4958" i="22"/>
  <c r="B4959" i="22"/>
  <c r="B4960" i="22"/>
  <c r="B4961" i="22"/>
  <c r="B4962" i="22"/>
  <c r="B4963" i="22"/>
  <c r="B4964" i="22"/>
  <c r="B4965" i="22"/>
  <c r="B4966" i="22"/>
  <c r="B4967" i="22"/>
  <c r="B4968" i="22"/>
  <c r="B4969" i="22"/>
  <c r="B4970" i="22"/>
  <c r="B4971" i="22"/>
  <c r="B4972" i="22"/>
  <c r="B4973" i="22"/>
  <c r="B4974" i="22"/>
  <c r="B4975" i="22"/>
  <c r="B4976" i="22"/>
  <c r="B4977" i="22"/>
  <c r="B4978" i="22"/>
  <c r="B4979" i="22"/>
  <c r="B4980" i="22"/>
  <c r="B4981" i="22"/>
  <c r="B4982" i="22"/>
  <c r="B4983" i="22"/>
  <c r="B4984" i="22"/>
  <c r="B4985" i="22"/>
  <c r="B4986" i="22"/>
  <c r="B4987" i="22"/>
  <c r="B4988" i="22"/>
  <c r="B4989" i="22"/>
  <c r="B4990" i="22"/>
  <c r="B4991" i="22"/>
  <c r="B4992" i="22"/>
  <c r="B4993" i="22"/>
  <c r="B4994" i="22"/>
  <c r="B4995" i="22"/>
  <c r="B4996" i="22"/>
  <c r="B4997" i="22"/>
  <c r="B4998" i="22"/>
  <c r="B4999" i="22"/>
  <c r="B5000" i="22"/>
  <c r="B5001" i="22"/>
  <c r="B5002" i="22"/>
  <c r="B5003" i="22"/>
  <c r="B5004" i="22"/>
  <c r="B5005" i="22"/>
  <c r="B5006" i="22"/>
  <c r="B5007" i="22"/>
  <c r="B5008" i="22"/>
  <c r="B5009" i="22"/>
  <c r="B5010" i="22"/>
  <c r="B5011" i="22"/>
  <c r="B5012" i="22"/>
  <c r="B5013" i="22"/>
  <c r="B5014" i="22"/>
  <c r="B5015" i="22"/>
  <c r="B5016" i="22"/>
  <c r="B5017" i="22"/>
  <c r="B5018" i="22"/>
  <c r="B5019" i="22"/>
  <c r="B5020" i="22"/>
  <c r="B5021" i="22"/>
  <c r="B5022" i="22"/>
  <c r="B5023" i="22"/>
  <c r="B5024" i="22"/>
  <c r="B5025" i="22"/>
  <c r="B5026" i="22"/>
  <c r="B5027" i="22"/>
  <c r="B5028" i="22"/>
  <c r="B5029" i="22"/>
  <c r="B5030" i="22"/>
  <c r="B5031" i="22"/>
  <c r="B5032" i="22"/>
  <c r="B5033" i="22"/>
  <c r="B5034" i="22"/>
  <c r="B5035" i="22"/>
  <c r="B5036" i="22"/>
  <c r="B5037" i="22"/>
  <c r="B5038" i="22"/>
  <c r="B5039" i="22"/>
  <c r="B5040" i="22"/>
  <c r="B5041" i="22"/>
  <c r="B5042" i="22"/>
  <c r="B5043" i="22"/>
  <c r="B5044" i="22"/>
  <c r="B5045" i="22"/>
  <c r="B5046" i="22"/>
  <c r="B5047" i="22"/>
  <c r="B5048" i="22"/>
  <c r="B5049" i="22"/>
  <c r="B5050" i="22"/>
  <c r="B5051" i="22"/>
  <c r="B5052" i="22"/>
  <c r="B5053" i="22"/>
  <c r="B5054" i="22"/>
  <c r="B5055" i="22"/>
  <c r="B5056" i="22"/>
  <c r="B5057" i="22"/>
  <c r="B5058" i="22"/>
  <c r="B5059" i="22"/>
  <c r="B5060" i="22"/>
  <c r="B5061" i="22"/>
  <c r="B5062" i="22"/>
  <c r="B5063" i="22"/>
  <c r="B5064" i="22"/>
  <c r="B5065" i="22"/>
  <c r="B5066" i="22"/>
  <c r="B5067" i="22"/>
  <c r="B5068" i="22"/>
  <c r="B5069" i="22"/>
  <c r="B5070" i="22"/>
  <c r="B5071" i="22"/>
  <c r="B5072" i="22"/>
  <c r="B5073" i="22"/>
  <c r="B5074" i="22"/>
  <c r="B5075" i="22"/>
  <c r="B5076" i="22"/>
  <c r="B5077" i="22"/>
  <c r="B5078" i="22"/>
  <c r="B5079" i="22"/>
  <c r="B5080" i="22"/>
  <c r="B5081" i="22"/>
  <c r="B5082" i="22"/>
  <c r="B5083" i="22"/>
  <c r="B5084" i="22"/>
  <c r="B5085" i="22"/>
  <c r="B5086" i="22"/>
  <c r="B5087" i="22"/>
  <c r="B5088" i="22"/>
  <c r="B5089" i="22"/>
  <c r="B5090" i="22"/>
  <c r="B5091" i="22"/>
  <c r="B5092" i="22"/>
  <c r="B5093" i="22"/>
  <c r="B5094" i="22"/>
  <c r="B5095" i="22"/>
  <c r="B5096" i="22"/>
  <c r="B5097" i="22"/>
  <c r="B5098" i="22"/>
  <c r="B5099" i="22"/>
  <c r="B5100" i="22"/>
  <c r="B5101" i="22"/>
  <c r="B5102" i="22"/>
  <c r="B5103" i="22"/>
  <c r="B5104" i="22"/>
  <c r="B5105" i="22"/>
  <c r="B5106" i="22"/>
  <c r="B5107" i="22"/>
  <c r="B5108" i="22"/>
  <c r="B5109" i="22"/>
  <c r="B5110" i="22"/>
  <c r="B5111" i="22"/>
  <c r="B5112" i="22"/>
  <c r="B5113" i="22"/>
  <c r="B5114" i="22"/>
  <c r="B5115" i="22"/>
  <c r="B5116" i="22"/>
  <c r="B5117" i="22"/>
  <c r="B5118" i="22"/>
  <c r="B5119" i="22"/>
  <c r="B5120" i="22"/>
  <c r="B5121" i="22"/>
  <c r="B5122" i="22"/>
  <c r="B5123" i="22"/>
  <c r="B5124" i="22"/>
  <c r="B5125" i="22"/>
  <c r="B5126" i="22"/>
  <c r="B5127" i="22"/>
  <c r="B5128" i="22"/>
  <c r="B5129" i="22"/>
  <c r="B5130" i="22"/>
  <c r="B5131" i="22"/>
  <c r="B5132" i="22"/>
  <c r="B5133" i="22"/>
  <c r="B5134" i="22"/>
  <c r="B5135" i="22"/>
  <c r="B5136" i="22"/>
  <c r="B5137" i="22"/>
  <c r="B5138" i="22"/>
  <c r="B5139" i="22"/>
  <c r="B5140" i="22"/>
  <c r="B5141" i="22"/>
  <c r="B5142" i="22"/>
  <c r="B5143" i="22"/>
  <c r="B5144" i="22"/>
  <c r="B5145" i="22"/>
  <c r="B5146" i="22"/>
  <c r="B5147" i="22"/>
  <c r="B5148" i="22"/>
  <c r="B5149" i="22"/>
  <c r="B5150" i="22"/>
  <c r="B5151" i="22"/>
  <c r="B5152" i="22"/>
  <c r="B5153" i="22"/>
  <c r="B5154" i="22"/>
  <c r="B5155" i="22"/>
  <c r="B5156" i="22"/>
  <c r="B5157" i="22"/>
  <c r="B5158" i="22"/>
  <c r="B5159" i="22"/>
  <c r="B5160" i="22"/>
  <c r="B5161" i="22"/>
  <c r="B5162" i="22"/>
  <c r="B5163" i="22"/>
  <c r="B5164" i="22"/>
  <c r="B5165" i="22"/>
  <c r="B5166" i="22"/>
  <c r="B5167" i="22"/>
  <c r="B5168" i="22"/>
  <c r="B5169" i="22"/>
  <c r="B5170" i="22"/>
  <c r="B5171" i="22"/>
  <c r="B5172" i="22"/>
  <c r="B5173" i="22"/>
  <c r="B5174" i="22"/>
  <c r="B5175" i="22"/>
  <c r="B5176" i="22"/>
  <c r="B5177" i="22"/>
  <c r="B5178" i="22"/>
  <c r="B5179" i="22"/>
  <c r="B5180" i="22"/>
  <c r="B5181" i="22"/>
  <c r="B5182" i="22"/>
  <c r="B5183" i="22"/>
  <c r="B5184" i="22"/>
  <c r="B5185" i="22"/>
  <c r="B5186" i="22"/>
  <c r="B5187" i="22"/>
  <c r="B5188" i="22"/>
  <c r="B5189" i="22"/>
  <c r="B5190" i="22"/>
  <c r="B5191" i="22"/>
  <c r="B5192" i="22"/>
  <c r="B5193" i="22"/>
  <c r="B5194" i="22"/>
  <c r="B5195" i="22"/>
  <c r="B5196" i="22"/>
  <c r="B5197" i="22"/>
  <c r="B5198" i="22"/>
  <c r="B5199" i="22"/>
  <c r="B5200" i="22"/>
  <c r="B5201" i="22"/>
  <c r="B5202" i="22"/>
  <c r="B5203" i="22"/>
  <c r="B5204" i="22"/>
  <c r="B5205" i="22"/>
  <c r="B5206" i="22"/>
  <c r="B5207" i="22"/>
  <c r="B5208" i="22"/>
  <c r="B5209" i="22"/>
  <c r="B5210" i="22"/>
  <c r="B5211" i="22"/>
  <c r="B5212" i="22"/>
  <c r="B5213" i="22"/>
  <c r="B5214" i="22"/>
  <c r="B5215" i="22"/>
  <c r="B5216" i="22"/>
  <c r="B5217" i="22"/>
  <c r="B5218" i="22"/>
  <c r="B5219" i="22"/>
  <c r="B5220" i="22"/>
  <c r="B5221" i="22"/>
  <c r="B5222" i="22"/>
  <c r="B5223" i="22"/>
  <c r="B5224" i="22"/>
  <c r="B5225" i="22"/>
  <c r="B5226" i="22"/>
  <c r="B5227" i="22"/>
  <c r="B5228" i="22"/>
  <c r="B5229" i="22"/>
  <c r="B5230" i="22"/>
  <c r="B5231" i="22"/>
  <c r="B5232" i="22"/>
  <c r="B5233" i="22"/>
  <c r="B5234" i="22"/>
  <c r="B5235" i="22"/>
  <c r="B5236" i="22"/>
  <c r="B5237" i="22"/>
  <c r="B5238" i="22"/>
  <c r="B5239" i="22"/>
  <c r="B5240" i="22"/>
  <c r="B5241" i="22"/>
  <c r="B5242" i="22"/>
  <c r="B5243" i="22"/>
  <c r="B5244" i="22"/>
  <c r="B5245" i="22"/>
  <c r="B5246" i="22"/>
  <c r="B5247" i="22"/>
  <c r="B5248" i="22"/>
  <c r="B5249" i="22"/>
  <c r="B5250" i="22"/>
  <c r="B5251" i="22"/>
  <c r="B5252" i="22"/>
  <c r="B5253" i="22"/>
  <c r="B5254" i="22"/>
  <c r="B5255" i="22"/>
  <c r="B5256" i="22"/>
  <c r="B5257" i="22"/>
  <c r="B5258" i="22"/>
  <c r="B5259" i="22"/>
  <c r="B5260" i="22"/>
  <c r="B5261" i="22"/>
  <c r="B5262" i="22"/>
  <c r="B5263" i="22"/>
  <c r="B5264" i="22"/>
  <c r="B5265" i="22"/>
  <c r="B5266" i="22"/>
  <c r="B5267" i="22"/>
  <c r="B5268" i="22"/>
  <c r="B5269" i="22"/>
  <c r="B5270" i="22"/>
  <c r="B5271" i="22"/>
  <c r="B5272" i="22"/>
  <c r="B5273" i="22"/>
  <c r="B5274" i="22"/>
  <c r="B5275" i="22"/>
  <c r="B5276" i="22"/>
  <c r="B5277" i="22"/>
  <c r="B5278" i="22"/>
  <c r="B5279" i="22"/>
  <c r="B5280" i="22"/>
  <c r="B5281" i="22"/>
  <c r="B5282" i="22"/>
  <c r="B5283" i="22"/>
  <c r="B5284" i="22"/>
  <c r="B5285" i="22"/>
  <c r="B5286" i="22"/>
  <c r="B5287" i="22"/>
  <c r="B5288" i="22"/>
  <c r="B5289" i="22"/>
  <c r="B5290" i="22"/>
  <c r="B5291" i="22"/>
  <c r="B5292" i="22"/>
  <c r="B5293" i="22"/>
  <c r="B5294" i="22"/>
  <c r="B5295" i="22"/>
  <c r="B5296" i="22"/>
  <c r="B5297" i="22"/>
  <c r="B5298" i="22"/>
  <c r="B5299" i="22"/>
  <c r="B5300" i="22"/>
  <c r="B5301" i="22"/>
  <c r="B5302" i="22"/>
  <c r="B5303" i="22"/>
  <c r="B5304" i="22"/>
  <c r="B5305" i="22"/>
  <c r="B5306" i="22"/>
  <c r="B5307" i="22"/>
  <c r="B5308" i="22"/>
  <c r="B5309" i="22"/>
  <c r="B5310" i="22"/>
  <c r="B5311" i="22"/>
  <c r="B5312" i="22"/>
  <c r="B5313" i="22"/>
  <c r="B5314" i="22"/>
  <c r="B5315" i="22"/>
  <c r="B5316" i="22"/>
  <c r="B5317" i="22"/>
  <c r="B5318" i="22"/>
  <c r="B5319" i="22"/>
  <c r="B5320" i="22"/>
  <c r="B5321" i="22"/>
  <c r="B5322" i="22"/>
  <c r="B5323" i="22"/>
  <c r="B5324" i="22"/>
  <c r="B5325" i="22"/>
  <c r="B5326" i="22"/>
  <c r="B5327" i="22"/>
  <c r="B5328" i="22"/>
  <c r="B5329" i="22"/>
  <c r="B5330" i="22"/>
  <c r="B5331" i="22"/>
  <c r="B5332" i="22"/>
  <c r="B5333" i="22"/>
  <c r="B5334" i="22"/>
  <c r="B5335" i="22"/>
  <c r="B5336" i="22"/>
  <c r="B5337" i="22"/>
  <c r="B5338" i="22"/>
  <c r="B5339" i="22"/>
  <c r="B5340" i="22"/>
  <c r="B5341" i="22"/>
  <c r="B5342" i="22"/>
  <c r="B5343" i="22"/>
  <c r="B5344" i="22"/>
  <c r="B5345" i="22"/>
  <c r="B5346" i="22"/>
  <c r="B5347" i="22"/>
  <c r="B5348" i="22"/>
  <c r="B5349" i="22"/>
  <c r="B5350" i="22"/>
  <c r="B5351" i="22"/>
  <c r="B5352" i="22"/>
  <c r="B5353" i="22"/>
  <c r="B5354" i="22"/>
  <c r="B5355" i="22"/>
  <c r="B5356" i="22"/>
  <c r="B5357" i="22"/>
  <c r="B5358" i="22"/>
  <c r="B5359" i="22"/>
  <c r="B5360" i="22"/>
  <c r="B5361" i="22"/>
  <c r="B5362" i="22"/>
  <c r="B5363" i="22"/>
  <c r="B5364" i="22"/>
  <c r="B5365" i="22"/>
  <c r="B5366" i="22"/>
  <c r="B5367" i="22"/>
  <c r="B5368" i="22"/>
  <c r="B5369" i="22"/>
  <c r="B5370" i="22"/>
  <c r="B5371" i="22"/>
  <c r="B5372" i="22"/>
  <c r="B5373" i="22"/>
  <c r="B5374" i="22"/>
  <c r="B5375" i="22"/>
  <c r="B5376" i="22"/>
  <c r="B5377" i="22"/>
  <c r="B5378" i="22"/>
  <c r="B5379" i="22"/>
  <c r="B5380" i="22"/>
  <c r="B5381" i="22"/>
  <c r="B5382" i="22"/>
  <c r="B5383" i="22"/>
  <c r="B5384" i="22"/>
  <c r="B5385" i="22"/>
  <c r="B5386" i="22"/>
  <c r="B5387" i="22"/>
  <c r="B5388" i="22"/>
  <c r="B5389" i="22"/>
  <c r="B5390" i="22"/>
  <c r="B5391" i="22"/>
  <c r="B5392" i="22"/>
  <c r="B5393" i="22"/>
  <c r="B5394" i="22"/>
  <c r="B5395" i="22"/>
  <c r="B5396" i="22"/>
  <c r="B5397" i="22"/>
  <c r="B5398" i="22"/>
  <c r="B5399" i="22"/>
  <c r="B5400" i="22"/>
  <c r="B5401" i="22"/>
  <c r="B5402" i="22"/>
  <c r="B5403" i="22"/>
  <c r="B5404" i="22"/>
  <c r="B5405" i="22"/>
  <c r="B5406" i="22"/>
  <c r="B5407" i="22"/>
  <c r="B5408" i="22"/>
  <c r="B5409" i="22"/>
  <c r="B5410" i="22"/>
  <c r="B5411" i="22"/>
  <c r="B5412" i="22"/>
  <c r="B5413" i="22"/>
  <c r="B5414" i="22"/>
  <c r="B5415" i="22"/>
  <c r="B5416" i="22"/>
  <c r="B5417" i="22"/>
  <c r="B5418" i="22"/>
  <c r="B5419" i="22"/>
  <c r="B5420" i="22"/>
  <c r="B5421" i="22"/>
  <c r="B5422" i="22"/>
  <c r="B5423" i="22"/>
  <c r="B5424" i="22"/>
  <c r="B5425" i="22"/>
  <c r="B5426" i="22"/>
  <c r="B5427" i="22"/>
  <c r="B5428" i="22"/>
  <c r="B5429" i="22"/>
  <c r="B5430" i="22"/>
  <c r="B5431" i="22"/>
  <c r="B5432" i="22"/>
  <c r="B5433" i="22"/>
  <c r="B5434" i="22"/>
  <c r="B5435" i="22"/>
  <c r="B5436" i="22"/>
  <c r="B5437" i="22"/>
  <c r="B5438" i="22"/>
  <c r="B5439" i="22"/>
  <c r="B5440" i="22"/>
  <c r="B5441" i="22"/>
  <c r="B5442" i="22"/>
  <c r="B5443" i="22"/>
  <c r="B5444" i="22"/>
  <c r="B5445" i="22"/>
  <c r="B5446" i="22"/>
  <c r="B5447" i="22"/>
  <c r="B5448" i="22"/>
  <c r="B5449" i="22"/>
  <c r="B5450" i="22"/>
  <c r="B5451" i="22"/>
  <c r="B5452" i="22"/>
  <c r="B5453" i="22"/>
  <c r="B5454" i="22"/>
  <c r="B5455" i="22"/>
  <c r="B5456" i="22"/>
  <c r="B5457" i="22"/>
  <c r="B5458" i="22"/>
  <c r="B5459" i="22"/>
  <c r="B5460" i="22"/>
  <c r="B5461" i="22"/>
  <c r="B5462" i="22"/>
  <c r="B5463" i="22"/>
  <c r="B5464" i="22"/>
  <c r="B5465" i="22"/>
  <c r="B5466" i="22"/>
  <c r="B5467" i="22"/>
  <c r="B5468" i="22"/>
  <c r="B5469" i="22"/>
  <c r="B5470" i="22"/>
  <c r="B5471" i="22"/>
  <c r="B5472" i="22"/>
  <c r="B5473" i="22"/>
  <c r="B5474" i="22"/>
  <c r="B5475" i="22"/>
  <c r="B5476" i="22"/>
  <c r="B5477" i="22"/>
  <c r="B5478" i="22"/>
  <c r="B5479" i="22"/>
  <c r="B5480" i="22"/>
  <c r="B5481" i="22"/>
  <c r="B5482" i="22"/>
  <c r="B5483" i="22"/>
  <c r="B5484" i="22"/>
  <c r="B5485" i="22"/>
  <c r="B5486" i="22"/>
  <c r="B5487" i="22"/>
  <c r="B5488" i="22"/>
  <c r="B5489" i="22"/>
  <c r="B5490" i="22"/>
  <c r="B5491" i="22"/>
  <c r="B5492" i="22"/>
  <c r="B5493" i="22"/>
  <c r="B5494" i="22"/>
  <c r="B5495" i="22"/>
  <c r="B5496" i="22"/>
  <c r="B5497" i="22"/>
  <c r="B5498" i="22"/>
  <c r="B5499" i="22"/>
  <c r="B5500" i="22"/>
  <c r="B5501" i="22"/>
  <c r="B5502" i="22"/>
  <c r="B5503" i="22"/>
  <c r="B5504" i="22"/>
  <c r="B5505" i="22"/>
  <c r="B5506" i="22"/>
  <c r="B5507" i="22"/>
  <c r="B5508" i="22"/>
  <c r="B5509" i="22"/>
  <c r="B5510" i="22"/>
  <c r="B5511" i="22"/>
  <c r="B5512" i="22"/>
  <c r="B5513" i="22"/>
  <c r="B5514" i="22"/>
  <c r="B5515" i="22"/>
  <c r="B5516" i="22"/>
  <c r="B5517" i="22"/>
  <c r="B5518" i="22"/>
  <c r="B5519" i="22"/>
  <c r="B5520" i="22"/>
  <c r="B5521" i="22"/>
  <c r="B5522" i="22"/>
  <c r="B5523" i="22"/>
  <c r="B5524" i="22"/>
  <c r="B5525" i="22"/>
  <c r="B5526" i="22"/>
  <c r="B5527" i="22"/>
  <c r="B5528" i="22"/>
  <c r="B5529" i="22"/>
  <c r="B5530" i="22"/>
  <c r="B5531" i="22"/>
  <c r="B5532" i="22"/>
  <c r="B5533" i="22"/>
  <c r="B5534" i="22"/>
  <c r="B5535" i="22"/>
  <c r="B5536" i="22"/>
  <c r="B5537" i="22"/>
  <c r="B5538" i="22"/>
  <c r="B5539" i="22"/>
  <c r="B5540" i="22"/>
  <c r="B5541" i="22"/>
  <c r="B5542" i="22"/>
  <c r="B5543" i="22"/>
  <c r="B5544" i="22"/>
  <c r="B5545" i="22"/>
  <c r="B5546" i="22"/>
  <c r="B5547" i="22"/>
  <c r="B5548" i="22"/>
  <c r="B5549" i="22"/>
  <c r="B5550" i="22"/>
  <c r="B5551" i="22"/>
  <c r="B5552" i="22"/>
  <c r="B5553" i="22"/>
  <c r="B5554" i="22"/>
  <c r="B5555" i="22"/>
  <c r="B5556" i="22"/>
  <c r="B5557" i="22"/>
  <c r="B5558" i="22"/>
  <c r="B5559" i="22"/>
  <c r="B5560" i="22"/>
  <c r="B5561" i="22"/>
  <c r="B5562" i="22"/>
  <c r="B5563" i="22"/>
  <c r="B5564" i="22"/>
  <c r="B5565" i="22"/>
  <c r="B5566" i="22"/>
  <c r="B5567" i="22"/>
  <c r="B5568" i="22"/>
  <c r="B5569" i="22"/>
  <c r="B5570" i="22"/>
  <c r="B5571" i="22"/>
  <c r="B5572" i="22"/>
  <c r="B5573" i="22"/>
  <c r="B5574" i="22"/>
  <c r="B5575" i="22"/>
  <c r="B5576" i="22"/>
  <c r="B5577" i="22"/>
  <c r="B5578" i="22"/>
  <c r="B5579" i="22"/>
  <c r="B5580" i="22"/>
  <c r="B5581" i="22"/>
  <c r="B5582" i="22"/>
  <c r="B5583" i="22"/>
  <c r="B5584" i="22"/>
  <c r="B5585" i="22"/>
  <c r="B5586" i="22"/>
  <c r="B5587" i="22"/>
  <c r="B5588" i="22"/>
  <c r="B5589" i="22"/>
  <c r="B5590" i="22"/>
  <c r="B5591" i="22"/>
  <c r="B5592" i="22"/>
  <c r="B5593" i="22"/>
  <c r="B5594" i="22"/>
  <c r="B5595" i="22"/>
  <c r="B5596" i="22"/>
  <c r="B5597" i="22"/>
  <c r="B5598" i="22"/>
  <c r="B5599" i="22"/>
  <c r="B5600" i="22"/>
  <c r="B5601" i="22"/>
  <c r="B5602" i="22"/>
  <c r="B5603" i="22"/>
  <c r="B5604" i="22"/>
  <c r="B5605" i="22"/>
  <c r="B5606" i="22"/>
  <c r="B5607" i="22"/>
  <c r="B5608" i="22"/>
  <c r="B5609" i="22"/>
  <c r="B5610" i="22"/>
  <c r="B5611" i="22"/>
  <c r="B5612" i="22"/>
  <c r="B5613" i="22"/>
  <c r="B5614" i="22"/>
  <c r="B5615" i="22"/>
  <c r="B5616" i="22"/>
  <c r="B5617" i="22"/>
  <c r="B5618" i="22"/>
  <c r="B5619" i="22"/>
  <c r="B5620" i="22"/>
  <c r="B5621" i="22"/>
  <c r="B5622" i="22"/>
  <c r="B5623" i="22"/>
  <c r="B5624" i="22"/>
  <c r="B5625" i="22"/>
  <c r="B5626" i="22"/>
  <c r="B5627" i="22"/>
  <c r="B5628" i="22"/>
  <c r="B5629" i="22"/>
  <c r="B5630" i="22"/>
  <c r="B5631" i="22"/>
  <c r="B5632" i="22"/>
  <c r="B5633" i="22"/>
  <c r="B5634" i="22"/>
  <c r="B5635" i="22"/>
  <c r="B5636" i="22"/>
  <c r="B5637" i="22"/>
  <c r="B5638" i="22"/>
  <c r="B5639" i="22"/>
  <c r="B5640" i="22"/>
  <c r="B5641" i="22"/>
  <c r="B5642" i="22"/>
  <c r="B5643" i="22"/>
  <c r="B5644" i="22"/>
  <c r="B5645" i="22"/>
  <c r="B5646" i="22"/>
  <c r="B5647" i="22"/>
  <c r="B5648" i="22"/>
  <c r="B5649" i="22"/>
  <c r="B5650" i="22"/>
  <c r="B5651" i="22"/>
  <c r="B5652" i="22"/>
  <c r="B5653" i="22"/>
  <c r="B5654" i="22"/>
  <c r="B5655" i="22"/>
  <c r="B5656" i="22"/>
  <c r="B5657" i="22"/>
  <c r="B5658" i="22"/>
  <c r="B5659" i="22"/>
  <c r="B5660" i="22"/>
  <c r="B5661" i="22"/>
  <c r="B5662" i="22"/>
  <c r="B5663" i="22"/>
  <c r="B5664" i="22"/>
  <c r="B5665" i="22"/>
  <c r="B5666" i="22"/>
  <c r="B5667" i="22"/>
  <c r="B5668" i="22"/>
  <c r="B5669" i="22"/>
  <c r="B5670" i="22"/>
  <c r="B5671" i="22"/>
  <c r="B5672" i="22"/>
  <c r="B5673" i="22"/>
  <c r="B5674" i="22"/>
  <c r="B5675" i="22"/>
  <c r="B5676" i="22"/>
  <c r="B5677" i="22"/>
  <c r="B5678" i="22"/>
  <c r="B5679" i="22"/>
  <c r="B5680" i="22"/>
  <c r="B5681" i="22"/>
  <c r="B5682" i="22"/>
  <c r="B5683" i="22"/>
  <c r="B5684" i="22"/>
  <c r="B5685" i="22"/>
  <c r="B5686" i="22"/>
  <c r="B5687" i="22"/>
  <c r="B5688" i="22"/>
  <c r="B5689" i="22"/>
  <c r="B5690" i="22"/>
  <c r="B5691" i="22"/>
  <c r="B5692" i="22"/>
  <c r="B5693" i="22"/>
  <c r="B5694" i="22"/>
  <c r="B5695" i="22"/>
  <c r="B5696" i="22"/>
  <c r="B5697" i="22"/>
  <c r="B5698" i="22"/>
  <c r="B5699" i="22"/>
  <c r="B5700" i="22"/>
  <c r="B5701" i="22"/>
  <c r="B5702" i="22"/>
  <c r="B5703" i="22"/>
  <c r="B5704" i="22"/>
  <c r="B5705" i="22"/>
  <c r="B5706" i="22"/>
  <c r="B5707" i="22"/>
  <c r="B5708" i="22"/>
  <c r="B5709" i="22"/>
  <c r="B5710" i="22"/>
  <c r="B5711" i="22"/>
  <c r="B5712" i="22"/>
  <c r="B5713" i="22"/>
  <c r="B5714" i="22"/>
  <c r="B5715" i="22"/>
  <c r="B5716" i="22"/>
  <c r="B5717" i="22"/>
  <c r="B5718" i="22"/>
  <c r="B5719" i="22"/>
  <c r="B5720" i="22"/>
  <c r="B5721" i="22"/>
  <c r="B5722" i="22"/>
  <c r="B5723" i="22"/>
  <c r="B5724" i="22"/>
  <c r="B5725" i="22"/>
  <c r="B5726" i="22"/>
  <c r="B5727" i="22"/>
  <c r="B5728" i="22"/>
  <c r="B5729" i="22"/>
  <c r="B5730" i="22"/>
  <c r="B5731" i="22"/>
  <c r="B5732" i="22"/>
  <c r="B5733" i="22"/>
  <c r="B5734" i="22"/>
  <c r="B5735" i="22"/>
  <c r="B5736" i="22"/>
  <c r="B5737" i="22"/>
  <c r="B5738" i="22"/>
  <c r="B5739" i="22"/>
  <c r="B5740" i="22"/>
  <c r="B5741" i="22"/>
  <c r="B5742" i="22"/>
  <c r="B5743" i="22"/>
  <c r="B5744" i="22"/>
  <c r="B5745" i="22"/>
  <c r="B5746" i="22"/>
  <c r="B5747" i="22"/>
  <c r="B5748" i="22"/>
  <c r="B5749" i="22"/>
  <c r="B5750" i="22"/>
  <c r="B5751" i="22"/>
  <c r="B5752" i="22"/>
  <c r="B5753" i="22"/>
  <c r="B5754" i="22"/>
  <c r="B5755" i="22"/>
  <c r="B5756" i="22"/>
  <c r="B5757" i="22"/>
  <c r="B5758" i="22"/>
  <c r="B5759" i="22"/>
  <c r="B5760" i="22"/>
  <c r="B5761" i="22"/>
  <c r="B5762" i="22"/>
  <c r="B5763" i="22"/>
  <c r="B5764" i="22"/>
  <c r="B5765" i="22"/>
  <c r="B5766" i="22"/>
  <c r="B5767" i="22"/>
  <c r="B5768" i="22"/>
  <c r="B5769" i="22"/>
  <c r="B5770" i="22"/>
  <c r="B5771" i="22"/>
  <c r="B5772" i="22"/>
  <c r="B5773" i="22"/>
  <c r="B5774" i="22"/>
  <c r="B5775" i="22"/>
  <c r="B5776" i="22"/>
  <c r="B5777" i="22"/>
  <c r="B5778" i="22"/>
  <c r="B5779" i="22"/>
  <c r="B5780" i="22"/>
  <c r="B5781" i="22"/>
  <c r="B5782" i="22"/>
  <c r="B5783" i="22"/>
  <c r="B5784" i="22"/>
  <c r="B5785" i="22"/>
  <c r="B5786" i="22"/>
  <c r="B5787" i="22"/>
  <c r="B5788" i="22"/>
  <c r="B5789" i="22"/>
  <c r="B5790" i="22"/>
  <c r="B5791" i="22"/>
  <c r="B5792" i="22"/>
  <c r="B5793" i="22"/>
  <c r="B5794" i="22"/>
  <c r="B5795" i="22"/>
  <c r="B5796" i="22"/>
  <c r="B5797" i="22"/>
  <c r="B5798" i="22"/>
  <c r="B5799" i="22"/>
  <c r="B5800" i="22"/>
  <c r="B5801" i="22"/>
  <c r="B5802" i="22"/>
  <c r="B5803" i="22"/>
  <c r="B5804" i="22"/>
  <c r="B5805" i="22"/>
  <c r="B5806" i="22"/>
  <c r="B5807" i="22"/>
  <c r="B5808" i="22"/>
  <c r="B5809" i="22"/>
  <c r="B5810" i="22"/>
  <c r="B5811" i="22"/>
  <c r="B5812" i="22"/>
  <c r="B5813" i="22"/>
  <c r="B5814" i="22"/>
  <c r="B5815" i="22"/>
  <c r="B5816" i="22"/>
  <c r="B5817" i="22"/>
  <c r="B5818" i="22"/>
  <c r="B5819" i="22"/>
  <c r="B5820" i="22"/>
  <c r="B5821" i="22"/>
  <c r="B5822" i="22"/>
  <c r="B5823" i="22"/>
  <c r="B5824" i="22"/>
  <c r="B5825" i="22"/>
  <c r="B5826" i="22"/>
  <c r="B5827" i="22"/>
  <c r="B5828" i="22"/>
  <c r="B5829" i="22"/>
  <c r="B5830" i="22"/>
  <c r="B5831" i="22"/>
  <c r="B5832" i="22"/>
  <c r="B5833" i="22"/>
  <c r="B5834" i="22"/>
  <c r="B5835" i="22"/>
  <c r="B5836" i="22"/>
  <c r="B5837" i="22"/>
  <c r="B5838" i="22"/>
  <c r="B5839" i="22"/>
  <c r="B5840" i="22"/>
  <c r="B5841" i="22"/>
  <c r="B5842" i="22"/>
  <c r="B5843" i="22"/>
  <c r="B5844" i="22"/>
  <c r="B5845" i="22"/>
  <c r="B5846" i="22"/>
  <c r="B5847" i="22"/>
  <c r="B5848" i="22"/>
  <c r="B5849" i="22"/>
  <c r="B5850" i="22"/>
  <c r="B5851" i="22"/>
  <c r="B5852" i="22"/>
  <c r="B5853" i="22"/>
  <c r="B5854" i="22"/>
  <c r="B5855" i="22"/>
  <c r="B5856" i="22"/>
  <c r="B5857" i="22"/>
  <c r="B5858" i="22"/>
  <c r="B5859" i="22"/>
  <c r="B5860" i="22"/>
  <c r="B5861" i="22"/>
  <c r="B5862" i="22"/>
  <c r="B5863" i="22"/>
  <c r="B5864" i="22"/>
  <c r="B5865" i="22"/>
  <c r="B5866" i="22"/>
  <c r="B5867" i="22"/>
  <c r="B5868" i="22"/>
  <c r="B5869" i="22"/>
  <c r="B5870" i="22"/>
  <c r="B5871" i="22"/>
  <c r="B5872" i="22"/>
  <c r="B5873" i="22"/>
  <c r="B5874" i="22"/>
  <c r="B5875" i="22"/>
  <c r="B5876" i="22"/>
  <c r="B5877" i="22"/>
  <c r="B5878" i="22"/>
  <c r="B5879" i="22"/>
  <c r="B5880" i="22"/>
  <c r="B5881" i="22"/>
  <c r="B5882" i="22"/>
  <c r="B5883" i="22"/>
  <c r="B5884" i="22"/>
  <c r="B5885" i="22"/>
  <c r="B5886" i="22"/>
  <c r="B5887" i="22"/>
  <c r="B5888" i="22"/>
  <c r="B5889" i="22"/>
  <c r="B5890" i="22"/>
  <c r="B5891" i="22"/>
  <c r="B5892" i="22"/>
  <c r="B5893" i="22"/>
  <c r="B5894" i="22"/>
  <c r="B5895" i="22"/>
  <c r="B5896" i="22"/>
  <c r="B5897" i="22"/>
  <c r="B5898" i="22"/>
  <c r="B5899" i="22"/>
  <c r="B5900" i="22"/>
  <c r="B5901" i="22"/>
  <c r="B5902" i="22"/>
  <c r="B5903" i="22"/>
  <c r="B5904" i="22"/>
  <c r="B5905" i="22"/>
  <c r="B5906" i="22"/>
  <c r="B5907" i="22"/>
  <c r="B5908" i="22"/>
  <c r="B5909" i="22"/>
  <c r="B5910" i="22"/>
  <c r="B5911" i="22"/>
  <c r="B5912" i="22"/>
  <c r="B5913" i="22"/>
  <c r="B5914" i="22"/>
  <c r="B5915" i="22"/>
  <c r="B5916" i="22"/>
  <c r="B5917" i="22"/>
  <c r="B5918" i="22"/>
  <c r="B5919" i="22"/>
  <c r="B5920" i="22"/>
  <c r="B5921" i="22"/>
  <c r="B5922" i="22"/>
  <c r="B5923" i="22"/>
  <c r="B5924" i="22"/>
  <c r="B5925" i="22"/>
  <c r="B5926" i="22"/>
  <c r="B5927" i="22"/>
  <c r="B5928" i="22"/>
  <c r="B5929" i="22"/>
  <c r="B5930" i="22"/>
  <c r="B5931" i="22"/>
  <c r="B5932" i="22"/>
  <c r="B5933" i="22"/>
  <c r="B5934" i="22"/>
  <c r="B5935" i="22"/>
  <c r="B5936" i="22"/>
  <c r="B5937" i="22"/>
  <c r="B5938" i="22"/>
  <c r="B5939" i="22"/>
  <c r="B5940" i="22"/>
  <c r="B5941" i="22"/>
  <c r="B5942" i="22"/>
  <c r="B5943" i="22"/>
  <c r="B5944" i="22"/>
  <c r="B5945" i="22"/>
  <c r="B5946" i="22"/>
  <c r="B5947" i="22"/>
  <c r="B5948" i="22"/>
  <c r="B5949" i="22"/>
  <c r="B5950" i="22"/>
  <c r="B5951" i="22"/>
  <c r="B5952" i="22"/>
  <c r="B5953" i="22"/>
  <c r="B5954" i="22"/>
  <c r="B5955" i="22"/>
  <c r="B5956" i="22"/>
  <c r="B5957" i="22"/>
  <c r="B5958" i="22"/>
  <c r="B5959" i="22"/>
  <c r="B5960" i="22"/>
  <c r="B5961" i="22"/>
  <c r="B5962" i="22"/>
  <c r="B5963" i="22"/>
  <c r="B5964" i="22"/>
  <c r="B5965" i="22"/>
  <c r="B5966" i="22"/>
  <c r="B5967" i="22"/>
  <c r="B5968" i="22"/>
  <c r="B5969" i="22"/>
  <c r="B5970" i="22"/>
  <c r="B5971" i="22"/>
  <c r="B5972" i="22"/>
  <c r="B5973" i="22"/>
  <c r="B5974" i="22"/>
  <c r="B5975" i="22"/>
  <c r="B5976" i="22"/>
  <c r="B5977" i="22"/>
  <c r="B5978" i="22"/>
  <c r="B5979" i="22"/>
  <c r="B5980" i="22"/>
  <c r="B5981" i="22"/>
  <c r="B5982" i="22"/>
  <c r="B5983" i="22"/>
  <c r="B5984" i="22"/>
  <c r="B5985" i="22"/>
  <c r="B5986" i="22"/>
  <c r="B5987" i="22"/>
  <c r="B5988" i="22"/>
  <c r="B5989" i="22"/>
  <c r="B5990" i="22"/>
  <c r="B5991" i="22"/>
  <c r="B5992" i="22"/>
  <c r="B5993" i="22"/>
  <c r="B5994" i="22"/>
  <c r="B5995" i="22"/>
  <c r="B5996" i="22"/>
  <c r="B5997" i="22"/>
  <c r="B5998" i="22"/>
  <c r="B5999" i="22"/>
  <c r="B6000" i="22"/>
  <c r="B6001" i="22"/>
  <c r="B6002" i="22"/>
  <c r="B6003" i="22"/>
  <c r="B6004" i="22"/>
  <c r="B6005" i="22"/>
  <c r="B6006" i="22"/>
  <c r="B6007" i="22"/>
  <c r="B6008" i="22"/>
  <c r="B6009" i="22"/>
  <c r="B6010" i="22"/>
  <c r="B6011" i="22"/>
  <c r="B6012" i="22"/>
  <c r="B6013" i="22"/>
  <c r="B6014" i="22"/>
  <c r="B6015" i="22"/>
  <c r="B6016" i="22"/>
  <c r="B6017" i="22"/>
  <c r="B6018" i="22"/>
  <c r="B6019" i="22"/>
  <c r="B6020" i="22"/>
  <c r="B6021" i="22"/>
  <c r="B6022" i="22"/>
  <c r="B6023" i="22"/>
  <c r="B6024" i="22"/>
  <c r="B6025" i="22"/>
  <c r="B6026" i="22"/>
  <c r="B6027" i="22"/>
  <c r="B6028" i="22"/>
  <c r="B6029" i="22"/>
  <c r="B6030" i="22"/>
  <c r="B6031" i="22"/>
  <c r="B6032" i="22"/>
  <c r="B6033" i="22"/>
  <c r="B6034" i="22"/>
  <c r="B6035" i="22"/>
  <c r="B6036" i="22"/>
  <c r="B6037" i="22"/>
  <c r="B6038" i="22"/>
  <c r="B6039" i="22"/>
  <c r="B6040" i="22"/>
  <c r="B6041" i="22"/>
  <c r="B6042" i="22"/>
  <c r="B6043" i="22"/>
  <c r="B6044" i="22"/>
  <c r="B6045" i="22"/>
  <c r="B6046" i="22"/>
  <c r="B6047" i="22"/>
  <c r="B6048" i="22"/>
  <c r="B6049" i="22"/>
  <c r="B6050" i="22"/>
  <c r="B6051" i="22"/>
  <c r="B6052" i="22"/>
  <c r="B6053" i="22"/>
  <c r="B6054" i="22"/>
  <c r="B6055" i="22"/>
  <c r="B6056" i="22"/>
  <c r="B6057" i="22"/>
  <c r="B6058" i="22"/>
  <c r="B6059" i="22"/>
  <c r="B6060" i="22"/>
  <c r="B6061" i="22"/>
  <c r="B6062" i="22"/>
  <c r="B6063" i="22"/>
  <c r="B6064" i="22"/>
  <c r="B6065" i="22"/>
  <c r="B6066" i="22"/>
  <c r="B6067" i="22"/>
  <c r="B6068" i="22"/>
  <c r="B6069" i="22"/>
  <c r="B6070" i="22"/>
  <c r="B6071" i="22"/>
  <c r="B6072" i="22"/>
  <c r="B6073" i="22"/>
  <c r="B6074" i="22"/>
  <c r="B6075" i="22"/>
  <c r="B6076" i="22"/>
  <c r="B6077" i="22"/>
  <c r="B6078" i="22"/>
  <c r="B6079" i="22"/>
  <c r="B6080" i="22"/>
  <c r="B6081" i="22"/>
  <c r="B6082" i="22"/>
  <c r="B6083" i="22"/>
  <c r="B6084" i="22"/>
  <c r="B6085" i="22"/>
  <c r="B6086" i="22"/>
  <c r="B6087" i="22"/>
  <c r="B6088" i="22"/>
  <c r="B6089" i="22"/>
  <c r="B6090" i="22"/>
  <c r="B6091" i="22"/>
  <c r="B6092" i="22"/>
  <c r="B6093" i="22"/>
  <c r="B6094" i="22"/>
  <c r="B6095" i="22"/>
  <c r="B6096" i="22"/>
  <c r="B6097" i="22"/>
  <c r="B6098" i="22"/>
  <c r="B6099" i="22"/>
  <c r="B6100" i="22"/>
  <c r="B6101" i="22"/>
  <c r="B6102" i="22"/>
  <c r="B6103" i="22"/>
  <c r="B6104" i="22"/>
  <c r="B6105" i="22"/>
  <c r="B6106" i="22"/>
  <c r="B6107" i="22"/>
  <c r="B6108" i="22"/>
  <c r="B6109" i="22"/>
  <c r="B6110" i="22"/>
  <c r="B6111" i="22"/>
  <c r="B6112" i="22"/>
  <c r="B6113" i="22"/>
  <c r="B6114" i="22"/>
  <c r="B6115" i="22"/>
  <c r="B6116" i="22"/>
  <c r="B6117" i="22"/>
  <c r="B6118" i="22"/>
  <c r="B6119" i="22"/>
  <c r="B6120" i="22"/>
  <c r="B6121" i="22"/>
  <c r="B6122" i="22"/>
  <c r="B6123" i="22"/>
  <c r="B6124" i="22"/>
  <c r="B6125" i="22"/>
  <c r="B6126" i="22"/>
  <c r="B6127" i="22"/>
  <c r="B6128" i="22"/>
  <c r="B6129" i="22"/>
  <c r="B6130" i="22"/>
  <c r="B6131" i="22"/>
  <c r="B6132" i="22"/>
  <c r="B6133" i="22"/>
  <c r="B6134" i="22"/>
  <c r="B6135" i="22"/>
  <c r="B6136" i="22"/>
  <c r="B6137" i="22"/>
  <c r="B6138" i="22"/>
  <c r="B6139" i="22"/>
  <c r="B6140" i="22"/>
  <c r="B6141" i="22"/>
  <c r="B6142" i="22"/>
  <c r="B6143" i="22"/>
  <c r="B6144" i="22"/>
  <c r="B6145" i="22"/>
  <c r="B6146" i="22"/>
  <c r="B6147" i="22"/>
  <c r="B6148" i="22"/>
  <c r="B6149" i="22"/>
  <c r="B6150" i="22"/>
  <c r="B6151" i="22"/>
  <c r="B6152" i="22"/>
  <c r="B6153" i="22"/>
  <c r="B6154" i="22"/>
  <c r="B6155" i="22"/>
  <c r="B6156" i="22"/>
  <c r="B6157" i="22"/>
  <c r="B6158" i="22"/>
  <c r="B6159" i="22"/>
  <c r="B6160" i="22"/>
  <c r="B6161" i="22"/>
  <c r="B6162" i="22"/>
  <c r="B6163" i="22"/>
  <c r="B6164" i="22"/>
  <c r="B6165" i="22"/>
  <c r="B6166" i="22"/>
  <c r="B6167" i="22"/>
  <c r="B6168" i="22"/>
  <c r="B6169" i="22"/>
  <c r="B6170" i="22"/>
  <c r="B6171" i="22"/>
  <c r="B6172" i="22"/>
  <c r="B6173" i="22"/>
  <c r="B6174" i="22"/>
  <c r="B6175" i="22"/>
  <c r="B6176" i="22"/>
  <c r="B6177" i="22"/>
  <c r="B6178" i="22"/>
  <c r="B6179" i="22"/>
  <c r="B6180" i="22"/>
  <c r="B6181" i="22"/>
  <c r="B6182" i="22"/>
  <c r="B6183" i="22"/>
  <c r="B6184" i="22"/>
  <c r="B6185" i="22"/>
  <c r="B6186" i="22"/>
  <c r="B6187" i="22"/>
  <c r="B6188" i="22"/>
  <c r="B6189" i="22"/>
  <c r="B6190" i="22"/>
  <c r="B6191" i="22"/>
  <c r="B6192" i="22"/>
  <c r="B6193" i="22"/>
  <c r="B6194" i="22"/>
  <c r="B6195" i="22"/>
  <c r="B6196" i="22"/>
  <c r="B6197" i="22"/>
  <c r="B6198" i="22"/>
  <c r="B6199" i="22"/>
  <c r="B6200" i="22"/>
  <c r="B6201" i="22"/>
  <c r="B6202" i="22"/>
  <c r="B6203" i="22"/>
  <c r="B6204" i="22"/>
  <c r="B6205" i="22"/>
  <c r="B6206" i="22"/>
  <c r="B6207" i="22"/>
  <c r="B6208" i="22"/>
  <c r="B6209" i="22"/>
  <c r="B6210" i="22"/>
  <c r="B6211" i="22"/>
  <c r="B6212" i="22"/>
  <c r="B6213" i="22"/>
  <c r="B6214" i="22"/>
  <c r="B6215" i="22"/>
  <c r="B6216" i="22"/>
  <c r="B6217" i="22"/>
  <c r="B6218" i="22"/>
  <c r="B6219" i="22"/>
  <c r="B6220" i="22"/>
  <c r="B6221" i="22"/>
  <c r="B6222" i="22"/>
  <c r="B6223" i="22"/>
  <c r="B6224" i="22"/>
  <c r="B6225" i="22"/>
  <c r="B6226" i="22"/>
  <c r="B6227" i="22"/>
  <c r="B6228" i="22"/>
  <c r="B6229" i="22"/>
  <c r="B6230" i="22"/>
  <c r="B6231" i="22"/>
  <c r="B6232" i="22"/>
  <c r="B6233" i="22"/>
  <c r="B6234" i="22"/>
  <c r="B6235" i="22"/>
  <c r="B6236" i="22"/>
  <c r="B6237" i="22"/>
  <c r="B6238" i="22"/>
  <c r="B6239" i="22"/>
  <c r="B6240" i="22"/>
  <c r="B6241" i="22"/>
  <c r="B6242" i="22"/>
  <c r="B6243" i="22"/>
  <c r="B6244" i="22"/>
  <c r="B6245" i="22"/>
  <c r="B6246" i="22"/>
  <c r="B6247" i="22"/>
  <c r="B6248" i="22"/>
  <c r="B6249" i="22"/>
  <c r="B6250" i="22"/>
  <c r="B6251" i="22"/>
  <c r="B6252" i="22"/>
  <c r="B6253" i="22"/>
  <c r="B6254" i="22"/>
  <c r="B6255" i="22"/>
  <c r="B6256" i="22"/>
  <c r="B6257" i="22"/>
  <c r="B6258" i="22"/>
  <c r="B6259" i="22"/>
  <c r="B6260" i="22"/>
  <c r="B6261" i="22"/>
  <c r="B6262" i="22"/>
  <c r="B6263" i="22"/>
  <c r="B6264" i="22"/>
  <c r="B6265" i="22"/>
  <c r="B6266" i="22"/>
  <c r="B6267" i="22"/>
  <c r="B6268" i="22"/>
  <c r="B6269" i="22"/>
  <c r="B6270" i="22"/>
  <c r="B6271" i="22"/>
  <c r="B6272" i="22"/>
  <c r="B6273" i="22"/>
  <c r="B6274" i="22"/>
  <c r="B6275" i="22"/>
  <c r="B6276" i="22"/>
  <c r="B6277" i="22"/>
  <c r="B6278" i="22"/>
  <c r="B6279" i="22"/>
  <c r="B6280" i="22"/>
  <c r="B6281" i="22"/>
  <c r="B6282" i="22"/>
  <c r="B6283" i="22"/>
  <c r="B6284" i="22"/>
  <c r="B6285" i="22"/>
  <c r="B6286" i="22"/>
  <c r="B6287" i="22"/>
  <c r="B6288" i="22"/>
  <c r="B6289" i="22"/>
  <c r="B6290" i="22"/>
  <c r="B6291" i="22"/>
  <c r="B6292" i="22"/>
  <c r="B6293" i="22"/>
  <c r="B6294" i="22"/>
  <c r="B6295" i="22"/>
  <c r="B6296" i="22"/>
  <c r="B6297" i="22"/>
  <c r="B6298" i="22"/>
  <c r="B6299" i="22"/>
  <c r="B6300" i="22"/>
  <c r="B6301" i="22"/>
  <c r="B6302" i="22"/>
  <c r="B6303" i="22"/>
  <c r="B6304" i="22"/>
  <c r="B6305" i="22"/>
  <c r="B6306" i="22"/>
  <c r="B6307" i="22"/>
  <c r="B6308" i="22"/>
  <c r="B6309" i="22"/>
  <c r="B6310" i="22"/>
  <c r="B6311" i="22"/>
  <c r="B6312" i="22"/>
  <c r="B6313" i="22"/>
  <c r="B6314" i="22"/>
  <c r="B6315" i="22"/>
  <c r="B6316" i="22"/>
  <c r="B6317" i="22"/>
  <c r="B6318" i="22"/>
  <c r="B6319" i="22"/>
  <c r="B6320" i="22"/>
  <c r="B6321" i="22"/>
  <c r="B6322" i="22"/>
  <c r="B6323" i="22"/>
  <c r="B6324" i="22"/>
  <c r="B6325" i="22"/>
  <c r="B6326" i="22"/>
  <c r="B6327" i="22"/>
  <c r="B6328" i="22"/>
  <c r="B6329" i="22"/>
  <c r="B6330" i="22"/>
  <c r="B6331" i="22"/>
  <c r="B6332" i="22"/>
  <c r="B6333" i="22"/>
  <c r="B6334" i="22"/>
  <c r="B6335" i="22"/>
  <c r="B6336" i="22"/>
  <c r="B6337" i="22"/>
  <c r="B6338" i="22"/>
  <c r="B6339" i="22"/>
  <c r="B6340" i="22"/>
  <c r="B6341" i="22"/>
  <c r="B6342" i="22"/>
  <c r="B6343" i="22"/>
  <c r="B6344" i="22"/>
  <c r="B6345" i="22"/>
  <c r="B6346" i="22"/>
  <c r="B6347" i="22"/>
  <c r="B6348" i="22"/>
  <c r="B6349" i="22"/>
  <c r="B6350" i="22"/>
  <c r="B6351" i="22"/>
  <c r="B6352" i="22"/>
  <c r="B6353" i="22"/>
  <c r="B6354" i="22"/>
  <c r="B6355" i="22"/>
  <c r="B6356" i="22"/>
  <c r="B6357" i="22"/>
  <c r="B6358" i="22"/>
  <c r="B6359" i="22"/>
  <c r="B6360" i="22"/>
  <c r="B6361" i="22"/>
  <c r="B6362" i="22"/>
  <c r="B6363" i="22"/>
  <c r="B6364" i="22"/>
  <c r="B6365" i="22"/>
  <c r="B6366" i="22"/>
  <c r="B6367" i="22"/>
  <c r="B6368" i="22"/>
  <c r="B6369" i="22"/>
  <c r="B6370" i="22"/>
  <c r="B6371" i="22"/>
  <c r="B6372" i="22"/>
  <c r="B6373" i="22"/>
  <c r="B6374" i="22"/>
  <c r="B6375" i="22"/>
  <c r="B6376" i="22"/>
  <c r="B6377" i="22"/>
  <c r="B6378" i="22"/>
  <c r="B6379" i="22"/>
  <c r="B6380" i="22"/>
  <c r="B6381" i="22"/>
  <c r="B6382" i="22"/>
  <c r="B6383" i="22"/>
  <c r="B6384" i="22"/>
  <c r="B6385" i="22"/>
  <c r="B6386" i="22"/>
  <c r="B6387" i="22"/>
  <c r="B6388" i="22"/>
  <c r="B6389" i="22"/>
  <c r="B6390" i="22"/>
  <c r="B6391" i="22"/>
  <c r="B6392" i="22"/>
  <c r="B6393" i="22"/>
  <c r="B6394" i="22"/>
  <c r="B6395" i="22"/>
  <c r="B6396" i="22"/>
  <c r="B6397" i="22"/>
  <c r="B6398" i="22"/>
  <c r="B6399" i="22"/>
  <c r="B6400" i="22"/>
  <c r="B6401" i="22"/>
  <c r="B6402" i="22"/>
  <c r="B6403" i="22"/>
  <c r="B6404" i="22"/>
  <c r="B6405" i="22"/>
  <c r="B6406" i="22"/>
  <c r="B6407" i="22"/>
  <c r="B6408" i="22"/>
  <c r="B6409" i="22"/>
  <c r="B6410" i="22"/>
  <c r="B6411" i="22"/>
  <c r="B6412" i="22"/>
  <c r="B6413" i="22"/>
  <c r="B6414" i="22"/>
  <c r="B6415" i="22"/>
  <c r="B6416" i="22"/>
  <c r="B6417" i="22"/>
  <c r="B6418" i="22"/>
  <c r="B6419" i="22"/>
  <c r="B6420" i="22"/>
  <c r="B6421" i="22"/>
  <c r="B6422" i="22"/>
  <c r="B6423" i="22"/>
  <c r="B6424" i="22"/>
  <c r="B6425" i="22"/>
  <c r="B6426" i="22"/>
  <c r="B6427" i="22"/>
  <c r="B6428" i="22"/>
  <c r="B6429" i="22"/>
  <c r="B6430" i="22"/>
  <c r="B6431" i="22"/>
  <c r="B6432" i="22"/>
  <c r="B6433" i="22"/>
  <c r="B6434" i="22"/>
  <c r="B6435" i="22"/>
  <c r="B6436" i="22"/>
  <c r="B6437" i="22"/>
  <c r="B6438" i="22"/>
  <c r="B6439" i="22"/>
  <c r="B6440" i="22"/>
  <c r="B6441" i="22"/>
  <c r="B6442" i="22"/>
  <c r="B6443" i="22"/>
  <c r="B6444" i="22"/>
  <c r="B6445" i="22"/>
  <c r="B6446" i="22"/>
  <c r="B6447" i="22"/>
  <c r="B6448" i="22"/>
  <c r="B6449" i="22"/>
  <c r="B6450" i="22"/>
  <c r="B6451" i="22"/>
  <c r="B6452" i="22"/>
  <c r="B6453" i="22"/>
  <c r="B6454" i="22"/>
  <c r="B6455" i="22"/>
  <c r="B6456" i="22"/>
  <c r="B6457" i="22"/>
  <c r="B6458" i="22"/>
  <c r="B6459" i="22"/>
  <c r="B6460" i="22"/>
  <c r="B6461" i="22"/>
  <c r="B6462" i="22"/>
  <c r="B6463" i="22"/>
  <c r="B6464" i="22"/>
  <c r="B6465" i="22"/>
  <c r="B6466" i="22"/>
  <c r="B6467" i="22"/>
  <c r="B6468" i="22"/>
  <c r="B6469" i="22"/>
  <c r="B6470" i="22"/>
  <c r="B6471" i="22"/>
  <c r="B6472" i="22"/>
  <c r="B6473" i="22"/>
  <c r="B6474" i="22"/>
  <c r="B6475" i="22"/>
  <c r="B6476" i="22"/>
  <c r="B6477" i="22"/>
  <c r="B6478" i="22"/>
  <c r="B6479" i="22"/>
  <c r="B6480" i="22"/>
  <c r="B6481" i="22"/>
  <c r="B6482" i="22"/>
  <c r="B6483" i="22"/>
  <c r="B6484" i="22"/>
  <c r="B6485" i="22"/>
  <c r="B6486" i="22"/>
  <c r="B6487" i="22"/>
  <c r="B6488" i="22"/>
  <c r="B6489" i="22"/>
  <c r="B6490" i="22"/>
  <c r="B6491" i="22"/>
  <c r="B6492" i="22"/>
  <c r="B6493" i="22"/>
  <c r="B6494" i="22"/>
  <c r="B6495" i="22"/>
  <c r="B6496" i="22"/>
  <c r="B6497" i="22"/>
  <c r="B6498" i="22"/>
  <c r="B6499" i="22"/>
  <c r="B6500" i="22"/>
  <c r="B6501" i="22"/>
  <c r="B6502" i="22"/>
  <c r="B6503" i="22"/>
  <c r="B6504" i="22"/>
  <c r="B6505" i="22"/>
  <c r="B6506" i="22"/>
  <c r="B6507" i="22"/>
  <c r="B6508" i="22"/>
  <c r="B6509" i="22"/>
  <c r="B6510" i="22"/>
  <c r="B6511" i="22"/>
  <c r="B6512" i="22"/>
  <c r="B6513" i="22"/>
  <c r="B6514" i="22"/>
  <c r="B6515" i="22"/>
  <c r="B6516" i="22"/>
  <c r="B6517" i="22"/>
  <c r="B6518" i="22"/>
  <c r="B6519" i="22"/>
  <c r="B6520" i="22"/>
  <c r="B6521" i="22"/>
  <c r="B6522" i="22"/>
  <c r="B6523" i="22"/>
  <c r="B6524" i="22"/>
  <c r="B6525" i="22"/>
  <c r="B6526" i="22"/>
  <c r="B6527" i="22"/>
  <c r="B6528" i="22"/>
  <c r="B6529" i="22"/>
  <c r="B6530" i="22"/>
  <c r="B6531" i="22"/>
  <c r="B6532" i="22"/>
  <c r="B6533" i="22"/>
  <c r="B6534" i="22"/>
  <c r="B6535" i="22"/>
  <c r="B6536" i="22"/>
  <c r="B6537" i="22"/>
  <c r="B6538" i="22"/>
  <c r="B6539" i="22"/>
  <c r="B6540" i="22"/>
  <c r="B6541" i="22"/>
  <c r="B6542" i="22"/>
  <c r="B6543" i="22"/>
  <c r="B6544" i="22"/>
  <c r="B6545" i="22"/>
  <c r="B6546" i="22"/>
  <c r="B6547" i="22"/>
  <c r="B6548" i="22"/>
  <c r="B6549" i="22"/>
  <c r="B6550" i="22"/>
  <c r="B6551" i="22"/>
  <c r="B6552" i="22"/>
  <c r="B6553" i="22"/>
  <c r="B6554" i="22"/>
  <c r="B6555" i="22"/>
  <c r="B6556" i="22"/>
  <c r="B6557" i="22"/>
  <c r="B6558" i="22"/>
  <c r="B6559" i="22"/>
  <c r="B6560" i="22"/>
  <c r="B6561" i="22"/>
  <c r="B6562" i="22"/>
  <c r="B6563" i="22"/>
  <c r="B6564" i="22"/>
  <c r="B6565" i="22"/>
  <c r="B6566" i="22"/>
  <c r="B6567" i="22"/>
  <c r="B6568" i="22"/>
  <c r="B6569" i="22"/>
  <c r="B6570" i="22"/>
  <c r="B6571" i="22"/>
  <c r="B6572" i="22"/>
  <c r="B6573" i="22"/>
  <c r="B6574" i="22"/>
  <c r="B6575" i="22"/>
  <c r="B6576" i="22"/>
  <c r="B6577" i="22"/>
  <c r="B6578" i="22"/>
  <c r="B6579" i="22"/>
  <c r="B6580" i="22"/>
  <c r="B6581" i="22"/>
  <c r="B6582" i="22"/>
  <c r="B6583" i="22"/>
  <c r="B6584" i="22"/>
  <c r="B6585" i="22"/>
  <c r="B6586" i="22"/>
  <c r="B6587" i="22"/>
  <c r="B6588" i="22"/>
  <c r="B6589" i="22"/>
  <c r="B6590" i="22"/>
  <c r="B6591" i="22"/>
  <c r="B6592" i="22"/>
  <c r="B6593" i="22"/>
  <c r="B6594" i="22"/>
  <c r="B6595" i="22"/>
  <c r="B6596" i="22"/>
  <c r="B6597" i="22"/>
  <c r="B6598" i="22"/>
  <c r="B6599" i="22"/>
  <c r="B6600" i="22"/>
  <c r="B6601" i="22"/>
  <c r="B6602" i="22"/>
  <c r="B6603" i="22"/>
  <c r="B6604" i="22"/>
  <c r="B6605" i="22"/>
  <c r="B6606" i="22"/>
  <c r="B6607" i="22"/>
  <c r="B6608" i="22"/>
  <c r="B6609" i="22"/>
  <c r="B6610" i="22"/>
  <c r="B6611" i="22"/>
  <c r="B6612" i="22"/>
  <c r="B6613" i="22"/>
  <c r="B6614" i="22"/>
  <c r="B6615" i="22"/>
  <c r="B6616" i="22"/>
  <c r="B6617" i="22"/>
  <c r="B6618" i="22"/>
  <c r="B6619" i="22"/>
  <c r="B6620" i="22"/>
  <c r="B6621" i="22"/>
  <c r="B6622" i="22"/>
  <c r="B6623" i="22"/>
  <c r="B6624" i="22"/>
  <c r="B6625" i="22"/>
  <c r="B6626" i="22"/>
  <c r="B6627" i="22"/>
  <c r="B6628" i="22"/>
  <c r="B6629" i="22"/>
  <c r="B6630" i="22"/>
  <c r="B6631" i="22"/>
  <c r="B6632" i="22"/>
  <c r="B6633" i="22"/>
  <c r="B6634" i="22"/>
  <c r="B6635" i="22"/>
  <c r="B6636" i="22"/>
  <c r="B6637" i="22"/>
  <c r="B6638" i="22"/>
  <c r="B6639" i="22"/>
  <c r="B6640" i="22"/>
  <c r="B6641" i="22"/>
  <c r="B6642" i="22"/>
  <c r="B6643" i="22"/>
  <c r="B6644" i="22"/>
  <c r="B6645" i="22"/>
  <c r="B6646" i="22"/>
  <c r="B6647" i="22"/>
  <c r="B6648" i="22"/>
  <c r="B6649" i="22"/>
  <c r="B6650" i="22"/>
  <c r="B6651" i="22"/>
  <c r="B6652" i="22"/>
  <c r="B6653" i="22"/>
  <c r="B6654" i="22"/>
  <c r="B6655" i="22"/>
  <c r="B6656" i="22"/>
  <c r="B6657" i="22"/>
  <c r="B6658" i="22"/>
  <c r="B6659" i="22"/>
  <c r="B6660" i="22"/>
  <c r="B6661" i="22"/>
  <c r="B6662" i="22"/>
  <c r="B6663" i="22"/>
  <c r="B6664" i="22"/>
  <c r="B6665" i="22"/>
  <c r="B6666" i="22"/>
  <c r="B6667" i="22"/>
  <c r="B6668" i="22"/>
  <c r="B6669" i="22"/>
  <c r="B6670" i="22"/>
  <c r="B6671" i="22"/>
  <c r="B6672" i="22"/>
  <c r="B6673" i="22"/>
  <c r="B6674" i="22"/>
  <c r="B6675" i="22"/>
  <c r="B6676" i="22"/>
  <c r="B6677" i="22"/>
  <c r="B6678" i="22"/>
  <c r="B6679" i="22"/>
  <c r="B6680" i="22"/>
  <c r="B6681" i="22"/>
  <c r="B6682" i="22"/>
  <c r="B6683" i="22"/>
  <c r="B6684" i="22"/>
  <c r="B6685" i="22"/>
  <c r="B6686" i="22"/>
  <c r="B6687" i="22"/>
  <c r="B6688" i="22"/>
  <c r="B6689" i="22"/>
  <c r="B6690" i="22"/>
  <c r="B6691" i="22"/>
  <c r="B6692" i="22"/>
  <c r="B6693" i="22"/>
  <c r="B6694" i="22"/>
  <c r="B6695" i="22"/>
  <c r="B6696" i="22"/>
  <c r="B6697" i="22"/>
  <c r="B6698" i="22"/>
  <c r="B6699" i="22"/>
  <c r="B6700" i="22"/>
  <c r="B6701" i="22"/>
  <c r="B6702" i="22"/>
  <c r="B6703" i="22"/>
  <c r="B6704" i="22"/>
  <c r="B6705" i="22"/>
  <c r="B6706" i="22"/>
  <c r="B6707" i="22"/>
  <c r="B6708" i="22"/>
  <c r="B6709" i="22"/>
  <c r="B6710" i="22"/>
  <c r="B6711" i="22"/>
  <c r="B6712" i="22"/>
  <c r="B6713" i="22"/>
  <c r="B6714" i="22"/>
  <c r="B6715" i="22"/>
  <c r="B6716" i="22"/>
  <c r="B6717" i="22"/>
  <c r="B6718" i="22"/>
  <c r="B6719" i="22"/>
  <c r="B6720" i="22"/>
  <c r="B6721" i="22"/>
  <c r="B6722" i="22"/>
  <c r="B6723" i="22"/>
  <c r="B6724" i="22"/>
  <c r="B6725" i="22"/>
  <c r="B6726" i="22"/>
  <c r="B6727" i="22"/>
  <c r="B6728" i="22"/>
  <c r="B6729" i="22"/>
  <c r="B6730" i="22"/>
  <c r="B6731" i="22"/>
  <c r="B6732" i="22"/>
  <c r="B6733" i="22"/>
  <c r="B6734" i="22"/>
  <c r="B6735" i="22"/>
  <c r="B6736" i="22"/>
  <c r="B6737" i="22"/>
  <c r="B6738" i="22"/>
  <c r="B6739" i="22"/>
  <c r="B6740" i="22"/>
  <c r="B6741" i="22"/>
  <c r="B6742" i="22"/>
  <c r="B6743" i="22"/>
  <c r="B6744" i="22"/>
  <c r="B6745" i="22"/>
  <c r="B6746" i="22"/>
  <c r="B6747" i="22"/>
  <c r="B6748" i="22"/>
  <c r="B6749" i="22"/>
  <c r="B6750" i="22"/>
  <c r="B6751" i="22"/>
  <c r="B6752" i="22"/>
  <c r="B6753" i="22"/>
  <c r="B6754" i="22"/>
  <c r="B6755" i="22"/>
  <c r="B6756" i="22"/>
  <c r="B6757" i="22"/>
  <c r="B6758" i="22"/>
  <c r="B6759" i="22"/>
  <c r="B6760" i="22"/>
  <c r="B6761" i="22"/>
  <c r="B6762" i="22"/>
  <c r="B6763" i="22"/>
  <c r="B6764" i="22"/>
  <c r="B6765" i="22"/>
  <c r="B6766" i="22"/>
  <c r="B6767" i="22"/>
  <c r="B6768" i="22"/>
  <c r="B6769" i="22"/>
  <c r="B6770" i="22"/>
  <c r="B6771" i="22"/>
  <c r="B6772" i="22"/>
  <c r="B6773" i="22"/>
  <c r="B6774" i="22"/>
  <c r="B6775" i="22"/>
  <c r="B6776" i="22"/>
  <c r="B6777" i="22"/>
  <c r="B6778" i="22"/>
  <c r="B6779" i="22"/>
  <c r="B6780" i="22"/>
  <c r="B6781" i="22"/>
  <c r="B6782" i="22"/>
  <c r="B6783" i="22"/>
  <c r="B6784" i="22"/>
  <c r="B6785" i="22"/>
  <c r="B6786" i="22"/>
  <c r="B6787" i="22"/>
  <c r="B6788" i="22"/>
  <c r="B6789" i="22"/>
  <c r="B6790" i="22"/>
  <c r="B6791" i="22"/>
  <c r="B6792" i="22"/>
  <c r="B6793" i="22"/>
  <c r="B6794" i="22"/>
  <c r="B6795" i="22"/>
  <c r="B6796" i="22"/>
  <c r="B6797" i="22"/>
  <c r="B6798" i="22"/>
  <c r="B6799" i="22"/>
  <c r="B6800" i="22"/>
  <c r="B6801" i="22"/>
  <c r="B6802" i="22"/>
  <c r="B6803" i="22"/>
  <c r="B6804" i="22"/>
  <c r="B6805" i="22"/>
  <c r="B6806" i="22"/>
  <c r="B6807" i="22"/>
  <c r="B6808" i="22"/>
  <c r="B6809" i="22"/>
  <c r="B6810" i="22"/>
  <c r="B6811" i="22"/>
  <c r="B6812" i="22"/>
  <c r="B6813" i="22"/>
  <c r="B6814" i="22"/>
  <c r="B6815" i="22"/>
  <c r="B6816" i="22"/>
  <c r="B6817" i="22"/>
  <c r="B6818" i="22"/>
  <c r="B6819" i="22"/>
  <c r="B6820" i="22"/>
  <c r="B6821" i="22"/>
  <c r="B6822" i="22"/>
  <c r="B6823" i="22"/>
  <c r="B6824" i="22"/>
  <c r="B6825" i="22"/>
  <c r="B6826" i="22"/>
  <c r="B6827" i="22"/>
  <c r="B6828" i="22"/>
  <c r="B6829" i="22"/>
  <c r="B6830" i="22"/>
  <c r="B6831" i="22"/>
  <c r="B6832" i="22"/>
  <c r="B6833" i="22"/>
  <c r="B6834" i="22"/>
  <c r="B6835" i="22"/>
  <c r="B6836" i="22"/>
  <c r="B6837" i="22"/>
  <c r="B6838" i="22"/>
  <c r="B6839" i="22"/>
  <c r="B6840" i="22"/>
  <c r="B6841" i="22"/>
  <c r="B6842" i="22"/>
  <c r="B6843" i="22"/>
  <c r="B6844" i="22"/>
  <c r="B6845" i="22"/>
  <c r="B6846" i="22"/>
  <c r="B6847" i="22"/>
  <c r="B6848" i="22"/>
  <c r="B6849" i="22"/>
  <c r="B6850" i="22"/>
  <c r="B6851" i="22"/>
  <c r="B6852" i="22"/>
  <c r="B6853" i="22"/>
  <c r="B6854" i="22"/>
  <c r="B6855" i="22"/>
  <c r="B6856" i="22"/>
  <c r="B6857" i="22"/>
  <c r="B6858" i="22"/>
  <c r="B6859" i="22"/>
  <c r="B6860" i="22"/>
  <c r="B6861" i="22"/>
  <c r="B6862" i="22"/>
  <c r="B6863" i="22"/>
  <c r="B6864" i="22"/>
  <c r="B6865" i="22"/>
  <c r="B6866" i="22"/>
  <c r="B6867" i="22"/>
  <c r="B6868" i="22"/>
  <c r="B6869" i="22"/>
  <c r="B6870" i="22"/>
  <c r="B6871" i="22"/>
  <c r="B6872" i="22"/>
  <c r="B6873" i="22"/>
  <c r="B6874" i="22"/>
  <c r="B6875" i="22"/>
  <c r="B6876" i="22"/>
  <c r="B6877" i="22"/>
  <c r="B6878" i="22"/>
  <c r="B6879" i="22"/>
  <c r="B6880" i="22"/>
  <c r="B6881" i="22"/>
  <c r="B6882" i="22"/>
  <c r="B6883" i="22"/>
  <c r="B6884" i="22"/>
  <c r="B6885" i="22"/>
  <c r="B6886" i="22"/>
  <c r="B6887" i="22"/>
  <c r="B6888" i="22"/>
  <c r="B6889" i="22"/>
  <c r="B6890" i="22"/>
  <c r="B6891" i="22"/>
  <c r="B6892" i="22"/>
  <c r="B6893" i="22"/>
  <c r="B6894" i="22"/>
  <c r="B6895" i="22"/>
  <c r="B6896" i="22"/>
  <c r="B6897" i="22"/>
  <c r="B6898" i="22"/>
  <c r="B6899" i="22"/>
  <c r="B6900" i="22"/>
  <c r="B6901" i="22"/>
  <c r="B6902" i="22"/>
  <c r="B6903" i="22"/>
  <c r="B6904" i="22"/>
  <c r="B6905" i="22"/>
  <c r="B6906" i="22"/>
  <c r="B6907" i="22"/>
  <c r="B6908" i="22"/>
  <c r="B6909" i="22"/>
  <c r="B6910" i="22"/>
  <c r="B6911" i="22"/>
  <c r="B6912" i="22"/>
  <c r="B6913" i="22"/>
  <c r="B6914" i="22"/>
  <c r="B6915" i="22"/>
  <c r="B6916" i="22"/>
  <c r="B6917" i="22"/>
  <c r="B6918" i="22"/>
  <c r="B6919" i="22"/>
  <c r="B6920" i="22"/>
  <c r="B6921" i="22"/>
  <c r="B6922" i="22"/>
  <c r="B6923" i="22"/>
  <c r="B6924" i="22"/>
  <c r="B6925" i="22"/>
  <c r="B6926" i="22"/>
  <c r="B6927" i="22"/>
  <c r="B6928" i="22"/>
  <c r="B6929" i="22"/>
  <c r="B6930" i="22"/>
  <c r="B6931" i="22"/>
  <c r="B6932" i="22"/>
  <c r="B6933" i="22"/>
  <c r="B6934" i="22"/>
  <c r="B6935" i="22"/>
  <c r="B6936" i="22"/>
  <c r="B6937" i="22"/>
  <c r="B6938" i="22"/>
  <c r="B6939" i="22"/>
  <c r="B6940" i="22"/>
  <c r="B6941" i="22"/>
  <c r="B6942" i="22"/>
  <c r="A6943" i="22"/>
  <c r="A6944" i="22" s="1"/>
  <c r="D7307" i="22"/>
  <c r="D7308" i="22"/>
  <c r="D7309" i="22" s="1"/>
  <c r="D7310" i="22" s="1"/>
  <c r="D7311" i="22" s="1"/>
  <c r="D7312" i="22" s="1"/>
  <c r="D7313" i="22" s="1"/>
  <c r="D7314" i="22" s="1"/>
  <c r="D7315" i="22" s="1"/>
  <c r="D7316" i="22" s="1"/>
  <c r="D7317" i="22" s="1"/>
  <c r="D7318" i="22" s="1"/>
  <c r="D7319" i="22" s="1"/>
  <c r="D7320" i="22" s="1"/>
  <c r="D7321" i="22" s="1"/>
  <c r="D7322" i="22" s="1"/>
  <c r="D7323" i="22" s="1"/>
  <c r="D7324" i="22" s="1"/>
  <c r="D7325" i="22" s="1"/>
  <c r="D7326" i="22" s="1"/>
  <c r="D7327" i="22" s="1"/>
  <c r="D7328" i="22" s="1"/>
  <c r="D7329" i="22" s="1"/>
  <c r="D7330" i="22" s="1"/>
  <c r="D7331" i="22" s="1"/>
  <c r="D7332" i="22" s="1"/>
  <c r="D7333" i="22" s="1"/>
  <c r="D7334" i="22" s="1"/>
  <c r="D7335" i="22" s="1"/>
  <c r="D7336" i="22" s="1"/>
  <c r="D7337" i="22" s="1"/>
  <c r="D7338" i="22" s="1"/>
  <c r="D7339" i="22" s="1"/>
  <c r="D7340" i="22" s="1"/>
  <c r="D7341" i="22" s="1"/>
  <c r="D7342" i="22" s="1"/>
  <c r="D7343" i="22" s="1"/>
  <c r="D7344" i="22" s="1"/>
  <c r="D7345" i="22" s="1"/>
  <c r="D7346" i="22" s="1"/>
  <c r="D7347" i="22" s="1"/>
  <c r="D7348" i="22" s="1"/>
  <c r="D7349" i="22" s="1"/>
  <c r="D7350" i="22" s="1"/>
  <c r="D7351" i="22" s="1"/>
  <c r="D7352" i="22" s="1"/>
  <c r="D7353" i="22" s="1"/>
  <c r="D7354" i="22" s="1"/>
  <c r="D7355" i="22" s="1"/>
  <c r="D7356" i="22" s="1"/>
  <c r="D7357" i="22" s="1"/>
  <c r="D7358" i="22" s="1"/>
  <c r="D7359" i="22" s="1"/>
  <c r="D7360" i="22" s="1"/>
  <c r="D7361" i="22" s="1"/>
  <c r="D7362" i="22" s="1"/>
  <c r="D7363" i="22" s="1"/>
  <c r="D7364" i="22" s="1"/>
  <c r="D7365" i="22" s="1"/>
  <c r="D7366" i="22" s="1"/>
  <c r="D7367" i="22" s="1"/>
  <c r="D7368" i="22" s="1"/>
  <c r="D7369" i="22" s="1"/>
  <c r="D7370" i="22" s="1"/>
  <c r="D7371" i="22" s="1"/>
  <c r="D7372" i="22" s="1"/>
  <c r="D7373" i="22" s="1"/>
  <c r="D7374" i="22" s="1"/>
  <c r="D7375" i="22" s="1"/>
  <c r="D7376" i="22" s="1"/>
  <c r="D7377" i="22" s="1"/>
  <c r="D7378" i="22" s="1"/>
  <c r="D7379" i="22" s="1"/>
  <c r="D7380" i="22" s="1"/>
  <c r="D7381" i="22" s="1"/>
  <c r="D7382" i="22" s="1"/>
  <c r="D7383" i="22" s="1"/>
  <c r="D7384" i="22" s="1"/>
  <c r="D7385" i="22" s="1"/>
  <c r="D7386" i="22" s="1"/>
  <c r="D7387" i="22" s="1"/>
  <c r="D7388" i="22" s="1"/>
  <c r="D7389" i="22" s="1"/>
  <c r="D7390" i="22" s="1"/>
  <c r="D7391" i="22" s="1"/>
  <c r="D7392" i="22" s="1"/>
  <c r="D7393" i="22" s="1"/>
  <c r="D7394" i="22" s="1"/>
  <c r="D7395" i="22" s="1"/>
  <c r="D7396" i="22" s="1"/>
  <c r="D7397" i="22" s="1"/>
  <c r="D7398" i="22" s="1"/>
  <c r="D7399" i="22" s="1"/>
  <c r="D7400" i="22" s="1"/>
  <c r="D7401" i="22" s="1"/>
  <c r="D7402" i="22" s="1"/>
  <c r="D7403" i="22" s="1"/>
  <c r="D7404" i="22" s="1"/>
  <c r="D7405" i="22" s="1"/>
  <c r="D7406" i="22" s="1"/>
  <c r="D7407" i="22" s="1"/>
  <c r="D7408" i="22" s="1"/>
  <c r="D7409" i="22" s="1"/>
  <c r="D7410" i="22" s="1"/>
  <c r="D7411" i="22" s="1"/>
  <c r="D7412" i="22" s="1"/>
  <c r="D7413" i="22" s="1"/>
  <c r="D7414" i="22" s="1"/>
  <c r="D7415" i="22" s="1"/>
  <c r="D7416" i="22" s="1"/>
  <c r="D7417" i="22" s="1"/>
  <c r="D7418" i="22" s="1"/>
  <c r="D7419" i="22" s="1"/>
  <c r="D7420" i="22" s="1"/>
  <c r="D7421" i="22" s="1"/>
  <c r="D7422" i="22" s="1"/>
  <c r="D7423" i="22" s="1"/>
  <c r="D7424" i="22" s="1"/>
  <c r="D7425" i="22" s="1"/>
  <c r="D7426" i="22" s="1"/>
  <c r="D7427" i="22" s="1"/>
  <c r="D7428" i="22" s="1"/>
  <c r="D7429" i="22" s="1"/>
  <c r="D7430" i="22" s="1"/>
  <c r="D7431" i="22" s="1"/>
  <c r="D7432" i="22" s="1"/>
  <c r="D7433" i="22" s="1"/>
  <c r="D7434" i="22" s="1"/>
  <c r="D7435" i="22" s="1"/>
  <c r="D7436" i="22" s="1"/>
  <c r="D7437" i="22" s="1"/>
  <c r="D7438" i="22" s="1"/>
  <c r="D7439" i="22" s="1"/>
  <c r="D7440" i="22" s="1"/>
  <c r="D7441" i="22" s="1"/>
  <c r="D7442" i="22" s="1"/>
  <c r="D7443" i="22" s="1"/>
  <c r="D7444" i="22" s="1"/>
  <c r="D7445" i="22" s="1"/>
  <c r="D7446" i="22" s="1"/>
  <c r="D7447" i="22" s="1"/>
  <c r="D7448" i="22" s="1"/>
  <c r="D7449" i="22" s="1"/>
  <c r="D7450" i="22" s="1"/>
  <c r="D7451" i="22" s="1"/>
  <c r="D7452" i="22" s="1"/>
  <c r="D7453" i="22" s="1"/>
  <c r="D7454" i="22" s="1"/>
  <c r="D7455" i="22" s="1"/>
  <c r="D7456" i="22" s="1"/>
  <c r="D7457" i="22" s="1"/>
  <c r="D7458" i="22" s="1"/>
  <c r="D7459" i="22" s="1"/>
  <c r="D7460" i="22" s="1"/>
  <c r="D7461" i="22" s="1"/>
  <c r="D7462" i="22" s="1"/>
  <c r="D7463" i="22" s="1"/>
  <c r="D7464" i="22" s="1"/>
  <c r="D7465" i="22" s="1"/>
  <c r="D7466" i="22" s="1"/>
  <c r="D7467" i="22" s="1"/>
  <c r="D7468" i="22" s="1"/>
  <c r="D7469" i="22" s="1"/>
  <c r="D7470" i="22" s="1"/>
  <c r="D7471" i="22" s="1"/>
  <c r="D7472" i="22" s="1"/>
  <c r="D7473" i="22" s="1"/>
  <c r="D7474" i="22" s="1"/>
  <c r="D7475" i="22" s="1"/>
  <c r="D7476" i="22" s="1"/>
  <c r="D7477" i="22" s="1"/>
  <c r="D7478" i="22" s="1"/>
  <c r="D7479" i="22" s="1"/>
  <c r="D7480" i="22" s="1"/>
  <c r="D7481" i="22" s="1"/>
  <c r="D7482" i="22" s="1"/>
  <c r="D7483" i="22" s="1"/>
  <c r="D7484" i="22" s="1"/>
  <c r="D7485" i="22" s="1"/>
  <c r="D7486" i="22" s="1"/>
  <c r="D7487" i="22" s="1"/>
  <c r="D7488" i="22" s="1"/>
  <c r="D7489" i="22" s="1"/>
  <c r="D7490" i="22" s="1"/>
  <c r="D7491" i="22" s="1"/>
  <c r="D7492" i="22" s="1"/>
  <c r="D7493" i="22" s="1"/>
  <c r="D7494" i="22" s="1"/>
  <c r="D7495" i="22" s="1"/>
  <c r="D7496" i="22" s="1"/>
  <c r="D7497" i="22" s="1"/>
  <c r="D7498" i="22" s="1"/>
  <c r="D7499" i="22" s="1"/>
  <c r="D7500" i="22" s="1"/>
  <c r="D7501" i="22" s="1"/>
  <c r="D7502" i="22" s="1"/>
  <c r="D7503" i="22" s="1"/>
  <c r="D7504" i="22" s="1"/>
  <c r="D7505" i="22" s="1"/>
  <c r="D7506" i="22" s="1"/>
  <c r="D7507" i="22" s="1"/>
  <c r="D7508" i="22" s="1"/>
  <c r="D7509" i="22" s="1"/>
  <c r="D7510" i="22" s="1"/>
  <c r="D7511" i="22" s="1"/>
  <c r="D7512" i="22" s="1"/>
  <c r="D7513" i="22" s="1"/>
  <c r="D7514" i="22" s="1"/>
  <c r="D7515" i="22" s="1"/>
  <c r="D7516" i="22" s="1"/>
  <c r="D7517" i="22" s="1"/>
  <c r="D7518" i="22" s="1"/>
  <c r="D7519" i="22" s="1"/>
  <c r="D7520" i="22" s="1"/>
  <c r="D7521" i="22" s="1"/>
  <c r="D7522" i="22" s="1"/>
  <c r="D7523" i="22" s="1"/>
  <c r="D7524" i="22" s="1"/>
  <c r="D7525" i="22" s="1"/>
  <c r="D7526" i="22" s="1"/>
  <c r="D7527" i="22" s="1"/>
  <c r="D7528" i="22" s="1"/>
  <c r="D7529" i="22" s="1"/>
  <c r="D7530" i="22" s="1"/>
  <c r="D7531" i="22" s="1"/>
  <c r="D7532" i="22" s="1"/>
  <c r="D7533" i="22" s="1"/>
  <c r="D7534" i="22" s="1"/>
  <c r="D7535" i="22" s="1"/>
  <c r="D7536" i="22" s="1"/>
  <c r="D7537" i="22" s="1"/>
  <c r="D7538" i="22" s="1"/>
  <c r="D7539" i="22" s="1"/>
  <c r="D7540" i="22" s="1"/>
  <c r="D7541" i="22" s="1"/>
  <c r="D7542" i="22" s="1"/>
  <c r="D7543" i="22" s="1"/>
  <c r="D7544" i="22" s="1"/>
  <c r="D7545" i="22" s="1"/>
  <c r="D7546" i="22" s="1"/>
  <c r="D7547" i="22" s="1"/>
  <c r="D7548" i="22" s="1"/>
  <c r="D7549" i="22" s="1"/>
  <c r="D7550" i="22" s="1"/>
  <c r="D7551" i="22" s="1"/>
  <c r="D7552" i="22" s="1"/>
  <c r="D7553" i="22" s="1"/>
  <c r="D7554" i="22" s="1"/>
  <c r="D7555" i="22" s="1"/>
  <c r="D7556" i="22" s="1"/>
  <c r="D7557" i="22" s="1"/>
  <c r="D7558" i="22" s="1"/>
  <c r="D7559" i="22" s="1"/>
  <c r="D7560" i="22" s="1"/>
  <c r="D7561" i="22" s="1"/>
  <c r="D7562" i="22" s="1"/>
  <c r="D7563" i="22" s="1"/>
  <c r="D7564" i="22" s="1"/>
  <c r="D7565" i="22" s="1"/>
  <c r="D7566" i="22" s="1"/>
  <c r="D7567" i="22" s="1"/>
  <c r="D7568" i="22" s="1"/>
  <c r="D7569" i="22" s="1"/>
  <c r="D7570" i="22" s="1"/>
  <c r="D7571" i="22" s="1"/>
  <c r="D7572" i="22" s="1"/>
  <c r="D7573" i="22" s="1"/>
  <c r="D7574" i="22" s="1"/>
  <c r="D7575" i="22" s="1"/>
  <c r="D7576" i="22" s="1"/>
  <c r="D7577" i="22" s="1"/>
  <c r="D7578" i="22" s="1"/>
  <c r="D7579" i="22" s="1"/>
  <c r="D7580" i="22" s="1"/>
  <c r="D7581" i="22" s="1"/>
  <c r="D7582" i="22" s="1"/>
  <c r="D7583" i="22" s="1"/>
  <c r="D7584" i="22" s="1"/>
  <c r="D7585" i="22" s="1"/>
  <c r="D7586" i="22" s="1"/>
  <c r="D7587" i="22" s="1"/>
  <c r="D7588" i="22" s="1"/>
  <c r="D7589" i="22" s="1"/>
  <c r="D7590" i="22" s="1"/>
  <c r="D7591" i="22" s="1"/>
  <c r="D7592" i="22" s="1"/>
  <c r="D7593" i="22" s="1"/>
  <c r="D7594" i="22" s="1"/>
  <c r="D7595" i="22" s="1"/>
  <c r="D7596" i="22" s="1"/>
  <c r="D7597" i="22" s="1"/>
  <c r="D7598" i="22" s="1"/>
  <c r="D7599" i="22" s="1"/>
  <c r="D7600" i="22" s="1"/>
  <c r="D7601" i="22" s="1"/>
  <c r="D7602" i="22" s="1"/>
  <c r="D7603" i="22" s="1"/>
  <c r="D7604" i="22" s="1"/>
  <c r="D7605" i="22" s="1"/>
  <c r="D7606" i="22" s="1"/>
  <c r="D7607" i="22" s="1"/>
  <c r="D7608" i="22" s="1"/>
  <c r="D7609" i="22" s="1"/>
  <c r="D7610" i="22" s="1"/>
  <c r="D7611" i="22" s="1"/>
  <c r="D7612" i="22" s="1"/>
  <c r="D7613" i="22" s="1"/>
  <c r="D7614" i="22" s="1"/>
  <c r="D7615" i="22" s="1"/>
  <c r="D7616" i="22" s="1"/>
  <c r="D7617" i="22" s="1"/>
  <c r="D7618" i="22" s="1"/>
  <c r="D7619" i="22" s="1"/>
  <c r="D7620" i="22" s="1"/>
  <c r="D7621" i="22" s="1"/>
  <c r="D7622" i="22" s="1"/>
  <c r="D7623" i="22" s="1"/>
  <c r="D7624" i="22" s="1"/>
  <c r="D7625" i="22" s="1"/>
  <c r="D7626" i="22" s="1"/>
  <c r="D7627" i="22" s="1"/>
  <c r="D7628" i="22" s="1"/>
  <c r="D7629" i="22" s="1"/>
  <c r="D7630" i="22" s="1"/>
  <c r="D7631" i="22" s="1"/>
  <c r="D7632" i="22" s="1"/>
  <c r="D7633" i="22" s="1"/>
  <c r="D7634" i="22" s="1"/>
  <c r="D7635" i="22" s="1"/>
  <c r="D7636" i="22" s="1"/>
  <c r="D7637" i="22" s="1"/>
  <c r="D7638" i="22" s="1"/>
  <c r="D7639" i="22" s="1"/>
  <c r="D7640" i="22" s="1"/>
  <c r="D7641" i="22" s="1"/>
  <c r="D7642" i="22" s="1"/>
  <c r="D7643" i="22" s="1"/>
  <c r="D7644" i="22" s="1"/>
  <c r="D7645" i="22" s="1"/>
  <c r="D7646" i="22" s="1"/>
  <c r="D7647" i="22" s="1"/>
  <c r="D7648" i="22" s="1"/>
  <c r="D7649" i="22" s="1"/>
  <c r="D7650" i="22" s="1"/>
  <c r="D7651" i="22" s="1"/>
  <c r="D7652" i="22" s="1"/>
  <c r="D7653" i="22" s="1"/>
  <c r="D7654" i="22" s="1"/>
  <c r="D7655" i="22" s="1"/>
  <c r="D7656" i="22" s="1"/>
  <c r="D7657" i="22" s="1"/>
  <c r="D7658" i="22" s="1"/>
  <c r="D7659" i="22" s="1"/>
  <c r="D7660" i="22" s="1"/>
  <c r="D7661" i="22" s="1"/>
  <c r="D7662" i="22" s="1"/>
  <c r="D7663" i="22" s="1"/>
  <c r="D7664" i="22" s="1"/>
  <c r="D7665" i="22" s="1"/>
  <c r="D7666" i="22" s="1"/>
  <c r="D7667" i="22" s="1"/>
  <c r="D7668" i="22" s="1"/>
  <c r="D7669" i="22" s="1"/>
  <c r="D7670" i="22" s="1"/>
  <c r="D7671" i="22" s="1"/>
  <c r="D7672" i="22"/>
  <c r="D7673" i="22" s="1"/>
  <c r="D7674" i="22" s="1"/>
  <c r="D7675" i="22" s="1"/>
  <c r="D7676" i="22" s="1"/>
  <c r="D7677" i="22" s="1"/>
  <c r="D7678" i="22" s="1"/>
  <c r="D7679" i="22" s="1"/>
  <c r="D7680" i="22" s="1"/>
  <c r="D7681" i="22" s="1"/>
  <c r="D7682" i="22" s="1"/>
  <c r="D7683" i="22" s="1"/>
  <c r="D7684" i="22" s="1"/>
  <c r="D7685" i="22" s="1"/>
  <c r="D7686" i="22" s="1"/>
  <c r="D7687" i="22" s="1"/>
  <c r="D7688" i="22" s="1"/>
  <c r="D7689" i="22" s="1"/>
  <c r="D7690" i="22" s="1"/>
  <c r="D7691" i="22" s="1"/>
  <c r="D7692" i="22" s="1"/>
  <c r="D7693" i="22" s="1"/>
  <c r="D7694" i="22" s="1"/>
  <c r="D7695" i="22" s="1"/>
  <c r="D7696" i="22" s="1"/>
  <c r="D7697" i="22" s="1"/>
  <c r="D7698" i="22" s="1"/>
  <c r="D7699" i="22" s="1"/>
  <c r="D7700" i="22" s="1"/>
  <c r="D7701" i="22" s="1"/>
  <c r="D7702" i="22" s="1"/>
  <c r="D7703" i="22" s="1"/>
  <c r="D7704" i="22" s="1"/>
  <c r="D7705" i="22" s="1"/>
  <c r="D7706" i="22" s="1"/>
  <c r="D7707" i="22" s="1"/>
  <c r="D7708" i="22" s="1"/>
  <c r="D7709" i="22" s="1"/>
  <c r="D7710" i="22" s="1"/>
  <c r="D7711" i="22" s="1"/>
  <c r="D7712" i="22" s="1"/>
  <c r="D7713" i="22" s="1"/>
  <c r="D7714" i="22" s="1"/>
  <c r="D7715" i="22" s="1"/>
  <c r="D7716" i="22" s="1"/>
  <c r="D7717" i="22" s="1"/>
  <c r="D7718" i="22" s="1"/>
  <c r="D7719" i="22" s="1"/>
  <c r="D7720" i="22" s="1"/>
  <c r="D7721" i="22" s="1"/>
  <c r="D7722" i="22" s="1"/>
  <c r="D7723" i="22" s="1"/>
  <c r="D7724" i="22" s="1"/>
  <c r="D7725" i="22" s="1"/>
  <c r="D7726" i="22" s="1"/>
  <c r="D7727" i="22" s="1"/>
  <c r="D7728" i="22" s="1"/>
  <c r="D7729" i="22" s="1"/>
  <c r="D7730" i="22" s="1"/>
  <c r="D7731" i="22" s="1"/>
  <c r="D7732" i="22" s="1"/>
  <c r="D7733" i="22" s="1"/>
  <c r="D7734" i="22" s="1"/>
  <c r="D7735" i="22" s="1"/>
  <c r="D7736" i="22" s="1"/>
  <c r="D7737" i="22" s="1"/>
  <c r="D7738" i="22" s="1"/>
  <c r="D7739" i="22" s="1"/>
  <c r="D7740" i="22" s="1"/>
  <c r="D7741" i="22" s="1"/>
  <c r="D7742" i="22" s="1"/>
  <c r="D7743" i="22" s="1"/>
  <c r="D7744" i="22" s="1"/>
  <c r="D7745" i="22" s="1"/>
  <c r="D7746" i="22" s="1"/>
  <c r="D7747" i="22" s="1"/>
  <c r="D7748" i="22" s="1"/>
  <c r="D7749" i="22" s="1"/>
  <c r="D7750" i="22" s="1"/>
  <c r="D7751" i="22" s="1"/>
  <c r="D7752" i="22" s="1"/>
  <c r="D7753" i="22" s="1"/>
  <c r="D7754" i="22" s="1"/>
  <c r="D7755" i="22" s="1"/>
  <c r="D7756" i="22" s="1"/>
  <c r="D7757" i="22" s="1"/>
  <c r="D7758" i="22" s="1"/>
  <c r="D7759" i="22" s="1"/>
  <c r="D7760" i="22" s="1"/>
  <c r="D7761" i="22" s="1"/>
  <c r="D7762" i="22" s="1"/>
  <c r="D7763" i="22" s="1"/>
  <c r="D7764" i="22" s="1"/>
  <c r="D7765" i="22" s="1"/>
  <c r="D7766" i="22" s="1"/>
  <c r="D7767" i="22" s="1"/>
  <c r="D7768" i="22" s="1"/>
  <c r="D7769" i="22" s="1"/>
  <c r="D7770" i="22" s="1"/>
  <c r="D7771" i="22" s="1"/>
  <c r="D7772" i="22" s="1"/>
  <c r="D7773" i="22" s="1"/>
  <c r="D7774" i="22" s="1"/>
  <c r="D7775" i="22" s="1"/>
  <c r="D7776" i="22" s="1"/>
  <c r="D7777" i="22" s="1"/>
  <c r="D7778" i="22" s="1"/>
  <c r="D7779" i="22" s="1"/>
  <c r="D7780" i="22" s="1"/>
  <c r="D7781" i="22" s="1"/>
  <c r="D7782" i="22" s="1"/>
  <c r="D7783" i="22" s="1"/>
  <c r="D7784" i="22" s="1"/>
  <c r="D7785" i="22" s="1"/>
  <c r="D7786" i="22" s="1"/>
  <c r="D7787" i="22" s="1"/>
  <c r="D7788" i="22" s="1"/>
  <c r="D7789" i="22" s="1"/>
  <c r="D7790" i="22" s="1"/>
  <c r="D7791" i="22" s="1"/>
  <c r="D7792" i="22" s="1"/>
  <c r="D7793" i="22" s="1"/>
  <c r="D7794" i="22" s="1"/>
  <c r="D7795" i="22" s="1"/>
  <c r="D7796" i="22" s="1"/>
  <c r="D7797" i="22" s="1"/>
  <c r="D7798" i="22" s="1"/>
  <c r="D7799" i="22" s="1"/>
  <c r="D7800" i="22" s="1"/>
  <c r="D7801" i="22" s="1"/>
  <c r="D7802" i="22" s="1"/>
  <c r="D7803" i="22" s="1"/>
  <c r="D7804" i="22" s="1"/>
  <c r="D7805" i="22" s="1"/>
  <c r="D7806" i="22" s="1"/>
  <c r="D7807" i="22" s="1"/>
  <c r="D7808" i="22" s="1"/>
  <c r="D7809" i="22" s="1"/>
  <c r="D7810" i="22" s="1"/>
  <c r="D7811" i="22" s="1"/>
  <c r="D7812" i="22" s="1"/>
  <c r="D7813" i="22" s="1"/>
  <c r="D7814" i="22" s="1"/>
  <c r="D7815" i="22" s="1"/>
  <c r="D7816" i="22" s="1"/>
  <c r="D7817" i="22" s="1"/>
  <c r="D7818" i="22" s="1"/>
  <c r="D7819" i="22" s="1"/>
  <c r="D7820" i="22" s="1"/>
  <c r="D7821" i="22" s="1"/>
  <c r="D7822" i="22" s="1"/>
  <c r="D7823" i="22" s="1"/>
  <c r="D7824" i="22" s="1"/>
  <c r="D7825" i="22" s="1"/>
  <c r="D7826" i="22" s="1"/>
  <c r="D7827" i="22" s="1"/>
  <c r="D7828" i="22" s="1"/>
  <c r="D7829" i="22" s="1"/>
  <c r="D7830" i="22" s="1"/>
  <c r="D7831" i="22" s="1"/>
  <c r="D7832" i="22" s="1"/>
  <c r="D7833" i="22" s="1"/>
  <c r="D7834" i="22" s="1"/>
  <c r="D7835" i="22" s="1"/>
  <c r="D7836" i="22" s="1"/>
  <c r="D7837" i="22" s="1"/>
  <c r="D7838" i="22" s="1"/>
  <c r="D7839" i="22" s="1"/>
  <c r="D7840" i="22" s="1"/>
  <c r="D7841" i="22" s="1"/>
  <c r="D7842" i="22" s="1"/>
  <c r="D7843" i="22" s="1"/>
  <c r="D7844" i="22" s="1"/>
  <c r="D7845" i="22" s="1"/>
  <c r="D7846" i="22" s="1"/>
  <c r="D7847" i="22" s="1"/>
  <c r="D7848" i="22" s="1"/>
  <c r="D7849" i="22" s="1"/>
  <c r="D7850" i="22" s="1"/>
  <c r="D7851" i="22" s="1"/>
  <c r="D7852" i="22" s="1"/>
  <c r="D7853" i="22" s="1"/>
  <c r="D7854" i="22" s="1"/>
  <c r="D7855" i="22" s="1"/>
  <c r="D7856" i="22" s="1"/>
  <c r="D7857" i="22" s="1"/>
  <c r="D7858" i="22" s="1"/>
  <c r="D7859" i="22" s="1"/>
  <c r="D7860" i="22" s="1"/>
  <c r="D7861" i="22" s="1"/>
  <c r="D7862" i="22" s="1"/>
  <c r="D7863" i="22" s="1"/>
  <c r="D7864" i="22" s="1"/>
  <c r="D7865" i="22" s="1"/>
  <c r="D7866" i="22" s="1"/>
  <c r="D7867" i="22" s="1"/>
  <c r="D7868" i="22" s="1"/>
  <c r="D7869" i="22" s="1"/>
  <c r="D7870" i="22" s="1"/>
  <c r="D7871" i="22" s="1"/>
  <c r="D7872" i="22" s="1"/>
  <c r="D7873" i="22" s="1"/>
  <c r="D7874" i="22" s="1"/>
  <c r="D7875" i="22" s="1"/>
  <c r="D7876" i="22" s="1"/>
  <c r="D7877" i="22" s="1"/>
  <c r="D7878" i="22" s="1"/>
  <c r="D7879" i="22" s="1"/>
  <c r="D7880" i="22" s="1"/>
  <c r="D7881" i="22" s="1"/>
  <c r="D7882" i="22" s="1"/>
  <c r="D7883" i="22" s="1"/>
  <c r="D7884" i="22" s="1"/>
  <c r="D7885" i="22" s="1"/>
  <c r="D7886" i="22" s="1"/>
  <c r="D7887" i="22" s="1"/>
  <c r="D7888" i="22" s="1"/>
  <c r="D7889" i="22" s="1"/>
  <c r="D7890" i="22" s="1"/>
  <c r="D7891" i="22" s="1"/>
  <c r="D7892" i="22" s="1"/>
  <c r="D7893" i="22" s="1"/>
  <c r="D7894" i="22" s="1"/>
  <c r="D7895" i="22" s="1"/>
  <c r="D7896" i="22" s="1"/>
  <c r="D7897" i="22" s="1"/>
  <c r="D7898" i="22" s="1"/>
  <c r="D7899" i="22" s="1"/>
  <c r="D7900" i="22" s="1"/>
  <c r="D7901" i="22" s="1"/>
  <c r="D7902" i="22" s="1"/>
  <c r="D7903" i="22" s="1"/>
  <c r="D7904" i="22" s="1"/>
  <c r="D7905" i="22" s="1"/>
  <c r="D7906" i="22" s="1"/>
  <c r="D7907" i="22" s="1"/>
  <c r="D7908" i="22" s="1"/>
  <c r="D7909" i="22" s="1"/>
  <c r="D7910" i="22" s="1"/>
  <c r="D7911" i="22" s="1"/>
  <c r="D7912" i="22" s="1"/>
  <c r="D7913" i="22" s="1"/>
  <c r="D7914" i="22" s="1"/>
  <c r="D7915" i="22" s="1"/>
  <c r="D7916" i="22" s="1"/>
  <c r="D7917" i="22" s="1"/>
  <c r="D7918" i="22" s="1"/>
  <c r="D7919" i="22" s="1"/>
  <c r="D7920" i="22" s="1"/>
  <c r="D7921" i="22" s="1"/>
  <c r="D7922" i="22" s="1"/>
  <c r="D7923" i="22" s="1"/>
  <c r="D7924" i="22" s="1"/>
  <c r="D7925" i="22" s="1"/>
  <c r="D7926" i="22" s="1"/>
  <c r="D7927" i="22" s="1"/>
  <c r="D7928" i="22" s="1"/>
  <c r="D7929" i="22" s="1"/>
  <c r="D7930" i="22" s="1"/>
  <c r="D7931" i="22" s="1"/>
  <c r="D7932" i="22" s="1"/>
  <c r="D7933" i="22" s="1"/>
  <c r="D7934" i="22" s="1"/>
  <c r="D7935" i="22" s="1"/>
  <c r="D7936" i="22" s="1"/>
  <c r="D7937" i="22" s="1"/>
  <c r="D7938" i="22" s="1"/>
  <c r="D7939" i="22" s="1"/>
  <c r="D7940" i="22" s="1"/>
  <c r="D7941" i="22" s="1"/>
  <c r="D7942" i="22" s="1"/>
  <c r="D7943" i="22" s="1"/>
  <c r="D7944" i="22" s="1"/>
  <c r="D7945" i="22" s="1"/>
  <c r="D7946" i="22" s="1"/>
  <c r="D7947" i="22" s="1"/>
  <c r="D7948" i="22" s="1"/>
  <c r="D7949" i="22" s="1"/>
  <c r="D7950" i="22" s="1"/>
  <c r="D7951" i="22" s="1"/>
  <c r="D7952" i="22" s="1"/>
  <c r="D7953" i="22" s="1"/>
  <c r="D7954" i="22" s="1"/>
  <c r="D7955" i="22" s="1"/>
  <c r="D7956" i="22" s="1"/>
  <c r="D7957" i="22" s="1"/>
  <c r="D7958" i="22" s="1"/>
  <c r="D7959" i="22" s="1"/>
  <c r="D7960" i="22" s="1"/>
  <c r="D7961" i="22" s="1"/>
  <c r="D7962" i="22" s="1"/>
  <c r="D7963" i="22" s="1"/>
  <c r="D7964" i="22" s="1"/>
  <c r="D7965" i="22" s="1"/>
  <c r="D7966" i="22" s="1"/>
  <c r="D7967" i="22" s="1"/>
  <c r="D7968" i="22" s="1"/>
  <c r="D7969" i="22" s="1"/>
  <c r="D7970" i="22" s="1"/>
  <c r="D7971" i="22" s="1"/>
  <c r="D7972" i="22" s="1"/>
  <c r="D7973" i="22" s="1"/>
  <c r="D7974" i="22" s="1"/>
  <c r="D7975" i="22" s="1"/>
  <c r="D7976" i="22" s="1"/>
  <c r="D7977" i="22" s="1"/>
  <c r="D7978" i="22" s="1"/>
  <c r="D7979" i="22" s="1"/>
  <c r="D7980" i="22" s="1"/>
  <c r="D7981" i="22" s="1"/>
  <c r="D7982" i="22" s="1"/>
  <c r="D7983" i="22" s="1"/>
  <c r="D7984" i="22" s="1"/>
  <c r="D7985" i="22" s="1"/>
  <c r="D7986" i="22" s="1"/>
  <c r="D7987" i="22" s="1"/>
  <c r="D7988" i="22" s="1"/>
  <c r="D7989" i="22" s="1"/>
  <c r="D7990" i="22" s="1"/>
  <c r="D7991" i="22" s="1"/>
  <c r="D7992" i="22" s="1"/>
  <c r="D7993" i="22" s="1"/>
  <c r="D7994" i="22" s="1"/>
  <c r="D7995" i="22" s="1"/>
  <c r="D7996" i="22" s="1"/>
  <c r="D7997" i="22" s="1"/>
  <c r="D7998" i="22" s="1"/>
  <c r="D7999" i="22" s="1"/>
  <c r="D8000" i="22" s="1"/>
  <c r="D8001" i="22" s="1"/>
  <c r="D8002" i="22" s="1"/>
  <c r="D8003" i="22" s="1"/>
  <c r="D8004" i="22" s="1"/>
  <c r="D8005" i="22" s="1"/>
  <c r="D8006" i="22" s="1"/>
  <c r="D8007" i="22" s="1"/>
  <c r="D8008" i="22" s="1"/>
  <c r="D8009" i="22" s="1"/>
  <c r="D8010" i="22" s="1"/>
  <c r="D8011" i="22" s="1"/>
  <c r="D8012" i="22" s="1"/>
  <c r="D8013" i="22" s="1"/>
  <c r="D8014" i="22" s="1"/>
  <c r="D8015" i="22" s="1"/>
  <c r="D8016" i="22" s="1"/>
  <c r="D8017" i="22" s="1"/>
  <c r="D8018" i="22" s="1"/>
  <c r="D8019" i="22" s="1"/>
  <c r="D8020" i="22" s="1"/>
  <c r="D8021" i="22" s="1"/>
  <c r="D8022" i="22" s="1"/>
  <c r="D8023" i="22" s="1"/>
  <c r="D8024" i="22" s="1"/>
  <c r="D8025" i="22" s="1"/>
  <c r="D8026" i="22" s="1"/>
  <c r="D8027" i="22" s="1"/>
  <c r="D8028" i="22" s="1"/>
  <c r="D8029" i="22" s="1"/>
  <c r="D8030" i="22" s="1"/>
  <c r="D8031" i="22" s="1"/>
  <c r="D8032" i="22" s="1"/>
  <c r="D8033" i="22" s="1"/>
  <c r="D8034" i="22" s="1"/>
  <c r="D8035" i="22" s="1"/>
  <c r="D8036" i="22" s="1"/>
  <c r="D8037" i="22" s="1"/>
  <c r="F7" i="19"/>
  <c r="J7" i="19"/>
  <c r="F8" i="19"/>
  <c r="J8" i="19"/>
  <c r="I9" i="19"/>
  <c r="J9" i="19" s="1"/>
  <c r="F10" i="19"/>
  <c r="J10" i="19"/>
  <c r="F11" i="19"/>
  <c r="J11" i="19"/>
  <c r="J12" i="19"/>
  <c r="O12" i="19"/>
  <c r="F12" i="19" s="1"/>
  <c r="F13" i="19"/>
  <c r="J13" i="19"/>
  <c r="F14" i="19"/>
  <c r="J14" i="19"/>
  <c r="F15" i="19"/>
  <c r="J15" i="19"/>
  <c r="F16" i="19"/>
  <c r="J16" i="19"/>
  <c r="F17" i="19"/>
  <c r="J17" i="19"/>
  <c r="F18" i="19"/>
  <c r="J18" i="19"/>
  <c r="F19" i="19"/>
  <c r="J19" i="19"/>
  <c r="F20" i="19"/>
  <c r="J20" i="19"/>
  <c r="F21" i="19"/>
  <c r="J21" i="19"/>
  <c r="F22" i="19"/>
  <c r="I22" i="19"/>
  <c r="J22" i="19" s="1"/>
  <c r="F23" i="19"/>
  <c r="I23" i="19"/>
  <c r="J23" i="19" s="1"/>
  <c r="F24" i="19"/>
  <c r="I24" i="19"/>
  <c r="J24" i="19" s="1"/>
  <c r="F25" i="19"/>
  <c r="I25" i="19"/>
  <c r="J25" i="19" s="1"/>
  <c r="I28" i="19"/>
  <c r="E29" i="19"/>
  <c r="E30" i="19"/>
  <c r="E31" i="19"/>
  <c r="E32" i="19"/>
  <c r="E33" i="19"/>
  <c r="E34" i="19"/>
  <c r="E35" i="19"/>
  <c r="E36" i="19"/>
  <c r="E37" i="19"/>
  <c r="E38" i="19"/>
  <c r="E39" i="19"/>
  <c r="E40" i="19"/>
  <c r="E41" i="19"/>
  <c r="E42" i="19"/>
  <c r="E43" i="19"/>
  <c r="E44" i="19"/>
  <c r="F48" i="19"/>
  <c r="F49" i="19"/>
  <c r="F51" i="19"/>
  <c r="F52" i="19"/>
  <c r="F53" i="19"/>
  <c r="BJ411" i="6"/>
  <c r="BK411" i="6"/>
  <c r="BL411" i="6"/>
  <c r="BE411" i="6" s="1"/>
  <c r="BQ411" i="6"/>
  <c r="BR411" i="6"/>
  <c r="BS411" i="6"/>
  <c r="BU411" i="6"/>
  <c r="BV411" i="6"/>
  <c r="BW411" i="6"/>
  <c r="BX411" i="6"/>
  <c r="BY411" i="6"/>
  <c r="CE411" i="6"/>
  <c r="BW412" i="6"/>
  <c r="BX412" i="6"/>
  <c r="BJ412" i="6"/>
  <c r="BQ412" i="6"/>
  <c r="BR412" i="6"/>
  <c r="BS412" i="6"/>
  <c r="BU412" i="6"/>
  <c r="BV412" i="6"/>
  <c r="BY412" i="6"/>
  <c r="CE412" i="6"/>
  <c r="BJ413" i="6"/>
  <c r="BK413" i="6"/>
  <c r="BL413" i="6"/>
  <c r="BE413" i="6" s="1"/>
  <c r="BQ413" i="6"/>
  <c r="BR413" i="6"/>
  <c r="BS413" i="6"/>
  <c r="BU413" i="6"/>
  <c r="BV413" i="6"/>
  <c r="BW413" i="6"/>
  <c r="BX413" i="6"/>
  <c r="BY413" i="6"/>
  <c r="CE413" i="6"/>
  <c r="BJ414" i="6"/>
  <c r="BK414" i="6"/>
  <c r="BL414" i="6"/>
  <c r="BE414" i="6" s="1"/>
  <c r="BQ414" i="6"/>
  <c r="BR414" i="6"/>
  <c r="BS414" i="6"/>
  <c r="BU414" i="6"/>
  <c r="BV414" i="6"/>
  <c r="BW414" i="6"/>
  <c r="BX414" i="6"/>
  <c r="BY414" i="6"/>
  <c r="CE414" i="6"/>
  <c r="BJ415" i="6"/>
  <c r="BK415" i="6"/>
  <c r="BL415" i="6"/>
  <c r="BE415" i="6" s="1"/>
  <c r="BQ415" i="6"/>
  <c r="BR415" i="6"/>
  <c r="BS415" i="6"/>
  <c r="BU415" i="6"/>
  <c r="BV415" i="6"/>
  <c r="BW415" i="6"/>
  <c r="BX415" i="6"/>
  <c r="BY415" i="6"/>
  <c r="CE415" i="6"/>
  <c r="BJ416" i="6"/>
  <c r="BK416" i="6"/>
  <c r="BL416" i="6"/>
  <c r="BE416" i="6" s="1"/>
  <c r="BQ416" i="6"/>
  <c r="BR416" i="6"/>
  <c r="BS416" i="6"/>
  <c r="BU416" i="6"/>
  <c r="BV416" i="6"/>
  <c r="BW416" i="6"/>
  <c r="BX416" i="6"/>
  <c r="BY416" i="6"/>
  <c r="CE416" i="6"/>
  <c r="AY273" i="6"/>
  <c r="BJ273" i="6"/>
  <c r="BK273" i="6"/>
  <c r="BL273" i="6"/>
  <c r="BE273" i="6" s="1"/>
  <c r="BQ273" i="6"/>
  <c r="BR273" i="6"/>
  <c r="BS273" i="6"/>
  <c r="BU273" i="6"/>
  <c r="BV273" i="6"/>
  <c r="BW273" i="6"/>
  <c r="BX273" i="6"/>
  <c r="BY273" i="6"/>
  <c r="CE273" i="6"/>
  <c r="AY274" i="6"/>
  <c r="BJ274" i="6"/>
  <c r="BK274" i="6"/>
  <c r="BL274" i="6"/>
  <c r="BE274" i="6" s="1"/>
  <c r="BQ274" i="6"/>
  <c r="BR274" i="6"/>
  <c r="BS274" i="6"/>
  <c r="BU274" i="6"/>
  <c r="BV274" i="6"/>
  <c r="BW274" i="6"/>
  <c r="BX274" i="6"/>
  <c r="BY274" i="6"/>
  <c r="CE274" i="6"/>
  <c r="AY275" i="6"/>
  <c r="BJ275" i="6"/>
  <c r="BK275" i="6"/>
  <c r="BL275" i="6"/>
  <c r="BE275" i="6" s="1"/>
  <c r="BQ275" i="6"/>
  <c r="BR275" i="6"/>
  <c r="BS275" i="6"/>
  <c r="BU275" i="6"/>
  <c r="BV275" i="6"/>
  <c r="BW275" i="6"/>
  <c r="BX275" i="6"/>
  <c r="BY275" i="6"/>
  <c r="CE275" i="6"/>
  <c r="AY276" i="6"/>
  <c r="BJ276" i="6"/>
  <c r="BK276" i="6"/>
  <c r="BL276" i="6"/>
  <c r="BE276" i="6" s="1"/>
  <c r="BQ276" i="6"/>
  <c r="BR276" i="6"/>
  <c r="BS276" i="6"/>
  <c r="BU276" i="6"/>
  <c r="BV276" i="6"/>
  <c r="BW276" i="6"/>
  <c r="BX276" i="6"/>
  <c r="BY276" i="6"/>
  <c r="CE276" i="6"/>
  <c r="AY277" i="6"/>
  <c r="BJ277" i="6"/>
  <c r="BK277" i="6"/>
  <c r="BL277" i="6"/>
  <c r="BE277" i="6" s="1"/>
  <c r="BQ277" i="6"/>
  <c r="BR277" i="6"/>
  <c r="BS277" i="6"/>
  <c r="BU277" i="6"/>
  <c r="BV277" i="6"/>
  <c r="BW277" i="6"/>
  <c r="BX277" i="6"/>
  <c r="BY277" i="6"/>
  <c r="CE277" i="6"/>
  <c r="AY278" i="6"/>
  <c r="BJ278" i="6"/>
  <c r="BK278" i="6"/>
  <c r="BL278" i="6"/>
  <c r="BE278" i="6" s="1"/>
  <c r="BQ278" i="6"/>
  <c r="BR278" i="6"/>
  <c r="BS278" i="6"/>
  <c r="BU278" i="6"/>
  <c r="BV278" i="6"/>
  <c r="BW278" i="6"/>
  <c r="BX278" i="6"/>
  <c r="BY278" i="6"/>
  <c r="CE278" i="6"/>
  <c r="BK213" i="6"/>
  <c r="BD213" i="6" s="1"/>
  <c r="BJ213" i="6"/>
  <c r="BQ213" i="6"/>
  <c r="BR213" i="6"/>
  <c r="BS213" i="6"/>
  <c r="BU213" i="6"/>
  <c r="BV213" i="6"/>
  <c r="BW213" i="6"/>
  <c r="BX213" i="6"/>
  <c r="BY213" i="6"/>
  <c r="CE213" i="6"/>
  <c r="BK214" i="6"/>
  <c r="BD214" i="6" s="1"/>
  <c r="BJ214" i="6"/>
  <c r="BQ214" i="6"/>
  <c r="BR214" i="6"/>
  <c r="BS214" i="6"/>
  <c r="BU214" i="6"/>
  <c r="BV214" i="6"/>
  <c r="BW214" i="6"/>
  <c r="BX214" i="6"/>
  <c r="BY214" i="6"/>
  <c r="CE214" i="6"/>
  <c r="BJ215" i="6"/>
  <c r="BK215" i="6"/>
  <c r="BD215" i="6" s="1"/>
  <c r="BL215" i="6"/>
  <c r="BQ215" i="6"/>
  <c r="BR215" i="6"/>
  <c r="BS215" i="6"/>
  <c r="BU215" i="6"/>
  <c r="BV215" i="6"/>
  <c r="BW215" i="6"/>
  <c r="BX215" i="6"/>
  <c r="BY215" i="6"/>
  <c r="CE215" i="6"/>
  <c r="BK216" i="6"/>
  <c r="BD216" i="6" s="1"/>
  <c r="BJ216" i="6"/>
  <c r="BQ216" i="6"/>
  <c r="BR216" i="6"/>
  <c r="BS216" i="6"/>
  <c r="BU216" i="6"/>
  <c r="BV216" i="6"/>
  <c r="BW216" i="6"/>
  <c r="BX216" i="6"/>
  <c r="BY216" i="6"/>
  <c r="CE216" i="6"/>
  <c r="AV217" i="6"/>
  <c r="BJ217" i="6"/>
  <c r="BQ217" i="6"/>
  <c r="BR217" i="6"/>
  <c r="BS217" i="6"/>
  <c r="BU217" i="6"/>
  <c r="BV217" i="6"/>
  <c r="BW217" i="6"/>
  <c r="BX217" i="6"/>
  <c r="BY217" i="6"/>
  <c r="CE217" i="6"/>
  <c r="BK218" i="6"/>
  <c r="BD218" i="6" s="1"/>
  <c r="BJ218" i="6"/>
  <c r="BQ218" i="6"/>
  <c r="BR218" i="6"/>
  <c r="BS218" i="6"/>
  <c r="BU218" i="6"/>
  <c r="BV218" i="6"/>
  <c r="BW218" i="6"/>
  <c r="BX218" i="6"/>
  <c r="BY218" i="6"/>
  <c r="CE218" i="6"/>
  <c r="BW531" i="6"/>
  <c r="BJ531" i="6"/>
  <c r="BQ531" i="6"/>
  <c r="BR531" i="6"/>
  <c r="BS531" i="6"/>
  <c r="BU531" i="6"/>
  <c r="BV531" i="6"/>
  <c r="BX531" i="6"/>
  <c r="CE531" i="6"/>
  <c r="BJ532" i="6"/>
  <c r="BK532" i="6"/>
  <c r="BD532" i="6" s="1"/>
  <c r="BL532" i="6"/>
  <c r="BQ532" i="6"/>
  <c r="BR532" i="6"/>
  <c r="BS532" i="6"/>
  <c r="BU532" i="6"/>
  <c r="BV532" i="6"/>
  <c r="BW532" i="6"/>
  <c r="BX532" i="6"/>
  <c r="BY532" i="6"/>
  <c r="CE532" i="6"/>
  <c r="BJ533" i="6"/>
  <c r="BK533" i="6"/>
  <c r="BD533" i="6" s="1"/>
  <c r="BL533" i="6"/>
  <c r="BE533" i="6" s="1"/>
  <c r="BQ533" i="6"/>
  <c r="BR533" i="6"/>
  <c r="BS533" i="6"/>
  <c r="BU533" i="6"/>
  <c r="BV533" i="6"/>
  <c r="BW533" i="6"/>
  <c r="BX533" i="6"/>
  <c r="BY533" i="6"/>
  <c r="CE533" i="6"/>
  <c r="BJ534" i="6"/>
  <c r="BK534" i="6"/>
  <c r="BD534" i="6" s="1"/>
  <c r="BL534" i="6"/>
  <c r="BQ534" i="6"/>
  <c r="BR534" i="6"/>
  <c r="BS534" i="6"/>
  <c r="BU534" i="6"/>
  <c r="BV534" i="6"/>
  <c r="BW534" i="6"/>
  <c r="BX534" i="6"/>
  <c r="BY534" i="6"/>
  <c r="CE534" i="6"/>
  <c r="AV535" i="6"/>
  <c r="BJ535" i="6"/>
  <c r="BK535" i="6"/>
  <c r="BD535" i="6" s="1"/>
  <c r="BL535" i="6"/>
  <c r="BP535" i="6"/>
  <c r="BQ535" i="6"/>
  <c r="BR535" i="6"/>
  <c r="BS535" i="6"/>
  <c r="BU535" i="6"/>
  <c r="BV535" i="6"/>
  <c r="BW535" i="6"/>
  <c r="BX535" i="6"/>
  <c r="BY535" i="6"/>
  <c r="CE535" i="6"/>
  <c r="BJ536" i="6"/>
  <c r="BK536" i="6"/>
  <c r="BD536" i="6" s="1"/>
  <c r="BL536" i="6"/>
  <c r="BE536" i="6" s="1"/>
  <c r="BQ536" i="6"/>
  <c r="BR536" i="6"/>
  <c r="BS536" i="6"/>
  <c r="BU536" i="6"/>
  <c r="BV536" i="6"/>
  <c r="BW536" i="6"/>
  <c r="BX536" i="6"/>
  <c r="BY536" i="6"/>
  <c r="CE536" i="6"/>
  <c r="BK621" i="6"/>
  <c r="BD621" i="6" s="1"/>
  <c r="BJ621" i="6"/>
  <c r="BQ621" i="6"/>
  <c r="BR621" i="6"/>
  <c r="BS621" i="6"/>
  <c r="BU621" i="6"/>
  <c r="BV621" i="6"/>
  <c r="BW621" i="6"/>
  <c r="BX621" i="6"/>
  <c r="BY621" i="6"/>
  <c r="CE621" i="6"/>
  <c r="BJ622" i="6"/>
  <c r="BK622" i="6"/>
  <c r="BD622" i="6" s="1"/>
  <c r="BL622" i="6"/>
  <c r="BQ622" i="6"/>
  <c r="BR622" i="6"/>
  <c r="BS622" i="6"/>
  <c r="BU622" i="6"/>
  <c r="BV622" i="6"/>
  <c r="BW622" i="6"/>
  <c r="BX622" i="6"/>
  <c r="BY622" i="6"/>
  <c r="CE622" i="6"/>
  <c r="BJ623" i="6"/>
  <c r="BK623" i="6"/>
  <c r="BD623" i="6" s="1"/>
  <c r="BL623" i="6"/>
  <c r="BQ623" i="6"/>
  <c r="BR623" i="6"/>
  <c r="BS623" i="6"/>
  <c r="BU623" i="6"/>
  <c r="BV623" i="6"/>
  <c r="BW623" i="6"/>
  <c r="BX623" i="6"/>
  <c r="BY623" i="6"/>
  <c r="CE623" i="6"/>
  <c r="BW624" i="6"/>
  <c r="BJ624" i="6"/>
  <c r="BQ624" i="6"/>
  <c r="BR624" i="6"/>
  <c r="BS624" i="6"/>
  <c r="BU624" i="6"/>
  <c r="BV624" i="6"/>
  <c r="BX624" i="6"/>
  <c r="BY624" i="6"/>
  <c r="CE624" i="6"/>
  <c r="AV625" i="6"/>
  <c r="BJ625" i="6"/>
  <c r="BK625" i="6"/>
  <c r="BD625" i="6" s="1"/>
  <c r="BL625" i="6"/>
  <c r="BM625" i="6" s="1"/>
  <c r="BQ625" i="6"/>
  <c r="BR625" i="6"/>
  <c r="BS625" i="6"/>
  <c r="BU625" i="6"/>
  <c r="BV625" i="6"/>
  <c r="BW625" i="6"/>
  <c r="BX625" i="6"/>
  <c r="BY625" i="6"/>
  <c r="CE625" i="6"/>
  <c r="BJ626" i="6"/>
  <c r="BK626" i="6"/>
  <c r="BD626" i="6" s="1"/>
  <c r="BL626" i="6"/>
  <c r="BE626" i="6" s="1"/>
  <c r="BQ626" i="6"/>
  <c r="BR626" i="6"/>
  <c r="BS626" i="6"/>
  <c r="BU626" i="6"/>
  <c r="BV626" i="6"/>
  <c r="BW626" i="6"/>
  <c r="BX626" i="6"/>
  <c r="BY626" i="6"/>
  <c r="CE626" i="6"/>
  <c r="BJ417" i="6"/>
  <c r="BK417" i="6"/>
  <c r="BD417" i="6" s="1"/>
  <c r="BL417" i="6"/>
  <c r="BQ417" i="6"/>
  <c r="BR417" i="6"/>
  <c r="BS417" i="6"/>
  <c r="BU417" i="6"/>
  <c r="BV417" i="6"/>
  <c r="BW417" i="6"/>
  <c r="BX417" i="6"/>
  <c r="BY417" i="6"/>
  <c r="CE417" i="6"/>
  <c r="BJ418" i="6"/>
  <c r="BK418" i="6"/>
  <c r="BD418" i="6" s="1"/>
  <c r="BL418" i="6"/>
  <c r="BQ418" i="6"/>
  <c r="BR418" i="6"/>
  <c r="BS418" i="6"/>
  <c r="BU418" i="6"/>
  <c r="BV418" i="6"/>
  <c r="BW418" i="6"/>
  <c r="BX418" i="6"/>
  <c r="BY418" i="6"/>
  <c r="CE418" i="6"/>
  <c r="BJ419" i="6"/>
  <c r="BK419" i="6"/>
  <c r="BD419" i="6" s="1"/>
  <c r="BL419" i="6"/>
  <c r="BQ419" i="6"/>
  <c r="BR419" i="6"/>
  <c r="BS419" i="6"/>
  <c r="BU419" i="6"/>
  <c r="BV419" i="6"/>
  <c r="BW419" i="6"/>
  <c r="BX419" i="6"/>
  <c r="BY419" i="6"/>
  <c r="CE419" i="6"/>
  <c r="BL420" i="6"/>
  <c r="BJ420" i="6"/>
  <c r="BQ420" i="6"/>
  <c r="BR420" i="6"/>
  <c r="BS420" i="6"/>
  <c r="BU420" i="6"/>
  <c r="BV420" i="6"/>
  <c r="BW420" i="6"/>
  <c r="BX420" i="6"/>
  <c r="BY420" i="6"/>
  <c r="CE420" i="6"/>
  <c r="AV421" i="6"/>
  <c r="BJ421" i="6"/>
  <c r="BL421" i="6"/>
  <c r="BQ421" i="6"/>
  <c r="BR421" i="6"/>
  <c r="BS421" i="6"/>
  <c r="BU421" i="6"/>
  <c r="BV421" i="6"/>
  <c r="BW421" i="6"/>
  <c r="BX421" i="6"/>
  <c r="BY421" i="6"/>
  <c r="CE421" i="6"/>
  <c r="BJ422" i="6"/>
  <c r="BK422" i="6"/>
  <c r="BD422" i="6" s="1"/>
  <c r="BL422" i="6"/>
  <c r="BE422" i="6" s="1"/>
  <c r="BQ422" i="6"/>
  <c r="BR422" i="6"/>
  <c r="BS422" i="6"/>
  <c r="BU422" i="6"/>
  <c r="BV422" i="6"/>
  <c r="BW422" i="6"/>
  <c r="BX422" i="6"/>
  <c r="BY422" i="6"/>
  <c r="CE422" i="6"/>
  <c r="BV633" i="6"/>
  <c r="BK633" i="6"/>
  <c r="BD633" i="6" s="1"/>
  <c r="BF633" i="6"/>
  <c r="BJ633" i="6"/>
  <c r="BQ633" i="6"/>
  <c r="BR633" i="6"/>
  <c r="BU633" i="6"/>
  <c r="BW633" i="6"/>
  <c r="BX633" i="6"/>
  <c r="CE291" i="6"/>
  <c r="BW634" i="6"/>
  <c r="BS634" i="6"/>
  <c r="BJ634" i="6"/>
  <c r="BQ634" i="6"/>
  <c r="BR634" i="6"/>
  <c r="BU634" i="6"/>
  <c r="BV634" i="6"/>
  <c r="BX634" i="6"/>
  <c r="CE292" i="6"/>
  <c r="BJ635" i="6"/>
  <c r="BK635" i="6"/>
  <c r="BD635" i="6" s="1"/>
  <c r="BL635" i="6"/>
  <c r="BQ635" i="6"/>
  <c r="BR635" i="6"/>
  <c r="BS635" i="6"/>
  <c r="BU635" i="6"/>
  <c r="BV635" i="6"/>
  <c r="BW635" i="6"/>
  <c r="BX635" i="6"/>
  <c r="CE293" i="6"/>
  <c r="BS636" i="6"/>
  <c r="BJ636" i="6"/>
  <c r="BQ636" i="6"/>
  <c r="BR636" i="6"/>
  <c r="BU636" i="6"/>
  <c r="BV636" i="6"/>
  <c r="BW636" i="6"/>
  <c r="BX636" i="6"/>
  <c r="CE294" i="6"/>
  <c r="BK637" i="6"/>
  <c r="BD637" i="6" s="1"/>
  <c r="BS637" i="6"/>
  <c r="AV637" i="6"/>
  <c r="BJ637" i="6"/>
  <c r="BQ637" i="6"/>
  <c r="BR637" i="6"/>
  <c r="BU637" i="6"/>
  <c r="BV637" i="6"/>
  <c r="BW637" i="6"/>
  <c r="BX637" i="6"/>
  <c r="CE295" i="6"/>
  <c r="BJ638" i="6"/>
  <c r="BK638" i="6"/>
  <c r="BD638" i="6" s="1"/>
  <c r="BL638" i="6"/>
  <c r="BE638" i="6" s="1"/>
  <c r="BQ638" i="6"/>
  <c r="BR638" i="6"/>
  <c r="BS638" i="6"/>
  <c r="BU638" i="6"/>
  <c r="BV638" i="6"/>
  <c r="BW638" i="6"/>
  <c r="BX638" i="6"/>
  <c r="CE296" i="6"/>
  <c r="BJ639" i="6"/>
  <c r="BK639" i="6"/>
  <c r="BD639" i="6" s="1"/>
  <c r="BL639" i="6"/>
  <c r="BQ639" i="6"/>
  <c r="BR639" i="6"/>
  <c r="BS639" i="6"/>
  <c r="BU639" i="6"/>
  <c r="BV639" i="6"/>
  <c r="BW639" i="6"/>
  <c r="BX639" i="6"/>
  <c r="BY639" i="6"/>
  <c r="CE297" i="6"/>
  <c r="BJ640" i="6"/>
  <c r="BK640" i="6"/>
  <c r="BD640" i="6" s="1"/>
  <c r="BL640" i="6"/>
  <c r="BQ640" i="6"/>
  <c r="BR640" i="6"/>
  <c r="BS640" i="6"/>
  <c r="BU640" i="6"/>
  <c r="BV640" i="6"/>
  <c r="BW640" i="6"/>
  <c r="BX640" i="6"/>
  <c r="BY640" i="6"/>
  <c r="CE298" i="6"/>
  <c r="BJ641" i="6"/>
  <c r="BK641" i="6"/>
  <c r="BD641" i="6" s="1"/>
  <c r="BL641" i="6"/>
  <c r="BQ641" i="6"/>
  <c r="BR641" i="6"/>
  <c r="BS641" i="6"/>
  <c r="BU641" i="6"/>
  <c r="BV641" i="6"/>
  <c r="BW641" i="6"/>
  <c r="BX641" i="6"/>
  <c r="BY641" i="6"/>
  <c r="CE299" i="6"/>
  <c r="BJ642" i="6"/>
  <c r="BK642" i="6"/>
  <c r="BD642" i="6" s="1"/>
  <c r="BL642" i="6"/>
  <c r="BQ642" i="6"/>
  <c r="BR642" i="6"/>
  <c r="BS642" i="6"/>
  <c r="BU642" i="6"/>
  <c r="BV642" i="6"/>
  <c r="BW642" i="6"/>
  <c r="BX642" i="6"/>
  <c r="BY642" i="6"/>
  <c r="CE300" i="6"/>
  <c r="BL643" i="6"/>
  <c r="AV643" i="6"/>
  <c r="BJ643" i="6"/>
  <c r="BQ643" i="6"/>
  <c r="BR643" i="6"/>
  <c r="BS643" i="6"/>
  <c r="BU643" i="6"/>
  <c r="BV643" i="6"/>
  <c r="BW643" i="6"/>
  <c r="BX643" i="6"/>
  <c r="BY643" i="6"/>
  <c r="CE301" i="6"/>
  <c r="BJ644" i="6"/>
  <c r="BK644" i="6"/>
  <c r="BD644" i="6" s="1"/>
  <c r="BL644" i="6"/>
  <c r="BE644" i="6" s="1"/>
  <c r="BQ644" i="6"/>
  <c r="BR644" i="6"/>
  <c r="BS644" i="6"/>
  <c r="BU644" i="6"/>
  <c r="BV644" i="6"/>
  <c r="BW644" i="6"/>
  <c r="BX644" i="6"/>
  <c r="BY644" i="6"/>
  <c r="CE302" i="6"/>
  <c r="BJ645" i="6"/>
  <c r="BK645" i="6"/>
  <c r="BD645" i="6" s="1"/>
  <c r="BL645" i="6"/>
  <c r="BQ645" i="6"/>
  <c r="BR645" i="6"/>
  <c r="BS645" i="6"/>
  <c r="BU645" i="6"/>
  <c r="BV645" i="6"/>
  <c r="BW645" i="6"/>
  <c r="BX645" i="6"/>
  <c r="BY645" i="6"/>
  <c r="CE579" i="6"/>
  <c r="BJ646" i="6"/>
  <c r="BK646" i="6"/>
  <c r="BD646" i="6" s="1"/>
  <c r="BL646" i="6"/>
  <c r="BQ646" i="6"/>
  <c r="BR646" i="6"/>
  <c r="BS646" i="6"/>
  <c r="BU646" i="6"/>
  <c r="BV646" i="6"/>
  <c r="BW646" i="6"/>
  <c r="BX646" i="6"/>
  <c r="BY646" i="6"/>
  <c r="CE580" i="6"/>
  <c r="BJ647" i="6"/>
  <c r="BK647" i="6"/>
  <c r="BD647" i="6" s="1"/>
  <c r="BL647" i="6"/>
  <c r="BQ647" i="6"/>
  <c r="BR647" i="6"/>
  <c r="BS647" i="6"/>
  <c r="BU647" i="6"/>
  <c r="BV647" i="6"/>
  <c r="BW647" i="6"/>
  <c r="BX647" i="6"/>
  <c r="BY647" i="6"/>
  <c r="CE581" i="6"/>
  <c r="BW648" i="6"/>
  <c r="BJ648" i="6"/>
  <c r="BQ648" i="6"/>
  <c r="BR648" i="6"/>
  <c r="BS648" i="6"/>
  <c r="BU648" i="6"/>
  <c r="BV648" i="6"/>
  <c r="BX648" i="6"/>
  <c r="BY648" i="6"/>
  <c r="CE582" i="6"/>
  <c r="BW649" i="6"/>
  <c r="AV649" i="6"/>
  <c r="BJ649" i="6"/>
  <c r="BQ649" i="6"/>
  <c r="BR649" i="6"/>
  <c r="BS649" i="6"/>
  <c r="BU649" i="6"/>
  <c r="BV649" i="6"/>
  <c r="BX649" i="6"/>
  <c r="BY649" i="6"/>
  <c r="CE583" i="6"/>
  <c r="BJ650" i="6"/>
  <c r="BK650" i="6"/>
  <c r="BD650" i="6" s="1"/>
  <c r="BL650" i="6"/>
  <c r="BE650" i="6" s="1"/>
  <c r="BQ650" i="6"/>
  <c r="BR650" i="6"/>
  <c r="BS650" i="6"/>
  <c r="BU650" i="6"/>
  <c r="BV650" i="6"/>
  <c r="BW650" i="6"/>
  <c r="BX650" i="6"/>
  <c r="BY650" i="6"/>
  <c r="CE584" i="6"/>
  <c r="BJ801" i="6"/>
  <c r="BK801" i="6"/>
  <c r="BD801" i="6" s="1"/>
  <c r="BL801" i="6"/>
  <c r="BQ801" i="6"/>
  <c r="BR801" i="6"/>
  <c r="BS801" i="6"/>
  <c r="BU801" i="6"/>
  <c r="BV801" i="6"/>
  <c r="BW801" i="6"/>
  <c r="BX801" i="6"/>
  <c r="BY801" i="6"/>
  <c r="CE303" i="6"/>
  <c r="BJ802" i="6"/>
  <c r="BK802" i="6"/>
  <c r="BD802" i="6" s="1"/>
  <c r="BL802" i="6"/>
  <c r="BQ802" i="6"/>
  <c r="BR802" i="6"/>
  <c r="BS802" i="6"/>
  <c r="BU802" i="6"/>
  <c r="BV802" i="6"/>
  <c r="BW802" i="6"/>
  <c r="BX802" i="6"/>
  <c r="BY802" i="6"/>
  <c r="CE304" i="6"/>
  <c r="BJ803" i="6"/>
  <c r="BK803" i="6"/>
  <c r="BD803" i="6" s="1"/>
  <c r="BL803" i="6"/>
  <c r="BE803" i="6" s="1"/>
  <c r="BQ803" i="6"/>
  <c r="BR803" i="6"/>
  <c r="BS803" i="6"/>
  <c r="BU803" i="6"/>
  <c r="BV803" i="6"/>
  <c r="BW803" i="6"/>
  <c r="BX803" i="6"/>
  <c r="BY803" i="6"/>
  <c r="CE305" i="6"/>
  <c r="BK804" i="6"/>
  <c r="BD804" i="6" s="1"/>
  <c r="BJ804" i="6"/>
  <c r="BQ804" i="6"/>
  <c r="BR804" i="6"/>
  <c r="BS804" i="6"/>
  <c r="BU804" i="6"/>
  <c r="BV804" i="6"/>
  <c r="BW804" i="6"/>
  <c r="BX804" i="6"/>
  <c r="BY804" i="6"/>
  <c r="CE306" i="6"/>
  <c r="BK805" i="6"/>
  <c r="BD805" i="6" s="1"/>
  <c r="AV805" i="6"/>
  <c r="BJ805" i="6"/>
  <c r="BQ805" i="6"/>
  <c r="BR805" i="6"/>
  <c r="BS805" i="6"/>
  <c r="BU805" i="6"/>
  <c r="BV805" i="6"/>
  <c r="BW805" i="6"/>
  <c r="BX805" i="6"/>
  <c r="BY805" i="6"/>
  <c r="CE307" i="6"/>
  <c r="BJ806" i="6"/>
  <c r="BK806" i="6"/>
  <c r="BD806" i="6" s="1"/>
  <c r="BL806" i="6"/>
  <c r="BE806" i="6" s="1"/>
  <c r="BQ806" i="6"/>
  <c r="BR806" i="6"/>
  <c r="BS806" i="6"/>
  <c r="BU806" i="6"/>
  <c r="BV806" i="6"/>
  <c r="BW806" i="6"/>
  <c r="BX806" i="6"/>
  <c r="BY806" i="6"/>
  <c r="CE308" i="6"/>
  <c r="BJ1017" i="6"/>
  <c r="BK1017" i="6"/>
  <c r="BD1017" i="6" s="1"/>
  <c r="BL1017" i="6"/>
  <c r="BE1017" i="6" s="1"/>
  <c r="BQ1017" i="6"/>
  <c r="BR1017" i="6"/>
  <c r="BS1017" i="6"/>
  <c r="BU1017" i="6"/>
  <c r="BV1017" i="6"/>
  <c r="BW1017" i="6"/>
  <c r="BX1017" i="6"/>
  <c r="BY1017" i="6"/>
  <c r="CE1017" i="6"/>
  <c r="BJ1018" i="6"/>
  <c r="BK1018" i="6"/>
  <c r="BD1018" i="6" s="1"/>
  <c r="BL1018" i="6"/>
  <c r="BE1018" i="6" s="1"/>
  <c r="BQ1018" i="6"/>
  <c r="BR1018" i="6"/>
  <c r="BS1018" i="6"/>
  <c r="BU1018" i="6"/>
  <c r="BV1018" i="6"/>
  <c r="BW1018" i="6"/>
  <c r="BX1018" i="6"/>
  <c r="BY1018" i="6"/>
  <c r="CE1018" i="6"/>
  <c r="BJ1019" i="6"/>
  <c r="BK1019" i="6"/>
  <c r="BD1019" i="6" s="1"/>
  <c r="BL1019" i="6"/>
  <c r="BE1019" i="6" s="1"/>
  <c r="BQ1019" i="6"/>
  <c r="BR1019" i="6"/>
  <c r="BS1019" i="6"/>
  <c r="BU1019" i="6"/>
  <c r="BV1019" i="6"/>
  <c r="BW1019" i="6"/>
  <c r="BX1019" i="6"/>
  <c r="BY1019" i="6"/>
  <c r="CE1019" i="6"/>
  <c r="BJ1020" i="6"/>
  <c r="BK1020" i="6"/>
  <c r="BD1020" i="6" s="1"/>
  <c r="BL1020" i="6"/>
  <c r="BE1020" i="6" s="1"/>
  <c r="BQ1020" i="6"/>
  <c r="BR1020" i="6"/>
  <c r="BS1020" i="6"/>
  <c r="BU1020" i="6"/>
  <c r="BV1020" i="6"/>
  <c r="BW1020" i="6"/>
  <c r="BX1020" i="6"/>
  <c r="BY1020" i="6"/>
  <c r="CE1020" i="6"/>
  <c r="BW1021" i="6"/>
  <c r="AV1021" i="6"/>
  <c r="BJ1021" i="6"/>
  <c r="BQ1021" i="6"/>
  <c r="BR1021" i="6"/>
  <c r="BS1021" i="6"/>
  <c r="BU1021" i="6"/>
  <c r="BV1021" i="6"/>
  <c r="BX1021" i="6"/>
  <c r="BY1021" i="6"/>
  <c r="CE1021" i="6"/>
  <c r="BJ1022" i="6"/>
  <c r="BK1022" i="6"/>
  <c r="BD1022" i="6" s="1"/>
  <c r="BL1022" i="6"/>
  <c r="BE1022" i="6" s="1"/>
  <c r="BQ1022" i="6"/>
  <c r="BR1022" i="6"/>
  <c r="BS1022" i="6"/>
  <c r="BU1022" i="6"/>
  <c r="BV1022" i="6"/>
  <c r="BW1022" i="6"/>
  <c r="BX1022" i="6"/>
  <c r="BY1022" i="6"/>
  <c r="CE1022" i="6"/>
  <c r="BJ1023" i="6"/>
  <c r="BK1023" i="6"/>
  <c r="BD1023" i="6" s="1"/>
  <c r="BL1023" i="6"/>
  <c r="BE1023" i="6" s="1"/>
  <c r="BQ1023" i="6"/>
  <c r="BR1023" i="6"/>
  <c r="BS1023" i="6"/>
  <c r="BU1023" i="6"/>
  <c r="BV1023" i="6"/>
  <c r="BW1023" i="6"/>
  <c r="BX1023" i="6"/>
  <c r="BY1023" i="6"/>
  <c r="CE1023" i="6"/>
  <c r="BJ1024" i="6"/>
  <c r="BK1024" i="6"/>
  <c r="BD1024" i="6" s="1"/>
  <c r="BL1024" i="6"/>
  <c r="BE1024" i="6" s="1"/>
  <c r="BQ1024" i="6"/>
  <c r="BR1024" i="6"/>
  <c r="BS1024" i="6"/>
  <c r="BU1024" i="6"/>
  <c r="BV1024" i="6"/>
  <c r="BW1024" i="6"/>
  <c r="BX1024" i="6"/>
  <c r="BY1024" i="6"/>
  <c r="CE1024" i="6"/>
  <c r="BJ1025" i="6"/>
  <c r="BK1025" i="6"/>
  <c r="BD1025" i="6" s="1"/>
  <c r="BL1025" i="6"/>
  <c r="BE1025" i="6" s="1"/>
  <c r="BQ1025" i="6"/>
  <c r="BR1025" i="6"/>
  <c r="BS1025" i="6"/>
  <c r="BU1025" i="6"/>
  <c r="BV1025" i="6"/>
  <c r="BW1025" i="6"/>
  <c r="BX1025" i="6"/>
  <c r="BY1025" i="6"/>
  <c r="CE1025" i="6"/>
  <c r="BK1026" i="6"/>
  <c r="BD1026" i="6" s="1"/>
  <c r="BJ1026" i="6"/>
  <c r="BQ1026" i="6"/>
  <c r="BR1026" i="6"/>
  <c r="BS1026" i="6"/>
  <c r="BU1026" i="6"/>
  <c r="BV1026" i="6"/>
  <c r="BW1026" i="6"/>
  <c r="BX1026" i="6"/>
  <c r="BY1026" i="6"/>
  <c r="CE1026" i="6"/>
  <c r="AV1027" i="6"/>
  <c r="BJ1027" i="6"/>
  <c r="BK1027" i="6"/>
  <c r="BD1027" i="6" s="1"/>
  <c r="BL1027" i="6"/>
  <c r="BM1027" i="6" s="1"/>
  <c r="BQ1027" i="6"/>
  <c r="BR1027" i="6"/>
  <c r="BS1027" i="6"/>
  <c r="BU1027" i="6"/>
  <c r="BV1027" i="6"/>
  <c r="BW1027" i="6"/>
  <c r="BX1027" i="6"/>
  <c r="BY1027" i="6"/>
  <c r="CE1027" i="6"/>
  <c r="BJ1028" i="6"/>
  <c r="BK1028" i="6"/>
  <c r="BD1028" i="6" s="1"/>
  <c r="BL1028" i="6"/>
  <c r="BE1028" i="6" s="1"/>
  <c r="BQ1028" i="6"/>
  <c r="BR1028" i="6"/>
  <c r="BS1028" i="6"/>
  <c r="BU1028" i="6"/>
  <c r="BV1028" i="6"/>
  <c r="BW1028" i="6"/>
  <c r="BX1028" i="6"/>
  <c r="BY1028" i="6"/>
  <c r="CE1028" i="6"/>
  <c r="BJ1029" i="6"/>
  <c r="BK1029" i="6"/>
  <c r="BD1029" i="6" s="1"/>
  <c r="BL1029" i="6"/>
  <c r="BE1029" i="6" s="1"/>
  <c r="BQ1029" i="6"/>
  <c r="BR1029" i="6"/>
  <c r="BS1029" i="6"/>
  <c r="BU1029" i="6"/>
  <c r="BV1029" i="6"/>
  <c r="BW1029" i="6"/>
  <c r="BX1029" i="6"/>
  <c r="BY1029" i="6"/>
  <c r="CE1029" i="6"/>
  <c r="BJ1030" i="6"/>
  <c r="BK1030" i="6"/>
  <c r="BD1030" i="6" s="1"/>
  <c r="BL1030" i="6"/>
  <c r="BE1030" i="6" s="1"/>
  <c r="BQ1030" i="6"/>
  <c r="BR1030" i="6"/>
  <c r="BS1030" i="6"/>
  <c r="BU1030" i="6"/>
  <c r="BV1030" i="6"/>
  <c r="BW1030" i="6"/>
  <c r="BX1030" i="6"/>
  <c r="BY1030" i="6"/>
  <c r="CE1030" i="6"/>
  <c r="BJ1031" i="6"/>
  <c r="BK1031" i="6"/>
  <c r="BD1031" i="6" s="1"/>
  <c r="BL1031" i="6"/>
  <c r="BE1031" i="6" s="1"/>
  <c r="BQ1031" i="6"/>
  <c r="BR1031" i="6"/>
  <c r="BS1031" i="6"/>
  <c r="BU1031" i="6"/>
  <c r="BV1031" i="6"/>
  <c r="BW1031" i="6"/>
  <c r="BX1031" i="6"/>
  <c r="BY1031" i="6"/>
  <c r="CE1031" i="6"/>
  <c r="BL1032" i="6"/>
  <c r="BE1032" i="6" s="1"/>
  <c r="BK1032" i="6"/>
  <c r="BD1032" i="6" s="1"/>
  <c r="BJ1032" i="6"/>
  <c r="BQ1032" i="6"/>
  <c r="BR1032" i="6"/>
  <c r="BS1032" i="6"/>
  <c r="BU1032" i="6"/>
  <c r="BV1032" i="6"/>
  <c r="BW1032" i="6"/>
  <c r="BX1032" i="6"/>
  <c r="BY1032" i="6"/>
  <c r="CE1032" i="6"/>
  <c r="BK1033" i="6"/>
  <c r="BD1033" i="6" s="1"/>
  <c r="AV1033" i="6"/>
  <c r="BJ1033" i="6"/>
  <c r="BQ1033" i="6"/>
  <c r="BR1033" i="6"/>
  <c r="BS1033" i="6"/>
  <c r="BU1033" i="6"/>
  <c r="BV1033" i="6"/>
  <c r="BW1033" i="6"/>
  <c r="BX1033" i="6"/>
  <c r="BY1033" i="6"/>
  <c r="CE1033" i="6"/>
  <c r="BJ1034" i="6"/>
  <c r="BK1034" i="6"/>
  <c r="BD1034" i="6" s="1"/>
  <c r="BL1034" i="6"/>
  <c r="BE1034" i="6" s="1"/>
  <c r="BQ1034" i="6"/>
  <c r="BR1034" i="6"/>
  <c r="BS1034" i="6"/>
  <c r="BU1034" i="6"/>
  <c r="BV1034" i="6"/>
  <c r="BW1034" i="6"/>
  <c r="BX1034" i="6"/>
  <c r="BY1034" i="6"/>
  <c r="CE1034" i="6"/>
  <c r="BK1035" i="6"/>
  <c r="BD1035" i="6" s="1"/>
  <c r="BJ1035" i="6"/>
  <c r="BQ1035" i="6"/>
  <c r="BR1035" i="6"/>
  <c r="BS1035" i="6"/>
  <c r="BU1035" i="6"/>
  <c r="BV1035" i="6"/>
  <c r="BW1035" i="6"/>
  <c r="BX1035" i="6"/>
  <c r="BY1035" i="6"/>
  <c r="CE1035" i="6"/>
  <c r="BJ1036" i="6"/>
  <c r="BK1036" i="6"/>
  <c r="BD1036" i="6" s="1"/>
  <c r="BL1036" i="6"/>
  <c r="BQ1036" i="6"/>
  <c r="BR1036" i="6"/>
  <c r="BS1036" i="6"/>
  <c r="BU1036" i="6"/>
  <c r="BV1036" i="6"/>
  <c r="BW1036" i="6"/>
  <c r="BX1036" i="6"/>
  <c r="BY1036" i="6"/>
  <c r="CE1036" i="6"/>
  <c r="BJ1037" i="6"/>
  <c r="BK1037" i="6"/>
  <c r="BD1037" i="6" s="1"/>
  <c r="BL1037" i="6"/>
  <c r="BE1037" i="6" s="1"/>
  <c r="BQ1037" i="6"/>
  <c r="BR1037" i="6"/>
  <c r="BS1037" i="6"/>
  <c r="BU1037" i="6"/>
  <c r="BV1037" i="6"/>
  <c r="BW1037" i="6"/>
  <c r="BX1037" i="6"/>
  <c r="BY1037" i="6"/>
  <c r="CE1037" i="6"/>
  <c r="BJ1038" i="6"/>
  <c r="BK1038" i="6"/>
  <c r="BD1038" i="6" s="1"/>
  <c r="BL1038" i="6"/>
  <c r="BQ1038" i="6"/>
  <c r="BR1038" i="6"/>
  <c r="BS1038" i="6"/>
  <c r="BU1038" i="6"/>
  <c r="BV1038" i="6"/>
  <c r="BW1038" i="6"/>
  <c r="BX1038" i="6"/>
  <c r="BY1038" i="6"/>
  <c r="CE1038" i="6"/>
  <c r="BL1039" i="6"/>
  <c r="AV1039" i="6"/>
  <c r="BJ1039" i="6"/>
  <c r="BK1039" i="6"/>
  <c r="BD1039" i="6" s="1"/>
  <c r="BQ1039" i="6"/>
  <c r="BR1039" i="6"/>
  <c r="BS1039" i="6"/>
  <c r="BU1039" i="6"/>
  <c r="BV1039" i="6"/>
  <c r="BW1039" i="6"/>
  <c r="BX1039" i="6"/>
  <c r="BY1039" i="6"/>
  <c r="CE1039" i="6"/>
  <c r="BJ1040" i="6"/>
  <c r="BK1040" i="6"/>
  <c r="BD1040" i="6" s="1"/>
  <c r="BL1040" i="6"/>
  <c r="BE1040" i="6" s="1"/>
  <c r="BQ1040" i="6"/>
  <c r="BR1040" i="6"/>
  <c r="BS1040" i="6"/>
  <c r="BU1040" i="6"/>
  <c r="BV1040" i="6"/>
  <c r="BW1040" i="6"/>
  <c r="BX1040" i="6"/>
  <c r="BY1040" i="6"/>
  <c r="CE1040" i="6"/>
  <c r="BK1041" i="6"/>
  <c r="BD1041" i="6" s="1"/>
  <c r="BJ1041" i="6"/>
  <c r="BQ1041" i="6"/>
  <c r="BR1041" i="6"/>
  <c r="BS1041" i="6"/>
  <c r="BU1041" i="6"/>
  <c r="BV1041" i="6"/>
  <c r="BW1041" i="6"/>
  <c r="BX1041" i="6"/>
  <c r="BY1041" i="6"/>
  <c r="CE1041" i="6"/>
  <c r="BJ1042" i="6"/>
  <c r="BK1042" i="6"/>
  <c r="BD1042" i="6" s="1"/>
  <c r="BL1042" i="6"/>
  <c r="BQ1042" i="6"/>
  <c r="BR1042" i="6"/>
  <c r="BS1042" i="6"/>
  <c r="BU1042" i="6"/>
  <c r="BV1042" i="6"/>
  <c r="BW1042" i="6"/>
  <c r="BX1042" i="6"/>
  <c r="BY1042" i="6"/>
  <c r="CE1042" i="6"/>
  <c r="BJ1043" i="6"/>
  <c r="BK1043" i="6"/>
  <c r="BD1043" i="6" s="1"/>
  <c r="BL1043" i="6"/>
  <c r="BE1043" i="6" s="1"/>
  <c r="BQ1043" i="6"/>
  <c r="BR1043" i="6"/>
  <c r="BS1043" i="6"/>
  <c r="BU1043" i="6"/>
  <c r="BV1043" i="6"/>
  <c r="BW1043" i="6"/>
  <c r="BX1043" i="6"/>
  <c r="BY1043" i="6"/>
  <c r="CE1043" i="6"/>
  <c r="BW1044" i="6"/>
  <c r="BJ1044" i="6"/>
  <c r="BQ1044" i="6"/>
  <c r="BR1044" i="6"/>
  <c r="BS1044" i="6"/>
  <c r="BU1044" i="6"/>
  <c r="BV1044" i="6"/>
  <c r="BX1044" i="6"/>
  <c r="BY1044" i="6"/>
  <c r="CE1044" i="6"/>
  <c r="BL1045" i="6"/>
  <c r="AV1045" i="6"/>
  <c r="BJ1045" i="6"/>
  <c r="BQ1045" i="6"/>
  <c r="BR1045" i="6"/>
  <c r="BS1045" i="6"/>
  <c r="BU1045" i="6"/>
  <c r="BV1045" i="6"/>
  <c r="BW1045" i="6"/>
  <c r="BX1045" i="6"/>
  <c r="BY1045" i="6"/>
  <c r="CE1045" i="6"/>
  <c r="BJ1046" i="6"/>
  <c r="BK1046" i="6"/>
  <c r="BD1046" i="6" s="1"/>
  <c r="BL1046" i="6"/>
  <c r="BE1046" i="6" s="1"/>
  <c r="BQ1046" i="6"/>
  <c r="BR1046" i="6"/>
  <c r="BS1046" i="6"/>
  <c r="BU1046" i="6"/>
  <c r="BV1046" i="6"/>
  <c r="BW1046" i="6"/>
  <c r="BX1046" i="6"/>
  <c r="BY1046" i="6"/>
  <c r="CE1046" i="6"/>
  <c r="BJ1149" i="6"/>
  <c r="BK1149" i="6"/>
  <c r="BD1149" i="6" s="1"/>
  <c r="BL1149" i="6"/>
  <c r="BQ1149" i="6"/>
  <c r="BR1149" i="6"/>
  <c r="BS1149" i="6"/>
  <c r="BU1149" i="6"/>
  <c r="BV1149" i="6"/>
  <c r="BW1149" i="6"/>
  <c r="BX1149" i="6"/>
  <c r="BY1149" i="6"/>
  <c r="CE1167" i="6"/>
  <c r="BJ1150" i="6"/>
  <c r="BK1150" i="6"/>
  <c r="BD1150" i="6" s="1"/>
  <c r="BL1150" i="6"/>
  <c r="BQ1150" i="6"/>
  <c r="BR1150" i="6"/>
  <c r="BS1150" i="6"/>
  <c r="BU1150" i="6"/>
  <c r="BV1150" i="6"/>
  <c r="BW1150" i="6"/>
  <c r="BX1150" i="6"/>
  <c r="BY1150" i="6"/>
  <c r="CE1161" i="6"/>
  <c r="BJ1151" i="6"/>
  <c r="BK1151" i="6"/>
  <c r="BD1151" i="6" s="1"/>
  <c r="BL1151" i="6"/>
  <c r="BE1151" i="6" s="1"/>
  <c r="BQ1151" i="6"/>
  <c r="BR1151" i="6"/>
  <c r="BS1151" i="6"/>
  <c r="BU1151" i="6"/>
  <c r="BV1151" i="6"/>
  <c r="BW1151" i="6"/>
  <c r="BX1151" i="6"/>
  <c r="BY1151" i="6"/>
  <c r="CE1155" i="6"/>
  <c r="BJ1152" i="6"/>
  <c r="BK1152" i="6"/>
  <c r="BD1152" i="6" s="1"/>
  <c r="BL1152" i="6"/>
  <c r="BQ1152" i="6"/>
  <c r="BR1152" i="6"/>
  <c r="BS1152" i="6"/>
  <c r="BU1152" i="6"/>
  <c r="BV1152" i="6"/>
  <c r="BW1152" i="6"/>
  <c r="BX1152" i="6"/>
  <c r="BY1152" i="6"/>
  <c r="CE1149" i="6"/>
  <c r="AV1153" i="6"/>
  <c r="BJ1153" i="6"/>
  <c r="BK1153" i="6"/>
  <c r="BD1153" i="6" s="1"/>
  <c r="BL1153" i="6"/>
  <c r="BQ1153" i="6"/>
  <c r="BR1153" i="6"/>
  <c r="BS1153" i="6"/>
  <c r="BU1153" i="6"/>
  <c r="BV1153" i="6"/>
  <c r="BW1153" i="6"/>
  <c r="BX1153" i="6"/>
  <c r="BY1153" i="6"/>
  <c r="CE1183" i="6"/>
  <c r="BJ1154" i="6"/>
  <c r="BK1154" i="6"/>
  <c r="BD1154" i="6" s="1"/>
  <c r="BL1154" i="6"/>
  <c r="BE1154" i="6" s="1"/>
  <c r="BQ1154" i="6"/>
  <c r="BR1154" i="6"/>
  <c r="BS1154" i="6"/>
  <c r="BU1154" i="6"/>
  <c r="BV1154" i="6"/>
  <c r="BW1154" i="6"/>
  <c r="BX1154" i="6"/>
  <c r="BY1154" i="6"/>
  <c r="CE1172" i="6"/>
  <c r="BJ1155" i="6"/>
  <c r="BK1155" i="6"/>
  <c r="BD1155" i="6" s="1"/>
  <c r="BL1155" i="6"/>
  <c r="BQ1155" i="6"/>
  <c r="BR1155" i="6"/>
  <c r="BS1155" i="6"/>
  <c r="BU1155" i="6"/>
  <c r="BV1155" i="6"/>
  <c r="BW1155" i="6"/>
  <c r="BX1155" i="6"/>
  <c r="BY1155" i="6"/>
  <c r="CE1195" i="6"/>
  <c r="BJ1156" i="6"/>
  <c r="BK1156" i="6"/>
  <c r="BD1156" i="6" s="1"/>
  <c r="BL1156" i="6"/>
  <c r="BQ1156" i="6"/>
  <c r="BR1156" i="6"/>
  <c r="BS1156" i="6"/>
  <c r="BU1156" i="6"/>
  <c r="BV1156" i="6"/>
  <c r="BW1156" i="6"/>
  <c r="BX1156" i="6"/>
  <c r="BY1156" i="6"/>
  <c r="CE1213" i="6"/>
  <c r="BJ1157" i="6"/>
  <c r="BK1157" i="6"/>
  <c r="BD1157" i="6" s="1"/>
  <c r="BL1157" i="6"/>
  <c r="BE1157" i="6" s="1"/>
  <c r="BQ1157" i="6"/>
  <c r="BR1157" i="6"/>
  <c r="BS1157" i="6"/>
  <c r="BU1157" i="6"/>
  <c r="BV1157" i="6"/>
  <c r="BW1157" i="6"/>
  <c r="BX1157" i="6"/>
  <c r="BY1157" i="6"/>
  <c r="CE1169" i="6"/>
  <c r="BJ1158" i="6"/>
  <c r="BK1158" i="6"/>
  <c r="BD1158" i="6" s="1"/>
  <c r="BL1158" i="6"/>
  <c r="BQ1158" i="6"/>
  <c r="BR1158" i="6"/>
  <c r="BS1158" i="6"/>
  <c r="BU1158" i="6"/>
  <c r="BV1158" i="6"/>
  <c r="BW1158" i="6"/>
  <c r="BX1158" i="6"/>
  <c r="BY1158" i="6"/>
  <c r="CE1163" i="6"/>
  <c r="AV1159" i="6"/>
  <c r="BJ1159" i="6"/>
  <c r="BK1159" i="6"/>
  <c r="BD1159" i="6" s="1"/>
  <c r="BL1159" i="6"/>
  <c r="BQ1159" i="6"/>
  <c r="BR1159" i="6"/>
  <c r="BS1159" i="6"/>
  <c r="BU1159" i="6"/>
  <c r="BV1159" i="6"/>
  <c r="BW1159" i="6"/>
  <c r="BX1159" i="6"/>
  <c r="BY1159" i="6"/>
  <c r="CE1157" i="6"/>
  <c r="BJ1160" i="6"/>
  <c r="BK1160" i="6"/>
  <c r="BD1160" i="6" s="1"/>
  <c r="BL1160" i="6"/>
  <c r="BE1160" i="6" s="1"/>
  <c r="BQ1160" i="6"/>
  <c r="BR1160" i="6"/>
  <c r="BS1160" i="6"/>
  <c r="BU1160" i="6"/>
  <c r="BV1160" i="6"/>
  <c r="BW1160" i="6"/>
  <c r="BX1160" i="6"/>
  <c r="BY1160" i="6"/>
  <c r="CE1166" i="6"/>
  <c r="BJ1161" i="6"/>
  <c r="BK1161" i="6"/>
  <c r="BD1161" i="6" s="1"/>
  <c r="BL1161" i="6"/>
  <c r="BE1161" i="6" s="1"/>
  <c r="BQ1161" i="6"/>
  <c r="BR1161" i="6"/>
  <c r="BS1161" i="6"/>
  <c r="BU1161" i="6"/>
  <c r="BV1161" i="6"/>
  <c r="BW1161" i="6"/>
  <c r="BX1161" i="6"/>
  <c r="BY1161" i="6"/>
  <c r="CE1151" i="6"/>
  <c r="BJ1162" i="6"/>
  <c r="BK1162" i="6"/>
  <c r="BD1162" i="6" s="1"/>
  <c r="BL1162" i="6"/>
  <c r="BQ1162" i="6"/>
  <c r="BR1162" i="6"/>
  <c r="BS1162" i="6"/>
  <c r="BU1162" i="6"/>
  <c r="BW1162" i="6"/>
  <c r="BX1162" i="6"/>
  <c r="BY1162" i="6"/>
  <c r="CE1182" i="6"/>
  <c r="BJ1163" i="6"/>
  <c r="BK1163" i="6"/>
  <c r="BD1163" i="6" s="1"/>
  <c r="BL1163" i="6"/>
  <c r="BE1163" i="6" s="1"/>
  <c r="BQ1163" i="6"/>
  <c r="BR1163" i="6"/>
  <c r="BS1163" i="6"/>
  <c r="BU1163" i="6"/>
  <c r="BV1163" i="6"/>
  <c r="BW1163" i="6"/>
  <c r="BX1163" i="6"/>
  <c r="BY1163" i="6"/>
  <c r="CE1194" i="6"/>
  <c r="BJ1164" i="6"/>
  <c r="BK1164" i="6"/>
  <c r="BD1164" i="6" s="1"/>
  <c r="BL1164" i="6"/>
  <c r="BQ1164" i="6"/>
  <c r="BR1164" i="6"/>
  <c r="BS1164" i="6"/>
  <c r="BU1164" i="6"/>
  <c r="BV1164" i="6"/>
  <c r="BW1164" i="6"/>
  <c r="BX1164" i="6"/>
  <c r="BY1164" i="6"/>
  <c r="CE1212" i="6"/>
  <c r="AV1165" i="6"/>
  <c r="BJ1165" i="6"/>
  <c r="BK1165" i="6"/>
  <c r="BD1165" i="6" s="1"/>
  <c r="BL1165" i="6"/>
  <c r="BQ1165" i="6"/>
  <c r="BR1165" i="6"/>
  <c r="BS1165" i="6"/>
  <c r="BU1165" i="6"/>
  <c r="BV1165" i="6"/>
  <c r="BW1165" i="6"/>
  <c r="BX1165" i="6"/>
  <c r="BY1165" i="6"/>
  <c r="CE1170" i="6"/>
  <c r="BJ1166" i="6"/>
  <c r="BK1166" i="6"/>
  <c r="BD1166" i="6" s="1"/>
  <c r="BL1166" i="6"/>
  <c r="BE1166" i="6" s="1"/>
  <c r="BQ1166" i="6"/>
  <c r="BR1166" i="6"/>
  <c r="BS1166" i="6"/>
  <c r="BU1166" i="6"/>
  <c r="BV1166" i="6"/>
  <c r="BW1166" i="6"/>
  <c r="BX1166" i="6"/>
  <c r="BY1166" i="6"/>
  <c r="CE1160" i="6"/>
  <c r="BJ1167" i="6"/>
  <c r="BK1167" i="6"/>
  <c r="BD1167" i="6" s="1"/>
  <c r="BL1167" i="6"/>
  <c r="BQ1167" i="6"/>
  <c r="BR1167" i="6"/>
  <c r="BS1167" i="6"/>
  <c r="BU1167" i="6"/>
  <c r="BV1167" i="6"/>
  <c r="BW1167" i="6"/>
  <c r="BX1167" i="6"/>
  <c r="BY1167" i="6"/>
  <c r="CE1164" i="6"/>
  <c r="BJ1168" i="6"/>
  <c r="BK1168" i="6"/>
  <c r="BD1168" i="6" s="1"/>
  <c r="BL1168" i="6"/>
  <c r="BQ1168" i="6"/>
  <c r="BR1168" i="6"/>
  <c r="BS1168" i="6"/>
  <c r="BU1168" i="6"/>
  <c r="BV1168" i="6"/>
  <c r="BW1168" i="6"/>
  <c r="BX1168" i="6"/>
  <c r="BY1168" i="6"/>
  <c r="CE1158" i="6"/>
  <c r="BJ1169" i="6"/>
  <c r="BK1169" i="6"/>
  <c r="BD1169" i="6" s="1"/>
  <c r="BL1169" i="6"/>
  <c r="BE1169" i="6" s="1"/>
  <c r="BQ1169" i="6"/>
  <c r="BR1169" i="6"/>
  <c r="BS1169" i="6"/>
  <c r="BU1169" i="6"/>
  <c r="BV1169" i="6"/>
  <c r="BW1169" i="6"/>
  <c r="BX1169" i="6"/>
  <c r="BY1169" i="6"/>
  <c r="CE1152" i="6"/>
  <c r="BK1170" i="6"/>
  <c r="BD1170" i="6" s="1"/>
  <c r="BJ1170" i="6"/>
  <c r="BQ1170" i="6"/>
  <c r="BR1170" i="6"/>
  <c r="BS1170" i="6"/>
  <c r="BU1170" i="6"/>
  <c r="BV1170" i="6"/>
  <c r="BX1170" i="6"/>
  <c r="BY1170" i="6"/>
  <c r="CE1180" i="6"/>
  <c r="AV1171" i="6"/>
  <c r="BJ1171" i="6"/>
  <c r="BK1171" i="6"/>
  <c r="BD1171" i="6" s="1"/>
  <c r="BL1171" i="6"/>
  <c r="BQ1171" i="6"/>
  <c r="BR1171" i="6"/>
  <c r="BS1171" i="6"/>
  <c r="BU1171" i="6"/>
  <c r="BV1171" i="6"/>
  <c r="BW1171" i="6"/>
  <c r="BX1171" i="6"/>
  <c r="BY1171" i="6"/>
  <c r="CE1192" i="6"/>
  <c r="BJ1172" i="6"/>
  <c r="BK1172" i="6"/>
  <c r="BD1172" i="6" s="1"/>
  <c r="BL1172" i="6"/>
  <c r="BE1172" i="6" s="1"/>
  <c r="BQ1172" i="6"/>
  <c r="BR1172" i="6"/>
  <c r="BS1172" i="6"/>
  <c r="BU1172" i="6"/>
  <c r="BV1172" i="6"/>
  <c r="BW1172" i="6"/>
  <c r="BX1172" i="6"/>
  <c r="BY1172" i="6"/>
  <c r="CE1154" i="6"/>
  <c r="BJ1239" i="6"/>
  <c r="BK1239" i="6"/>
  <c r="BD1239" i="6" s="1"/>
  <c r="BL1239" i="6"/>
  <c r="BE1239" i="6" s="1"/>
  <c r="BQ1239" i="6"/>
  <c r="BR1239" i="6"/>
  <c r="BS1239" i="6"/>
  <c r="BU1239" i="6"/>
  <c r="BV1239" i="6"/>
  <c r="BW1239" i="6"/>
  <c r="BX1239" i="6"/>
  <c r="BY1239" i="6"/>
  <c r="CE1173" i="6"/>
  <c r="BJ1240" i="6"/>
  <c r="BQ1240" i="6"/>
  <c r="BR1240" i="6"/>
  <c r="BS1240" i="6"/>
  <c r="BU1240" i="6"/>
  <c r="BW1240" i="6"/>
  <c r="BX1240" i="6"/>
  <c r="BY1240" i="6"/>
  <c r="CE1174" i="6"/>
  <c r="BJ1241" i="6"/>
  <c r="BK1241" i="6"/>
  <c r="BD1241" i="6" s="1"/>
  <c r="BL1241" i="6"/>
  <c r="BE1241" i="6" s="1"/>
  <c r="BQ1241" i="6"/>
  <c r="BR1241" i="6"/>
  <c r="BS1241" i="6"/>
  <c r="BU1241" i="6"/>
  <c r="BV1241" i="6"/>
  <c r="BW1241" i="6"/>
  <c r="BX1241" i="6"/>
  <c r="BY1241" i="6"/>
  <c r="CE1175" i="6"/>
  <c r="BK1242" i="6"/>
  <c r="BD1242" i="6" s="1"/>
  <c r="BJ1242" i="6"/>
  <c r="BQ1242" i="6"/>
  <c r="BR1242" i="6"/>
  <c r="BS1242" i="6"/>
  <c r="BU1242" i="6"/>
  <c r="BW1242" i="6"/>
  <c r="BX1242" i="6"/>
  <c r="BY1242" i="6"/>
  <c r="CE1176" i="6"/>
  <c r="BK1243" i="6"/>
  <c r="BD1243" i="6" s="1"/>
  <c r="AV1243" i="6"/>
  <c r="BJ1243" i="6"/>
  <c r="BL1243" i="6"/>
  <c r="BQ1243" i="6"/>
  <c r="BR1243" i="6"/>
  <c r="BS1243" i="6"/>
  <c r="BU1243" i="6"/>
  <c r="BW1243" i="6"/>
  <c r="BX1243" i="6"/>
  <c r="BY1243" i="6"/>
  <c r="CE1177" i="6"/>
  <c r="BJ1244" i="6"/>
  <c r="BK1244" i="6"/>
  <c r="BD1244" i="6" s="1"/>
  <c r="BL1244" i="6"/>
  <c r="BE1244" i="6" s="1"/>
  <c r="BQ1244" i="6"/>
  <c r="BR1244" i="6"/>
  <c r="BS1244" i="6"/>
  <c r="BU1244" i="6"/>
  <c r="BV1244" i="6"/>
  <c r="BW1244" i="6"/>
  <c r="BX1244" i="6"/>
  <c r="BY1244" i="6"/>
  <c r="CE1178" i="6"/>
  <c r="BJ1245" i="6"/>
  <c r="BK1245" i="6"/>
  <c r="BD1245" i="6" s="1"/>
  <c r="BL1245" i="6"/>
  <c r="BE1245" i="6" s="1"/>
  <c r="BQ1245" i="6"/>
  <c r="BR1245" i="6"/>
  <c r="BS1245" i="6"/>
  <c r="BU1245" i="6"/>
  <c r="BV1245" i="6"/>
  <c r="BW1245" i="6"/>
  <c r="BX1245" i="6"/>
  <c r="BY1245" i="6"/>
  <c r="CE1210" i="6"/>
  <c r="BJ1246" i="6"/>
  <c r="BK1246" i="6"/>
  <c r="BD1246" i="6" s="1"/>
  <c r="BL1246" i="6"/>
  <c r="BQ1246" i="6"/>
  <c r="BR1246" i="6"/>
  <c r="BS1246" i="6"/>
  <c r="BU1246" i="6"/>
  <c r="BV1246" i="6"/>
  <c r="BW1246" i="6"/>
  <c r="BX1246" i="6"/>
  <c r="BY1246" i="6"/>
  <c r="CE1168" i="6"/>
  <c r="BJ1247" i="6"/>
  <c r="BK1247" i="6"/>
  <c r="BD1247" i="6" s="1"/>
  <c r="BL1247" i="6"/>
  <c r="BE1247" i="6" s="1"/>
  <c r="BQ1247" i="6"/>
  <c r="BR1247" i="6"/>
  <c r="BS1247" i="6"/>
  <c r="BU1247" i="6"/>
  <c r="BV1247" i="6"/>
  <c r="BW1247" i="6"/>
  <c r="BX1247" i="6"/>
  <c r="BY1247" i="6"/>
  <c r="CE1162" i="6"/>
  <c r="BJ1248" i="6"/>
  <c r="BK1248" i="6"/>
  <c r="BD1248" i="6" s="1"/>
  <c r="BL1248" i="6"/>
  <c r="BE1248" i="6" s="1"/>
  <c r="BQ1248" i="6"/>
  <c r="BR1248" i="6"/>
  <c r="BS1248" i="6"/>
  <c r="BU1248" i="6"/>
  <c r="BV1248" i="6"/>
  <c r="BW1248" i="6"/>
  <c r="BX1248" i="6"/>
  <c r="BY1248" i="6"/>
  <c r="CE1156" i="6"/>
  <c r="AV1249" i="6"/>
  <c r="BJ1249" i="6"/>
  <c r="BK1249" i="6"/>
  <c r="BD1249" i="6" s="1"/>
  <c r="BL1249" i="6"/>
  <c r="BQ1249" i="6"/>
  <c r="BR1249" i="6"/>
  <c r="BS1249" i="6"/>
  <c r="BU1249" i="6"/>
  <c r="BV1249" i="6"/>
  <c r="BW1249" i="6"/>
  <c r="BX1249" i="6"/>
  <c r="BY1249" i="6"/>
  <c r="CE1150" i="6"/>
  <c r="BJ1250" i="6"/>
  <c r="BK1250" i="6"/>
  <c r="BD1250" i="6" s="1"/>
  <c r="BL1250" i="6"/>
  <c r="BE1250" i="6" s="1"/>
  <c r="BQ1250" i="6"/>
  <c r="BR1250" i="6"/>
  <c r="BS1250" i="6"/>
  <c r="BU1250" i="6"/>
  <c r="BV1250" i="6"/>
  <c r="BW1250" i="6"/>
  <c r="BX1250" i="6"/>
  <c r="BY1250" i="6"/>
  <c r="CE1184" i="6"/>
  <c r="BJ9" i="6"/>
  <c r="BK9" i="6"/>
  <c r="BD9" i="6" s="1"/>
  <c r="BL9" i="6"/>
  <c r="BE9" i="6" s="1"/>
  <c r="BQ9" i="6"/>
  <c r="BR9" i="6"/>
  <c r="BS9" i="6"/>
  <c r="BU9" i="6"/>
  <c r="BV9" i="6"/>
  <c r="BW9" i="6"/>
  <c r="BX9" i="6"/>
  <c r="BY9" i="6"/>
  <c r="CE9" i="6"/>
  <c r="BJ10" i="6"/>
  <c r="BK10" i="6"/>
  <c r="BD10" i="6" s="1"/>
  <c r="BL10" i="6"/>
  <c r="BE10" i="6" s="1"/>
  <c r="BQ10" i="6"/>
  <c r="BR10" i="6"/>
  <c r="BS10" i="6"/>
  <c r="BU10" i="6"/>
  <c r="BV10" i="6"/>
  <c r="BW10" i="6"/>
  <c r="BX10" i="6"/>
  <c r="BY10" i="6"/>
  <c r="CE10" i="6"/>
  <c r="BJ11" i="6"/>
  <c r="BK11" i="6"/>
  <c r="BD11" i="6" s="1"/>
  <c r="BL11" i="6"/>
  <c r="BE11" i="6" s="1"/>
  <c r="BQ11" i="6"/>
  <c r="BR11" i="6"/>
  <c r="BS11" i="6"/>
  <c r="BU11" i="6"/>
  <c r="BV11" i="6"/>
  <c r="BW11" i="6"/>
  <c r="BX11" i="6"/>
  <c r="BY11" i="6"/>
  <c r="CE11" i="6"/>
  <c r="BJ12" i="6"/>
  <c r="BK12" i="6"/>
  <c r="BD12" i="6" s="1"/>
  <c r="BL12" i="6"/>
  <c r="BE12" i="6" s="1"/>
  <c r="BQ12" i="6"/>
  <c r="BR12" i="6"/>
  <c r="BS12" i="6"/>
  <c r="BU12" i="6"/>
  <c r="BV12" i="6"/>
  <c r="BW12" i="6"/>
  <c r="BX12" i="6"/>
  <c r="BY12" i="6"/>
  <c r="CE12" i="6"/>
  <c r="AV13" i="6"/>
  <c r="BJ13" i="6"/>
  <c r="BK13" i="6"/>
  <c r="BD13" i="6" s="1"/>
  <c r="BL13" i="6"/>
  <c r="BE13" i="6" s="1"/>
  <c r="BQ13" i="6"/>
  <c r="BR13" i="6"/>
  <c r="BS13" i="6"/>
  <c r="BU13" i="6"/>
  <c r="BV13" i="6"/>
  <c r="BW13" i="6"/>
  <c r="BX13" i="6"/>
  <c r="BY13" i="6"/>
  <c r="CE13" i="6"/>
  <c r="BJ14" i="6"/>
  <c r="BK14" i="6"/>
  <c r="BD14" i="6" s="1"/>
  <c r="BL14" i="6"/>
  <c r="BE14" i="6" s="1"/>
  <c r="BQ14" i="6"/>
  <c r="BR14" i="6"/>
  <c r="BS14" i="6"/>
  <c r="BU14" i="6"/>
  <c r="BV14" i="6"/>
  <c r="BW14" i="6"/>
  <c r="BX14" i="6"/>
  <c r="BY14" i="6"/>
  <c r="CE14" i="6"/>
  <c r="BJ15" i="6"/>
  <c r="BK15" i="6"/>
  <c r="BD15" i="6" s="1"/>
  <c r="BL15" i="6"/>
  <c r="BE15" i="6" s="1"/>
  <c r="BQ15" i="6"/>
  <c r="BR15" i="6"/>
  <c r="BS15" i="6"/>
  <c r="BU15" i="6"/>
  <c r="BV15" i="6"/>
  <c r="BW15" i="6"/>
  <c r="BX15" i="6"/>
  <c r="BY15" i="6"/>
  <c r="CE15" i="6"/>
  <c r="BJ16" i="6"/>
  <c r="BK16" i="6"/>
  <c r="BD16" i="6" s="1"/>
  <c r="BL16" i="6"/>
  <c r="BE16" i="6" s="1"/>
  <c r="BQ16" i="6"/>
  <c r="BR16" i="6"/>
  <c r="BS16" i="6"/>
  <c r="BU16" i="6"/>
  <c r="BV16" i="6"/>
  <c r="BW16" i="6"/>
  <c r="BX16" i="6"/>
  <c r="BY16" i="6"/>
  <c r="CE16" i="6"/>
  <c r="BJ17" i="6"/>
  <c r="BK17" i="6"/>
  <c r="BD17" i="6" s="1"/>
  <c r="BL17" i="6"/>
  <c r="BE17" i="6" s="1"/>
  <c r="BQ17" i="6"/>
  <c r="BR17" i="6"/>
  <c r="BS17" i="6"/>
  <c r="BU17" i="6"/>
  <c r="BV17" i="6"/>
  <c r="BW17" i="6"/>
  <c r="BX17" i="6"/>
  <c r="BY17" i="6"/>
  <c r="CE17" i="6"/>
  <c r="BJ18" i="6"/>
  <c r="BK18" i="6"/>
  <c r="BD18" i="6" s="1"/>
  <c r="BL18" i="6"/>
  <c r="BE18" i="6" s="1"/>
  <c r="BQ18" i="6"/>
  <c r="BR18" i="6"/>
  <c r="BS18" i="6"/>
  <c r="BU18" i="6"/>
  <c r="BV18" i="6"/>
  <c r="BW18" i="6"/>
  <c r="BX18" i="6"/>
  <c r="BY18" i="6"/>
  <c r="CE18" i="6"/>
  <c r="AV19" i="6"/>
  <c r="BJ19" i="6"/>
  <c r="BK19" i="6"/>
  <c r="BD19" i="6" s="1"/>
  <c r="BL19" i="6"/>
  <c r="BE19" i="6" s="1"/>
  <c r="BQ19" i="6"/>
  <c r="BR19" i="6"/>
  <c r="BS19" i="6"/>
  <c r="BU19" i="6"/>
  <c r="BV19" i="6"/>
  <c r="BW19" i="6"/>
  <c r="BX19" i="6"/>
  <c r="BY19" i="6"/>
  <c r="CE19" i="6"/>
  <c r="BJ20" i="6"/>
  <c r="BK20" i="6"/>
  <c r="BD20" i="6" s="1"/>
  <c r="BL20" i="6"/>
  <c r="BE20" i="6" s="1"/>
  <c r="BQ20" i="6"/>
  <c r="BR20" i="6"/>
  <c r="BS20" i="6"/>
  <c r="BU20" i="6"/>
  <c r="BV20" i="6"/>
  <c r="BW20" i="6"/>
  <c r="BX20" i="6"/>
  <c r="BY20" i="6"/>
  <c r="CE20" i="6"/>
  <c r="BJ21" i="6"/>
  <c r="BK21" i="6"/>
  <c r="BD21" i="6" s="1"/>
  <c r="BL21" i="6"/>
  <c r="BE21" i="6" s="1"/>
  <c r="BQ21" i="6"/>
  <c r="BR21" i="6"/>
  <c r="BS21" i="6"/>
  <c r="BU21" i="6"/>
  <c r="BV21" i="6"/>
  <c r="BW21" i="6"/>
  <c r="BX21" i="6"/>
  <c r="BY21" i="6"/>
  <c r="CE21" i="6"/>
  <c r="BJ22" i="6"/>
  <c r="BK22" i="6"/>
  <c r="BD22" i="6" s="1"/>
  <c r="BL22" i="6"/>
  <c r="BE22" i="6" s="1"/>
  <c r="BQ22" i="6"/>
  <c r="BR22" i="6"/>
  <c r="BS22" i="6"/>
  <c r="BU22" i="6"/>
  <c r="BV22" i="6"/>
  <c r="BW22" i="6"/>
  <c r="BX22" i="6"/>
  <c r="BY22" i="6"/>
  <c r="CE22" i="6"/>
  <c r="BJ23" i="6"/>
  <c r="BK23" i="6"/>
  <c r="BD23" i="6" s="1"/>
  <c r="BL23" i="6"/>
  <c r="BE23" i="6" s="1"/>
  <c r="BQ23" i="6"/>
  <c r="BR23" i="6"/>
  <c r="BS23" i="6"/>
  <c r="BU23" i="6"/>
  <c r="BV23" i="6"/>
  <c r="BW23" i="6"/>
  <c r="BX23" i="6"/>
  <c r="BY23" i="6"/>
  <c r="CE23" i="6"/>
  <c r="BJ24" i="6"/>
  <c r="BK24" i="6"/>
  <c r="BD24" i="6" s="1"/>
  <c r="BL24" i="6"/>
  <c r="BE24" i="6" s="1"/>
  <c r="BQ24" i="6"/>
  <c r="BR24" i="6"/>
  <c r="BS24" i="6"/>
  <c r="BU24" i="6"/>
  <c r="BV24" i="6"/>
  <c r="BW24" i="6"/>
  <c r="BX24" i="6"/>
  <c r="BY24" i="6"/>
  <c r="CE24" i="6"/>
  <c r="AV25" i="6"/>
  <c r="BJ25" i="6"/>
  <c r="BK25" i="6"/>
  <c r="BD25" i="6" s="1"/>
  <c r="BL25" i="6"/>
  <c r="BE25" i="6" s="1"/>
  <c r="BQ25" i="6"/>
  <c r="BR25" i="6"/>
  <c r="BS25" i="6"/>
  <c r="BU25" i="6"/>
  <c r="BV25" i="6"/>
  <c r="BW25" i="6"/>
  <c r="BX25" i="6"/>
  <c r="BY25" i="6"/>
  <c r="CE25" i="6"/>
  <c r="BJ26" i="6"/>
  <c r="BK26" i="6"/>
  <c r="BD26" i="6" s="1"/>
  <c r="BL26" i="6"/>
  <c r="BE26" i="6" s="1"/>
  <c r="BQ26" i="6"/>
  <c r="BR26" i="6"/>
  <c r="BS26" i="6"/>
  <c r="BU26" i="6"/>
  <c r="BV26" i="6"/>
  <c r="BW26" i="6"/>
  <c r="BX26" i="6"/>
  <c r="BY26" i="6"/>
  <c r="CE26" i="6"/>
  <c r="BJ27" i="6"/>
  <c r="BK27" i="6"/>
  <c r="BD27" i="6" s="1"/>
  <c r="BL27" i="6"/>
  <c r="BE27" i="6" s="1"/>
  <c r="BQ27" i="6"/>
  <c r="BR27" i="6"/>
  <c r="BS27" i="6"/>
  <c r="BU27" i="6"/>
  <c r="BV27" i="6"/>
  <c r="BW27" i="6"/>
  <c r="BX27" i="6"/>
  <c r="BY27" i="6"/>
  <c r="CE27" i="6"/>
  <c r="BJ28" i="6"/>
  <c r="BK28" i="6"/>
  <c r="BD28" i="6" s="1"/>
  <c r="BL28" i="6"/>
  <c r="BE28" i="6" s="1"/>
  <c r="BQ28" i="6"/>
  <c r="BR28" i="6"/>
  <c r="BS28" i="6"/>
  <c r="BU28" i="6"/>
  <c r="BV28" i="6"/>
  <c r="BW28" i="6"/>
  <c r="BX28" i="6"/>
  <c r="BY28" i="6"/>
  <c r="CE28" i="6"/>
  <c r="BJ29" i="6"/>
  <c r="BK29" i="6"/>
  <c r="BD29" i="6" s="1"/>
  <c r="BL29" i="6"/>
  <c r="BE29" i="6" s="1"/>
  <c r="BQ29" i="6"/>
  <c r="BR29" i="6"/>
  <c r="BS29" i="6"/>
  <c r="BU29" i="6"/>
  <c r="BV29" i="6"/>
  <c r="BW29" i="6"/>
  <c r="BX29" i="6"/>
  <c r="BY29" i="6"/>
  <c r="CE29" i="6"/>
  <c r="BJ30" i="6"/>
  <c r="BK30" i="6"/>
  <c r="BD30" i="6" s="1"/>
  <c r="BL30" i="6"/>
  <c r="BE30" i="6" s="1"/>
  <c r="BQ30" i="6"/>
  <c r="BR30" i="6"/>
  <c r="BS30" i="6"/>
  <c r="BU30" i="6"/>
  <c r="BV30" i="6"/>
  <c r="BW30" i="6"/>
  <c r="BX30" i="6"/>
  <c r="BY30" i="6"/>
  <c r="CE30" i="6"/>
  <c r="AV31" i="6"/>
  <c r="BJ31" i="6"/>
  <c r="BK31" i="6"/>
  <c r="BD31" i="6" s="1"/>
  <c r="BL31" i="6"/>
  <c r="BE31" i="6" s="1"/>
  <c r="BQ31" i="6"/>
  <c r="BR31" i="6"/>
  <c r="BS31" i="6"/>
  <c r="BU31" i="6"/>
  <c r="BV31" i="6"/>
  <c r="BW31" i="6"/>
  <c r="BX31" i="6"/>
  <c r="BY31" i="6"/>
  <c r="CE31" i="6"/>
  <c r="BJ32" i="6"/>
  <c r="BK32" i="6"/>
  <c r="BD32" i="6" s="1"/>
  <c r="BL32" i="6"/>
  <c r="BE32" i="6" s="1"/>
  <c r="BQ32" i="6"/>
  <c r="BR32" i="6"/>
  <c r="BS32" i="6"/>
  <c r="BU32" i="6"/>
  <c r="BV32" i="6"/>
  <c r="BW32" i="6"/>
  <c r="BX32" i="6"/>
  <c r="BY32" i="6"/>
  <c r="CE32" i="6"/>
  <c r="BJ33" i="6"/>
  <c r="BK33" i="6"/>
  <c r="BD33" i="6" s="1"/>
  <c r="BL33" i="6"/>
  <c r="BE33" i="6" s="1"/>
  <c r="BQ33" i="6"/>
  <c r="BR33" i="6"/>
  <c r="BS33" i="6"/>
  <c r="BU33" i="6"/>
  <c r="BV33" i="6"/>
  <c r="BW33" i="6"/>
  <c r="BX33" i="6"/>
  <c r="BY33" i="6"/>
  <c r="CE33" i="6"/>
  <c r="BK34" i="6"/>
  <c r="BD34" i="6" s="1"/>
  <c r="BW34" i="6"/>
  <c r="BJ34" i="6"/>
  <c r="BQ34" i="6"/>
  <c r="BR34" i="6"/>
  <c r="BS34" i="6"/>
  <c r="BU34" i="6"/>
  <c r="BX34" i="6"/>
  <c r="BY34" i="6"/>
  <c r="CE34" i="6"/>
  <c r="BJ35" i="6"/>
  <c r="BK35" i="6"/>
  <c r="BD35" i="6" s="1"/>
  <c r="BL35" i="6"/>
  <c r="BE35" i="6" s="1"/>
  <c r="BQ35" i="6"/>
  <c r="BR35" i="6"/>
  <c r="BS35" i="6"/>
  <c r="BU35" i="6"/>
  <c r="BV35" i="6"/>
  <c r="BW35" i="6"/>
  <c r="BX35" i="6"/>
  <c r="BY35" i="6"/>
  <c r="CE35" i="6"/>
  <c r="BJ36" i="6"/>
  <c r="BK36" i="6"/>
  <c r="BD36" i="6" s="1"/>
  <c r="BL36" i="6"/>
  <c r="BE36" i="6" s="1"/>
  <c r="BQ36" i="6"/>
  <c r="BR36" i="6"/>
  <c r="BS36" i="6"/>
  <c r="BU36" i="6"/>
  <c r="BV36" i="6"/>
  <c r="BW36" i="6"/>
  <c r="BX36" i="6"/>
  <c r="BY36" i="6"/>
  <c r="CE36" i="6"/>
  <c r="BK37" i="6"/>
  <c r="BD37" i="6" s="1"/>
  <c r="AV37" i="6"/>
  <c r="BJ37" i="6"/>
  <c r="BQ37" i="6"/>
  <c r="BR37" i="6"/>
  <c r="BS37" i="6"/>
  <c r="BU37" i="6"/>
  <c r="BV37" i="6"/>
  <c r="BW37" i="6"/>
  <c r="BX37" i="6"/>
  <c r="BY37" i="6"/>
  <c r="CE37" i="6"/>
  <c r="BJ38" i="6"/>
  <c r="BK38" i="6"/>
  <c r="BD38" i="6" s="1"/>
  <c r="BL38" i="6"/>
  <c r="BE38" i="6" s="1"/>
  <c r="BQ38" i="6"/>
  <c r="BR38" i="6"/>
  <c r="BS38" i="6"/>
  <c r="BU38" i="6"/>
  <c r="BV38" i="6"/>
  <c r="BW38" i="6"/>
  <c r="BX38" i="6"/>
  <c r="BY38" i="6"/>
  <c r="CE38" i="6"/>
  <c r="BJ183" i="6"/>
  <c r="BK183" i="6"/>
  <c r="BD183" i="6" s="1"/>
  <c r="BL183" i="6"/>
  <c r="BQ183" i="6"/>
  <c r="BR183" i="6"/>
  <c r="BS183" i="6"/>
  <c r="BU183" i="6"/>
  <c r="BV183" i="6"/>
  <c r="BW183" i="6"/>
  <c r="BX183" i="6"/>
  <c r="BY183" i="6"/>
  <c r="CE183" i="6"/>
  <c r="BJ184" i="6"/>
  <c r="BK184" i="6"/>
  <c r="BD184" i="6" s="1"/>
  <c r="BL184" i="6"/>
  <c r="BE184" i="6" s="1"/>
  <c r="BQ184" i="6"/>
  <c r="BR184" i="6"/>
  <c r="BS184" i="6"/>
  <c r="BU184" i="6"/>
  <c r="BV184" i="6"/>
  <c r="BW184" i="6"/>
  <c r="BX184" i="6"/>
  <c r="BY184" i="6"/>
  <c r="CE184" i="6"/>
  <c r="BJ185" i="6"/>
  <c r="BK185" i="6"/>
  <c r="BD185" i="6" s="1"/>
  <c r="BL185" i="6"/>
  <c r="BE185" i="6" s="1"/>
  <c r="BQ185" i="6"/>
  <c r="BR185" i="6"/>
  <c r="BS185" i="6"/>
  <c r="BU185" i="6"/>
  <c r="BV185" i="6"/>
  <c r="BW185" i="6"/>
  <c r="BX185" i="6"/>
  <c r="BY185" i="6"/>
  <c r="CE185" i="6"/>
  <c r="BJ186" i="6"/>
  <c r="BK186" i="6"/>
  <c r="BD186" i="6" s="1"/>
  <c r="BL186" i="6"/>
  <c r="BE186" i="6" s="1"/>
  <c r="BQ186" i="6"/>
  <c r="BR186" i="6"/>
  <c r="BS186" i="6"/>
  <c r="BU186" i="6"/>
  <c r="BV186" i="6"/>
  <c r="BW186" i="6"/>
  <c r="BX186" i="6"/>
  <c r="BY186" i="6"/>
  <c r="CE186" i="6"/>
  <c r="BJ187" i="6"/>
  <c r="BK187" i="6"/>
  <c r="BD187" i="6" s="1"/>
  <c r="BL187" i="6"/>
  <c r="BE187" i="6" s="1"/>
  <c r="BQ187" i="6"/>
  <c r="BR187" i="6"/>
  <c r="BS187" i="6"/>
  <c r="BU187" i="6"/>
  <c r="BV187" i="6"/>
  <c r="BW187" i="6"/>
  <c r="BX187" i="6"/>
  <c r="BY187" i="6"/>
  <c r="CE187" i="6"/>
  <c r="BJ188" i="6"/>
  <c r="BK188" i="6"/>
  <c r="BD188" i="6" s="1"/>
  <c r="BL188" i="6"/>
  <c r="BE188" i="6" s="1"/>
  <c r="BQ188" i="6"/>
  <c r="BR188" i="6"/>
  <c r="BS188" i="6"/>
  <c r="BU188" i="6"/>
  <c r="BV188" i="6"/>
  <c r="BW188" i="6"/>
  <c r="BX188" i="6"/>
  <c r="BY188" i="6"/>
  <c r="CE188" i="6"/>
  <c r="BJ291" i="6"/>
  <c r="BK291" i="6"/>
  <c r="BD291" i="6" s="1"/>
  <c r="BL291" i="6"/>
  <c r="BE291" i="6" s="1"/>
  <c r="BQ291" i="6"/>
  <c r="BR291" i="6"/>
  <c r="BS291" i="6"/>
  <c r="BU291" i="6"/>
  <c r="BV291" i="6"/>
  <c r="BW291" i="6"/>
  <c r="BX291" i="6"/>
  <c r="BY291" i="6"/>
  <c r="CE537" i="6"/>
  <c r="BJ292" i="6"/>
  <c r="BK292" i="6"/>
  <c r="BD292" i="6" s="1"/>
  <c r="BL292" i="6"/>
  <c r="BE292" i="6" s="1"/>
  <c r="BQ292" i="6"/>
  <c r="BR292" i="6"/>
  <c r="BS292" i="6"/>
  <c r="BU292" i="6"/>
  <c r="BV292" i="6"/>
  <c r="BW292" i="6"/>
  <c r="BX292" i="6"/>
  <c r="BY292" i="6"/>
  <c r="CE538" i="6"/>
  <c r="BJ293" i="6"/>
  <c r="BK293" i="6"/>
  <c r="BD293" i="6" s="1"/>
  <c r="BL293" i="6"/>
  <c r="BE293" i="6" s="1"/>
  <c r="BQ293" i="6"/>
  <c r="BR293" i="6"/>
  <c r="BS293" i="6"/>
  <c r="BU293" i="6"/>
  <c r="BV293" i="6"/>
  <c r="BW293" i="6"/>
  <c r="BX293" i="6"/>
  <c r="BY293" i="6"/>
  <c r="CE539" i="6"/>
  <c r="BJ294" i="6"/>
  <c r="BK294" i="6"/>
  <c r="BD294" i="6" s="1"/>
  <c r="BL294" i="6"/>
  <c r="BE294" i="6" s="1"/>
  <c r="BQ294" i="6"/>
  <c r="BR294" i="6"/>
  <c r="BS294" i="6"/>
  <c r="BU294" i="6"/>
  <c r="BV294" i="6"/>
  <c r="BW294" i="6"/>
  <c r="BX294" i="6"/>
  <c r="BY294" i="6"/>
  <c r="CE540" i="6"/>
  <c r="BJ295" i="6"/>
  <c r="BK295" i="6"/>
  <c r="BD295" i="6" s="1"/>
  <c r="BL295" i="6"/>
  <c r="BE295" i="6" s="1"/>
  <c r="BQ295" i="6"/>
  <c r="BR295" i="6"/>
  <c r="BS295" i="6"/>
  <c r="BU295" i="6"/>
  <c r="BV295" i="6"/>
  <c r="BW295" i="6"/>
  <c r="BX295" i="6"/>
  <c r="BY295" i="6"/>
  <c r="CE541" i="6"/>
  <c r="BJ296" i="6"/>
  <c r="BK296" i="6"/>
  <c r="BD296" i="6" s="1"/>
  <c r="BL296" i="6"/>
  <c r="BE296" i="6" s="1"/>
  <c r="BQ296" i="6"/>
  <c r="BR296" i="6"/>
  <c r="BS296" i="6"/>
  <c r="BU296" i="6"/>
  <c r="BV296" i="6"/>
  <c r="BW296" i="6"/>
  <c r="BX296" i="6"/>
  <c r="BY296" i="6"/>
  <c r="CE542" i="6"/>
  <c r="BJ297" i="6"/>
  <c r="BK297" i="6"/>
  <c r="BD297" i="6" s="1"/>
  <c r="BL297" i="6"/>
  <c r="BE297" i="6" s="1"/>
  <c r="BQ297" i="6"/>
  <c r="BR297" i="6"/>
  <c r="BS297" i="6"/>
  <c r="BU297" i="6"/>
  <c r="BV297" i="6"/>
  <c r="BW297" i="6"/>
  <c r="BX297" i="6"/>
  <c r="BY297" i="6"/>
  <c r="CE309" i="6"/>
  <c r="BJ298" i="6"/>
  <c r="BK298" i="6"/>
  <c r="BD298" i="6" s="1"/>
  <c r="BL298" i="6"/>
  <c r="BE298" i="6" s="1"/>
  <c r="BQ298" i="6"/>
  <c r="BR298" i="6"/>
  <c r="BS298" i="6"/>
  <c r="BU298" i="6"/>
  <c r="BV298" i="6"/>
  <c r="BW298" i="6"/>
  <c r="BX298" i="6"/>
  <c r="BY298" i="6"/>
  <c r="CE310" i="6"/>
  <c r="BJ299" i="6"/>
  <c r="BK299" i="6"/>
  <c r="BD299" i="6" s="1"/>
  <c r="BL299" i="6"/>
  <c r="BE299" i="6" s="1"/>
  <c r="BQ299" i="6"/>
  <c r="BR299" i="6"/>
  <c r="BS299" i="6"/>
  <c r="BU299" i="6"/>
  <c r="BV299" i="6"/>
  <c r="BW299" i="6"/>
  <c r="BX299" i="6"/>
  <c r="BY299" i="6"/>
  <c r="CE311" i="6"/>
  <c r="BJ300" i="6"/>
  <c r="BK300" i="6"/>
  <c r="BD300" i="6" s="1"/>
  <c r="BL300" i="6"/>
  <c r="BE300" i="6" s="1"/>
  <c r="BQ300" i="6"/>
  <c r="BR300" i="6"/>
  <c r="BS300" i="6"/>
  <c r="BU300" i="6"/>
  <c r="BV300" i="6"/>
  <c r="BW300" i="6"/>
  <c r="BX300" i="6"/>
  <c r="BY300" i="6"/>
  <c r="CE312" i="6"/>
  <c r="AV301" i="6"/>
  <c r="BJ301" i="6"/>
  <c r="BK301" i="6"/>
  <c r="BD301" i="6" s="1"/>
  <c r="BL301" i="6"/>
  <c r="BE301" i="6" s="1"/>
  <c r="BQ301" i="6"/>
  <c r="BR301" i="6"/>
  <c r="BS301" i="6"/>
  <c r="BU301" i="6"/>
  <c r="BV301" i="6"/>
  <c r="BW301" i="6"/>
  <c r="BX301" i="6"/>
  <c r="BY301" i="6"/>
  <c r="CE313" i="6"/>
  <c r="BJ302" i="6"/>
  <c r="BK302" i="6"/>
  <c r="BD302" i="6" s="1"/>
  <c r="BL302" i="6"/>
  <c r="BE302" i="6" s="1"/>
  <c r="BQ302" i="6"/>
  <c r="BR302" i="6"/>
  <c r="BS302" i="6"/>
  <c r="BU302" i="6"/>
  <c r="BV302" i="6"/>
  <c r="BW302" i="6"/>
  <c r="BX302" i="6"/>
  <c r="BY302" i="6"/>
  <c r="CE314" i="6"/>
  <c r="BJ579" i="6"/>
  <c r="BK579" i="6"/>
  <c r="BD579" i="6" s="1"/>
  <c r="BL579" i="6"/>
  <c r="BE579" i="6" s="1"/>
  <c r="BQ579" i="6"/>
  <c r="BR579" i="6"/>
  <c r="BS579" i="6"/>
  <c r="BU579" i="6"/>
  <c r="BV579" i="6"/>
  <c r="BW579" i="6"/>
  <c r="BX579" i="6"/>
  <c r="BY579" i="6"/>
  <c r="CE315" i="6"/>
  <c r="BJ580" i="6"/>
  <c r="BK580" i="6"/>
  <c r="BD580" i="6" s="1"/>
  <c r="BL580" i="6"/>
  <c r="BE580" i="6" s="1"/>
  <c r="BQ580" i="6"/>
  <c r="BR580" i="6"/>
  <c r="BS580" i="6"/>
  <c r="BU580" i="6"/>
  <c r="BV580" i="6"/>
  <c r="BW580" i="6"/>
  <c r="BX580" i="6"/>
  <c r="BY580" i="6"/>
  <c r="CE316" i="6"/>
  <c r="BJ581" i="6"/>
  <c r="BK581" i="6"/>
  <c r="BD581" i="6" s="1"/>
  <c r="BL581" i="6"/>
  <c r="BE581" i="6" s="1"/>
  <c r="BQ581" i="6"/>
  <c r="BR581" i="6"/>
  <c r="BS581" i="6"/>
  <c r="BU581" i="6"/>
  <c r="BV581" i="6"/>
  <c r="BW581" i="6"/>
  <c r="BX581" i="6"/>
  <c r="BY581" i="6"/>
  <c r="CE317" i="6"/>
  <c r="BL582" i="6"/>
  <c r="BE582" i="6" s="1"/>
  <c r="BJ582" i="6"/>
  <c r="BK582" i="6"/>
  <c r="BD582" i="6" s="1"/>
  <c r="BQ582" i="6"/>
  <c r="BR582" i="6"/>
  <c r="BS582" i="6"/>
  <c r="BU582" i="6"/>
  <c r="BV582" i="6"/>
  <c r="BW582" i="6"/>
  <c r="BX582" i="6"/>
  <c r="BY582" i="6"/>
  <c r="CE318" i="6"/>
  <c r="BJ583" i="6"/>
  <c r="BK583" i="6"/>
  <c r="BD583" i="6" s="1"/>
  <c r="BL583" i="6"/>
  <c r="BE583" i="6" s="1"/>
  <c r="BQ583" i="6"/>
  <c r="BR583" i="6"/>
  <c r="BS583" i="6"/>
  <c r="BU583" i="6"/>
  <c r="BV583" i="6"/>
  <c r="BW583" i="6"/>
  <c r="BX583" i="6"/>
  <c r="BY583" i="6"/>
  <c r="CE319" i="6"/>
  <c r="BJ584" i="6"/>
  <c r="BK584" i="6"/>
  <c r="BD584" i="6" s="1"/>
  <c r="BL584" i="6"/>
  <c r="BE584" i="6" s="1"/>
  <c r="BQ584" i="6"/>
  <c r="BR584" i="6"/>
  <c r="BS584" i="6"/>
  <c r="BU584" i="6"/>
  <c r="BV584" i="6"/>
  <c r="BW584" i="6"/>
  <c r="BX584" i="6"/>
  <c r="BY584" i="6"/>
  <c r="CE320" i="6"/>
  <c r="BJ303" i="6"/>
  <c r="BK303" i="6"/>
  <c r="BD303" i="6" s="1"/>
  <c r="BL303" i="6"/>
  <c r="BE303" i="6" s="1"/>
  <c r="BQ303" i="6"/>
  <c r="BR303" i="6"/>
  <c r="BS303" i="6"/>
  <c r="BU303" i="6"/>
  <c r="BV303" i="6"/>
  <c r="BW303" i="6"/>
  <c r="BX303" i="6"/>
  <c r="BY303" i="6"/>
  <c r="CE423" i="6"/>
  <c r="BJ304" i="6"/>
  <c r="BK304" i="6"/>
  <c r="BD304" i="6" s="1"/>
  <c r="BL304" i="6"/>
  <c r="BE304" i="6" s="1"/>
  <c r="BQ304" i="6"/>
  <c r="BR304" i="6"/>
  <c r="BS304" i="6"/>
  <c r="BU304" i="6"/>
  <c r="BV304" i="6"/>
  <c r="BW304" i="6"/>
  <c r="BX304" i="6"/>
  <c r="BY304" i="6"/>
  <c r="CE424" i="6"/>
  <c r="BJ305" i="6"/>
  <c r="BK305" i="6"/>
  <c r="BD305" i="6" s="1"/>
  <c r="BL305" i="6"/>
  <c r="BE305" i="6" s="1"/>
  <c r="BQ305" i="6"/>
  <c r="BR305" i="6"/>
  <c r="BS305" i="6"/>
  <c r="BU305" i="6"/>
  <c r="BV305" i="6"/>
  <c r="BW305" i="6"/>
  <c r="BX305" i="6"/>
  <c r="BY305" i="6"/>
  <c r="CE425" i="6"/>
  <c r="BJ306" i="6"/>
  <c r="BK306" i="6"/>
  <c r="BD306" i="6" s="1"/>
  <c r="BL306" i="6"/>
  <c r="BE306" i="6" s="1"/>
  <c r="BQ306" i="6"/>
  <c r="BR306" i="6"/>
  <c r="BS306" i="6"/>
  <c r="BU306" i="6"/>
  <c r="BV306" i="6"/>
  <c r="BW306" i="6"/>
  <c r="BX306" i="6"/>
  <c r="BY306" i="6"/>
  <c r="CE426" i="6"/>
  <c r="BJ307" i="6"/>
  <c r="BK307" i="6"/>
  <c r="BD307" i="6" s="1"/>
  <c r="BL307" i="6"/>
  <c r="BE307" i="6" s="1"/>
  <c r="BQ307" i="6"/>
  <c r="BR307" i="6"/>
  <c r="BS307" i="6"/>
  <c r="BU307" i="6"/>
  <c r="BV307" i="6"/>
  <c r="BW307" i="6"/>
  <c r="BX307" i="6"/>
  <c r="BY307" i="6"/>
  <c r="CE427" i="6"/>
  <c r="BJ308" i="6"/>
  <c r="BK308" i="6"/>
  <c r="BD308" i="6" s="1"/>
  <c r="BL308" i="6"/>
  <c r="BE308" i="6" s="1"/>
  <c r="BQ308" i="6"/>
  <c r="BR308" i="6"/>
  <c r="BS308" i="6"/>
  <c r="BU308" i="6"/>
  <c r="BV308" i="6"/>
  <c r="BW308" i="6"/>
  <c r="BX308" i="6"/>
  <c r="BY308" i="6"/>
  <c r="CE428" i="6"/>
  <c r="BJ537" i="6"/>
  <c r="BK537" i="6"/>
  <c r="BD537" i="6" s="1"/>
  <c r="BL537" i="6"/>
  <c r="BE537" i="6" s="1"/>
  <c r="BQ537" i="6"/>
  <c r="BR537" i="6"/>
  <c r="BS537" i="6"/>
  <c r="BU537" i="6"/>
  <c r="BV537" i="6"/>
  <c r="BW537" i="6"/>
  <c r="BX537" i="6"/>
  <c r="BY537" i="6"/>
  <c r="CE429" i="6"/>
  <c r="BJ538" i="6"/>
  <c r="BK538" i="6"/>
  <c r="BD538" i="6" s="1"/>
  <c r="BL538" i="6"/>
  <c r="BE538" i="6" s="1"/>
  <c r="BQ538" i="6"/>
  <c r="BR538" i="6"/>
  <c r="BS538" i="6"/>
  <c r="BU538" i="6"/>
  <c r="BV538" i="6"/>
  <c r="BW538" i="6"/>
  <c r="BX538" i="6"/>
  <c r="BY538" i="6"/>
  <c r="CE430" i="6"/>
  <c r="BJ539" i="6"/>
  <c r="BK539" i="6"/>
  <c r="BD539" i="6" s="1"/>
  <c r="BL539" i="6"/>
  <c r="BE539" i="6" s="1"/>
  <c r="BQ539" i="6"/>
  <c r="BR539" i="6"/>
  <c r="BS539" i="6"/>
  <c r="BU539" i="6"/>
  <c r="BV539" i="6"/>
  <c r="BW539" i="6"/>
  <c r="BX539" i="6"/>
  <c r="BY539" i="6"/>
  <c r="CE431" i="6"/>
  <c r="BJ540" i="6"/>
  <c r="BK540" i="6"/>
  <c r="BD540" i="6" s="1"/>
  <c r="BL540" i="6"/>
  <c r="BE540" i="6" s="1"/>
  <c r="BQ540" i="6"/>
  <c r="BR540" i="6"/>
  <c r="BS540" i="6"/>
  <c r="BU540" i="6"/>
  <c r="BV540" i="6"/>
  <c r="BW540" i="6"/>
  <c r="BX540" i="6"/>
  <c r="BY540" i="6"/>
  <c r="CE432" i="6"/>
  <c r="BJ541" i="6"/>
  <c r="BK541" i="6"/>
  <c r="BD541" i="6" s="1"/>
  <c r="BL541" i="6"/>
  <c r="BE541" i="6" s="1"/>
  <c r="BQ541" i="6"/>
  <c r="BR541" i="6"/>
  <c r="BS541" i="6"/>
  <c r="BU541" i="6"/>
  <c r="BV541" i="6"/>
  <c r="BW541" i="6"/>
  <c r="BX541" i="6"/>
  <c r="BY541" i="6"/>
  <c r="CE433" i="6"/>
  <c r="BJ542" i="6"/>
  <c r="BK542" i="6"/>
  <c r="BD542" i="6" s="1"/>
  <c r="BL542" i="6"/>
  <c r="BE542" i="6" s="1"/>
  <c r="BQ542" i="6"/>
  <c r="BR542" i="6"/>
  <c r="BS542" i="6"/>
  <c r="BU542" i="6"/>
  <c r="BV542" i="6"/>
  <c r="BW542" i="6"/>
  <c r="BX542" i="6"/>
  <c r="BY542" i="6"/>
  <c r="CE434" i="6"/>
  <c r="BJ309" i="6"/>
  <c r="BK309" i="6"/>
  <c r="BD309" i="6" s="1"/>
  <c r="BL309" i="6"/>
  <c r="BE309" i="6" s="1"/>
  <c r="BQ309" i="6"/>
  <c r="BR309" i="6"/>
  <c r="BS309" i="6"/>
  <c r="BU309" i="6"/>
  <c r="BV309" i="6"/>
  <c r="BW309" i="6"/>
  <c r="BX309" i="6"/>
  <c r="BY309" i="6"/>
  <c r="CE279" i="6"/>
  <c r="BJ310" i="6"/>
  <c r="BK310" i="6"/>
  <c r="BD310" i="6" s="1"/>
  <c r="BL310" i="6"/>
  <c r="BE310" i="6" s="1"/>
  <c r="BQ310" i="6"/>
  <c r="BR310" i="6"/>
  <c r="BS310" i="6"/>
  <c r="BU310" i="6"/>
  <c r="BV310" i="6"/>
  <c r="BW310" i="6"/>
  <c r="BX310" i="6"/>
  <c r="BY310" i="6"/>
  <c r="CE280" i="6"/>
  <c r="BJ311" i="6"/>
  <c r="BK311" i="6"/>
  <c r="BD311" i="6" s="1"/>
  <c r="BL311" i="6"/>
  <c r="BE311" i="6" s="1"/>
  <c r="BQ311" i="6"/>
  <c r="BR311" i="6"/>
  <c r="BS311" i="6"/>
  <c r="BU311" i="6"/>
  <c r="BV311" i="6"/>
  <c r="BW311" i="6"/>
  <c r="BX311" i="6"/>
  <c r="BY311" i="6"/>
  <c r="CE281" i="6"/>
  <c r="BJ312" i="6"/>
  <c r="BK312" i="6"/>
  <c r="BD312" i="6" s="1"/>
  <c r="BL312" i="6"/>
  <c r="BE312" i="6" s="1"/>
  <c r="BQ312" i="6"/>
  <c r="BR312" i="6"/>
  <c r="BS312" i="6"/>
  <c r="BU312" i="6"/>
  <c r="BV312" i="6"/>
  <c r="BW312" i="6"/>
  <c r="BX312" i="6"/>
  <c r="BY312" i="6"/>
  <c r="CE282" i="6"/>
  <c r="BJ313" i="6"/>
  <c r="BK313" i="6"/>
  <c r="BD313" i="6" s="1"/>
  <c r="BL313" i="6"/>
  <c r="BE313" i="6" s="1"/>
  <c r="BQ313" i="6"/>
  <c r="BR313" i="6"/>
  <c r="BS313" i="6"/>
  <c r="BU313" i="6"/>
  <c r="BV313" i="6"/>
  <c r="BW313" i="6"/>
  <c r="BX313" i="6"/>
  <c r="BY313" i="6"/>
  <c r="CE283" i="6"/>
  <c r="BJ314" i="6"/>
  <c r="BK314" i="6"/>
  <c r="BD314" i="6" s="1"/>
  <c r="BL314" i="6"/>
  <c r="BE314" i="6" s="1"/>
  <c r="BQ314" i="6"/>
  <c r="BR314" i="6"/>
  <c r="BS314" i="6"/>
  <c r="BU314" i="6"/>
  <c r="BV314" i="6"/>
  <c r="BW314" i="6"/>
  <c r="BX314" i="6"/>
  <c r="BY314" i="6"/>
  <c r="CE284" i="6"/>
  <c r="BJ315" i="6"/>
  <c r="BK315" i="6"/>
  <c r="BD315" i="6" s="1"/>
  <c r="BL315" i="6"/>
  <c r="BE315" i="6" s="1"/>
  <c r="BQ315" i="6"/>
  <c r="BR315" i="6"/>
  <c r="BS315" i="6"/>
  <c r="BU315" i="6"/>
  <c r="BV315" i="6"/>
  <c r="BW315" i="6"/>
  <c r="BX315" i="6"/>
  <c r="BY315" i="6"/>
  <c r="CE285" i="6"/>
  <c r="BJ316" i="6"/>
  <c r="BK316" i="6"/>
  <c r="BD316" i="6" s="1"/>
  <c r="BL316" i="6"/>
  <c r="BE316" i="6" s="1"/>
  <c r="BQ316" i="6"/>
  <c r="BR316" i="6"/>
  <c r="BS316" i="6"/>
  <c r="BU316" i="6"/>
  <c r="BV316" i="6"/>
  <c r="BW316" i="6"/>
  <c r="BX316" i="6"/>
  <c r="BY316" i="6"/>
  <c r="CE286" i="6"/>
  <c r="BJ317" i="6"/>
  <c r="BK317" i="6"/>
  <c r="BD317" i="6" s="1"/>
  <c r="BL317" i="6"/>
  <c r="BE317" i="6" s="1"/>
  <c r="BQ317" i="6"/>
  <c r="BR317" i="6"/>
  <c r="BS317" i="6"/>
  <c r="BU317" i="6"/>
  <c r="BV317" i="6"/>
  <c r="BW317" i="6"/>
  <c r="BX317" i="6"/>
  <c r="BY317" i="6"/>
  <c r="CE287" i="6"/>
  <c r="BJ318" i="6"/>
  <c r="BK318" i="6"/>
  <c r="BD318" i="6" s="1"/>
  <c r="BL318" i="6"/>
  <c r="BE318" i="6" s="1"/>
  <c r="BQ318" i="6"/>
  <c r="BR318" i="6"/>
  <c r="BS318" i="6"/>
  <c r="BU318" i="6"/>
  <c r="BV318" i="6"/>
  <c r="BW318" i="6"/>
  <c r="BX318" i="6"/>
  <c r="BY318" i="6"/>
  <c r="CE288" i="6"/>
  <c r="AV319" i="6"/>
  <c r="BJ319" i="6"/>
  <c r="BK319" i="6"/>
  <c r="BD319" i="6" s="1"/>
  <c r="BL319" i="6"/>
  <c r="BE319" i="6" s="1"/>
  <c r="BQ319" i="6"/>
  <c r="BR319" i="6"/>
  <c r="BS319" i="6"/>
  <c r="BU319" i="6"/>
  <c r="BV319" i="6"/>
  <c r="BW319" i="6"/>
  <c r="BX319" i="6"/>
  <c r="BY319" i="6"/>
  <c r="CE289" i="6"/>
  <c r="BJ320" i="6"/>
  <c r="BK320" i="6"/>
  <c r="BD320" i="6" s="1"/>
  <c r="BL320" i="6"/>
  <c r="BE320" i="6" s="1"/>
  <c r="BQ320" i="6"/>
  <c r="BR320" i="6"/>
  <c r="BS320" i="6"/>
  <c r="BU320" i="6"/>
  <c r="BV320" i="6"/>
  <c r="BW320" i="6"/>
  <c r="BX320" i="6"/>
  <c r="BY320" i="6"/>
  <c r="CE290" i="6"/>
  <c r="BJ423" i="6"/>
  <c r="BK423" i="6"/>
  <c r="BD423" i="6" s="1"/>
  <c r="BL423" i="6"/>
  <c r="BE423" i="6" s="1"/>
  <c r="BQ423" i="6"/>
  <c r="BR423" i="6"/>
  <c r="BS423" i="6"/>
  <c r="BU423" i="6"/>
  <c r="BV423" i="6"/>
  <c r="BW423" i="6"/>
  <c r="BX423" i="6"/>
  <c r="BY423" i="6"/>
  <c r="CE375" i="6"/>
  <c r="BJ424" i="6"/>
  <c r="BK424" i="6"/>
  <c r="BD424" i="6" s="1"/>
  <c r="BL424" i="6"/>
  <c r="BQ424" i="6"/>
  <c r="BR424" i="6"/>
  <c r="BS424" i="6"/>
  <c r="BU424" i="6"/>
  <c r="BV424" i="6"/>
  <c r="BW424" i="6"/>
  <c r="BX424" i="6"/>
  <c r="BY424" i="6"/>
  <c r="CE376" i="6"/>
  <c r="BJ425" i="6"/>
  <c r="BK425" i="6"/>
  <c r="BD425" i="6" s="1"/>
  <c r="BL425" i="6"/>
  <c r="BE425" i="6" s="1"/>
  <c r="BQ425" i="6"/>
  <c r="BR425" i="6"/>
  <c r="BS425" i="6"/>
  <c r="BU425" i="6"/>
  <c r="BV425" i="6"/>
  <c r="BW425" i="6"/>
  <c r="BX425" i="6"/>
  <c r="BY425" i="6"/>
  <c r="CE377" i="6"/>
  <c r="BJ426" i="6"/>
  <c r="BK426" i="6"/>
  <c r="BD426" i="6" s="1"/>
  <c r="BL426" i="6"/>
  <c r="BE426" i="6" s="1"/>
  <c r="BQ426" i="6"/>
  <c r="BR426" i="6"/>
  <c r="BS426" i="6"/>
  <c r="BU426" i="6"/>
  <c r="BV426" i="6"/>
  <c r="BW426" i="6"/>
  <c r="BX426" i="6"/>
  <c r="BY426" i="6"/>
  <c r="CE378" i="6"/>
  <c r="BJ427" i="6"/>
  <c r="BK427" i="6"/>
  <c r="BD427" i="6" s="1"/>
  <c r="BL427" i="6"/>
  <c r="BQ427" i="6"/>
  <c r="BR427" i="6"/>
  <c r="BS427" i="6"/>
  <c r="BU427" i="6"/>
  <c r="BV427" i="6"/>
  <c r="BW427" i="6"/>
  <c r="BX427" i="6"/>
  <c r="BY427" i="6"/>
  <c r="CE379" i="6"/>
  <c r="BJ428" i="6"/>
  <c r="BK428" i="6"/>
  <c r="BD428" i="6" s="1"/>
  <c r="BL428" i="6"/>
  <c r="BE428" i="6" s="1"/>
  <c r="BQ428" i="6"/>
  <c r="BR428" i="6"/>
  <c r="BS428" i="6"/>
  <c r="BU428" i="6"/>
  <c r="BV428" i="6"/>
  <c r="BW428" i="6"/>
  <c r="BX428" i="6"/>
  <c r="BY428" i="6"/>
  <c r="CE380" i="6"/>
  <c r="BJ279" i="6"/>
  <c r="BK279" i="6"/>
  <c r="BD279" i="6" s="1"/>
  <c r="BL279" i="6"/>
  <c r="BE279" i="6" s="1"/>
  <c r="BQ279" i="6"/>
  <c r="BR279" i="6"/>
  <c r="BS279" i="6"/>
  <c r="BU279" i="6"/>
  <c r="BV279" i="6"/>
  <c r="BW279" i="6"/>
  <c r="BX279" i="6"/>
  <c r="BY279" i="6"/>
  <c r="CE333" i="6"/>
  <c r="BJ280" i="6"/>
  <c r="BK280" i="6"/>
  <c r="BD280" i="6" s="1"/>
  <c r="BL280" i="6"/>
  <c r="BE280" i="6" s="1"/>
  <c r="BQ280" i="6"/>
  <c r="BR280" i="6"/>
  <c r="BS280" i="6"/>
  <c r="BU280" i="6"/>
  <c r="BV280" i="6"/>
  <c r="BW280" i="6"/>
  <c r="BX280" i="6"/>
  <c r="BY280" i="6"/>
  <c r="CE334" i="6"/>
  <c r="BJ281" i="6"/>
  <c r="BK281" i="6"/>
  <c r="BD281" i="6" s="1"/>
  <c r="BL281" i="6"/>
  <c r="BE281" i="6" s="1"/>
  <c r="BQ281" i="6"/>
  <c r="BR281" i="6"/>
  <c r="BS281" i="6"/>
  <c r="BU281" i="6"/>
  <c r="BV281" i="6"/>
  <c r="BW281" i="6"/>
  <c r="BX281" i="6"/>
  <c r="BY281" i="6"/>
  <c r="CE335" i="6"/>
  <c r="BJ282" i="6"/>
  <c r="BK282" i="6"/>
  <c r="BD282" i="6" s="1"/>
  <c r="BL282" i="6"/>
  <c r="BE282" i="6" s="1"/>
  <c r="BQ282" i="6"/>
  <c r="BR282" i="6"/>
  <c r="BS282" i="6"/>
  <c r="BU282" i="6"/>
  <c r="BV282" i="6"/>
  <c r="BW282" i="6"/>
  <c r="BX282" i="6"/>
  <c r="BY282" i="6"/>
  <c r="CE336" i="6"/>
  <c r="BJ283" i="6"/>
  <c r="BK283" i="6"/>
  <c r="BD283" i="6" s="1"/>
  <c r="BL283" i="6"/>
  <c r="BE283" i="6" s="1"/>
  <c r="BQ283" i="6"/>
  <c r="BR283" i="6"/>
  <c r="BS283" i="6"/>
  <c r="BU283" i="6"/>
  <c r="BV283" i="6"/>
  <c r="BW283" i="6"/>
  <c r="BX283" i="6"/>
  <c r="BY283" i="6"/>
  <c r="CE337" i="6"/>
  <c r="BJ284" i="6"/>
  <c r="BK284" i="6"/>
  <c r="BD284" i="6" s="1"/>
  <c r="BL284" i="6"/>
  <c r="BE284" i="6" s="1"/>
  <c r="BQ284" i="6"/>
  <c r="BR284" i="6"/>
  <c r="BS284" i="6"/>
  <c r="BU284" i="6"/>
  <c r="BV284" i="6"/>
  <c r="BW284" i="6"/>
  <c r="BX284" i="6"/>
  <c r="BY284" i="6"/>
  <c r="CE338" i="6"/>
  <c r="BJ285" i="6"/>
  <c r="BK285" i="6"/>
  <c r="BL285" i="6"/>
  <c r="BE285" i="6" s="1"/>
  <c r="BQ285" i="6"/>
  <c r="BR285" i="6"/>
  <c r="BS285" i="6"/>
  <c r="BU285" i="6"/>
  <c r="BV285" i="6"/>
  <c r="BW285" i="6"/>
  <c r="BX285" i="6"/>
  <c r="BY285" i="6"/>
  <c r="CE339" i="6"/>
  <c r="BJ286" i="6"/>
  <c r="BK286" i="6"/>
  <c r="BL286" i="6"/>
  <c r="BE286" i="6" s="1"/>
  <c r="BQ286" i="6"/>
  <c r="BR286" i="6"/>
  <c r="BS286" i="6"/>
  <c r="BU286" i="6"/>
  <c r="BV286" i="6"/>
  <c r="BW286" i="6"/>
  <c r="BX286" i="6"/>
  <c r="BY286" i="6"/>
  <c r="CE340" i="6"/>
  <c r="BJ287" i="6"/>
  <c r="BK287" i="6"/>
  <c r="BD287" i="6" s="1"/>
  <c r="BL287" i="6"/>
  <c r="BE287" i="6" s="1"/>
  <c r="BQ287" i="6"/>
  <c r="BR287" i="6"/>
  <c r="BS287" i="6"/>
  <c r="BU287" i="6"/>
  <c r="BV287" i="6"/>
  <c r="BW287" i="6"/>
  <c r="BX287" i="6"/>
  <c r="BY287" i="6"/>
  <c r="CE341" i="6"/>
  <c r="BJ288" i="6"/>
  <c r="BK288" i="6"/>
  <c r="BD288" i="6" s="1"/>
  <c r="BL288" i="6"/>
  <c r="BE288" i="6" s="1"/>
  <c r="BQ288" i="6"/>
  <c r="BR288" i="6"/>
  <c r="BS288" i="6"/>
  <c r="BU288" i="6"/>
  <c r="BV288" i="6"/>
  <c r="BW288" i="6"/>
  <c r="BX288" i="6"/>
  <c r="BY288" i="6"/>
  <c r="CE342" i="6"/>
  <c r="BJ289" i="6"/>
  <c r="BK289" i="6"/>
  <c r="BL289" i="6"/>
  <c r="BE289" i="6" s="1"/>
  <c r="BQ289" i="6"/>
  <c r="BR289" i="6"/>
  <c r="BS289" i="6"/>
  <c r="BU289" i="6"/>
  <c r="BV289" i="6"/>
  <c r="BW289" i="6"/>
  <c r="BX289" i="6"/>
  <c r="BY289" i="6"/>
  <c r="CE343" i="6"/>
  <c r="BJ290" i="6"/>
  <c r="BK290" i="6"/>
  <c r="BD290" i="6" s="1"/>
  <c r="BL290" i="6"/>
  <c r="BE290" i="6" s="1"/>
  <c r="BQ290" i="6"/>
  <c r="BR290" i="6"/>
  <c r="BS290" i="6"/>
  <c r="BU290" i="6"/>
  <c r="BV290" i="6"/>
  <c r="BW290" i="6"/>
  <c r="BX290" i="6"/>
  <c r="BY290" i="6"/>
  <c r="CE344" i="6"/>
  <c r="BJ375" i="6"/>
  <c r="BK375" i="6"/>
  <c r="BD375" i="6" s="1"/>
  <c r="BL375" i="6"/>
  <c r="BE375" i="6" s="1"/>
  <c r="BQ375" i="6"/>
  <c r="BR375" i="6"/>
  <c r="BS375" i="6"/>
  <c r="BU375" i="6"/>
  <c r="BV375" i="6"/>
  <c r="BW375" i="6"/>
  <c r="BX375" i="6"/>
  <c r="BY375" i="6"/>
  <c r="CE441" i="6"/>
  <c r="BJ376" i="6"/>
  <c r="BK376" i="6"/>
  <c r="BD376" i="6" s="1"/>
  <c r="BL376" i="6"/>
  <c r="BE376" i="6" s="1"/>
  <c r="BQ376" i="6"/>
  <c r="BR376" i="6"/>
  <c r="BS376" i="6"/>
  <c r="BU376" i="6"/>
  <c r="BV376" i="6"/>
  <c r="BW376" i="6"/>
  <c r="BX376" i="6"/>
  <c r="BY376" i="6"/>
  <c r="CE442" i="6"/>
  <c r="BJ377" i="6"/>
  <c r="BK377" i="6"/>
  <c r="BD377" i="6" s="1"/>
  <c r="BL377" i="6"/>
  <c r="BE377" i="6" s="1"/>
  <c r="BQ377" i="6"/>
  <c r="BR377" i="6"/>
  <c r="BS377" i="6"/>
  <c r="BU377" i="6"/>
  <c r="BV377" i="6"/>
  <c r="BW377" i="6"/>
  <c r="BX377" i="6"/>
  <c r="BY377" i="6"/>
  <c r="CE443" i="6"/>
  <c r="BL378" i="6"/>
  <c r="BE378" i="6" s="1"/>
  <c r="BW378" i="6"/>
  <c r="BJ378" i="6"/>
  <c r="BQ378" i="6"/>
  <c r="BR378" i="6"/>
  <c r="BS378" i="6"/>
  <c r="BU378" i="6"/>
  <c r="BV378" i="6"/>
  <c r="BX378" i="6"/>
  <c r="BY378" i="6"/>
  <c r="CE444" i="6"/>
  <c r="BJ379" i="6"/>
  <c r="BK379" i="6"/>
  <c r="BD379" i="6" s="1"/>
  <c r="BL379" i="6"/>
  <c r="BE379" i="6" s="1"/>
  <c r="BQ379" i="6"/>
  <c r="BR379" i="6"/>
  <c r="BS379" i="6"/>
  <c r="BU379" i="6"/>
  <c r="BV379" i="6"/>
  <c r="BW379" i="6"/>
  <c r="BX379" i="6"/>
  <c r="BY379" i="6"/>
  <c r="CE445" i="6"/>
  <c r="BJ380" i="6"/>
  <c r="BK380" i="6"/>
  <c r="BD380" i="6" s="1"/>
  <c r="BL380" i="6"/>
  <c r="BE380" i="6" s="1"/>
  <c r="BQ380" i="6"/>
  <c r="BR380" i="6"/>
  <c r="BS380" i="6"/>
  <c r="BU380" i="6"/>
  <c r="BV380" i="6"/>
  <c r="BW380" i="6"/>
  <c r="BX380" i="6"/>
  <c r="BY380" i="6"/>
  <c r="CE446" i="6"/>
  <c r="BJ435" i="6"/>
  <c r="BK435" i="6"/>
  <c r="BD435" i="6" s="1"/>
  <c r="BL435" i="6"/>
  <c r="BE435" i="6" s="1"/>
  <c r="BQ435" i="6"/>
  <c r="BR435" i="6"/>
  <c r="BS435" i="6"/>
  <c r="BU435" i="6"/>
  <c r="BV435" i="6"/>
  <c r="BW435" i="6"/>
  <c r="BX435" i="6"/>
  <c r="BY435" i="6"/>
  <c r="CE447" i="6"/>
  <c r="BL436" i="6"/>
  <c r="BE436" i="6" s="1"/>
  <c r="BJ436" i="6"/>
  <c r="BK436" i="6"/>
  <c r="BD436" i="6" s="1"/>
  <c r="BQ436" i="6"/>
  <c r="BR436" i="6"/>
  <c r="BS436" i="6"/>
  <c r="BU436" i="6"/>
  <c r="BV436" i="6"/>
  <c r="BW436" i="6"/>
  <c r="BX436" i="6"/>
  <c r="BY436" i="6"/>
  <c r="CE448" i="6"/>
  <c r="BJ437" i="6"/>
  <c r="BK437" i="6"/>
  <c r="BD437" i="6" s="1"/>
  <c r="BL437" i="6"/>
  <c r="BE437" i="6" s="1"/>
  <c r="BQ437" i="6"/>
  <c r="BR437" i="6"/>
  <c r="BS437" i="6"/>
  <c r="BU437" i="6"/>
  <c r="BV437" i="6"/>
  <c r="BW437" i="6"/>
  <c r="BX437" i="6"/>
  <c r="BY437" i="6"/>
  <c r="CE449" i="6"/>
  <c r="BK438" i="6"/>
  <c r="BD438" i="6" s="1"/>
  <c r="BJ438" i="6"/>
  <c r="BQ438" i="6"/>
  <c r="BR438" i="6"/>
  <c r="BS438" i="6"/>
  <c r="BU438" i="6"/>
  <c r="BV438" i="6"/>
  <c r="BW438" i="6"/>
  <c r="BX438" i="6"/>
  <c r="BY438" i="6"/>
  <c r="CE450" i="6"/>
  <c r="BW439" i="6"/>
  <c r="AV439" i="6"/>
  <c r="BJ439" i="6"/>
  <c r="BL439" i="6"/>
  <c r="BE439" i="6" s="1"/>
  <c r="BQ439" i="6"/>
  <c r="BR439" i="6"/>
  <c r="BS439" i="6"/>
  <c r="BU439" i="6"/>
  <c r="BV439" i="6"/>
  <c r="BX439" i="6"/>
  <c r="BY439" i="6"/>
  <c r="CE451" i="6"/>
  <c r="BJ440" i="6"/>
  <c r="BK440" i="6"/>
  <c r="BD440" i="6" s="1"/>
  <c r="BL440" i="6"/>
  <c r="BE440" i="6" s="1"/>
  <c r="BQ440" i="6"/>
  <c r="BR440" i="6"/>
  <c r="BS440" i="6"/>
  <c r="BU440" i="6"/>
  <c r="BV440" i="6"/>
  <c r="BW440" i="6"/>
  <c r="BX440" i="6"/>
  <c r="BY440" i="6"/>
  <c r="CE452" i="6"/>
  <c r="BJ651" i="6"/>
  <c r="BK651" i="6"/>
  <c r="BD651" i="6" s="1"/>
  <c r="BL651" i="6"/>
  <c r="BE651" i="6" s="1"/>
  <c r="BQ651" i="6"/>
  <c r="BR651" i="6"/>
  <c r="BS651" i="6"/>
  <c r="BU651" i="6"/>
  <c r="BV651" i="6"/>
  <c r="BW651" i="6"/>
  <c r="BX651" i="6"/>
  <c r="BY651" i="6"/>
  <c r="CE543" i="6"/>
  <c r="BJ652" i="6"/>
  <c r="BK652" i="6"/>
  <c r="BD652" i="6" s="1"/>
  <c r="BL652" i="6"/>
  <c r="BE652" i="6" s="1"/>
  <c r="BQ652" i="6"/>
  <c r="BR652" i="6"/>
  <c r="BS652" i="6"/>
  <c r="BU652" i="6"/>
  <c r="BV652" i="6"/>
  <c r="BW652" i="6"/>
  <c r="BX652" i="6"/>
  <c r="BY652" i="6"/>
  <c r="CE544" i="6"/>
  <c r="BJ653" i="6"/>
  <c r="BK653" i="6"/>
  <c r="BD653" i="6" s="1"/>
  <c r="BL653" i="6"/>
  <c r="BE653" i="6" s="1"/>
  <c r="BQ653" i="6"/>
  <c r="BR653" i="6"/>
  <c r="BS653" i="6"/>
  <c r="BU653" i="6"/>
  <c r="BV653" i="6"/>
  <c r="BW653" i="6"/>
  <c r="BX653" i="6"/>
  <c r="BY653" i="6"/>
  <c r="CE545" i="6"/>
  <c r="BJ654" i="6"/>
  <c r="BK654" i="6"/>
  <c r="BD654" i="6" s="1"/>
  <c r="BL654" i="6"/>
  <c r="BE654" i="6" s="1"/>
  <c r="BQ654" i="6"/>
  <c r="BR654" i="6"/>
  <c r="BS654" i="6"/>
  <c r="BU654" i="6"/>
  <c r="BV654" i="6"/>
  <c r="BW654" i="6"/>
  <c r="BX654" i="6"/>
  <c r="BY654" i="6"/>
  <c r="CE546" i="6"/>
  <c r="AV655" i="6"/>
  <c r="BJ655" i="6"/>
  <c r="BK655" i="6"/>
  <c r="BD655" i="6" s="1"/>
  <c r="BL655" i="6"/>
  <c r="BN655" i="6" s="1"/>
  <c r="BQ655" i="6"/>
  <c r="BR655" i="6"/>
  <c r="BS655" i="6"/>
  <c r="BU655" i="6"/>
  <c r="BV655" i="6"/>
  <c r="BW655" i="6"/>
  <c r="BX655" i="6"/>
  <c r="BY655" i="6"/>
  <c r="CE547" i="6"/>
  <c r="BJ656" i="6"/>
  <c r="BK656" i="6"/>
  <c r="BD656" i="6" s="1"/>
  <c r="BL656" i="6"/>
  <c r="BE656" i="6" s="1"/>
  <c r="BQ656" i="6"/>
  <c r="BR656" i="6"/>
  <c r="BS656" i="6"/>
  <c r="BU656" i="6"/>
  <c r="BV656" i="6"/>
  <c r="BW656" i="6"/>
  <c r="BX656" i="6"/>
  <c r="BY656" i="6"/>
  <c r="CE548" i="6"/>
  <c r="BJ957" i="6"/>
  <c r="BK957" i="6"/>
  <c r="BD957" i="6" s="1"/>
  <c r="BL957" i="6"/>
  <c r="BE957" i="6" s="1"/>
  <c r="BQ957" i="6"/>
  <c r="BR957" i="6"/>
  <c r="BS957" i="6"/>
  <c r="BU957" i="6"/>
  <c r="BV957" i="6"/>
  <c r="BW957" i="6"/>
  <c r="BX957" i="6"/>
  <c r="BY957" i="6"/>
  <c r="CE957" i="6"/>
  <c r="BJ958" i="6"/>
  <c r="BK958" i="6"/>
  <c r="BD958" i="6" s="1"/>
  <c r="BL958" i="6"/>
  <c r="BE958" i="6" s="1"/>
  <c r="BQ958" i="6"/>
  <c r="BR958" i="6"/>
  <c r="BS958" i="6"/>
  <c r="BU958" i="6"/>
  <c r="BV958" i="6"/>
  <c r="BW958" i="6"/>
  <c r="BX958" i="6"/>
  <c r="BY958" i="6"/>
  <c r="CE958" i="6"/>
  <c r="BJ959" i="6"/>
  <c r="BK959" i="6"/>
  <c r="BD959" i="6" s="1"/>
  <c r="BL959" i="6"/>
  <c r="BE959" i="6" s="1"/>
  <c r="BQ959" i="6"/>
  <c r="BR959" i="6"/>
  <c r="BS959" i="6"/>
  <c r="BU959" i="6"/>
  <c r="BV959" i="6"/>
  <c r="BW959" i="6"/>
  <c r="BX959" i="6"/>
  <c r="BY959" i="6"/>
  <c r="CE959" i="6"/>
  <c r="BJ960" i="6"/>
  <c r="BK960" i="6"/>
  <c r="BD960" i="6" s="1"/>
  <c r="BL960" i="6"/>
  <c r="BE960" i="6" s="1"/>
  <c r="BQ960" i="6"/>
  <c r="BR960" i="6"/>
  <c r="BS960" i="6"/>
  <c r="BU960" i="6"/>
  <c r="BV960" i="6"/>
  <c r="BW960" i="6"/>
  <c r="BX960" i="6"/>
  <c r="BY960" i="6"/>
  <c r="CE960" i="6"/>
  <c r="AV961" i="6"/>
  <c r="BJ961" i="6"/>
  <c r="BK961" i="6"/>
  <c r="BD961" i="6" s="1"/>
  <c r="BL961" i="6"/>
  <c r="BE961" i="6" s="1"/>
  <c r="BQ961" i="6"/>
  <c r="BR961" i="6"/>
  <c r="BS961" i="6"/>
  <c r="BU961" i="6"/>
  <c r="BV961" i="6"/>
  <c r="BW961" i="6"/>
  <c r="BX961" i="6"/>
  <c r="BY961" i="6"/>
  <c r="CE961" i="6"/>
  <c r="BJ962" i="6"/>
  <c r="BK962" i="6"/>
  <c r="BD962" i="6" s="1"/>
  <c r="BL962" i="6"/>
  <c r="BE962" i="6" s="1"/>
  <c r="BQ962" i="6"/>
  <c r="BR962" i="6"/>
  <c r="BS962" i="6"/>
  <c r="BU962" i="6"/>
  <c r="BV962" i="6"/>
  <c r="BW962" i="6"/>
  <c r="BX962" i="6"/>
  <c r="BY962" i="6"/>
  <c r="CE962" i="6"/>
  <c r="BK1047" i="6"/>
  <c r="BD1047" i="6" s="1"/>
  <c r="BJ1047" i="6"/>
  <c r="BQ1047" i="6"/>
  <c r="BR1047" i="6"/>
  <c r="BS1047" i="6"/>
  <c r="BU1047" i="6"/>
  <c r="BV1047" i="6"/>
  <c r="BW1047" i="6"/>
  <c r="BX1047" i="6"/>
  <c r="BY1047" i="6"/>
  <c r="CE1047" i="6"/>
  <c r="BJ1048" i="6"/>
  <c r="BK1048" i="6"/>
  <c r="BD1048" i="6" s="1"/>
  <c r="BL1048" i="6"/>
  <c r="BQ1048" i="6"/>
  <c r="BR1048" i="6"/>
  <c r="BS1048" i="6"/>
  <c r="BU1048" i="6"/>
  <c r="BV1048" i="6"/>
  <c r="BW1048" i="6"/>
  <c r="BX1048" i="6"/>
  <c r="BY1048" i="6"/>
  <c r="CE1048" i="6"/>
  <c r="BJ1049" i="6"/>
  <c r="BK1049" i="6"/>
  <c r="BD1049" i="6" s="1"/>
  <c r="BL1049" i="6"/>
  <c r="BE1049" i="6" s="1"/>
  <c r="BQ1049" i="6"/>
  <c r="BR1049" i="6"/>
  <c r="BS1049" i="6"/>
  <c r="BU1049" i="6"/>
  <c r="BV1049" i="6"/>
  <c r="BW1049" i="6"/>
  <c r="BX1049" i="6"/>
  <c r="BY1049" i="6"/>
  <c r="CE1049" i="6"/>
  <c r="BJ1050" i="6"/>
  <c r="BK1050" i="6"/>
  <c r="BD1050" i="6" s="1"/>
  <c r="BL1050" i="6"/>
  <c r="BE1050" i="6" s="1"/>
  <c r="BQ1050" i="6"/>
  <c r="BR1050" i="6"/>
  <c r="BS1050" i="6"/>
  <c r="BU1050" i="6"/>
  <c r="BV1050" i="6"/>
  <c r="BW1050" i="6"/>
  <c r="BX1050" i="6"/>
  <c r="BY1050" i="6"/>
  <c r="CE1050" i="6"/>
  <c r="BW1051" i="6"/>
  <c r="BJ1051" i="6"/>
  <c r="BQ1051" i="6"/>
  <c r="BR1051" i="6"/>
  <c r="BS1051" i="6"/>
  <c r="BU1051" i="6"/>
  <c r="BX1051" i="6"/>
  <c r="BY1051" i="6"/>
  <c r="CE1051" i="6"/>
  <c r="BJ1052" i="6"/>
  <c r="BK1052" i="6"/>
  <c r="BD1052" i="6" s="1"/>
  <c r="BL1052" i="6"/>
  <c r="BE1052" i="6" s="1"/>
  <c r="BQ1052" i="6"/>
  <c r="BR1052" i="6"/>
  <c r="BS1052" i="6"/>
  <c r="BU1052" i="6"/>
  <c r="BV1052" i="6"/>
  <c r="BW1052" i="6"/>
  <c r="BX1052" i="6"/>
  <c r="BY1052" i="6"/>
  <c r="CE1052" i="6"/>
  <c r="BJ963" i="6"/>
  <c r="BK963" i="6"/>
  <c r="BD963" i="6" s="1"/>
  <c r="BL963" i="6"/>
  <c r="BE963" i="6" s="1"/>
  <c r="BQ963" i="6"/>
  <c r="BR963" i="6"/>
  <c r="BS963" i="6"/>
  <c r="BU963" i="6"/>
  <c r="BV963" i="6"/>
  <c r="BW963" i="6"/>
  <c r="BX963" i="6"/>
  <c r="BY963" i="6"/>
  <c r="CE963" i="6"/>
  <c r="BJ964" i="6"/>
  <c r="BK964" i="6"/>
  <c r="BD964" i="6" s="1"/>
  <c r="BL964" i="6"/>
  <c r="BE964" i="6" s="1"/>
  <c r="BQ964" i="6"/>
  <c r="BR964" i="6"/>
  <c r="BS964" i="6"/>
  <c r="BU964" i="6"/>
  <c r="BV964" i="6"/>
  <c r="BW964" i="6"/>
  <c r="BX964" i="6"/>
  <c r="BY964" i="6"/>
  <c r="CE964" i="6"/>
  <c r="BJ965" i="6"/>
  <c r="BK965" i="6"/>
  <c r="BD965" i="6" s="1"/>
  <c r="BL965" i="6"/>
  <c r="BE965" i="6" s="1"/>
  <c r="BQ965" i="6"/>
  <c r="BR965" i="6"/>
  <c r="BS965" i="6"/>
  <c r="BU965" i="6"/>
  <c r="BV965" i="6"/>
  <c r="BW965" i="6"/>
  <c r="BX965" i="6"/>
  <c r="BY965" i="6"/>
  <c r="CE965" i="6"/>
  <c r="BJ966" i="6"/>
  <c r="BK966" i="6"/>
  <c r="BD966" i="6" s="1"/>
  <c r="BL966" i="6"/>
  <c r="BE966" i="6" s="1"/>
  <c r="BQ966" i="6"/>
  <c r="BR966" i="6"/>
  <c r="BS966" i="6"/>
  <c r="BU966" i="6"/>
  <c r="BV966" i="6"/>
  <c r="BW966" i="6"/>
  <c r="BX966" i="6"/>
  <c r="BY966" i="6"/>
  <c r="CE966" i="6"/>
  <c r="AV967" i="6"/>
  <c r="BJ967" i="6"/>
  <c r="BK967" i="6"/>
  <c r="BD967" i="6" s="1"/>
  <c r="BL967" i="6"/>
  <c r="BE967" i="6" s="1"/>
  <c r="BQ967" i="6"/>
  <c r="BR967" i="6"/>
  <c r="BS967" i="6"/>
  <c r="BU967" i="6"/>
  <c r="BV967" i="6"/>
  <c r="BW967" i="6"/>
  <c r="BX967" i="6"/>
  <c r="BY967" i="6"/>
  <c r="CE967" i="6"/>
  <c r="BJ968" i="6"/>
  <c r="BK968" i="6"/>
  <c r="BD968" i="6" s="1"/>
  <c r="BL968" i="6"/>
  <c r="BE968" i="6" s="1"/>
  <c r="BQ968" i="6"/>
  <c r="BR968" i="6"/>
  <c r="BS968" i="6"/>
  <c r="BU968" i="6"/>
  <c r="BV968" i="6"/>
  <c r="BW968" i="6"/>
  <c r="BX968" i="6"/>
  <c r="BY968" i="6"/>
  <c r="CE968" i="6"/>
  <c r="BJ1053" i="6"/>
  <c r="BK1053" i="6"/>
  <c r="BD1053" i="6" s="1"/>
  <c r="BL1053" i="6"/>
  <c r="BQ1053" i="6"/>
  <c r="BR1053" i="6"/>
  <c r="BS1053" i="6"/>
  <c r="BU1053" i="6"/>
  <c r="BV1053" i="6"/>
  <c r="BW1053" i="6"/>
  <c r="BX1053" i="6"/>
  <c r="BY1053" i="6"/>
  <c r="CE1053" i="6"/>
  <c r="BJ1054" i="6"/>
  <c r="BK1054" i="6"/>
  <c r="BD1054" i="6" s="1"/>
  <c r="BL1054" i="6"/>
  <c r="BQ1054" i="6"/>
  <c r="BR1054" i="6"/>
  <c r="BS1054" i="6"/>
  <c r="BU1054" i="6"/>
  <c r="BV1054" i="6"/>
  <c r="BW1054" i="6"/>
  <c r="BX1054" i="6"/>
  <c r="BY1054" i="6"/>
  <c r="CE1054" i="6"/>
  <c r="BJ1055" i="6"/>
  <c r="BK1055" i="6"/>
  <c r="BD1055" i="6" s="1"/>
  <c r="BL1055" i="6"/>
  <c r="BE1055" i="6" s="1"/>
  <c r="BQ1055" i="6"/>
  <c r="BR1055" i="6"/>
  <c r="BS1055" i="6"/>
  <c r="BU1055" i="6"/>
  <c r="BV1055" i="6"/>
  <c r="BW1055" i="6"/>
  <c r="BX1055" i="6"/>
  <c r="BY1055" i="6"/>
  <c r="CE1055" i="6"/>
  <c r="BJ1056" i="6"/>
  <c r="BK1056" i="6"/>
  <c r="BD1056" i="6" s="1"/>
  <c r="BL1056" i="6"/>
  <c r="BQ1056" i="6"/>
  <c r="BR1056" i="6"/>
  <c r="BS1056" i="6"/>
  <c r="BU1056" i="6"/>
  <c r="BV1056" i="6"/>
  <c r="BW1056" i="6"/>
  <c r="BX1056" i="6"/>
  <c r="BY1056" i="6"/>
  <c r="CE1056" i="6"/>
  <c r="BJ1057" i="6"/>
  <c r="BK1057" i="6"/>
  <c r="BD1057" i="6" s="1"/>
  <c r="BL1057" i="6"/>
  <c r="BQ1057" i="6"/>
  <c r="BR1057" i="6"/>
  <c r="BS1057" i="6"/>
  <c r="BU1057" i="6"/>
  <c r="BV1057" i="6"/>
  <c r="BW1057" i="6"/>
  <c r="BX1057" i="6"/>
  <c r="BY1057" i="6"/>
  <c r="CE1057" i="6"/>
  <c r="BJ1058" i="6"/>
  <c r="BK1058" i="6"/>
  <c r="BD1058" i="6" s="1"/>
  <c r="BL1058" i="6"/>
  <c r="BN1058" i="6" s="1"/>
  <c r="BQ1058" i="6"/>
  <c r="BR1058" i="6"/>
  <c r="BS1058" i="6"/>
  <c r="BU1058" i="6"/>
  <c r="BV1058" i="6"/>
  <c r="BW1058" i="6"/>
  <c r="BX1058" i="6"/>
  <c r="BY1058" i="6"/>
  <c r="CE1058" i="6"/>
  <c r="BK1059" i="6"/>
  <c r="BD1059" i="6" s="1"/>
  <c r="BJ1059" i="6"/>
  <c r="BQ1059" i="6"/>
  <c r="BR1059" i="6"/>
  <c r="BS1059" i="6"/>
  <c r="BU1059" i="6"/>
  <c r="BW1059" i="6"/>
  <c r="BX1059" i="6"/>
  <c r="BY1059" i="6"/>
  <c r="CE1059" i="6"/>
  <c r="BJ1060" i="6"/>
  <c r="BK1060" i="6"/>
  <c r="BD1060" i="6" s="1"/>
  <c r="BL1060" i="6"/>
  <c r="BQ1060" i="6"/>
  <c r="BR1060" i="6"/>
  <c r="BS1060" i="6"/>
  <c r="BU1060" i="6"/>
  <c r="BV1060" i="6"/>
  <c r="BW1060" i="6"/>
  <c r="BX1060" i="6"/>
  <c r="BY1060" i="6"/>
  <c r="CE1060" i="6"/>
  <c r="BJ1061" i="6"/>
  <c r="BK1061" i="6"/>
  <c r="BD1061" i="6" s="1"/>
  <c r="BL1061" i="6"/>
  <c r="BE1061" i="6" s="1"/>
  <c r="BQ1061" i="6"/>
  <c r="BR1061" i="6"/>
  <c r="BS1061" i="6"/>
  <c r="BU1061" i="6"/>
  <c r="BV1061" i="6"/>
  <c r="BW1061" i="6"/>
  <c r="BX1061" i="6"/>
  <c r="BY1061" i="6"/>
  <c r="CE1061" i="6"/>
  <c r="BJ1062" i="6"/>
  <c r="BK1062" i="6"/>
  <c r="BD1062" i="6" s="1"/>
  <c r="BL1062" i="6"/>
  <c r="BE1062" i="6" s="1"/>
  <c r="BQ1062" i="6"/>
  <c r="BR1062" i="6"/>
  <c r="BS1062" i="6"/>
  <c r="BU1062" i="6"/>
  <c r="BV1062" i="6"/>
  <c r="BW1062" i="6"/>
  <c r="BX1062" i="6"/>
  <c r="BY1062" i="6"/>
  <c r="CE1062" i="6"/>
  <c r="BK1063" i="6"/>
  <c r="BD1063" i="6" s="1"/>
  <c r="AV1063" i="6"/>
  <c r="BJ1063" i="6"/>
  <c r="BL1063" i="6"/>
  <c r="BQ1063" i="6"/>
  <c r="BR1063" i="6"/>
  <c r="BS1063" i="6"/>
  <c r="BU1063" i="6"/>
  <c r="BV1063" i="6"/>
  <c r="BW1063" i="6"/>
  <c r="BX1063" i="6"/>
  <c r="BY1063" i="6"/>
  <c r="CE1063" i="6"/>
  <c r="BJ1064" i="6"/>
  <c r="BK1064" i="6"/>
  <c r="BD1064" i="6" s="1"/>
  <c r="BL1064" i="6"/>
  <c r="BE1064" i="6" s="1"/>
  <c r="BQ1064" i="6"/>
  <c r="BR1064" i="6"/>
  <c r="BS1064" i="6"/>
  <c r="BU1064" i="6"/>
  <c r="BV1064" i="6"/>
  <c r="BW1064" i="6"/>
  <c r="BX1064" i="6"/>
  <c r="BY1064" i="6"/>
  <c r="CE1064" i="6"/>
  <c r="BJ969" i="6"/>
  <c r="BK969" i="6"/>
  <c r="BD969" i="6" s="1"/>
  <c r="BL969" i="6"/>
  <c r="BE969" i="6" s="1"/>
  <c r="BQ969" i="6"/>
  <c r="BR969" i="6"/>
  <c r="BS969" i="6"/>
  <c r="BU969" i="6"/>
  <c r="BV969" i="6"/>
  <c r="BW969" i="6"/>
  <c r="BX969" i="6"/>
  <c r="BY969" i="6"/>
  <c r="CE969" i="6"/>
  <c r="BJ970" i="6"/>
  <c r="BK970" i="6"/>
  <c r="BD970" i="6" s="1"/>
  <c r="BL970" i="6"/>
  <c r="BE970" i="6" s="1"/>
  <c r="BQ970" i="6"/>
  <c r="BR970" i="6"/>
  <c r="BS970" i="6"/>
  <c r="BU970" i="6"/>
  <c r="BV970" i="6"/>
  <c r="BW970" i="6"/>
  <c r="BX970" i="6"/>
  <c r="BY970" i="6"/>
  <c r="CE970" i="6"/>
  <c r="BJ971" i="6"/>
  <c r="BK971" i="6"/>
  <c r="BD971" i="6" s="1"/>
  <c r="BL971" i="6"/>
  <c r="BE971" i="6" s="1"/>
  <c r="BQ971" i="6"/>
  <c r="BR971" i="6"/>
  <c r="BS971" i="6"/>
  <c r="BU971" i="6"/>
  <c r="BV971" i="6"/>
  <c r="BW971" i="6"/>
  <c r="BX971" i="6"/>
  <c r="BY971" i="6"/>
  <c r="CE971" i="6"/>
  <c r="BJ972" i="6"/>
  <c r="BK972" i="6"/>
  <c r="BD972" i="6" s="1"/>
  <c r="BL972" i="6"/>
  <c r="BE972" i="6" s="1"/>
  <c r="BQ972" i="6"/>
  <c r="BR972" i="6"/>
  <c r="BS972" i="6"/>
  <c r="BU972" i="6"/>
  <c r="BV972" i="6"/>
  <c r="BW972" i="6"/>
  <c r="BX972" i="6"/>
  <c r="BY972" i="6"/>
  <c r="CE972" i="6"/>
  <c r="AV973" i="6"/>
  <c r="BJ973" i="6"/>
  <c r="BK973" i="6"/>
  <c r="BD973" i="6" s="1"/>
  <c r="BL973" i="6"/>
  <c r="BE973" i="6" s="1"/>
  <c r="BQ973" i="6"/>
  <c r="BR973" i="6"/>
  <c r="BS973" i="6"/>
  <c r="BU973" i="6"/>
  <c r="BV973" i="6"/>
  <c r="BW973" i="6"/>
  <c r="BX973" i="6"/>
  <c r="BY973" i="6"/>
  <c r="CE973" i="6"/>
  <c r="BJ974" i="6"/>
  <c r="BK974" i="6"/>
  <c r="BD974" i="6" s="1"/>
  <c r="BL974" i="6"/>
  <c r="BE974" i="6" s="1"/>
  <c r="BQ974" i="6"/>
  <c r="BR974" i="6"/>
  <c r="BS974" i="6"/>
  <c r="BU974" i="6"/>
  <c r="BV974" i="6"/>
  <c r="BW974" i="6"/>
  <c r="BX974" i="6"/>
  <c r="BY974" i="6"/>
  <c r="CE974" i="6"/>
  <c r="BJ1065" i="6"/>
  <c r="BK1065" i="6"/>
  <c r="BD1065" i="6" s="1"/>
  <c r="BL1065" i="6"/>
  <c r="BE1065" i="6" s="1"/>
  <c r="BQ1065" i="6"/>
  <c r="BR1065" i="6"/>
  <c r="BS1065" i="6"/>
  <c r="BU1065" i="6"/>
  <c r="BV1065" i="6"/>
  <c r="BW1065" i="6"/>
  <c r="BX1065" i="6"/>
  <c r="BY1065" i="6"/>
  <c r="CE1065" i="6"/>
  <c r="BJ1066" i="6"/>
  <c r="BK1066" i="6"/>
  <c r="BD1066" i="6" s="1"/>
  <c r="BL1066" i="6"/>
  <c r="BE1066" i="6" s="1"/>
  <c r="BQ1066" i="6"/>
  <c r="BR1066" i="6"/>
  <c r="BS1066" i="6"/>
  <c r="BU1066" i="6"/>
  <c r="BV1066" i="6"/>
  <c r="BW1066" i="6"/>
  <c r="BX1066" i="6"/>
  <c r="BY1066" i="6"/>
  <c r="CE1066" i="6"/>
  <c r="BJ1067" i="6"/>
  <c r="BK1067" i="6"/>
  <c r="BD1067" i="6" s="1"/>
  <c r="BL1067" i="6"/>
  <c r="BE1067" i="6" s="1"/>
  <c r="BQ1067" i="6"/>
  <c r="BR1067" i="6"/>
  <c r="BS1067" i="6"/>
  <c r="BU1067" i="6"/>
  <c r="BV1067" i="6"/>
  <c r="BW1067" i="6"/>
  <c r="BX1067" i="6"/>
  <c r="BY1067" i="6"/>
  <c r="CE1067" i="6"/>
  <c r="BJ1068" i="6"/>
  <c r="BK1068" i="6"/>
  <c r="BD1068" i="6" s="1"/>
  <c r="BL1068" i="6"/>
  <c r="BE1068" i="6" s="1"/>
  <c r="BQ1068" i="6"/>
  <c r="BR1068" i="6"/>
  <c r="BS1068" i="6"/>
  <c r="BU1068" i="6"/>
  <c r="BV1068" i="6"/>
  <c r="BW1068" i="6"/>
  <c r="BX1068" i="6"/>
  <c r="BY1068" i="6"/>
  <c r="CE1068" i="6"/>
  <c r="BJ1069" i="6"/>
  <c r="BK1069" i="6"/>
  <c r="BD1069" i="6" s="1"/>
  <c r="BL1069" i="6"/>
  <c r="BN1069" i="6" s="1"/>
  <c r="BQ1069" i="6"/>
  <c r="BR1069" i="6"/>
  <c r="BS1069" i="6"/>
  <c r="BU1069" i="6"/>
  <c r="BV1069" i="6"/>
  <c r="BW1069" i="6"/>
  <c r="BX1069" i="6"/>
  <c r="BY1069" i="6"/>
  <c r="CE1069" i="6"/>
  <c r="BJ1070" i="6"/>
  <c r="BK1070" i="6"/>
  <c r="BD1070" i="6" s="1"/>
  <c r="BL1070" i="6"/>
  <c r="BE1070" i="6" s="1"/>
  <c r="BQ1070" i="6"/>
  <c r="BR1070" i="6"/>
  <c r="BS1070" i="6"/>
  <c r="BU1070" i="6"/>
  <c r="BV1070" i="6"/>
  <c r="BW1070" i="6"/>
  <c r="BX1070" i="6"/>
  <c r="BY1070" i="6"/>
  <c r="CE1070" i="6"/>
  <c r="BJ1071" i="6"/>
  <c r="BK1071" i="6"/>
  <c r="BD1071" i="6" s="1"/>
  <c r="BL1071" i="6"/>
  <c r="BE1071" i="6" s="1"/>
  <c r="BQ1071" i="6"/>
  <c r="BR1071" i="6"/>
  <c r="BS1071" i="6"/>
  <c r="BU1071" i="6"/>
  <c r="BV1071" i="6"/>
  <c r="BW1071" i="6"/>
  <c r="BX1071" i="6"/>
  <c r="BY1071" i="6"/>
  <c r="CE1071" i="6"/>
  <c r="BJ1072" i="6"/>
  <c r="BK1072" i="6"/>
  <c r="BD1072" i="6" s="1"/>
  <c r="BL1072" i="6"/>
  <c r="BQ1072" i="6"/>
  <c r="BR1072" i="6"/>
  <c r="BS1072" i="6"/>
  <c r="BU1072" i="6"/>
  <c r="BV1072" i="6"/>
  <c r="BW1072" i="6"/>
  <c r="BX1072" i="6"/>
  <c r="BY1072" i="6"/>
  <c r="CE1072" i="6"/>
  <c r="BJ1073" i="6"/>
  <c r="BK1073" i="6"/>
  <c r="BD1073" i="6" s="1"/>
  <c r="BL1073" i="6"/>
  <c r="BE1073" i="6" s="1"/>
  <c r="BQ1073" i="6"/>
  <c r="BR1073" i="6"/>
  <c r="BS1073" i="6"/>
  <c r="BU1073" i="6"/>
  <c r="BV1073" i="6"/>
  <c r="BW1073" i="6"/>
  <c r="BX1073" i="6"/>
  <c r="BY1073" i="6"/>
  <c r="CE1073" i="6"/>
  <c r="BJ1074" i="6"/>
  <c r="BK1074" i="6"/>
  <c r="BD1074" i="6" s="1"/>
  <c r="BL1074" i="6"/>
  <c r="BQ1074" i="6"/>
  <c r="BR1074" i="6"/>
  <c r="BS1074" i="6"/>
  <c r="BU1074" i="6"/>
  <c r="BV1074" i="6"/>
  <c r="BW1074" i="6"/>
  <c r="BX1074" i="6"/>
  <c r="BY1074" i="6"/>
  <c r="CE1074" i="6"/>
  <c r="BJ1075" i="6"/>
  <c r="BK1075" i="6"/>
  <c r="BD1075" i="6" s="1"/>
  <c r="BL1075" i="6"/>
  <c r="BP1075" i="6"/>
  <c r="BQ1075" i="6"/>
  <c r="BR1075" i="6"/>
  <c r="BS1075" i="6"/>
  <c r="BU1075" i="6"/>
  <c r="BV1075" i="6"/>
  <c r="BW1075" i="6"/>
  <c r="BX1075" i="6"/>
  <c r="BY1075" i="6"/>
  <c r="CE1075" i="6"/>
  <c r="BJ1076" i="6"/>
  <c r="BK1076" i="6"/>
  <c r="BD1076" i="6" s="1"/>
  <c r="BL1076" i="6"/>
  <c r="BE1076" i="6" s="1"/>
  <c r="BQ1076" i="6"/>
  <c r="BR1076" i="6"/>
  <c r="BS1076" i="6"/>
  <c r="BU1076" i="6"/>
  <c r="BV1076" i="6"/>
  <c r="BW1076" i="6"/>
  <c r="BX1076" i="6"/>
  <c r="BY1076" i="6"/>
  <c r="CE1076" i="6"/>
  <c r="BJ1077" i="6"/>
  <c r="BK1077" i="6"/>
  <c r="BD1077" i="6" s="1"/>
  <c r="BL1077" i="6"/>
  <c r="BQ1077" i="6"/>
  <c r="BR1077" i="6"/>
  <c r="BS1077" i="6"/>
  <c r="BU1077" i="6"/>
  <c r="BV1077" i="6"/>
  <c r="BW1077" i="6"/>
  <c r="BX1077" i="6"/>
  <c r="BY1077" i="6"/>
  <c r="CE1077" i="6"/>
  <c r="BJ1078" i="6"/>
  <c r="BK1078" i="6"/>
  <c r="BD1078" i="6" s="1"/>
  <c r="BL1078" i="6"/>
  <c r="BQ1078" i="6"/>
  <c r="BR1078" i="6"/>
  <c r="BS1078" i="6"/>
  <c r="BU1078" i="6"/>
  <c r="BV1078" i="6"/>
  <c r="BW1078" i="6"/>
  <c r="BX1078" i="6"/>
  <c r="BY1078" i="6"/>
  <c r="CE1078" i="6"/>
  <c r="BJ1079" i="6"/>
  <c r="BK1079" i="6"/>
  <c r="BD1079" i="6" s="1"/>
  <c r="BL1079" i="6"/>
  <c r="BE1079" i="6" s="1"/>
  <c r="BQ1079" i="6"/>
  <c r="BR1079" i="6"/>
  <c r="BS1079" i="6"/>
  <c r="BU1079" i="6"/>
  <c r="BV1079" i="6"/>
  <c r="BW1079" i="6"/>
  <c r="BX1079" i="6"/>
  <c r="BY1079" i="6"/>
  <c r="CE1079" i="6"/>
  <c r="BJ1080" i="6"/>
  <c r="BK1080" i="6"/>
  <c r="BD1080" i="6" s="1"/>
  <c r="BL1080" i="6"/>
  <c r="BQ1080" i="6"/>
  <c r="BR1080" i="6"/>
  <c r="BS1080" i="6"/>
  <c r="BU1080" i="6"/>
  <c r="BV1080" i="6"/>
  <c r="BW1080" i="6"/>
  <c r="BX1080" i="6"/>
  <c r="BY1080" i="6"/>
  <c r="CE1080" i="6"/>
  <c r="BJ1081" i="6"/>
  <c r="BK1081" i="6"/>
  <c r="BD1081" i="6" s="1"/>
  <c r="BL1081" i="6"/>
  <c r="BP1081" i="6"/>
  <c r="BQ1081" i="6"/>
  <c r="BR1081" i="6"/>
  <c r="BS1081" i="6"/>
  <c r="BU1081" i="6"/>
  <c r="BV1081" i="6"/>
  <c r="BW1081" i="6"/>
  <c r="BX1081" i="6"/>
  <c r="BY1081" i="6"/>
  <c r="CE1081" i="6"/>
  <c r="BJ1082" i="6"/>
  <c r="BK1082" i="6"/>
  <c r="BD1082" i="6" s="1"/>
  <c r="BL1082" i="6"/>
  <c r="BE1082" i="6" s="1"/>
  <c r="BQ1082" i="6"/>
  <c r="BR1082" i="6"/>
  <c r="BS1082" i="6"/>
  <c r="BU1082" i="6"/>
  <c r="BV1082" i="6"/>
  <c r="BW1082" i="6"/>
  <c r="BX1082" i="6"/>
  <c r="BY1082" i="6"/>
  <c r="CE1082" i="6"/>
  <c r="BJ975" i="6"/>
  <c r="BK975" i="6"/>
  <c r="BD975" i="6" s="1"/>
  <c r="BL975" i="6"/>
  <c r="BE975" i="6" s="1"/>
  <c r="BQ975" i="6"/>
  <c r="BR975" i="6"/>
  <c r="BS975" i="6"/>
  <c r="BU975" i="6"/>
  <c r="BV975" i="6"/>
  <c r="BW975" i="6"/>
  <c r="BX975" i="6"/>
  <c r="BY975" i="6"/>
  <c r="CE975" i="6"/>
  <c r="BK976" i="6"/>
  <c r="BD976" i="6" s="1"/>
  <c r="BJ976" i="6"/>
  <c r="BQ976" i="6"/>
  <c r="BR976" i="6"/>
  <c r="BS976" i="6"/>
  <c r="BU976" i="6"/>
  <c r="BV976" i="6"/>
  <c r="BX976" i="6"/>
  <c r="BY976" i="6"/>
  <c r="CE976" i="6"/>
  <c r="BJ977" i="6"/>
  <c r="BK977" i="6"/>
  <c r="BD977" i="6" s="1"/>
  <c r="BL977" i="6"/>
  <c r="BE977" i="6" s="1"/>
  <c r="BQ977" i="6"/>
  <c r="BR977" i="6"/>
  <c r="BS977" i="6"/>
  <c r="BU977" i="6"/>
  <c r="BV977" i="6"/>
  <c r="BW977" i="6"/>
  <c r="BX977" i="6"/>
  <c r="BY977" i="6"/>
  <c r="CE977" i="6"/>
  <c r="BW978" i="6"/>
  <c r="BJ978" i="6"/>
  <c r="BQ978" i="6"/>
  <c r="BR978" i="6"/>
  <c r="BS978" i="6"/>
  <c r="BU978" i="6"/>
  <c r="BV978" i="6"/>
  <c r="BX978" i="6"/>
  <c r="BY978" i="6"/>
  <c r="CE978" i="6"/>
  <c r="BK979" i="6"/>
  <c r="BD979" i="6" s="1"/>
  <c r="AV979" i="6"/>
  <c r="BJ979" i="6"/>
  <c r="BL979" i="6"/>
  <c r="BE979" i="6" s="1"/>
  <c r="BQ979" i="6"/>
  <c r="BR979" i="6"/>
  <c r="BS979" i="6"/>
  <c r="BU979" i="6"/>
  <c r="BV979" i="6"/>
  <c r="BW979" i="6"/>
  <c r="BX979" i="6"/>
  <c r="BY979" i="6"/>
  <c r="CE979" i="6"/>
  <c r="BJ980" i="6"/>
  <c r="BK980" i="6"/>
  <c r="BD980" i="6" s="1"/>
  <c r="BL980" i="6"/>
  <c r="BE980" i="6" s="1"/>
  <c r="BQ980" i="6"/>
  <c r="BR980" i="6"/>
  <c r="BS980" i="6"/>
  <c r="BU980" i="6"/>
  <c r="BV980" i="6"/>
  <c r="BW980" i="6"/>
  <c r="BX980" i="6"/>
  <c r="BY980" i="6"/>
  <c r="CE980" i="6"/>
  <c r="BJ1173" i="6"/>
  <c r="BK1173" i="6"/>
  <c r="BD1173" i="6" s="1"/>
  <c r="BL1173" i="6"/>
  <c r="BE1173" i="6" s="1"/>
  <c r="BQ1173" i="6"/>
  <c r="BR1173" i="6"/>
  <c r="BS1173" i="6"/>
  <c r="BU1173" i="6"/>
  <c r="BV1173" i="6"/>
  <c r="BW1173" i="6"/>
  <c r="BX1173" i="6"/>
  <c r="BY1173" i="6"/>
  <c r="CE1185" i="6"/>
  <c r="BJ1174" i="6"/>
  <c r="BK1174" i="6"/>
  <c r="BD1174" i="6" s="1"/>
  <c r="BL1174" i="6"/>
  <c r="BQ1174" i="6"/>
  <c r="BR1174" i="6"/>
  <c r="BS1174" i="6"/>
  <c r="BU1174" i="6"/>
  <c r="BV1174" i="6"/>
  <c r="BW1174" i="6"/>
  <c r="BX1174" i="6"/>
  <c r="BY1174" i="6"/>
  <c r="CE1186" i="6"/>
  <c r="BJ1175" i="6"/>
  <c r="BK1175" i="6"/>
  <c r="BD1175" i="6" s="1"/>
  <c r="BL1175" i="6"/>
  <c r="BE1175" i="6" s="1"/>
  <c r="BQ1175" i="6"/>
  <c r="BR1175" i="6"/>
  <c r="BS1175" i="6"/>
  <c r="BU1175" i="6"/>
  <c r="BV1175" i="6"/>
  <c r="BW1175" i="6"/>
  <c r="BX1175" i="6"/>
  <c r="BY1175" i="6"/>
  <c r="CE1187" i="6"/>
  <c r="BJ1176" i="6"/>
  <c r="BK1176" i="6"/>
  <c r="BD1176" i="6" s="1"/>
  <c r="BL1176" i="6"/>
  <c r="BQ1176" i="6"/>
  <c r="BR1176" i="6"/>
  <c r="BS1176" i="6"/>
  <c r="BU1176" i="6"/>
  <c r="BV1176" i="6"/>
  <c r="BW1176" i="6"/>
  <c r="BX1176" i="6"/>
  <c r="BY1176" i="6"/>
  <c r="CE1188" i="6"/>
  <c r="BJ1177" i="6"/>
  <c r="BK1177" i="6"/>
  <c r="BD1177" i="6" s="1"/>
  <c r="BL1177" i="6"/>
  <c r="BE1177" i="6" s="1"/>
  <c r="BQ1177" i="6"/>
  <c r="BR1177" i="6"/>
  <c r="BS1177" i="6"/>
  <c r="BU1177" i="6"/>
  <c r="BV1177" i="6"/>
  <c r="BW1177" i="6"/>
  <c r="BX1177" i="6"/>
  <c r="BY1177" i="6"/>
  <c r="CE1189" i="6"/>
  <c r="BJ1178" i="6"/>
  <c r="BK1178" i="6"/>
  <c r="BD1178" i="6" s="1"/>
  <c r="BL1178" i="6"/>
  <c r="BE1178" i="6" s="1"/>
  <c r="BQ1178" i="6"/>
  <c r="BR1178" i="6"/>
  <c r="BS1178" i="6"/>
  <c r="BU1178" i="6"/>
  <c r="BV1178" i="6"/>
  <c r="BW1178" i="6"/>
  <c r="BX1178" i="6"/>
  <c r="BY1178" i="6"/>
  <c r="CE1190" i="6"/>
  <c r="BJ1179" i="6"/>
  <c r="BK1179" i="6"/>
  <c r="BD1179" i="6" s="1"/>
  <c r="BL1179" i="6"/>
  <c r="BE1179" i="6" s="1"/>
  <c r="BQ1179" i="6"/>
  <c r="BR1179" i="6"/>
  <c r="BS1179" i="6"/>
  <c r="BU1179" i="6"/>
  <c r="BV1179" i="6"/>
  <c r="BW1179" i="6"/>
  <c r="BX1179" i="6"/>
  <c r="BY1179" i="6"/>
  <c r="CE1181" i="6"/>
  <c r="BJ1180" i="6"/>
  <c r="BK1180" i="6"/>
  <c r="BD1180" i="6" s="1"/>
  <c r="BL1180" i="6"/>
  <c r="BQ1180" i="6"/>
  <c r="BR1180" i="6"/>
  <c r="BS1180" i="6"/>
  <c r="BU1180" i="6"/>
  <c r="BV1180" i="6"/>
  <c r="BW1180" i="6"/>
  <c r="BX1180" i="6"/>
  <c r="BY1180" i="6"/>
  <c r="CE1193" i="6"/>
  <c r="BJ1181" i="6"/>
  <c r="BK1181" i="6"/>
  <c r="BD1181" i="6" s="1"/>
  <c r="BL1181" i="6"/>
  <c r="BE1181" i="6" s="1"/>
  <c r="BQ1181" i="6"/>
  <c r="BR1181" i="6"/>
  <c r="BS1181" i="6"/>
  <c r="BU1181" i="6"/>
  <c r="BV1181" i="6"/>
  <c r="BW1181" i="6"/>
  <c r="BX1181" i="6"/>
  <c r="BY1181" i="6"/>
  <c r="CE1211" i="6"/>
  <c r="BJ1182" i="6"/>
  <c r="BK1182" i="6"/>
  <c r="BD1182" i="6" s="1"/>
  <c r="BL1182" i="6"/>
  <c r="BQ1182" i="6"/>
  <c r="BR1182" i="6"/>
  <c r="BS1182" i="6"/>
  <c r="BU1182" i="6"/>
  <c r="BV1182" i="6"/>
  <c r="BW1182" i="6"/>
  <c r="BX1182" i="6"/>
  <c r="BY1182" i="6"/>
  <c r="CE1171" i="6"/>
  <c r="BJ1183" i="6"/>
  <c r="BK1183" i="6"/>
  <c r="BD1183" i="6" s="1"/>
  <c r="BL1183" i="6"/>
  <c r="BE1183" i="6" s="1"/>
  <c r="BQ1183" i="6"/>
  <c r="BR1183" i="6"/>
  <c r="BS1183" i="6"/>
  <c r="BU1183" i="6"/>
  <c r="BV1183" i="6"/>
  <c r="BW1183" i="6"/>
  <c r="BX1183" i="6"/>
  <c r="BY1183" i="6"/>
  <c r="CE1165" i="6"/>
  <c r="BJ1184" i="6"/>
  <c r="BK1184" i="6"/>
  <c r="BD1184" i="6" s="1"/>
  <c r="BL1184" i="6"/>
  <c r="BE1184" i="6" s="1"/>
  <c r="BQ1184" i="6"/>
  <c r="BR1184" i="6"/>
  <c r="BS1184" i="6"/>
  <c r="BU1184" i="6"/>
  <c r="BV1184" i="6"/>
  <c r="BW1184" i="6"/>
  <c r="BX1184" i="6"/>
  <c r="BY1184" i="6"/>
  <c r="CE1196" i="6"/>
  <c r="BJ1185" i="6"/>
  <c r="BK1185" i="6"/>
  <c r="BD1185" i="6" s="1"/>
  <c r="BL1185" i="6"/>
  <c r="BE1185" i="6" s="1"/>
  <c r="BQ1185" i="6"/>
  <c r="BR1185" i="6"/>
  <c r="BS1185" i="6"/>
  <c r="BU1185" i="6"/>
  <c r="BV1185" i="6"/>
  <c r="BW1185" i="6"/>
  <c r="BX1185" i="6"/>
  <c r="BY1185" i="6"/>
  <c r="CE1197" i="6"/>
  <c r="BJ1186" i="6"/>
  <c r="BK1186" i="6"/>
  <c r="BD1186" i="6" s="1"/>
  <c r="BL1186" i="6"/>
  <c r="BQ1186" i="6"/>
  <c r="BR1186" i="6"/>
  <c r="BS1186" i="6"/>
  <c r="BU1186" i="6"/>
  <c r="BV1186" i="6"/>
  <c r="BW1186" i="6"/>
  <c r="BX1186" i="6"/>
  <c r="BY1186" i="6"/>
  <c r="CE1198" i="6"/>
  <c r="BJ1187" i="6"/>
  <c r="BK1187" i="6"/>
  <c r="BD1187" i="6" s="1"/>
  <c r="BL1187" i="6"/>
  <c r="BE1187" i="6" s="1"/>
  <c r="BQ1187" i="6"/>
  <c r="BR1187" i="6"/>
  <c r="BS1187" i="6"/>
  <c r="BU1187" i="6"/>
  <c r="BV1187" i="6"/>
  <c r="BW1187" i="6"/>
  <c r="BX1187" i="6"/>
  <c r="BY1187" i="6"/>
  <c r="CE1199" i="6"/>
  <c r="BJ1188" i="6"/>
  <c r="BK1188" i="6"/>
  <c r="BD1188" i="6" s="1"/>
  <c r="BL1188" i="6"/>
  <c r="BQ1188" i="6"/>
  <c r="BR1188" i="6"/>
  <c r="BS1188" i="6"/>
  <c r="BU1188" i="6"/>
  <c r="BV1188" i="6"/>
  <c r="BW1188" i="6"/>
  <c r="BX1188" i="6"/>
  <c r="BY1188" i="6"/>
  <c r="CE1200" i="6"/>
  <c r="BJ1189" i="6"/>
  <c r="BK1189" i="6"/>
  <c r="BD1189" i="6" s="1"/>
  <c r="BL1189" i="6"/>
  <c r="BE1189" i="6" s="1"/>
  <c r="BQ1189" i="6"/>
  <c r="BR1189" i="6"/>
  <c r="BS1189" i="6"/>
  <c r="BU1189" i="6"/>
  <c r="BV1189" i="6"/>
  <c r="BW1189" i="6"/>
  <c r="BX1189" i="6"/>
  <c r="BY1189" i="6"/>
  <c r="CE1201" i="6"/>
  <c r="BJ1190" i="6"/>
  <c r="BK1190" i="6"/>
  <c r="BD1190" i="6" s="1"/>
  <c r="BL1190" i="6"/>
  <c r="BE1190" i="6" s="1"/>
  <c r="BQ1190" i="6"/>
  <c r="BR1190" i="6"/>
  <c r="BS1190" i="6"/>
  <c r="BU1190" i="6"/>
  <c r="BV1190" i="6"/>
  <c r="BW1190" i="6"/>
  <c r="BX1190" i="6"/>
  <c r="BY1190" i="6"/>
  <c r="CE1202" i="6"/>
  <c r="BJ1191" i="6"/>
  <c r="BK1191" i="6"/>
  <c r="BD1191" i="6" s="1"/>
  <c r="BL1191" i="6"/>
  <c r="BE1191" i="6" s="1"/>
  <c r="BQ1191" i="6"/>
  <c r="BR1191" i="6"/>
  <c r="BS1191" i="6"/>
  <c r="BU1191" i="6"/>
  <c r="BV1191" i="6"/>
  <c r="BW1191" i="6"/>
  <c r="BX1191" i="6"/>
  <c r="BY1191" i="6"/>
  <c r="CE1203" i="6"/>
  <c r="BJ1192" i="6"/>
  <c r="BK1192" i="6"/>
  <c r="BD1192" i="6" s="1"/>
  <c r="BL1192" i="6"/>
  <c r="BQ1192" i="6"/>
  <c r="BR1192" i="6"/>
  <c r="BS1192" i="6"/>
  <c r="BU1192" i="6"/>
  <c r="BV1192" i="6"/>
  <c r="BW1192" i="6"/>
  <c r="BX1192" i="6"/>
  <c r="BY1192" i="6"/>
  <c r="CE1204" i="6"/>
  <c r="BJ1193" i="6"/>
  <c r="BK1193" i="6"/>
  <c r="BD1193" i="6" s="1"/>
  <c r="BL1193" i="6"/>
  <c r="BE1193" i="6" s="1"/>
  <c r="BQ1193" i="6"/>
  <c r="BR1193" i="6"/>
  <c r="BS1193" i="6"/>
  <c r="BU1193" i="6"/>
  <c r="BV1193" i="6"/>
  <c r="BW1193" i="6"/>
  <c r="BX1193" i="6"/>
  <c r="BY1193" i="6"/>
  <c r="CE1205" i="6"/>
  <c r="BJ1194" i="6"/>
  <c r="BK1194" i="6"/>
  <c r="BD1194" i="6" s="1"/>
  <c r="BL1194" i="6"/>
  <c r="BQ1194" i="6"/>
  <c r="BR1194" i="6"/>
  <c r="BS1194" i="6"/>
  <c r="BU1194" i="6"/>
  <c r="BV1194" i="6"/>
  <c r="BW1194" i="6"/>
  <c r="BX1194" i="6"/>
  <c r="BY1194" i="6"/>
  <c r="CE1206" i="6"/>
  <c r="BJ1195" i="6"/>
  <c r="BK1195" i="6"/>
  <c r="BD1195" i="6" s="1"/>
  <c r="BL1195" i="6"/>
  <c r="BQ1195" i="6"/>
  <c r="BR1195" i="6"/>
  <c r="BS1195" i="6"/>
  <c r="BU1195" i="6"/>
  <c r="BV1195" i="6"/>
  <c r="BW1195" i="6"/>
  <c r="BX1195" i="6"/>
  <c r="BY1195" i="6"/>
  <c r="CE1207" i="6"/>
  <c r="BJ1196" i="6"/>
  <c r="BK1196" i="6"/>
  <c r="BD1196" i="6" s="1"/>
  <c r="BL1196" i="6"/>
  <c r="BE1196" i="6" s="1"/>
  <c r="BQ1196" i="6"/>
  <c r="BR1196" i="6"/>
  <c r="BS1196" i="6"/>
  <c r="BU1196" i="6"/>
  <c r="BV1196" i="6"/>
  <c r="BW1196" i="6"/>
  <c r="BX1196" i="6"/>
  <c r="BY1196" i="6"/>
  <c r="CE1208" i="6"/>
  <c r="BJ1197" i="6"/>
  <c r="BK1197" i="6"/>
  <c r="BD1197" i="6" s="1"/>
  <c r="BL1197" i="6"/>
  <c r="BE1197" i="6" s="1"/>
  <c r="BQ1197" i="6"/>
  <c r="BR1197" i="6"/>
  <c r="BS1197" i="6"/>
  <c r="BU1197" i="6"/>
  <c r="BV1197" i="6"/>
  <c r="BW1197" i="6"/>
  <c r="BX1197" i="6"/>
  <c r="BY1197" i="6"/>
  <c r="CE1159" i="6"/>
  <c r="BJ1198" i="6"/>
  <c r="BK1198" i="6"/>
  <c r="BD1198" i="6" s="1"/>
  <c r="BL1198" i="6"/>
  <c r="BE1198" i="6" s="1"/>
  <c r="BQ1198" i="6"/>
  <c r="BR1198" i="6"/>
  <c r="BS1198" i="6"/>
  <c r="BU1198" i="6"/>
  <c r="BV1198" i="6"/>
  <c r="BW1198" i="6"/>
  <c r="BX1198" i="6"/>
  <c r="BY1198" i="6"/>
  <c r="CE1153" i="6"/>
  <c r="BJ1199" i="6"/>
  <c r="BK1199" i="6"/>
  <c r="BD1199" i="6" s="1"/>
  <c r="BL1199" i="6"/>
  <c r="BE1199" i="6" s="1"/>
  <c r="BQ1199" i="6"/>
  <c r="BR1199" i="6"/>
  <c r="BS1199" i="6"/>
  <c r="BU1199" i="6"/>
  <c r="BV1199" i="6"/>
  <c r="BW1199" i="6"/>
  <c r="BX1199" i="6"/>
  <c r="BY1199" i="6"/>
  <c r="CE1179" i="6"/>
  <c r="BJ1200" i="6"/>
  <c r="BK1200" i="6"/>
  <c r="BD1200" i="6" s="1"/>
  <c r="BL1200" i="6"/>
  <c r="BE1200" i="6" s="1"/>
  <c r="BQ1200" i="6"/>
  <c r="BR1200" i="6"/>
  <c r="BS1200" i="6"/>
  <c r="BU1200" i="6"/>
  <c r="BV1200" i="6"/>
  <c r="BW1200" i="6"/>
  <c r="BX1200" i="6"/>
  <c r="BY1200" i="6"/>
  <c r="CE1191" i="6"/>
  <c r="AV1201" i="6"/>
  <c r="BJ1201" i="6"/>
  <c r="BK1201" i="6"/>
  <c r="BD1201" i="6" s="1"/>
  <c r="BL1201" i="6"/>
  <c r="BE1201" i="6" s="1"/>
  <c r="BQ1201" i="6"/>
  <c r="BR1201" i="6"/>
  <c r="BS1201" i="6"/>
  <c r="BU1201" i="6"/>
  <c r="BV1201" i="6"/>
  <c r="BW1201" i="6"/>
  <c r="BX1201" i="6"/>
  <c r="BY1201" i="6"/>
  <c r="CE1209" i="6"/>
  <c r="BJ1202" i="6"/>
  <c r="BK1202" i="6"/>
  <c r="BD1202" i="6" s="1"/>
  <c r="BL1202" i="6"/>
  <c r="BE1202" i="6" s="1"/>
  <c r="BQ1202" i="6"/>
  <c r="BR1202" i="6"/>
  <c r="BS1202" i="6"/>
  <c r="BU1202" i="6"/>
  <c r="BV1202" i="6"/>
  <c r="BW1202" i="6"/>
  <c r="BX1202" i="6"/>
  <c r="BY1202" i="6"/>
  <c r="CE1214" i="6"/>
  <c r="BJ1203" i="6"/>
  <c r="BK1203" i="6"/>
  <c r="BD1203" i="6" s="1"/>
  <c r="BL1203" i="6"/>
  <c r="BQ1203" i="6"/>
  <c r="BR1203" i="6"/>
  <c r="BS1203" i="6"/>
  <c r="BU1203" i="6"/>
  <c r="BV1203" i="6"/>
  <c r="BW1203" i="6"/>
  <c r="BX1203" i="6"/>
  <c r="BY1203" i="6"/>
  <c r="CE1215" i="6"/>
  <c r="BJ1204" i="6"/>
  <c r="BK1204" i="6"/>
  <c r="BD1204" i="6" s="1"/>
  <c r="BL1204" i="6"/>
  <c r="BQ1204" i="6"/>
  <c r="BR1204" i="6"/>
  <c r="BS1204" i="6"/>
  <c r="BU1204" i="6"/>
  <c r="BV1204" i="6"/>
  <c r="BW1204" i="6"/>
  <c r="BX1204" i="6"/>
  <c r="BY1204" i="6"/>
  <c r="CE1216" i="6"/>
  <c r="BJ1205" i="6"/>
  <c r="BK1205" i="6"/>
  <c r="BD1205" i="6" s="1"/>
  <c r="BL1205" i="6"/>
  <c r="BE1205" i="6" s="1"/>
  <c r="BQ1205" i="6"/>
  <c r="BR1205" i="6"/>
  <c r="BS1205" i="6"/>
  <c r="BU1205" i="6"/>
  <c r="BV1205" i="6"/>
  <c r="BW1205" i="6"/>
  <c r="BX1205" i="6"/>
  <c r="BY1205" i="6"/>
  <c r="CE1217" i="6"/>
  <c r="BJ1206" i="6"/>
  <c r="BK1206" i="6"/>
  <c r="BD1206" i="6" s="1"/>
  <c r="BL1206" i="6"/>
  <c r="BQ1206" i="6"/>
  <c r="BR1206" i="6"/>
  <c r="BS1206" i="6"/>
  <c r="BU1206" i="6"/>
  <c r="BV1206" i="6"/>
  <c r="BW1206" i="6"/>
  <c r="BX1206" i="6"/>
  <c r="BY1206" i="6"/>
  <c r="CE1218" i="6"/>
  <c r="AV1207" i="6"/>
  <c r="BJ1207" i="6"/>
  <c r="BK1207" i="6"/>
  <c r="BD1207" i="6" s="1"/>
  <c r="BL1207" i="6"/>
  <c r="BE1207" i="6" s="1"/>
  <c r="BQ1207" i="6"/>
  <c r="BR1207" i="6"/>
  <c r="BS1207" i="6"/>
  <c r="BU1207" i="6"/>
  <c r="BV1207" i="6"/>
  <c r="BW1207" i="6"/>
  <c r="BX1207" i="6"/>
  <c r="BY1207" i="6"/>
  <c r="CE1219" i="6"/>
  <c r="BJ1208" i="6"/>
  <c r="BK1208" i="6"/>
  <c r="BD1208" i="6" s="1"/>
  <c r="BL1208" i="6"/>
  <c r="BE1208" i="6" s="1"/>
  <c r="BQ1208" i="6"/>
  <c r="BR1208" i="6"/>
  <c r="BS1208" i="6"/>
  <c r="BU1208" i="6"/>
  <c r="BV1208" i="6"/>
  <c r="BW1208" i="6"/>
  <c r="BX1208" i="6"/>
  <c r="BY1208" i="6"/>
  <c r="CE1220" i="6"/>
  <c r="BJ1209" i="6"/>
  <c r="BK1209" i="6"/>
  <c r="BD1209" i="6" s="1"/>
  <c r="BL1209" i="6"/>
  <c r="BQ1209" i="6"/>
  <c r="BR1209" i="6"/>
  <c r="BS1209" i="6"/>
  <c r="BU1209" i="6"/>
  <c r="BV1209" i="6"/>
  <c r="BW1209" i="6"/>
  <c r="BX1209" i="6"/>
  <c r="BY1209" i="6"/>
  <c r="CE1221" i="6"/>
  <c r="BJ1210" i="6"/>
  <c r="BK1210" i="6"/>
  <c r="BD1210" i="6" s="1"/>
  <c r="BL1210" i="6"/>
  <c r="BQ1210" i="6"/>
  <c r="BR1210" i="6"/>
  <c r="BS1210" i="6"/>
  <c r="BU1210" i="6"/>
  <c r="BV1210" i="6"/>
  <c r="BW1210" i="6"/>
  <c r="BX1210" i="6"/>
  <c r="BY1210" i="6"/>
  <c r="CE1222" i="6"/>
  <c r="BJ1211" i="6"/>
  <c r="BK1211" i="6"/>
  <c r="BD1211" i="6" s="1"/>
  <c r="BL1211" i="6"/>
  <c r="BE1211" i="6" s="1"/>
  <c r="BQ1211" i="6"/>
  <c r="BR1211" i="6"/>
  <c r="BS1211" i="6"/>
  <c r="BU1211" i="6"/>
  <c r="BV1211" i="6"/>
  <c r="BW1211" i="6"/>
  <c r="BX1211" i="6"/>
  <c r="BY1211" i="6"/>
  <c r="CE1223" i="6"/>
  <c r="BL1212" i="6"/>
  <c r="BJ1212" i="6"/>
  <c r="BQ1212" i="6"/>
  <c r="BR1212" i="6"/>
  <c r="BS1212" i="6"/>
  <c r="BU1212" i="6"/>
  <c r="BV1212" i="6"/>
  <c r="BW1212" i="6"/>
  <c r="BX1212" i="6"/>
  <c r="BY1212" i="6"/>
  <c r="CE1224" i="6"/>
  <c r="AV1213" i="6"/>
  <c r="BJ1213" i="6"/>
  <c r="BK1213" i="6"/>
  <c r="BD1213" i="6" s="1"/>
  <c r="BL1213" i="6"/>
  <c r="BQ1213" i="6"/>
  <c r="BR1213" i="6"/>
  <c r="BS1213" i="6"/>
  <c r="BU1213" i="6"/>
  <c r="BV1213" i="6"/>
  <c r="BW1213" i="6"/>
  <c r="BX1213" i="6"/>
  <c r="BY1213" i="6"/>
  <c r="CE1225" i="6"/>
  <c r="BJ1214" i="6"/>
  <c r="BK1214" i="6"/>
  <c r="BD1214" i="6" s="1"/>
  <c r="BL1214" i="6"/>
  <c r="BE1214" i="6" s="1"/>
  <c r="BQ1214" i="6"/>
  <c r="BR1214" i="6"/>
  <c r="BS1214" i="6"/>
  <c r="BU1214" i="6"/>
  <c r="BV1214" i="6"/>
  <c r="BW1214" i="6"/>
  <c r="BX1214" i="6"/>
  <c r="BY1214" i="6"/>
  <c r="CE1226" i="6"/>
  <c r="BJ1215" i="6"/>
  <c r="BK1215" i="6"/>
  <c r="BD1215" i="6" s="1"/>
  <c r="BL1215" i="6"/>
  <c r="BE1215" i="6" s="1"/>
  <c r="BQ1215" i="6"/>
  <c r="BR1215" i="6"/>
  <c r="BS1215" i="6"/>
  <c r="BU1215" i="6"/>
  <c r="BV1215" i="6"/>
  <c r="BW1215" i="6"/>
  <c r="BX1215" i="6"/>
  <c r="BY1215" i="6"/>
  <c r="CE1227" i="6"/>
  <c r="BJ1216" i="6"/>
  <c r="BK1216" i="6"/>
  <c r="BD1216" i="6" s="1"/>
  <c r="BL1216" i="6"/>
  <c r="BQ1216" i="6"/>
  <c r="BR1216" i="6"/>
  <c r="BS1216" i="6"/>
  <c r="BU1216" i="6"/>
  <c r="BV1216" i="6"/>
  <c r="BW1216" i="6"/>
  <c r="BX1216" i="6"/>
  <c r="BY1216" i="6"/>
  <c r="CE1228" i="6"/>
  <c r="BJ1217" i="6"/>
  <c r="BK1217" i="6"/>
  <c r="BD1217" i="6" s="1"/>
  <c r="BL1217" i="6"/>
  <c r="BE1217" i="6" s="1"/>
  <c r="BQ1217" i="6"/>
  <c r="BR1217" i="6"/>
  <c r="BS1217" i="6"/>
  <c r="BU1217" i="6"/>
  <c r="BV1217" i="6"/>
  <c r="BW1217" i="6"/>
  <c r="BX1217" i="6"/>
  <c r="BY1217" i="6"/>
  <c r="CE1229" i="6"/>
  <c r="BJ1218" i="6"/>
  <c r="BK1218" i="6"/>
  <c r="BD1218" i="6" s="1"/>
  <c r="BL1218" i="6"/>
  <c r="BQ1218" i="6"/>
  <c r="BR1218" i="6"/>
  <c r="BS1218" i="6"/>
  <c r="BU1218" i="6"/>
  <c r="BV1218" i="6"/>
  <c r="BW1218" i="6"/>
  <c r="BX1218" i="6"/>
  <c r="BY1218" i="6"/>
  <c r="CE1230" i="6"/>
  <c r="BJ1219" i="6"/>
  <c r="BK1219" i="6"/>
  <c r="BD1219" i="6" s="1"/>
  <c r="BL1219" i="6"/>
  <c r="BQ1219" i="6"/>
  <c r="BR1219" i="6"/>
  <c r="BS1219" i="6"/>
  <c r="BU1219" i="6"/>
  <c r="BV1219" i="6"/>
  <c r="BW1219" i="6"/>
  <c r="BX1219" i="6"/>
  <c r="BY1219" i="6"/>
  <c r="CE1231" i="6"/>
  <c r="BJ1220" i="6"/>
  <c r="BK1220" i="6"/>
  <c r="BD1220" i="6" s="1"/>
  <c r="BL1220" i="6"/>
  <c r="BE1220" i="6" s="1"/>
  <c r="BQ1220" i="6"/>
  <c r="BR1220" i="6"/>
  <c r="BS1220" i="6"/>
  <c r="BU1220" i="6"/>
  <c r="BV1220" i="6"/>
  <c r="BW1220" i="6"/>
  <c r="BX1220" i="6"/>
  <c r="BY1220" i="6"/>
  <c r="CE1232" i="6"/>
  <c r="BJ1221" i="6"/>
  <c r="BK1221" i="6"/>
  <c r="BD1221" i="6" s="1"/>
  <c r="BL1221" i="6"/>
  <c r="BE1221" i="6" s="1"/>
  <c r="BQ1221" i="6"/>
  <c r="BR1221" i="6"/>
  <c r="BS1221" i="6"/>
  <c r="BU1221" i="6"/>
  <c r="BV1221" i="6"/>
  <c r="BW1221" i="6"/>
  <c r="BX1221" i="6"/>
  <c r="BY1221" i="6"/>
  <c r="CE1233" i="6"/>
  <c r="BJ1222" i="6"/>
  <c r="BK1222" i="6"/>
  <c r="BD1222" i="6" s="1"/>
  <c r="BL1222" i="6"/>
  <c r="BE1222" i="6" s="1"/>
  <c r="BQ1222" i="6"/>
  <c r="BR1222" i="6"/>
  <c r="BS1222" i="6"/>
  <c r="BU1222" i="6"/>
  <c r="BV1222" i="6"/>
  <c r="BW1222" i="6"/>
  <c r="BX1222" i="6"/>
  <c r="BY1222" i="6"/>
  <c r="CE1234" i="6"/>
  <c r="BJ1223" i="6"/>
  <c r="BK1223" i="6"/>
  <c r="BD1223" i="6" s="1"/>
  <c r="BL1223" i="6"/>
  <c r="BE1223" i="6" s="1"/>
  <c r="BQ1223" i="6"/>
  <c r="BR1223" i="6"/>
  <c r="BS1223" i="6"/>
  <c r="BU1223" i="6"/>
  <c r="BV1223" i="6"/>
  <c r="BW1223" i="6"/>
  <c r="BX1223" i="6"/>
  <c r="BY1223" i="6"/>
  <c r="CE1235" i="6"/>
  <c r="BJ1224" i="6"/>
  <c r="BK1224" i="6"/>
  <c r="BD1224" i="6" s="1"/>
  <c r="BL1224" i="6"/>
  <c r="BE1224" i="6" s="1"/>
  <c r="BQ1224" i="6"/>
  <c r="BR1224" i="6"/>
  <c r="BS1224" i="6"/>
  <c r="BU1224" i="6"/>
  <c r="BV1224" i="6"/>
  <c r="BW1224" i="6"/>
  <c r="BX1224" i="6"/>
  <c r="BY1224" i="6"/>
  <c r="CE1236" i="6"/>
  <c r="BJ1225" i="6"/>
  <c r="BK1225" i="6"/>
  <c r="BD1225" i="6" s="1"/>
  <c r="BL1225" i="6"/>
  <c r="BE1225" i="6" s="1"/>
  <c r="BQ1225" i="6"/>
  <c r="BR1225" i="6"/>
  <c r="BS1225" i="6"/>
  <c r="BU1225" i="6"/>
  <c r="BV1225" i="6"/>
  <c r="BW1225" i="6"/>
  <c r="BX1225" i="6"/>
  <c r="BY1225" i="6"/>
  <c r="CE1237" i="6"/>
  <c r="BJ1226" i="6"/>
  <c r="BK1226" i="6"/>
  <c r="BD1226" i="6" s="1"/>
  <c r="BL1226" i="6"/>
  <c r="BE1226" i="6" s="1"/>
  <c r="BQ1226" i="6"/>
  <c r="BR1226" i="6"/>
  <c r="BS1226" i="6"/>
  <c r="BU1226" i="6"/>
  <c r="BV1226" i="6"/>
  <c r="BW1226" i="6"/>
  <c r="BX1226" i="6"/>
  <c r="BY1226" i="6"/>
  <c r="CE1238" i="6"/>
  <c r="BJ105" i="6"/>
  <c r="BK105" i="6"/>
  <c r="BD105" i="6" s="1"/>
  <c r="BL105" i="6"/>
  <c r="BE105" i="6" s="1"/>
  <c r="BQ105" i="6"/>
  <c r="BR105" i="6"/>
  <c r="BS105" i="6"/>
  <c r="BU105" i="6"/>
  <c r="BV105" i="6"/>
  <c r="BW105" i="6"/>
  <c r="BX105" i="6"/>
  <c r="BY105" i="6"/>
  <c r="CE105" i="6"/>
  <c r="BJ106" i="6"/>
  <c r="BK106" i="6"/>
  <c r="BD106" i="6" s="1"/>
  <c r="BL106" i="6"/>
  <c r="BE106" i="6" s="1"/>
  <c r="BQ106" i="6"/>
  <c r="BR106" i="6"/>
  <c r="BS106" i="6"/>
  <c r="BU106" i="6"/>
  <c r="BV106" i="6"/>
  <c r="BW106" i="6"/>
  <c r="BX106" i="6"/>
  <c r="BY106" i="6"/>
  <c r="CE106" i="6"/>
  <c r="BJ107" i="6"/>
  <c r="BK107" i="6"/>
  <c r="BD107" i="6" s="1"/>
  <c r="BL107" i="6"/>
  <c r="BE107" i="6" s="1"/>
  <c r="BQ107" i="6"/>
  <c r="BR107" i="6"/>
  <c r="BS107" i="6"/>
  <c r="BU107" i="6"/>
  <c r="BV107" i="6"/>
  <c r="BW107" i="6"/>
  <c r="BX107" i="6"/>
  <c r="BY107" i="6"/>
  <c r="CE107" i="6"/>
  <c r="BJ108" i="6"/>
  <c r="BK108" i="6"/>
  <c r="BD108" i="6" s="1"/>
  <c r="BL108" i="6"/>
  <c r="BE108" i="6" s="1"/>
  <c r="BQ108" i="6"/>
  <c r="BR108" i="6"/>
  <c r="BS108" i="6"/>
  <c r="BU108" i="6"/>
  <c r="BV108" i="6"/>
  <c r="BW108" i="6"/>
  <c r="BX108" i="6"/>
  <c r="BY108" i="6"/>
  <c r="CE108" i="6"/>
  <c r="BJ109" i="6"/>
  <c r="BK109" i="6"/>
  <c r="BD109" i="6" s="1"/>
  <c r="BL109" i="6"/>
  <c r="BE109" i="6" s="1"/>
  <c r="BQ109" i="6"/>
  <c r="BR109" i="6"/>
  <c r="BS109" i="6"/>
  <c r="BU109" i="6"/>
  <c r="BV109" i="6"/>
  <c r="BW109" i="6"/>
  <c r="BX109" i="6"/>
  <c r="BY109" i="6"/>
  <c r="CE109" i="6"/>
  <c r="BJ110" i="6"/>
  <c r="BK110" i="6"/>
  <c r="BD110" i="6" s="1"/>
  <c r="BL110" i="6"/>
  <c r="BE110" i="6" s="1"/>
  <c r="BQ110" i="6"/>
  <c r="BR110" i="6"/>
  <c r="BS110" i="6"/>
  <c r="BU110" i="6"/>
  <c r="BV110" i="6"/>
  <c r="BW110" i="6"/>
  <c r="BX110" i="6"/>
  <c r="BY110" i="6"/>
  <c r="CE110" i="6"/>
  <c r="BJ111" i="6"/>
  <c r="BK111" i="6"/>
  <c r="BD111" i="6" s="1"/>
  <c r="BL111" i="6"/>
  <c r="BE111" i="6" s="1"/>
  <c r="BQ111" i="6"/>
  <c r="BR111" i="6"/>
  <c r="BS111" i="6"/>
  <c r="BU111" i="6"/>
  <c r="BV111" i="6"/>
  <c r="BW111" i="6"/>
  <c r="BX111" i="6"/>
  <c r="BY111" i="6"/>
  <c r="CE111" i="6"/>
  <c r="BJ112" i="6"/>
  <c r="BK112" i="6"/>
  <c r="BD112" i="6" s="1"/>
  <c r="BL112" i="6"/>
  <c r="BE112" i="6" s="1"/>
  <c r="BQ112" i="6"/>
  <c r="BR112" i="6"/>
  <c r="BS112" i="6"/>
  <c r="BU112" i="6"/>
  <c r="BV112" i="6"/>
  <c r="BW112" i="6"/>
  <c r="BX112" i="6"/>
  <c r="BY112" i="6"/>
  <c r="CE112" i="6"/>
  <c r="BJ113" i="6"/>
  <c r="BK113" i="6"/>
  <c r="BD113" i="6" s="1"/>
  <c r="BL113" i="6"/>
  <c r="BE113" i="6" s="1"/>
  <c r="BQ113" i="6"/>
  <c r="BR113" i="6"/>
  <c r="BS113" i="6"/>
  <c r="BU113" i="6"/>
  <c r="BV113" i="6"/>
  <c r="BW113" i="6"/>
  <c r="BX113" i="6"/>
  <c r="BY113" i="6"/>
  <c r="CE113" i="6"/>
  <c r="BJ114" i="6"/>
  <c r="BK114" i="6"/>
  <c r="BD114" i="6" s="1"/>
  <c r="BL114" i="6"/>
  <c r="BE114" i="6" s="1"/>
  <c r="BQ114" i="6"/>
  <c r="BR114" i="6"/>
  <c r="BS114" i="6"/>
  <c r="BU114" i="6"/>
  <c r="BV114" i="6"/>
  <c r="BW114" i="6"/>
  <c r="BX114" i="6"/>
  <c r="BY114" i="6"/>
  <c r="CE114" i="6"/>
  <c r="BJ115" i="6"/>
  <c r="BK115" i="6"/>
  <c r="BD115" i="6" s="1"/>
  <c r="BL115" i="6"/>
  <c r="BE115" i="6" s="1"/>
  <c r="BQ115" i="6"/>
  <c r="BR115" i="6"/>
  <c r="BS115" i="6"/>
  <c r="BU115" i="6"/>
  <c r="BV115" i="6"/>
  <c r="BW115" i="6"/>
  <c r="BX115" i="6"/>
  <c r="BY115" i="6"/>
  <c r="CE115" i="6"/>
  <c r="BJ116" i="6"/>
  <c r="BK116" i="6"/>
  <c r="BD116" i="6" s="1"/>
  <c r="BL116" i="6"/>
  <c r="BE116" i="6" s="1"/>
  <c r="BQ116" i="6"/>
  <c r="BR116" i="6"/>
  <c r="BS116" i="6"/>
  <c r="BU116" i="6"/>
  <c r="BV116" i="6"/>
  <c r="BW116" i="6"/>
  <c r="BX116" i="6"/>
  <c r="BY116" i="6"/>
  <c r="CE116" i="6"/>
  <c r="BJ117" i="6"/>
  <c r="BK117" i="6"/>
  <c r="BD117" i="6" s="1"/>
  <c r="BL117" i="6"/>
  <c r="BE117" i="6" s="1"/>
  <c r="BQ117" i="6"/>
  <c r="BR117" i="6"/>
  <c r="BS117" i="6"/>
  <c r="BU117" i="6"/>
  <c r="BV117" i="6"/>
  <c r="BW117" i="6"/>
  <c r="BX117" i="6"/>
  <c r="BY117" i="6"/>
  <c r="CE117" i="6"/>
  <c r="BJ118" i="6"/>
  <c r="BK118" i="6"/>
  <c r="BD118" i="6" s="1"/>
  <c r="BL118" i="6"/>
  <c r="BE118" i="6" s="1"/>
  <c r="BQ118" i="6"/>
  <c r="BR118" i="6"/>
  <c r="BS118" i="6"/>
  <c r="BU118" i="6"/>
  <c r="BV118" i="6"/>
  <c r="BW118" i="6"/>
  <c r="BX118" i="6"/>
  <c r="BY118" i="6"/>
  <c r="CE118" i="6"/>
  <c r="BJ119" i="6"/>
  <c r="BK119" i="6"/>
  <c r="BD119" i="6" s="1"/>
  <c r="BL119" i="6"/>
  <c r="BE119" i="6" s="1"/>
  <c r="BQ119" i="6"/>
  <c r="BR119" i="6"/>
  <c r="BS119" i="6"/>
  <c r="BU119" i="6"/>
  <c r="BV119" i="6"/>
  <c r="BW119" i="6"/>
  <c r="BX119" i="6"/>
  <c r="BY119" i="6"/>
  <c r="CE119" i="6"/>
  <c r="BJ120" i="6"/>
  <c r="BK120" i="6"/>
  <c r="BD120" i="6" s="1"/>
  <c r="BL120" i="6"/>
  <c r="BE120" i="6" s="1"/>
  <c r="BQ120" i="6"/>
  <c r="BR120" i="6"/>
  <c r="BS120" i="6"/>
  <c r="BU120" i="6"/>
  <c r="BV120" i="6"/>
  <c r="BW120" i="6"/>
  <c r="BX120" i="6"/>
  <c r="BY120" i="6"/>
  <c r="CE120" i="6"/>
  <c r="BJ121" i="6"/>
  <c r="BK121" i="6"/>
  <c r="BD121" i="6" s="1"/>
  <c r="BL121" i="6"/>
  <c r="BE121" i="6" s="1"/>
  <c r="BQ121" i="6"/>
  <c r="BR121" i="6"/>
  <c r="BS121" i="6"/>
  <c r="BU121" i="6"/>
  <c r="BV121" i="6"/>
  <c r="BW121" i="6"/>
  <c r="BX121" i="6"/>
  <c r="BY121" i="6"/>
  <c r="CE121" i="6"/>
  <c r="BJ122" i="6"/>
  <c r="BK122" i="6"/>
  <c r="BD122" i="6" s="1"/>
  <c r="BL122" i="6"/>
  <c r="BE122" i="6" s="1"/>
  <c r="BQ122" i="6"/>
  <c r="BR122" i="6"/>
  <c r="BS122" i="6"/>
  <c r="BU122" i="6"/>
  <c r="BV122" i="6"/>
  <c r="BW122" i="6"/>
  <c r="BX122" i="6"/>
  <c r="BY122" i="6"/>
  <c r="CE122" i="6"/>
  <c r="BJ123" i="6"/>
  <c r="BK123" i="6"/>
  <c r="BD123" i="6" s="1"/>
  <c r="BL123" i="6"/>
  <c r="BE123" i="6" s="1"/>
  <c r="BQ123" i="6"/>
  <c r="BR123" i="6"/>
  <c r="BS123" i="6"/>
  <c r="BU123" i="6"/>
  <c r="BV123" i="6"/>
  <c r="BW123" i="6"/>
  <c r="BX123" i="6"/>
  <c r="BY123" i="6"/>
  <c r="CE123" i="6"/>
  <c r="BJ124" i="6"/>
  <c r="BK124" i="6"/>
  <c r="BD124" i="6" s="1"/>
  <c r="BL124" i="6"/>
  <c r="BE124" i="6" s="1"/>
  <c r="BQ124" i="6"/>
  <c r="BR124" i="6"/>
  <c r="BS124" i="6"/>
  <c r="BU124" i="6"/>
  <c r="BV124" i="6"/>
  <c r="BW124" i="6"/>
  <c r="BX124" i="6"/>
  <c r="BY124" i="6"/>
  <c r="CE124" i="6"/>
  <c r="BJ125" i="6"/>
  <c r="BK125" i="6"/>
  <c r="BD125" i="6" s="1"/>
  <c r="BL125" i="6"/>
  <c r="BE125" i="6" s="1"/>
  <c r="BQ125" i="6"/>
  <c r="BR125" i="6"/>
  <c r="BS125" i="6"/>
  <c r="BU125" i="6"/>
  <c r="BV125" i="6"/>
  <c r="BW125" i="6"/>
  <c r="BX125" i="6"/>
  <c r="BY125" i="6"/>
  <c r="CE125" i="6"/>
  <c r="BJ126" i="6"/>
  <c r="BK126" i="6"/>
  <c r="BD126" i="6" s="1"/>
  <c r="BL126" i="6"/>
  <c r="BE126" i="6" s="1"/>
  <c r="BQ126" i="6"/>
  <c r="BR126" i="6"/>
  <c r="BS126" i="6"/>
  <c r="BU126" i="6"/>
  <c r="BV126" i="6"/>
  <c r="BW126" i="6"/>
  <c r="BX126" i="6"/>
  <c r="BY126" i="6"/>
  <c r="CE126" i="6"/>
  <c r="BJ127" i="6"/>
  <c r="BK127" i="6"/>
  <c r="BD127" i="6" s="1"/>
  <c r="BL127" i="6"/>
  <c r="BE127" i="6" s="1"/>
  <c r="BQ127" i="6"/>
  <c r="BR127" i="6"/>
  <c r="BS127" i="6"/>
  <c r="BU127" i="6"/>
  <c r="BV127" i="6"/>
  <c r="BW127" i="6"/>
  <c r="BX127" i="6"/>
  <c r="BY127" i="6"/>
  <c r="CE127" i="6"/>
  <c r="BJ128" i="6"/>
  <c r="BK128" i="6"/>
  <c r="BD128" i="6" s="1"/>
  <c r="BL128" i="6"/>
  <c r="BE128" i="6" s="1"/>
  <c r="BQ128" i="6"/>
  <c r="BR128" i="6"/>
  <c r="BS128" i="6"/>
  <c r="BU128" i="6"/>
  <c r="BV128" i="6"/>
  <c r="BW128" i="6"/>
  <c r="BX128" i="6"/>
  <c r="BY128" i="6"/>
  <c r="CE128" i="6"/>
  <c r="BJ39" i="6"/>
  <c r="BK39" i="6"/>
  <c r="BD39" i="6" s="1"/>
  <c r="BL39" i="6"/>
  <c r="BE39" i="6" s="1"/>
  <c r="BQ39" i="6"/>
  <c r="BR39" i="6"/>
  <c r="BS39" i="6"/>
  <c r="BU39" i="6"/>
  <c r="BV39" i="6"/>
  <c r="BW39" i="6"/>
  <c r="BX39" i="6"/>
  <c r="BY39" i="6"/>
  <c r="CE39" i="6"/>
  <c r="BJ40" i="6"/>
  <c r="BK40" i="6"/>
  <c r="BD40" i="6" s="1"/>
  <c r="BL40" i="6"/>
  <c r="BE40" i="6" s="1"/>
  <c r="BQ40" i="6"/>
  <c r="BR40" i="6"/>
  <c r="BS40" i="6"/>
  <c r="BU40" i="6"/>
  <c r="BV40" i="6"/>
  <c r="BW40" i="6"/>
  <c r="BX40" i="6"/>
  <c r="BY40" i="6"/>
  <c r="CE40" i="6"/>
  <c r="BJ41" i="6"/>
  <c r="BK41" i="6"/>
  <c r="BD41" i="6" s="1"/>
  <c r="BL41" i="6"/>
  <c r="BE41" i="6" s="1"/>
  <c r="BQ41" i="6"/>
  <c r="BR41" i="6"/>
  <c r="BS41" i="6"/>
  <c r="BU41" i="6"/>
  <c r="BV41" i="6"/>
  <c r="BW41" i="6"/>
  <c r="BX41" i="6"/>
  <c r="BY41" i="6"/>
  <c r="CE41" i="6"/>
  <c r="BJ42" i="6"/>
  <c r="BK42" i="6"/>
  <c r="BD42" i="6" s="1"/>
  <c r="BL42" i="6"/>
  <c r="BE42" i="6" s="1"/>
  <c r="BQ42" i="6"/>
  <c r="BR42" i="6"/>
  <c r="BS42" i="6"/>
  <c r="BU42" i="6"/>
  <c r="BV42" i="6"/>
  <c r="BW42" i="6"/>
  <c r="BX42" i="6"/>
  <c r="BY42" i="6"/>
  <c r="CE42" i="6"/>
  <c r="BJ43" i="6"/>
  <c r="BK43" i="6"/>
  <c r="BD43" i="6" s="1"/>
  <c r="BL43" i="6"/>
  <c r="BE43" i="6" s="1"/>
  <c r="BQ43" i="6"/>
  <c r="BR43" i="6"/>
  <c r="BS43" i="6"/>
  <c r="BU43" i="6"/>
  <c r="BV43" i="6"/>
  <c r="BW43" i="6"/>
  <c r="BX43" i="6"/>
  <c r="BY43" i="6"/>
  <c r="CE43" i="6"/>
  <c r="BJ44" i="6"/>
  <c r="BK44" i="6"/>
  <c r="BD44" i="6" s="1"/>
  <c r="BL44" i="6"/>
  <c r="BE44" i="6" s="1"/>
  <c r="BQ44" i="6"/>
  <c r="BR44" i="6"/>
  <c r="BS44" i="6"/>
  <c r="BU44" i="6"/>
  <c r="BV44" i="6"/>
  <c r="BW44" i="6"/>
  <c r="BX44" i="6"/>
  <c r="BY44" i="6"/>
  <c r="CE44" i="6"/>
  <c r="BJ45" i="6"/>
  <c r="BK45" i="6"/>
  <c r="BD45" i="6" s="1"/>
  <c r="BL45" i="6"/>
  <c r="BE45" i="6" s="1"/>
  <c r="BQ45" i="6"/>
  <c r="BR45" i="6"/>
  <c r="BS45" i="6"/>
  <c r="BU45" i="6"/>
  <c r="BV45" i="6"/>
  <c r="BW45" i="6"/>
  <c r="BX45" i="6"/>
  <c r="BY45" i="6"/>
  <c r="CE45" i="6"/>
  <c r="BJ46" i="6"/>
  <c r="BK46" i="6"/>
  <c r="BD46" i="6" s="1"/>
  <c r="BL46" i="6"/>
  <c r="BE46" i="6" s="1"/>
  <c r="BQ46" i="6"/>
  <c r="BR46" i="6"/>
  <c r="BS46" i="6"/>
  <c r="BU46" i="6"/>
  <c r="BV46" i="6"/>
  <c r="BW46" i="6"/>
  <c r="BX46" i="6"/>
  <c r="BY46" i="6"/>
  <c r="CE46" i="6"/>
  <c r="BJ47" i="6"/>
  <c r="BK47" i="6"/>
  <c r="BD47" i="6" s="1"/>
  <c r="BL47" i="6"/>
  <c r="BE47" i="6" s="1"/>
  <c r="BQ47" i="6"/>
  <c r="BR47" i="6"/>
  <c r="BS47" i="6"/>
  <c r="BU47" i="6"/>
  <c r="BV47" i="6"/>
  <c r="BW47" i="6"/>
  <c r="BX47" i="6"/>
  <c r="BY47" i="6"/>
  <c r="CE47" i="6"/>
  <c r="BJ48" i="6"/>
  <c r="BK48" i="6"/>
  <c r="BD48" i="6" s="1"/>
  <c r="BL48" i="6"/>
  <c r="BE48" i="6" s="1"/>
  <c r="BQ48" i="6"/>
  <c r="BR48" i="6"/>
  <c r="BS48" i="6"/>
  <c r="BU48" i="6"/>
  <c r="BV48" i="6"/>
  <c r="BW48" i="6"/>
  <c r="BX48" i="6"/>
  <c r="BY48" i="6"/>
  <c r="CE48" i="6"/>
  <c r="BJ49" i="6"/>
  <c r="BK49" i="6"/>
  <c r="BD49" i="6" s="1"/>
  <c r="BL49" i="6"/>
  <c r="BE49" i="6" s="1"/>
  <c r="BQ49" i="6"/>
  <c r="BR49" i="6"/>
  <c r="BS49" i="6"/>
  <c r="BU49" i="6"/>
  <c r="BV49" i="6"/>
  <c r="BW49" i="6"/>
  <c r="BX49" i="6"/>
  <c r="BY49" i="6"/>
  <c r="CE49" i="6"/>
  <c r="BJ50" i="6"/>
  <c r="BK50" i="6"/>
  <c r="BD50" i="6" s="1"/>
  <c r="BL50" i="6"/>
  <c r="BE50" i="6" s="1"/>
  <c r="BQ50" i="6"/>
  <c r="BR50" i="6"/>
  <c r="BS50" i="6"/>
  <c r="BU50" i="6"/>
  <c r="BV50" i="6"/>
  <c r="BW50" i="6"/>
  <c r="BX50" i="6"/>
  <c r="BY50" i="6"/>
  <c r="CE50" i="6"/>
  <c r="BJ51" i="6"/>
  <c r="BK51" i="6"/>
  <c r="BD51" i="6" s="1"/>
  <c r="BL51" i="6"/>
  <c r="BE51" i="6" s="1"/>
  <c r="BQ51" i="6"/>
  <c r="BR51" i="6"/>
  <c r="BS51" i="6"/>
  <c r="BU51" i="6"/>
  <c r="BV51" i="6"/>
  <c r="BW51" i="6"/>
  <c r="BX51" i="6"/>
  <c r="BY51" i="6"/>
  <c r="CE51" i="6"/>
  <c r="BJ52" i="6"/>
  <c r="BK52" i="6"/>
  <c r="BD52" i="6" s="1"/>
  <c r="BL52" i="6"/>
  <c r="BE52" i="6" s="1"/>
  <c r="BQ52" i="6"/>
  <c r="BR52" i="6"/>
  <c r="BS52" i="6"/>
  <c r="BU52" i="6"/>
  <c r="BV52" i="6"/>
  <c r="BW52" i="6"/>
  <c r="BX52" i="6"/>
  <c r="BY52" i="6"/>
  <c r="CE52" i="6"/>
  <c r="BJ53" i="6"/>
  <c r="BK53" i="6"/>
  <c r="BD53" i="6" s="1"/>
  <c r="BL53" i="6"/>
  <c r="BE53" i="6" s="1"/>
  <c r="BQ53" i="6"/>
  <c r="BR53" i="6"/>
  <c r="BS53" i="6"/>
  <c r="BU53" i="6"/>
  <c r="BV53" i="6"/>
  <c r="BW53" i="6"/>
  <c r="BX53" i="6"/>
  <c r="BY53" i="6"/>
  <c r="CE53" i="6"/>
  <c r="BJ54" i="6"/>
  <c r="BK54" i="6"/>
  <c r="BD54" i="6" s="1"/>
  <c r="BL54" i="6"/>
  <c r="BE54" i="6" s="1"/>
  <c r="BQ54" i="6"/>
  <c r="BR54" i="6"/>
  <c r="BS54" i="6"/>
  <c r="BU54" i="6"/>
  <c r="BV54" i="6"/>
  <c r="BW54" i="6"/>
  <c r="BX54" i="6"/>
  <c r="BY54" i="6"/>
  <c r="CE54" i="6"/>
  <c r="BJ55" i="6"/>
  <c r="BK55" i="6"/>
  <c r="BD55" i="6" s="1"/>
  <c r="BL55" i="6"/>
  <c r="BE55" i="6" s="1"/>
  <c r="BQ55" i="6"/>
  <c r="BR55" i="6"/>
  <c r="BS55" i="6"/>
  <c r="BU55" i="6"/>
  <c r="BV55" i="6"/>
  <c r="BW55" i="6"/>
  <c r="BX55" i="6"/>
  <c r="BY55" i="6"/>
  <c r="CE55" i="6"/>
  <c r="BJ56" i="6"/>
  <c r="BK56" i="6"/>
  <c r="BD56" i="6" s="1"/>
  <c r="BL56" i="6"/>
  <c r="BE56" i="6" s="1"/>
  <c r="BQ56" i="6"/>
  <c r="BR56" i="6"/>
  <c r="BS56" i="6"/>
  <c r="BU56" i="6"/>
  <c r="BV56" i="6"/>
  <c r="BW56" i="6"/>
  <c r="BX56" i="6"/>
  <c r="BY56" i="6"/>
  <c r="CE56" i="6"/>
  <c r="BJ57" i="6"/>
  <c r="BK57" i="6"/>
  <c r="BD57" i="6" s="1"/>
  <c r="BL57" i="6"/>
  <c r="BE57" i="6" s="1"/>
  <c r="BQ57" i="6"/>
  <c r="BR57" i="6"/>
  <c r="BS57" i="6"/>
  <c r="BU57" i="6"/>
  <c r="BV57" i="6"/>
  <c r="BW57" i="6"/>
  <c r="BX57" i="6"/>
  <c r="BY57" i="6"/>
  <c r="CE57" i="6"/>
  <c r="BJ58" i="6"/>
  <c r="BK58" i="6"/>
  <c r="BD58" i="6" s="1"/>
  <c r="BL58" i="6"/>
  <c r="BE58" i="6" s="1"/>
  <c r="BQ58" i="6"/>
  <c r="BR58" i="6"/>
  <c r="BS58" i="6"/>
  <c r="BU58" i="6"/>
  <c r="BV58" i="6"/>
  <c r="BW58" i="6"/>
  <c r="BX58" i="6"/>
  <c r="BY58" i="6"/>
  <c r="CE58" i="6"/>
  <c r="BJ59" i="6"/>
  <c r="BK59" i="6"/>
  <c r="BD59" i="6" s="1"/>
  <c r="BL59" i="6"/>
  <c r="BE59" i="6" s="1"/>
  <c r="BQ59" i="6"/>
  <c r="BR59" i="6"/>
  <c r="BS59" i="6"/>
  <c r="BU59" i="6"/>
  <c r="BV59" i="6"/>
  <c r="BW59" i="6"/>
  <c r="BX59" i="6"/>
  <c r="BY59" i="6"/>
  <c r="CE59" i="6"/>
  <c r="BJ60" i="6"/>
  <c r="BK60" i="6"/>
  <c r="BD60" i="6" s="1"/>
  <c r="BL60" i="6"/>
  <c r="BE60" i="6" s="1"/>
  <c r="BQ60" i="6"/>
  <c r="BR60" i="6"/>
  <c r="BS60" i="6"/>
  <c r="BU60" i="6"/>
  <c r="BV60" i="6"/>
  <c r="BW60" i="6"/>
  <c r="BX60" i="6"/>
  <c r="BY60" i="6"/>
  <c r="CE60" i="6"/>
  <c r="BJ61" i="6"/>
  <c r="BK61" i="6"/>
  <c r="BD61" i="6" s="1"/>
  <c r="BL61" i="6"/>
  <c r="BE61" i="6" s="1"/>
  <c r="BQ61" i="6"/>
  <c r="BR61" i="6"/>
  <c r="BS61" i="6"/>
  <c r="BU61" i="6"/>
  <c r="BV61" i="6"/>
  <c r="BW61" i="6"/>
  <c r="BX61" i="6"/>
  <c r="BY61" i="6"/>
  <c r="CE61" i="6"/>
  <c r="BJ62" i="6"/>
  <c r="BK62" i="6"/>
  <c r="BD62" i="6" s="1"/>
  <c r="BL62" i="6"/>
  <c r="BE62" i="6" s="1"/>
  <c r="BQ62" i="6"/>
  <c r="BR62" i="6"/>
  <c r="BS62" i="6"/>
  <c r="BU62" i="6"/>
  <c r="BV62" i="6"/>
  <c r="BW62" i="6"/>
  <c r="BX62" i="6"/>
  <c r="BY62" i="6"/>
  <c r="CE62" i="6"/>
  <c r="BJ63" i="6"/>
  <c r="BK63" i="6"/>
  <c r="BD63" i="6" s="1"/>
  <c r="BL63" i="6"/>
  <c r="BE63" i="6" s="1"/>
  <c r="BQ63" i="6"/>
  <c r="BR63" i="6"/>
  <c r="BS63" i="6"/>
  <c r="BU63" i="6"/>
  <c r="BV63" i="6"/>
  <c r="BW63" i="6"/>
  <c r="BX63" i="6"/>
  <c r="BY63" i="6"/>
  <c r="CE63" i="6"/>
  <c r="BJ64" i="6"/>
  <c r="BK64" i="6"/>
  <c r="BD64" i="6" s="1"/>
  <c r="BL64" i="6"/>
  <c r="BE64" i="6" s="1"/>
  <c r="BQ64" i="6"/>
  <c r="BR64" i="6"/>
  <c r="BS64" i="6"/>
  <c r="BU64" i="6"/>
  <c r="BV64" i="6"/>
  <c r="BW64" i="6"/>
  <c r="BX64" i="6"/>
  <c r="BY64" i="6"/>
  <c r="CE64" i="6"/>
  <c r="BJ65" i="6"/>
  <c r="BK65" i="6"/>
  <c r="BD65" i="6" s="1"/>
  <c r="BL65" i="6"/>
  <c r="BE65" i="6" s="1"/>
  <c r="BQ65" i="6"/>
  <c r="BR65" i="6"/>
  <c r="BS65" i="6"/>
  <c r="BU65" i="6"/>
  <c r="BV65" i="6"/>
  <c r="BW65" i="6"/>
  <c r="BX65" i="6"/>
  <c r="BY65" i="6"/>
  <c r="CE65" i="6"/>
  <c r="BJ66" i="6"/>
  <c r="BK66" i="6"/>
  <c r="BD66" i="6" s="1"/>
  <c r="BL66" i="6"/>
  <c r="BE66" i="6" s="1"/>
  <c r="BQ66" i="6"/>
  <c r="BR66" i="6"/>
  <c r="BS66" i="6"/>
  <c r="BU66" i="6"/>
  <c r="BV66" i="6"/>
  <c r="BW66" i="6"/>
  <c r="BX66" i="6"/>
  <c r="BY66" i="6"/>
  <c r="CE66" i="6"/>
  <c r="BJ67" i="6"/>
  <c r="BK67" i="6"/>
  <c r="BD67" i="6" s="1"/>
  <c r="BL67" i="6"/>
  <c r="BE67" i="6" s="1"/>
  <c r="BQ67" i="6"/>
  <c r="BR67" i="6"/>
  <c r="BS67" i="6"/>
  <c r="BU67" i="6"/>
  <c r="BV67" i="6"/>
  <c r="BW67" i="6"/>
  <c r="BX67" i="6"/>
  <c r="BY67" i="6"/>
  <c r="CE67" i="6"/>
  <c r="BJ68" i="6"/>
  <c r="BK68" i="6"/>
  <c r="BD68" i="6" s="1"/>
  <c r="BL68" i="6"/>
  <c r="BE68" i="6" s="1"/>
  <c r="BQ68" i="6"/>
  <c r="BR68" i="6"/>
  <c r="BS68" i="6"/>
  <c r="BU68" i="6"/>
  <c r="BV68" i="6"/>
  <c r="BW68" i="6"/>
  <c r="BX68" i="6"/>
  <c r="BY68" i="6"/>
  <c r="CE68" i="6"/>
  <c r="BJ69" i="6"/>
  <c r="BK69" i="6"/>
  <c r="BD69" i="6" s="1"/>
  <c r="BL69" i="6"/>
  <c r="BE69" i="6" s="1"/>
  <c r="BQ69" i="6"/>
  <c r="BR69" i="6"/>
  <c r="BS69" i="6"/>
  <c r="BU69" i="6"/>
  <c r="BV69" i="6"/>
  <c r="BW69" i="6"/>
  <c r="BX69" i="6"/>
  <c r="BY69" i="6"/>
  <c r="CE69" i="6"/>
  <c r="BJ70" i="6"/>
  <c r="BK70" i="6"/>
  <c r="BD70" i="6" s="1"/>
  <c r="BL70" i="6"/>
  <c r="BE70" i="6" s="1"/>
  <c r="BQ70" i="6"/>
  <c r="BR70" i="6"/>
  <c r="BS70" i="6"/>
  <c r="BU70" i="6"/>
  <c r="BV70" i="6"/>
  <c r="BW70" i="6"/>
  <c r="BX70" i="6"/>
  <c r="BY70" i="6"/>
  <c r="CE70" i="6"/>
  <c r="BJ71" i="6"/>
  <c r="BK71" i="6"/>
  <c r="BD71" i="6" s="1"/>
  <c r="BL71" i="6"/>
  <c r="BE71" i="6" s="1"/>
  <c r="BQ71" i="6"/>
  <c r="BR71" i="6"/>
  <c r="BS71" i="6"/>
  <c r="BU71" i="6"/>
  <c r="BV71" i="6"/>
  <c r="BW71" i="6"/>
  <c r="BX71" i="6"/>
  <c r="BY71" i="6"/>
  <c r="CE71" i="6"/>
  <c r="BJ72" i="6"/>
  <c r="BK72" i="6"/>
  <c r="BD72" i="6" s="1"/>
  <c r="BL72" i="6"/>
  <c r="BE72" i="6" s="1"/>
  <c r="BQ72" i="6"/>
  <c r="BR72" i="6"/>
  <c r="BS72" i="6"/>
  <c r="BU72" i="6"/>
  <c r="BV72" i="6"/>
  <c r="BW72" i="6"/>
  <c r="BX72" i="6"/>
  <c r="BY72" i="6"/>
  <c r="CE72" i="6"/>
  <c r="BJ73" i="6"/>
  <c r="BK73" i="6"/>
  <c r="BD73" i="6" s="1"/>
  <c r="BL73" i="6"/>
  <c r="BE73" i="6" s="1"/>
  <c r="BQ73" i="6"/>
  <c r="BR73" i="6"/>
  <c r="BS73" i="6"/>
  <c r="BU73" i="6"/>
  <c r="BV73" i="6"/>
  <c r="BW73" i="6"/>
  <c r="BX73" i="6"/>
  <c r="BY73" i="6"/>
  <c r="CE73" i="6"/>
  <c r="BJ74" i="6"/>
  <c r="BK74" i="6"/>
  <c r="BD74" i="6" s="1"/>
  <c r="BL74" i="6"/>
  <c r="BE74" i="6" s="1"/>
  <c r="BQ74" i="6"/>
  <c r="BR74" i="6"/>
  <c r="BS74" i="6"/>
  <c r="BU74" i="6"/>
  <c r="BV74" i="6"/>
  <c r="BW74" i="6"/>
  <c r="BX74" i="6"/>
  <c r="BY74" i="6"/>
  <c r="CE74" i="6"/>
  <c r="BJ75" i="6"/>
  <c r="BK75" i="6"/>
  <c r="BD75" i="6" s="1"/>
  <c r="BL75" i="6"/>
  <c r="BE75" i="6" s="1"/>
  <c r="BQ75" i="6"/>
  <c r="BR75" i="6"/>
  <c r="BS75" i="6"/>
  <c r="BU75" i="6"/>
  <c r="BV75" i="6"/>
  <c r="BW75" i="6"/>
  <c r="BX75" i="6"/>
  <c r="BY75" i="6"/>
  <c r="CE75" i="6"/>
  <c r="BJ76" i="6"/>
  <c r="BK76" i="6"/>
  <c r="BD76" i="6" s="1"/>
  <c r="BL76" i="6"/>
  <c r="BE76" i="6" s="1"/>
  <c r="BQ76" i="6"/>
  <c r="BR76" i="6"/>
  <c r="BS76" i="6"/>
  <c r="BU76" i="6"/>
  <c r="BV76" i="6"/>
  <c r="BW76" i="6"/>
  <c r="BX76" i="6"/>
  <c r="BY76" i="6"/>
  <c r="CE76" i="6"/>
  <c r="BJ77" i="6"/>
  <c r="BK77" i="6"/>
  <c r="BD77" i="6" s="1"/>
  <c r="BL77" i="6"/>
  <c r="BE77" i="6" s="1"/>
  <c r="BQ77" i="6"/>
  <c r="BR77" i="6"/>
  <c r="BS77" i="6"/>
  <c r="BU77" i="6"/>
  <c r="BV77" i="6"/>
  <c r="BW77" i="6"/>
  <c r="BX77" i="6"/>
  <c r="BY77" i="6"/>
  <c r="CE77" i="6"/>
  <c r="BJ78" i="6"/>
  <c r="BK78" i="6"/>
  <c r="BD78" i="6" s="1"/>
  <c r="BL78" i="6"/>
  <c r="BE78" i="6" s="1"/>
  <c r="BQ78" i="6"/>
  <c r="BR78" i="6"/>
  <c r="BS78" i="6"/>
  <c r="BU78" i="6"/>
  <c r="BV78" i="6"/>
  <c r="BW78" i="6"/>
  <c r="BX78" i="6"/>
  <c r="BY78" i="6"/>
  <c r="CE78" i="6"/>
  <c r="BJ79" i="6"/>
  <c r="BK79" i="6"/>
  <c r="BD79" i="6" s="1"/>
  <c r="BL79" i="6"/>
  <c r="BE79" i="6" s="1"/>
  <c r="BQ79" i="6"/>
  <c r="BR79" i="6"/>
  <c r="BS79" i="6"/>
  <c r="BU79" i="6"/>
  <c r="BV79" i="6"/>
  <c r="BW79" i="6"/>
  <c r="BX79" i="6"/>
  <c r="BY79" i="6"/>
  <c r="CE79" i="6"/>
  <c r="BJ80" i="6"/>
  <c r="BK80" i="6"/>
  <c r="BD80" i="6" s="1"/>
  <c r="BL80" i="6"/>
  <c r="BE80" i="6" s="1"/>
  <c r="BQ80" i="6"/>
  <c r="BR80" i="6"/>
  <c r="BS80" i="6"/>
  <c r="BU80" i="6"/>
  <c r="BV80" i="6"/>
  <c r="BW80" i="6"/>
  <c r="BX80" i="6"/>
  <c r="BY80" i="6"/>
  <c r="CE80" i="6"/>
  <c r="BJ129" i="6"/>
  <c r="BK129" i="6"/>
  <c r="BD129" i="6" s="1"/>
  <c r="BL129" i="6"/>
  <c r="BE129" i="6" s="1"/>
  <c r="BQ129" i="6"/>
  <c r="BR129" i="6"/>
  <c r="BS129" i="6"/>
  <c r="BU129" i="6"/>
  <c r="BV129" i="6"/>
  <c r="BW129" i="6"/>
  <c r="BX129" i="6"/>
  <c r="BY129" i="6"/>
  <c r="CE129" i="6"/>
  <c r="BJ130" i="6"/>
  <c r="BK130" i="6"/>
  <c r="BD130" i="6" s="1"/>
  <c r="BL130" i="6"/>
  <c r="BE130" i="6" s="1"/>
  <c r="BQ130" i="6"/>
  <c r="BR130" i="6"/>
  <c r="BS130" i="6"/>
  <c r="BU130" i="6"/>
  <c r="BV130" i="6"/>
  <c r="BW130" i="6"/>
  <c r="BX130" i="6"/>
  <c r="BY130" i="6"/>
  <c r="CE130" i="6"/>
  <c r="BJ131" i="6"/>
  <c r="BK131" i="6"/>
  <c r="BD131" i="6" s="1"/>
  <c r="BL131" i="6"/>
  <c r="BE131" i="6" s="1"/>
  <c r="BQ131" i="6"/>
  <c r="BR131" i="6"/>
  <c r="BS131" i="6"/>
  <c r="BU131" i="6"/>
  <c r="BV131" i="6"/>
  <c r="BW131" i="6"/>
  <c r="BX131" i="6"/>
  <c r="BY131" i="6"/>
  <c r="CE131" i="6"/>
  <c r="BJ132" i="6"/>
  <c r="BK132" i="6"/>
  <c r="BD132" i="6" s="1"/>
  <c r="BL132" i="6"/>
  <c r="BE132" i="6" s="1"/>
  <c r="BQ132" i="6"/>
  <c r="BR132" i="6"/>
  <c r="BS132" i="6"/>
  <c r="BU132" i="6"/>
  <c r="BV132" i="6"/>
  <c r="BW132" i="6"/>
  <c r="BX132" i="6"/>
  <c r="BY132" i="6"/>
  <c r="CE132" i="6"/>
  <c r="BJ133" i="6"/>
  <c r="BK133" i="6"/>
  <c r="BD133" i="6" s="1"/>
  <c r="BL133" i="6"/>
  <c r="BE133" i="6" s="1"/>
  <c r="BQ133" i="6"/>
  <c r="BR133" i="6"/>
  <c r="BS133" i="6"/>
  <c r="BU133" i="6"/>
  <c r="BV133" i="6"/>
  <c r="BW133" i="6"/>
  <c r="BX133" i="6"/>
  <c r="BY133" i="6"/>
  <c r="CE133" i="6"/>
  <c r="BJ134" i="6"/>
  <c r="BK134" i="6"/>
  <c r="BD134" i="6" s="1"/>
  <c r="BL134" i="6"/>
  <c r="BE134" i="6" s="1"/>
  <c r="BQ134" i="6"/>
  <c r="BR134" i="6"/>
  <c r="BS134" i="6"/>
  <c r="BU134" i="6"/>
  <c r="BV134" i="6"/>
  <c r="BW134" i="6"/>
  <c r="BX134" i="6"/>
  <c r="BY134" i="6"/>
  <c r="CE134" i="6"/>
  <c r="BJ135" i="6"/>
  <c r="BK135" i="6"/>
  <c r="BD135" i="6" s="1"/>
  <c r="BL135" i="6"/>
  <c r="BE135" i="6" s="1"/>
  <c r="BQ135" i="6"/>
  <c r="BR135" i="6"/>
  <c r="BS135" i="6"/>
  <c r="BU135" i="6"/>
  <c r="BV135" i="6"/>
  <c r="BW135" i="6"/>
  <c r="BX135" i="6"/>
  <c r="BY135" i="6"/>
  <c r="CE135" i="6"/>
  <c r="BJ136" i="6"/>
  <c r="BK136" i="6"/>
  <c r="BD136" i="6" s="1"/>
  <c r="BL136" i="6"/>
  <c r="BE136" i="6" s="1"/>
  <c r="BQ136" i="6"/>
  <c r="BR136" i="6"/>
  <c r="BS136" i="6"/>
  <c r="BU136" i="6"/>
  <c r="BV136" i="6"/>
  <c r="BW136" i="6"/>
  <c r="BX136" i="6"/>
  <c r="BY136" i="6"/>
  <c r="CE136" i="6"/>
  <c r="BJ137" i="6"/>
  <c r="BK137" i="6"/>
  <c r="BD137" i="6" s="1"/>
  <c r="BL137" i="6"/>
  <c r="BE137" i="6" s="1"/>
  <c r="BQ137" i="6"/>
  <c r="BR137" i="6"/>
  <c r="BS137" i="6"/>
  <c r="BU137" i="6"/>
  <c r="BV137" i="6"/>
  <c r="BW137" i="6"/>
  <c r="BX137" i="6"/>
  <c r="BY137" i="6"/>
  <c r="CE137" i="6"/>
  <c r="BJ138" i="6"/>
  <c r="BK138" i="6"/>
  <c r="BD138" i="6" s="1"/>
  <c r="BL138" i="6"/>
  <c r="BE138" i="6" s="1"/>
  <c r="BQ138" i="6"/>
  <c r="BR138" i="6"/>
  <c r="BS138" i="6"/>
  <c r="BU138" i="6"/>
  <c r="BV138" i="6"/>
  <c r="BW138" i="6"/>
  <c r="BX138" i="6"/>
  <c r="BY138" i="6"/>
  <c r="CE138" i="6"/>
  <c r="BJ139" i="6"/>
  <c r="BK139" i="6"/>
  <c r="BD139" i="6" s="1"/>
  <c r="BL139" i="6"/>
  <c r="BE139" i="6" s="1"/>
  <c r="BQ139" i="6"/>
  <c r="BR139" i="6"/>
  <c r="BS139" i="6"/>
  <c r="BU139" i="6"/>
  <c r="BV139" i="6"/>
  <c r="BW139" i="6"/>
  <c r="BX139" i="6"/>
  <c r="BY139" i="6"/>
  <c r="CE139" i="6"/>
  <c r="BJ140" i="6"/>
  <c r="BK140" i="6"/>
  <c r="BD140" i="6" s="1"/>
  <c r="BL140" i="6"/>
  <c r="BE140" i="6" s="1"/>
  <c r="BQ140" i="6"/>
  <c r="BR140" i="6"/>
  <c r="BS140" i="6"/>
  <c r="BU140" i="6"/>
  <c r="BV140" i="6"/>
  <c r="BW140" i="6"/>
  <c r="BX140" i="6"/>
  <c r="BY140" i="6"/>
  <c r="CE140" i="6"/>
  <c r="BJ141" i="6"/>
  <c r="BK141" i="6"/>
  <c r="BD141" i="6" s="1"/>
  <c r="BL141" i="6"/>
  <c r="BE141" i="6" s="1"/>
  <c r="BQ141" i="6"/>
  <c r="BR141" i="6"/>
  <c r="BS141" i="6"/>
  <c r="BU141" i="6"/>
  <c r="BV141" i="6"/>
  <c r="BW141" i="6"/>
  <c r="BX141" i="6"/>
  <c r="BY141" i="6"/>
  <c r="CE141" i="6"/>
  <c r="BJ142" i="6"/>
  <c r="BK142" i="6"/>
  <c r="BD142" i="6" s="1"/>
  <c r="BL142" i="6"/>
  <c r="BE142" i="6" s="1"/>
  <c r="BQ142" i="6"/>
  <c r="BR142" i="6"/>
  <c r="BS142" i="6"/>
  <c r="BU142" i="6"/>
  <c r="BV142" i="6"/>
  <c r="BW142" i="6"/>
  <c r="BX142" i="6"/>
  <c r="BY142" i="6"/>
  <c r="CE142" i="6"/>
  <c r="BJ143" i="6"/>
  <c r="BK143" i="6"/>
  <c r="BD143" i="6" s="1"/>
  <c r="BL143" i="6"/>
  <c r="BE143" i="6" s="1"/>
  <c r="BQ143" i="6"/>
  <c r="BR143" i="6"/>
  <c r="BS143" i="6"/>
  <c r="BU143" i="6"/>
  <c r="BV143" i="6"/>
  <c r="BW143" i="6"/>
  <c r="BX143" i="6"/>
  <c r="BY143" i="6"/>
  <c r="CE143" i="6"/>
  <c r="BJ144" i="6"/>
  <c r="BK144" i="6"/>
  <c r="BD144" i="6" s="1"/>
  <c r="BL144" i="6"/>
  <c r="BE144" i="6" s="1"/>
  <c r="BQ144" i="6"/>
  <c r="BR144" i="6"/>
  <c r="BS144" i="6"/>
  <c r="BU144" i="6"/>
  <c r="BV144" i="6"/>
  <c r="BW144" i="6"/>
  <c r="BX144" i="6"/>
  <c r="BY144" i="6"/>
  <c r="CE144" i="6"/>
  <c r="BJ145" i="6"/>
  <c r="BK145" i="6"/>
  <c r="BD145" i="6" s="1"/>
  <c r="BL145" i="6"/>
  <c r="BE145" i="6" s="1"/>
  <c r="BQ145" i="6"/>
  <c r="BR145" i="6"/>
  <c r="BS145" i="6"/>
  <c r="BU145" i="6"/>
  <c r="BV145" i="6"/>
  <c r="BW145" i="6"/>
  <c r="BX145" i="6"/>
  <c r="BY145" i="6"/>
  <c r="CE145" i="6"/>
  <c r="BJ146" i="6"/>
  <c r="BK146" i="6"/>
  <c r="BD146" i="6" s="1"/>
  <c r="BL146" i="6"/>
  <c r="BE146" i="6" s="1"/>
  <c r="BQ146" i="6"/>
  <c r="BR146" i="6"/>
  <c r="BS146" i="6"/>
  <c r="BU146" i="6"/>
  <c r="BV146" i="6"/>
  <c r="BW146" i="6"/>
  <c r="BX146" i="6"/>
  <c r="BY146" i="6"/>
  <c r="CE146" i="6"/>
  <c r="BJ147" i="6"/>
  <c r="BK147" i="6"/>
  <c r="BD147" i="6" s="1"/>
  <c r="BL147" i="6"/>
  <c r="BE147" i="6" s="1"/>
  <c r="BQ147" i="6"/>
  <c r="BR147" i="6"/>
  <c r="BS147" i="6"/>
  <c r="BU147" i="6"/>
  <c r="BV147" i="6"/>
  <c r="BW147" i="6"/>
  <c r="BX147" i="6"/>
  <c r="BY147" i="6"/>
  <c r="CE147" i="6"/>
  <c r="BJ148" i="6"/>
  <c r="BK148" i="6"/>
  <c r="BD148" i="6" s="1"/>
  <c r="BL148" i="6"/>
  <c r="BE148" i="6" s="1"/>
  <c r="BQ148" i="6"/>
  <c r="BR148" i="6"/>
  <c r="BS148" i="6"/>
  <c r="BU148" i="6"/>
  <c r="BV148" i="6"/>
  <c r="BW148" i="6"/>
  <c r="BX148" i="6"/>
  <c r="BY148" i="6"/>
  <c r="CE148" i="6"/>
  <c r="BJ149" i="6"/>
  <c r="BK149" i="6"/>
  <c r="BD149" i="6" s="1"/>
  <c r="BL149" i="6"/>
  <c r="BE149" i="6" s="1"/>
  <c r="BQ149" i="6"/>
  <c r="BR149" i="6"/>
  <c r="BS149" i="6"/>
  <c r="BU149" i="6"/>
  <c r="BV149" i="6"/>
  <c r="BW149" i="6"/>
  <c r="BX149" i="6"/>
  <c r="BY149" i="6"/>
  <c r="CE149" i="6"/>
  <c r="BJ150" i="6"/>
  <c r="BK150" i="6"/>
  <c r="BD150" i="6" s="1"/>
  <c r="BL150" i="6"/>
  <c r="BE150" i="6" s="1"/>
  <c r="BQ150" i="6"/>
  <c r="BR150" i="6"/>
  <c r="BS150" i="6"/>
  <c r="BU150" i="6"/>
  <c r="BV150" i="6"/>
  <c r="BW150" i="6"/>
  <c r="BX150" i="6"/>
  <c r="BY150" i="6"/>
  <c r="CE150" i="6"/>
  <c r="BJ151" i="6"/>
  <c r="BK151" i="6"/>
  <c r="BD151" i="6" s="1"/>
  <c r="BL151" i="6"/>
  <c r="BE151" i="6" s="1"/>
  <c r="BQ151" i="6"/>
  <c r="BR151" i="6"/>
  <c r="BS151" i="6"/>
  <c r="BU151" i="6"/>
  <c r="BV151" i="6"/>
  <c r="BW151" i="6"/>
  <c r="BX151" i="6"/>
  <c r="BY151" i="6"/>
  <c r="CE151" i="6"/>
  <c r="BJ152" i="6"/>
  <c r="BK152" i="6"/>
  <c r="BD152" i="6" s="1"/>
  <c r="BL152" i="6"/>
  <c r="BE152" i="6" s="1"/>
  <c r="BQ152" i="6"/>
  <c r="BR152" i="6"/>
  <c r="BS152" i="6"/>
  <c r="BU152" i="6"/>
  <c r="BV152" i="6"/>
  <c r="BW152" i="6"/>
  <c r="BX152" i="6"/>
  <c r="BY152" i="6"/>
  <c r="CE152" i="6"/>
  <c r="BJ81" i="6"/>
  <c r="BK81" i="6"/>
  <c r="BD81" i="6" s="1"/>
  <c r="BL81" i="6"/>
  <c r="BE81" i="6" s="1"/>
  <c r="BQ81" i="6"/>
  <c r="BR81" i="6"/>
  <c r="BS81" i="6"/>
  <c r="BU81" i="6"/>
  <c r="BV81" i="6"/>
  <c r="BW81" i="6"/>
  <c r="BX81" i="6"/>
  <c r="BY81" i="6"/>
  <c r="CE81" i="6"/>
  <c r="BJ82" i="6"/>
  <c r="BK82" i="6"/>
  <c r="BD82" i="6" s="1"/>
  <c r="BL82" i="6"/>
  <c r="BE82" i="6" s="1"/>
  <c r="BQ82" i="6"/>
  <c r="BR82" i="6"/>
  <c r="BS82" i="6"/>
  <c r="BU82" i="6"/>
  <c r="BV82" i="6"/>
  <c r="BW82" i="6"/>
  <c r="BX82" i="6"/>
  <c r="BY82" i="6"/>
  <c r="CE82" i="6"/>
  <c r="BJ83" i="6"/>
  <c r="BK83" i="6"/>
  <c r="BD83" i="6" s="1"/>
  <c r="BL83" i="6"/>
  <c r="BE83" i="6" s="1"/>
  <c r="BQ83" i="6"/>
  <c r="BR83" i="6"/>
  <c r="BS83" i="6"/>
  <c r="BU83" i="6"/>
  <c r="BV83" i="6"/>
  <c r="BW83" i="6"/>
  <c r="BX83" i="6"/>
  <c r="BY83" i="6"/>
  <c r="CE83" i="6"/>
  <c r="BJ84" i="6"/>
  <c r="BK84" i="6"/>
  <c r="BD84" i="6" s="1"/>
  <c r="BL84" i="6"/>
  <c r="BE84" i="6" s="1"/>
  <c r="BQ84" i="6"/>
  <c r="BR84" i="6"/>
  <c r="BS84" i="6"/>
  <c r="BU84" i="6"/>
  <c r="BV84" i="6"/>
  <c r="BW84" i="6"/>
  <c r="BX84" i="6"/>
  <c r="BY84" i="6"/>
  <c r="CE84" i="6"/>
  <c r="BJ85" i="6"/>
  <c r="BK85" i="6"/>
  <c r="BD85" i="6" s="1"/>
  <c r="BL85" i="6"/>
  <c r="BE85" i="6" s="1"/>
  <c r="BQ85" i="6"/>
  <c r="BR85" i="6"/>
  <c r="BS85" i="6"/>
  <c r="BU85" i="6"/>
  <c r="BV85" i="6"/>
  <c r="BW85" i="6"/>
  <c r="BX85" i="6"/>
  <c r="BY85" i="6"/>
  <c r="CE85" i="6"/>
  <c r="BJ86" i="6"/>
  <c r="BK86" i="6"/>
  <c r="BD86" i="6" s="1"/>
  <c r="BL86" i="6"/>
  <c r="BE86" i="6" s="1"/>
  <c r="BQ86" i="6"/>
  <c r="BR86" i="6"/>
  <c r="BS86" i="6"/>
  <c r="BU86" i="6"/>
  <c r="BV86" i="6"/>
  <c r="BW86" i="6"/>
  <c r="BX86" i="6"/>
  <c r="BY86" i="6"/>
  <c r="CE86" i="6"/>
  <c r="BJ87" i="6"/>
  <c r="BK87" i="6"/>
  <c r="BD87" i="6" s="1"/>
  <c r="BL87" i="6"/>
  <c r="BE87" i="6" s="1"/>
  <c r="BQ87" i="6"/>
  <c r="BR87" i="6"/>
  <c r="BS87" i="6"/>
  <c r="BU87" i="6"/>
  <c r="BV87" i="6"/>
  <c r="BW87" i="6"/>
  <c r="BX87" i="6"/>
  <c r="BY87" i="6"/>
  <c r="CE87" i="6"/>
  <c r="BJ88" i="6"/>
  <c r="BK88" i="6"/>
  <c r="BD88" i="6" s="1"/>
  <c r="BL88" i="6"/>
  <c r="BE88" i="6" s="1"/>
  <c r="BQ88" i="6"/>
  <c r="BR88" i="6"/>
  <c r="BS88" i="6"/>
  <c r="BU88" i="6"/>
  <c r="BV88" i="6"/>
  <c r="BW88" i="6"/>
  <c r="BX88" i="6"/>
  <c r="BY88" i="6"/>
  <c r="CE88" i="6"/>
  <c r="BJ89" i="6"/>
  <c r="BK89" i="6"/>
  <c r="BD89" i="6" s="1"/>
  <c r="BL89" i="6"/>
  <c r="BE89" i="6" s="1"/>
  <c r="BQ89" i="6"/>
  <c r="BR89" i="6"/>
  <c r="BS89" i="6"/>
  <c r="BU89" i="6"/>
  <c r="BV89" i="6"/>
  <c r="BW89" i="6"/>
  <c r="BX89" i="6"/>
  <c r="BY89" i="6"/>
  <c r="CE89" i="6"/>
  <c r="BJ90" i="6"/>
  <c r="BK90" i="6"/>
  <c r="BD90" i="6" s="1"/>
  <c r="BL90" i="6"/>
  <c r="BE90" i="6" s="1"/>
  <c r="BQ90" i="6"/>
  <c r="BR90" i="6"/>
  <c r="BS90" i="6"/>
  <c r="BU90" i="6"/>
  <c r="BV90" i="6"/>
  <c r="BW90" i="6"/>
  <c r="BX90" i="6"/>
  <c r="BY90" i="6"/>
  <c r="CE90" i="6"/>
  <c r="BJ91" i="6"/>
  <c r="BK91" i="6"/>
  <c r="BD91" i="6" s="1"/>
  <c r="BL91" i="6"/>
  <c r="BE91" i="6" s="1"/>
  <c r="BQ91" i="6"/>
  <c r="BR91" i="6"/>
  <c r="BS91" i="6"/>
  <c r="BU91" i="6"/>
  <c r="BV91" i="6"/>
  <c r="BW91" i="6"/>
  <c r="BX91" i="6"/>
  <c r="BY91" i="6"/>
  <c r="CE91" i="6"/>
  <c r="BJ92" i="6"/>
  <c r="BK92" i="6"/>
  <c r="BD92" i="6" s="1"/>
  <c r="BL92" i="6"/>
  <c r="BE92" i="6" s="1"/>
  <c r="BQ92" i="6"/>
  <c r="BR92" i="6"/>
  <c r="BS92" i="6"/>
  <c r="BU92" i="6"/>
  <c r="BV92" i="6"/>
  <c r="BW92" i="6"/>
  <c r="BX92" i="6"/>
  <c r="BY92" i="6"/>
  <c r="CE92" i="6"/>
  <c r="BJ153" i="6"/>
  <c r="BK153" i="6"/>
  <c r="BD153" i="6" s="1"/>
  <c r="BL153" i="6"/>
  <c r="BE153" i="6" s="1"/>
  <c r="BQ153" i="6"/>
  <c r="BR153" i="6"/>
  <c r="BS153" i="6"/>
  <c r="BU153" i="6"/>
  <c r="BV153" i="6"/>
  <c r="BW153" i="6"/>
  <c r="BX153" i="6"/>
  <c r="BY153" i="6"/>
  <c r="CE153" i="6"/>
  <c r="BJ154" i="6"/>
  <c r="BK154" i="6"/>
  <c r="BD154" i="6" s="1"/>
  <c r="BL154" i="6"/>
  <c r="BE154" i="6" s="1"/>
  <c r="BQ154" i="6"/>
  <c r="BR154" i="6"/>
  <c r="BS154" i="6"/>
  <c r="BU154" i="6"/>
  <c r="BV154" i="6"/>
  <c r="BW154" i="6"/>
  <c r="BX154" i="6"/>
  <c r="BY154" i="6"/>
  <c r="CE154" i="6"/>
  <c r="BJ155" i="6"/>
  <c r="BK155" i="6"/>
  <c r="BD155" i="6" s="1"/>
  <c r="BL155" i="6"/>
  <c r="BE155" i="6" s="1"/>
  <c r="BQ155" i="6"/>
  <c r="BR155" i="6"/>
  <c r="BS155" i="6"/>
  <c r="BU155" i="6"/>
  <c r="BV155" i="6"/>
  <c r="BW155" i="6"/>
  <c r="BX155" i="6"/>
  <c r="BY155" i="6"/>
  <c r="CE155" i="6"/>
  <c r="BJ156" i="6"/>
  <c r="BK156" i="6"/>
  <c r="BD156" i="6" s="1"/>
  <c r="BL156" i="6"/>
  <c r="BE156" i="6" s="1"/>
  <c r="BQ156" i="6"/>
  <c r="BR156" i="6"/>
  <c r="BS156" i="6"/>
  <c r="BU156" i="6"/>
  <c r="BV156" i="6"/>
  <c r="BW156" i="6"/>
  <c r="BX156" i="6"/>
  <c r="BY156" i="6"/>
  <c r="CE156" i="6"/>
  <c r="BJ157" i="6"/>
  <c r="BK157" i="6"/>
  <c r="BD157" i="6" s="1"/>
  <c r="BL157" i="6"/>
  <c r="BE157" i="6" s="1"/>
  <c r="BQ157" i="6"/>
  <c r="BR157" i="6"/>
  <c r="BS157" i="6"/>
  <c r="BU157" i="6"/>
  <c r="BV157" i="6"/>
  <c r="BW157" i="6"/>
  <c r="BX157" i="6"/>
  <c r="BY157" i="6"/>
  <c r="CE157" i="6"/>
  <c r="BJ158" i="6"/>
  <c r="BK158" i="6"/>
  <c r="BD158" i="6" s="1"/>
  <c r="BL158" i="6"/>
  <c r="BE158" i="6" s="1"/>
  <c r="BQ158" i="6"/>
  <c r="BR158" i="6"/>
  <c r="BS158" i="6"/>
  <c r="BU158" i="6"/>
  <c r="BV158" i="6"/>
  <c r="BW158" i="6"/>
  <c r="BX158" i="6"/>
  <c r="BY158" i="6"/>
  <c r="CE158" i="6"/>
  <c r="BJ159" i="6"/>
  <c r="BK159" i="6"/>
  <c r="BD159" i="6" s="1"/>
  <c r="BL159" i="6"/>
  <c r="BE159" i="6" s="1"/>
  <c r="BQ159" i="6"/>
  <c r="BR159" i="6"/>
  <c r="BS159" i="6"/>
  <c r="BU159" i="6"/>
  <c r="BV159" i="6"/>
  <c r="BW159" i="6"/>
  <c r="BX159" i="6"/>
  <c r="BY159" i="6"/>
  <c r="CE159" i="6"/>
  <c r="BJ160" i="6"/>
  <c r="BK160" i="6"/>
  <c r="BD160" i="6" s="1"/>
  <c r="BL160" i="6"/>
  <c r="BE160" i="6" s="1"/>
  <c r="BQ160" i="6"/>
  <c r="BR160" i="6"/>
  <c r="BS160" i="6"/>
  <c r="BU160" i="6"/>
  <c r="BV160" i="6"/>
  <c r="BW160" i="6"/>
  <c r="BX160" i="6"/>
  <c r="BY160" i="6"/>
  <c r="CE160" i="6"/>
  <c r="BJ161" i="6"/>
  <c r="BK161" i="6"/>
  <c r="BD161" i="6" s="1"/>
  <c r="BL161" i="6"/>
  <c r="BE161" i="6" s="1"/>
  <c r="BQ161" i="6"/>
  <c r="BR161" i="6"/>
  <c r="BS161" i="6"/>
  <c r="BU161" i="6"/>
  <c r="BV161" i="6"/>
  <c r="BW161" i="6"/>
  <c r="BX161" i="6"/>
  <c r="BY161" i="6"/>
  <c r="CE161" i="6"/>
  <c r="BJ162" i="6"/>
  <c r="BK162" i="6"/>
  <c r="BD162" i="6" s="1"/>
  <c r="BL162" i="6"/>
  <c r="BE162" i="6" s="1"/>
  <c r="BQ162" i="6"/>
  <c r="BR162" i="6"/>
  <c r="BS162" i="6"/>
  <c r="BU162" i="6"/>
  <c r="BV162" i="6"/>
  <c r="BW162" i="6"/>
  <c r="BX162" i="6"/>
  <c r="BY162" i="6"/>
  <c r="CE162" i="6"/>
  <c r="BJ163" i="6"/>
  <c r="BK163" i="6"/>
  <c r="BD163" i="6" s="1"/>
  <c r="BL163" i="6"/>
  <c r="BE163" i="6" s="1"/>
  <c r="BQ163" i="6"/>
  <c r="BR163" i="6"/>
  <c r="BS163" i="6"/>
  <c r="BU163" i="6"/>
  <c r="BV163" i="6"/>
  <c r="BW163" i="6"/>
  <c r="BX163" i="6"/>
  <c r="BY163" i="6"/>
  <c r="CE163" i="6"/>
  <c r="BJ164" i="6"/>
  <c r="BK164" i="6"/>
  <c r="BD164" i="6" s="1"/>
  <c r="BL164" i="6"/>
  <c r="BE164" i="6" s="1"/>
  <c r="BQ164" i="6"/>
  <c r="BR164" i="6"/>
  <c r="BS164" i="6"/>
  <c r="BU164" i="6"/>
  <c r="BV164" i="6"/>
  <c r="BW164" i="6"/>
  <c r="BX164" i="6"/>
  <c r="BY164" i="6"/>
  <c r="CE164" i="6"/>
  <c r="BJ93" i="6"/>
  <c r="BK93" i="6"/>
  <c r="BD93" i="6" s="1"/>
  <c r="BL93" i="6"/>
  <c r="BE93" i="6" s="1"/>
  <c r="BQ93" i="6"/>
  <c r="BR93" i="6"/>
  <c r="BS93" i="6"/>
  <c r="BU93" i="6"/>
  <c r="BV93" i="6"/>
  <c r="BW93" i="6"/>
  <c r="BX93" i="6"/>
  <c r="BY93" i="6"/>
  <c r="CE93" i="6"/>
  <c r="BJ94" i="6"/>
  <c r="BK94" i="6"/>
  <c r="BD94" i="6" s="1"/>
  <c r="BL94" i="6"/>
  <c r="BE94" i="6" s="1"/>
  <c r="BQ94" i="6"/>
  <c r="BR94" i="6"/>
  <c r="BS94" i="6"/>
  <c r="BU94" i="6"/>
  <c r="BV94" i="6"/>
  <c r="BW94" i="6"/>
  <c r="BX94" i="6"/>
  <c r="BY94" i="6"/>
  <c r="CE94" i="6"/>
  <c r="BJ95" i="6"/>
  <c r="BK95" i="6"/>
  <c r="BD95" i="6" s="1"/>
  <c r="BL95" i="6"/>
  <c r="BE95" i="6" s="1"/>
  <c r="BQ95" i="6"/>
  <c r="BR95" i="6"/>
  <c r="BS95" i="6"/>
  <c r="BU95" i="6"/>
  <c r="BV95" i="6"/>
  <c r="BW95" i="6"/>
  <c r="BX95" i="6"/>
  <c r="BY95" i="6"/>
  <c r="CE95" i="6"/>
  <c r="BJ96" i="6"/>
  <c r="BK96" i="6"/>
  <c r="BD96" i="6" s="1"/>
  <c r="BL96" i="6"/>
  <c r="BE96" i="6" s="1"/>
  <c r="BQ96" i="6"/>
  <c r="BR96" i="6"/>
  <c r="BS96" i="6"/>
  <c r="BU96" i="6"/>
  <c r="BV96" i="6"/>
  <c r="BW96" i="6"/>
  <c r="BX96" i="6"/>
  <c r="BY96" i="6"/>
  <c r="CE96" i="6"/>
  <c r="BJ97" i="6"/>
  <c r="BK97" i="6"/>
  <c r="BD97" i="6" s="1"/>
  <c r="BL97" i="6"/>
  <c r="BE97" i="6" s="1"/>
  <c r="BQ97" i="6"/>
  <c r="BR97" i="6"/>
  <c r="BS97" i="6"/>
  <c r="BU97" i="6"/>
  <c r="BV97" i="6"/>
  <c r="BW97" i="6"/>
  <c r="BX97" i="6"/>
  <c r="BY97" i="6"/>
  <c r="CE97" i="6"/>
  <c r="BJ98" i="6"/>
  <c r="BK98" i="6"/>
  <c r="BD98" i="6" s="1"/>
  <c r="BL98" i="6"/>
  <c r="BE98" i="6" s="1"/>
  <c r="BQ98" i="6"/>
  <c r="BR98" i="6"/>
  <c r="BS98" i="6"/>
  <c r="BU98" i="6"/>
  <c r="BV98" i="6"/>
  <c r="BW98" i="6"/>
  <c r="BX98" i="6"/>
  <c r="BY98" i="6"/>
  <c r="CE98" i="6"/>
  <c r="BJ165" i="6"/>
  <c r="BK165" i="6"/>
  <c r="BD165" i="6" s="1"/>
  <c r="BL165" i="6"/>
  <c r="BE165" i="6" s="1"/>
  <c r="BQ165" i="6"/>
  <c r="BR165" i="6"/>
  <c r="BS165" i="6"/>
  <c r="BU165" i="6"/>
  <c r="BV165" i="6"/>
  <c r="BW165" i="6"/>
  <c r="BX165" i="6"/>
  <c r="BY165" i="6"/>
  <c r="CE165" i="6"/>
  <c r="BJ166" i="6"/>
  <c r="BK166" i="6"/>
  <c r="BD166" i="6" s="1"/>
  <c r="BL166" i="6"/>
  <c r="BE166" i="6" s="1"/>
  <c r="BQ166" i="6"/>
  <c r="BR166" i="6"/>
  <c r="BS166" i="6"/>
  <c r="BU166" i="6"/>
  <c r="BV166" i="6"/>
  <c r="BW166" i="6"/>
  <c r="BX166" i="6"/>
  <c r="BY166" i="6"/>
  <c r="CE166" i="6"/>
  <c r="BJ167" i="6"/>
  <c r="BK167" i="6"/>
  <c r="BD167" i="6" s="1"/>
  <c r="BL167" i="6"/>
  <c r="BE167" i="6" s="1"/>
  <c r="BQ167" i="6"/>
  <c r="BR167" i="6"/>
  <c r="BS167" i="6"/>
  <c r="BU167" i="6"/>
  <c r="BV167" i="6"/>
  <c r="BW167" i="6"/>
  <c r="BX167" i="6"/>
  <c r="BY167" i="6"/>
  <c r="CE167" i="6"/>
  <c r="BJ168" i="6"/>
  <c r="BK168" i="6"/>
  <c r="BD168" i="6" s="1"/>
  <c r="BL168" i="6"/>
  <c r="BE168" i="6" s="1"/>
  <c r="BQ168" i="6"/>
  <c r="BR168" i="6"/>
  <c r="BS168" i="6"/>
  <c r="BU168" i="6"/>
  <c r="BV168" i="6"/>
  <c r="BW168" i="6"/>
  <c r="BX168" i="6"/>
  <c r="BY168" i="6"/>
  <c r="CE168" i="6"/>
  <c r="BJ169" i="6"/>
  <c r="BK169" i="6"/>
  <c r="BD169" i="6" s="1"/>
  <c r="BL169" i="6"/>
  <c r="BE169" i="6" s="1"/>
  <c r="BQ169" i="6"/>
  <c r="BR169" i="6"/>
  <c r="BS169" i="6"/>
  <c r="BU169" i="6"/>
  <c r="BV169" i="6"/>
  <c r="BW169" i="6"/>
  <c r="BX169" i="6"/>
  <c r="BY169" i="6"/>
  <c r="CE169" i="6"/>
  <c r="BJ170" i="6"/>
  <c r="BK170" i="6"/>
  <c r="BD170" i="6" s="1"/>
  <c r="BL170" i="6"/>
  <c r="BE170" i="6" s="1"/>
  <c r="BQ170" i="6"/>
  <c r="BR170" i="6"/>
  <c r="BS170" i="6"/>
  <c r="BU170" i="6"/>
  <c r="BV170" i="6"/>
  <c r="BW170" i="6"/>
  <c r="BX170" i="6"/>
  <c r="BY170" i="6"/>
  <c r="CE170" i="6"/>
  <c r="BJ171" i="6"/>
  <c r="BK171" i="6"/>
  <c r="BD171" i="6" s="1"/>
  <c r="BL171" i="6"/>
  <c r="BE171" i="6" s="1"/>
  <c r="BQ171" i="6"/>
  <c r="BR171" i="6"/>
  <c r="BS171" i="6"/>
  <c r="BU171" i="6"/>
  <c r="BV171" i="6"/>
  <c r="BW171" i="6"/>
  <c r="BX171" i="6"/>
  <c r="BY171" i="6"/>
  <c r="CE171" i="6"/>
  <c r="BJ172" i="6"/>
  <c r="BK172" i="6"/>
  <c r="BD172" i="6" s="1"/>
  <c r="BL172" i="6"/>
  <c r="BE172" i="6" s="1"/>
  <c r="BQ172" i="6"/>
  <c r="BR172" i="6"/>
  <c r="BS172" i="6"/>
  <c r="BU172" i="6"/>
  <c r="BV172" i="6"/>
  <c r="BW172" i="6"/>
  <c r="BX172" i="6"/>
  <c r="BY172" i="6"/>
  <c r="CE172" i="6"/>
  <c r="BJ173" i="6"/>
  <c r="BK173" i="6"/>
  <c r="BD173" i="6" s="1"/>
  <c r="BL173" i="6"/>
  <c r="BE173" i="6" s="1"/>
  <c r="BQ173" i="6"/>
  <c r="BR173" i="6"/>
  <c r="BS173" i="6"/>
  <c r="BU173" i="6"/>
  <c r="BV173" i="6"/>
  <c r="BW173" i="6"/>
  <c r="BX173" i="6"/>
  <c r="BY173" i="6"/>
  <c r="CE173" i="6"/>
  <c r="BJ174" i="6"/>
  <c r="BK174" i="6"/>
  <c r="BD174" i="6" s="1"/>
  <c r="BL174" i="6"/>
  <c r="BE174" i="6" s="1"/>
  <c r="BQ174" i="6"/>
  <c r="BR174" i="6"/>
  <c r="BS174" i="6"/>
  <c r="BU174" i="6"/>
  <c r="BV174" i="6"/>
  <c r="BW174" i="6"/>
  <c r="BX174" i="6"/>
  <c r="BY174" i="6"/>
  <c r="CE174" i="6"/>
  <c r="BJ175" i="6"/>
  <c r="BK175" i="6"/>
  <c r="BD175" i="6" s="1"/>
  <c r="BL175" i="6"/>
  <c r="BE175" i="6" s="1"/>
  <c r="BQ175" i="6"/>
  <c r="BR175" i="6"/>
  <c r="BS175" i="6"/>
  <c r="BU175" i="6"/>
  <c r="BV175" i="6"/>
  <c r="BW175" i="6"/>
  <c r="BX175" i="6"/>
  <c r="BY175" i="6"/>
  <c r="CE175" i="6"/>
  <c r="BJ176" i="6"/>
  <c r="BK176" i="6"/>
  <c r="BD176" i="6" s="1"/>
  <c r="BL176" i="6"/>
  <c r="BE176" i="6" s="1"/>
  <c r="BQ176" i="6"/>
  <c r="BR176" i="6"/>
  <c r="BS176" i="6"/>
  <c r="BU176" i="6"/>
  <c r="BV176" i="6"/>
  <c r="BW176" i="6"/>
  <c r="BX176" i="6"/>
  <c r="BY176" i="6"/>
  <c r="CE176" i="6"/>
  <c r="BJ99" i="6"/>
  <c r="BK99" i="6"/>
  <c r="BD99" i="6" s="1"/>
  <c r="BL99" i="6"/>
  <c r="BE99" i="6" s="1"/>
  <c r="BQ99" i="6"/>
  <c r="BR99" i="6"/>
  <c r="BS99" i="6"/>
  <c r="BU99" i="6"/>
  <c r="BV99" i="6"/>
  <c r="BW99" i="6"/>
  <c r="BX99" i="6"/>
  <c r="BY99" i="6"/>
  <c r="CE99" i="6"/>
  <c r="BJ100" i="6"/>
  <c r="BK100" i="6"/>
  <c r="BD100" i="6" s="1"/>
  <c r="BL100" i="6"/>
  <c r="BE100" i="6" s="1"/>
  <c r="BQ100" i="6"/>
  <c r="BR100" i="6"/>
  <c r="BS100" i="6"/>
  <c r="BU100" i="6"/>
  <c r="BV100" i="6"/>
  <c r="BW100" i="6"/>
  <c r="BX100" i="6"/>
  <c r="BY100" i="6"/>
  <c r="CE100" i="6"/>
  <c r="BJ101" i="6"/>
  <c r="BK101" i="6"/>
  <c r="BD101" i="6" s="1"/>
  <c r="BL101" i="6"/>
  <c r="BE101" i="6" s="1"/>
  <c r="BQ101" i="6"/>
  <c r="BR101" i="6"/>
  <c r="BS101" i="6"/>
  <c r="BU101" i="6"/>
  <c r="BV101" i="6"/>
  <c r="BW101" i="6"/>
  <c r="BX101" i="6"/>
  <c r="BY101" i="6"/>
  <c r="CE101" i="6"/>
  <c r="BJ102" i="6"/>
  <c r="BK102" i="6"/>
  <c r="BD102" i="6" s="1"/>
  <c r="BL102" i="6"/>
  <c r="BE102" i="6" s="1"/>
  <c r="BQ102" i="6"/>
  <c r="BR102" i="6"/>
  <c r="BS102" i="6"/>
  <c r="BU102" i="6"/>
  <c r="BV102" i="6"/>
  <c r="BW102" i="6"/>
  <c r="BX102" i="6"/>
  <c r="BY102" i="6"/>
  <c r="CE102" i="6"/>
  <c r="BJ103" i="6"/>
  <c r="BK103" i="6"/>
  <c r="BD103" i="6" s="1"/>
  <c r="BL103" i="6"/>
  <c r="BE103" i="6" s="1"/>
  <c r="BQ103" i="6"/>
  <c r="BR103" i="6"/>
  <c r="BS103" i="6"/>
  <c r="BU103" i="6"/>
  <c r="BV103" i="6"/>
  <c r="BW103" i="6"/>
  <c r="BX103" i="6"/>
  <c r="BY103" i="6"/>
  <c r="CE103" i="6"/>
  <c r="BJ104" i="6"/>
  <c r="BK104" i="6"/>
  <c r="BD104" i="6" s="1"/>
  <c r="BL104" i="6"/>
  <c r="BE104" i="6" s="1"/>
  <c r="BQ104" i="6"/>
  <c r="BR104" i="6"/>
  <c r="BS104" i="6"/>
  <c r="BU104" i="6"/>
  <c r="BV104" i="6"/>
  <c r="BW104" i="6"/>
  <c r="BX104" i="6"/>
  <c r="BY104" i="6"/>
  <c r="CE104" i="6"/>
  <c r="BJ177" i="6"/>
  <c r="BK177" i="6"/>
  <c r="BD177" i="6" s="1"/>
  <c r="BL177" i="6"/>
  <c r="BE177" i="6" s="1"/>
  <c r="BQ177" i="6"/>
  <c r="BR177" i="6"/>
  <c r="BS177" i="6"/>
  <c r="BU177" i="6"/>
  <c r="BV177" i="6"/>
  <c r="BW177" i="6"/>
  <c r="BX177" i="6"/>
  <c r="BY177" i="6"/>
  <c r="CE177" i="6"/>
  <c r="BJ178" i="6"/>
  <c r="BK178" i="6"/>
  <c r="BD178" i="6" s="1"/>
  <c r="BL178" i="6"/>
  <c r="BE178" i="6" s="1"/>
  <c r="BQ178" i="6"/>
  <c r="BR178" i="6"/>
  <c r="BS178" i="6"/>
  <c r="BU178" i="6"/>
  <c r="BV178" i="6"/>
  <c r="BW178" i="6"/>
  <c r="BX178" i="6"/>
  <c r="BY178" i="6"/>
  <c r="CE178" i="6"/>
  <c r="BJ179" i="6"/>
  <c r="BK179" i="6"/>
  <c r="BD179" i="6" s="1"/>
  <c r="BL179" i="6"/>
  <c r="BE179" i="6" s="1"/>
  <c r="BQ179" i="6"/>
  <c r="BR179" i="6"/>
  <c r="BS179" i="6"/>
  <c r="BU179" i="6"/>
  <c r="BV179" i="6"/>
  <c r="BW179" i="6"/>
  <c r="BX179" i="6"/>
  <c r="BY179" i="6"/>
  <c r="CE179" i="6"/>
  <c r="BJ180" i="6"/>
  <c r="BK180" i="6"/>
  <c r="BD180" i="6" s="1"/>
  <c r="BL180" i="6"/>
  <c r="BE180" i="6" s="1"/>
  <c r="BQ180" i="6"/>
  <c r="BR180" i="6"/>
  <c r="BS180" i="6"/>
  <c r="BU180" i="6"/>
  <c r="BV180" i="6"/>
  <c r="BW180" i="6"/>
  <c r="BX180" i="6"/>
  <c r="BY180" i="6"/>
  <c r="CE180" i="6"/>
  <c r="BJ181" i="6"/>
  <c r="BK181" i="6"/>
  <c r="BD181" i="6" s="1"/>
  <c r="BL181" i="6"/>
  <c r="BE181" i="6" s="1"/>
  <c r="BQ181" i="6"/>
  <c r="BR181" i="6"/>
  <c r="BS181" i="6"/>
  <c r="BU181" i="6"/>
  <c r="BV181" i="6"/>
  <c r="BW181" i="6"/>
  <c r="BX181" i="6"/>
  <c r="BY181" i="6"/>
  <c r="CE181" i="6"/>
  <c r="BJ182" i="6"/>
  <c r="BK182" i="6"/>
  <c r="BD182" i="6" s="1"/>
  <c r="BL182" i="6"/>
  <c r="BE182" i="6" s="1"/>
  <c r="BQ182" i="6"/>
  <c r="BR182" i="6"/>
  <c r="BS182" i="6"/>
  <c r="BU182" i="6"/>
  <c r="BV182" i="6"/>
  <c r="BW182" i="6"/>
  <c r="BX182" i="6"/>
  <c r="BY182" i="6"/>
  <c r="CE182" i="6"/>
  <c r="BJ189" i="6"/>
  <c r="BK189" i="6"/>
  <c r="BD189" i="6" s="1"/>
  <c r="BL189" i="6"/>
  <c r="BE189" i="6" s="1"/>
  <c r="BQ189" i="6"/>
  <c r="BR189" i="6"/>
  <c r="BS189" i="6"/>
  <c r="BU189" i="6"/>
  <c r="BV189" i="6"/>
  <c r="BW189" i="6"/>
  <c r="BX189" i="6"/>
  <c r="BY189" i="6"/>
  <c r="CE189" i="6"/>
  <c r="BJ190" i="6"/>
  <c r="BK190" i="6"/>
  <c r="BD190" i="6" s="1"/>
  <c r="BL190" i="6"/>
  <c r="BE190" i="6" s="1"/>
  <c r="BQ190" i="6"/>
  <c r="BR190" i="6"/>
  <c r="BS190" i="6"/>
  <c r="BU190" i="6"/>
  <c r="BV190" i="6"/>
  <c r="BW190" i="6"/>
  <c r="BX190" i="6"/>
  <c r="BY190" i="6"/>
  <c r="CE190" i="6"/>
  <c r="BJ191" i="6"/>
  <c r="BK191" i="6"/>
  <c r="BD191" i="6" s="1"/>
  <c r="BL191" i="6"/>
  <c r="BE191" i="6" s="1"/>
  <c r="BQ191" i="6"/>
  <c r="BR191" i="6"/>
  <c r="BS191" i="6"/>
  <c r="BU191" i="6"/>
  <c r="BV191" i="6"/>
  <c r="BW191" i="6"/>
  <c r="BX191" i="6"/>
  <c r="BY191" i="6"/>
  <c r="CE191" i="6"/>
  <c r="BJ192" i="6"/>
  <c r="BK192" i="6"/>
  <c r="BD192" i="6" s="1"/>
  <c r="BL192" i="6"/>
  <c r="BE192" i="6" s="1"/>
  <c r="BQ192" i="6"/>
  <c r="BR192" i="6"/>
  <c r="BS192" i="6"/>
  <c r="BU192" i="6"/>
  <c r="BV192" i="6"/>
  <c r="BW192" i="6"/>
  <c r="BX192" i="6"/>
  <c r="BY192" i="6"/>
  <c r="CE192" i="6"/>
  <c r="BJ193" i="6"/>
  <c r="BK193" i="6"/>
  <c r="BD193" i="6" s="1"/>
  <c r="BL193" i="6"/>
  <c r="BE193" i="6" s="1"/>
  <c r="BQ193" i="6"/>
  <c r="BR193" i="6"/>
  <c r="BS193" i="6"/>
  <c r="BU193" i="6"/>
  <c r="BV193" i="6"/>
  <c r="BW193" i="6"/>
  <c r="BX193" i="6"/>
  <c r="BY193" i="6"/>
  <c r="CE193" i="6"/>
  <c r="BJ194" i="6"/>
  <c r="BK194" i="6"/>
  <c r="BD194" i="6" s="1"/>
  <c r="BL194" i="6"/>
  <c r="BE194" i="6" s="1"/>
  <c r="BQ194" i="6"/>
  <c r="BR194" i="6"/>
  <c r="BS194" i="6"/>
  <c r="BU194" i="6"/>
  <c r="BV194" i="6"/>
  <c r="BW194" i="6"/>
  <c r="BX194" i="6"/>
  <c r="BY194" i="6"/>
  <c r="CE194" i="6"/>
  <c r="BJ195" i="6"/>
  <c r="BK195" i="6"/>
  <c r="BD195" i="6" s="1"/>
  <c r="BL195" i="6"/>
  <c r="BE195" i="6" s="1"/>
  <c r="BQ195" i="6"/>
  <c r="BR195" i="6"/>
  <c r="BS195" i="6"/>
  <c r="BU195" i="6"/>
  <c r="BV195" i="6"/>
  <c r="BW195" i="6"/>
  <c r="BX195" i="6"/>
  <c r="BY195" i="6"/>
  <c r="CE195" i="6"/>
  <c r="BJ196" i="6"/>
  <c r="BK196" i="6"/>
  <c r="BD196" i="6" s="1"/>
  <c r="BL196" i="6"/>
  <c r="BE196" i="6" s="1"/>
  <c r="BQ196" i="6"/>
  <c r="BR196" i="6"/>
  <c r="BS196" i="6"/>
  <c r="BU196" i="6"/>
  <c r="BV196" i="6"/>
  <c r="BW196" i="6"/>
  <c r="BX196" i="6"/>
  <c r="BY196" i="6"/>
  <c r="CE196" i="6"/>
  <c r="BJ197" i="6"/>
  <c r="BK197" i="6"/>
  <c r="BD197" i="6" s="1"/>
  <c r="BL197" i="6"/>
  <c r="BE197" i="6" s="1"/>
  <c r="BQ197" i="6"/>
  <c r="BR197" i="6"/>
  <c r="BS197" i="6"/>
  <c r="BU197" i="6"/>
  <c r="BV197" i="6"/>
  <c r="BW197" i="6"/>
  <c r="BX197" i="6"/>
  <c r="BY197" i="6"/>
  <c r="CE197" i="6"/>
  <c r="BJ198" i="6"/>
  <c r="BK198" i="6"/>
  <c r="BD198" i="6" s="1"/>
  <c r="BL198" i="6"/>
  <c r="BE198" i="6" s="1"/>
  <c r="BQ198" i="6"/>
  <c r="BR198" i="6"/>
  <c r="BS198" i="6"/>
  <c r="BU198" i="6"/>
  <c r="BV198" i="6"/>
  <c r="BW198" i="6"/>
  <c r="BX198" i="6"/>
  <c r="BY198" i="6"/>
  <c r="CE198" i="6"/>
  <c r="BJ199" i="6"/>
  <c r="BK199" i="6"/>
  <c r="BD199" i="6" s="1"/>
  <c r="BL199" i="6"/>
  <c r="BE199" i="6" s="1"/>
  <c r="BQ199" i="6"/>
  <c r="BR199" i="6"/>
  <c r="BS199" i="6"/>
  <c r="BU199" i="6"/>
  <c r="BV199" i="6"/>
  <c r="BW199" i="6"/>
  <c r="BX199" i="6"/>
  <c r="BY199" i="6"/>
  <c r="CE199" i="6"/>
  <c r="BJ200" i="6"/>
  <c r="BK200" i="6"/>
  <c r="BD200" i="6" s="1"/>
  <c r="BL200" i="6"/>
  <c r="BE200" i="6" s="1"/>
  <c r="BQ200" i="6"/>
  <c r="BR200" i="6"/>
  <c r="BS200" i="6"/>
  <c r="BU200" i="6"/>
  <c r="BV200" i="6"/>
  <c r="BW200" i="6"/>
  <c r="BX200" i="6"/>
  <c r="BY200" i="6"/>
  <c r="CE200" i="6"/>
  <c r="BJ201" i="6"/>
  <c r="BK201" i="6"/>
  <c r="BD201" i="6" s="1"/>
  <c r="BL201" i="6"/>
  <c r="BE201" i="6" s="1"/>
  <c r="BQ201" i="6"/>
  <c r="BR201" i="6"/>
  <c r="BS201" i="6"/>
  <c r="BU201" i="6"/>
  <c r="BV201" i="6"/>
  <c r="BW201" i="6"/>
  <c r="BX201" i="6"/>
  <c r="BY201" i="6"/>
  <c r="CE201" i="6"/>
  <c r="BJ202" i="6"/>
  <c r="BK202" i="6"/>
  <c r="BD202" i="6" s="1"/>
  <c r="BL202" i="6"/>
  <c r="BQ202" i="6"/>
  <c r="BR202" i="6"/>
  <c r="BS202" i="6"/>
  <c r="BU202" i="6"/>
  <c r="BV202" i="6"/>
  <c r="BW202" i="6"/>
  <c r="BX202" i="6"/>
  <c r="BY202" i="6"/>
  <c r="CE202" i="6"/>
  <c r="BJ203" i="6"/>
  <c r="BK203" i="6"/>
  <c r="BD203" i="6" s="1"/>
  <c r="BL203" i="6"/>
  <c r="BE203" i="6" s="1"/>
  <c r="BQ203" i="6"/>
  <c r="BR203" i="6"/>
  <c r="BS203" i="6"/>
  <c r="BU203" i="6"/>
  <c r="BV203" i="6"/>
  <c r="BW203" i="6"/>
  <c r="BX203" i="6"/>
  <c r="BY203" i="6"/>
  <c r="CE203" i="6"/>
  <c r="BJ204" i="6"/>
  <c r="BK204" i="6"/>
  <c r="BD204" i="6" s="1"/>
  <c r="BL204" i="6"/>
  <c r="BE204" i="6" s="1"/>
  <c r="BQ204" i="6"/>
  <c r="BR204" i="6"/>
  <c r="BS204" i="6"/>
  <c r="BU204" i="6"/>
  <c r="BV204" i="6"/>
  <c r="BW204" i="6"/>
  <c r="BX204" i="6"/>
  <c r="BY204" i="6"/>
  <c r="CE204" i="6"/>
  <c r="BJ205" i="6"/>
  <c r="BK205" i="6"/>
  <c r="BD205" i="6" s="1"/>
  <c r="BL205" i="6"/>
  <c r="BE205" i="6" s="1"/>
  <c r="BQ205" i="6"/>
  <c r="BR205" i="6"/>
  <c r="BS205" i="6"/>
  <c r="BU205" i="6"/>
  <c r="BV205" i="6"/>
  <c r="BW205" i="6"/>
  <c r="BX205" i="6"/>
  <c r="BY205" i="6"/>
  <c r="CE205" i="6"/>
  <c r="BJ206" i="6"/>
  <c r="BK206" i="6"/>
  <c r="BD206" i="6" s="1"/>
  <c r="BL206" i="6"/>
  <c r="BE206" i="6" s="1"/>
  <c r="BQ206" i="6"/>
  <c r="BR206" i="6"/>
  <c r="BS206" i="6"/>
  <c r="BU206" i="6"/>
  <c r="BV206" i="6"/>
  <c r="BW206" i="6"/>
  <c r="BX206" i="6"/>
  <c r="BY206" i="6"/>
  <c r="CE206" i="6"/>
  <c r="BJ207" i="6"/>
  <c r="BK207" i="6"/>
  <c r="BD207" i="6" s="1"/>
  <c r="BL207" i="6"/>
  <c r="BE207" i="6" s="1"/>
  <c r="BQ207" i="6"/>
  <c r="BR207" i="6"/>
  <c r="BS207" i="6"/>
  <c r="BU207" i="6"/>
  <c r="BV207" i="6"/>
  <c r="BW207" i="6"/>
  <c r="BX207" i="6"/>
  <c r="BY207" i="6"/>
  <c r="CE207" i="6"/>
  <c r="BJ208" i="6"/>
  <c r="BK208" i="6"/>
  <c r="BD208" i="6" s="1"/>
  <c r="BL208" i="6"/>
  <c r="BE208" i="6" s="1"/>
  <c r="BQ208" i="6"/>
  <c r="BR208" i="6"/>
  <c r="BS208" i="6"/>
  <c r="BU208" i="6"/>
  <c r="BV208" i="6"/>
  <c r="BW208" i="6"/>
  <c r="BX208" i="6"/>
  <c r="BY208" i="6"/>
  <c r="CE208" i="6"/>
  <c r="BJ209" i="6"/>
  <c r="BK209" i="6"/>
  <c r="BD209" i="6" s="1"/>
  <c r="BL209" i="6"/>
  <c r="BE209" i="6" s="1"/>
  <c r="BQ209" i="6"/>
  <c r="BR209" i="6"/>
  <c r="BS209" i="6"/>
  <c r="BU209" i="6"/>
  <c r="BV209" i="6"/>
  <c r="BW209" i="6"/>
  <c r="BX209" i="6"/>
  <c r="BY209" i="6"/>
  <c r="CE209" i="6"/>
  <c r="BJ210" i="6"/>
  <c r="BK210" i="6"/>
  <c r="BD210" i="6" s="1"/>
  <c r="BL210" i="6"/>
  <c r="BE210" i="6" s="1"/>
  <c r="BQ210" i="6"/>
  <c r="BR210" i="6"/>
  <c r="BS210" i="6"/>
  <c r="BU210" i="6"/>
  <c r="BV210" i="6"/>
  <c r="BW210" i="6"/>
  <c r="BX210" i="6"/>
  <c r="BY210" i="6"/>
  <c r="CE210" i="6"/>
  <c r="BJ211" i="6"/>
  <c r="BK211" i="6"/>
  <c r="BD211" i="6" s="1"/>
  <c r="BL211" i="6"/>
  <c r="BE211" i="6" s="1"/>
  <c r="BQ211" i="6"/>
  <c r="BR211" i="6"/>
  <c r="BS211" i="6"/>
  <c r="BU211" i="6"/>
  <c r="BV211" i="6"/>
  <c r="BW211" i="6"/>
  <c r="BX211" i="6"/>
  <c r="BY211" i="6"/>
  <c r="CE211" i="6"/>
  <c r="BJ212" i="6"/>
  <c r="BK212" i="6"/>
  <c r="BD212" i="6" s="1"/>
  <c r="BL212" i="6"/>
  <c r="BE212" i="6" s="1"/>
  <c r="BQ212" i="6"/>
  <c r="BR212" i="6"/>
  <c r="BS212" i="6"/>
  <c r="BU212" i="6"/>
  <c r="BV212" i="6"/>
  <c r="BW212" i="6"/>
  <c r="BX212" i="6"/>
  <c r="BY212" i="6"/>
  <c r="CE212" i="6"/>
  <c r="BJ219" i="6"/>
  <c r="BK219" i="6"/>
  <c r="BD219" i="6" s="1"/>
  <c r="BL219" i="6"/>
  <c r="BE219" i="6" s="1"/>
  <c r="BQ219" i="6"/>
  <c r="BR219" i="6"/>
  <c r="BS219" i="6"/>
  <c r="BU219" i="6"/>
  <c r="BV219" i="6"/>
  <c r="BW219" i="6"/>
  <c r="BX219" i="6"/>
  <c r="BY219" i="6"/>
  <c r="CE219" i="6"/>
  <c r="BJ220" i="6"/>
  <c r="BK220" i="6"/>
  <c r="BD220" i="6" s="1"/>
  <c r="BL220" i="6"/>
  <c r="BQ220" i="6"/>
  <c r="BR220" i="6"/>
  <c r="BS220" i="6"/>
  <c r="BU220" i="6"/>
  <c r="BV220" i="6"/>
  <c r="BW220" i="6"/>
  <c r="BX220" i="6"/>
  <c r="BY220" i="6"/>
  <c r="CE220" i="6"/>
  <c r="BJ221" i="6"/>
  <c r="BK221" i="6"/>
  <c r="BD221" i="6" s="1"/>
  <c r="BL221" i="6"/>
  <c r="BE221" i="6" s="1"/>
  <c r="BQ221" i="6"/>
  <c r="BR221" i="6"/>
  <c r="BS221" i="6"/>
  <c r="BU221" i="6"/>
  <c r="BV221" i="6"/>
  <c r="BW221" i="6"/>
  <c r="BX221" i="6"/>
  <c r="BY221" i="6"/>
  <c r="CE221" i="6"/>
  <c r="BW222" i="6"/>
  <c r="BJ222" i="6"/>
  <c r="BK222" i="6"/>
  <c r="BD222" i="6" s="1"/>
  <c r="BQ222" i="6"/>
  <c r="BR222" i="6"/>
  <c r="BS222" i="6"/>
  <c r="BU222" i="6"/>
  <c r="BV222" i="6"/>
  <c r="BX222" i="6"/>
  <c r="BY222" i="6"/>
  <c r="CE222" i="6"/>
  <c r="BK223" i="6"/>
  <c r="BD223" i="6" s="1"/>
  <c r="BJ223" i="6"/>
  <c r="BQ223" i="6"/>
  <c r="BR223" i="6"/>
  <c r="BS223" i="6"/>
  <c r="BU223" i="6"/>
  <c r="BV223" i="6"/>
  <c r="BX223" i="6"/>
  <c r="BY223" i="6"/>
  <c r="CE223" i="6"/>
  <c r="BJ224" i="6"/>
  <c r="BK224" i="6"/>
  <c r="BD224" i="6" s="1"/>
  <c r="BL224" i="6"/>
  <c r="BE224" i="6" s="1"/>
  <c r="BQ224" i="6"/>
  <c r="BR224" i="6"/>
  <c r="BS224" i="6"/>
  <c r="BU224" i="6"/>
  <c r="BV224" i="6"/>
  <c r="BW224" i="6"/>
  <c r="BX224" i="6"/>
  <c r="BY224" i="6"/>
  <c r="CE224" i="6"/>
  <c r="BJ225" i="6"/>
  <c r="BK225" i="6"/>
  <c r="BD225" i="6" s="1"/>
  <c r="BL225" i="6"/>
  <c r="BE225" i="6" s="1"/>
  <c r="BQ225" i="6"/>
  <c r="BR225" i="6"/>
  <c r="BS225" i="6"/>
  <c r="BU225" i="6"/>
  <c r="BV225" i="6"/>
  <c r="BW225" i="6"/>
  <c r="BX225" i="6"/>
  <c r="BY225" i="6"/>
  <c r="CE225" i="6"/>
  <c r="BJ226" i="6"/>
  <c r="BK226" i="6"/>
  <c r="BD226" i="6" s="1"/>
  <c r="BL226" i="6"/>
  <c r="BE226" i="6" s="1"/>
  <c r="BQ226" i="6"/>
  <c r="BR226" i="6"/>
  <c r="BS226" i="6"/>
  <c r="BU226" i="6"/>
  <c r="BV226" i="6"/>
  <c r="BW226" i="6"/>
  <c r="BX226" i="6"/>
  <c r="BY226" i="6"/>
  <c r="CE226" i="6"/>
  <c r="BJ227" i="6"/>
  <c r="BK227" i="6"/>
  <c r="BD227" i="6" s="1"/>
  <c r="BL227" i="6"/>
  <c r="BE227" i="6" s="1"/>
  <c r="BQ227" i="6"/>
  <c r="BR227" i="6"/>
  <c r="BS227" i="6"/>
  <c r="BU227" i="6"/>
  <c r="BV227" i="6"/>
  <c r="BW227" i="6"/>
  <c r="BX227" i="6"/>
  <c r="BY227" i="6"/>
  <c r="CE227" i="6"/>
  <c r="BJ228" i="6"/>
  <c r="BK228" i="6"/>
  <c r="BD228" i="6" s="1"/>
  <c r="BL228" i="6"/>
  <c r="BE228" i="6" s="1"/>
  <c r="BQ228" i="6"/>
  <c r="BR228" i="6"/>
  <c r="BS228" i="6"/>
  <c r="BU228" i="6"/>
  <c r="BV228" i="6"/>
  <c r="BW228" i="6"/>
  <c r="BX228" i="6"/>
  <c r="BY228" i="6"/>
  <c r="CE228" i="6"/>
  <c r="BJ229" i="6"/>
  <c r="BK229" i="6"/>
  <c r="BD229" i="6" s="1"/>
  <c r="BL229" i="6"/>
  <c r="BE229" i="6" s="1"/>
  <c r="BQ229" i="6"/>
  <c r="BR229" i="6"/>
  <c r="BS229" i="6"/>
  <c r="BU229" i="6"/>
  <c r="BV229" i="6"/>
  <c r="BW229" i="6"/>
  <c r="BX229" i="6"/>
  <c r="BY229" i="6"/>
  <c r="CE229" i="6"/>
  <c r="BJ230" i="6"/>
  <c r="BK230" i="6"/>
  <c r="BD230" i="6" s="1"/>
  <c r="BL230" i="6"/>
  <c r="BE230" i="6" s="1"/>
  <c r="BQ230" i="6"/>
  <c r="BR230" i="6"/>
  <c r="BS230" i="6"/>
  <c r="BU230" i="6"/>
  <c r="BV230" i="6"/>
  <c r="BW230" i="6"/>
  <c r="BX230" i="6"/>
  <c r="BY230" i="6"/>
  <c r="CE230" i="6"/>
  <c r="BJ231" i="6"/>
  <c r="BK231" i="6"/>
  <c r="BD231" i="6" s="1"/>
  <c r="BL231" i="6"/>
  <c r="BE231" i="6" s="1"/>
  <c r="BQ231" i="6"/>
  <c r="BR231" i="6"/>
  <c r="BS231" i="6"/>
  <c r="BU231" i="6"/>
  <c r="BV231" i="6"/>
  <c r="BW231" i="6"/>
  <c r="BX231" i="6"/>
  <c r="BY231" i="6"/>
  <c r="CE231" i="6"/>
  <c r="BJ232" i="6"/>
  <c r="BK232" i="6"/>
  <c r="BD232" i="6" s="1"/>
  <c r="BL232" i="6"/>
  <c r="BE232" i="6" s="1"/>
  <c r="BQ232" i="6"/>
  <c r="BR232" i="6"/>
  <c r="BS232" i="6"/>
  <c r="BU232" i="6"/>
  <c r="BV232" i="6"/>
  <c r="BW232" i="6"/>
  <c r="BX232" i="6"/>
  <c r="BY232" i="6"/>
  <c r="CE232" i="6"/>
  <c r="BJ233" i="6"/>
  <c r="BK233" i="6"/>
  <c r="BD233" i="6" s="1"/>
  <c r="BL233" i="6"/>
  <c r="BE233" i="6" s="1"/>
  <c r="BQ233" i="6"/>
  <c r="BR233" i="6"/>
  <c r="BS233" i="6"/>
  <c r="BU233" i="6"/>
  <c r="BV233" i="6"/>
  <c r="BW233" i="6"/>
  <c r="BX233" i="6"/>
  <c r="BY233" i="6"/>
  <c r="CE233" i="6"/>
  <c r="BJ234" i="6"/>
  <c r="BK234" i="6"/>
  <c r="BD234" i="6" s="1"/>
  <c r="BL234" i="6"/>
  <c r="BE234" i="6" s="1"/>
  <c r="BQ234" i="6"/>
  <c r="BR234" i="6"/>
  <c r="BS234" i="6"/>
  <c r="BU234" i="6"/>
  <c r="BV234" i="6"/>
  <c r="BW234" i="6"/>
  <c r="BX234" i="6"/>
  <c r="BY234" i="6"/>
  <c r="CE234" i="6"/>
  <c r="BJ235" i="6"/>
  <c r="BK235" i="6"/>
  <c r="BD235" i="6" s="1"/>
  <c r="BL235" i="6"/>
  <c r="BE235" i="6" s="1"/>
  <c r="BQ235" i="6"/>
  <c r="BR235" i="6"/>
  <c r="BS235" i="6"/>
  <c r="BU235" i="6"/>
  <c r="BV235" i="6"/>
  <c r="BW235" i="6"/>
  <c r="BX235" i="6"/>
  <c r="BY235" i="6"/>
  <c r="CE235" i="6"/>
  <c r="BJ236" i="6"/>
  <c r="BK236" i="6"/>
  <c r="BD236" i="6" s="1"/>
  <c r="BL236" i="6"/>
  <c r="BE236" i="6" s="1"/>
  <c r="BQ236" i="6"/>
  <c r="BR236" i="6"/>
  <c r="BS236" i="6"/>
  <c r="BU236" i="6"/>
  <c r="BV236" i="6"/>
  <c r="BW236" i="6"/>
  <c r="BX236" i="6"/>
  <c r="BY236" i="6"/>
  <c r="CE236" i="6"/>
  <c r="BJ237" i="6"/>
  <c r="BK237" i="6"/>
  <c r="BD237" i="6" s="1"/>
  <c r="BE237" i="6"/>
  <c r="BQ237" i="6"/>
  <c r="BR237" i="6"/>
  <c r="BS237" i="6"/>
  <c r="BU237" i="6"/>
  <c r="BV237" i="6"/>
  <c r="BW237" i="6"/>
  <c r="BX237" i="6"/>
  <c r="BY237" i="6"/>
  <c r="CE237" i="6"/>
  <c r="BJ238" i="6"/>
  <c r="BK238" i="6"/>
  <c r="BD238" i="6" s="1"/>
  <c r="BL238" i="6"/>
  <c r="BE238" i="6" s="1"/>
  <c r="BQ238" i="6"/>
  <c r="BR238" i="6"/>
  <c r="BS238" i="6"/>
  <c r="BU238" i="6"/>
  <c r="BV238" i="6"/>
  <c r="BW238" i="6"/>
  <c r="BX238" i="6"/>
  <c r="BY238" i="6"/>
  <c r="CE238" i="6"/>
  <c r="BJ239" i="6"/>
  <c r="BK239" i="6"/>
  <c r="BD239" i="6" s="1"/>
  <c r="BL239" i="6"/>
  <c r="BE239" i="6" s="1"/>
  <c r="BQ239" i="6"/>
  <c r="BR239" i="6"/>
  <c r="BS239" i="6"/>
  <c r="BU239" i="6"/>
  <c r="BV239" i="6"/>
  <c r="BW239" i="6"/>
  <c r="BX239" i="6"/>
  <c r="BY239" i="6"/>
  <c r="CE239" i="6"/>
  <c r="BJ240" i="6"/>
  <c r="BK240" i="6"/>
  <c r="BD240" i="6" s="1"/>
  <c r="BL240" i="6"/>
  <c r="BE240" i="6" s="1"/>
  <c r="BQ240" i="6"/>
  <c r="BR240" i="6"/>
  <c r="BS240" i="6"/>
  <c r="BU240" i="6"/>
  <c r="BV240" i="6"/>
  <c r="BW240" i="6"/>
  <c r="BX240" i="6"/>
  <c r="BY240" i="6"/>
  <c r="CE240" i="6"/>
  <c r="BJ241" i="6"/>
  <c r="BK241" i="6"/>
  <c r="BD241" i="6" s="1"/>
  <c r="BL241" i="6"/>
  <c r="BE241" i="6" s="1"/>
  <c r="BQ241" i="6"/>
  <c r="BR241" i="6"/>
  <c r="BS241" i="6"/>
  <c r="BU241" i="6"/>
  <c r="BV241" i="6"/>
  <c r="BW241" i="6"/>
  <c r="BX241" i="6"/>
  <c r="BY241" i="6"/>
  <c r="CE241" i="6"/>
  <c r="BJ242" i="6"/>
  <c r="BK242" i="6"/>
  <c r="BD242" i="6" s="1"/>
  <c r="BL242" i="6"/>
  <c r="BE242" i="6" s="1"/>
  <c r="BQ242" i="6"/>
  <c r="BR242" i="6"/>
  <c r="BS242" i="6"/>
  <c r="BU242" i="6"/>
  <c r="BV242" i="6"/>
  <c r="BW242" i="6"/>
  <c r="BX242" i="6"/>
  <c r="BY242" i="6"/>
  <c r="CE242" i="6"/>
  <c r="BJ243" i="6"/>
  <c r="BK243" i="6"/>
  <c r="BD243" i="6" s="1"/>
  <c r="BL243" i="6"/>
  <c r="BE243" i="6" s="1"/>
  <c r="BQ243" i="6"/>
  <c r="BR243" i="6"/>
  <c r="BS243" i="6"/>
  <c r="BU243" i="6"/>
  <c r="BV243" i="6"/>
  <c r="BW243" i="6"/>
  <c r="BX243" i="6"/>
  <c r="BY243" i="6"/>
  <c r="CE243" i="6"/>
  <c r="BJ244" i="6"/>
  <c r="BK244" i="6"/>
  <c r="BD244" i="6" s="1"/>
  <c r="BL244" i="6"/>
  <c r="BE244" i="6" s="1"/>
  <c r="BQ244" i="6"/>
  <c r="BR244" i="6"/>
  <c r="BS244" i="6"/>
  <c r="BU244" i="6"/>
  <c r="BV244" i="6"/>
  <c r="BW244" i="6"/>
  <c r="BX244" i="6"/>
  <c r="BY244" i="6"/>
  <c r="CE244" i="6"/>
  <c r="BJ245" i="6"/>
  <c r="BK245" i="6"/>
  <c r="BD245" i="6" s="1"/>
  <c r="BL245" i="6"/>
  <c r="BE245" i="6" s="1"/>
  <c r="BQ245" i="6"/>
  <c r="BR245" i="6"/>
  <c r="BS245" i="6"/>
  <c r="BU245" i="6"/>
  <c r="BV245" i="6"/>
  <c r="BW245" i="6"/>
  <c r="BX245" i="6"/>
  <c r="BY245" i="6"/>
  <c r="CE245" i="6"/>
  <c r="BJ246" i="6"/>
  <c r="BK246" i="6"/>
  <c r="BD246" i="6" s="1"/>
  <c r="BL246" i="6"/>
  <c r="BE246" i="6" s="1"/>
  <c r="BQ246" i="6"/>
  <c r="BR246" i="6"/>
  <c r="BS246" i="6"/>
  <c r="BU246" i="6"/>
  <c r="BV246" i="6"/>
  <c r="BW246" i="6"/>
  <c r="BX246" i="6"/>
  <c r="BY246" i="6"/>
  <c r="CE246" i="6"/>
  <c r="BJ247" i="6"/>
  <c r="BK247" i="6"/>
  <c r="BD247" i="6" s="1"/>
  <c r="BL247" i="6"/>
  <c r="BE247" i="6" s="1"/>
  <c r="BQ247" i="6"/>
  <c r="BR247" i="6"/>
  <c r="BS247" i="6"/>
  <c r="BU247" i="6"/>
  <c r="BV247" i="6"/>
  <c r="BW247" i="6"/>
  <c r="BX247" i="6"/>
  <c r="BY247" i="6"/>
  <c r="CE247" i="6"/>
  <c r="BJ248" i="6"/>
  <c r="BK248" i="6"/>
  <c r="BD248" i="6" s="1"/>
  <c r="BL248" i="6"/>
  <c r="BE248" i="6" s="1"/>
  <c r="BQ248" i="6"/>
  <c r="BR248" i="6"/>
  <c r="BS248" i="6"/>
  <c r="BU248" i="6"/>
  <c r="BV248" i="6"/>
  <c r="BW248" i="6"/>
  <c r="BX248" i="6"/>
  <c r="BY248" i="6"/>
  <c r="CE248" i="6"/>
  <c r="BJ249" i="6"/>
  <c r="BK249" i="6"/>
  <c r="BD249" i="6" s="1"/>
  <c r="BL249" i="6"/>
  <c r="BE249" i="6" s="1"/>
  <c r="BQ249" i="6"/>
  <c r="BR249" i="6"/>
  <c r="BS249" i="6"/>
  <c r="BU249" i="6"/>
  <c r="BV249" i="6"/>
  <c r="BW249" i="6"/>
  <c r="BX249" i="6"/>
  <c r="BY249" i="6"/>
  <c r="CE249" i="6"/>
  <c r="BJ250" i="6"/>
  <c r="BK250" i="6"/>
  <c r="BD250" i="6" s="1"/>
  <c r="BL250" i="6"/>
  <c r="BE250" i="6" s="1"/>
  <c r="BQ250" i="6"/>
  <c r="BR250" i="6"/>
  <c r="BS250" i="6"/>
  <c r="BU250" i="6"/>
  <c r="BV250" i="6"/>
  <c r="BW250" i="6"/>
  <c r="BX250" i="6"/>
  <c r="BY250" i="6"/>
  <c r="CE250" i="6"/>
  <c r="BJ251" i="6"/>
  <c r="BK251" i="6"/>
  <c r="BD251" i="6" s="1"/>
  <c r="BL251" i="6"/>
  <c r="BE251" i="6" s="1"/>
  <c r="BQ251" i="6"/>
  <c r="BR251" i="6"/>
  <c r="BS251" i="6"/>
  <c r="BU251" i="6"/>
  <c r="BV251" i="6"/>
  <c r="BW251" i="6"/>
  <c r="BX251" i="6"/>
  <c r="BY251" i="6"/>
  <c r="CE251" i="6"/>
  <c r="BJ252" i="6"/>
  <c r="BK252" i="6"/>
  <c r="BD252" i="6" s="1"/>
  <c r="BL252" i="6"/>
  <c r="BE252" i="6" s="1"/>
  <c r="BQ252" i="6"/>
  <c r="BR252" i="6"/>
  <c r="BS252" i="6"/>
  <c r="BU252" i="6"/>
  <c r="BV252" i="6"/>
  <c r="BW252" i="6"/>
  <c r="BX252" i="6"/>
  <c r="BY252" i="6"/>
  <c r="CE252" i="6"/>
  <c r="BJ253" i="6"/>
  <c r="BK253" i="6"/>
  <c r="BD253" i="6" s="1"/>
  <c r="BL253" i="6"/>
  <c r="BE253" i="6" s="1"/>
  <c r="BQ253" i="6"/>
  <c r="BR253" i="6"/>
  <c r="BS253" i="6"/>
  <c r="BU253" i="6"/>
  <c r="BV253" i="6"/>
  <c r="BW253" i="6"/>
  <c r="BX253" i="6"/>
  <c r="BY253" i="6"/>
  <c r="CE253" i="6"/>
  <c r="BJ254" i="6"/>
  <c r="BK254" i="6"/>
  <c r="BD254" i="6" s="1"/>
  <c r="BL254" i="6"/>
  <c r="BE254" i="6" s="1"/>
  <c r="BQ254" i="6"/>
  <c r="BR254" i="6"/>
  <c r="BS254" i="6"/>
  <c r="BU254" i="6"/>
  <c r="BV254" i="6"/>
  <c r="BW254" i="6"/>
  <c r="BX254" i="6"/>
  <c r="BY254" i="6"/>
  <c r="CE254" i="6"/>
  <c r="BJ255" i="6"/>
  <c r="BK255" i="6"/>
  <c r="BD255" i="6" s="1"/>
  <c r="BL255" i="6"/>
  <c r="BE255" i="6" s="1"/>
  <c r="BQ255" i="6"/>
  <c r="BR255" i="6"/>
  <c r="BS255" i="6"/>
  <c r="BU255" i="6"/>
  <c r="BV255" i="6"/>
  <c r="BW255" i="6"/>
  <c r="BX255" i="6"/>
  <c r="BY255" i="6"/>
  <c r="CE255" i="6"/>
  <c r="BJ256" i="6"/>
  <c r="BK256" i="6"/>
  <c r="BD256" i="6" s="1"/>
  <c r="BL256" i="6"/>
  <c r="BE256" i="6" s="1"/>
  <c r="BQ256" i="6"/>
  <c r="BR256" i="6"/>
  <c r="BS256" i="6"/>
  <c r="BU256" i="6"/>
  <c r="BV256" i="6"/>
  <c r="BW256" i="6"/>
  <c r="BX256" i="6"/>
  <c r="BY256" i="6"/>
  <c r="CE256" i="6"/>
  <c r="BJ257" i="6"/>
  <c r="BK257" i="6"/>
  <c r="BD257" i="6" s="1"/>
  <c r="BL257" i="6"/>
  <c r="BE257" i="6" s="1"/>
  <c r="BQ257" i="6"/>
  <c r="BR257" i="6"/>
  <c r="BS257" i="6"/>
  <c r="BU257" i="6"/>
  <c r="BV257" i="6"/>
  <c r="BW257" i="6"/>
  <c r="BX257" i="6"/>
  <c r="BY257" i="6"/>
  <c r="CE257" i="6"/>
  <c r="BJ258" i="6"/>
  <c r="BK258" i="6"/>
  <c r="BD258" i="6" s="1"/>
  <c r="BL258" i="6"/>
  <c r="BE258" i="6" s="1"/>
  <c r="BQ258" i="6"/>
  <c r="BR258" i="6"/>
  <c r="BS258" i="6"/>
  <c r="BU258" i="6"/>
  <c r="BV258" i="6"/>
  <c r="BW258" i="6"/>
  <c r="BX258" i="6"/>
  <c r="BY258" i="6"/>
  <c r="CE258" i="6"/>
  <c r="BJ259" i="6"/>
  <c r="BK259" i="6"/>
  <c r="BD259" i="6" s="1"/>
  <c r="BL259" i="6"/>
  <c r="BE259" i="6" s="1"/>
  <c r="BQ259" i="6"/>
  <c r="BR259" i="6"/>
  <c r="BS259" i="6"/>
  <c r="BU259" i="6"/>
  <c r="BV259" i="6"/>
  <c r="BW259" i="6"/>
  <c r="BX259" i="6"/>
  <c r="BY259" i="6"/>
  <c r="CE259" i="6"/>
  <c r="BJ260" i="6"/>
  <c r="BK260" i="6"/>
  <c r="BD260" i="6" s="1"/>
  <c r="BL260" i="6"/>
  <c r="BE260" i="6" s="1"/>
  <c r="BQ260" i="6"/>
  <c r="BR260" i="6"/>
  <c r="BS260" i="6"/>
  <c r="BU260" i="6"/>
  <c r="BV260" i="6"/>
  <c r="BW260" i="6"/>
  <c r="BX260" i="6"/>
  <c r="BY260" i="6"/>
  <c r="CE260" i="6"/>
  <c r="BJ261" i="6"/>
  <c r="BK261" i="6"/>
  <c r="BD261" i="6" s="1"/>
  <c r="BL261" i="6"/>
  <c r="BE261" i="6" s="1"/>
  <c r="BQ261" i="6"/>
  <c r="BR261" i="6"/>
  <c r="BS261" i="6"/>
  <c r="BU261" i="6"/>
  <c r="BV261" i="6"/>
  <c r="BW261" i="6"/>
  <c r="BX261" i="6"/>
  <c r="BY261" i="6"/>
  <c r="CE261" i="6"/>
  <c r="BJ262" i="6"/>
  <c r="BK262" i="6"/>
  <c r="BD262" i="6" s="1"/>
  <c r="BL262" i="6"/>
  <c r="BE262" i="6" s="1"/>
  <c r="BQ262" i="6"/>
  <c r="BR262" i="6"/>
  <c r="BS262" i="6"/>
  <c r="BU262" i="6"/>
  <c r="BV262" i="6"/>
  <c r="BW262" i="6"/>
  <c r="BX262" i="6"/>
  <c r="BY262" i="6"/>
  <c r="CE262" i="6"/>
  <c r="BJ263" i="6"/>
  <c r="BK263" i="6"/>
  <c r="BD263" i="6" s="1"/>
  <c r="BL263" i="6"/>
  <c r="BE263" i="6" s="1"/>
  <c r="BQ263" i="6"/>
  <c r="BR263" i="6"/>
  <c r="BS263" i="6"/>
  <c r="BU263" i="6"/>
  <c r="BV263" i="6"/>
  <c r="BW263" i="6"/>
  <c r="BX263" i="6"/>
  <c r="BY263" i="6"/>
  <c r="CE263" i="6"/>
  <c r="BJ264" i="6"/>
  <c r="BK264" i="6"/>
  <c r="BD264" i="6" s="1"/>
  <c r="BL264" i="6"/>
  <c r="BE264" i="6" s="1"/>
  <c r="BQ264" i="6"/>
  <c r="BR264" i="6"/>
  <c r="BS264" i="6"/>
  <c r="BU264" i="6"/>
  <c r="BV264" i="6"/>
  <c r="BW264" i="6"/>
  <c r="BX264" i="6"/>
  <c r="BY264" i="6"/>
  <c r="CE264" i="6"/>
  <c r="BJ265" i="6"/>
  <c r="BK265" i="6"/>
  <c r="BD265" i="6" s="1"/>
  <c r="BL265" i="6"/>
  <c r="BE265" i="6" s="1"/>
  <c r="BQ265" i="6"/>
  <c r="BR265" i="6"/>
  <c r="BS265" i="6"/>
  <c r="BU265" i="6"/>
  <c r="BV265" i="6"/>
  <c r="BW265" i="6"/>
  <c r="BX265" i="6"/>
  <c r="BY265" i="6"/>
  <c r="CE265" i="6"/>
  <c r="BJ266" i="6"/>
  <c r="BK266" i="6"/>
  <c r="BD266" i="6" s="1"/>
  <c r="BL266" i="6"/>
  <c r="BE266" i="6" s="1"/>
  <c r="BQ266" i="6"/>
  <c r="BR266" i="6"/>
  <c r="BS266" i="6"/>
  <c r="BU266" i="6"/>
  <c r="BV266" i="6"/>
  <c r="BW266" i="6"/>
  <c r="BX266" i="6"/>
  <c r="BY266" i="6"/>
  <c r="CE266" i="6"/>
  <c r="BJ267" i="6"/>
  <c r="BK267" i="6"/>
  <c r="BD267" i="6" s="1"/>
  <c r="BL267" i="6"/>
  <c r="BE267" i="6" s="1"/>
  <c r="BQ267" i="6"/>
  <c r="BR267" i="6"/>
  <c r="BS267" i="6"/>
  <c r="BU267" i="6"/>
  <c r="BV267" i="6"/>
  <c r="BW267" i="6"/>
  <c r="BX267" i="6"/>
  <c r="BY267" i="6"/>
  <c r="CE267" i="6"/>
  <c r="BJ268" i="6"/>
  <c r="BK268" i="6"/>
  <c r="BD268" i="6" s="1"/>
  <c r="BL268" i="6"/>
  <c r="BE268" i="6" s="1"/>
  <c r="BQ268" i="6"/>
  <c r="BR268" i="6"/>
  <c r="BS268" i="6"/>
  <c r="BU268" i="6"/>
  <c r="BV268" i="6"/>
  <c r="BW268" i="6"/>
  <c r="BX268" i="6"/>
  <c r="BY268" i="6"/>
  <c r="CE268" i="6"/>
  <c r="BJ269" i="6"/>
  <c r="BK269" i="6"/>
  <c r="BD269" i="6" s="1"/>
  <c r="BL269" i="6"/>
  <c r="BE269" i="6" s="1"/>
  <c r="BQ269" i="6"/>
  <c r="BR269" i="6"/>
  <c r="BS269" i="6"/>
  <c r="BU269" i="6"/>
  <c r="BV269" i="6"/>
  <c r="BW269" i="6"/>
  <c r="BX269" i="6"/>
  <c r="BY269" i="6"/>
  <c r="CE269" i="6"/>
  <c r="BJ270" i="6"/>
  <c r="BK270" i="6"/>
  <c r="BD270" i="6" s="1"/>
  <c r="BL270" i="6"/>
  <c r="BE270" i="6" s="1"/>
  <c r="BQ270" i="6"/>
  <c r="BR270" i="6"/>
  <c r="BS270" i="6"/>
  <c r="BU270" i="6"/>
  <c r="BV270" i="6"/>
  <c r="BW270" i="6"/>
  <c r="BX270" i="6"/>
  <c r="BY270" i="6"/>
  <c r="CE270" i="6"/>
  <c r="BJ271" i="6"/>
  <c r="BK271" i="6"/>
  <c r="BD271" i="6" s="1"/>
  <c r="BL271" i="6"/>
  <c r="BE271" i="6" s="1"/>
  <c r="BQ271" i="6"/>
  <c r="BR271" i="6"/>
  <c r="BS271" i="6"/>
  <c r="BU271" i="6"/>
  <c r="BV271" i="6"/>
  <c r="BW271" i="6"/>
  <c r="BX271" i="6"/>
  <c r="BY271" i="6"/>
  <c r="CE271" i="6"/>
  <c r="BJ272" i="6"/>
  <c r="BK272" i="6"/>
  <c r="BD272" i="6" s="1"/>
  <c r="BL272" i="6"/>
  <c r="BE272" i="6" s="1"/>
  <c r="BQ272" i="6"/>
  <c r="BR272" i="6"/>
  <c r="BS272" i="6"/>
  <c r="BU272" i="6"/>
  <c r="BV272" i="6"/>
  <c r="BW272" i="6"/>
  <c r="BX272" i="6"/>
  <c r="BY272" i="6"/>
  <c r="CE272" i="6"/>
  <c r="BJ333" i="6"/>
  <c r="BK333" i="6"/>
  <c r="BD333" i="6" s="1"/>
  <c r="BL333" i="6"/>
  <c r="BE333" i="6" s="1"/>
  <c r="BQ333" i="6"/>
  <c r="BR333" i="6"/>
  <c r="BS333" i="6"/>
  <c r="BU333" i="6"/>
  <c r="BV333" i="6"/>
  <c r="BW333" i="6"/>
  <c r="BX333" i="6"/>
  <c r="BY333" i="6"/>
  <c r="CE453" i="6"/>
  <c r="BJ334" i="6"/>
  <c r="BK334" i="6"/>
  <c r="BD334" i="6" s="1"/>
  <c r="BL334" i="6"/>
  <c r="BE334" i="6" s="1"/>
  <c r="BQ334" i="6"/>
  <c r="BR334" i="6"/>
  <c r="BS334" i="6"/>
  <c r="BU334" i="6"/>
  <c r="BV334" i="6"/>
  <c r="BW334" i="6"/>
  <c r="BX334" i="6"/>
  <c r="BY334" i="6"/>
  <c r="CE454" i="6"/>
  <c r="BJ335" i="6"/>
  <c r="BK335" i="6"/>
  <c r="BD335" i="6" s="1"/>
  <c r="BL335" i="6"/>
  <c r="BE335" i="6" s="1"/>
  <c r="BQ335" i="6"/>
  <c r="BR335" i="6"/>
  <c r="BS335" i="6"/>
  <c r="BU335" i="6"/>
  <c r="BV335" i="6"/>
  <c r="BW335" i="6"/>
  <c r="BX335" i="6"/>
  <c r="BY335" i="6"/>
  <c r="CE455" i="6"/>
  <c r="BJ336" i="6"/>
  <c r="BK336" i="6"/>
  <c r="BD336" i="6" s="1"/>
  <c r="BL336" i="6"/>
  <c r="BE336" i="6" s="1"/>
  <c r="BQ336" i="6"/>
  <c r="BR336" i="6"/>
  <c r="BS336" i="6"/>
  <c r="BU336" i="6"/>
  <c r="BV336" i="6"/>
  <c r="BW336" i="6"/>
  <c r="BX336" i="6"/>
  <c r="BY336" i="6"/>
  <c r="CE456" i="6"/>
  <c r="BJ337" i="6"/>
  <c r="BK337" i="6"/>
  <c r="BD337" i="6" s="1"/>
  <c r="BL337" i="6"/>
  <c r="BE337" i="6" s="1"/>
  <c r="BQ337" i="6"/>
  <c r="BR337" i="6"/>
  <c r="BS337" i="6"/>
  <c r="BU337" i="6"/>
  <c r="BV337" i="6"/>
  <c r="BW337" i="6"/>
  <c r="BX337" i="6"/>
  <c r="BY337" i="6"/>
  <c r="CE457" i="6"/>
  <c r="BJ338" i="6"/>
  <c r="BK338" i="6"/>
  <c r="BD338" i="6" s="1"/>
  <c r="BL338" i="6"/>
  <c r="BE338" i="6" s="1"/>
  <c r="BQ338" i="6"/>
  <c r="BR338" i="6"/>
  <c r="BS338" i="6"/>
  <c r="BU338" i="6"/>
  <c r="BV338" i="6"/>
  <c r="BW338" i="6"/>
  <c r="BX338" i="6"/>
  <c r="BY338" i="6"/>
  <c r="CE458" i="6"/>
  <c r="BJ339" i="6"/>
  <c r="BK339" i="6"/>
  <c r="BD339" i="6" s="1"/>
  <c r="BL339" i="6"/>
  <c r="BE339" i="6" s="1"/>
  <c r="BQ339" i="6"/>
  <c r="BR339" i="6"/>
  <c r="BS339" i="6"/>
  <c r="BU339" i="6"/>
  <c r="BV339" i="6"/>
  <c r="BW339" i="6"/>
  <c r="BX339" i="6"/>
  <c r="BY339" i="6"/>
  <c r="CE321" i="6"/>
  <c r="BJ340" i="6"/>
  <c r="BK340" i="6"/>
  <c r="BD340" i="6" s="1"/>
  <c r="BL340" i="6"/>
  <c r="BE340" i="6" s="1"/>
  <c r="BQ340" i="6"/>
  <c r="BR340" i="6"/>
  <c r="BS340" i="6"/>
  <c r="BU340" i="6"/>
  <c r="BV340" i="6"/>
  <c r="BW340" i="6"/>
  <c r="BX340" i="6"/>
  <c r="BY340" i="6"/>
  <c r="CE322" i="6"/>
  <c r="BJ341" i="6"/>
  <c r="BK341" i="6"/>
  <c r="BD341" i="6" s="1"/>
  <c r="BL341" i="6"/>
  <c r="BE341" i="6" s="1"/>
  <c r="BQ341" i="6"/>
  <c r="BR341" i="6"/>
  <c r="BS341" i="6"/>
  <c r="BU341" i="6"/>
  <c r="BV341" i="6"/>
  <c r="BW341" i="6"/>
  <c r="BX341" i="6"/>
  <c r="BY341" i="6"/>
  <c r="CE323" i="6"/>
  <c r="BJ342" i="6"/>
  <c r="BK342" i="6"/>
  <c r="BD342" i="6" s="1"/>
  <c r="BL342" i="6"/>
  <c r="BE342" i="6" s="1"/>
  <c r="BQ342" i="6"/>
  <c r="BR342" i="6"/>
  <c r="BS342" i="6"/>
  <c r="BU342" i="6"/>
  <c r="BV342" i="6"/>
  <c r="BW342" i="6"/>
  <c r="BX342" i="6"/>
  <c r="BY342" i="6"/>
  <c r="CE324" i="6"/>
  <c r="BJ343" i="6"/>
  <c r="BK343" i="6"/>
  <c r="BD343" i="6" s="1"/>
  <c r="BL343" i="6"/>
  <c r="BE343" i="6" s="1"/>
  <c r="BQ343" i="6"/>
  <c r="BR343" i="6"/>
  <c r="BS343" i="6"/>
  <c r="BU343" i="6"/>
  <c r="BV343" i="6"/>
  <c r="BW343" i="6"/>
  <c r="BX343" i="6"/>
  <c r="BY343" i="6"/>
  <c r="CE325" i="6"/>
  <c r="BJ344" i="6"/>
  <c r="BK344" i="6"/>
  <c r="BD344" i="6" s="1"/>
  <c r="BL344" i="6"/>
  <c r="BE344" i="6" s="1"/>
  <c r="BQ344" i="6"/>
  <c r="BR344" i="6"/>
  <c r="BS344" i="6"/>
  <c r="BU344" i="6"/>
  <c r="BV344" i="6"/>
  <c r="BW344" i="6"/>
  <c r="BX344" i="6"/>
  <c r="BY344" i="6"/>
  <c r="CE326" i="6"/>
  <c r="BJ441" i="6"/>
  <c r="BK441" i="6"/>
  <c r="BD441" i="6" s="1"/>
  <c r="BL441" i="6"/>
  <c r="BE441" i="6" s="1"/>
  <c r="BQ441" i="6"/>
  <c r="BR441" i="6"/>
  <c r="BS441" i="6"/>
  <c r="BU441" i="6"/>
  <c r="BV441" i="6"/>
  <c r="BW441" i="6"/>
  <c r="BX441" i="6"/>
  <c r="BY441" i="6"/>
  <c r="CE549" i="6"/>
  <c r="BJ442" i="6"/>
  <c r="BK442" i="6"/>
  <c r="BD442" i="6" s="1"/>
  <c r="BL442" i="6"/>
  <c r="BE442" i="6" s="1"/>
  <c r="BQ442" i="6"/>
  <c r="BR442" i="6"/>
  <c r="BS442" i="6"/>
  <c r="BU442" i="6"/>
  <c r="BV442" i="6"/>
  <c r="BW442" i="6"/>
  <c r="BX442" i="6"/>
  <c r="BY442" i="6"/>
  <c r="CE550" i="6"/>
  <c r="BJ443" i="6"/>
  <c r="BK443" i="6"/>
  <c r="BD443" i="6" s="1"/>
  <c r="BL443" i="6"/>
  <c r="BE443" i="6" s="1"/>
  <c r="BQ443" i="6"/>
  <c r="BR443" i="6"/>
  <c r="BS443" i="6"/>
  <c r="BU443" i="6"/>
  <c r="BV443" i="6"/>
  <c r="BW443" i="6"/>
  <c r="BX443" i="6"/>
  <c r="BY443" i="6"/>
  <c r="CE551" i="6"/>
  <c r="BJ444" i="6"/>
  <c r="BK444" i="6"/>
  <c r="BD444" i="6" s="1"/>
  <c r="BL444" i="6"/>
  <c r="BE444" i="6" s="1"/>
  <c r="BQ444" i="6"/>
  <c r="BR444" i="6"/>
  <c r="BS444" i="6"/>
  <c r="BU444" i="6"/>
  <c r="BV444" i="6"/>
  <c r="BW444" i="6"/>
  <c r="BX444" i="6"/>
  <c r="BY444" i="6"/>
  <c r="CE552" i="6"/>
  <c r="BJ445" i="6"/>
  <c r="BK445" i="6"/>
  <c r="BD445" i="6" s="1"/>
  <c r="BL445" i="6"/>
  <c r="BE445" i="6" s="1"/>
  <c r="BQ445" i="6"/>
  <c r="BR445" i="6"/>
  <c r="BS445" i="6"/>
  <c r="BU445" i="6"/>
  <c r="BV445" i="6"/>
  <c r="BW445" i="6"/>
  <c r="BX445" i="6"/>
  <c r="BY445" i="6"/>
  <c r="CE553" i="6"/>
  <c r="BJ446" i="6"/>
  <c r="BK446" i="6"/>
  <c r="BD446" i="6" s="1"/>
  <c r="BL446" i="6"/>
  <c r="BE446" i="6" s="1"/>
  <c r="BQ446" i="6"/>
  <c r="BR446" i="6"/>
  <c r="BS446" i="6"/>
  <c r="BU446" i="6"/>
  <c r="BV446" i="6"/>
  <c r="BW446" i="6"/>
  <c r="BX446" i="6"/>
  <c r="BY446" i="6"/>
  <c r="CE554" i="6"/>
  <c r="BJ447" i="6"/>
  <c r="BK447" i="6"/>
  <c r="BD447" i="6" s="1"/>
  <c r="BL447" i="6"/>
  <c r="BE447" i="6" s="1"/>
  <c r="BQ447" i="6"/>
  <c r="BR447" i="6"/>
  <c r="BS447" i="6"/>
  <c r="BU447" i="6"/>
  <c r="BV447" i="6"/>
  <c r="BW447" i="6"/>
  <c r="BX447" i="6"/>
  <c r="BY447" i="6"/>
  <c r="CE381" i="6"/>
  <c r="BJ448" i="6"/>
  <c r="BK448" i="6"/>
  <c r="BD448" i="6" s="1"/>
  <c r="BL448" i="6"/>
  <c r="BE448" i="6" s="1"/>
  <c r="BQ448" i="6"/>
  <c r="BR448" i="6"/>
  <c r="BS448" i="6"/>
  <c r="BU448" i="6"/>
  <c r="BV448" i="6"/>
  <c r="BW448" i="6"/>
  <c r="BX448" i="6"/>
  <c r="BY448" i="6"/>
  <c r="CE382" i="6"/>
  <c r="BJ449" i="6"/>
  <c r="BK449" i="6"/>
  <c r="BD449" i="6" s="1"/>
  <c r="BL449" i="6"/>
  <c r="BE449" i="6" s="1"/>
  <c r="BQ449" i="6"/>
  <c r="BR449" i="6"/>
  <c r="BS449" i="6"/>
  <c r="BU449" i="6"/>
  <c r="BV449" i="6"/>
  <c r="BW449" i="6"/>
  <c r="BX449" i="6"/>
  <c r="BY449" i="6"/>
  <c r="CE383" i="6"/>
  <c r="BJ450" i="6"/>
  <c r="BK450" i="6"/>
  <c r="BD450" i="6" s="1"/>
  <c r="BL450" i="6"/>
  <c r="BE450" i="6" s="1"/>
  <c r="BQ450" i="6"/>
  <c r="BR450" i="6"/>
  <c r="BS450" i="6"/>
  <c r="BU450" i="6"/>
  <c r="BV450" i="6"/>
  <c r="BW450" i="6"/>
  <c r="BX450" i="6"/>
  <c r="BY450" i="6"/>
  <c r="CE384" i="6"/>
  <c r="BJ451" i="6"/>
  <c r="BK451" i="6"/>
  <c r="BD451" i="6" s="1"/>
  <c r="BL451" i="6"/>
  <c r="BE451" i="6" s="1"/>
  <c r="BQ451" i="6"/>
  <c r="BR451" i="6"/>
  <c r="BS451" i="6"/>
  <c r="BU451" i="6"/>
  <c r="BV451" i="6"/>
  <c r="BW451" i="6"/>
  <c r="BX451" i="6"/>
  <c r="BY451" i="6"/>
  <c r="CE385" i="6"/>
  <c r="BJ452" i="6"/>
  <c r="BK452" i="6"/>
  <c r="BD452" i="6" s="1"/>
  <c r="BL452" i="6"/>
  <c r="BE452" i="6" s="1"/>
  <c r="BQ452" i="6"/>
  <c r="BR452" i="6"/>
  <c r="BS452" i="6"/>
  <c r="BU452" i="6"/>
  <c r="BV452" i="6"/>
  <c r="BW452" i="6"/>
  <c r="BX452" i="6"/>
  <c r="BY452" i="6"/>
  <c r="CE386" i="6"/>
  <c r="BJ543" i="6"/>
  <c r="BK543" i="6"/>
  <c r="BD543" i="6" s="1"/>
  <c r="BL543" i="6"/>
  <c r="BE543" i="6" s="1"/>
  <c r="BQ543" i="6"/>
  <c r="BR543" i="6"/>
  <c r="BS543" i="6"/>
  <c r="BU543" i="6"/>
  <c r="BV543" i="6"/>
  <c r="BW543" i="6"/>
  <c r="BX543" i="6"/>
  <c r="BY543" i="6"/>
  <c r="CE387" i="6"/>
  <c r="BJ544" i="6"/>
  <c r="BK544" i="6"/>
  <c r="BD544" i="6" s="1"/>
  <c r="BL544" i="6"/>
  <c r="BE544" i="6" s="1"/>
  <c r="BQ544" i="6"/>
  <c r="BR544" i="6"/>
  <c r="BS544" i="6"/>
  <c r="BU544" i="6"/>
  <c r="BV544" i="6"/>
  <c r="BW544" i="6"/>
  <c r="BX544" i="6"/>
  <c r="BY544" i="6"/>
  <c r="CE388" i="6"/>
  <c r="BJ545" i="6"/>
  <c r="BK545" i="6"/>
  <c r="BD545" i="6" s="1"/>
  <c r="BL545" i="6"/>
  <c r="BE545" i="6" s="1"/>
  <c r="BQ545" i="6"/>
  <c r="BR545" i="6"/>
  <c r="BS545" i="6"/>
  <c r="BU545" i="6"/>
  <c r="BV545" i="6"/>
  <c r="BW545" i="6"/>
  <c r="BX545" i="6"/>
  <c r="BY545" i="6"/>
  <c r="CE389" i="6"/>
  <c r="BJ546" i="6"/>
  <c r="BK546" i="6"/>
  <c r="BD546" i="6" s="1"/>
  <c r="BL546" i="6"/>
  <c r="BE546" i="6" s="1"/>
  <c r="BQ546" i="6"/>
  <c r="BR546" i="6"/>
  <c r="BS546" i="6"/>
  <c r="BU546" i="6"/>
  <c r="BV546" i="6"/>
  <c r="BW546" i="6"/>
  <c r="BX546" i="6"/>
  <c r="BY546" i="6"/>
  <c r="CE390" i="6"/>
  <c r="BJ547" i="6"/>
  <c r="BK547" i="6"/>
  <c r="BD547" i="6" s="1"/>
  <c r="BL547" i="6"/>
  <c r="BE547" i="6" s="1"/>
  <c r="BQ547" i="6"/>
  <c r="BR547" i="6"/>
  <c r="BS547" i="6"/>
  <c r="BU547" i="6"/>
  <c r="BV547" i="6"/>
  <c r="BW547" i="6"/>
  <c r="BX547" i="6"/>
  <c r="BY547" i="6"/>
  <c r="CE391" i="6"/>
  <c r="BJ548" i="6"/>
  <c r="BK548" i="6"/>
  <c r="BD548" i="6" s="1"/>
  <c r="BL548" i="6"/>
  <c r="BE548" i="6" s="1"/>
  <c r="BQ548" i="6"/>
  <c r="BR548" i="6"/>
  <c r="BS548" i="6"/>
  <c r="BU548" i="6"/>
  <c r="BV548" i="6"/>
  <c r="BW548" i="6"/>
  <c r="BX548" i="6"/>
  <c r="BY548" i="6"/>
  <c r="CE392" i="6"/>
  <c r="BJ453" i="6"/>
  <c r="BK453" i="6"/>
  <c r="BD453" i="6" s="1"/>
  <c r="BL453" i="6"/>
  <c r="BE453" i="6" s="1"/>
  <c r="BQ453" i="6"/>
  <c r="BR453" i="6"/>
  <c r="BS453" i="6"/>
  <c r="BU453" i="6"/>
  <c r="BV453" i="6"/>
  <c r="BW453" i="6"/>
  <c r="BX453" i="6"/>
  <c r="BY453" i="6"/>
  <c r="CE345" i="6"/>
  <c r="BJ454" i="6"/>
  <c r="BK454" i="6"/>
  <c r="BD454" i="6" s="1"/>
  <c r="BL454" i="6"/>
  <c r="BE454" i="6" s="1"/>
  <c r="BQ454" i="6"/>
  <c r="BR454" i="6"/>
  <c r="BS454" i="6"/>
  <c r="BU454" i="6"/>
  <c r="BV454" i="6"/>
  <c r="BW454" i="6"/>
  <c r="BX454" i="6"/>
  <c r="BY454" i="6"/>
  <c r="CE346" i="6"/>
  <c r="BJ455" i="6"/>
  <c r="BK455" i="6"/>
  <c r="BD455" i="6" s="1"/>
  <c r="BL455" i="6"/>
  <c r="BE455" i="6" s="1"/>
  <c r="BQ455" i="6"/>
  <c r="BR455" i="6"/>
  <c r="BS455" i="6"/>
  <c r="BU455" i="6"/>
  <c r="BV455" i="6"/>
  <c r="BW455" i="6"/>
  <c r="BX455" i="6"/>
  <c r="BY455" i="6"/>
  <c r="CE347" i="6"/>
  <c r="BJ456" i="6"/>
  <c r="BK456" i="6"/>
  <c r="BD456" i="6" s="1"/>
  <c r="BL456" i="6"/>
  <c r="BE456" i="6" s="1"/>
  <c r="BQ456" i="6"/>
  <c r="BR456" i="6"/>
  <c r="BS456" i="6"/>
  <c r="BU456" i="6"/>
  <c r="BV456" i="6"/>
  <c r="BW456" i="6"/>
  <c r="BX456" i="6"/>
  <c r="BY456" i="6"/>
  <c r="CE348" i="6"/>
  <c r="BJ457" i="6"/>
  <c r="BK457" i="6"/>
  <c r="BD457" i="6" s="1"/>
  <c r="BL457" i="6"/>
  <c r="BE457" i="6" s="1"/>
  <c r="BQ457" i="6"/>
  <c r="BR457" i="6"/>
  <c r="BS457" i="6"/>
  <c r="BU457" i="6"/>
  <c r="BV457" i="6"/>
  <c r="BW457" i="6"/>
  <c r="BX457" i="6"/>
  <c r="BY457" i="6"/>
  <c r="CE349" i="6"/>
  <c r="BJ458" i="6"/>
  <c r="BK458" i="6"/>
  <c r="BD458" i="6" s="1"/>
  <c r="BL458" i="6"/>
  <c r="BE458" i="6" s="1"/>
  <c r="BQ458" i="6"/>
  <c r="BR458" i="6"/>
  <c r="BS458" i="6"/>
  <c r="BU458" i="6"/>
  <c r="BV458" i="6"/>
  <c r="BW458" i="6"/>
  <c r="BX458" i="6"/>
  <c r="BY458" i="6"/>
  <c r="CE350" i="6"/>
  <c r="BJ321" i="6"/>
  <c r="BK321" i="6"/>
  <c r="BD321" i="6" s="1"/>
  <c r="BL321" i="6"/>
  <c r="BE321" i="6" s="1"/>
  <c r="BQ321" i="6"/>
  <c r="BR321" i="6"/>
  <c r="BS321" i="6"/>
  <c r="BU321" i="6"/>
  <c r="BV321" i="6"/>
  <c r="BW321" i="6"/>
  <c r="BX321" i="6"/>
  <c r="BY321" i="6"/>
  <c r="CE459" i="6"/>
  <c r="BJ322" i="6"/>
  <c r="BK322" i="6"/>
  <c r="BD322" i="6" s="1"/>
  <c r="BL322" i="6"/>
  <c r="BE322" i="6" s="1"/>
  <c r="BQ322" i="6"/>
  <c r="BR322" i="6"/>
  <c r="BS322" i="6"/>
  <c r="BU322" i="6"/>
  <c r="BV322" i="6"/>
  <c r="BW322" i="6"/>
  <c r="BX322" i="6"/>
  <c r="BY322" i="6"/>
  <c r="CE460" i="6"/>
  <c r="BJ323" i="6"/>
  <c r="BK323" i="6"/>
  <c r="BD323" i="6" s="1"/>
  <c r="BL323" i="6"/>
  <c r="BE323" i="6" s="1"/>
  <c r="BQ323" i="6"/>
  <c r="BR323" i="6"/>
  <c r="BS323" i="6"/>
  <c r="BU323" i="6"/>
  <c r="BV323" i="6"/>
  <c r="BW323" i="6"/>
  <c r="BX323" i="6"/>
  <c r="BY323" i="6"/>
  <c r="CE461" i="6"/>
  <c r="BJ324" i="6"/>
  <c r="BK324" i="6"/>
  <c r="BD324" i="6" s="1"/>
  <c r="BL324" i="6"/>
  <c r="BE324" i="6" s="1"/>
  <c r="BQ324" i="6"/>
  <c r="BR324" i="6"/>
  <c r="BS324" i="6"/>
  <c r="BU324" i="6"/>
  <c r="BV324" i="6"/>
  <c r="BW324" i="6"/>
  <c r="BX324" i="6"/>
  <c r="BY324" i="6"/>
  <c r="CE462" i="6"/>
  <c r="BJ325" i="6"/>
  <c r="BK325" i="6"/>
  <c r="BD325" i="6" s="1"/>
  <c r="BL325" i="6"/>
  <c r="BE325" i="6" s="1"/>
  <c r="BQ325" i="6"/>
  <c r="BR325" i="6"/>
  <c r="BS325" i="6"/>
  <c r="BU325" i="6"/>
  <c r="BV325" i="6"/>
  <c r="BW325" i="6"/>
  <c r="BX325" i="6"/>
  <c r="BY325" i="6"/>
  <c r="CE463" i="6"/>
  <c r="BJ326" i="6"/>
  <c r="BK326" i="6"/>
  <c r="BD326" i="6" s="1"/>
  <c r="BL326" i="6"/>
  <c r="BE326" i="6" s="1"/>
  <c r="BQ326" i="6"/>
  <c r="BR326" i="6"/>
  <c r="BS326" i="6"/>
  <c r="BU326" i="6"/>
  <c r="BV326" i="6"/>
  <c r="BW326" i="6"/>
  <c r="BX326" i="6"/>
  <c r="BY326" i="6"/>
  <c r="CE464" i="6"/>
  <c r="BJ549" i="6"/>
  <c r="BK549" i="6"/>
  <c r="BD549" i="6" s="1"/>
  <c r="BL549" i="6"/>
  <c r="BE549" i="6" s="1"/>
  <c r="BQ549" i="6"/>
  <c r="BR549" i="6"/>
  <c r="BS549" i="6"/>
  <c r="BU549" i="6"/>
  <c r="BV549" i="6"/>
  <c r="BW549" i="6"/>
  <c r="BX549" i="6"/>
  <c r="BY549" i="6"/>
  <c r="CE351" i="6"/>
  <c r="BJ550" i="6"/>
  <c r="BK550" i="6"/>
  <c r="BD550" i="6" s="1"/>
  <c r="BL550" i="6"/>
  <c r="BE550" i="6" s="1"/>
  <c r="BQ550" i="6"/>
  <c r="BR550" i="6"/>
  <c r="BS550" i="6"/>
  <c r="BU550" i="6"/>
  <c r="BV550" i="6"/>
  <c r="BW550" i="6"/>
  <c r="BX550" i="6"/>
  <c r="BY550" i="6"/>
  <c r="CE352" i="6"/>
  <c r="BJ551" i="6"/>
  <c r="BK551" i="6"/>
  <c r="BD551" i="6" s="1"/>
  <c r="BL551" i="6"/>
  <c r="BE551" i="6" s="1"/>
  <c r="BQ551" i="6"/>
  <c r="BR551" i="6"/>
  <c r="BS551" i="6"/>
  <c r="BU551" i="6"/>
  <c r="BV551" i="6"/>
  <c r="BW551" i="6"/>
  <c r="BX551" i="6"/>
  <c r="BY551" i="6"/>
  <c r="CE353" i="6"/>
  <c r="BJ552" i="6"/>
  <c r="BK552" i="6"/>
  <c r="BD552" i="6" s="1"/>
  <c r="BL552" i="6"/>
  <c r="BE552" i="6" s="1"/>
  <c r="BQ552" i="6"/>
  <c r="BR552" i="6"/>
  <c r="BS552" i="6"/>
  <c r="BU552" i="6"/>
  <c r="BV552" i="6"/>
  <c r="BW552" i="6"/>
  <c r="BX552" i="6"/>
  <c r="BY552" i="6"/>
  <c r="CE354" i="6"/>
  <c r="BJ553" i="6"/>
  <c r="BK553" i="6"/>
  <c r="BD553" i="6" s="1"/>
  <c r="BL553" i="6"/>
  <c r="BE553" i="6" s="1"/>
  <c r="BQ553" i="6"/>
  <c r="BR553" i="6"/>
  <c r="BS553" i="6"/>
  <c r="BU553" i="6"/>
  <c r="BV553" i="6"/>
  <c r="BW553" i="6"/>
  <c r="BX553" i="6"/>
  <c r="BY553" i="6"/>
  <c r="CE355" i="6"/>
  <c r="BJ554" i="6"/>
  <c r="BK554" i="6"/>
  <c r="BD554" i="6" s="1"/>
  <c r="BL554" i="6"/>
  <c r="BE554" i="6" s="1"/>
  <c r="BQ554" i="6"/>
  <c r="BR554" i="6"/>
  <c r="BS554" i="6"/>
  <c r="BU554" i="6"/>
  <c r="BV554" i="6"/>
  <c r="BW554" i="6"/>
  <c r="BX554" i="6"/>
  <c r="BY554" i="6"/>
  <c r="CE356" i="6"/>
  <c r="BJ381" i="6"/>
  <c r="BK381" i="6"/>
  <c r="BD381" i="6" s="1"/>
  <c r="BL381" i="6"/>
  <c r="BE381" i="6" s="1"/>
  <c r="BQ381" i="6"/>
  <c r="BR381" i="6"/>
  <c r="BS381" i="6"/>
  <c r="BU381" i="6"/>
  <c r="BV381" i="6"/>
  <c r="BW381" i="6"/>
  <c r="BX381" i="6"/>
  <c r="BY381" i="6"/>
  <c r="CE465" i="6"/>
  <c r="BJ382" i="6"/>
  <c r="BK382" i="6"/>
  <c r="BD382" i="6" s="1"/>
  <c r="BL382" i="6"/>
  <c r="BE382" i="6" s="1"/>
  <c r="BQ382" i="6"/>
  <c r="BR382" i="6"/>
  <c r="BS382" i="6"/>
  <c r="BU382" i="6"/>
  <c r="BV382" i="6"/>
  <c r="BW382" i="6"/>
  <c r="BX382" i="6"/>
  <c r="BY382" i="6"/>
  <c r="CE466" i="6"/>
  <c r="BJ383" i="6"/>
  <c r="BK383" i="6"/>
  <c r="BD383" i="6" s="1"/>
  <c r="BL383" i="6"/>
  <c r="BE383" i="6" s="1"/>
  <c r="BQ383" i="6"/>
  <c r="BR383" i="6"/>
  <c r="BS383" i="6"/>
  <c r="BU383" i="6"/>
  <c r="BV383" i="6"/>
  <c r="BW383" i="6"/>
  <c r="BX383" i="6"/>
  <c r="BY383" i="6"/>
  <c r="CE467" i="6"/>
  <c r="BJ384" i="6"/>
  <c r="BK384" i="6"/>
  <c r="BD384" i="6" s="1"/>
  <c r="BL384" i="6"/>
  <c r="BE384" i="6" s="1"/>
  <c r="BQ384" i="6"/>
  <c r="BR384" i="6"/>
  <c r="BS384" i="6"/>
  <c r="BU384" i="6"/>
  <c r="BV384" i="6"/>
  <c r="BW384" i="6"/>
  <c r="BX384" i="6"/>
  <c r="BY384" i="6"/>
  <c r="CE468" i="6"/>
  <c r="BJ385" i="6"/>
  <c r="BK385" i="6"/>
  <c r="BD385" i="6" s="1"/>
  <c r="BL385" i="6"/>
  <c r="BE385" i="6" s="1"/>
  <c r="BQ385" i="6"/>
  <c r="BR385" i="6"/>
  <c r="BS385" i="6"/>
  <c r="BU385" i="6"/>
  <c r="BV385" i="6"/>
  <c r="BW385" i="6"/>
  <c r="BX385" i="6"/>
  <c r="BY385" i="6"/>
  <c r="CE469" i="6"/>
  <c r="BJ386" i="6"/>
  <c r="BK386" i="6"/>
  <c r="BD386" i="6" s="1"/>
  <c r="BL386" i="6"/>
  <c r="BE386" i="6" s="1"/>
  <c r="BQ386" i="6"/>
  <c r="BR386" i="6"/>
  <c r="BS386" i="6"/>
  <c r="BU386" i="6"/>
  <c r="BV386" i="6"/>
  <c r="BW386" i="6"/>
  <c r="BX386" i="6"/>
  <c r="BY386" i="6"/>
  <c r="CE470" i="6"/>
  <c r="BJ387" i="6"/>
  <c r="BK387" i="6"/>
  <c r="BD387" i="6" s="1"/>
  <c r="BL387" i="6"/>
  <c r="BE387" i="6" s="1"/>
  <c r="BQ387" i="6"/>
  <c r="BR387" i="6"/>
  <c r="BS387" i="6"/>
  <c r="BU387" i="6"/>
  <c r="BV387" i="6"/>
  <c r="BW387" i="6"/>
  <c r="BX387" i="6"/>
  <c r="BY387" i="6"/>
  <c r="CE471" i="6"/>
  <c r="BJ388" i="6"/>
  <c r="BK388" i="6"/>
  <c r="BD388" i="6" s="1"/>
  <c r="BL388" i="6"/>
  <c r="BE388" i="6" s="1"/>
  <c r="BQ388" i="6"/>
  <c r="BR388" i="6"/>
  <c r="BS388" i="6"/>
  <c r="BU388" i="6"/>
  <c r="BV388" i="6"/>
  <c r="BW388" i="6"/>
  <c r="BX388" i="6"/>
  <c r="BY388" i="6"/>
  <c r="CE472" i="6"/>
  <c r="BJ389" i="6"/>
  <c r="BK389" i="6"/>
  <c r="BD389" i="6" s="1"/>
  <c r="BL389" i="6"/>
  <c r="BE389" i="6" s="1"/>
  <c r="BQ389" i="6"/>
  <c r="BR389" i="6"/>
  <c r="BS389" i="6"/>
  <c r="BU389" i="6"/>
  <c r="BV389" i="6"/>
  <c r="BW389" i="6"/>
  <c r="BX389" i="6"/>
  <c r="BY389" i="6"/>
  <c r="CE473" i="6"/>
  <c r="BJ390" i="6"/>
  <c r="BK390" i="6"/>
  <c r="BD390" i="6" s="1"/>
  <c r="BL390" i="6"/>
  <c r="BE390" i="6" s="1"/>
  <c r="BQ390" i="6"/>
  <c r="BR390" i="6"/>
  <c r="BS390" i="6"/>
  <c r="BU390" i="6"/>
  <c r="BV390" i="6"/>
  <c r="BW390" i="6"/>
  <c r="BX390" i="6"/>
  <c r="BY390" i="6"/>
  <c r="CE474" i="6"/>
  <c r="BJ391" i="6"/>
  <c r="BK391" i="6"/>
  <c r="BD391" i="6" s="1"/>
  <c r="BL391" i="6"/>
  <c r="BE391" i="6" s="1"/>
  <c r="BQ391" i="6"/>
  <c r="BR391" i="6"/>
  <c r="BS391" i="6"/>
  <c r="BU391" i="6"/>
  <c r="BV391" i="6"/>
  <c r="BW391" i="6"/>
  <c r="BX391" i="6"/>
  <c r="BY391" i="6"/>
  <c r="CE475" i="6"/>
  <c r="BJ392" i="6"/>
  <c r="BK392" i="6"/>
  <c r="BD392" i="6" s="1"/>
  <c r="BL392" i="6"/>
  <c r="BE392" i="6" s="1"/>
  <c r="BQ392" i="6"/>
  <c r="BR392" i="6"/>
  <c r="BS392" i="6"/>
  <c r="BU392" i="6"/>
  <c r="BV392" i="6"/>
  <c r="BW392" i="6"/>
  <c r="BX392" i="6"/>
  <c r="BY392" i="6"/>
  <c r="CE476" i="6"/>
  <c r="BJ345" i="6"/>
  <c r="BK345" i="6"/>
  <c r="BD345" i="6" s="1"/>
  <c r="BL345" i="6"/>
  <c r="BE345" i="6" s="1"/>
  <c r="BQ345" i="6"/>
  <c r="BR345" i="6"/>
  <c r="BS345" i="6"/>
  <c r="BU345" i="6"/>
  <c r="BV345" i="6"/>
  <c r="BW345" i="6"/>
  <c r="BX345" i="6"/>
  <c r="BY345" i="6"/>
  <c r="CE357" i="6"/>
  <c r="BJ346" i="6"/>
  <c r="BK346" i="6"/>
  <c r="BD346" i="6" s="1"/>
  <c r="BL346" i="6"/>
  <c r="BE346" i="6" s="1"/>
  <c r="BQ346" i="6"/>
  <c r="BR346" i="6"/>
  <c r="BS346" i="6"/>
  <c r="BU346" i="6"/>
  <c r="BV346" i="6"/>
  <c r="BW346" i="6"/>
  <c r="BX346" i="6"/>
  <c r="BY346" i="6"/>
  <c r="CE358" i="6"/>
  <c r="BJ347" i="6"/>
  <c r="BK347" i="6"/>
  <c r="BD347" i="6" s="1"/>
  <c r="BL347" i="6"/>
  <c r="BE347" i="6" s="1"/>
  <c r="BQ347" i="6"/>
  <c r="BR347" i="6"/>
  <c r="BS347" i="6"/>
  <c r="BU347" i="6"/>
  <c r="BV347" i="6"/>
  <c r="BW347" i="6"/>
  <c r="BX347" i="6"/>
  <c r="BY347" i="6"/>
  <c r="CE359" i="6"/>
  <c r="BJ348" i="6"/>
  <c r="BK348" i="6"/>
  <c r="BD348" i="6" s="1"/>
  <c r="BL348" i="6"/>
  <c r="BE348" i="6" s="1"/>
  <c r="BQ348" i="6"/>
  <c r="BR348" i="6"/>
  <c r="BS348" i="6"/>
  <c r="BU348" i="6"/>
  <c r="BV348" i="6"/>
  <c r="BW348" i="6"/>
  <c r="BX348" i="6"/>
  <c r="BY348" i="6"/>
  <c r="CE360" i="6"/>
  <c r="BJ349" i="6"/>
  <c r="BK349" i="6"/>
  <c r="BD349" i="6" s="1"/>
  <c r="BL349" i="6"/>
  <c r="BE349" i="6" s="1"/>
  <c r="BQ349" i="6"/>
  <c r="BR349" i="6"/>
  <c r="BS349" i="6"/>
  <c r="BU349" i="6"/>
  <c r="BV349" i="6"/>
  <c r="BW349" i="6"/>
  <c r="BX349" i="6"/>
  <c r="BY349" i="6"/>
  <c r="CE361" i="6"/>
  <c r="BJ350" i="6"/>
  <c r="BK350" i="6"/>
  <c r="BD350" i="6" s="1"/>
  <c r="BL350" i="6"/>
  <c r="BE350" i="6" s="1"/>
  <c r="BQ350" i="6"/>
  <c r="BR350" i="6"/>
  <c r="BS350" i="6"/>
  <c r="BU350" i="6"/>
  <c r="BV350" i="6"/>
  <c r="BW350" i="6"/>
  <c r="BX350" i="6"/>
  <c r="BY350" i="6"/>
  <c r="CE362" i="6"/>
  <c r="BJ459" i="6"/>
  <c r="BK459" i="6"/>
  <c r="BD459" i="6" s="1"/>
  <c r="BL459" i="6"/>
  <c r="BE459" i="6" s="1"/>
  <c r="BQ459" i="6"/>
  <c r="BR459" i="6"/>
  <c r="BS459" i="6"/>
  <c r="BU459" i="6"/>
  <c r="BV459" i="6"/>
  <c r="BW459" i="6"/>
  <c r="BX459" i="6"/>
  <c r="BY459" i="6"/>
  <c r="CE393" i="6"/>
  <c r="BJ460" i="6"/>
  <c r="BK460" i="6"/>
  <c r="BD460" i="6" s="1"/>
  <c r="BL460" i="6"/>
  <c r="BE460" i="6" s="1"/>
  <c r="BQ460" i="6"/>
  <c r="BR460" i="6"/>
  <c r="BS460" i="6"/>
  <c r="BU460" i="6"/>
  <c r="BV460" i="6"/>
  <c r="BW460" i="6"/>
  <c r="BX460" i="6"/>
  <c r="BY460" i="6"/>
  <c r="CE394" i="6"/>
  <c r="BJ461" i="6"/>
  <c r="BK461" i="6"/>
  <c r="BD461" i="6" s="1"/>
  <c r="BL461" i="6"/>
  <c r="BE461" i="6" s="1"/>
  <c r="BQ461" i="6"/>
  <c r="BR461" i="6"/>
  <c r="BS461" i="6"/>
  <c r="BU461" i="6"/>
  <c r="BV461" i="6"/>
  <c r="BW461" i="6"/>
  <c r="BX461" i="6"/>
  <c r="BY461" i="6"/>
  <c r="CE395" i="6"/>
  <c r="BJ462" i="6"/>
  <c r="BK462" i="6"/>
  <c r="BD462" i="6" s="1"/>
  <c r="BL462" i="6"/>
  <c r="BE462" i="6" s="1"/>
  <c r="BQ462" i="6"/>
  <c r="BR462" i="6"/>
  <c r="BS462" i="6"/>
  <c r="BU462" i="6"/>
  <c r="BV462" i="6"/>
  <c r="BW462" i="6"/>
  <c r="BX462" i="6"/>
  <c r="BY462" i="6"/>
  <c r="CE396" i="6"/>
  <c r="BJ463" i="6"/>
  <c r="BK463" i="6"/>
  <c r="BD463" i="6" s="1"/>
  <c r="BL463" i="6"/>
  <c r="BE463" i="6" s="1"/>
  <c r="BQ463" i="6"/>
  <c r="BR463" i="6"/>
  <c r="BS463" i="6"/>
  <c r="BU463" i="6"/>
  <c r="BV463" i="6"/>
  <c r="BW463" i="6"/>
  <c r="BX463" i="6"/>
  <c r="BY463" i="6"/>
  <c r="CE397" i="6"/>
  <c r="BJ464" i="6"/>
  <c r="BK464" i="6"/>
  <c r="BD464" i="6" s="1"/>
  <c r="BL464" i="6"/>
  <c r="BE464" i="6" s="1"/>
  <c r="BQ464" i="6"/>
  <c r="BR464" i="6"/>
  <c r="BS464" i="6"/>
  <c r="BU464" i="6"/>
  <c r="BV464" i="6"/>
  <c r="BW464" i="6"/>
  <c r="BX464" i="6"/>
  <c r="BY464" i="6"/>
  <c r="CE398" i="6"/>
  <c r="BJ351" i="6"/>
  <c r="BK351" i="6"/>
  <c r="BD351" i="6" s="1"/>
  <c r="BL351" i="6"/>
  <c r="BE351" i="6" s="1"/>
  <c r="BQ351" i="6"/>
  <c r="BR351" i="6"/>
  <c r="BS351" i="6"/>
  <c r="BU351" i="6"/>
  <c r="BV351" i="6"/>
  <c r="BW351" i="6"/>
  <c r="BX351" i="6"/>
  <c r="BY351" i="6"/>
  <c r="CE585" i="6"/>
  <c r="BJ352" i="6"/>
  <c r="BK352" i="6"/>
  <c r="BD352" i="6" s="1"/>
  <c r="BL352" i="6"/>
  <c r="BE352" i="6" s="1"/>
  <c r="BQ352" i="6"/>
  <c r="BR352" i="6"/>
  <c r="BS352" i="6"/>
  <c r="BU352" i="6"/>
  <c r="BV352" i="6"/>
  <c r="BW352" i="6"/>
  <c r="BX352" i="6"/>
  <c r="BY352" i="6"/>
  <c r="CE586" i="6"/>
  <c r="BJ353" i="6"/>
  <c r="BK353" i="6"/>
  <c r="BD353" i="6" s="1"/>
  <c r="BL353" i="6"/>
  <c r="BE353" i="6" s="1"/>
  <c r="BQ353" i="6"/>
  <c r="BR353" i="6"/>
  <c r="BS353" i="6"/>
  <c r="BU353" i="6"/>
  <c r="BV353" i="6"/>
  <c r="BW353" i="6"/>
  <c r="BX353" i="6"/>
  <c r="BY353" i="6"/>
  <c r="CE587" i="6"/>
  <c r="BJ354" i="6"/>
  <c r="BK354" i="6"/>
  <c r="BD354" i="6" s="1"/>
  <c r="BL354" i="6"/>
  <c r="BE354" i="6" s="1"/>
  <c r="BQ354" i="6"/>
  <c r="BR354" i="6"/>
  <c r="BS354" i="6"/>
  <c r="BU354" i="6"/>
  <c r="BV354" i="6"/>
  <c r="BW354" i="6"/>
  <c r="BX354" i="6"/>
  <c r="BY354" i="6"/>
  <c r="CE588" i="6"/>
  <c r="BJ355" i="6"/>
  <c r="BK355" i="6"/>
  <c r="BD355" i="6" s="1"/>
  <c r="BL355" i="6"/>
  <c r="BE355" i="6" s="1"/>
  <c r="BQ355" i="6"/>
  <c r="BR355" i="6"/>
  <c r="BS355" i="6"/>
  <c r="BU355" i="6"/>
  <c r="BV355" i="6"/>
  <c r="BW355" i="6"/>
  <c r="BX355" i="6"/>
  <c r="BY355" i="6"/>
  <c r="CE589" i="6"/>
  <c r="BJ356" i="6"/>
  <c r="BK356" i="6"/>
  <c r="BD356" i="6" s="1"/>
  <c r="BL356" i="6"/>
  <c r="BE356" i="6" s="1"/>
  <c r="BQ356" i="6"/>
  <c r="BR356" i="6"/>
  <c r="BS356" i="6"/>
  <c r="BU356" i="6"/>
  <c r="BV356" i="6"/>
  <c r="BW356" i="6"/>
  <c r="BX356" i="6"/>
  <c r="BY356" i="6"/>
  <c r="CE590" i="6"/>
  <c r="BJ465" i="6"/>
  <c r="BK465" i="6"/>
  <c r="BD465" i="6" s="1"/>
  <c r="BL465" i="6"/>
  <c r="BE465" i="6" s="1"/>
  <c r="BQ465" i="6"/>
  <c r="BR465" i="6"/>
  <c r="BS465" i="6"/>
  <c r="BU465" i="6"/>
  <c r="BV465" i="6"/>
  <c r="BW465" i="6"/>
  <c r="BX465" i="6"/>
  <c r="BY465" i="6"/>
  <c r="CE591" i="6"/>
  <c r="BJ466" i="6"/>
  <c r="BK466" i="6"/>
  <c r="BD466" i="6" s="1"/>
  <c r="BL466" i="6"/>
  <c r="BE466" i="6" s="1"/>
  <c r="BQ466" i="6"/>
  <c r="BR466" i="6"/>
  <c r="BS466" i="6"/>
  <c r="BU466" i="6"/>
  <c r="BV466" i="6"/>
  <c r="BW466" i="6"/>
  <c r="BX466" i="6"/>
  <c r="BY466" i="6"/>
  <c r="CE592" i="6"/>
  <c r="BJ467" i="6"/>
  <c r="BK467" i="6"/>
  <c r="BD467" i="6" s="1"/>
  <c r="BL467" i="6"/>
  <c r="BE467" i="6" s="1"/>
  <c r="BQ467" i="6"/>
  <c r="BR467" i="6"/>
  <c r="BS467" i="6"/>
  <c r="BU467" i="6"/>
  <c r="BV467" i="6"/>
  <c r="BW467" i="6"/>
  <c r="BX467" i="6"/>
  <c r="BY467" i="6"/>
  <c r="CE593" i="6"/>
  <c r="BJ468" i="6"/>
  <c r="BK468" i="6"/>
  <c r="BD468" i="6" s="1"/>
  <c r="BL468" i="6"/>
  <c r="BE468" i="6" s="1"/>
  <c r="BQ468" i="6"/>
  <c r="BR468" i="6"/>
  <c r="BS468" i="6"/>
  <c r="BU468" i="6"/>
  <c r="BV468" i="6"/>
  <c r="BW468" i="6"/>
  <c r="BX468" i="6"/>
  <c r="BY468" i="6"/>
  <c r="CE594" i="6"/>
  <c r="BJ469" i="6"/>
  <c r="BK469" i="6"/>
  <c r="BD469" i="6" s="1"/>
  <c r="BL469" i="6"/>
  <c r="BE469" i="6" s="1"/>
  <c r="BQ469" i="6"/>
  <c r="BR469" i="6"/>
  <c r="BS469" i="6"/>
  <c r="BU469" i="6"/>
  <c r="BV469" i="6"/>
  <c r="BW469" i="6"/>
  <c r="BX469" i="6"/>
  <c r="BY469" i="6"/>
  <c r="CE595" i="6"/>
  <c r="BJ470" i="6"/>
  <c r="BK470" i="6"/>
  <c r="BD470" i="6" s="1"/>
  <c r="BL470" i="6"/>
  <c r="BE470" i="6" s="1"/>
  <c r="BQ470" i="6"/>
  <c r="BR470" i="6"/>
  <c r="BS470" i="6"/>
  <c r="BU470" i="6"/>
  <c r="BV470" i="6"/>
  <c r="BW470" i="6"/>
  <c r="BX470" i="6"/>
  <c r="BY470" i="6"/>
  <c r="CE596" i="6"/>
  <c r="BJ471" i="6"/>
  <c r="BK471" i="6"/>
  <c r="BD471" i="6" s="1"/>
  <c r="BL471" i="6"/>
  <c r="BE471" i="6" s="1"/>
  <c r="BQ471" i="6"/>
  <c r="BR471" i="6"/>
  <c r="BS471" i="6"/>
  <c r="BU471" i="6"/>
  <c r="BV471" i="6"/>
  <c r="BW471" i="6"/>
  <c r="BX471" i="6"/>
  <c r="BY471" i="6"/>
  <c r="CE627" i="6"/>
  <c r="BJ472" i="6"/>
  <c r="BK472" i="6"/>
  <c r="BD472" i="6" s="1"/>
  <c r="BL472" i="6"/>
  <c r="BE472" i="6" s="1"/>
  <c r="BQ472" i="6"/>
  <c r="BR472" i="6"/>
  <c r="BS472" i="6"/>
  <c r="BU472" i="6"/>
  <c r="BV472" i="6"/>
  <c r="BW472" i="6"/>
  <c r="BX472" i="6"/>
  <c r="BY472" i="6"/>
  <c r="CE628" i="6"/>
  <c r="BJ473" i="6"/>
  <c r="BK473" i="6"/>
  <c r="BD473" i="6" s="1"/>
  <c r="BL473" i="6"/>
  <c r="BE473" i="6" s="1"/>
  <c r="BQ473" i="6"/>
  <c r="BR473" i="6"/>
  <c r="BS473" i="6"/>
  <c r="BU473" i="6"/>
  <c r="BV473" i="6"/>
  <c r="BW473" i="6"/>
  <c r="BX473" i="6"/>
  <c r="BY473" i="6"/>
  <c r="CE629" i="6"/>
  <c r="BJ474" i="6"/>
  <c r="BK474" i="6"/>
  <c r="BD474" i="6" s="1"/>
  <c r="BL474" i="6"/>
  <c r="BE474" i="6" s="1"/>
  <c r="BQ474" i="6"/>
  <c r="BR474" i="6"/>
  <c r="BS474" i="6"/>
  <c r="BU474" i="6"/>
  <c r="BV474" i="6"/>
  <c r="BW474" i="6"/>
  <c r="BX474" i="6"/>
  <c r="BY474" i="6"/>
  <c r="CE630" i="6"/>
  <c r="BJ475" i="6"/>
  <c r="BK475" i="6"/>
  <c r="BD475" i="6" s="1"/>
  <c r="BL475" i="6"/>
  <c r="BE475" i="6" s="1"/>
  <c r="BQ475" i="6"/>
  <c r="BR475" i="6"/>
  <c r="BS475" i="6"/>
  <c r="BU475" i="6"/>
  <c r="BV475" i="6"/>
  <c r="BW475" i="6"/>
  <c r="BX475" i="6"/>
  <c r="BY475" i="6"/>
  <c r="CE631" i="6"/>
  <c r="BJ476" i="6"/>
  <c r="BK476" i="6"/>
  <c r="BD476" i="6" s="1"/>
  <c r="BL476" i="6"/>
  <c r="BE476" i="6" s="1"/>
  <c r="BQ476" i="6"/>
  <c r="BR476" i="6"/>
  <c r="BS476" i="6"/>
  <c r="BU476" i="6"/>
  <c r="BV476" i="6"/>
  <c r="BW476" i="6"/>
  <c r="BX476" i="6"/>
  <c r="BY476" i="6"/>
  <c r="CE632" i="6"/>
  <c r="BJ357" i="6"/>
  <c r="BK357" i="6"/>
  <c r="BD357" i="6" s="1"/>
  <c r="BL357" i="6"/>
  <c r="BE357" i="6" s="1"/>
  <c r="BQ357" i="6"/>
  <c r="BR357" i="6"/>
  <c r="BS357" i="6"/>
  <c r="BU357" i="6"/>
  <c r="BV357" i="6"/>
  <c r="BW357" i="6"/>
  <c r="BX357" i="6"/>
  <c r="BY357" i="6"/>
  <c r="CE477" i="6"/>
  <c r="BJ358" i="6"/>
  <c r="BK358" i="6"/>
  <c r="BD358" i="6" s="1"/>
  <c r="BL358" i="6"/>
  <c r="BE358" i="6" s="1"/>
  <c r="BQ358" i="6"/>
  <c r="BR358" i="6"/>
  <c r="BS358" i="6"/>
  <c r="BU358" i="6"/>
  <c r="BV358" i="6"/>
  <c r="BW358" i="6"/>
  <c r="BX358" i="6"/>
  <c r="BY358" i="6"/>
  <c r="CE478" i="6"/>
  <c r="BJ359" i="6"/>
  <c r="BK359" i="6"/>
  <c r="BD359" i="6" s="1"/>
  <c r="BL359" i="6"/>
  <c r="BE359" i="6" s="1"/>
  <c r="BQ359" i="6"/>
  <c r="BR359" i="6"/>
  <c r="BS359" i="6"/>
  <c r="BU359" i="6"/>
  <c r="BV359" i="6"/>
  <c r="BW359" i="6"/>
  <c r="BX359" i="6"/>
  <c r="BY359" i="6"/>
  <c r="CE479" i="6"/>
  <c r="BJ360" i="6"/>
  <c r="BK360" i="6"/>
  <c r="BD360" i="6" s="1"/>
  <c r="BL360" i="6"/>
  <c r="BE360" i="6" s="1"/>
  <c r="BQ360" i="6"/>
  <c r="BR360" i="6"/>
  <c r="BS360" i="6"/>
  <c r="BU360" i="6"/>
  <c r="BV360" i="6"/>
  <c r="BW360" i="6"/>
  <c r="BX360" i="6"/>
  <c r="BY360" i="6"/>
  <c r="CE480" i="6"/>
  <c r="BJ361" i="6"/>
  <c r="BK361" i="6"/>
  <c r="BD361" i="6" s="1"/>
  <c r="BL361" i="6"/>
  <c r="BE361" i="6" s="1"/>
  <c r="BQ361" i="6"/>
  <c r="BR361" i="6"/>
  <c r="BS361" i="6"/>
  <c r="BU361" i="6"/>
  <c r="BV361" i="6"/>
  <c r="BW361" i="6"/>
  <c r="BX361" i="6"/>
  <c r="BY361" i="6"/>
  <c r="CE481" i="6"/>
  <c r="BJ362" i="6"/>
  <c r="BK362" i="6"/>
  <c r="BD362" i="6" s="1"/>
  <c r="BL362" i="6"/>
  <c r="BE362" i="6" s="1"/>
  <c r="BQ362" i="6"/>
  <c r="BR362" i="6"/>
  <c r="BS362" i="6"/>
  <c r="BU362" i="6"/>
  <c r="BV362" i="6"/>
  <c r="BW362" i="6"/>
  <c r="BX362" i="6"/>
  <c r="BY362" i="6"/>
  <c r="CE482" i="6"/>
  <c r="BJ393" i="6"/>
  <c r="BK393" i="6"/>
  <c r="BD393" i="6" s="1"/>
  <c r="BL393" i="6"/>
  <c r="BE393" i="6" s="1"/>
  <c r="BQ393" i="6"/>
  <c r="BR393" i="6"/>
  <c r="BS393" i="6"/>
  <c r="BU393" i="6"/>
  <c r="BV393" i="6"/>
  <c r="BW393" i="6"/>
  <c r="BX393" i="6"/>
  <c r="BY393" i="6"/>
  <c r="CE483" i="6"/>
  <c r="BJ394" i="6"/>
  <c r="BK394" i="6"/>
  <c r="BD394" i="6" s="1"/>
  <c r="BL394" i="6"/>
  <c r="BE394" i="6" s="1"/>
  <c r="BQ394" i="6"/>
  <c r="BR394" i="6"/>
  <c r="BS394" i="6"/>
  <c r="BU394" i="6"/>
  <c r="BV394" i="6"/>
  <c r="BW394" i="6"/>
  <c r="BX394" i="6"/>
  <c r="BY394" i="6"/>
  <c r="CE484" i="6"/>
  <c r="BJ395" i="6"/>
  <c r="BK395" i="6"/>
  <c r="BD395" i="6" s="1"/>
  <c r="BL395" i="6"/>
  <c r="BE395" i="6" s="1"/>
  <c r="BQ395" i="6"/>
  <c r="BR395" i="6"/>
  <c r="BS395" i="6"/>
  <c r="BU395" i="6"/>
  <c r="BV395" i="6"/>
  <c r="BW395" i="6"/>
  <c r="BX395" i="6"/>
  <c r="BY395" i="6"/>
  <c r="CE485" i="6"/>
  <c r="BJ396" i="6"/>
  <c r="BQ396" i="6"/>
  <c r="BR396" i="6"/>
  <c r="BS396" i="6"/>
  <c r="BU396" i="6"/>
  <c r="BV396" i="6"/>
  <c r="BW396" i="6"/>
  <c r="BY396" i="6"/>
  <c r="CE486" i="6"/>
  <c r="BJ397" i="6"/>
  <c r="BK397" i="6"/>
  <c r="BD397" i="6" s="1"/>
  <c r="BL397" i="6"/>
  <c r="BE397" i="6" s="1"/>
  <c r="BQ397" i="6"/>
  <c r="BR397" i="6"/>
  <c r="BS397" i="6"/>
  <c r="BU397" i="6"/>
  <c r="BV397" i="6"/>
  <c r="BW397" i="6"/>
  <c r="BX397" i="6"/>
  <c r="BY397" i="6"/>
  <c r="CE487" i="6"/>
  <c r="BJ398" i="6"/>
  <c r="BK398" i="6"/>
  <c r="BD398" i="6" s="1"/>
  <c r="BL398" i="6"/>
  <c r="BE398" i="6" s="1"/>
  <c r="BQ398" i="6"/>
  <c r="BR398" i="6"/>
  <c r="BS398" i="6"/>
  <c r="BU398" i="6"/>
  <c r="BV398" i="6"/>
  <c r="BW398" i="6"/>
  <c r="BX398" i="6"/>
  <c r="BY398" i="6"/>
  <c r="CE488" i="6"/>
  <c r="BJ585" i="6"/>
  <c r="BK585" i="6"/>
  <c r="BD585" i="6" s="1"/>
  <c r="BL585" i="6"/>
  <c r="BE585" i="6" s="1"/>
  <c r="BQ585" i="6"/>
  <c r="BR585" i="6"/>
  <c r="BS585" i="6"/>
  <c r="BU585" i="6"/>
  <c r="BV585" i="6"/>
  <c r="BW585" i="6"/>
  <c r="BX585" i="6"/>
  <c r="BY585" i="6"/>
  <c r="CE489" i="6"/>
  <c r="BJ586" i="6"/>
  <c r="BK586" i="6"/>
  <c r="BD586" i="6" s="1"/>
  <c r="BL586" i="6"/>
  <c r="BE586" i="6" s="1"/>
  <c r="BQ586" i="6"/>
  <c r="BR586" i="6"/>
  <c r="BS586" i="6"/>
  <c r="BU586" i="6"/>
  <c r="BV586" i="6"/>
  <c r="BW586" i="6"/>
  <c r="BX586" i="6"/>
  <c r="BY586" i="6"/>
  <c r="CE490" i="6"/>
  <c r="BJ587" i="6"/>
  <c r="BK587" i="6"/>
  <c r="BD587" i="6" s="1"/>
  <c r="BL587" i="6"/>
  <c r="BE587" i="6" s="1"/>
  <c r="BQ587" i="6"/>
  <c r="BR587" i="6"/>
  <c r="BS587" i="6"/>
  <c r="BU587" i="6"/>
  <c r="BV587" i="6"/>
  <c r="BW587" i="6"/>
  <c r="BX587" i="6"/>
  <c r="BY587" i="6"/>
  <c r="CE491" i="6"/>
  <c r="BJ588" i="6"/>
  <c r="BK588" i="6"/>
  <c r="BD588" i="6" s="1"/>
  <c r="BL588" i="6"/>
  <c r="BE588" i="6" s="1"/>
  <c r="BQ588" i="6"/>
  <c r="BR588" i="6"/>
  <c r="BS588" i="6"/>
  <c r="BU588" i="6"/>
  <c r="BV588" i="6"/>
  <c r="BW588" i="6"/>
  <c r="BX588" i="6"/>
  <c r="BY588" i="6"/>
  <c r="CE492" i="6"/>
  <c r="BJ589" i="6"/>
  <c r="BK589" i="6"/>
  <c r="BD589" i="6" s="1"/>
  <c r="BL589" i="6"/>
  <c r="BE589" i="6" s="1"/>
  <c r="BQ589" i="6"/>
  <c r="BR589" i="6"/>
  <c r="BS589" i="6"/>
  <c r="BU589" i="6"/>
  <c r="BV589" i="6"/>
  <c r="BW589" i="6"/>
  <c r="BX589" i="6"/>
  <c r="BY589" i="6"/>
  <c r="CE493" i="6"/>
  <c r="BJ590" i="6"/>
  <c r="BK590" i="6"/>
  <c r="BD590" i="6" s="1"/>
  <c r="BL590" i="6"/>
  <c r="BE590" i="6" s="1"/>
  <c r="BQ590" i="6"/>
  <c r="BR590" i="6"/>
  <c r="BS590" i="6"/>
  <c r="BU590" i="6"/>
  <c r="BV590" i="6"/>
  <c r="BW590" i="6"/>
  <c r="BX590" i="6"/>
  <c r="BY590" i="6"/>
  <c r="CE494" i="6"/>
  <c r="BJ591" i="6"/>
  <c r="BK591" i="6"/>
  <c r="BD591" i="6" s="1"/>
  <c r="BL591" i="6"/>
  <c r="BE591" i="6" s="1"/>
  <c r="BQ591" i="6"/>
  <c r="BR591" i="6"/>
  <c r="BS591" i="6"/>
  <c r="BU591" i="6"/>
  <c r="BV591" i="6"/>
  <c r="BW591" i="6"/>
  <c r="BX591" i="6"/>
  <c r="BY591" i="6"/>
  <c r="CE495" i="6"/>
  <c r="BJ592" i="6"/>
  <c r="BK592" i="6"/>
  <c r="BD592" i="6" s="1"/>
  <c r="BL592" i="6"/>
  <c r="BE592" i="6" s="1"/>
  <c r="BQ592" i="6"/>
  <c r="BR592" i="6"/>
  <c r="BS592" i="6"/>
  <c r="BU592" i="6"/>
  <c r="BV592" i="6"/>
  <c r="BW592" i="6"/>
  <c r="BX592" i="6"/>
  <c r="BY592" i="6"/>
  <c r="CE496" i="6"/>
  <c r="BJ593" i="6"/>
  <c r="BK593" i="6"/>
  <c r="BD593" i="6" s="1"/>
  <c r="BL593" i="6"/>
  <c r="BE593" i="6" s="1"/>
  <c r="BQ593" i="6"/>
  <c r="BR593" i="6"/>
  <c r="BS593" i="6"/>
  <c r="BU593" i="6"/>
  <c r="BV593" i="6"/>
  <c r="BW593" i="6"/>
  <c r="BX593" i="6"/>
  <c r="BY593" i="6"/>
  <c r="CE497" i="6"/>
  <c r="BJ594" i="6"/>
  <c r="BK594" i="6"/>
  <c r="BD594" i="6" s="1"/>
  <c r="BL594" i="6"/>
  <c r="BE594" i="6" s="1"/>
  <c r="BQ594" i="6"/>
  <c r="BR594" i="6"/>
  <c r="BS594" i="6"/>
  <c r="BU594" i="6"/>
  <c r="BV594" i="6"/>
  <c r="BW594" i="6"/>
  <c r="BX594" i="6"/>
  <c r="BY594" i="6"/>
  <c r="CE498" i="6"/>
  <c r="BJ595" i="6"/>
  <c r="BK595" i="6"/>
  <c r="BD595" i="6" s="1"/>
  <c r="BL595" i="6"/>
  <c r="BE595" i="6" s="1"/>
  <c r="BQ595" i="6"/>
  <c r="BR595" i="6"/>
  <c r="BS595" i="6"/>
  <c r="BU595" i="6"/>
  <c r="BV595" i="6"/>
  <c r="BW595" i="6"/>
  <c r="BX595" i="6"/>
  <c r="BY595" i="6"/>
  <c r="CE499" i="6"/>
  <c r="BJ596" i="6"/>
  <c r="BK596" i="6"/>
  <c r="BD596" i="6" s="1"/>
  <c r="BL596" i="6"/>
  <c r="BE596" i="6" s="1"/>
  <c r="BQ596" i="6"/>
  <c r="BR596" i="6"/>
  <c r="BS596" i="6"/>
  <c r="BU596" i="6"/>
  <c r="BV596" i="6"/>
  <c r="BW596" i="6"/>
  <c r="BX596" i="6"/>
  <c r="BY596" i="6"/>
  <c r="CE500" i="6"/>
  <c r="BJ627" i="6"/>
  <c r="BK627" i="6"/>
  <c r="BD627" i="6" s="1"/>
  <c r="BL627" i="6"/>
  <c r="BE627" i="6" s="1"/>
  <c r="BQ627" i="6"/>
  <c r="BR627" i="6"/>
  <c r="BS627" i="6"/>
  <c r="BU627" i="6"/>
  <c r="BV627" i="6"/>
  <c r="BW627" i="6"/>
  <c r="BX627" i="6"/>
  <c r="BY627" i="6"/>
  <c r="CE363" i="6"/>
  <c r="BJ628" i="6"/>
  <c r="BK628" i="6"/>
  <c r="BD628" i="6" s="1"/>
  <c r="BL628" i="6"/>
  <c r="BE628" i="6" s="1"/>
  <c r="BQ628" i="6"/>
  <c r="BR628" i="6"/>
  <c r="BS628" i="6"/>
  <c r="BU628" i="6"/>
  <c r="BV628" i="6"/>
  <c r="BW628" i="6"/>
  <c r="BX628" i="6"/>
  <c r="BY628" i="6"/>
  <c r="CE364" i="6"/>
  <c r="BJ629" i="6"/>
  <c r="BK629" i="6"/>
  <c r="BD629" i="6" s="1"/>
  <c r="BL629" i="6"/>
  <c r="BE629" i="6" s="1"/>
  <c r="BQ629" i="6"/>
  <c r="BR629" i="6"/>
  <c r="BS629" i="6"/>
  <c r="BU629" i="6"/>
  <c r="BV629" i="6"/>
  <c r="BW629" i="6"/>
  <c r="BX629" i="6"/>
  <c r="BY629" i="6"/>
  <c r="CE365" i="6"/>
  <c r="BJ630" i="6"/>
  <c r="BK630" i="6"/>
  <c r="BD630" i="6" s="1"/>
  <c r="BL630" i="6"/>
  <c r="BE630" i="6" s="1"/>
  <c r="BQ630" i="6"/>
  <c r="BR630" i="6"/>
  <c r="BS630" i="6"/>
  <c r="BU630" i="6"/>
  <c r="BV630" i="6"/>
  <c r="BW630" i="6"/>
  <c r="BX630" i="6"/>
  <c r="BY630" i="6"/>
  <c r="CE366" i="6"/>
  <c r="BJ631" i="6"/>
  <c r="BK631" i="6"/>
  <c r="BD631" i="6" s="1"/>
  <c r="BL631" i="6"/>
  <c r="BE631" i="6" s="1"/>
  <c r="BQ631" i="6"/>
  <c r="BR631" i="6"/>
  <c r="BS631" i="6"/>
  <c r="BU631" i="6"/>
  <c r="BV631" i="6"/>
  <c r="BW631" i="6"/>
  <c r="BX631" i="6"/>
  <c r="BY631" i="6"/>
  <c r="CE367" i="6"/>
  <c r="BJ632" i="6"/>
  <c r="BK632" i="6"/>
  <c r="BD632" i="6" s="1"/>
  <c r="BL632" i="6"/>
  <c r="BE632" i="6" s="1"/>
  <c r="BQ632" i="6"/>
  <c r="BR632" i="6"/>
  <c r="BS632" i="6"/>
  <c r="BU632" i="6"/>
  <c r="BV632" i="6"/>
  <c r="BW632" i="6"/>
  <c r="BX632" i="6"/>
  <c r="BY632" i="6"/>
  <c r="CE368" i="6"/>
  <c r="BJ477" i="6"/>
  <c r="BK477" i="6"/>
  <c r="BD477" i="6" s="1"/>
  <c r="BL477" i="6"/>
  <c r="BE477" i="6" s="1"/>
  <c r="BQ477" i="6"/>
  <c r="BR477" i="6"/>
  <c r="BS477" i="6"/>
  <c r="BU477" i="6"/>
  <c r="BV477" i="6"/>
  <c r="BW477" i="6"/>
  <c r="BX477" i="6"/>
  <c r="BY477" i="6"/>
  <c r="CE597" i="6"/>
  <c r="BJ478" i="6"/>
  <c r="BK478" i="6"/>
  <c r="BD478" i="6" s="1"/>
  <c r="BL478" i="6"/>
  <c r="BE478" i="6" s="1"/>
  <c r="BQ478" i="6"/>
  <c r="BR478" i="6"/>
  <c r="BS478" i="6"/>
  <c r="BU478" i="6"/>
  <c r="BV478" i="6"/>
  <c r="BW478" i="6"/>
  <c r="BX478" i="6"/>
  <c r="BY478" i="6"/>
  <c r="CE598" i="6"/>
  <c r="BJ479" i="6"/>
  <c r="BK479" i="6"/>
  <c r="BD479" i="6" s="1"/>
  <c r="BL479" i="6"/>
  <c r="BE479" i="6" s="1"/>
  <c r="BQ479" i="6"/>
  <c r="BR479" i="6"/>
  <c r="BS479" i="6"/>
  <c r="BU479" i="6"/>
  <c r="BV479" i="6"/>
  <c r="BW479" i="6"/>
  <c r="BX479" i="6"/>
  <c r="BY479" i="6"/>
  <c r="CE599" i="6"/>
  <c r="BJ480" i="6"/>
  <c r="BK480" i="6"/>
  <c r="BD480" i="6" s="1"/>
  <c r="BL480" i="6"/>
  <c r="BE480" i="6" s="1"/>
  <c r="BQ480" i="6"/>
  <c r="BR480" i="6"/>
  <c r="BS480" i="6"/>
  <c r="BU480" i="6"/>
  <c r="BV480" i="6"/>
  <c r="BW480" i="6"/>
  <c r="BX480" i="6"/>
  <c r="BY480" i="6"/>
  <c r="CE600" i="6"/>
  <c r="BJ481" i="6"/>
  <c r="BK481" i="6"/>
  <c r="BD481" i="6" s="1"/>
  <c r="BL481" i="6"/>
  <c r="BE481" i="6" s="1"/>
  <c r="BQ481" i="6"/>
  <c r="BR481" i="6"/>
  <c r="BS481" i="6"/>
  <c r="BU481" i="6"/>
  <c r="BV481" i="6"/>
  <c r="BW481" i="6"/>
  <c r="BX481" i="6"/>
  <c r="BY481" i="6"/>
  <c r="CE601" i="6"/>
  <c r="BJ482" i="6"/>
  <c r="BK482" i="6"/>
  <c r="BD482" i="6" s="1"/>
  <c r="BL482" i="6"/>
  <c r="BE482" i="6" s="1"/>
  <c r="BQ482" i="6"/>
  <c r="BR482" i="6"/>
  <c r="BS482" i="6"/>
  <c r="BU482" i="6"/>
  <c r="BV482" i="6"/>
  <c r="BW482" i="6"/>
  <c r="BX482" i="6"/>
  <c r="BY482" i="6"/>
  <c r="CE602" i="6"/>
  <c r="BJ483" i="6"/>
  <c r="BK483" i="6"/>
  <c r="BD483" i="6" s="1"/>
  <c r="BL483" i="6"/>
  <c r="BE483" i="6" s="1"/>
  <c r="BQ483" i="6"/>
  <c r="BR483" i="6"/>
  <c r="BS483" i="6"/>
  <c r="BU483" i="6"/>
  <c r="BV483" i="6"/>
  <c r="BW483" i="6"/>
  <c r="BX483" i="6"/>
  <c r="CE327" i="6"/>
  <c r="BJ484" i="6"/>
  <c r="BK484" i="6"/>
  <c r="BD484" i="6" s="1"/>
  <c r="BL484" i="6"/>
  <c r="BE484" i="6" s="1"/>
  <c r="BQ484" i="6"/>
  <c r="BR484" i="6"/>
  <c r="BS484" i="6"/>
  <c r="BU484" i="6"/>
  <c r="BV484" i="6"/>
  <c r="BW484" i="6"/>
  <c r="BX484" i="6"/>
  <c r="CE328" i="6"/>
  <c r="BJ485" i="6"/>
  <c r="BK485" i="6"/>
  <c r="BD485" i="6" s="1"/>
  <c r="BL485" i="6"/>
  <c r="BE485" i="6" s="1"/>
  <c r="BQ485" i="6"/>
  <c r="BR485" i="6"/>
  <c r="BS485" i="6"/>
  <c r="BU485" i="6"/>
  <c r="BV485" i="6"/>
  <c r="BW485" i="6"/>
  <c r="BX485" i="6"/>
  <c r="CE329" i="6"/>
  <c r="BK486" i="6"/>
  <c r="BD486" i="6" s="1"/>
  <c r="BW486" i="6"/>
  <c r="BJ486" i="6"/>
  <c r="BQ486" i="6"/>
  <c r="BR486" i="6"/>
  <c r="BS486" i="6"/>
  <c r="BU486" i="6"/>
  <c r="BV486" i="6"/>
  <c r="BX486" i="6"/>
  <c r="CE330" i="6"/>
  <c r="BJ487" i="6"/>
  <c r="BK487" i="6"/>
  <c r="BD487" i="6" s="1"/>
  <c r="BL487" i="6"/>
  <c r="BE487" i="6" s="1"/>
  <c r="BQ487" i="6"/>
  <c r="BR487" i="6"/>
  <c r="BS487" i="6"/>
  <c r="BU487" i="6"/>
  <c r="BV487" i="6"/>
  <c r="BW487" i="6"/>
  <c r="BX487" i="6"/>
  <c r="CE331" i="6"/>
  <c r="BJ488" i="6"/>
  <c r="BK488" i="6"/>
  <c r="BD488" i="6" s="1"/>
  <c r="BL488" i="6"/>
  <c r="BE488" i="6" s="1"/>
  <c r="BQ488" i="6"/>
  <c r="BR488" i="6"/>
  <c r="BS488" i="6"/>
  <c r="BU488" i="6"/>
  <c r="BV488" i="6"/>
  <c r="BW488" i="6"/>
  <c r="BX488" i="6"/>
  <c r="CE332" i="6"/>
  <c r="BJ489" i="6"/>
  <c r="BK489" i="6"/>
  <c r="BD489" i="6" s="1"/>
  <c r="BL489" i="6"/>
  <c r="BE489" i="6" s="1"/>
  <c r="BQ489" i="6"/>
  <c r="BR489" i="6"/>
  <c r="BS489" i="6"/>
  <c r="BU489" i="6"/>
  <c r="BV489" i="6"/>
  <c r="BW489" i="6"/>
  <c r="BX489" i="6"/>
  <c r="BY489" i="6"/>
  <c r="CE507" i="6"/>
  <c r="BJ490" i="6"/>
  <c r="BK490" i="6"/>
  <c r="BD490" i="6" s="1"/>
  <c r="BL490" i="6"/>
  <c r="BE490" i="6" s="1"/>
  <c r="BQ490" i="6"/>
  <c r="BR490" i="6"/>
  <c r="BS490" i="6"/>
  <c r="BU490" i="6"/>
  <c r="BV490" i="6"/>
  <c r="BW490" i="6"/>
  <c r="BX490" i="6"/>
  <c r="BY490" i="6"/>
  <c r="CE508" i="6"/>
  <c r="BJ491" i="6"/>
  <c r="BK491" i="6"/>
  <c r="BD491" i="6" s="1"/>
  <c r="BL491" i="6"/>
  <c r="BE491" i="6" s="1"/>
  <c r="BQ491" i="6"/>
  <c r="BR491" i="6"/>
  <c r="BS491" i="6"/>
  <c r="BU491" i="6"/>
  <c r="BV491" i="6"/>
  <c r="BW491" i="6"/>
  <c r="BX491" i="6"/>
  <c r="BY491" i="6"/>
  <c r="CE509" i="6"/>
  <c r="BJ492" i="6"/>
  <c r="BK492" i="6"/>
  <c r="BD492" i="6" s="1"/>
  <c r="BL492" i="6"/>
  <c r="BE492" i="6" s="1"/>
  <c r="BQ492" i="6"/>
  <c r="BR492" i="6"/>
  <c r="BS492" i="6"/>
  <c r="BU492" i="6"/>
  <c r="BV492" i="6"/>
  <c r="BW492" i="6"/>
  <c r="BX492" i="6"/>
  <c r="BY492" i="6"/>
  <c r="CE510" i="6"/>
  <c r="BJ493" i="6"/>
  <c r="BK493" i="6"/>
  <c r="BD493" i="6" s="1"/>
  <c r="BL493" i="6"/>
  <c r="BE493" i="6" s="1"/>
  <c r="BQ493" i="6"/>
  <c r="BR493" i="6"/>
  <c r="BS493" i="6"/>
  <c r="BU493" i="6"/>
  <c r="BV493" i="6"/>
  <c r="BW493" i="6"/>
  <c r="BX493" i="6"/>
  <c r="BY493" i="6"/>
  <c r="CE511" i="6"/>
  <c r="BJ494" i="6"/>
  <c r="BK494" i="6"/>
  <c r="BD494" i="6" s="1"/>
  <c r="BL494" i="6"/>
  <c r="BE494" i="6" s="1"/>
  <c r="BQ494" i="6"/>
  <c r="BR494" i="6"/>
  <c r="BS494" i="6"/>
  <c r="BU494" i="6"/>
  <c r="BV494" i="6"/>
  <c r="BW494" i="6"/>
  <c r="BX494" i="6"/>
  <c r="BY494" i="6"/>
  <c r="CE512" i="6"/>
  <c r="BJ495" i="6"/>
  <c r="BK495" i="6"/>
  <c r="BD495" i="6" s="1"/>
  <c r="BL495" i="6"/>
  <c r="BE495" i="6" s="1"/>
  <c r="BQ495" i="6"/>
  <c r="BR495" i="6"/>
  <c r="BS495" i="6"/>
  <c r="BU495" i="6"/>
  <c r="BV495" i="6"/>
  <c r="BW495" i="6"/>
  <c r="BX495" i="6"/>
  <c r="BY495" i="6"/>
  <c r="CE399" i="6"/>
  <c r="BJ496" i="6"/>
  <c r="BK496" i="6"/>
  <c r="BD496" i="6" s="1"/>
  <c r="BL496" i="6"/>
  <c r="BE496" i="6" s="1"/>
  <c r="BQ496" i="6"/>
  <c r="BR496" i="6"/>
  <c r="BS496" i="6"/>
  <c r="BU496" i="6"/>
  <c r="BV496" i="6"/>
  <c r="BW496" i="6"/>
  <c r="BX496" i="6"/>
  <c r="BY496" i="6"/>
  <c r="CE400" i="6"/>
  <c r="BJ497" i="6"/>
  <c r="BK497" i="6"/>
  <c r="BD497" i="6" s="1"/>
  <c r="BL497" i="6"/>
  <c r="BE497" i="6" s="1"/>
  <c r="BQ497" i="6"/>
  <c r="BR497" i="6"/>
  <c r="BS497" i="6"/>
  <c r="BU497" i="6"/>
  <c r="BV497" i="6"/>
  <c r="BW497" i="6"/>
  <c r="BX497" i="6"/>
  <c r="BY497" i="6"/>
  <c r="CE401" i="6"/>
  <c r="BJ498" i="6"/>
  <c r="BK498" i="6"/>
  <c r="BD498" i="6" s="1"/>
  <c r="BL498" i="6"/>
  <c r="BE498" i="6" s="1"/>
  <c r="BQ498" i="6"/>
  <c r="BR498" i="6"/>
  <c r="BS498" i="6"/>
  <c r="BU498" i="6"/>
  <c r="BV498" i="6"/>
  <c r="BW498" i="6"/>
  <c r="BX498" i="6"/>
  <c r="BY498" i="6"/>
  <c r="CE402" i="6"/>
  <c r="BJ499" i="6"/>
  <c r="BK499" i="6"/>
  <c r="BD499" i="6" s="1"/>
  <c r="BL499" i="6"/>
  <c r="BE499" i="6" s="1"/>
  <c r="BQ499" i="6"/>
  <c r="BR499" i="6"/>
  <c r="BS499" i="6"/>
  <c r="BU499" i="6"/>
  <c r="BV499" i="6"/>
  <c r="BW499" i="6"/>
  <c r="BX499" i="6"/>
  <c r="BY499" i="6"/>
  <c r="CE403" i="6"/>
  <c r="BJ500" i="6"/>
  <c r="BK500" i="6"/>
  <c r="BD500" i="6" s="1"/>
  <c r="BL500" i="6"/>
  <c r="BE500" i="6" s="1"/>
  <c r="BQ500" i="6"/>
  <c r="BR500" i="6"/>
  <c r="BS500" i="6"/>
  <c r="BU500" i="6"/>
  <c r="BV500" i="6"/>
  <c r="BW500" i="6"/>
  <c r="BX500" i="6"/>
  <c r="BY500" i="6"/>
  <c r="CE404" i="6"/>
  <c r="BJ363" i="6"/>
  <c r="BK363" i="6"/>
  <c r="BD363" i="6" s="1"/>
  <c r="BL363" i="6"/>
  <c r="BE363" i="6" s="1"/>
  <c r="BQ363" i="6"/>
  <c r="BR363" i="6"/>
  <c r="BS363" i="6"/>
  <c r="BU363" i="6"/>
  <c r="BV363" i="6"/>
  <c r="BW363" i="6"/>
  <c r="BX363" i="6"/>
  <c r="BY363" i="6"/>
  <c r="CE405" i="6"/>
  <c r="BJ364" i="6"/>
  <c r="BK364" i="6"/>
  <c r="BD364" i="6" s="1"/>
  <c r="BL364" i="6"/>
  <c r="BE364" i="6" s="1"/>
  <c r="BQ364" i="6"/>
  <c r="BR364" i="6"/>
  <c r="BS364" i="6"/>
  <c r="BU364" i="6"/>
  <c r="BV364" i="6"/>
  <c r="BW364" i="6"/>
  <c r="BX364" i="6"/>
  <c r="BY364" i="6"/>
  <c r="CE406" i="6"/>
  <c r="BJ365" i="6"/>
  <c r="BK365" i="6"/>
  <c r="BD365" i="6" s="1"/>
  <c r="BL365" i="6"/>
  <c r="BE365" i="6" s="1"/>
  <c r="BQ365" i="6"/>
  <c r="BR365" i="6"/>
  <c r="BS365" i="6"/>
  <c r="BU365" i="6"/>
  <c r="BV365" i="6"/>
  <c r="BW365" i="6"/>
  <c r="BX365" i="6"/>
  <c r="BY365" i="6"/>
  <c r="CE407" i="6"/>
  <c r="BJ366" i="6"/>
  <c r="BK366" i="6"/>
  <c r="BD366" i="6" s="1"/>
  <c r="BL366" i="6"/>
  <c r="BE366" i="6" s="1"/>
  <c r="BQ366" i="6"/>
  <c r="BR366" i="6"/>
  <c r="BS366" i="6"/>
  <c r="BU366" i="6"/>
  <c r="BV366" i="6"/>
  <c r="BW366" i="6"/>
  <c r="BX366" i="6"/>
  <c r="BY366" i="6"/>
  <c r="CE408" i="6"/>
  <c r="BJ367" i="6"/>
  <c r="BK367" i="6"/>
  <c r="BD367" i="6" s="1"/>
  <c r="BL367" i="6"/>
  <c r="BE367" i="6" s="1"/>
  <c r="BQ367" i="6"/>
  <c r="BR367" i="6"/>
  <c r="BS367" i="6"/>
  <c r="BU367" i="6"/>
  <c r="BV367" i="6"/>
  <c r="BW367" i="6"/>
  <c r="BX367" i="6"/>
  <c r="BY367" i="6"/>
  <c r="CE409" i="6"/>
  <c r="BJ368" i="6"/>
  <c r="BK368" i="6"/>
  <c r="BD368" i="6" s="1"/>
  <c r="BL368" i="6"/>
  <c r="BE368" i="6" s="1"/>
  <c r="BQ368" i="6"/>
  <c r="BR368" i="6"/>
  <c r="BS368" i="6"/>
  <c r="BU368" i="6"/>
  <c r="BV368" i="6"/>
  <c r="BW368" i="6"/>
  <c r="BX368" i="6"/>
  <c r="BY368" i="6"/>
  <c r="CE410" i="6"/>
  <c r="BJ597" i="6"/>
  <c r="BK597" i="6"/>
  <c r="BD597" i="6" s="1"/>
  <c r="BL597" i="6"/>
  <c r="BE597" i="6" s="1"/>
  <c r="BQ597" i="6"/>
  <c r="BR597" i="6"/>
  <c r="BS597" i="6"/>
  <c r="BU597" i="6"/>
  <c r="BV597" i="6"/>
  <c r="BW597" i="6"/>
  <c r="BX597" i="6"/>
  <c r="BY597" i="6"/>
  <c r="CE513" i="6"/>
  <c r="BJ598" i="6"/>
  <c r="BK598" i="6"/>
  <c r="BD598" i="6" s="1"/>
  <c r="BL598" i="6"/>
  <c r="BE598" i="6" s="1"/>
  <c r="BQ598" i="6"/>
  <c r="BR598" i="6"/>
  <c r="BS598" i="6"/>
  <c r="BU598" i="6"/>
  <c r="BV598" i="6"/>
  <c r="BW598" i="6"/>
  <c r="BX598" i="6"/>
  <c r="BY598" i="6"/>
  <c r="CE514" i="6"/>
  <c r="BJ599" i="6"/>
  <c r="BK599" i="6"/>
  <c r="BD599" i="6" s="1"/>
  <c r="BL599" i="6"/>
  <c r="BE599" i="6" s="1"/>
  <c r="BQ599" i="6"/>
  <c r="BR599" i="6"/>
  <c r="BS599" i="6"/>
  <c r="BU599" i="6"/>
  <c r="BV599" i="6"/>
  <c r="BW599" i="6"/>
  <c r="BX599" i="6"/>
  <c r="BY599" i="6"/>
  <c r="CE515" i="6"/>
  <c r="BJ600" i="6"/>
  <c r="BK600" i="6"/>
  <c r="BD600" i="6" s="1"/>
  <c r="BL600" i="6"/>
  <c r="BE600" i="6" s="1"/>
  <c r="BQ600" i="6"/>
  <c r="BR600" i="6"/>
  <c r="BS600" i="6"/>
  <c r="BU600" i="6"/>
  <c r="BV600" i="6"/>
  <c r="BW600" i="6"/>
  <c r="BX600" i="6"/>
  <c r="BY600" i="6"/>
  <c r="CE516" i="6"/>
  <c r="BJ601" i="6"/>
  <c r="BK601" i="6"/>
  <c r="BD601" i="6" s="1"/>
  <c r="BL601" i="6"/>
  <c r="BE601" i="6" s="1"/>
  <c r="BQ601" i="6"/>
  <c r="BR601" i="6"/>
  <c r="BS601" i="6"/>
  <c r="BU601" i="6"/>
  <c r="BV601" i="6"/>
  <c r="BW601" i="6"/>
  <c r="BX601" i="6"/>
  <c r="BY601" i="6"/>
  <c r="CE517" i="6"/>
  <c r="BJ602" i="6"/>
  <c r="BK602" i="6"/>
  <c r="BD602" i="6" s="1"/>
  <c r="BL602" i="6"/>
  <c r="BE602" i="6" s="1"/>
  <c r="BQ602" i="6"/>
  <c r="BR602" i="6"/>
  <c r="BS602" i="6"/>
  <c r="BU602" i="6"/>
  <c r="BV602" i="6"/>
  <c r="BW602" i="6"/>
  <c r="BX602" i="6"/>
  <c r="BY602" i="6"/>
  <c r="CE518" i="6"/>
  <c r="BJ327" i="6"/>
  <c r="BK327" i="6"/>
  <c r="BD327" i="6" s="1"/>
  <c r="BL327" i="6"/>
  <c r="BE327" i="6" s="1"/>
  <c r="BQ327" i="6"/>
  <c r="BR327" i="6"/>
  <c r="BS327" i="6"/>
  <c r="BU327" i="6"/>
  <c r="BV327" i="6"/>
  <c r="BW327" i="6"/>
  <c r="BX327" i="6"/>
  <c r="BY327" i="6"/>
  <c r="CE603" i="6"/>
  <c r="BJ328" i="6"/>
  <c r="BK328" i="6"/>
  <c r="BD328" i="6" s="1"/>
  <c r="BL328" i="6"/>
  <c r="BE328" i="6" s="1"/>
  <c r="BQ328" i="6"/>
  <c r="BR328" i="6"/>
  <c r="BS328" i="6"/>
  <c r="BU328" i="6"/>
  <c r="BV328" i="6"/>
  <c r="BW328" i="6"/>
  <c r="BX328" i="6"/>
  <c r="BY328" i="6"/>
  <c r="CE604" i="6"/>
  <c r="BJ329" i="6"/>
  <c r="BK329" i="6"/>
  <c r="BD329" i="6" s="1"/>
  <c r="BL329" i="6"/>
  <c r="BE329" i="6" s="1"/>
  <c r="BQ329" i="6"/>
  <c r="BR329" i="6"/>
  <c r="BS329" i="6"/>
  <c r="BU329" i="6"/>
  <c r="BV329" i="6"/>
  <c r="BW329" i="6"/>
  <c r="BX329" i="6"/>
  <c r="BY329" i="6"/>
  <c r="CE605" i="6"/>
  <c r="BJ330" i="6"/>
  <c r="BK330" i="6"/>
  <c r="BD330" i="6" s="1"/>
  <c r="BL330" i="6"/>
  <c r="BE330" i="6" s="1"/>
  <c r="BQ330" i="6"/>
  <c r="BR330" i="6"/>
  <c r="BS330" i="6"/>
  <c r="BU330" i="6"/>
  <c r="BV330" i="6"/>
  <c r="BW330" i="6"/>
  <c r="BX330" i="6"/>
  <c r="BY330" i="6"/>
  <c r="CE606" i="6"/>
  <c r="BJ331" i="6"/>
  <c r="BK331" i="6"/>
  <c r="BD331" i="6" s="1"/>
  <c r="BL331" i="6"/>
  <c r="BE331" i="6" s="1"/>
  <c r="BQ331" i="6"/>
  <c r="BR331" i="6"/>
  <c r="BS331" i="6"/>
  <c r="BU331" i="6"/>
  <c r="BV331" i="6"/>
  <c r="BW331" i="6"/>
  <c r="BX331" i="6"/>
  <c r="BY331" i="6"/>
  <c r="CE607" i="6"/>
  <c r="BJ332" i="6"/>
  <c r="BK332" i="6"/>
  <c r="BD332" i="6" s="1"/>
  <c r="BL332" i="6"/>
  <c r="BE332" i="6" s="1"/>
  <c r="BQ332" i="6"/>
  <c r="BR332" i="6"/>
  <c r="BS332" i="6"/>
  <c r="BU332" i="6"/>
  <c r="BV332" i="6"/>
  <c r="BW332" i="6"/>
  <c r="BX332" i="6"/>
  <c r="BY332" i="6"/>
  <c r="CE608" i="6"/>
  <c r="BJ507" i="6"/>
  <c r="BK507" i="6"/>
  <c r="BD507" i="6" s="1"/>
  <c r="BL507" i="6"/>
  <c r="BE507" i="6" s="1"/>
  <c r="BQ507" i="6"/>
  <c r="BR507" i="6"/>
  <c r="BS507" i="6"/>
  <c r="BU507" i="6"/>
  <c r="BV507" i="6"/>
  <c r="BW507" i="6"/>
  <c r="BX507" i="6"/>
  <c r="BY507" i="6"/>
  <c r="CE555" i="6"/>
  <c r="BJ508" i="6"/>
  <c r="BK508" i="6"/>
  <c r="BD508" i="6" s="1"/>
  <c r="BL508" i="6"/>
  <c r="BE508" i="6" s="1"/>
  <c r="BQ508" i="6"/>
  <c r="BR508" i="6"/>
  <c r="BS508" i="6"/>
  <c r="BU508" i="6"/>
  <c r="BV508" i="6"/>
  <c r="BW508" i="6"/>
  <c r="BX508" i="6"/>
  <c r="BY508" i="6"/>
  <c r="CE556" i="6"/>
  <c r="BJ509" i="6"/>
  <c r="BK509" i="6"/>
  <c r="BD509" i="6" s="1"/>
  <c r="BL509" i="6"/>
  <c r="BE509" i="6" s="1"/>
  <c r="BQ509" i="6"/>
  <c r="BR509" i="6"/>
  <c r="BS509" i="6"/>
  <c r="BU509" i="6"/>
  <c r="BV509" i="6"/>
  <c r="BW509" i="6"/>
  <c r="BX509" i="6"/>
  <c r="BY509" i="6"/>
  <c r="CE557" i="6"/>
  <c r="BJ510" i="6"/>
  <c r="BK510" i="6"/>
  <c r="BD510" i="6" s="1"/>
  <c r="BL510" i="6"/>
  <c r="BE510" i="6" s="1"/>
  <c r="BQ510" i="6"/>
  <c r="BR510" i="6"/>
  <c r="BS510" i="6"/>
  <c r="BU510" i="6"/>
  <c r="BV510" i="6"/>
  <c r="BW510" i="6"/>
  <c r="BX510" i="6"/>
  <c r="BY510" i="6"/>
  <c r="CE558" i="6"/>
  <c r="BJ511" i="6"/>
  <c r="BK511" i="6"/>
  <c r="BD511" i="6" s="1"/>
  <c r="BL511" i="6"/>
  <c r="BE511" i="6" s="1"/>
  <c r="BQ511" i="6"/>
  <c r="BR511" i="6"/>
  <c r="BS511" i="6"/>
  <c r="BU511" i="6"/>
  <c r="BV511" i="6"/>
  <c r="BW511" i="6"/>
  <c r="BX511" i="6"/>
  <c r="BY511" i="6"/>
  <c r="CE559" i="6"/>
  <c r="BJ512" i="6"/>
  <c r="BK512" i="6"/>
  <c r="BD512" i="6" s="1"/>
  <c r="BL512" i="6"/>
  <c r="BE512" i="6" s="1"/>
  <c r="BQ512" i="6"/>
  <c r="BR512" i="6"/>
  <c r="BS512" i="6"/>
  <c r="BU512" i="6"/>
  <c r="BV512" i="6"/>
  <c r="BW512" i="6"/>
  <c r="BX512" i="6"/>
  <c r="BY512" i="6"/>
  <c r="CE560" i="6"/>
  <c r="BJ399" i="6"/>
  <c r="BK399" i="6"/>
  <c r="BD399" i="6" s="1"/>
  <c r="BL399" i="6"/>
  <c r="BE399" i="6" s="1"/>
  <c r="BQ399" i="6"/>
  <c r="BR399" i="6"/>
  <c r="BS399" i="6"/>
  <c r="BU399" i="6"/>
  <c r="BV399" i="6"/>
  <c r="BW399" i="6"/>
  <c r="BX399" i="6"/>
  <c r="BY399" i="6"/>
  <c r="CE369" i="6"/>
  <c r="BJ400" i="6"/>
  <c r="BK400" i="6"/>
  <c r="BD400" i="6" s="1"/>
  <c r="BL400" i="6"/>
  <c r="BE400" i="6" s="1"/>
  <c r="BQ400" i="6"/>
  <c r="BR400" i="6"/>
  <c r="BS400" i="6"/>
  <c r="BU400" i="6"/>
  <c r="BV400" i="6"/>
  <c r="BW400" i="6"/>
  <c r="BX400" i="6"/>
  <c r="BY400" i="6"/>
  <c r="CE370" i="6"/>
  <c r="BJ401" i="6"/>
  <c r="BK401" i="6"/>
  <c r="BD401" i="6" s="1"/>
  <c r="BL401" i="6"/>
  <c r="BE401" i="6" s="1"/>
  <c r="BQ401" i="6"/>
  <c r="BR401" i="6"/>
  <c r="BS401" i="6"/>
  <c r="BU401" i="6"/>
  <c r="BV401" i="6"/>
  <c r="BW401" i="6"/>
  <c r="BX401" i="6"/>
  <c r="BY401" i="6"/>
  <c r="CE371" i="6"/>
  <c r="BJ402" i="6"/>
  <c r="BK402" i="6"/>
  <c r="BD402" i="6" s="1"/>
  <c r="BL402" i="6"/>
  <c r="BE402" i="6" s="1"/>
  <c r="BQ402" i="6"/>
  <c r="BR402" i="6"/>
  <c r="BS402" i="6"/>
  <c r="BU402" i="6"/>
  <c r="BV402" i="6"/>
  <c r="BW402" i="6"/>
  <c r="BX402" i="6"/>
  <c r="BY402" i="6"/>
  <c r="CE372" i="6"/>
  <c r="BJ403" i="6"/>
  <c r="BK403" i="6"/>
  <c r="BD403" i="6" s="1"/>
  <c r="BL403" i="6"/>
  <c r="BE403" i="6" s="1"/>
  <c r="BQ403" i="6"/>
  <c r="BR403" i="6"/>
  <c r="BS403" i="6"/>
  <c r="BU403" i="6"/>
  <c r="BV403" i="6"/>
  <c r="BW403" i="6"/>
  <c r="BX403" i="6"/>
  <c r="BY403" i="6"/>
  <c r="CE373" i="6"/>
  <c r="BJ404" i="6"/>
  <c r="BK404" i="6"/>
  <c r="BD404" i="6" s="1"/>
  <c r="BL404" i="6"/>
  <c r="BE404" i="6" s="1"/>
  <c r="BQ404" i="6"/>
  <c r="BR404" i="6"/>
  <c r="BS404" i="6"/>
  <c r="BU404" i="6"/>
  <c r="BV404" i="6"/>
  <c r="BW404" i="6"/>
  <c r="BX404" i="6"/>
  <c r="BY404" i="6"/>
  <c r="CE374" i="6"/>
  <c r="BJ405" i="6"/>
  <c r="BK405" i="6"/>
  <c r="BD405" i="6" s="1"/>
  <c r="BL405" i="6"/>
  <c r="BE405" i="6" s="1"/>
  <c r="BQ405" i="6"/>
  <c r="BR405" i="6"/>
  <c r="BS405" i="6"/>
  <c r="BU405" i="6"/>
  <c r="BV405" i="6"/>
  <c r="BW405" i="6"/>
  <c r="BX405" i="6"/>
  <c r="BY405" i="6"/>
  <c r="CE609" i="6"/>
  <c r="BJ406" i="6"/>
  <c r="BK406" i="6"/>
  <c r="BD406" i="6" s="1"/>
  <c r="BL406" i="6"/>
  <c r="BE406" i="6" s="1"/>
  <c r="BQ406" i="6"/>
  <c r="BR406" i="6"/>
  <c r="BS406" i="6"/>
  <c r="BU406" i="6"/>
  <c r="BV406" i="6"/>
  <c r="BW406" i="6"/>
  <c r="BX406" i="6"/>
  <c r="BY406" i="6"/>
  <c r="CE610" i="6"/>
  <c r="BJ407" i="6"/>
  <c r="BK407" i="6"/>
  <c r="BD407" i="6" s="1"/>
  <c r="BL407" i="6"/>
  <c r="BE407" i="6" s="1"/>
  <c r="BQ407" i="6"/>
  <c r="BR407" i="6"/>
  <c r="BS407" i="6"/>
  <c r="BU407" i="6"/>
  <c r="BV407" i="6"/>
  <c r="BW407" i="6"/>
  <c r="BX407" i="6"/>
  <c r="BY407" i="6"/>
  <c r="CE611" i="6"/>
  <c r="BJ408" i="6"/>
  <c r="BK408" i="6"/>
  <c r="BD408" i="6" s="1"/>
  <c r="BL408" i="6"/>
  <c r="BE408" i="6" s="1"/>
  <c r="BQ408" i="6"/>
  <c r="BR408" i="6"/>
  <c r="BS408" i="6"/>
  <c r="BU408" i="6"/>
  <c r="BV408" i="6"/>
  <c r="BW408" i="6"/>
  <c r="BX408" i="6"/>
  <c r="BY408" i="6"/>
  <c r="CE612" i="6"/>
  <c r="BJ409" i="6"/>
  <c r="BK409" i="6"/>
  <c r="BD409" i="6" s="1"/>
  <c r="BL409" i="6"/>
  <c r="BE409" i="6" s="1"/>
  <c r="BQ409" i="6"/>
  <c r="BR409" i="6"/>
  <c r="BS409" i="6"/>
  <c r="BU409" i="6"/>
  <c r="BV409" i="6"/>
  <c r="BW409" i="6"/>
  <c r="BX409" i="6"/>
  <c r="BY409" i="6"/>
  <c r="CE613" i="6"/>
  <c r="BJ410" i="6"/>
  <c r="BK410" i="6"/>
  <c r="BD410" i="6" s="1"/>
  <c r="BL410" i="6"/>
  <c r="BE410" i="6" s="1"/>
  <c r="BQ410" i="6"/>
  <c r="BR410" i="6"/>
  <c r="BS410" i="6"/>
  <c r="BU410" i="6"/>
  <c r="BV410" i="6"/>
  <c r="BW410" i="6"/>
  <c r="BX410" i="6"/>
  <c r="BY410" i="6"/>
  <c r="CE614" i="6"/>
  <c r="BJ513" i="6"/>
  <c r="BK513" i="6"/>
  <c r="BD513" i="6" s="1"/>
  <c r="BL513" i="6"/>
  <c r="BE513" i="6" s="1"/>
  <c r="BQ513" i="6"/>
  <c r="BR513" i="6"/>
  <c r="BS513" i="6"/>
  <c r="BU513" i="6"/>
  <c r="BV513" i="6"/>
  <c r="BW513" i="6"/>
  <c r="BX513" i="6"/>
  <c r="BY513" i="6"/>
  <c r="CE519" i="6"/>
  <c r="BJ514" i="6"/>
  <c r="BK514" i="6"/>
  <c r="BD514" i="6" s="1"/>
  <c r="BL514" i="6"/>
  <c r="BE514" i="6" s="1"/>
  <c r="BQ514" i="6"/>
  <c r="BR514" i="6"/>
  <c r="BS514" i="6"/>
  <c r="BU514" i="6"/>
  <c r="BV514" i="6"/>
  <c r="BW514" i="6"/>
  <c r="BX514" i="6"/>
  <c r="BY514" i="6"/>
  <c r="CE520" i="6"/>
  <c r="BJ515" i="6"/>
  <c r="BK515" i="6"/>
  <c r="BD515" i="6" s="1"/>
  <c r="BL515" i="6"/>
  <c r="BE515" i="6" s="1"/>
  <c r="BQ515" i="6"/>
  <c r="BR515" i="6"/>
  <c r="BS515" i="6"/>
  <c r="BU515" i="6"/>
  <c r="BV515" i="6"/>
  <c r="BW515" i="6"/>
  <c r="BX515" i="6"/>
  <c r="BY515" i="6"/>
  <c r="CE521" i="6"/>
  <c r="BJ516" i="6"/>
  <c r="BK516" i="6"/>
  <c r="BD516" i="6" s="1"/>
  <c r="BL516" i="6"/>
  <c r="BE516" i="6" s="1"/>
  <c r="BQ516" i="6"/>
  <c r="BR516" i="6"/>
  <c r="BS516" i="6"/>
  <c r="BU516" i="6"/>
  <c r="BV516" i="6"/>
  <c r="BW516" i="6"/>
  <c r="BX516" i="6"/>
  <c r="BY516" i="6"/>
  <c r="CE522" i="6"/>
  <c r="BJ517" i="6"/>
  <c r="BK517" i="6"/>
  <c r="BD517" i="6" s="1"/>
  <c r="BL517" i="6"/>
  <c r="BE517" i="6" s="1"/>
  <c r="BQ517" i="6"/>
  <c r="BR517" i="6"/>
  <c r="BS517" i="6"/>
  <c r="BU517" i="6"/>
  <c r="BV517" i="6"/>
  <c r="BW517" i="6"/>
  <c r="BX517" i="6"/>
  <c r="BY517" i="6"/>
  <c r="CE523" i="6"/>
  <c r="BJ518" i="6"/>
  <c r="BK518" i="6"/>
  <c r="BD518" i="6" s="1"/>
  <c r="BL518" i="6"/>
  <c r="BE518" i="6" s="1"/>
  <c r="BQ518" i="6"/>
  <c r="BR518" i="6"/>
  <c r="BS518" i="6"/>
  <c r="BU518" i="6"/>
  <c r="BV518" i="6"/>
  <c r="BW518" i="6"/>
  <c r="BX518" i="6"/>
  <c r="BY518" i="6"/>
  <c r="CE524" i="6"/>
  <c r="BJ603" i="6"/>
  <c r="BK603" i="6"/>
  <c r="BD603" i="6" s="1"/>
  <c r="BL603" i="6"/>
  <c r="BE603" i="6" s="1"/>
  <c r="BQ603" i="6"/>
  <c r="BR603" i="6"/>
  <c r="BS603" i="6"/>
  <c r="BU603" i="6"/>
  <c r="BV603" i="6"/>
  <c r="BW603" i="6"/>
  <c r="BX603" i="6"/>
  <c r="BY603" i="6"/>
  <c r="CE525" i="6"/>
  <c r="BJ604" i="6"/>
  <c r="BK604" i="6"/>
  <c r="BD604" i="6" s="1"/>
  <c r="BL604" i="6"/>
  <c r="BE604" i="6" s="1"/>
  <c r="BQ604" i="6"/>
  <c r="BR604" i="6"/>
  <c r="BS604" i="6"/>
  <c r="BU604" i="6"/>
  <c r="BV604" i="6"/>
  <c r="BW604" i="6"/>
  <c r="BX604" i="6"/>
  <c r="BY604" i="6"/>
  <c r="CE526" i="6"/>
  <c r="BJ605" i="6"/>
  <c r="BK605" i="6"/>
  <c r="BD605" i="6" s="1"/>
  <c r="BL605" i="6"/>
  <c r="BE605" i="6" s="1"/>
  <c r="BQ605" i="6"/>
  <c r="BR605" i="6"/>
  <c r="BS605" i="6"/>
  <c r="BU605" i="6"/>
  <c r="BV605" i="6"/>
  <c r="BW605" i="6"/>
  <c r="BX605" i="6"/>
  <c r="BY605" i="6"/>
  <c r="CE527" i="6"/>
  <c r="BK606" i="6"/>
  <c r="BD606" i="6" s="1"/>
  <c r="BJ606" i="6"/>
  <c r="BQ606" i="6"/>
  <c r="BR606" i="6"/>
  <c r="BS606" i="6"/>
  <c r="BU606" i="6"/>
  <c r="BV606" i="6"/>
  <c r="BW606" i="6"/>
  <c r="BX606" i="6"/>
  <c r="BY606" i="6"/>
  <c r="CE528" i="6"/>
  <c r="BJ607" i="6"/>
  <c r="BK607" i="6"/>
  <c r="BD607" i="6" s="1"/>
  <c r="BL607" i="6"/>
  <c r="BE607" i="6" s="1"/>
  <c r="BQ607" i="6"/>
  <c r="BR607" i="6"/>
  <c r="BS607" i="6"/>
  <c r="BU607" i="6"/>
  <c r="BV607" i="6"/>
  <c r="BW607" i="6"/>
  <c r="BX607" i="6"/>
  <c r="BY607" i="6"/>
  <c r="CE529" i="6"/>
  <c r="BJ608" i="6"/>
  <c r="BK608" i="6"/>
  <c r="BD608" i="6" s="1"/>
  <c r="BL608" i="6"/>
  <c r="BE608" i="6" s="1"/>
  <c r="BQ608" i="6"/>
  <c r="BR608" i="6"/>
  <c r="BS608" i="6"/>
  <c r="BU608" i="6"/>
  <c r="BV608" i="6"/>
  <c r="BW608" i="6"/>
  <c r="BX608" i="6"/>
  <c r="BY608" i="6"/>
  <c r="CE530" i="6"/>
  <c r="BJ555" i="6"/>
  <c r="BK555" i="6"/>
  <c r="BD555" i="6" s="1"/>
  <c r="BL555" i="6"/>
  <c r="BE555" i="6" s="1"/>
  <c r="BQ555" i="6"/>
  <c r="BR555" i="6"/>
  <c r="BS555" i="6"/>
  <c r="BU555" i="6"/>
  <c r="BV555" i="6"/>
  <c r="BW555" i="6"/>
  <c r="BX555" i="6"/>
  <c r="BY555" i="6"/>
  <c r="CE561" i="6"/>
  <c r="BJ556" i="6"/>
  <c r="BK556" i="6"/>
  <c r="BD556" i="6" s="1"/>
  <c r="BL556" i="6"/>
  <c r="BE556" i="6" s="1"/>
  <c r="BQ556" i="6"/>
  <c r="BR556" i="6"/>
  <c r="BS556" i="6"/>
  <c r="BU556" i="6"/>
  <c r="BV556" i="6"/>
  <c r="BW556" i="6"/>
  <c r="BX556" i="6"/>
  <c r="BY556" i="6"/>
  <c r="CE562" i="6"/>
  <c r="BJ557" i="6"/>
  <c r="BK557" i="6"/>
  <c r="BD557" i="6" s="1"/>
  <c r="BL557" i="6"/>
  <c r="BE557" i="6" s="1"/>
  <c r="BQ557" i="6"/>
  <c r="BR557" i="6"/>
  <c r="BS557" i="6"/>
  <c r="BU557" i="6"/>
  <c r="BV557" i="6"/>
  <c r="BW557" i="6"/>
  <c r="BX557" i="6"/>
  <c r="BY557" i="6"/>
  <c r="CE563" i="6"/>
  <c r="BJ558" i="6"/>
  <c r="BK558" i="6"/>
  <c r="BD558" i="6" s="1"/>
  <c r="BL558" i="6"/>
  <c r="BE558" i="6" s="1"/>
  <c r="BQ558" i="6"/>
  <c r="BR558" i="6"/>
  <c r="BS558" i="6"/>
  <c r="BU558" i="6"/>
  <c r="BV558" i="6"/>
  <c r="BW558" i="6"/>
  <c r="BX558" i="6"/>
  <c r="BY558" i="6"/>
  <c r="CE564" i="6"/>
  <c r="BJ559" i="6"/>
  <c r="BK559" i="6"/>
  <c r="BD559" i="6" s="1"/>
  <c r="BL559" i="6"/>
  <c r="BE559" i="6" s="1"/>
  <c r="BQ559" i="6"/>
  <c r="BR559" i="6"/>
  <c r="BS559" i="6"/>
  <c r="BU559" i="6"/>
  <c r="BV559" i="6"/>
  <c r="BW559" i="6"/>
  <c r="BX559" i="6"/>
  <c r="BY559" i="6"/>
  <c r="CE565" i="6"/>
  <c r="BJ560" i="6"/>
  <c r="BK560" i="6"/>
  <c r="BD560" i="6" s="1"/>
  <c r="BL560" i="6"/>
  <c r="BE560" i="6" s="1"/>
  <c r="BQ560" i="6"/>
  <c r="BR560" i="6"/>
  <c r="BS560" i="6"/>
  <c r="BU560" i="6"/>
  <c r="BV560" i="6"/>
  <c r="BW560" i="6"/>
  <c r="BX560" i="6"/>
  <c r="BY560" i="6"/>
  <c r="CE566" i="6"/>
  <c r="BJ369" i="6"/>
  <c r="BK369" i="6"/>
  <c r="BD369" i="6" s="1"/>
  <c r="BL369" i="6"/>
  <c r="BE369" i="6" s="1"/>
  <c r="BQ369" i="6"/>
  <c r="BR369" i="6"/>
  <c r="BS369" i="6"/>
  <c r="BU369" i="6"/>
  <c r="BV369" i="6"/>
  <c r="BW369" i="6"/>
  <c r="BX369" i="6"/>
  <c r="BY369" i="6"/>
  <c r="CE567" i="6"/>
  <c r="BJ370" i="6"/>
  <c r="BK370" i="6"/>
  <c r="BD370" i="6" s="1"/>
  <c r="BL370" i="6"/>
  <c r="BE370" i="6" s="1"/>
  <c r="BQ370" i="6"/>
  <c r="BR370" i="6"/>
  <c r="BS370" i="6"/>
  <c r="BU370" i="6"/>
  <c r="BV370" i="6"/>
  <c r="BW370" i="6"/>
  <c r="BX370" i="6"/>
  <c r="BY370" i="6"/>
  <c r="CE568" i="6"/>
  <c r="BJ371" i="6"/>
  <c r="BK371" i="6"/>
  <c r="BD371" i="6" s="1"/>
  <c r="BL371" i="6"/>
  <c r="BE371" i="6" s="1"/>
  <c r="BQ371" i="6"/>
  <c r="BR371" i="6"/>
  <c r="BS371" i="6"/>
  <c r="BU371" i="6"/>
  <c r="BV371" i="6"/>
  <c r="BW371" i="6"/>
  <c r="BX371" i="6"/>
  <c r="BY371" i="6"/>
  <c r="CE569" i="6"/>
  <c r="BJ372" i="6"/>
  <c r="BK372" i="6"/>
  <c r="BD372" i="6" s="1"/>
  <c r="BL372" i="6"/>
  <c r="BE372" i="6" s="1"/>
  <c r="BQ372" i="6"/>
  <c r="BR372" i="6"/>
  <c r="BS372" i="6"/>
  <c r="BU372" i="6"/>
  <c r="BV372" i="6"/>
  <c r="BW372" i="6"/>
  <c r="BX372" i="6"/>
  <c r="BY372" i="6"/>
  <c r="CE570" i="6"/>
  <c r="BJ373" i="6"/>
  <c r="BK373" i="6"/>
  <c r="BD373" i="6" s="1"/>
  <c r="BL373" i="6"/>
  <c r="BE373" i="6" s="1"/>
  <c r="BQ373" i="6"/>
  <c r="BR373" i="6"/>
  <c r="BS373" i="6"/>
  <c r="BU373" i="6"/>
  <c r="BV373" i="6"/>
  <c r="BW373" i="6"/>
  <c r="BX373" i="6"/>
  <c r="BY373" i="6"/>
  <c r="CE571" i="6"/>
  <c r="BJ374" i="6"/>
  <c r="BK374" i="6"/>
  <c r="BD374" i="6" s="1"/>
  <c r="BL374" i="6"/>
  <c r="BE374" i="6" s="1"/>
  <c r="BQ374" i="6"/>
  <c r="BR374" i="6"/>
  <c r="BS374" i="6"/>
  <c r="BU374" i="6"/>
  <c r="BV374" i="6"/>
  <c r="BW374" i="6"/>
  <c r="BX374" i="6"/>
  <c r="BY374" i="6"/>
  <c r="CE572" i="6"/>
  <c r="BJ609" i="6"/>
  <c r="BK609" i="6"/>
  <c r="BD609" i="6" s="1"/>
  <c r="BL609" i="6"/>
  <c r="BE609" i="6" s="1"/>
  <c r="BQ609" i="6"/>
  <c r="BR609" i="6"/>
  <c r="BS609" i="6"/>
  <c r="BU609" i="6"/>
  <c r="BV609" i="6"/>
  <c r="BW609" i="6"/>
  <c r="BX609" i="6"/>
  <c r="BY609" i="6"/>
  <c r="CE573" i="6"/>
  <c r="BJ610" i="6"/>
  <c r="BK610" i="6"/>
  <c r="BD610" i="6" s="1"/>
  <c r="BL610" i="6"/>
  <c r="BE610" i="6" s="1"/>
  <c r="BQ610" i="6"/>
  <c r="BR610" i="6"/>
  <c r="BS610" i="6"/>
  <c r="BU610" i="6"/>
  <c r="BV610" i="6"/>
  <c r="BW610" i="6"/>
  <c r="BX610" i="6"/>
  <c r="BY610" i="6"/>
  <c r="CE574" i="6"/>
  <c r="BJ611" i="6"/>
  <c r="BK611" i="6"/>
  <c r="BD611" i="6" s="1"/>
  <c r="BL611" i="6"/>
  <c r="BE611" i="6" s="1"/>
  <c r="BQ611" i="6"/>
  <c r="BR611" i="6"/>
  <c r="BS611" i="6"/>
  <c r="BU611" i="6"/>
  <c r="BV611" i="6"/>
  <c r="BW611" i="6"/>
  <c r="BX611" i="6"/>
  <c r="BY611" i="6"/>
  <c r="CE575" i="6"/>
  <c r="BJ612" i="6"/>
  <c r="BK612" i="6"/>
  <c r="BD612" i="6" s="1"/>
  <c r="BL612" i="6"/>
  <c r="BE612" i="6" s="1"/>
  <c r="BQ612" i="6"/>
  <c r="BR612" i="6"/>
  <c r="BS612" i="6"/>
  <c r="BU612" i="6"/>
  <c r="BV612" i="6"/>
  <c r="BW612" i="6"/>
  <c r="BX612" i="6"/>
  <c r="BY612" i="6"/>
  <c r="CE576" i="6"/>
  <c r="BJ613" i="6"/>
  <c r="BK613" i="6"/>
  <c r="BD613" i="6" s="1"/>
  <c r="BL613" i="6"/>
  <c r="BE613" i="6" s="1"/>
  <c r="BQ613" i="6"/>
  <c r="BR613" i="6"/>
  <c r="BS613" i="6"/>
  <c r="BU613" i="6"/>
  <c r="BV613" i="6"/>
  <c r="BW613" i="6"/>
  <c r="BX613" i="6"/>
  <c r="BY613" i="6"/>
  <c r="CE577" i="6"/>
  <c r="BJ614" i="6"/>
  <c r="BK614" i="6"/>
  <c r="BD614" i="6" s="1"/>
  <c r="BL614" i="6"/>
  <c r="BE614" i="6" s="1"/>
  <c r="BQ614" i="6"/>
  <c r="BR614" i="6"/>
  <c r="BS614" i="6"/>
  <c r="BU614" i="6"/>
  <c r="BV614" i="6"/>
  <c r="BW614" i="6"/>
  <c r="BX614" i="6"/>
  <c r="BY614" i="6"/>
  <c r="CE578" i="6"/>
  <c r="BJ519" i="6"/>
  <c r="BK519" i="6"/>
  <c r="BD519" i="6" s="1"/>
  <c r="BL519" i="6"/>
  <c r="BE519" i="6" s="1"/>
  <c r="BQ519" i="6"/>
  <c r="BR519" i="6"/>
  <c r="BS519" i="6"/>
  <c r="BU519" i="6"/>
  <c r="BV519" i="6"/>
  <c r="BW519" i="6"/>
  <c r="BX519" i="6"/>
  <c r="BY519" i="6"/>
  <c r="CE615" i="6"/>
  <c r="BJ520" i="6"/>
  <c r="BK520" i="6"/>
  <c r="BD520" i="6" s="1"/>
  <c r="BL520" i="6"/>
  <c r="BE520" i="6" s="1"/>
  <c r="BQ520" i="6"/>
  <c r="BR520" i="6"/>
  <c r="BS520" i="6"/>
  <c r="BU520" i="6"/>
  <c r="BV520" i="6"/>
  <c r="BW520" i="6"/>
  <c r="BX520" i="6"/>
  <c r="BY520" i="6"/>
  <c r="CE616" i="6"/>
  <c r="BJ521" i="6"/>
  <c r="BK521" i="6"/>
  <c r="BD521" i="6" s="1"/>
  <c r="BL521" i="6"/>
  <c r="BE521" i="6" s="1"/>
  <c r="BQ521" i="6"/>
  <c r="BR521" i="6"/>
  <c r="BS521" i="6"/>
  <c r="BU521" i="6"/>
  <c r="BV521" i="6"/>
  <c r="BW521" i="6"/>
  <c r="BX521" i="6"/>
  <c r="BY521" i="6"/>
  <c r="CE617" i="6"/>
  <c r="BK522" i="6"/>
  <c r="BD522" i="6" s="1"/>
  <c r="BJ522" i="6"/>
  <c r="BQ522" i="6"/>
  <c r="BR522" i="6"/>
  <c r="BS522" i="6"/>
  <c r="BU522" i="6"/>
  <c r="BV522" i="6"/>
  <c r="BW522" i="6"/>
  <c r="BX522" i="6"/>
  <c r="BY522" i="6"/>
  <c r="CE618" i="6"/>
  <c r="BJ523" i="6"/>
  <c r="BK523" i="6"/>
  <c r="BD523" i="6" s="1"/>
  <c r="BL523" i="6"/>
  <c r="BE523" i="6" s="1"/>
  <c r="BQ523" i="6"/>
  <c r="BR523" i="6"/>
  <c r="BS523" i="6"/>
  <c r="BU523" i="6"/>
  <c r="BV523" i="6"/>
  <c r="BW523" i="6"/>
  <c r="BX523" i="6"/>
  <c r="BY523" i="6"/>
  <c r="CE619" i="6"/>
  <c r="BJ524" i="6"/>
  <c r="BK524" i="6"/>
  <c r="BD524" i="6" s="1"/>
  <c r="BL524" i="6"/>
  <c r="BE524" i="6" s="1"/>
  <c r="BQ524" i="6"/>
  <c r="BR524" i="6"/>
  <c r="BS524" i="6"/>
  <c r="BU524" i="6"/>
  <c r="BV524" i="6"/>
  <c r="BW524" i="6"/>
  <c r="BX524" i="6"/>
  <c r="BY524" i="6"/>
  <c r="CE620" i="6"/>
  <c r="BJ525" i="6"/>
  <c r="BK525" i="6"/>
  <c r="BD525" i="6" s="1"/>
  <c r="BL525" i="6"/>
  <c r="BE525" i="6" s="1"/>
  <c r="BQ525" i="6"/>
  <c r="BR525" i="6"/>
  <c r="BS525" i="6"/>
  <c r="BU525" i="6"/>
  <c r="BV525" i="6"/>
  <c r="BW525" i="6"/>
  <c r="BX525" i="6"/>
  <c r="BY525" i="6"/>
  <c r="BJ526" i="6"/>
  <c r="BK526" i="6"/>
  <c r="BD526" i="6" s="1"/>
  <c r="BL526" i="6"/>
  <c r="BE526" i="6" s="1"/>
  <c r="BQ526" i="6"/>
  <c r="BR526" i="6"/>
  <c r="BS526" i="6"/>
  <c r="BU526" i="6"/>
  <c r="BV526" i="6"/>
  <c r="BW526" i="6"/>
  <c r="BX526" i="6"/>
  <c r="BY526" i="6"/>
  <c r="BJ527" i="6"/>
  <c r="BK527" i="6"/>
  <c r="BD527" i="6" s="1"/>
  <c r="BL527" i="6"/>
  <c r="BE527" i="6" s="1"/>
  <c r="BQ527" i="6"/>
  <c r="BR527" i="6"/>
  <c r="BS527" i="6"/>
  <c r="BU527" i="6"/>
  <c r="BV527" i="6"/>
  <c r="BW527" i="6"/>
  <c r="BX527" i="6"/>
  <c r="BY527" i="6"/>
  <c r="BJ528" i="6"/>
  <c r="BK528" i="6"/>
  <c r="BD528" i="6" s="1"/>
  <c r="BL528" i="6"/>
  <c r="BE528" i="6" s="1"/>
  <c r="BQ528" i="6"/>
  <c r="BR528" i="6"/>
  <c r="BS528" i="6"/>
  <c r="BU528" i="6"/>
  <c r="BV528" i="6"/>
  <c r="BW528" i="6"/>
  <c r="BX528" i="6"/>
  <c r="BY528" i="6"/>
  <c r="BJ529" i="6"/>
  <c r="BK529" i="6"/>
  <c r="BD529" i="6" s="1"/>
  <c r="BL529" i="6"/>
  <c r="BE529" i="6" s="1"/>
  <c r="BQ529" i="6"/>
  <c r="BR529" i="6"/>
  <c r="BS529" i="6"/>
  <c r="BU529" i="6"/>
  <c r="BV529" i="6"/>
  <c r="BW529" i="6"/>
  <c r="BX529" i="6"/>
  <c r="BY529" i="6"/>
  <c r="BJ530" i="6"/>
  <c r="BK530" i="6"/>
  <c r="BD530" i="6" s="1"/>
  <c r="BL530" i="6"/>
  <c r="BE530" i="6" s="1"/>
  <c r="BQ530" i="6"/>
  <c r="BR530" i="6"/>
  <c r="BS530" i="6"/>
  <c r="BU530" i="6"/>
  <c r="BV530" i="6"/>
  <c r="BW530" i="6"/>
  <c r="BX530" i="6"/>
  <c r="BY530" i="6"/>
  <c r="BJ561" i="6"/>
  <c r="BK561" i="6"/>
  <c r="BD561" i="6" s="1"/>
  <c r="BL561" i="6"/>
  <c r="BE561" i="6" s="1"/>
  <c r="BQ561" i="6"/>
  <c r="BR561" i="6"/>
  <c r="BS561" i="6"/>
  <c r="BU561" i="6"/>
  <c r="BV561" i="6"/>
  <c r="BW561" i="6"/>
  <c r="BX561" i="6"/>
  <c r="BY561" i="6"/>
  <c r="CE639" i="6"/>
  <c r="BJ562" i="6"/>
  <c r="BK562" i="6"/>
  <c r="BD562" i="6" s="1"/>
  <c r="BL562" i="6"/>
  <c r="BE562" i="6" s="1"/>
  <c r="BQ562" i="6"/>
  <c r="BR562" i="6"/>
  <c r="BS562" i="6"/>
  <c r="BU562" i="6"/>
  <c r="BV562" i="6"/>
  <c r="BW562" i="6"/>
  <c r="BX562" i="6"/>
  <c r="BY562" i="6"/>
  <c r="CE640" i="6"/>
  <c r="BJ563" i="6"/>
  <c r="BK563" i="6"/>
  <c r="BD563" i="6" s="1"/>
  <c r="BL563" i="6"/>
  <c r="BE563" i="6" s="1"/>
  <c r="BQ563" i="6"/>
  <c r="BR563" i="6"/>
  <c r="BS563" i="6"/>
  <c r="BU563" i="6"/>
  <c r="BV563" i="6"/>
  <c r="BW563" i="6"/>
  <c r="BX563" i="6"/>
  <c r="BY563" i="6"/>
  <c r="CE641" i="6"/>
  <c r="BJ564" i="6"/>
  <c r="BK564" i="6"/>
  <c r="BD564" i="6" s="1"/>
  <c r="BL564" i="6"/>
  <c r="BE564" i="6" s="1"/>
  <c r="BQ564" i="6"/>
  <c r="BR564" i="6"/>
  <c r="BS564" i="6"/>
  <c r="BU564" i="6"/>
  <c r="BV564" i="6"/>
  <c r="BW564" i="6"/>
  <c r="BX564" i="6"/>
  <c r="BY564" i="6"/>
  <c r="CE642" i="6"/>
  <c r="BJ565" i="6"/>
  <c r="BK565" i="6"/>
  <c r="BD565" i="6" s="1"/>
  <c r="BL565" i="6"/>
  <c r="BE565" i="6" s="1"/>
  <c r="BQ565" i="6"/>
  <c r="BR565" i="6"/>
  <c r="BS565" i="6"/>
  <c r="BU565" i="6"/>
  <c r="BV565" i="6"/>
  <c r="BW565" i="6"/>
  <c r="BX565" i="6"/>
  <c r="BY565" i="6"/>
  <c r="CE643" i="6"/>
  <c r="BJ566" i="6"/>
  <c r="BK566" i="6"/>
  <c r="BD566" i="6" s="1"/>
  <c r="BL566" i="6"/>
  <c r="BE566" i="6" s="1"/>
  <c r="BQ566" i="6"/>
  <c r="BR566" i="6"/>
  <c r="BS566" i="6"/>
  <c r="BU566" i="6"/>
  <c r="BV566" i="6"/>
  <c r="BW566" i="6"/>
  <c r="BX566" i="6"/>
  <c r="BY566" i="6"/>
  <c r="CE644" i="6"/>
  <c r="BJ567" i="6"/>
  <c r="BK567" i="6"/>
  <c r="BD567" i="6" s="1"/>
  <c r="BL567" i="6"/>
  <c r="BE567" i="6" s="1"/>
  <c r="BQ567" i="6"/>
  <c r="BR567" i="6"/>
  <c r="BS567" i="6"/>
  <c r="BU567" i="6"/>
  <c r="BV567" i="6"/>
  <c r="BW567" i="6"/>
  <c r="BX567" i="6"/>
  <c r="BY567" i="6"/>
  <c r="CE645" i="6"/>
  <c r="BJ568" i="6"/>
  <c r="BK568" i="6"/>
  <c r="BD568" i="6" s="1"/>
  <c r="BL568" i="6"/>
  <c r="BE568" i="6" s="1"/>
  <c r="BQ568" i="6"/>
  <c r="BR568" i="6"/>
  <c r="BS568" i="6"/>
  <c r="BU568" i="6"/>
  <c r="BV568" i="6"/>
  <c r="BW568" i="6"/>
  <c r="BX568" i="6"/>
  <c r="BY568" i="6"/>
  <c r="CE646" i="6"/>
  <c r="BJ569" i="6"/>
  <c r="BK569" i="6"/>
  <c r="BD569" i="6" s="1"/>
  <c r="BL569" i="6"/>
  <c r="BE569" i="6" s="1"/>
  <c r="BQ569" i="6"/>
  <c r="BR569" i="6"/>
  <c r="BS569" i="6"/>
  <c r="BU569" i="6"/>
  <c r="BV569" i="6"/>
  <c r="BW569" i="6"/>
  <c r="BX569" i="6"/>
  <c r="BY569" i="6"/>
  <c r="CE647" i="6"/>
  <c r="BJ570" i="6"/>
  <c r="BK570" i="6"/>
  <c r="BD570" i="6" s="1"/>
  <c r="BL570" i="6"/>
  <c r="BE570" i="6" s="1"/>
  <c r="BQ570" i="6"/>
  <c r="BR570" i="6"/>
  <c r="BS570" i="6"/>
  <c r="BU570" i="6"/>
  <c r="BV570" i="6"/>
  <c r="BW570" i="6"/>
  <c r="BX570" i="6"/>
  <c r="BY570" i="6"/>
  <c r="CE648" i="6"/>
  <c r="BJ571" i="6"/>
  <c r="BK571" i="6"/>
  <c r="BD571" i="6" s="1"/>
  <c r="BL571" i="6"/>
  <c r="BE571" i="6" s="1"/>
  <c r="BQ571" i="6"/>
  <c r="BR571" i="6"/>
  <c r="BS571" i="6"/>
  <c r="BU571" i="6"/>
  <c r="BV571" i="6"/>
  <c r="BW571" i="6"/>
  <c r="BX571" i="6"/>
  <c r="BY571" i="6"/>
  <c r="CE649" i="6"/>
  <c r="BJ572" i="6"/>
  <c r="BK572" i="6"/>
  <c r="BD572" i="6" s="1"/>
  <c r="BL572" i="6"/>
  <c r="BE572" i="6" s="1"/>
  <c r="BQ572" i="6"/>
  <c r="BR572" i="6"/>
  <c r="BS572" i="6"/>
  <c r="BU572" i="6"/>
  <c r="BV572" i="6"/>
  <c r="BW572" i="6"/>
  <c r="BX572" i="6"/>
  <c r="BY572" i="6"/>
  <c r="CE650" i="6"/>
  <c r="BJ573" i="6"/>
  <c r="BK573" i="6"/>
  <c r="BD573" i="6" s="1"/>
  <c r="BL573" i="6"/>
  <c r="BE573" i="6" s="1"/>
  <c r="BQ573" i="6"/>
  <c r="BR573" i="6"/>
  <c r="BS573" i="6"/>
  <c r="BU573" i="6"/>
  <c r="BV573" i="6"/>
  <c r="BW573" i="6"/>
  <c r="BX573" i="6"/>
  <c r="BY573" i="6"/>
  <c r="CE801" i="6"/>
  <c r="BJ574" i="6"/>
  <c r="BK574" i="6"/>
  <c r="BD574" i="6" s="1"/>
  <c r="BL574" i="6"/>
  <c r="BE574" i="6" s="1"/>
  <c r="BQ574" i="6"/>
  <c r="BR574" i="6"/>
  <c r="BS574" i="6"/>
  <c r="BU574" i="6"/>
  <c r="BV574" i="6"/>
  <c r="BW574" i="6"/>
  <c r="BX574" i="6"/>
  <c r="BY574" i="6"/>
  <c r="CE802" i="6"/>
  <c r="BJ575" i="6"/>
  <c r="BK575" i="6"/>
  <c r="BD575" i="6" s="1"/>
  <c r="BL575" i="6"/>
  <c r="BE575" i="6" s="1"/>
  <c r="BQ575" i="6"/>
  <c r="BR575" i="6"/>
  <c r="BS575" i="6"/>
  <c r="BU575" i="6"/>
  <c r="BV575" i="6"/>
  <c r="BW575" i="6"/>
  <c r="BX575" i="6"/>
  <c r="BY575" i="6"/>
  <c r="CE803" i="6"/>
  <c r="BJ576" i="6"/>
  <c r="BK576" i="6"/>
  <c r="BD576" i="6" s="1"/>
  <c r="BL576" i="6"/>
  <c r="BE576" i="6" s="1"/>
  <c r="BQ576" i="6"/>
  <c r="BR576" i="6"/>
  <c r="BS576" i="6"/>
  <c r="BU576" i="6"/>
  <c r="BV576" i="6"/>
  <c r="BW576" i="6"/>
  <c r="BX576" i="6"/>
  <c r="BY576" i="6"/>
  <c r="CE804" i="6"/>
  <c r="BJ577" i="6"/>
  <c r="BK577" i="6"/>
  <c r="BD577" i="6" s="1"/>
  <c r="BL577" i="6"/>
  <c r="BE577" i="6" s="1"/>
  <c r="BQ577" i="6"/>
  <c r="BR577" i="6"/>
  <c r="BS577" i="6"/>
  <c r="BU577" i="6"/>
  <c r="BV577" i="6"/>
  <c r="BW577" i="6"/>
  <c r="BX577" i="6"/>
  <c r="BY577" i="6"/>
  <c r="CE805" i="6"/>
  <c r="BJ578" i="6"/>
  <c r="BK578" i="6"/>
  <c r="BD578" i="6" s="1"/>
  <c r="BL578" i="6"/>
  <c r="BE578" i="6" s="1"/>
  <c r="BQ578" i="6"/>
  <c r="BR578" i="6"/>
  <c r="BS578" i="6"/>
  <c r="BU578" i="6"/>
  <c r="BV578" i="6"/>
  <c r="BW578" i="6"/>
  <c r="BX578" i="6"/>
  <c r="BY578" i="6"/>
  <c r="CE806" i="6"/>
  <c r="BJ615" i="6"/>
  <c r="BK615" i="6"/>
  <c r="BD615" i="6" s="1"/>
  <c r="BL615" i="6"/>
  <c r="BE615" i="6" s="1"/>
  <c r="BQ615" i="6"/>
  <c r="BR615" i="6"/>
  <c r="BS615" i="6"/>
  <c r="BU615" i="6"/>
  <c r="BV615" i="6"/>
  <c r="BW615" i="6"/>
  <c r="BX615" i="6"/>
  <c r="BY615" i="6"/>
  <c r="CE651" i="6"/>
  <c r="BJ616" i="6"/>
  <c r="BK616" i="6"/>
  <c r="BD616" i="6" s="1"/>
  <c r="BL616" i="6"/>
  <c r="BE616" i="6" s="1"/>
  <c r="BQ616" i="6"/>
  <c r="BR616" i="6"/>
  <c r="BS616" i="6"/>
  <c r="BU616" i="6"/>
  <c r="BV616" i="6"/>
  <c r="BW616" i="6"/>
  <c r="BX616" i="6"/>
  <c r="BY616" i="6"/>
  <c r="CE652" i="6"/>
  <c r="BJ617" i="6"/>
  <c r="BK617" i="6"/>
  <c r="BD617" i="6" s="1"/>
  <c r="BL617" i="6"/>
  <c r="BE617" i="6" s="1"/>
  <c r="BQ617" i="6"/>
  <c r="BR617" i="6"/>
  <c r="BS617" i="6"/>
  <c r="BU617" i="6"/>
  <c r="BV617" i="6"/>
  <c r="BW617" i="6"/>
  <c r="BX617" i="6"/>
  <c r="BY617" i="6"/>
  <c r="CE653" i="6"/>
  <c r="BJ618" i="6"/>
  <c r="BK618" i="6"/>
  <c r="BD618" i="6" s="1"/>
  <c r="BL618" i="6"/>
  <c r="BE618" i="6" s="1"/>
  <c r="BQ618" i="6"/>
  <c r="BR618" i="6"/>
  <c r="BS618" i="6"/>
  <c r="BU618" i="6"/>
  <c r="BV618" i="6"/>
  <c r="BW618" i="6"/>
  <c r="BX618" i="6"/>
  <c r="BY618" i="6"/>
  <c r="CE654" i="6"/>
  <c r="BJ619" i="6"/>
  <c r="BK619" i="6"/>
  <c r="BD619" i="6" s="1"/>
  <c r="BL619" i="6"/>
  <c r="BE619" i="6" s="1"/>
  <c r="BQ619" i="6"/>
  <c r="BR619" i="6"/>
  <c r="BS619" i="6"/>
  <c r="BU619" i="6"/>
  <c r="BV619" i="6"/>
  <c r="BW619" i="6"/>
  <c r="BX619" i="6"/>
  <c r="BY619" i="6"/>
  <c r="CE655" i="6"/>
  <c r="BJ620" i="6"/>
  <c r="BK620" i="6"/>
  <c r="BD620" i="6" s="1"/>
  <c r="BL620" i="6"/>
  <c r="BE620" i="6" s="1"/>
  <c r="BQ620" i="6"/>
  <c r="BR620" i="6"/>
  <c r="BS620" i="6"/>
  <c r="BU620" i="6"/>
  <c r="BV620" i="6"/>
  <c r="BW620" i="6"/>
  <c r="BX620" i="6"/>
  <c r="BY620" i="6"/>
  <c r="CE656" i="6"/>
  <c r="BJ807" i="6"/>
  <c r="BK807" i="6"/>
  <c r="BD807" i="6" s="1"/>
  <c r="BL807" i="6"/>
  <c r="BE807" i="6" s="1"/>
  <c r="BQ807" i="6"/>
  <c r="BR807" i="6"/>
  <c r="BS807" i="6"/>
  <c r="BU807" i="6"/>
  <c r="BV807" i="6"/>
  <c r="BW807" i="6"/>
  <c r="BX807" i="6"/>
  <c r="BY807" i="6"/>
  <c r="CE807" i="6"/>
  <c r="BJ808" i="6"/>
  <c r="BK808" i="6"/>
  <c r="BD808" i="6" s="1"/>
  <c r="BL808" i="6"/>
  <c r="BE808" i="6" s="1"/>
  <c r="BQ808" i="6"/>
  <c r="BR808" i="6"/>
  <c r="BS808" i="6"/>
  <c r="BU808" i="6"/>
  <c r="BV808" i="6"/>
  <c r="BW808" i="6"/>
  <c r="BX808" i="6"/>
  <c r="BY808" i="6"/>
  <c r="CE808" i="6"/>
  <c r="BJ809" i="6"/>
  <c r="BK809" i="6"/>
  <c r="BD809" i="6" s="1"/>
  <c r="BL809" i="6"/>
  <c r="BE809" i="6" s="1"/>
  <c r="BQ809" i="6"/>
  <c r="BR809" i="6"/>
  <c r="BS809" i="6"/>
  <c r="BU809" i="6"/>
  <c r="BV809" i="6"/>
  <c r="BW809" i="6"/>
  <c r="BX809" i="6"/>
  <c r="BY809" i="6"/>
  <c r="CE809" i="6"/>
  <c r="BJ810" i="6"/>
  <c r="BK810" i="6"/>
  <c r="BD810" i="6" s="1"/>
  <c r="BL810" i="6"/>
  <c r="BE810" i="6" s="1"/>
  <c r="BQ810" i="6"/>
  <c r="BR810" i="6"/>
  <c r="BS810" i="6"/>
  <c r="BU810" i="6"/>
  <c r="BV810" i="6"/>
  <c r="BW810" i="6"/>
  <c r="BX810" i="6"/>
  <c r="BY810" i="6"/>
  <c r="CE810" i="6"/>
  <c r="BJ811" i="6"/>
  <c r="BK811" i="6"/>
  <c r="BD811" i="6" s="1"/>
  <c r="BL811" i="6"/>
  <c r="BE811" i="6" s="1"/>
  <c r="BQ811" i="6"/>
  <c r="BR811" i="6"/>
  <c r="BS811" i="6"/>
  <c r="BU811" i="6"/>
  <c r="BV811" i="6"/>
  <c r="BW811" i="6"/>
  <c r="BX811" i="6"/>
  <c r="BY811" i="6"/>
  <c r="CE811" i="6"/>
  <c r="BJ812" i="6"/>
  <c r="BK812" i="6"/>
  <c r="BD812" i="6" s="1"/>
  <c r="BL812" i="6"/>
  <c r="BE812" i="6" s="1"/>
  <c r="BQ812" i="6"/>
  <c r="BR812" i="6"/>
  <c r="BS812" i="6"/>
  <c r="BU812" i="6"/>
  <c r="BV812" i="6"/>
  <c r="BW812" i="6"/>
  <c r="BX812" i="6"/>
  <c r="BY812" i="6"/>
  <c r="CE812" i="6"/>
  <c r="BJ657" i="6"/>
  <c r="BK657" i="6"/>
  <c r="BD657" i="6" s="1"/>
  <c r="BL657" i="6"/>
  <c r="BE657" i="6" s="1"/>
  <c r="BQ657" i="6"/>
  <c r="BR657" i="6"/>
  <c r="BS657" i="6"/>
  <c r="BU657" i="6"/>
  <c r="BV657" i="6"/>
  <c r="BW657" i="6"/>
  <c r="BX657" i="6"/>
  <c r="BY657" i="6"/>
  <c r="CE657" i="6"/>
  <c r="BJ658" i="6"/>
  <c r="BK658" i="6"/>
  <c r="BD658" i="6" s="1"/>
  <c r="BL658" i="6"/>
  <c r="BE658" i="6" s="1"/>
  <c r="BQ658" i="6"/>
  <c r="BR658" i="6"/>
  <c r="BS658" i="6"/>
  <c r="BU658" i="6"/>
  <c r="BV658" i="6"/>
  <c r="BW658" i="6"/>
  <c r="BX658" i="6"/>
  <c r="BY658" i="6"/>
  <c r="CE658" i="6"/>
  <c r="BJ659" i="6"/>
  <c r="BK659" i="6"/>
  <c r="BD659" i="6" s="1"/>
  <c r="BL659" i="6"/>
  <c r="BE659" i="6" s="1"/>
  <c r="BQ659" i="6"/>
  <c r="BR659" i="6"/>
  <c r="BS659" i="6"/>
  <c r="BU659" i="6"/>
  <c r="BV659" i="6"/>
  <c r="BW659" i="6"/>
  <c r="BX659" i="6"/>
  <c r="BY659" i="6"/>
  <c r="CE659" i="6"/>
  <c r="BJ660" i="6"/>
  <c r="BK660" i="6"/>
  <c r="BD660" i="6" s="1"/>
  <c r="BL660" i="6"/>
  <c r="BE660" i="6" s="1"/>
  <c r="BQ660" i="6"/>
  <c r="BR660" i="6"/>
  <c r="BS660" i="6"/>
  <c r="BU660" i="6"/>
  <c r="BV660" i="6"/>
  <c r="BW660" i="6"/>
  <c r="BX660" i="6"/>
  <c r="BY660" i="6"/>
  <c r="CE660" i="6"/>
  <c r="BJ661" i="6"/>
  <c r="BK661" i="6"/>
  <c r="BD661" i="6" s="1"/>
  <c r="BL661" i="6"/>
  <c r="BE661" i="6" s="1"/>
  <c r="BQ661" i="6"/>
  <c r="BR661" i="6"/>
  <c r="BS661" i="6"/>
  <c r="BU661" i="6"/>
  <c r="BV661" i="6"/>
  <c r="BW661" i="6"/>
  <c r="BX661" i="6"/>
  <c r="BY661" i="6"/>
  <c r="CE661" i="6"/>
  <c r="BJ662" i="6"/>
  <c r="BK662" i="6"/>
  <c r="BD662" i="6" s="1"/>
  <c r="BL662" i="6"/>
  <c r="BE662" i="6" s="1"/>
  <c r="BQ662" i="6"/>
  <c r="BR662" i="6"/>
  <c r="BS662" i="6"/>
  <c r="BU662" i="6"/>
  <c r="BV662" i="6"/>
  <c r="BW662" i="6"/>
  <c r="BX662" i="6"/>
  <c r="BY662" i="6"/>
  <c r="CE662" i="6"/>
  <c r="BJ663" i="6"/>
  <c r="BK663" i="6"/>
  <c r="BD663" i="6" s="1"/>
  <c r="BL663" i="6"/>
  <c r="BE663" i="6" s="1"/>
  <c r="BQ663" i="6"/>
  <c r="BR663" i="6"/>
  <c r="BS663" i="6"/>
  <c r="BU663" i="6"/>
  <c r="BV663" i="6"/>
  <c r="BW663" i="6"/>
  <c r="BX663" i="6"/>
  <c r="BY663" i="6"/>
  <c r="CE663" i="6"/>
  <c r="BJ664" i="6"/>
  <c r="BK664" i="6"/>
  <c r="BD664" i="6" s="1"/>
  <c r="BL664" i="6"/>
  <c r="BE664" i="6" s="1"/>
  <c r="BQ664" i="6"/>
  <c r="BR664" i="6"/>
  <c r="BS664" i="6"/>
  <c r="BU664" i="6"/>
  <c r="BV664" i="6"/>
  <c r="BW664" i="6"/>
  <c r="BX664" i="6"/>
  <c r="BY664" i="6"/>
  <c r="CE664" i="6"/>
  <c r="BJ665" i="6"/>
  <c r="BK665" i="6"/>
  <c r="BD665" i="6" s="1"/>
  <c r="BL665" i="6"/>
  <c r="BE665" i="6" s="1"/>
  <c r="BQ665" i="6"/>
  <c r="BR665" i="6"/>
  <c r="BS665" i="6"/>
  <c r="BU665" i="6"/>
  <c r="BV665" i="6"/>
  <c r="BW665" i="6"/>
  <c r="BX665" i="6"/>
  <c r="BY665" i="6"/>
  <c r="CE665" i="6"/>
  <c r="BJ666" i="6"/>
  <c r="BK666" i="6"/>
  <c r="BD666" i="6" s="1"/>
  <c r="BL666" i="6"/>
  <c r="BE666" i="6" s="1"/>
  <c r="BQ666" i="6"/>
  <c r="BR666" i="6"/>
  <c r="BS666" i="6"/>
  <c r="BU666" i="6"/>
  <c r="BV666" i="6"/>
  <c r="BW666" i="6"/>
  <c r="BX666" i="6"/>
  <c r="BY666" i="6"/>
  <c r="CE666" i="6"/>
  <c r="BJ667" i="6"/>
  <c r="BK667" i="6"/>
  <c r="BD667" i="6" s="1"/>
  <c r="BL667" i="6"/>
  <c r="BE667" i="6" s="1"/>
  <c r="BQ667" i="6"/>
  <c r="BR667" i="6"/>
  <c r="BS667" i="6"/>
  <c r="BU667" i="6"/>
  <c r="BV667" i="6"/>
  <c r="BW667" i="6"/>
  <c r="BX667" i="6"/>
  <c r="BY667" i="6"/>
  <c r="CE667" i="6"/>
  <c r="BJ668" i="6"/>
  <c r="BK668" i="6"/>
  <c r="BD668" i="6" s="1"/>
  <c r="BL668" i="6"/>
  <c r="BE668" i="6" s="1"/>
  <c r="BQ668" i="6"/>
  <c r="BR668" i="6"/>
  <c r="BS668" i="6"/>
  <c r="BU668" i="6"/>
  <c r="BV668" i="6"/>
  <c r="BW668" i="6"/>
  <c r="BX668" i="6"/>
  <c r="BY668" i="6"/>
  <c r="CE668" i="6"/>
  <c r="BJ669" i="6"/>
  <c r="BK669" i="6"/>
  <c r="BD669" i="6" s="1"/>
  <c r="BL669" i="6"/>
  <c r="BE669" i="6" s="1"/>
  <c r="BQ669" i="6"/>
  <c r="BR669" i="6"/>
  <c r="BS669" i="6"/>
  <c r="BU669" i="6"/>
  <c r="BV669" i="6"/>
  <c r="BW669" i="6"/>
  <c r="BX669" i="6"/>
  <c r="BY669" i="6"/>
  <c r="CE669" i="6"/>
  <c r="BJ670" i="6"/>
  <c r="BK670" i="6"/>
  <c r="BD670" i="6" s="1"/>
  <c r="BL670" i="6"/>
  <c r="BE670" i="6" s="1"/>
  <c r="BQ670" i="6"/>
  <c r="BR670" i="6"/>
  <c r="BS670" i="6"/>
  <c r="BU670" i="6"/>
  <c r="BV670" i="6"/>
  <c r="BW670" i="6"/>
  <c r="BX670" i="6"/>
  <c r="BY670" i="6"/>
  <c r="CE670" i="6"/>
  <c r="BJ671" i="6"/>
  <c r="BK671" i="6"/>
  <c r="BD671" i="6" s="1"/>
  <c r="BL671" i="6"/>
  <c r="BE671" i="6" s="1"/>
  <c r="BQ671" i="6"/>
  <c r="BR671" i="6"/>
  <c r="BS671" i="6"/>
  <c r="BU671" i="6"/>
  <c r="BV671" i="6"/>
  <c r="BW671" i="6"/>
  <c r="BX671" i="6"/>
  <c r="BY671" i="6"/>
  <c r="CE671" i="6"/>
  <c r="BJ672" i="6"/>
  <c r="BK672" i="6"/>
  <c r="BD672" i="6" s="1"/>
  <c r="BL672" i="6"/>
  <c r="BE672" i="6" s="1"/>
  <c r="BQ672" i="6"/>
  <c r="BR672" i="6"/>
  <c r="BS672" i="6"/>
  <c r="BU672" i="6"/>
  <c r="BV672" i="6"/>
  <c r="BW672" i="6"/>
  <c r="BX672" i="6"/>
  <c r="BY672" i="6"/>
  <c r="CE672" i="6"/>
  <c r="BJ673" i="6"/>
  <c r="BK673" i="6"/>
  <c r="BD673" i="6" s="1"/>
  <c r="BL673" i="6"/>
  <c r="BE673" i="6" s="1"/>
  <c r="BQ673" i="6"/>
  <c r="BR673" i="6"/>
  <c r="BS673" i="6"/>
  <c r="BU673" i="6"/>
  <c r="BV673" i="6"/>
  <c r="BW673" i="6"/>
  <c r="BX673" i="6"/>
  <c r="BY673" i="6"/>
  <c r="CE673" i="6"/>
  <c r="BJ674" i="6"/>
  <c r="BK674" i="6"/>
  <c r="BD674" i="6" s="1"/>
  <c r="BL674" i="6"/>
  <c r="BE674" i="6" s="1"/>
  <c r="BQ674" i="6"/>
  <c r="BR674" i="6"/>
  <c r="BS674" i="6"/>
  <c r="BU674" i="6"/>
  <c r="BV674" i="6"/>
  <c r="BW674" i="6"/>
  <c r="BX674" i="6"/>
  <c r="BY674" i="6"/>
  <c r="CE674" i="6"/>
  <c r="BJ675" i="6"/>
  <c r="BK675" i="6"/>
  <c r="BD675" i="6" s="1"/>
  <c r="BL675" i="6"/>
  <c r="BE675" i="6" s="1"/>
  <c r="BQ675" i="6"/>
  <c r="BR675" i="6"/>
  <c r="BS675" i="6"/>
  <c r="BU675" i="6"/>
  <c r="BV675" i="6"/>
  <c r="BW675" i="6"/>
  <c r="BX675" i="6"/>
  <c r="BY675" i="6"/>
  <c r="CE675" i="6"/>
  <c r="BJ676" i="6"/>
  <c r="BK676" i="6"/>
  <c r="BD676" i="6" s="1"/>
  <c r="BL676" i="6"/>
  <c r="BE676" i="6" s="1"/>
  <c r="BQ676" i="6"/>
  <c r="BR676" i="6"/>
  <c r="BS676" i="6"/>
  <c r="BU676" i="6"/>
  <c r="BV676" i="6"/>
  <c r="BW676" i="6"/>
  <c r="BX676" i="6"/>
  <c r="BY676" i="6"/>
  <c r="CE676" i="6"/>
  <c r="BJ677" i="6"/>
  <c r="BK677" i="6"/>
  <c r="BD677" i="6" s="1"/>
  <c r="BL677" i="6"/>
  <c r="BE677" i="6" s="1"/>
  <c r="BQ677" i="6"/>
  <c r="BR677" i="6"/>
  <c r="BS677" i="6"/>
  <c r="BU677" i="6"/>
  <c r="BV677" i="6"/>
  <c r="BW677" i="6"/>
  <c r="BX677" i="6"/>
  <c r="BY677" i="6"/>
  <c r="CE677" i="6"/>
  <c r="BJ678" i="6"/>
  <c r="BK678" i="6"/>
  <c r="BD678" i="6" s="1"/>
  <c r="BL678" i="6"/>
  <c r="BE678" i="6" s="1"/>
  <c r="BQ678" i="6"/>
  <c r="BR678" i="6"/>
  <c r="BS678" i="6"/>
  <c r="BU678" i="6"/>
  <c r="BV678" i="6"/>
  <c r="BW678" i="6"/>
  <c r="BX678" i="6"/>
  <c r="BY678" i="6"/>
  <c r="CE678" i="6"/>
  <c r="BJ679" i="6"/>
  <c r="BK679" i="6"/>
  <c r="BD679" i="6" s="1"/>
  <c r="BL679" i="6"/>
  <c r="BE679" i="6" s="1"/>
  <c r="BQ679" i="6"/>
  <c r="BR679" i="6"/>
  <c r="BS679" i="6"/>
  <c r="BU679" i="6"/>
  <c r="BV679" i="6"/>
  <c r="BW679" i="6"/>
  <c r="BX679" i="6"/>
  <c r="BY679" i="6"/>
  <c r="CE679" i="6"/>
  <c r="BJ680" i="6"/>
  <c r="BK680" i="6"/>
  <c r="BD680" i="6" s="1"/>
  <c r="BL680" i="6"/>
  <c r="BE680" i="6" s="1"/>
  <c r="BQ680" i="6"/>
  <c r="BR680" i="6"/>
  <c r="BS680" i="6"/>
  <c r="BU680" i="6"/>
  <c r="BV680" i="6"/>
  <c r="BW680" i="6"/>
  <c r="BX680" i="6"/>
  <c r="BY680" i="6"/>
  <c r="CE680" i="6"/>
  <c r="BJ681" i="6"/>
  <c r="BK681" i="6"/>
  <c r="BD681" i="6" s="1"/>
  <c r="BL681" i="6"/>
  <c r="BE681" i="6" s="1"/>
  <c r="BQ681" i="6"/>
  <c r="BR681" i="6"/>
  <c r="BS681" i="6"/>
  <c r="BU681" i="6"/>
  <c r="BV681" i="6"/>
  <c r="BW681" i="6"/>
  <c r="BX681" i="6"/>
  <c r="BY681" i="6"/>
  <c r="CE681" i="6"/>
  <c r="BJ682" i="6"/>
  <c r="BK682" i="6"/>
  <c r="BD682" i="6" s="1"/>
  <c r="BL682" i="6"/>
  <c r="BE682" i="6" s="1"/>
  <c r="BQ682" i="6"/>
  <c r="BR682" i="6"/>
  <c r="BS682" i="6"/>
  <c r="BU682" i="6"/>
  <c r="BV682" i="6"/>
  <c r="BW682" i="6"/>
  <c r="BX682" i="6"/>
  <c r="BY682" i="6"/>
  <c r="CE682" i="6"/>
  <c r="BJ683" i="6"/>
  <c r="BK683" i="6"/>
  <c r="BD683" i="6" s="1"/>
  <c r="BL683" i="6"/>
  <c r="BE683" i="6" s="1"/>
  <c r="BQ683" i="6"/>
  <c r="BR683" i="6"/>
  <c r="BS683" i="6"/>
  <c r="BU683" i="6"/>
  <c r="BV683" i="6"/>
  <c r="BW683" i="6"/>
  <c r="BX683" i="6"/>
  <c r="BY683" i="6"/>
  <c r="CE683" i="6"/>
  <c r="BJ684" i="6"/>
  <c r="BK684" i="6"/>
  <c r="BD684" i="6" s="1"/>
  <c r="BL684" i="6"/>
  <c r="BE684" i="6" s="1"/>
  <c r="BQ684" i="6"/>
  <c r="BR684" i="6"/>
  <c r="BS684" i="6"/>
  <c r="BU684" i="6"/>
  <c r="BV684" i="6"/>
  <c r="BW684" i="6"/>
  <c r="BX684" i="6"/>
  <c r="BY684" i="6"/>
  <c r="CE684" i="6"/>
  <c r="BJ685" i="6"/>
  <c r="BK685" i="6"/>
  <c r="BD685" i="6" s="1"/>
  <c r="BL685" i="6"/>
  <c r="BE685" i="6" s="1"/>
  <c r="BQ685" i="6"/>
  <c r="BR685" i="6"/>
  <c r="BS685" i="6"/>
  <c r="BU685" i="6"/>
  <c r="BV685" i="6"/>
  <c r="BW685" i="6"/>
  <c r="BX685" i="6"/>
  <c r="BY685" i="6"/>
  <c r="CE685" i="6"/>
  <c r="BJ686" i="6"/>
  <c r="BK686" i="6"/>
  <c r="BD686" i="6" s="1"/>
  <c r="BL686" i="6"/>
  <c r="BE686" i="6" s="1"/>
  <c r="BQ686" i="6"/>
  <c r="BR686" i="6"/>
  <c r="BS686" i="6"/>
  <c r="BU686" i="6"/>
  <c r="BV686" i="6"/>
  <c r="BW686" i="6"/>
  <c r="BX686" i="6"/>
  <c r="BY686" i="6"/>
  <c r="CE686" i="6"/>
  <c r="BJ813" i="6"/>
  <c r="BK813" i="6"/>
  <c r="BD813" i="6" s="1"/>
  <c r="BL813" i="6"/>
  <c r="BE813" i="6" s="1"/>
  <c r="BQ813" i="6"/>
  <c r="BR813" i="6"/>
  <c r="BS813" i="6"/>
  <c r="BU813" i="6"/>
  <c r="BV813" i="6"/>
  <c r="BW813" i="6"/>
  <c r="BX813" i="6"/>
  <c r="BY813" i="6"/>
  <c r="CE813" i="6"/>
  <c r="BJ814" i="6"/>
  <c r="BK814" i="6"/>
  <c r="BD814" i="6" s="1"/>
  <c r="BL814" i="6"/>
  <c r="BE814" i="6" s="1"/>
  <c r="BQ814" i="6"/>
  <c r="BR814" i="6"/>
  <c r="BS814" i="6"/>
  <c r="BU814" i="6"/>
  <c r="BV814" i="6"/>
  <c r="BW814" i="6"/>
  <c r="BX814" i="6"/>
  <c r="BY814" i="6"/>
  <c r="CE814" i="6"/>
  <c r="BJ815" i="6"/>
  <c r="BK815" i="6"/>
  <c r="BD815" i="6" s="1"/>
  <c r="BL815" i="6"/>
  <c r="BE815" i="6" s="1"/>
  <c r="BQ815" i="6"/>
  <c r="BR815" i="6"/>
  <c r="BS815" i="6"/>
  <c r="BU815" i="6"/>
  <c r="BV815" i="6"/>
  <c r="BW815" i="6"/>
  <c r="BX815" i="6"/>
  <c r="BY815" i="6"/>
  <c r="CE815" i="6"/>
  <c r="BJ816" i="6"/>
  <c r="BK816" i="6"/>
  <c r="BD816" i="6" s="1"/>
  <c r="BL816" i="6"/>
  <c r="BE816" i="6" s="1"/>
  <c r="BQ816" i="6"/>
  <c r="BR816" i="6"/>
  <c r="BS816" i="6"/>
  <c r="BU816" i="6"/>
  <c r="BV816" i="6"/>
  <c r="BW816" i="6"/>
  <c r="BX816" i="6"/>
  <c r="BY816" i="6"/>
  <c r="CE816" i="6"/>
  <c r="BJ817" i="6"/>
  <c r="BK817" i="6"/>
  <c r="BD817" i="6" s="1"/>
  <c r="BL817" i="6"/>
  <c r="BE817" i="6" s="1"/>
  <c r="BQ817" i="6"/>
  <c r="BR817" i="6"/>
  <c r="BS817" i="6"/>
  <c r="BU817" i="6"/>
  <c r="BV817" i="6"/>
  <c r="BW817" i="6"/>
  <c r="BX817" i="6"/>
  <c r="BY817" i="6"/>
  <c r="CE817" i="6"/>
  <c r="BJ818" i="6"/>
  <c r="BK818" i="6"/>
  <c r="BD818" i="6" s="1"/>
  <c r="BL818" i="6"/>
  <c r="BE818" i="6" s="1"/>
  <c r="BQ818" i="6"/>
  <c r="BR818" i="6"/>
  <c r="BS818" i="6"/>
  <c r="BU818" i="6"/>
  <c r="BV818" i="6"/>
  <c r="BW818" i="6"/>
  <c r="BX818" i="6"/>
  <c r="BY818" i="6"/>
  <c r="CE818" i="6"/>
  <c r="BJ819" i="6"/>
  <c r="BK819" i="6"/>
  <c r="BD819" i="6" s="1"/>
  <c r="BL819" i="6"/>
  <c r="BE819" i="6" s="1"/>
  <c r="BQ819" i="6"/>
  <c r="BR819" i="6"/>
  <c r="BS819" i="6"/>
  <c r="BU819" i="6"/>
  <c r="BV819" i="6"/>
  <c r="BW819" i="6"/>
  <c r="BX819" i="6"/>
  <c r="BY819" i="6"/>
  <c r="CE819" i="6"/>
  <c r="BJ820" i="6"/>
  <c r="BK820" i="6"/>
  <c r="BD820" i="6" s="1"/>
  <c r="BL820" i="6"/>
  <c r="BE820" i="6" s="1"/>
  <c r="BQ820" i="6"/>
  <c r="BR820" i="6"/>
  <c r="BS820" i="6"/>
  <c r="BU820" i="6"/>
  <c r="BV820" i="6"/>
  <c r="BW820" i="6"/>
  <c r="BX820" i="6"/>
  <c r="BY820" i="6"/>
  <c r="CE820" i="6"/>
  <c r="BJ821" i="6"/>
  <c r="BK821" i="6"/>
  <c r="BD821" i="6" s="1"/>
  <c r="BL821" i="6"/>
  <c r="BE821" i="6" s="1"/>
  <c r="BQ821" i="6"/>
  <c r="BR821" i="6"/>
  <c r="BS821" i="6"/>
  <c r="BU821" i="6"/>
  <c r="BV821" i="6"/>
  <c r="BW821" i="6"/>
  <c r="BX821" i="6"/>
  <c r="BY821" i="6"/>
  <c r="CE821" i="6"/>
  <c r="BJ822" i="6"/>
  <c r="BK822" i="6"/>
  <c r="BD822" i="6" s="1"/>
  <c r="BL822" i="6"/>
  <c r="BE822" i="6" s="1"/>
  <c r="BQ822" i="6"/>
  <c r="BR822" i="6"/>
  <c r="BS822" i="6"/>
  <c r="BU822" i="6"/>
  <c r="BV822" i="6"/>
  <c r="BW822" i="6"/>
  <c r="BX822" i="6"/>
  <c r="BY822" i="6"/>
  <c r="CE822" i="6"/>
  <c r="BJ823" i="6"/>
  <c r="BK823" i="6"/>
  <c r="BD823" i="6" s="1"/>
  <c r="BL823" i="6"/>
  <c r="BE823" i="6" s="1"/>
  <c r="BQ823" i="6"/>
  <c r="BR823" i="6"/>
  <c r="BS823" i="6"/>
  <c r="BU823" i="6"/>
  <c r="BV823" i="6"/>
  <c r="BW823" i="6"/>
  <c r="BX823" i="6"/>
  <c r="BY823" i="6"/>
  <c r="CE823" i="6"/>
  <c r="BJ824" i="6"/>
  <c r="BK824" i="6"/>
  <c r="BD824" i="6" s="1"/>
  <c r="BL824" i="6"/>
  <c r="BE824" i="6" s="1"/>
  <c r="BQ824" i="6"/>
  <c r="BR824" i="6"/>
  <c r="BS824" i="6"/>
  <c r="BU824" i="6"/>
  <c r="BV824" i="6"/>
  <c r="BW824" i="6"/>
  <c r="BX824" i="6"/>
  <c r="BY824" i="6"/>
  <c r="CE824" i="6"/>
  <c r="BJ825" i="6"/>
  <c r="BK825" i="6"/>
  <c r="BD825" i="6" s="1"/>
  <c r="BL825" i="6"/>
  <c r="BE825" i="6" s="1"/>
  <c r="BQ825" i="6"/>
  <c r="BR825" i="6"/>
  <c r="BS825" i="6"/>
  <c r="BU825" i="6"/>
  <c r="BV825" i="6"/>
  <c r="BW825" i="6"/>
  <c r="BX825" i="6"/>
  <c r="BY825" i="6"/>
  <c r="CE825" i="6"/>
  <c r="BJ826" i="6"/>
  <c r="BK826" i="6"/>
  <c r="BD826" i="6" s="1"/>
  <c r="BL826" i="6"/>
  <c r="BE826" i="6" s="1"/>
  <c r="BQ826" i="6"/>
  <c r="BR826" i="6"/>
  <c r="BS826" i="6"/>
  <c r="BU826" i="6"/>
  <c r="BV826" i="6"/>
  <c r="BW826" i="6"/>
  <c r="BX826" i="6"/>
  <c r="BY826" i="6"/>
  <c r="CE826" i="6"/>
  <c r="BJ827" i="6"/>
  <c r="BK827" i="6"/>
  <c r="BD827" i="6" s="1"/>
  <c r="BL827" i="6"/>
  <c r="BE827" i="6" s="1"/>
  <c r="BQ827" i="6"/>
  <c r="BR827" i="6"/>
  <c r="BS827" i="6"/>
  <c r="BU827" i="6"/>
  <c r="BV827" i="6"/>
  <c r="BW827" i="6"/>
  <c r="BX827" i="6"/>
  <c r="BY827" i="6"/>
  <c r="CE827" i="6"/>
  <c r="BJ828" i="6"/>
  <c r="BK828" i="6"/>
  <c r="BD828" i="6" s="1"/>
  <c r="BL828" i="6"/>
  <c r="BE828" i="6" s="1"/>
  <c r="BQ828" i="6"/>
  <c r="BR828" i="6"/>
  <c r="BS828" i="6"/>
  <c r="BU828" i="6"/>
  <c r="BV828" i="6"/>
  <c r="BW828" i="6"/>
  <c r="BX828" i="6"/>
  <c r="BY828" i="6"/>
  <c r="CE828" i="6"/>
  <c r="BJ829" i="6"/>
  <c r="BK829" i="6"/>
  <c r="BD829" i="6" s="1"/>
  <c r="BL829" i="6"/>
  <c r="BE829" i="6" s="1"/>
  <c r="BQ829" i="6"/>
  <c r="BR829" i="6"/>
  <c r="BS829" i="6"/>
  <c r="BU829" i="6"/>
  <c r="BV829" i="6"/>
  <c r="BW829" i="6"/>
  <c r="BX829" i="6"/>
  <c r="BY829" i="6"/>
  <c r="CE829" i="6"/>
  <c r="BJ830" i="6"/>
  <c r="BK830" i="6"/>
  <c r="BD830" i="6" s="1"/>
  <c r="BL830" i="6"/>
  <c r="BE830" i="6" s="1"/>
  <c r="BQ830" i="6"/>
  <c r="BR830" i="6"/>
  <c r="BS830" i="6"/>
  <c r="BU830" i="6"/>
  <c r="BV830" i="6"/>
  <c r="BW830" i="6"/>
  <c r="BX830" i="6"/>
  <c r="BY830" i="6"/>
  <c r="CE830" i="6"/>
  <c r="BJ831" i="6"/>
  <c r="BK831" i="6"/>
  <c r="BD831" i="6" s="1"/>
  <c r="BL831" i="6"/>
  <c r="BE831" i="6" s="1"/>
  <c r="BQ831" i="6"/>
  <c r="BR831" i="6"/>
  <c r="BS831" i="6"/>
  <c r="BU831" i="6"/>
  <c r="BV831" i="6"/>
  <c r="BW831" i="6"/>
  <c r="BX831" i="6"/>
  <c r="BY831" i="6"/>
  <c r="CE831" i="6"/>
  <c r="BJ832" i="6"/>
  <c r="BK832" i="6"/>
  <c r="BD832" i="6" s="1"/>
  <c r="BL832" i="6"/>
  <c r="BE832" i="6" s="1"/>
  <c r="BQ832" i="6"/>
  <c r="BR832" i="6"/>
  <c r="BS832" i="6"/>
  <c r="BU832" i="6"/>
  <c r="BV832" i="6"/>
  <c r="BW832" i="6"/>
  <c r="BX832" i="6"/>
  <c r="BY832" i="6"/>
  <c r="CE832" i="6"/>
  <c r="BJ833" i="6"/>
  <c r="BK833" i="6"/>
  <c r="BD833" i="6" s="1"/>
  <c r="BL833" i="6"/>
  <c r="BE833" i="6" s="1"/>
  <c r="BQ833" i="6"/>
  <c r="BR833" i="6"/>
  <c r="BS833" i="6"/>
  <c r="BU833" i="6"/>
  <c r="BV833" i="6"/>
  <c r="BW833" i="6"/>
  <c r="BX833" i="6"/>
  <c r="BY833" i="6"/>
  <c r="CE833" i="6"/>
  <c r="BJ834" i="6"/>
  <c r="BK834" i="6"/>
  <c r="BD834" i="6" s="1"/>
  <c r="BL834" i="6"/>
  <c r="BE834" i="6" s="1"/>
  <c r="BQ834" i="6"/>
  <c r="BR834" i="6"/>
  <c r="BS834" i="6"/>
  <c r="BU834" i="6"/>
  <c r="BV834" i="6"/>
  <c r="BW834" i="6"/>
  <c r="BX834" i="6"/>
  <c r="BY834" i="6"/>
  <c r="CE834" i="6"/>
  <c r="BL835" i="6"/>
  <c r="BE835" i="6" s="1"/>
  <c r="BJ835" i="6"/>
  <c r="BK835" i="6"/>
  <c r="BD835" i="6" s="1"/>
  <c r="BQ835" i="6"/>
  <c r="BR835" i="6"/>
  <c r="BS835" i="6"/>
  <c r="BU835" i="6"/>
  <c r="BV835" i="6"/>
  <c r="BW835" i="6"/>
  <c r="BX835" i="6"/>
  <c r="BY835" i="6"/>
  <c r="CE835" i="6"/>
  <c r="BJ836" i="6"/>
  <c r="BK836" i="6"/>
  <c r="BD836" i="6" s="1"/>
  <c r="BL836" i="6"/>
  <c r="BE836" i="6" s="1"/>
  <c r="BQ836" i="6"/>
  <c r="BR836" i="6"/>
  <c r="BS836" i="6"/>
  <c r="BU836" i="6"/>
  <c r="BV836" i="6"/>
  <c r="BW836" i="6"/>
  <c r="BX836" i="6"/>
  <c r="BY836" i="6"/>
  <c r="CE836" i="6"/>
  <c r="BJ837" i="6"/>
  <c r="BK837" i="6"/>
  <c r="BD837" i="6" s="1"/>
  <c r="BL837" i="6"/>
  <c r="BE837" i="6" s="1"/>
  <c r="BQ837" i="6"/>
  <c r="BR837" i="6"/>
  <c r="BS837" i="6"/>
  <c r="BU837" i="6"/>
  <c r="BV837" i="6"/>
  <c r="BW837" i="6"/>
  <c r="BX837" i="6"/>
  <c r="BY837" i="6"/>
  <c r="CE837" i="6"/>
  <c r="BJ838" i="6"/>
  <c r="BK838" i="6"/>
  <c r="BD838" i="6" s="1"/>
  <c r="BL838" i="6"/>
  <c r="BE838" i="6" s="1"/>
  <c r="BQ838" i="6"/>
  <c r="BR838" i="6"/>
  <c r="BS838" i="6"/>
  <c r="BU838" i="6"/>
  <c r="BV838" i="6"/>
  <c r="BW838" i="6"/>
  <c r="BX838" i="6"/>
  <c r="BY838" i="6"/>
  <c r="CE838" i="6"/>
  <c r="BJ839" i="6"/>
  <c r="BK839" i="6"/>
  <c r="BD839" i="6" s="1"/>
  <c r="BL839" i="6"/>
  <c r="BE839" i="6" s="1"/>
  <c r="BQ839" i="6"/>
  <c r="BR839" i="6"/>
  <c r="BS839" i="6"/>
  <c r="BU839" i="6"/>
  <c r="BV839" i="6"/>
  <c r="BW839" i="6"/>
  <c r="BX839" i="6"/>
  <c r="BY839" i="6"/>
  <c r="CE839" i="6"/>
  <c r="BJ840" i="6"/>
  <c r="BK840" i="6"/>
  <c r="BD840" i="6" s="1"/>
  <c r="BL840" i="6"/>
  <c r="BE840" i="6" s="1"/>
  <c r="BQ840" i="6"/>
  <c r="BR840" i="6"/>
  <c r="BS840" i="6"/>
  <c r="BU840" i="6"/>
  <c r="BV840" i="6"/>
  <c r="BW840" i="6"/>
  <c r="BX840" i="6"/>
  <c r="BY840" i="6"/>
  <c r="CE840" i="6"/>
  <c r="BJ841" i="6"/>
  <c r="BK841" i="6"/>
  <c r="BD841" i="6" s="1"/>
  <c r="BL841" i="6"/>
  <c r="BE841" i="6" s="1"/>
  <c r="BQ841" i="6"/>
  <c r="BR841" i="6"/>
  <c r="BS841" i="6"/>
  <c r="BU841" i="6"/>
  <c r="BV841" i="6"/>
  <c r="BW841" i="6"/>
  <c r="BX841" i="6"/>
  <c r="BY841" i="6"/>
  <c r="CE841" i="6"/>
  <c r="BJ842" i="6"/>
  <c r="BK842" i="6"/>
  <c r="BD842" i="6" s="1"/>
  <c r="BL842" i="6"/>
  <c r="BE842" i="6" s="1"/>
  <c r="BQ842" i="6"/>
  <c r="BR842" i="6"/>
  <c r="BS842" i="6"/>
  <c r="BU842" i="6"/>
  <c r="BV842" i="6"/>
  <c r="BW842" i="6"/>
  <c r="BX842" i="6"/>
  <c r="BY842" i="6"/>
  <c r="CE842" i="6"/>
  <c r="BJ843" i="6"/>
  <c r="BK843" i="6"/>
  <c r="BD843" i="6" s="1"/>
  <c r="BL843" i="6"/>
  <c r="BE843" i="6" s="1"/>
  <c r="BQ843" i="6"/>
  <c r="BR843" i="6"/>
  <c r="BS843" i="6"/>
  <c r="BU843" i="6"/>
  <c r="BV843" i="6"/>
  <c r="BW843" i="6"/>
  <c r="BX843" i="6"/>
  <c r="BY843" i="6"/>
  <c r="CE843" i="6"/>
  <c r="BJ844" i="6"/>
  <c r="BK844" i="6"/>
  <c r="BD844" i="6" s="1"/>
  <c r="BL844" i="6"/>
  <c r="BE844" i="6" s="1"/>
  <c r="BQ844" i="6"/>
  <c r="BR844" i="6"/>
  <c r="BS844" i="6"/>
  <c r="BU844" i="6"/>
  <c r="BV844" i="6"/>
  <c r="BW844" i="6"/>
  <c r="BX844" i="6"/>
  <c r="BY844" i="6"/>
  <c r="CE844" i="6"/>
  <c r="BJ845" i="6"/>
  <c r="BK845" i="6"/>
  <c r="BD845" i="6" s="1"/>
  <c r="BL845" i="6"/>
  <c r="BE845" i="6" s="1"/>
  <c r="BQ845" i="6"/>
  <c r="BR845" i="6"/>
  <c r="BS845" i="6"/>
  <c r="BU845" i="6"/>
  <c r="BV845" i="6"/>
  <c r="BW845" i="6"/>
  <c r="BX845" i="6"/>
  <c r="BY845" i="6"/>
  <c r="CE845" i="6"/>
  <c r="BJ846" i="6"/>
  <c r="BK846" i="6"/>
  <c r="BD846" i="6" s="1"/>
  <c r="BL846" i="6"/>
  <c r="BE846" i="6" s="1"/>
  <c r="BQ846" i="6"/>
  <c r="BR846" i="6"/>
  <c r="BS846" i="6"/>
  <c r="BU846" i="6"/>
  <c r="BV846" i="6"/>
  <c r="BW846" i="6"/>
  <c r="BX846" i="6"/>
  <c r="BY846" i="6"/>
  <c r="CE846" i="6"/>
  <c r="BJ847" i="6"/>
  <c r="BK847" i="6"/>
  <c r="BD847" i="6" s="1"/>
  <c r="BL847" i="6"/>
  <c r="BE847" i="6" s="1"/>
  <c r="BQ847" i="6"/>
  <c r="BR847" i="6"/>
  <c r="BS847" i="6"/>
  <c r="BU847" i="6"/>
  <c r="BV847" i="6"/>
  <c r="BW847" i="6"/>
  <c r="BX847" i="6"/>
  <c r="BY847" i="6"/>
  <c r="CE847" i="6"/>
  <c r="BJ848" i="6"/>
  <c r="BK848" i="6"/>
  <c r="BD848" i="6" s="1"/>
  <c r="BL848" i="6"/>
  <c r="BE848" i="6" s="1"/>
  <c r="BQ848" i="6"/>
  <c r="BR848" i="6"/>
  <c r="BS848" i="6"/>
  <c r="BU848" i="6"/>
  <c r="BV848" i="6"/>
  <c r="BW848" i="6"/>
  <c r="BX848" i="6"/>
  <c r="BY848" i="6"/>
  <c r="CE848" i="6"/>
  <c r="BJ849" i="6"/>
  <c r="BK849" i="6"/>
  <c r="BD849" i="6" s="1"/>
  <c r="BL849" i="6"/>
  <c r="BE849" i="6" s="1"/>
  <c r="BQ849" i="6"/>
  <c r="BR849" i="6"/>
  <c r="BS849" i="6"/>
  <c r="BU849" i="6"/>
  <c r="BV849" i="6"/>
  <c r="BW849" i="6"/>
  <c r="BX849" i="6"/>
  <c r="BY849" i="6"/>
  <c r="CE849" i="6"/>
  <c r="BJ850" i="6"/>
  <c r="BK850" i="6"/>
  <c r="BD850" i="6" s="1"/>
  <c r="BL850" i="6"/>
  <c r="BE850" i="6" s="1"/>
  <c r="BQ850" i="6"/>
  <c r="BR850" i="6"/>
  <c r="BS850" i="6"/>
  <c r="BU850" i="6"/>
  <c r="BV850" i="6"/>
  <c r="BW850" i="6"/>
  <c r="BX850" i="6"/>
  <c r="BY850" i="6"/>
  <c r="CE850" i="6"/>
  <c r="BJ851" i="6"/>
  <c r="BK851" i="6"/>
  <c r="BD851" i="6" s="1"/>
  <c r="BL851" i="6"/>
  <c r="BE851" i="6" s="1"/>
  <c r="BQ851" i="6"/>
  <c r="BR851" i="6"/>
  <c r="BS851" i="6"/>
  <c r="BU851" i="6"/>
  <c r="BV851" i="6"/>
  <c r="BW851" i="6"/>
  <c r="BX851" i="6"/>
  <c r="BY851" i="6"/>
  <c r="CE851" i="6"/>
  <c r="BJ852" i="6"/>
  <c r="BK852" i="6"/>
  <c r="BD852" i="6" s="1"/>
  <c r="BL852" i="6"/>
  <c r="BE852" i="6" s="1"/>
  <c r="BQ852" i="6"/>
  <c r="BR852" i="6"/>
  <c r="BS852" i="6"/>
  <c r="BU852" i="6"/>
  <c r="BV852" i="6"/>
  <c r="BW852" i="6"/>
  <c r="BX852" i="6"/>
  <c r="BY852" i="6"/>
  <c r="CE852" i="6"/>
  <c r="BJ853" i="6"/>
  <c r="BK853" i="6"/>
  <c r="BD853" i="6" s="1"/>
  <c r="BL853" i="6"/>
  <c r="BE853" i="6" s="1"/>
  <c r="BQ853" i="6"/>
  <c r="BR853" i="6"/>
  <c r="BS853" i="6"/>
  <c r="BU853" i="6"/>
  <c r="BV853" i="6"/>
  <c r="BW853" i="6"/>
  <c r="BX853" i="6"/>
  <c r="BY853" i="6"/>
  <c r="CE853" i="6"/>
  <c r="BJ854" i="6"/>
  <c r="BK854" i="6"/>
  <c r="BD854" i="6" s="1"/>
  <c r="BL854" i="6"/>
  <c r="BE854" i="6" s="1"/>
  <c r="BQ854" i="6"/>
  <c r="BR854" i="6"/>
  <c r="BS854" i="6"/>
  <c r="BU854" i="6"/>
  <c r="BV854" i="6"/>
  <c r="BW854" i="6"/>
  <c r="BX854" i="6"/>
  <c r="BY854" i="6"/>
  <c r="CE854" i="6"/>
  <c r="BJ855" i="6"/>
  <c r="BK855" i="6"/>
  <c r="BD855" i="6" s="1"/>
  <c r="BL855" i="6"/>
  <c r="BE855" i="6" s="1"/>
  <c r="BQ855" i="6"/>
  <c r="BR855" i="6"/>
  <c r="BS855" i="6"/>
  <c r="BU855" i="6"/>
  <c r="BV855" i="6"/>
  <c r="BW855" i="6"/>
  <c r="BX855" i="6"/>
  <c r="BY855" i="6"/>
  <c r="CE855" i="6"/>
  <c r="BJ856" i="6"/>
  <c r="BK856" i="6"/>
  <c r="BD856" i="6" s="1"/>
  <c r="BL856" i="6"/>
  <c r="BE856" i="6" s="1"/>
  <c r="BQ856" i="6"/>
  <c r="BR856" i="6"/>
  <c r="BS856" i="6"/>
  <c r="BU856" i="6"/>
  <c r="BV856" i="6"/>
  <c r="BW856" i="6"/>
  <c r="BX856" i="6"/>
  <c r="BY856" i="6"/>
  <c r="CE856" i="6"/>
  <c r="BJ857" i="6"/>
  <c r="BK857" i="6"/>
  <c r="BD857" i="6" s="1"/>
  <c r="BL857" i="6"/>
  <c r="BE857" i="6" s="1"/>
  <c r="BQ857" i="6"/>
  <c r="BR857" i="6"/>
  <c r="BS857" i="6"/>
  <c r="BU857" i="6"/>
  <c r="BV857" i="6"/>
  <c r="BW857" i="6"/>
  <c r="BX857" i="6"/>
  <c r="BY857" i="6"/>
  <c r="CE857" i="6"/>
  <c r="BJ858" i="6"/>
  <c r="BK858" i="6"/>
  <c r="BD858" i="6" s="1"/>
  <c r="BL858" i="6"/>
  <c r="BQ858" i="6"/>
  <c r="BR858" i="6"/>
  <c r="BS858" i="6"/>
  <c r="BU858" i="6"/>
  <c r="BV858" i="6"/>
  <c r="BW858" i="6"/>
  <c r="BX858" i="6"/>
  <c r="BY858" i="6"/>
  <c r="CE858" i="6"/>
  <c r="BJ859" i="6"/>
  <c r="BK859" i="6"/>
  <c r="BD859" i="6" s="1"/>
  <c r="BL859" i="6"/>
  <c r="BE859" i="6" s="1"/>
  <c r="BQ859" i="6"/>
  <c r="BR859" i="6"/>
  <c r="BS859" i="6"/>
  <c r="BU859" i="6"/>
  <c r="BV859" i="6"/>
  <c r="BW859" i="6"/>
  <c r="BX859" i="6"/>
  <c r="BY859" i="6"/>
  <c r="CE859" i="6"/>
  <c r="BJ860" i="6"/>
  <c r="BK860" i="6"/>
  <c r="BD860" i="6" s="1"/>
  <c r="BL860" i="6"/>
  <c r="BE860" i="6" s="1"/>
  <c r="BQ860" i="6"/>
  <c r="BR860" i="6"/>
  <c r="BS860" i="6"/>
  <c r="BU860" i="6"/>
  <c r="BV860" i="6"/>
  <c r="BW860" i="6"/>
  <c r="BX860" i="6"/>
  <c r="BY860" i="6"/>
  <c r="CE860" i="6"/>
  <c r="BJ687" i="6"/>
  <c r="BK687" i="6"/>
  <c r="BD687" i="6" s="1"/>
  <c r="BL687" i="6"/>
  <c r="BE687" i="6" s="1"/>
  <c r="BQ687" i="6"/>
  <c r="BR687" i="6"/>
  <c r="BS687" i="6"/>
  <c r="BU687" i="6"/>
  <c r="BV687" i="6"/>
  <c r="BW687" i="6"/>
  <c r="BX687" i="6"/>
  <c r="BY687" i="6"/>
  <c r="CE687" i="6"/>
  <c r="BJ688" i="6"/>
  <c r="BK688" i="6"/>
  <c r="BD688" i="6" s="1"/>
  <c r="BL688" i="6"/>
  <c r="BE688" i="6" s="1"/>
  <c r="BQ688" i="6"/>
  <c r="BR688" i="6"/>
  <c r="BS688" i="6"/>
  <c r="BU688" i="6"/>
  <c r="BV688" i="6"/>
  <c r="BW688" i="6"/>
  <c r="BX688" i="6"/>
  <c r="BY688" i="6"/>
  <c r="CE688" i="6"/>
  <c r="BJ689" i="6"/>
  <c r="BK689" i="6"/>
  <c r="BD689" i="6" s="1"/>
  <c r="BL689" i="6"/>
  <c r="BE689" i="6" s="1"/>
  <c r="BQ689" i="6"/>
  <c r="BR689" i="6"/>
  <c r="BS689" i="6"/>
  <c r="BU689" i="6"/>
  <c r="BV689" i="6"/>
  <c r="BW689" i="6"/>
  <c r="BX689" i="6"/>
  <c r="BY689" i="6"/>
  <c r="CE689" i="6"/>
  <c r="BJ690" i="6"/>
  <c r="BK690" i="6"/>
  <c r="BD690" i="6" s="1"/>
  <c r="BL690" i="6"/>
  <c r="BE690" i="6" s="1"/>
  <c r="BQ690" i="6"/>
  <c r="BR690" i="6"/>
  <c r="BS690" i="6"/>
  <c r="BU690" i="6"/>
  <c r="BV690" i="6"/>
  <c r="BW690" i="6"/>
  <c r="BX690" i="6"/>
  <c r="BY690" i="6"/>
  <c r="CE690" i="6"/>
  <c r="BJ691" i="6"/>
  <c r="BK691" i="6"/>
  <c r="BD691" i="6" s="1"/>
  <c r="BL691" i="6"/>
  <c r="BE691" i="6" s="1"/>
  <c r="BQ691" i="6"/>
  <c r="BR691" i="6"/>
  <c r="BS691" i="6"/>
  <c r="BU691" i="6"/>
  <c r="BV691" i="6"/>
  <c r="BW691" i="6"/>
  <c r="BX691" i="6"/>
  <c r="BY691" i="6"/>
  <c r="CE691" i="6"/>
  <c r="BJ692" i="6"/>
  <c r="BK692" i="6"/>
  <c r="BD692" i="6" s="1"/>
  <c r="BL692" i="6"/>
  <c r="BE692" i="6" s="1"/>
  <c r="BQ692" i="6"/>
  <c r="BR692" i="6"/>
  <c r="BS692" i="6"/>
  <c r="BU692" i="6"/>
  <c r="BV692" i="6"/>
  <c r="BW692" i="6"/>
  <c r="BX692" i="6"/>
  <c r="BY692" i="6"/>
  <c r="CE692" i="6"/>
  <c r="BJ693" i="6"/>
  <c r="BK693" i="6"/>
  <c r="BD693" i="6" s="1"/>
  <c r="BL693" i="6"/>
  <c r="BE693" i="6" s="1"/>
  <c r="BQ693" i="6"/>
  <c r="BR693" i="6"/>
  <c r="BS693" i="6"/>
  <c r="BU693" i="6"/>
  <c r="BV693" i="6"/>
  <c r="BW693" i="6"/>
  <c r="BX693" i="6"/>
  <c r="BY693" i="6"/>
  <c r="CE693" i="6"/>
  <c r="BJ694" i="6"/>
  <c r="BK694" i="6"/>
  <c r="BD694" i="6" s="1"/>
  <c r="BL694" i="6"/>
  <c r="BE694" i="6" s="1"/>
  <c r="BQ694" i="6"/>
  <c r="BR694" i="6"/>
  <c r="BS694" i="6"/>
  <c r="BU694" i="6"/>
  <c r="BV694" i="6"/>
  <c r="BW694" i="6"/>
  <c r="BX694" i="6"/>
  <c r="BY694" i="6"/>
  <c r="CE694" i="6"/>
  <c r="BJ695" i="6"/>
  <c r="BK695" i="6"/>
  <c r="BD695" i="6" s="1"/>
  <c r="BL695" i="6"/>
  <c r="BE695" i="6" s="1"/>
  <c r="BQ695" i="6"/>
  <c r="BR695" i="6"/>
  <c r="BS695" i="6"/>
  <c r="BU695" i="6"/>
  <c r="BV695" i="6"/>
  <c r="BW695" i="6"/>
  <c r="BX695" i="6"/>
  <c r="BY695" i="6"/>
  <c r="CE695" i="6"/>
  <c r="BJ696" i="6"/>
  <c r="BK696" i="6"/>
  <c r="BD696" i="6" s="1"/>
  <c r="BL696" i="6"/>
  <c r="BE696" i="6" s="1"/>
  <c r="BQ696" i="6"/>
  <c r="BR696" i="6"/>
  <c r="BS696" i="6"/>
  <c r="BU696" i="6"/>
  <c r="BV696" i="6"/>
  <c r="BW696" i="6"/>
  <c r="BX696" i="6"/>
  <c r="BY696" i="6"/>
  <c r="CE696" i="6"/>
  <c r="BJ697" i="6"/>
  <c r="BK697" i="6"/>
  <c r="BD697" i="6" s="1"/>
  <c r="BL697" i="6"/>
  <c r="BE697" i="6" s="1"/>
  <c r="BQ697" i="6"/>
  <c r="BR697" i="6"/>
  <c r="BS697" i="6"/>
  <c r="BU697" i="6"/>
  <c r="BV697" i="6"/>
  <c r="BW697" i="6"/>
  <c r="BX697" i="6"/>
  <c r="BY697" i="6"/>
  <c r="CE697" i="6"/>
  <c r="BJ698" i="6"/>
  <c r="BK698" i="6"/>
  <c r="BD698" i="6" s="1"/>
  <c r="BL698" i="6"/>
  <c r="BE698" i="6" s="1"/>
  <c r="BQ698" i="6"/>
  <c r="BR698" i="6"/>
  <c r="BS698" i="6"/>
  <c r="BU698" i="6"/>
  <c r="BV698" i="6"/>
  <c r="BW698" i="6"/>
  <c r="BX698" i="6"/>
  <c r="BY698" i="6"/>
  <c r="CE698" i="6"/>
  <c r="BJ861" i="6"/>
  <c r="BK861" i="6"/>
  <c r="BD861" i="6" s="1"/>
  <c r="BL861" i="6"/>
  <c r="BE861" i="6" s="1"/>
  <c r="BQ861" i="6"/>
  <c r="BR861" i="6"/>
  <c r="BS861" i="6"/>
  <c r="BU861" i="6"/>
  <c r="BV861" i="6"/>
  <c r="BW861" i="6"/>
  <c r="BX861" i="6"/>
  <c r="BY861" i="6"/>
  <c r="CE861" i="6"/>
  <c r="BJ862" i="6"/>
  <c r="BK862" i="6"/>
  <c r="BD862" i="6" s="1"/>
  <c r="BL862" i="6"/>
  <c r="BE862" i="6" s="1"/>
  <c r="BQ862" i="6"/>
  <c r="BR862" i="6"/>
  <c r="BS862" i="6"/>
  <c r="BU862" i="6"/>
  <c r="BV862" i="6"/>
  <c r="BW862" i="6"/>
  <c r="BX862" i="6"/>
  <c r="BY862" i="6"/>
  <c r="CE862" i="6"/>
  <c r="BJ863" i="6"/>
  <c r="BK863" i="6"/>
  <c r="BD863" i="6" s="1"/>
  <c r="BL863" i="6"/>
  <c r="BE863" i="6" s="1"/>
  <c r="BQ863" i="6"/>
  <c r="BR863" i="6"/>
  <c r="BS863" i="6"/>
  <c r="BU863" i="6"/>
  <c r="BV863" i="6"/>
  <c r="BW863" i="6"/>
  <c r="BX863" i="6"/>
  <c r="BY863" i="6"/>
  <c r="CE863" i="6"/>
  <c r="BJ864" i="6"/>
  <c r="BK864" i="6"/>
  <c r="BD864" i="6" s="1"/>
  <c r="BL864" i="6"/>
  <c r="BE864" i="6" s="1"/>
  <c r="BQ864" i="6"/>
  <c r="BR864" i="6"/>
  <c r="BS864" i="6"/>
  <c r="BU864" i="6"/>
  <c r="BV864" i="6"/>
  <c r="BW864" i="6"/>
  <c r="BX864" i="6"/>
  <c r="BY864" i="6"/>
  <c r="CE864" i="6"/>
  <c r="BJ865" i="6"/>
  <c r="BK865" i="6"/>
  <c r="BD865" i="6" s="1"/>
  <c r="BL865" i="6"/>
  <c r="BE865" i="6" s="1"/>
  <c r="BQ865" i="6"/>
  <c r="BR865" i="6"/>
  <c r="BS865" i="6"/>
  <c r="BU865" i="6"/>
  <c r="BV865" i="6"/>
  <c r="BW865" i="6"/>
  <c r="BX865" i="6"/>
  <c r="BY865" i="6"/>
  <c r="CE865" i="6"/>
  <c r="BJ866" i="6"/>
  <c r="BK866" i="6"/>
  <c r="BD866" i="6" s="1"/>
  <c r="BL866" i="6"/>
  <c r="BE866" i="6" s="1"/>
  <c r="BQ866" i="6"/>
  <c r="BR866" i="6"/>
  <c r="BS866" i="6"/>
  <c r="BU866" i="6"/>
  <c r="BV866" i="6"/>
  <c r="BW866" i="6"/>
  <c r="BX866" i="6"/>
  <c r="BY866" i="6"/>
  <c r="CE866" i="6"/>
  <c r="BJ867" i="6"/>
  <c r="BK867" i="6"/>
  <c r="BD867" i="6" s="1"/>
  <c r="BL867" i="6"/>
  <c r="BE867" i="6" s="1"/>
  <c r="BQ867" i="6"/>
  <c r="BR867" i="6"/>
  <c r="BS867" i="6"/>
  <c r="BU867" i="6"/>
  <c r="BV867" i="6"/>
  <c r="BW867" i="6"/>
  <c r="BX867" i="6"/>
  <c r="BY867" i="6"/>
  <c r="CE867" i="6"/>
  <c r="BJ868" i="6"/>
  <c r="BK868" i="6"/>
  <c r="BD868" i="6" s="1"/>
  <c r="BL868" i="6"/>
  <c r="BE868" i="6" s="1"/>
  <c r="BQ868" i="6"/>
  <c r="BR868" i="6"/>
  <c r="BS868" i="6"/>
  <c r="BU868" i="6"/>
  <c r="BV868" i="6"/>
  <c r="BW868" i="6"/>
  <c r="BX868" i="6"/>
  <c r="BY868" i="6"/>
  <c r="CE868" i="6"/>
  <c r="BJ869" i="6"/>
  <c r="BK869" i="6"/>
  <c r="BD869" i="6" s="1"/>
  <c r="BL869" i="6"/>
  <c r="BE869" i="6" s="1"/>
  <c r="BQ869" i="6"/>
  <c r="BR869" i="6"/>
  <c r="BS869" i="6"/>
  <c r="BU869" i="6"/>
  <c r="BV869" i="6"/>
  <c r="BW869" i="6"/>
  <c r="BX869" i="6"/>
  <c r="BY869" i="6"/>
  <c r="CE869" i="6"/>
  <c r="BJ870" i="6"/>
  <c r="BK870" i="6"/>
  <c r="BD870" i="6" s="1"/>
  <c r="BL870" i="6"/>
  <c r="BE870" i="6" s="1"/>
  <c r="BQ870" i="6"/>
  <c r="BR870" i="6"/>
  <c r="BS870" i="6"/>
  <c r="BU870" i="6"/>
  <c r="BV870" i="6"/>
  <c r="BW870" i="6"/>
  <c r="BX870" i="6"/>
  <c r="BY870" i="6"/>
  <c r="CE870" i="6"/>
  <c r="BJ871" i="6"/>
  <c r="BK871" i="6"/>
  <c r="BD871" i="6" s="1"/>
  <c r="BL871" i="6"/>
  <c r="BE871" i="6" s="1"/>
  <c r="BQ871" i="6"/>
  <c r="BR871" i="6"/>
  <c r="BS871" i="6"/>
  <c r="BU871" i="6"/>
  <c r="BV871" i="6"/>
  <c r="BW871" i="6"/>
  <c r="BX871" i="6"/>
  <c r="BY871" i="6"/>
  <c r="CE871" i="6"/>
  <c r="BJ872" i="6"/>
  <c r="BK872" i="6"/>
  <c r="BD872" i="6" s="1"/>
  <c r="BL872" i="6"/>
  <c r="BE872" i="6" s="1"/>
  <c r="BQ872" i="6"/>
  <c r="BR872" i="6"/>
  <c r="BS872" i="6"/>
  <c r="BU872" i="6"/>
  <c r="BV872" i="6"/>
  <c r="BW872" i="6"/>
  <c r="BX872" i="6"/>
  <c r="BY872" i="6"/>
  <c r="CE872" i="6"/>
  <c r="BJ741" i="6"/>
  <c r="BK741" i="6"/>
  <c r="BD741" i="6" s="1"/>
  <c r="BL741" i="6"/>
  <c r="BE741" i="6" s="1"/>
  <c r="BQ741" i="6"/>
  <c r="BR741" i="6"/>
  <c r="BS741" i="6"/>
  <c r="BU741" i="6"/>
  <c r="BV741" i="6"/>
  <c r="BW741" i="6"/>
  <c r="BX741" i="6"/>
  <c r="BY741" i="6"/>
  <c r="CE741" i="6"/>
  <c r="BJ742" i="6"/>
  <c r="BK742" i="6"/>
  <c r="BD742" i="6" s="1"/>
  <c r="BL742" i="6"/>
  <c r="BE742" i="6" s="1"/>
  <c r="BQ742" i="6"/>
  <c r="BR742" i="6"/>
  <c r="BS742" i="6"/>
  <c r="BU742" i="6"/>
  <c r="BV742" i="6"/>
  <c r="BW742" i="6"/>
  <c r="BX742" i="6"/>
  <c r="BY742" i="6"/>
  <c r="CE742" i="6"/>
  <c r="BJ743" i="6"/>
  <c r="BK743" i="6"/>
  <c r="BD743" i="6" s="1"/>
  <c r="BL743" i="6"/>
  <c r="BE743" i="6" s="1"/>
  <c r="BQ743" i="6"/>
  <c r="BR743" i="6"/>
  <c r="BS743" i="6"/>
  <c r="BU743" i="6"/>
  <c r="BV743" i="6"/>
  <c r="BW743" i="6"/>
  <c r="BX743" i="6"/>
  <c r="BY743" i="6"/>
  <c r="CE743" i="6"/>
  <c r="BJ744" i="6"/>
  <c r="BK744" i="6"/>
  <c r="BD744" i="6" s="1"/>
  <c r="BL744" i="6"/>
  <c r="BE744" i="6" s="1"/>
  <c r="BQ744" i="6"/>
  <c r="BR744" i="6"/>
  <c r="BS744" i="6"/>
  <c r="BU744" i="6"/>
  <c r="BV744" i="6"/>
  <c r="BW744" i="6"/>
  <c r="BX744" i="6"/>
  <c r="BY744" i="6"/>
  <c r="CE744" i="6"/>
  <c r="BJ745" i="6"/>
  <c r="BK745" i="6"/>
  <c r="BD745" i="6" s="1"/>
  <c r="BL745" i="6"/>
  <c r="BE745" i="6" s="1"/>
  <c r="BQ745" i="6"/>
  <c r="BR745" i="6"/>
  <c r="BS745" i="6"/>
  <c r="BU745" i="6"/>
  <c r="BV745" i="6"/>
  <c r="BW745" i="6"/>
  <c r="BX745" i="6"/>
  <c r="BY745" i="6"/>
  <c r="CE745" i="6"/>
  <c r="BJ746" i="6"/>
  <c r="BK746" i="6"/>
  <c r="BD746" i="6" s="1"/>
  <c r="BL746" i="6"/>
  <c r="BE746" i="6" s="1"/>
  <c r="BQ746" i="6"/>
  <c r="BR746" i="6"/>
  <c r="BS746" i="6"/>
  <c r="BU746" i="6"/>
  <c r="BV746" i="6"/>
  <c r="BW746" i="6"/>
  <c r="BX746" i="6"/>
  <c r="BY746" i="6"/>
  <c r="CE746" i="6"/>
  <c r="BJ747" i="6"/>
  <c r="BK747" i="6"/>
  <c r="BD747" i="6" s="1"/>
  <c r="BL747" i="6"/>
  <c r="BE747" i="6" s="1"/>
  <c r="BQ747" i="6"/>
  <c r="BR747" i="6"/>
  <c r="BS747" i="6"/>
  <c r="BU747" i="6"/>
  <c r="BV747" i="6"/>
  <c r="BW747" i="6"/>
  <c r="BX747" i="6"/>
  <c r="BY747" i="6"/>
  <c r="CE747" i="6"/>
  <c r="BJ748" i="6"/>
  <c r="BK748" i="6"/>
  <c r="BD748" i="6" s="1"/>
  <c r="BL748" i="6"/>
  <c r="BE748" i="6" s="1"/>
  <c r="BQ748" i="6"/>
  <c r="BR748" i="6"/>
  <c r="BS748" i="6"/>
  <c r="BU748" i="6"/>
  <c r="BV748" i="6"/>
  <c r="BW748" i="6"/>
  <c r="BX748" i="6"/>
  <c r="BY748" i="6"/>
  <c r="CE748" i="6"/>
  <c r="BJ749" i="6"/>
  <c r="BK749" i="6"/>
  <c r="BD749" i="6" s="1"/>
  <c r="BL749" i="6"/>
  <c r="BE749" i="6" s="1"/>
  <c r="BQ749" i="6"/>
  <c r="BR749" i="6"/>
  <c r="BS749" i="6"/>
  <c r="BU749" i="6"/>
  <c r="BV749" i="6"/>
  <c r="BW749" i="6"/>
  <c r="BX749" i="6"/>
  <c r="BY749" i="6"/>
  <c r="CE749" i="6"/>
  <c r="BJ750" i="6"/>
  <c r="BK750" i="6"/>
  <c r="BD750" i="6" s="1"/>
  <c r="BL750" i="6"/>
  <c r="BE750" i="6" s="1"/>
  <c r="BQ750" i="6"/>
  <c r="BR750" i="6"/>
  <c r="BS750" i="6"/>
  <c r="BU750" i="6"/>
  <c r="BV750" i="6"/>
  <c r="BW750" i="6"/>
  <c r="BX750" i="6"/>
  <c r="BY750" i="6"/>
  <c r="CE750" i="6"/>
  <c r="BJ751" i="6"/>
  <c r="BK751" i="6"/>
  <c r="BD751" i="6" s="1"/>
  <c r="BL751" i="6"/>
  <c r="BE751" i="6" s="1"/>
  <c r="BQ751" i="6"/>
  <c r="BR751" i="6"/>
  <c r="BS751" i="6"/>
  <c r="BU751" i="6"/>
  <c r="BV751" i="6"/>
  <c r="BW751" i="6"/>
  <c r="BX751" i="6"/>
  <c r="BY751" i="6"/>
  <c r="CE751" i="6"/>
  <c r="BJ752" i="6"/>
  <c r="BK752" i="6"/>
  <c r="BD752" i="6" s="1"/>
  <c r="BL752" i="6"/>
  <c r="BE752" i="6" s="1"/>
  <c r="BQ752" i="6"/>
  <c r="BR752" i="6"/>
  <c r="BS752" i="6"/>
  <c r="BU752" i="6"/>
  <c r="BV752" i="6"/>
  <c r="BW752" i="6"/>
  <c r="BX752" i="6"/>
  <c r="BY752" i="6"/>
  <c r="CE752" i="6"/>
  <c r="BJ753" i="6"/>
  <c r="BK753" i="6"/>
  <c r="BD753" i="6" s="1"/>
  <c r="BL753" i="6"/>
  <c r="BE753" i="6" s="1"/>
  <c r="BQ753" i="6"/>
  <c r="BR753" i="6"/>
  <c r="BS753" i="6"/>
  <c r="BU753" i="6"/>
  <c r="BV753" i="6"/>
  <c r="BW753" i="6"/>
  <c r="BX753" i="6"/>
  <c r="BY753" i="6"/>
  <c r="CE753" i="6"/>
  <c r="BJ754" i="6"/>
  <c r="BK754" i="6"/>
  <c r="BD754" i="6" s="1"/>
  <c r="BL754" i="6"/>
  <c r="BE754" i="6" s="1"/>
  <c r="BQ754" i="6"/>
  <c r="BR754" i="6"/>
  <c r="BS754" i="6"/>
  <c r="BU754" i="6"/>
  <c r="BV754" i="6"/>
  <c r="BW754" i="6"/>
  <c r="BX754" i="6"/>
  <c r="BY754" i="6"/>
  <c r="CE754" i="6"/>
  <c r="BJ755" i="6"/>
  <c r="BK755" i="6"/>
  <c r="BD755" i="6" s="1"/>
  <c r="BL755" i="6"/>
  <c r="BE755" i="6" s="1"/>
  <c r="BQ755" i="6"/>
  <c r="BR755" i="6"/>
  <c r="BS755" i="6"/>
  <c r="BU755" i="6"/>
  <c r="BV755" i="6"/>
  <c r="BW755" i="6"/>
  <c r="BX755" i="6"/>
  <c r="BY755" i="6"/>
  <c r="CE755" i="6"/>
  <c r="BJ756" i="6"/>
  <c r="BK756" i="6"/>
  <c r="BD756" i="6" s="1"/>
  <c r="BL756" i="6"/>
  <c r="BE756" i="6" s="1"/>
  <c r="BQ756" i="6"/>
  <c r="BR756" i="6"/>
  <c r="BS756" i="6"/>
  <c r="BU756" i="6"/>
  <c r="BV756" i="6"/>
  <c r="BW756" i="6"/>
  <c r="BX756" i="6"/>
  <c r="BY756" i="6"/>
  <c r="CE756" i="6"/>
  <c r="BJ757" i="6"/>
  <c r="BK757" i="6"/>
  <c r="BD757" i="6" s="1"/>
  <c r="BL757" i="6"/>
  <c r="BE757" i="6" s="1"/>
  <c r="BQ757" i="6"/>
  <c r="BR757" i="6"/>
  <c r="BS757" i="6"/>
  <c r="BU757" i="6"/>
  <c r="BV757" i="6"/>
  <c r="BW757" i="6"/>
  <c r="BX757" i="6"/>
  <c r="BY757" i="6"/>
  <c r="CE757" i="6"/>
  <c r="BJ758" i="6"/>
  <c r="BK758" i="6"/>
  <c r="BD758" i="6" s="1"/>
  <c r="BL758" i="6"/>
  <c r="BE758" i="6" s="1"/>
  <c r="BQ758" i="6"/>
  <c r="BR758" i="6"/>
  <c r="BS758" i="6"/>
  <c r="BU758" i="6"/>
  <c r="BV758" i="6"/>
  <c r="BW758" i="6"/>
  <c r="BX758" i="6"/>
  <c r="BY758" i="6"/>
  <c r="CE758" i="6"/>
  <c r="BJ759" i="6"/>
  <c r="BK759" i="6"/>
  <c r="BD759" i="6" s="1"/>
  <c r="BL759" i="6"/>
  <c r="BE759" i="6" s="1"/>
  <c r="BQ759" i="6"/>
  <c r="BR759" i="6"/>
  <c r="BS759" i="6"/>
  <c r="BU759" i="6"/>
  <c r="BV759" i="6"/>
  <c r="BW759" i="6"/>
  <c r="BX759" i="6"/>
  <c r="BY759" i="6"/>
  <c r="CE759" i="6"/>
  <c r="BJ760" i="6"/>
  <c r="BK760" i="6"/>
  <c r="BD760" i="6" s="1"/>
  <c r="BL760" i="6"/>
  <c r="BE760" i="6" s="1"/>
  <c r="BQ760" i="6"/>
  <c r="BR760" i="6"/>
  <c r="BS760" i="6"/>
  <c r="BU760" i="6"/>
  <c r="BV760" i="6"/>
  <c r="BW760" i="6"/>
  <c r="BX760" i="6"/>
  <c r="BY760" i="6"/>
  <c r="CE760" i="6"/>
  <c r="BJ761" i="6"/>
  <c r="BK761" i="6"/>
  <c r="BD761" i="6" s="1"/>
  <c r="BL761" i="6"/>
  <c r="BE761" i="6" s="1"/>
  <c r="BQ761" i="6"/>
  <c r="BR761" i="6"/>
  <c r="BS761" i="6"/>
  <c r="BU761" i="6"/>
  <c r="BV761" i="6"/>
  <c r="BW761" i="6"/>
  <c r="BX761" i="6"/>
  <c r="BY761" i="6"/>
  <c r="CE761" i="6"/>
  <c r="BJ762" i="6"/>
  <c r="BK762" i="6"/>
  <c r="BD762" i="6" s="1"/>
  <c r="BL762" i="6"/>
  <c r="BE762" i="6" s="1"/>
  <c r="BQ762" i="6"/>
  <c r="BR762" i="6"/>
  <c r="BS762" i="6"/>
  <c r="BU762" i="6"/>
  <c r="BV762" i="6"/>
  <c r="BW762" i="6"/>
  <c r="BX762" i="6"/>
  <c r="BY762" i="6"/>
  <c r="CE762" i="6"/>
  <c r="BJ763" i="6"/>
  <c r="BK763" i="6"/>
  <c r="BD763" i="6" s="1"/>
  <c r="BL763" i="6"/>
  <c r="BE763" i="6" s="1"/>
  <c r="BQ763" i="6"/>
  <c r="BR763" i="6"/>
  <c r="BS763" i="6"/>
  <c r="BU763" i="6"/>
  <c r="BV763" i="6"/>
  <c r="BW763" i="6"/>
  <c r="BX763" i="6"/>
  <c r="BY763" i="6"/>
  <c r="CE763" i="6"/>
  <c r="BJ764" i="6"/>
  <c r="BK764" i="6"/>
  <c r="BD764" i="6" s="1"/>
  <c r="BL764" i="6"/>
  <c r="BE764" i="6" s="1"/>
  <c r="BQ764" i="6"/>
  <c r="BR764" i="6"/>
  <c r="BS764" i="6"/>
  <c r="BU764" i="6"/>
  <c r="BV764" i="6"/>
  <c r="BW764" i="6"/>
  <c r="BX764" i="6"/>
  <c r="BY764" i="6"/>
  <c r="CE764" i="6"/>
  <c r="BJ765" i="6"/>
  <c r="BK765" i="6"/>
  <c r="BD765" i="6" s="1"/>
  <c r="BL765" i="6"/>
  <c r="BE765" i="6" s="1"/>
  <c r="BQ765" i="6"/>
  <c r="BR765" i="6"/>
  <c r="BS765" i="6"/>
  <c r="BU765" i="6"/>
  <c r="BV765" i="6"/>
  <c r="BW765" i="6"/>
  <c r="BX765" i="6"/>
  <c r="BY765" i="6"/>
  <c r="CE765" i="6"/>
  <c r="BJ766" i="6"/>
  <c r="BK766" i="6"/>
  <c r="BD766" i="6" s="1"/>
  <c r="BL766" i="6"/>
  <c r="BE766" i="6" s="1"/>
  <c r="BQ766" i="6"/>
  <c r="BR766" i="6"/>
  <c r="BS766" i="6"/>
  <c r="BU766" i="6"/>
  <c r="BV766" i="6"/>
  <c r="BW766" i="6"/>
  <c r="BX766" i="6"/>
  <c r="BY766" i="6"/>
  <c r="CE766" i="6"/>
  <c r="BJ767" i="6"/>
  <c r="BK767" i="6"/>
  <c r="BD767" i="6" s="1"/>
  <c r="BL767" i="6"/>
  <c r="BE767" i="6" s="1"/>
  <c r="BQ767" i="6"/>
  <c r="BR767" i="6"/>
  <c r="BS767" i="6"/>
  <c r="BU767" i="6"/>
  <c r="BV767" i="6"/>
  <c r="BW767" i="6"/>
  <c r="BX767" i="6"/>
  <c r="BY767" i="6"/>
  <c r="CE767" i="6"/>
  <c r="BJ768" i="6"/>
  <c r="BK768" i="6"/>
  <c r="BD768" i="6" s="1"/>
  <c r="BL768" i="6"/>
  <c r="BE768" i="6" s="1"/>
  <c r="BQ768" i="6"/>
  <c r="BR768" i="6"/>
  <c r="BS768" i="6"/>
  <c r="BU768" i="6"/>
  <c r="BV768" i="6"/>
  <c r="BW768" i="6"/>
  <c r="BX768" i="6"/>
  <c r="BY768" i="6"/>
  <c r="CE768" i="6"/>
  <c r="BJ769" i="6"/>
  <c r="BK769" i="6"/>
  <c r="BD769" i="6" s="1"/>
  <c r="BL769" i="6"/>
  <c r="BE769" i="6" s="1"/>
  <c r="BQ769" i="6"/>
  <c r="BR769" i="6"/>
  <c r="BS769" i="6"/>
  <c r="BU769" i="6"/>
  <c r="BV769" i="6"/>
  <c r="BW769" i="6"/>
  <c r="BX769" i="6"/>
  <c r="BY769" i="6"/>
  <c r="CE769" i="6"/>
  <c r="BJ770" i="6"/>
  <c r="BK770" i="6"/>
  <c r="BD770" i="6" s="1"/>
  <c r="BL770" i="6"/>
  <c r="BE770" i="6" s="1"/>
  <c r="BQ770" i="6"/>
  <c r="BR770" i="6"/>
  <c r="BS770" i="6"/>
  <c r="BU770" i="6"/>
  <c r="BV770" i="6"/>
  <c r="BW770" i="6"/>
  <c r="BX770" i="6"/>
  <c r="BY770" i="6"/>
  <c r="CE770" i="6"/>
  <c r="BJ771" i="6"/>
  <c r="BK771" i="6"/>
  <c r="BD771" i="6" s="1"/>
  <c r="BL771" i="6"/>
  <c r="BE771" i="6" s="1"/>
  <c r="BQ771" i="6"/>
  <c r="BR771" i="6"/>
  <c r="BS771" i="6"/>
  <c r="BU771" i="6"/>
  <c r="BV771" i="6"/>
  <c r="BW771" i="6"/>
  <c r="BX771" i="6"/>
  <c r="BY771" i="6"/>
  <c r="CE771" i="6"/>
  <c r="BJ772" i="6"/>
  <c r="BK772" i="6"/>
  <c r="BD772" i="6" s="1"/>
  <c r="BL772" i="6"/>
  <c r="BE772" i="6" s="1"/>
  <c r="BQ772" i="6"/>
  <c r="BR772" i="6"/>
  <c r="BS772" i="6"/>
  <c r="BU772" i="6"/>
  <c r="BV772" i="6"/>
  <c r="BW772" i="6"/>
  <c r="BX772" i="6"/>
  <c r="BY772" i="6"/>
  <c r="CE772" i="6"/>
  <c r="BJ773" i="6"/>
  <c r="BK773" i="6"/>
  <c r="BD773" i="6" s="1"/>
  <c r="BL773" i="6"/>
  <c r="BE773" i="6" s="1"/>
  <c r="BQ773" i="6"/>
  <c r="BR773" i="6"/>
  <c r="BS773" i="6"/>
  <c r="BU773" i="6"/>
  <c r="BV773" i="6"/>
  <c r="BW773" i="6"/>
  <c r="BX773" i="6"/>
  <c r="BY773" i="6"/>
  <c r="CE773" i="6"/>
  <c r="BJ774" i="6"/>
  <c r="BK774" i="6"/>
  <c r="BD774" i="6" s="1"/>
  <c r="BL774" i="6"/>
  <c r="BE774" i="6" s="1"/>
  <c r="BQ774" i="6"/>
  <c r="BR774" i="6"/>
  <c r="BS774" i="6"/>
  <c r="BU774" i="6"/>
  <c r="BV774" i="6"/>
  <c r="BW774" i="6"/>
  <c r="BX774" i="6"/>
  <c r="BY774" i="6"/>
  <c r="CE774" i="6"/>
  <c r="BJ775" i="6"/>
  <c r="BK775" i="6"/>
  <c r="BD775" i="6" s="1"/>
  <c r="BL775" i="6"/>
  <c r="BE775" i="6" s="1"/>
  <c r="BQ775" i="6"/>
  <c r="BR775" i="6"/>
  <c r="BS775" i="6"/>
  <c r="BU775" i="6"/>
  <c r="BV775" i="6"/>
  <c r="BW775" i="6"/>
  <c r="BX775" i="6"/>
  <c r="BY775" i="6"/>
  <c r="CE775" i="6"/>
  <c r="BJ776" i="6"/>
  <c r="BK776" i="6"/>
  <c r="BD776" i="6" s="1"/>
  <c r="BL776" i="6"/>
  <c r="BE776" i="6" s="1"/>
  <c r="BQ776" i="6"/>
  <c r="BR776" i="6"/>
  <c r="BS776" i="6"/>
  <c r="BU776" i="6"/>
  <c r="BV776" i="6"/>
  <c r="BW776" i="6"/>
  <c r="BX776" i="6"/>
  <c r="BY776" i="6"/>
  <c r="CE776" i="6"/>
  <c r="BJ777" i="6"/>
  <c r="BK777" i="6"/>
  <c r="BD777" i="6" s="1"/>
  <c r="BL777" i="6"/>
  <c r="BE777" i="6" s="1"/>
  <c r="BQ777" i="6"/>
  <c r="BR777" i="6"/>
  <c r="BS777" i="6"/>
  <c r="BU777" i="6"/>
  <c r="BV777" i="6"/>
  <c r="BW777" i="6"/>
  <c r="BX777" i="6"/>
  <c r="BY777" i="6"/>
  <c r="CE777" i="6"/>
  <c r="BJ778" i="6"/>
  <c r="BK778" i="6"/>
  <c r="BD778" i="6" s="1"/>
  <c r="BL778" i="6"/>
  <c r="BE778" i="6" s="1"/>
  <c r="BQ778" i="6"/>
  <c r="BR778" i="6"/>
  <c r="BS778" i="6"/>
  <c r="BU778" i="6"/>
  <c r="BV778" i="6"/>
  <c r="BW778" i="6"/>
  <c r="BX778" i="6"/>
  <c r="BY778" i="6"/>
  <c r="CE778" i="6"/>
  <c r="BJ779" i="6"/>
  <c r="BK779" i="6"/>
  <c r="BD779" i="6" s="1"/>
  <c r="BL779" i="6"/>
  <c r="BE779" i="6" s="1"/>
  <c r="BQ779" i="6"/>
  <c r="BR779" i="6"/>
  <c r="BS779" i="6"/>
  <c r="BU779" i="6"/>
  <c r="BV779" i="6"/>
  <c r="BW779" i="6"/>
  <c r="BX779" i="6"/>
  <c r="BY779" i="6"/>
  <c r="CE779" i="6"/>
  <c r="BJ780" i="6"/>
  <c r="BK780" i="6"/>
  <c r="BD780" i="6" s="1"/>
  <c r="BL780" i="6"/>
  <c r="BE780" i="6" s="1"/>
  <c r="BQ780" i="6"/>
  <c r="BR780" i="6"/>
  <c r="BS780" i="6"/>
  <c r="BU780" i="6"/>
  <c r="BV780" i="6"/>
  <c r="BW780" i="6"/>
  <c r="BX780" i="6"/>
  <c r="BY780" i="6"/>
  <c r="CE780" i="6"/>
  <c r="BJ781" i="6"/>
  <c r="BK781" i="6"/>
  <c r="BD781" i="6" s="1"/>
  <c r="BL781" i="6"/>
  <c r="BE781" i="6" s="1"/>
  <c r="BQ781" i="6"/>
  <c r="BR781" i="6"/>
  <c r="BS781" i="6"/>
  <c r="BU781" i="6"/>
  <c r="BV781" i="6"/>
  <c r="BW781" i="6"/>
  <c r="BX781" i="6"/>
  <c r="BY781" i="6"/>
  <c r="CE781" i="6"/>
  <c r="BJ782" i="6"/>
  <c r="BK782" i="6"/>
  <c r="BD782" i="6" s="1"/>
  <c r="BL782" i="6"/>
  <c r="BE782" i="6" s="1"/>
  <c r="BQ782" i="6"/>
  <c r="BR782" i="6"/>
  <c r="BS782" i="6"/>
  <c r="BU782" i="6"/>
  <c r="BV782" i="6"/>
  <c r="BW782" i="6"/>
  <c r="BX782" i="6"/>
  <c r="BY782" i="6"/>
  <c r="CE782" i="6"/>
  <c r="BJ783" i="6"/>
  <c r="BK783" i="6"/>
  <c r="BD783" i="6" s="1"/>
  <c r="BL783" i="6"/>
  <c r="BE783" i="6" s="1"/>
  <c r="BQ783" i="6"/>
  <c r="BR783" i="6"/>
  <c r="BS783" i="6"/>
  <c r="BU783" i="6"/>
  <c r="BV783" i="6"/>
  <c r="BW783" i="6"/>
  <c r="BX783" i="6"/>
  <c r="BY783" i="6"/>
  <c r="CE783" i="6"/>
  <c r="BJ784" i="6"/>
  <c r="BK784" i="6"/>
  <c r="BD784" i="6" s="1"/>
  <c r="BL784" i="6"/>
  <c r="BE784" i="6" s="1"/>
  <c r="BQ784" i="6"/>
  <c r="BR784" i="6"/>
  <c r="BS784" i="6"/>
  <c r="BU784" i="6"/>
  <c r="BV784" i="6"/>
  <c r="BW784" i="6"/>
  <c r="BX784" i="6"/>
  <c r="BY784" i="6"/>
  <c r="CE784" i="6"/>
  <c r="BJ785" i="6"/>
  <c r="BK785" i="6"/>
  <c r="BD785" i="6" s="1"/>
  <c r="BL785" i="6"/>
  <c r="BE785" i="6" s="1"/>
  <c r="BQ785" i="6"/>
  <c r="BR785" i="6"/>
  <c r="BS785" i="6"/>
  <c r="BU785" i="6"/>
  <c r="BV785" i="6"/>
  <c r="BW785" i="6"/>
  <c r="BX785" i="6"/>
  <c r="BY785" i="6"/>
  <c r="CE785" i="6"/>
  <c r="BJ786" i="6"/>
  <c r="BK786" i="6"/>
  <c r="BD786" i="6" s="1"/>
  <c r="BL786" i="6"/>
  <c r="BE786" i="6" s="1"/>
  <c r="BQ786" i="6"/>
  <c r="BR786" i="6"/>
  <c r="BS786" i="6"/>
  <c r="BU786" i="6"/>
  <c r="BV786" i="6"/>
  <c r="BW786" i="6"/>
  <c r="BX786" i="6"/>
  <c r="BY786" i="6"/>
  <c r="CE786" i="6"/>
  <c r="BJ787" i="6"/>
  <c r="BK787" i="6"/>
  <c r="BD787" i="6" s="1"/>
  <c r="BL787" i="6"/>
  <c r="BE787" i="6" s="1"/>
  <c r="BQ787" i="6"/>
  <c r="BR787" i="6"/>
  <c r="BS787" i="6"/>
  <c r="BU787" i="6"/>
  <c r="BV787" i="6"/>
  <c r="BW787" i="6"/>
  <c r="BX787" i="6"/>
  <c r="BY787" i="6"/>
  <c r="CE787" i="6"/>
  <c r="BJ788" i="6"/>
  <c r="BK788" i="6"/>
  <c r="BD788" i="6" s="1"/>
  <c r="BL788" i="6"/>
  <c r="BE788" i="6" s="1"/>
  <c r="BQ788" i="6"/>
  <c r="BR788" i="6"/>
  <c r="BS788" i="6"/>
  <c r="BU788" i="6"/>
  <c r="BV788" i="6"/>
  <c r="BW788" i="6"/>
  <c r="BX788" i="6"/>
  <c r="BY788" i="6"/>
  <c r="CE788" i="6"/>
  <c r="BJ699" i="6"/>
  <c r="BK699" i="6"/>
  <c r="BD699" i="6" s="1"/>
  <c r="BL699" i="6"/>
  <c r="BE699" i="6" s="1"/>
  <c r="BQ699" i="6"/>
  <c r="BR699" i="6"/>
  <c r="BS699" i="6"/>
  <c r="BU699" i="6"/>
  <c r="BV699" i="6"/>
  <c r="BW699" i="6"/>
  <c r="BX699" i="6"/>
  <c r="BY699" i="6"/>
  <c r="CE699" i="6"/>
  <c r="BJ700" i="6"/>
  <c r="BK700" i="6"/>
  <c r="BD700" i="6" s="1"/>
  <c r="BL700" i="6"/>
  <c r="BE700" i="6" s="1"/>
  <c r="BQ700" i="6"/>
  <c r="BR700" i="6"/>
  <c r="BS700" i="6"/>
  <c r="BU700" i="6"/>
  <c r="BV700" i="6"/>
  <c r="BW700" i="6"/>
  <c r="BX700" i="6"/>
  <c r="BY700" i="6"/>
  <c r="CE700" i="6"/>
  <c r="BJ701" i="6"/>
  <c r="BK701" i="6"/>
  <c r="BD701" i="6" s="1"/>
  <c r="BL701" i="6"/>
  <c r="BE701" i="6" s="1"/>
  <c r="BQ701" i="6"/>
  <c r="BR701" i="6"/>
  <c r="BS701" i="6"/>
  <c r="BU701" i="6"/>
  <c r="BV701" i="6"/>
  <c r="BW701" i="6"/>
  <c r="BX701" i="6"/>
  <c r="BY701" i="6"/>
  <c r="CE701" i="6"/>
  <c r="BJ702" i="6"/>
  <c r="BK702" i="6"/>
  <c r="BD702" i="6" s="1"/>
  <c r="BL702" i="6"/>
  <c r="BE702" i="6" s="1"/>
  <c r="BQ702" i="6"/>
  <c r="BR702" i="6"/>
  <c r="BS702" i="6"/>
  <c r="BU702" i="6"/>
  <c r="BV702" i="6"/>
  <c r="BW702" i="6"/>
  <c r="BX702" i="6"/>
  <c r="BY702" i="6"/>
  <c r="CE702" i="6"/>
  <c r="BJ703" i="6"/>
  <c r="BK703" i="6"/>
  <c r="BD703" i="6" s="1"/>
  <c r="BL703" i="6"/>
  <c r="BE703" i="6" s="1"/>
  <c r="BQ703" i="6"/>
  <c r="BR703" i="6"/>
  <c r="BS703" i="6"/>
  <c r="BU703" i="6"/>
  <c r="BV703" i="6"/>
  <c r="BW703" i="6"/>
  <c r="BX703" i="6"/>
  <c r="BY703" i="6"/>
  <c r="CE703" i="6"/>
  <c r="BJ704" i="6"/>
  <c r="BK704" i="6"/>
  <c r="BD704" i="6" s="1"/>
  <c r="BL704" i="6"/>
  <c r="BE704" i="6" s="1"/>
  <c r="BQ704" i="6"/>
  <c r="BR704" i="6"/>
  <c r="BS704" i="6"/>
  <c r="BU704" i="6"/>
  <c r="BV704" i="6"/>
  <c r="BW704" i="6"/>
  <c r="BX704" i="6"/>
  <c r="BY704" i="6"/>
  <c r="CE704" i="6"/>
  <c r="BW873" i="6"/>
  <c r="BJ873" i="6"/>
  <c r="BQ873" i="6"/>
  <c r="BR873" i="6"/>
  <c r="BS873" i="6"/>
  <c r="BU873" i="6"/>
  <c r="BV873" i="6"/>
  <c r="BX873" i="6"/>
  <c r="BY873" i="6"/>
  <c r="CE873" i="6"/>
  <c r="BJ874" i="6"/>
  <c r="BK874" i="6"/>
  <c r="BD874" i="6" s="1"/>
  <c r="BL874" i="6"/>
  <c r="BE874" i="6" s="1"/>
  <c r="BQ874" i="6"/>
  <c r="BR874" i="6"/>
  <c r="BS874" i="6"/>
  <c r="BU874" i="6"/>
  <c r="BV874" i="6"/>
  <c r="BW874" i="6"/>
  <c r="BX874" i="6"/>
  <c r="BY874" i="6"/>
  <c r="CE874" i="6"/>
  <c r="BJ875" i="6"/>
  <c r="BK875" i="6"/>
  <c r="BD875" i="6" s="1"/>
  <c r="BL875" i="6"/>
  <c r="BE875" i="6" s="1"/>
  <c r="BQ875" i="6"/>
  <c r="BR875" i="6"/>
  <c r="BS875" i="6"/>
  <c r="BU875" i="6"/>
  <c r="BV875" i="6"/>
  <c r="BW875" i="6"/>
  <c r="BX875" i="6"/>
  <c r="BY875" i="6"/>
  <c r="CE875" i="6"/>
  <c r="BJ876" i="6"/>
  <c r="BK876" i="6"/>
  <c r="BD876" i="6" s="1"/>
  <c r="BL876" i="6"/>
  <c r="BE876" i="6" s="1"/>
  <c r="BQ876" i="6"/>
  <c r="BR876" i="6"/>
  <c r="BS876" i="6"/>
  <c r="BU876" i="6"/>
  <c r="BV876" i="6"/>
  <c r="BW876" i="6"/>
  <c r="BX876" i="6"/>
  <c r="BY876" i="6"/>
  <c r="CE876" i="6"/>
  <c r="BJ877" i="6"/>
  <c r="BK877" i="6"/>
  <c r="BD877" i="6" s="1"/>
  <c r="BL877" i="6"/>
  <c r="BE877" i="6" s="1"/>
  <c r="BQ877" i="6"/>
  <c r="BR877" i="6"/>
  <c r="BS877" i="6"/>
  <c r="BU877" i="6"/>
  <c r="BV877" i="6"/>
  <c r="BW877" i="6"/>
  <c r="BX877" i="6"/>
  <c r="BY877" i="6"/>
  <c r="CE877" i="6"/>
  <c r="BJ878" i="6"/>
  <c r="BK878" i="6"/>
  <c r="BD878" i="6" s="1"/>
  <c r="BL878" i="6"/>
  <c r="BE878" i="6" s="1"/>
  <c r="BQ878" i="6"/>
  <c r="BR878" i="6"/>
  <c r="BS878" i="6"/>
  <c r="BU878" i="6"/>
  <c r="BV878" i="6"/>
  <c r="BW878" i="6"/>
  <c r="BX878" i="6"/>
  <c r="BY878" i="6"/>
  <c r="CE878" i="6"/>
  <c r="BJ879" i="6"/>
  <c r="BK879" i="6"/>
  <c r="BD879" i="6" s="1"/>
  <c r="BL879" i="6"/>
  <c r="BE879" i="6" s="1"/>
  <c r="BQ879" i="6"/>
  <c r="BR879" i="6"/>
  <c r="BS879" i="6"/>
  <c r="BU879" i="6"/>
  <c r="BV879" i="6"/>
  <c r="BW879" i="6"/>
  <c r="BX879" i="6"/>
  <c r="BY879" i="6"/>
  <c r="CE879" i="6"/>
  <c r="BJ880" i="6"/>
  <c r="BK880" i="6"/>
  <c r="BD880" i="6" s="1"/>
  <c r="BL880" i="6"/>
  <c r="BE880" i="6" s="1"/>
  <c r="BQ880" i="6"/>
  <c r="BR880" i="6"/>
  <c r="BS880" i="6"/>
  <c r="BU880" i="6"/>
  <c r="BV880" i="6"/>
  <c r="BW880" i="6"/>
  <c r="BX880" i="6"/>
  <c r="BY880" i="6"/>
  <c r="CE880" i="6"/>
  <c r="BJ881" i="6"/>
  <c r="BK881" i="6"/>
  <c r="BD881" i="6" s="1"/>
  <c r="BL881" i="6"/>
  <c r="BE881" i="6" s="1"/>
  <c r="BQ881" i="6"/>
  <c r="BR881" i="6"/>
  <c r="BS881" i="6"/>
  <c r="BU881" i="6"/>
  <c r="BV881" i="6"/>
  <c r="BW881" i="6"/>
  <c r="BX881" i="6"/>
  <c r="BY881" i="6"/>
  <c r="CE881" i="6"/>
  <c r="BJ882" i="6"/>
  <c r="BK882" i="6"/>
  <c r="BD882" i="6" s="1"/>
  <c r="BL882" i="6"/>
  <c r="BE882" i="6" s="1"/>
  <c r="BQ882" i="6"/>
  <c r="BR882" i="6"/>
  <c r="BS882" i="6"/>
  <c r="BU882" i="6"/>
  <c r="BV882" i="6"/>
  <c r="BW882" i="6"/>
  <c r="BX882" i="6"/>
  <c r="BY882" i="6"/>
  <c r="CE882" i="6"/>
  <c r="BJ883" i="6"/>
  <c r="BK883" i="6"/>
  <c r="BD883" i="6" s="1"/>
  <c r="BL883" i="6"/>
  <c r="BE883" i="6" s="1"/>
  <c r="BQ883" i="6"/>
  <c r="BR883" i="6"/>
  <c r="BS883" i="6"/>
  <c r="BU883" i="6"/>
  <c r="BV883" i="6"/>
  <c r="BW883" i="6"/>
  <c r="BX883" i="6"/>
  <c r="BY883" i="6"/>
  <c r="CE883" i="6"/>
  <c r="BJ884" i="6"/>
  <c r="BK884" i="6"/>
  <c r="BD884" i="6" s="1"/>
  <c r="BL884" i="6"/>
  <c r="BE884" i="6" s="1"/>
  <c r="BQ884" i="6"/>
  <c r="BR884" i="6"/>
  <c r="BS884" i="6"/>
  <c r="BU884" i="6"/>
  <c r="BV884" i="6"/>
  <c r="BW884" i="6"/>
  <c r="BX884" i="6"/>
  <c r="BY884" i="6"/>
  <c r="CE884" i="6"/>
  <c r="BJ885" i="6"/>
  <c r="BK885" i="6"/>
  <c r="BD885" i="6" s="1"/>
  <c r="BL885" i="6"/>
  <c r="BE885" i="6" s="1"/>
  <c r="BQ885" i="6"/>
  <c r="BR885" i="6"/>
  <c r="BS885" i="6"/>
  <c r="BU885" i="6"/>
  <c r="BV885" i="6"/>
  <c r="BW885" i="6"/>
  <c r="BX885" i="6"/>
  <c r="BY885" i="6"/>
  <c r="CE885" i="6"/>
  <c r="BJ886" i="6"/>
  <c r="BK886" i="6"/>
  <c r="BD886" i="6" s="1"/>
  <c r="BL886" i="6"/>
  <c r="BE886" i="6" s="1"/>
  <c r="BQ886" i="6"/>
  <c r="BR886" i="6"/>
  <c r="BS886" i="6"/>
  <c r="BU886" i="6"/>
  <c r="BV886" i="6"/>
  <c r="BW886" i="6"/>
  <c r="BX886" i="6"/>
  <c r="BY886" i="6"/>
  <c r="CE886" i="6"/>
  <c r="BJ887" i="6"/>
  <c r="BK887" i="6"/>
  <c r="BD887" i="6" s="1"/>
  <c r="BL887" i="6"/>
  <c r="BE887" i="6" s="1"/>
  <c r="BQ887" i="6"/>
  <c r="BR887" i="6"/>
  <c r="BS887" i="6"/>
  <c r="BU887" i="6"/>
  <c r="BV887" i="6"/>
  <c r="BW887" i="6"/>
  <c r="BX887" i="6"/>
  <c r="BY887" i="6"/>
  <c r="CE887" i="6"/>
  <c r="BJ888" i="6"/>
  <c r="BK888" i="6"/>
  <c r="BD888" i="6" s="1"/>
  <c r="BL888" i="6"/>
  <c r="BE888" i="6" s="1"/>
  <c r="BQ888" i="6"/>
  <c r="BR888" i="6"/>
  <c r="BS888" i="6"/>
  <c r="BU888" i="6"/>
  <c r="BV888" i="6"/>
  <c r="BW888" i="6"/>
  <c r="BX888" i="6"/>
  <c r="BY888" i="6"/>
  <c r="CE888" i="6"/>
  <c r="BJ889" i="6"/>
  <c r="BK889" i="6"/>
  <c r="BD889" i="6" s="1"/>
  <c r="BL889" i="6"/>
  <c r="BE889" i="6" s="1"/>
  <c r="BQ889" i="6"/>
  <c r="BR889" i="6"/>
  <c r="BS889" i="6"/>
  <c r="BU889" i="6"/>
  <c r="BV889" i="6"/>
  <c r="BW889" i="6"/>
  <c r="BX889" i="6"/>
  <c r="BY889" i="6"/>
  <c r="CE889" i="6"/>
  <c r="BJ890" i="6"/>
  <c r="BK890" i="6"/>
  <c r="BD890" i="6" s="1"/>
  <c r="BL890" i="6"/>
  <c r="BE890" i="6" s="1"/>
  <c r="BQ890" i="6"/>
  <c r="BR890" i="6"/>
  <c r="BS890" i="6"/>
  <c r="BU890" i="6"/>
  <c r="BV890" i="6"/>
  <c r="BW890" i="6"/>
  <c r="BX890" i="6"/>
  <c r="BY890" i="6"/>
  <c r="CE890" i="6"/>
  <c r="BJ891" i="6"/>
  <c r="BK891" i="6"/>
  <c r="BD891" i="6" s="1"/>
  <c r="BL891" i="6"/>
  <c r="BQ891" i="6"/>
  <c r="BR891" i="6"/>
  <c r="BS891" i="6"/>
  <c r="BU891" i="6"/>
  <c r="BV891" i="6"/>
  <c r="BW891" i="6"/>
  <c r="BX891" i="6"/>
  <c r="BY891" i="6"/>
  <c r="CE891" i="6"/>
  <c r="BL892" i="6"/>
  <c r="BE892" i="6" s="1"/>
  <c r="BJ892" i="6"/>
  <c r="BQ892" i="6"/>
  <c r="BR892" i="6"/>
  <c r="BS892" i="6"/>
  <c r="BU892" i="6"/>
  <c r="BV892" i="6"/>
  <c r="BW892" i="6"/>
  <c r="BY892" i="6"/>
  <c r="CE892" i="6"/>
  <c r="BJ893" i="6"/>
  <c r="BK893" i="6"/>
  <c r="BD893" i="6" s="1"/>
  <c r="BL893" i="6"/>
  <c r="BE893" i="6" s="1"/>
  <c r="BQ893" i="6"/>
  <c r="BR893" i="6"/>
  <c r="BS893" i="6"/>
  <c r="BU893" i="6"/>
  <c r="BV893" i="6"/>
  <c r="BW893" i="6"/>
  <c r="BX893" i="6"/>
  <c r="BY893" i="6"/>
  <c r="CE893" i="6"/>
  <c r="BJ894" i="6"/>
  <c r="BK894" i="6"/>
  <c r="BD894" i="6" s="1"/>
  <c r="BL894" i="6"/>
  <c r="BE894" i="6" s="1"/>
  <c r="BQ894" i="6"/>
  <c r="BR894" i="6"/>
  <c r="BS894" i="6"/>
  <c r="BU894" i="6"/>
  <c r="BV894" i="6"/>
  <c r="BW894" i="6"/>
  <c r="BX894" i="6"/>
  <c r="BY894" i="6"/>
  <c r="CE894" i="6"/>
  <c r="AV895" i="6"/>
  <c r="BJ895" i="6"/>
  <c r="BQ895" i="6"/>
  <c r="BR895" i="6"/>
  <c r="BS895" i="6"/>
  <c r="BU895" i="6"/>
  <c r="BV895" i="6"/>
  <c r="BX895" i="6"/>
  <c r="BY895" i="6"/>
  <c r="CE895" i="6"/>
  <c r="BJ896" i="6"/>
  <c r="BK896" i="6"/>
  <c r="BD896" i="6" s="1"/>
  <c r="BL896" i="6"/>
  <c r="BE896" i="6" s="1"/>
  <c r="BQ896" i="6"/>
  <c r="BR896" i="6"/>
  <c r="BS896" i="6"/>
  <c r="BU896" i="6"/>
  <c r="BV896" i="6"/>
  <c r="BW896" i="6"/>
  <c r="BX896" i="6"/>
  <c r="BY896" i="6"/>
  <c r="CE896" i="6"/>
  <c r="BJ897" i="6"/>
  <c r="BK897" i="6"/>
  <c r="BD897" i="6" s="1"/>
  <c r="BL897" i="6"/>
  <c r="BE897" i="6" s="1"/>
  <c r="BQ897" i="6"/>
  <c r="BR897" i="6"/>
  <c r="BS897" i="6"/>
  <c r="BU897" i="6"/>
  <c r="BV897" i="6"/>
  <c r="BW897" i="6"/>
  <c r="BX897" i="6"/>
  <c r="BY897" i="6"/>
  <c r="CE897" i="6"/>
  <c r="BJ898" i="6"/>
  <c r="BK898" i="6"/>
  <c r="BD898" i="6" s="1"/>
  <c r="BL898" i="6"/>
  <c r="BE898" i="6" s="1"/>
  <c r="BQ898" i="6"/>
  <c r="BR898" i="6"/>
  <c r="BS898" i="6"/>
  <c r="BU898" i="6"/>
  <c r="BV898" i="6"/>
  <c r="BW898" i="6"/>
  <c r="BX898" i="6"/>
  <c r="BY898" i="6"/>
  <c r="CE898" i="6"/>
  <c r="BJ899" i="6"/>
  <c r="BK899" i="6"/>
  <c r="BD899" i="6" s="1"/>
  <c r="BL899" i="6"/>
  <c r="BE899" i="6" s="1"/>
  <c r="BQ899" i="6"/>
  <c r="BR899" i="6"/>
  <c r="BS899" i="6"/>
  <c r="BU899" i="6"/>
  <c r="BV899" i="6"/>
  <c r="BW899" i="6"/>
  <c r="BX899" i="6"/>
  <c r="BY899" i="6"/>
  <c r="CE899" i="6"/>
  <c r="BJ900" i="6"/>
  <c r="BK900" i="6"/>
  <c r="BD900" i="6" s="1"/>
  <c r="BL900" i="6"/>
  <c r="BE900" i="6" s="1"/>
  <c r="BQ900" i="6"/>
  <c r="BR900" i="6"/>
  <c r="BS900" i="6"/>
  <c r="BU900" i="6"/>
  <c r="BV900" i="6"/>
  <c r="BW900" i="6"/>
  <c r="BX900" i="6"/>
  <c r="BY900" i="6"/>
  <c r="CE900" i="6"/>
  <c r="BJ901" i="6"/>
  <c r="BK901" i="6"/>
  <c r="BD901" i="6" s="1"/>
  <c r="BL901" i="6"/>
  <c r="BE901" i="6" s="1"/>
  <c r="BQ901" i="6"/>
  <c r="BR901" i="6"/>
  <c r="BS901" i="6"/>
  <c r="BU901" i="6"/>
  <c r="BV901" i="6"/>
  <c r="BW901" i="6"/>
  <c r="BX901" i="6"/>
  <c r="BY901" i="6"/>
  <c r="CE901" i="6"/>
  <c r="BJ902" i="6"/>
  <c r="BK902" i="6"/>
  <c r="BD902" i="6" s="1"/>
  <c r="BL902" i="6"/>
  <c r="BE902" i="6" s="1"/>
  <c r="BQ902" i="6"/>
  <c r="BR902" i="6"/>
  <c r="BS902" i="6"/>
  <c r="BU902" i="6"/>
  <c r="BV902" i="6"/>
  <c r="BW902" i="6"/>
  <c r="BX902" i="6"/>
  <c r="BY902" i="6"/>
  <c r="CE902" i="6"/>
  <c r="BJ705" i="6"/>
  <c r="BK705" i="6"/>
  <c r="BD705" i="6" s="1"/>
  <c r="BL705" i="6"/>
  <c r="BE705" i="6" s="1"/>
  <c r="BQ705" i="6"/>
  <c r="BR705" i="6"/>
  <c r="BS705" i="6"/>
  <c r="BU705" i="6"/>
  <c r="BV705" i="6"/>
  <c r="BW705" i="6"/>
  <c r="BX705" i="6"/>
  <c r="BY705" i="6"/>
  <c r="CE705" i="6"/>
  <c r="BJ706" i="6"/>
  <c r="BK706" i="6"/>
  <c r="BD706" i="6" s="1"/>
  <c r="BL706" i="6"/>
  <c r="BE706" i="6" s="1"/>
  <c r="BQ706" i="6"/>
  <c r="BR706" i="6"/>
  <c r="BS706" i="6"/>
  <c r="BU706" i="6"/>
  <c r="BV706" i="6"/>
  <c r="BW706" i="6"/>
  <c r="BX706" i="6"/>
  <c r="BY706" i="6"/>
  <c r="CE706" i="6"/>
  <c r="BJ707" i="6"/>
  <c r="BK707" i="6"/>
  <c r="BD707" i="6" s="1"/>
  <c r="BL707" i="6"/>
  <c r="BE707" i="6" s="1"/>
  <c r="BQ707" i="6"/>
  <c r="BR707" i="6"/>
  <c r="BS707" i="6"/>
  <c r="BU707" i="6"/>
  <c r="BV707" i="6"/>
  <c r="BW707" i="6"/>
  <c r="BX707" i="6"/>
  <c r="BY707" i="6"/>
  <c r="CE707" i="6"/>
  <c r="BJ708" i="6"/>
  <c r="BK708" i="6"/>
  <c r="BD708" i="6" s="1"/>
  <c r="BL708" i="6"/>
  <c r="BE708" i="6" s="1"/>
  <c r="BQ708" i="6"/>
  <c r="BR708" i="6"/>
  <c r="BS708" i="6"/>
  <c r="BU708" i="6"/>
  <c r="BV708" i="6"/>
  <c r="BW708" i="6"/>
  <c r="BX708" i="6"/>
  <c r="BY708" i="6"/>
  <c r="CE708" i="6"/>
  <c r="BJ709" i="6"/>
  <c r="BK709" i="6"/>
  <c r="BD709" i="6" s="1"/>
  <c r="BL709" i="6"/>
  <c r="BE709" i="6" s="1"/>
  <c r="BQ709" i="6"/>
  <c r="BR709" i="6"/>
  <c r="BS709" i="6"/>
  <c r="BU709" i="6"/>
  <c r="BV709" i="6"/>
  <c r="BW709" i="6"/>
  <c r="BX709" i="6"/>
  <c r="BY709" i="6"/>
  <c r="CE709" i="6"/>
  <c r="BJ710" i="6"/>
  <c r="BK710" i="6"/>
  <c r="BD710" i="6" s="1"/>
  <c r="BL710" i="6"/>
  <c r="BE710" i="6" s="1"/>
  <c r="BQ710" i="6"/>
  <c r="BR710" i="6"/>
  <c r="BS710" i="6"/>
  <c r="BU710" i="6"/>
  <c r="BV710" i="6"/>
  <c r="BW710" i="6"/>
  <c r="BX710" i="6"/>
  <c r="BY710" i="6"/>
  <c r="CE710" i="6"/>
  <c r="BJ945" i="6"/>
  <c r="BK945" i="6"/>
  <c r="BD945" i="6" s="1"/>
  <c r="BL945" i="6"/>
  <c r="BE945" i="6" s="1"/>
  <c r="BQ945" i="6"/>
  <c r="BR945" i="6"/>
  <c r="BS945" i="6"/>
  <c r="BU945" i="6"/>
  <c r="BV945" i="6"/>
  <c r="BW945" i="6"/>
  <c r="BX945" i="6"/>
  <c r="BY945" i="6"/>
  <c r="CE945" i="6"/>
  <c r="BJ946" i="6"/>
  <c r="BK946" i="6"/>
  <c r="BD946" i="6" s="1"/>
  <c r="BL946" i="6"/>
  <c r="BE946" i="6" s="1"/>
  <c r="BQ946" i="6"/>
  <c r="BR946" i="6"/>
  <c r="BS946" i="6"/>
  <c r="BU946" i="6"/>
  <c r="BV946" i="6"/>
  <c r="BW946" i="6"/>
  <c r="BX946" i="6"/>
  <c r="BY946" i="6"/>
  <c r="CE946" i="6"/>
  <c r="BJ947" i="6"/>
  <c r="BK947" i="6"/>
  <c r="BD947" i="6" s="1"/>
  <c r="BL947" i="6"/>
  <c r="BE947" i="6" s="1"/>
  <c r="BQ947" i="6"/>
  <c r="BR947" i="6"/>
  <c r="BS947" i="6"/>
  <c r="BU947" i="6"/>
  <c r="BV947" i="6"/>
  <c r="BW947" i="6"/>
  <c r="BX947" i="6"/>
  <c r="BY947" i="6"/>
  <c r="CE947" i="6"/>
  <c r="BJ948" i="6"/>
  <c r="BK948" i="6"/>
  <c r="BD948" i="6" s="1"/>
  <c r="BL948" i="6"/>
  <c r="BE948" i="6" s="1"/>
  <c r="BQ948" i="6"/>
  <c r="BR948" i="6"/>
  <c r="BS948" i="6"/>
  <c r="BU948" i="6"/>
  <c r="BV948" i="6"/>
  <c r="BW948" i="6"/>
  <c r="BX948" i="6"/>
  <c r="BY948" i="6"/>
  <c r="CE948" i="6"/>
  <c r="BJ949" i="6"/>
  <c r="BK949" i="6"/>
  <c r="BD949" i="6" s="1"/>
  <c r="BL949" i="6"/>
  <c r="BE949" i="6" s="1"/>
  <c r="BQ949" i="6"/>
  <c r="BR949" i="6"/>
  <c r="BS949" i="6"/>
  <c r="BU949" i="6"/>
  <c r="BV949" i="6"/>
  <c r="BW949" i="6"/>
  <c r="BX949" i="6"/>
  <c r="BY949" i="6"/>
  <c r="CE949" i="6"/>
  <c r="BJ950" i="6"/>
  <c r="BK950" i="6"/>
  <c r="BD950" i="6" s="1"/>
  <c r="BL950" i="6"/>
  <c r="BE950" i="6" s="1"/>
  <c r="BQ950" i="6"/>
  <c r="BR950" i="6"/>
  <c r="BS950" i="6"/>
  <c r="BU950" i="6"/>
  <c r="BV950" i="6"/>
  <c r="BW950" i="6"/>
  <c r="BX950" i="6"/>
  <c r="BY950" i="6"/>
  <c r="CE950" i="6"/>
  <c r="BJ903" i="6"/>
  <c r="BK903" i="6"/>
  <c r="BD903" i="6" s="1"/>
  <c r="BL903" i="6"/>
  <c r="BE903" i="6" s="1"/>
  <c r="BQ903" i="6"/>
  <c r="BR903" i="6"/>
  <c r="BS903" i="6"/>
  <c r="BU903" i="6"/>
  <c r="BV903" i="6"/>
  <c r="BW903" i="6"/>
  <c r="BX903" i="6"/>
  <c r="BY903" i="6"/>
  <c r="CE903" i="6"/>
  <c r="BJ904" i="6"/>
  <c r="BK904" i="6"/>
  <c r="BD904" i="6" s="1"/>
  <c r="BL904" i="6"/>
  <c r="BE904" i="6" s="1"/>
  <c r="BQ904" i="6"/>
  <c r="BR904" i="6"/>
  <c r="BS904" i="6"/>
  <c r="BU904" i="6"/>
  <c r="BV904" i="6"/>
  <c r="BW904" i="6"/>
  <c r="BX904" i="6"/>
  <c r="BY904" i="6"/>
  <c r="CE904" i="6"/>
  <c r="BJ905" i="6"/>
  <c r="BK905" i="6"/>
  <c r="BD905" i="6" s="1"/>
  <c r="BL905" i="6"/>
  <c r="BE905" i="6" s="1"/>
  <c r="BQ905" i="6"/>
  <c r="BR905" i="6"/>
  <c r="BS905" i="6"/>
  <c r="BU905" i="6"/>
  <c r="BV905" i="6"/>
  <c r="BW905" i="6"/>
  <c r="BX905" i="6"/>
  <c r="BY905" i="6"/>
  <c r="CE905" i="6"/>
  <c r="BJ906" i="6"/>
  <c r="BK906" i="6"/>
  <c r="BD906" i="6" s="1"/>
  <c r="BL906" i="6"/>
  <c r="BE906" i="6" s="1"/>
  <c r="BQ906" i="6"/>
  <c r="BR906" i="6"/>
  <c r="BS906" i="6"/>
  <c r="BU906" i="6"/>
  <c r="BV906" i="6"/>
  <c r="BW906" i="6"/>
  <c r="BX906" i="6"/>
  <c r="BY906" i="6"/>
  <c r="CE906" i="6"/>
  <c r="BJ907" i="6"/>
  <c r="BK907" i="6"/>
  <c r="BD907" i="6" s="1"/>
  <c r="BL907" i="6"/>
  <c r="BE907" i="6" s="1"/>
  <c r="BQ907" i="6"/>
  <c r="BR907" i="6"/>
  <c r="BS907" i="6"/>
  <c r="BU907" i="6"/>
  <c r="BV907" i="6"/>
  <c r="BW907" i="6"/>
  <c r="BX907" i="6"/>
  <c r="BY907" i="6"/>
  <c r="CE907" i="6"/>
  <c r="BJ908" i="6"/>
  <c r="BK908" i="6"/>
  <c r="BD908" i="6" s="1"/>
  <c r="BL908" i="6"/>
  <c r="BE908" i="6" s="1"/>
  <c r="BQ908" i="6"/>
  <c r="BR908" i="6"/>
  <c r="BS908" i="6"/>
  <c r="BU908" i="6"/>
  <c r="BV908" i="6"/>
  <c r="BW908" i="6"/>
  <c r="BX908" i="6"/>
  <c r="BY908" i="6"/>
  <c r="CE908" i="6"/>
  <c r="BJ789" i="6"/>
  <c r="BK789" i="6"/>
  <c r="BD789" i="6" s="1"/>
  <c r="BL789" i="6"/>
  <c r="BE789" i="6" s="1"/>
  <c r="BQ789" i="6"/>
  <c r="BR789" i="6"/>
  <c r="BS789" i="6"/>
  <c r="BU789" i="6"/>
  <c r="BV789" i="6"/>
  <c r="BW789" i="6"/>
  <c r="BX789" i="6"/>
  <c r="BY789" i="6"/>
  <c r="CE789" i="6"/>
  <c r="BJ790" i="6"/>
  <c r="BK790" i="6"/>
  <c r="BD790" i="6" s="1"/>
  <c r="BL790" i="6"/>
  <c r="BE790" i="6" s="1"/>
  <c r="BQ790" i="6"/>
  <c r="BR790" i="6"/>
  <c r="BS790" i="6"/>
  <c r="BU790" i="6"/>
  <c r="BV790" i="6"/>
  <c r="BW790" i="6"/>
  <c r="BX790" i="6"/>
  <c r="BY790" i="6"/>
  <c r="CE790" i="6"/>
  <c r="BJ791" i="6"/>
  <c r="BK791" i="6"/>
  <c r="BD791" i="6" s="1"/>
  <c r="BL791" i="6"/>
  <c r="BE791" i="6" s="1"/>
  <c r="BQ791" i="6"/>
  <c r="BR791" i="6"/>
  <c r="BS791" i="6"/>
  <c r="BU791" i="6"/>
  <c r="BV791" i="6"/>
  <c r="BW791" i="6"/>
  <c r="BX791" i="6"/>
  <c r="BY791" i="6"/>
  <c r="CE791" i="6"/>
  <c r="BJ792" i="6"/>
  <c r="BK792" i="6"/>
  <c r="BD792" i="6" s="1"/>
  <c r="BL792" i="6"/>
  <c r="BE792" i="6" s="1"/>
  <c r="BQ792" i="6"/>
  <c r="BR792" i="6"/>
  <c r="BS792" i="6"/>
  <c r="BU792" i="6"/>
  <c r="BV792" i="6"/>
  <c r="BW792" i="6"/>
  <c r="BX792" i="6"/>
  <c r="BY792" i="6"/>
  <c r="CE792" i="6"/>
  <c r="BJ793" i="6"/>
  <c r="BK793" i="6"/>
  <c r="BD793" i="6" s="1"/>
  <c r="BL793" i="6"/>
  <c r="BE793" i="6" s="1"/>
  <c r="BQ793" i="6"/>
  <c r="BR793" i="6"/>
  <c r="BS793" i="6"/>
  <c r="BU793" i="6"/>
  <c r="BV793" i="6"/>
  <c r="BW793" i="6"/>
  <c r="BX793" i="6"/>
  <c r="BY793" i="6"/>
  <c r="CE793" i="6"/>
  <c r="BJ794" i="6"/>
  <c r="BK794" i="6"/>
  <c r="BD794" i="6" s="1"/>
  <c r="BL794" i="6"/>
  <c r="BE794" i="6" s="1"/>
  <c r="BQ794" i="6"/>
  <c r="BR794" i="6"/>
  <c r="BS794" i="6"/>
  <c r="BU794" i="6"/>
  <c r="BV794" i="6"/>
  <c r="BW794" i="6"/>
  <c r="BX794" i="6"/>
  <c r="BY794" i="6"/>
  <c r="CE794" i="6"/>
  <c r="BJ795" i="6"/>
  <c r="BK795" i="6"/>
  <c r="BD795" i="6" s="1"/>
  <c r="BL795" i="6"/>
  <c r="BE795" i="6" s="1"/>
  <c r="BQ795" i="6"/>
  <c r="BR795" i="6"/>
  <c r="BS795" i="6"/>
  <c r="BU795" i="6"/>
  <c r="BV795" i="6"/>
  <c r="BW795" i="6"/>
  <c r="BX795" i="6"/>
  <c r="BY795" i="6"/>
  <c r="CE795" i="6"/>
  <c r="BJ796" i="6"/>
  <c r="BK796" i="6"/>
  <c r="BD796" i="6" s="1"/>
  <c r="BL796" i="6"/>
  <c r="BE796" i="6" s="1"/>
  <c r="BQ796" i="6"/>
  <c r="BR796" i="6"/>
  <c r="BS796" i="6"/>
  <c r="BU796" i="6"/>
  <c r="BV796" i="6"/>
  <c r="BW796" i="6"/>
  <c r="BX796" i="6"/>
  <c r="BY796" i="6"/>
  <c r="CE796" i="6"/>
  <c r="BJ797" i="6"/>
  <c r="BK797" i="6"/>
  <c r="BD797" i="6" s="1"/>
  <c r="BL797" i="6"/>
  <c r="BE797" i="6" s="1"/>
  <c r="BQ797" i="6"/>
  <c r="BR797" i="6"/>
  <c r="BS797" i="6"/>
  <c r="BU797" i="6"/>
  <c r="BV797" i="6"/>
  <c r="BW797" i="6"/>
  <c r="BX797" i="6"/>
  <c r="BY797" i="6"/>
  <c r="CE797" i="6"/>
  <c r="BJ798" i="6"/>
  <c r="BK798" i="6"/>
  <c r="BD798" i="6" s="1"/>
  <c r="BL798" i="6"/>
  <c r="BE798" i="6" s="1"/>
  <c r="BQ798" i="6"/>
  <c r="BR798" i="6"/>
  <c r="BS798" i="6"/>
  <c r="BU798" i="6"/>
  <c r="BV798" i="6"/>
  <c r="BW798" i="6"/>
  <c r="BX798" i="6"/>
  <c r="BY798" i="6"/>
  <c r="CE798" i="6"/>
  <c r="BJ799" i="6"/>
  <c r="BK799" i="6"/>
  <c r="BD799" i="6" s="1"/>
  <c r="BL799" i="6"/>
  <c r="BE799" i="6" s="1"/>
  <c r="BQ799" i="6"/>
  <c r="BR799" i="6"/>
  <c r="BS799" i="6"/>
  <c r="BU799" i="6"/>
  <c r="BV799" i="6"/>
  <c r="BW799" i="6"/>
  <c r="BX799" i="6"/>
  <c r="BY799" i="6"/>
  <c r="CE799" i="6"/>
  <c r="BJ800" i="6"/>
  <c r="BK800" i="6"/>
  <c r="BD800" i="6" s="1"/>
  <c r="BL800" i="6"/>
  <c r="BE800" i="6" s="1"/>
  <c r="BQ800" i="6"/>
  <c r="BR800" i="6"/>
  <c r="BS800" i="6"/>
  <c r="BU800" i="6"/>
  <c r="BV800" i="6"/>
  <c r="BW800" i="6"/>
  <c r="BX800" i="6"/>
  <c r="BY800" i="6"/>
  <c r="CE800" i="6"/>
  <c r="BJ711" i="6"/>
  <c r="BK711" i="6"/>
  <c r="BD711" i="6" s="1"/>
  <c r="BL711" i="6"/>
  <c r="BE711" i="6" s="1"/>
  <c r="BQ711" i="6"/>
  <c r="BR711" i="6"/>
  <c r="BS711" i="6"/>
  <c r="BU711" i="6"/>
  <c r="BV711" i="6"/>
  <c r="BW711" i="6"/>
  <c r="BX711" i="6"/>
  <c r="BY711" i="6"/>
  <c r="CE711" i="6"/>
  <c r="BJ712" i="6"/>
  <c r="BK712" i="6"/>
  <c r="BD712" i="6" s="1"/>
  <c r="BL712" i="6"/>
  <c r="BE712" i="6" s="1"/>
  <c r="BQ712" i="6"/>
  <c r="BR712" i="6"/>
  <c r="BS712" i="6"/>
  <c r="BU712" i="6"/>
  <c r="BV712" i="6"/>
  <c r="BW712" i="6"/>
  <c r="BX712" i="6"/>
  <c r="BY712" i="6"/>
  <c r="CE712" i="6"/>
  <c r="BJ713" i="6"/>
  <c r="BK713" i="6"/>
  <c r="BD713" i="6" s="1"/>
  <c r="BL713" i="6"/>
  <c r="BE713" i="6" s="1"/>
  <c r="BQ713" i="6"/>
  <c r="BR713" i="6"/>
  <c r="BS713" i="6"/>
  <c r="BU713" i="6"/>
  <c r="BV713" i="6"/>
  <c r="BW713" i="6"/>
  <c r="BX713" i="6"/>
  <c r="BY713" i="6"/>
  <c r="CE713" i="6"/>
  <c r="BJ714" i="6"/>
  <c r="BK714" i="6"/>
  <c r="BD714" i="6" s="1"/>
  <c r="BL714" i="6"/>
  <c r="BE714" i="6" s="1"/>
  <c r="BQ714" i="6"/>
  <c r="BR714" i="6"/>
  <c r="BS714" i="6"/>
  <c r="BU714" i="6"/>
  <c r="BV714" i="6"/>
  <c r="BW714" i="6"/>
  <c r="BX714" i="6"/>
  <c r="BY714" i="6"/>
  <c r="CE714" i="6"/>
  <c r="BJ715" i="6"/>
  <c r="BK715" i="6"/>
  <c r="BD715" i="6" s="1"/>
  <c r="BL715" i="6"/>
  <c r="BE715" i="6" s="1"/>
  <c r="BQ715" i="6"/>
  <c r="BR715" i="6"/>
  <c r="BS715" i="6"/>
  <c r="BU715" i="6"/>
  <c r="BV715" i="6"/>
  <c r="BW715" i="6"/>
  <c r="BX715" i="6"/>
  <c r="BY715" i="6"/>
  <c r="CE715" i="6"/>
  <c r="BJ716" i="6"/>
  <c r="BK716" i="6"/>
  <c r="BD716" i="6" s="1"/>
  <c r="BL716" i="6"/>
  <c r="BE716" i="6" s="1"/>
  <c r="BQ716" i="6"/>
  <c r="BR716" i="6"/>
  <c r="BS716" i="6"/>
  <c r="BU716" i="6"/>
  <c r="BV716" i="6"/>
  <c r="BW716" i="6"/>
  <c r="BX716" i="6"/>
  <c r="BY716" i="6"/>
  <c r="CE716" i="6"/>
  <c r="BJ915" i="6"/>
  <c r="BK915" i="6"/>
  <c r="BD915" i="6" s="1"/>
  <c r="BL915" i="6"/>
  <c r="BE915" i="6" s="1"/>
  <c r="BQ915" i="6"/>
  <c r="BR915" i="6"/>
  <c r="BS915" i="6"/>
  <c r="BU915" i="6"/>
  <c r="BV915" i="6"/>
  <c r="BW915" i="6"/>
  <c r="BX915" i="6"/>
  <c r="BY915" i="6"/>
  <c r="CE915" i="6"/>
  <c r="BJ916" i="6"/>
  <c r="BK916" i="6"/>
  <c r="BD916" i="6" s="1"/>
  <c r="BL916" i="6"/>
  <c r="BE916" i="6" s="1"/>
  <c r="BQ916" i="6"/>
  <c r="BR916" i="6"/>
  <c r="BS916" i="6"/>
  <c r="BU916" i="6"/>
  <c r="BV916" i="6"/>
  <c r="BW916" i="6"/>
  <c r="BX916" i="6"/>
  <c r="BY916" i="6"/>
  <c r="CE916" i="6"/>
  <c r="BJ917" i="6"/>
  <c r="BK917" i="6"/>
  <c r="BD917" i="6" s="1"/>
  <c r="BL917" i="6"/>
  <c r="BE917" i="6" s="1"/>
  <c r="BQ917" i="6"/>
  <c r="BR917" i="6"/>
  <c r="BS917" i="6"/>
  <c r="BU917" i="6"/>
  <c r="BV917" i="6"/>
  <c r="BW917" i="6"/>
  <c r="BX917" i="6"/>
  <c r="BY917" i="6"/>
  <c r="CE917" i="6"/>
  <c r="BJ918" i="6"/>
  <c r="BK918" i="6"/>
  <c r="BD918" i="6" s="1"/>
  <c r="BL918" i="6"/>
  <c r="BE918" i="6" s="1"/>
  <c r="BQ918" i="6"/>
  <c r="BR918" i="6"/>
  <c r="BS918" i="6"/>
  <c r="BU918" i="6"/>
  <c r="BV918" i="6"/>
  <c r="BW918" i="6"/>
  <c r="BX918" i="6"/>
  <c r="BY918" i="6"/>
  <c r="CE918" i="6"/>
  <c r="BJ919" i="6"/>
  <c r="BK919" i="6"/>
  <c r="BD919" i="6" s="1"/>
  <c r="BL919" i="6"/>
  <c r="BE919" i="6" s="1"/>
  <c r="BQ919" i="6"/>
  <c r="BR919" i="6"/>
  <c r="BS919" i="6"/>
  <c r="BU919" i="6"/>
  <c r="BV919" i="6"/>
  <c r="BW919" i="6"/>
  <c r="BX919" i="6"/>
  <c r="BY919" i="6"/>
  <c r="CE919" i="6"/>
  <c r="BJ920" i="6"/>
  <c r="BK920" i="6"/>
  <c r="BD920" i="6" s="1"/>
  <c r="BL920" i="6"/>
  <c r="BE920" i="6" s="1"/>
  <c r="BQ920" i="6"/>
  <c r="BR920" i="6"/>
  <c r="BS920" i="6"/>
  <c r="BU920" i="6"/>
  <c r="BV920" i="6"/>
  <c r="BW920" i="6"/>
  <c r="BX920" i="6"/>
  <c r="BY920" i="6"/>
  <c r="CE920" i="6"/>
  <c r="BJ951" i="6"/>
  <c r="BK951" i="6"/>
  <c r="BD951" i="6" s="1"/>
  <c r="BL951" i="6"/>
  <c r="BE951" i="6" s="1"/>
  <c r="BQ951" i="6"/>
  <c r="BR951" i="6"/>
  <c r="BS951" i="6"/>
  <c r="BU951" i="6"/>
  <c r="BV951" i="6"/>
  <c r="BW951" i="6"/>
  <c r="BX951" i="6"/>
  <c r="BY951" i="6"/>
  <c r="CE951" i="6"/>
  <c r="BJ952" i="6"/>
  <c r="BK952" i="6"/>
  <c r="BD952" i="6" s="1"/>
  <c r="BL952" i="6"/>
  <c r="BE952" i="6" s="1"/>
  <c r="BQ952" i="6"/>
  <c r="BR952" i="6"/>
  <c r="BS952" i="6"/>
  <c r="BU952" i="6"/>
  <c r="BV952" i="6"/>
  <c r="BW952" i="6"/>
  <c r="BX952" i="6"/>
  <c r="BY952" i="6"/>
  <c r="CE952" i="6"/>
  <c r="BJ953" i="6"/>
  <c r="BK953" i="6"/>
  <c r="BD953" i="6" s="1"/>
  <c r="BL953" i="6"/>
  <c r="BE953" i="6" s="1"/>
  <c r="BQ953" i="6"/>
  <c r="BR953" i="6"/>
  <c r="BS953" i="6"/>
  <c r="BU953" i="6"/>
  <c r="BV953" i="6"/>
  <c r="BW953" i="6"/>
  <c r="BX953" i="6"/>
  <c r="BY953" i="6"/>
  <c r="CE953" i="6"/>
  <c r="BJ954" i="6"/>
  <c r="BK954" i="6"/>
  <c r="BD954" i="6" s="1"/>
  <c r="BL954" i="6"/>
  <c r="BE954" i="6" s="1"/>
  <c r="BQ954" i="6"/>
  <c r="BR954" i="6"/>
  <c r="BS954" i="6"/>
  <c r="BU954" i="6"/>
  <c r="BV954" i="6"/>
  <c r="BW954" i="6"/>
  <c r="BX954" i="6"/>
  <c r="BY954" i="6"/>
  <c r="CE954" i="6"/>
  <c r="BJ955" i="6"/>
  <c r="BK955" i="6"/>
  <c r="BD955" i="6" s="1"/>
  <c r="BL955" i="6"/>
  <c r="BE955" i="6" s="1"/>
  <c r="BQ955" i="6"/>
  <c r="BR955" i="6"/>
  <c r="BS955" i="6"/>
  <c r="BU955" i="6"/>
  <c r="BV955" i="6"/>
  <c r="BW955" i="6"/>
  <c r="BX955" i="6"/>
  <c r="BY955" i="6"/>
  <c r="CE955" i="6"/>
  <c r="BJ956" i="6"/>
  <c r="BK956" i="6"/>
  <c r="BD956" i="6" s="1"/>
  <c r="BL956" i="6"/>
  <c r="BE956" i="6" s="1"/>
  <c r="BQ956" i="6"/>
  <c r="BR956" i="6"/>
  <c r="BS956" i="6"/>
  <c r="BU956" i="6"/>
  <c r="BV956" i="6"/>
  <c r="BW956" i="6"/>
  <c r="BX956" i="6"/>
  <c r="BY956" i="6"/>
  <c r="CE956" i="6"/>
  <c r="BJ921" i="6"/>
  <c r="BK921" i="6"/>
  <c r="BD921" i="6" s="1"/>
  <c r="BL921" i="6"/>
  <c r="BE921" i="6" s="1"/>
  <c r="BQ921" i="6"/>
  <c r="BR921" i="6"/>
  <c r="BS921" i="6"/>
  <c r="BU921" i="6"/>
  <c r="BV921" i="6"/>
  <c r="BW921" i="6"/>
  <c r="BX921" i="6"/>
  <c r="BY921" i="6"/>
  <c r="CE921" i="6"/>
  <c r="BJ922" i="6"/>
  <c r="BK922" i="6"/>
  <c r="BD922" i="6" s="1"/>
  <c r="BL922" i="6"/>
  <c r="BE922" i="6" s="1"/>
  <c r="BQ922" i="6"/>
  <c r="BR922" i="6"/>
  <c r="BS922" i="6"/>
  <c r="BU922" i="6"/>
  <c r="BV922" i="6"/>
  <c r="BW922" i="6"/>
  <c r="BX922" i="6"/>
  <c r="BY922" i="6"/>
  <c r="CE922" i="6"/>
  <c r="BJ923" i="6"/>
  <c r="BK923" i="6"/>
  <c r="BD923" i="6" s="1"/>
  <c r="BL923" i="6"/>
  <c r="BE923" i="6" s="1"/>
  <c r="BQ923" i="6"/>
  <c r="BR923" i="6"/>
  <c r="BS923" i="6"/>
  <c r="BU923" i="6"/>
  <c r="BV923" i="6"/>
  <c r="BW923" i="6"/>
  <c r="BX923" i="6"/>
  <c r="BY923" i="6"/>
  <c r="CE923" i="6"/>
  <c r="BW924" i="6"/>
  <c r="BJ924" i="6"/>
  <c r="BQ924" i="6"/>
  <c r="BR924" i="6"/>
  <c r="BS924" i="6"/>
  <c r="BU924" i="6"/>
  <c r="BV924" i="6"/>
  <c r="BX924" i="6"/>
  <c r="BY924" i="6"/>
  <c r="CE924" i="6"/>
  <c r="BJ925" i="6"/>
  <c r="BK925" i="6"/>
  <c r="BD925" i="6" s="1"/>
  <c r="BL925" i="6"/>
  <c r="BE925" i="6" s="1"/>
  <c r="BQ925" i="6"/>
  <c r="BR925" i="6"/>
  <c r="BS925" i="6"/>
  <c r="BU925" i="6"/>
  <c r="BV925" i="6"/>
  <c r="BW925" i="6"/>
  <c r="BX925" i="6"/>
  <c r="BY925" i="6"/>
  <c r="CE925" i="6"/>
  <c r="BJ926" i="6"/>
  <c r="BD926" i="6"/>
  <c r="BL926" i="6"/>
  <c r="BE926" i="6" s="1"/>
  <c r="BQ926" i="6"/>
  <c r="BR926" i="6"/>
  <c r="BS926" i="6"/>
  <c r="BU926" i="6"/>
  <c r="BV926" i="6"/>
  <c r="BW926" i="6"/>
  <c r="BX926" i="6"/>
  <c r="BY926" i="6"/>
  <c r="CE926" i="6"/>
  <c r="BJ927" i="6"/>
  <c r="BK927" i="6"/>
  <c r="BD927" i="6" s="1"/>
  <c r="BL927" i="6"/>
  <c r="BE927" i="6" s="1"/>
  <c r="BQ927" i="6"/>
  <c r="BR927" i="6"/>
  <c r="BS927" i="6"/>
  <c r="BU927" i="6"/>
  <c r="BV927" i="6"/>
  <c r="BW927" i="6"/>
  <c r="BX927" i="6"/>
  <c r="BY927" i="6"/>
  <c r="CE927" i="6"/>
  <c r="BJ928" i="6"/>
  <c r="BK928" i="6"/>
  <c r="BD928" i="6" s="1"/>
  <c r="BL928" i="6"/>
  <c r="BE928" i="6" s="1"/>
  <c r="BQ928" i="6"/>
  <c r="BR928" i="6"/>
  <c r="BS928" i="6"/>
  <c r="BU928" i="6"/>
  <c r="BV928" i="6"/>
  <c r="BW928" i="6"/>
  <c r="BX928" i="6"/>
  <c r="BY928" i="6"/>
  <c r="CE928" i="6"/>
  <c r="BJ929" i="6"/>
  <c r="BK929" i="6"/>
  <c r="BD929" i="6" s="1"/>
  <c r="BL929" i="6"/>
  <c r="BE929" i="6" s="1"/>
  <c r="BQ929" i="6"/>
  <c r="BR929" i="6"/>
  <c r="BS929" i="6"/>
  <c r="BU929" i="6"/>
  <c r="BV929" i="6"/>
  <c r="BW929" i="6"/>
  <c r="BX929" i="6"/>
  <c r="BY929" i="6"/>
  <c r="CE929" i="6"/>
  <c r="BJ930" i="6"/>
  <c r="BK930" i="6"/>
  <c r="BD930" i="6" s="1"/>
  <c r="BL930" i="6"/>
  <c r="BE930" i="6" s="1"/>
  <c r="BQ930" i="6"/>
  <c r="BR930" i="6"/>
  <c r="BS930" i="6"/>
  <c r="BU930" i="6"/>
  <c r="BV930" i="6"/>
  <c r="BW930" i="6"/>
  <c r="BX930" i="6"/>
  <c r="BY930" i="6"/>
  <c r="CE930" i="6"/>
  <c r="BJ931" i="6"/>
  <c r="BK931" i="6"/>
  <c r="BD931" i="6" s="1"/>
  <c r="BL931" i="6"/>
  <c r="BE931" i="6" s="1"/>
  <c r="BQ931" i="6"/>
  <c r="BR931" i="6"/>
  <c r="BS931" i="6"/>
  <c r="BU931" i="6"/>
  <c r="BV931" i="6"/>
  <c r="BW931" i="6"/>
  <c r="BX931" i="6"/>
  <c r="BY931" i="6"/>
  <c r="CE931" i="6"/>
  <c r="BJ932" i="6"/>
  <c r="BK932" i="6"/>
  <c r="BD932" i="6" s="1"/>
  <c r="BL932" i="6"/>
  <c r="BE932" i="6" s="1"/>
  <c r="BQ932" i="6"/>
  <c r="BR932" i="6"/>
  <c r="BS932" i="6"/>
  <c r="BU932" i="6"/>
  <c r="BV932" i="6"/>
  <c r="BW932" i="6"/>
  <c r="BX932" i="6"/>
  <c r="BY932" i="6"/>
  <c r="CE932" i="6"/>
  <c r="BJ933" i="6"/>
  <c r="BK933" i="6"/>
  <c r="BD933" i="6" s="1"/>
  <c r="BL933" i="6"/>
  <c r="BE933" i="6" s="1"/>
  <c r="BQ933" i="6"/>
  <c r="BR933" i="6"/>
  <c r="BS933" i="6"/>
  <c r="BU933" i="6"/>
  <c r="BV933" i="6"/>
  <c r="BW933" i="6"/>
  <c r="BX933" i="6"/>
  <c r="BY933" i="6"/>
  <c r="CE933" i="6"/>
  <c r="BJ934" i="6"/>
  <c r="BK934" i="6"/>
  <c r="BD934" i="6" s="1"/>
  <c r="BL934" i="6"/>
  <c r="BE934" i="6" s="1"/>
  <c r="BQ934" i="6"/>
  <c r="BR934" i="6"/>
  <c r="BS934" i="6"/>
  <c r="BU934" i="6"/>
  <c r="BV934" i="6"/>
  <c r="BW934" i="6"/>
  <c r="BX934" i="6"/>
  <c r="BY934" i="6"/>
  <c r="CE934" i="6"/>
  <c r="BJ935" i="6"/>
  <c r="BK935" i="6"/>
  <c r="BD935" i="6" s="1"/>
  <c r="BL935" i="6"/>
  <c r="BE935" i="6" s="1"/>
  <c r="BQ935" i="6"/>
  <c r="BR935" i="6"/>
  <c r="BS935" i="6"/>
  <c r="BU935" i="6"/>
  <c r="BV935" i="6"/>
  <c r="BW935" i="6"/>
  <c r="BX935" i="6"/>
  <c r="BY935" i="6"/>
  <c r="CE935" i="6"/>
  <c r="BJ936" i="6"/>
  <c r="BK936" i="6"/>
  <c r="BD936" i="6" s="1"/>
  <c r="BL936" i="6"/>
  <c r="BQ936" i="6"/>
  <c r="BR936" i="6"/>
  <c r="BS936" i="6"/>
  <c r="BU936" i="6"/>
  <c r="BV936" i="6"/>
  <c r="BW936" i="6"/>
  <c r="BX936" i="6"/>
  <c r="BY936" i="6"/>
  <c r="CE936" i="6"/>
  <c r="BJ937" i="6"/>
  <c r="BK937" i="6"/>
  <c r="BD937" i="6" s="1"/>
  <c r="BL937" i="6"/>
  <c r="BE937" i="6" s="1"/>
  <c r="BQ937" i="6"/>
  <c r="BR937" i="6"/>
  <c r="BS937" i="6"/>
  <c r="BU937" i="6"/>
  <c r="BV937" i="6"/>
  <c r="BW937" i="6"/>
  <c r="BX937" i="6"/>
  <c r="BY937" i="6"/>
  <c r="CE937" i="6"/>
  <c r="BJ938" i="6"/>
  <c r="BK938" i="6"/>
  <c r="BD938" i="6" s="1"/>
  <c r="BL938" i="6"/>
  <c r="BE938" i="6" s="1"/>
  <c r="BQ938" i="6"/>
  <c r="BR938" i="6"/>
  <c r="BS938" i="6"/>
  <c r="BU938" i="6"/>
  <c r="BV938" i="6"/>
  <c r="BW938" i="6"/>
  <c r="BX938" i="6"/>
  <c r="BY938" i="6"/>
  <c r="CE938" i="6"/>
  <c r="BJ717" i="6"/>
  <c r="BK717" i="6"/>
  <c r="BD717" i="6" s="1"/>
  <c r="BL717" i="6"/>
  <c r="BE717" i="6" s="1"/>
  <c r="BQ717" i="6"/>
  <c r="BR717" i="6"/>
  <c r="BS717" i="6"/>
  <c r="BU717" i="6"/>
  <c r="BV717" i="6"/>
  <c r="BW717" i="6"/>
  <c r="BX717" i="6"/>
  <c r="BY717" i="6"/>
  <c r="CE717" i="6"/>
  <c r="BJ718" i="6"/>
  <c r="BK718" i="6"/>
  <c r="BD718" i="6" s="1"/>
  <c r="BL718" i="6"/>
  <c r="BE718" i="6" s="1"/>
  <c r="BQ718" i="6"/>
  <c r="BR718" i="6"/>
  <c r="BS718" i="6"/>
  <c r="BU718" i="6"/>
  <c r="BV718" i="6"/>
  <c r="BW718" i="6"/>
  <c r="BX718" i="6"/>
  <c r="BY718" i="6"/>
  <c r="CE718" i="6"/>
  <c r="BJ719" i="6"/>
  <c r="BK719" i="6"/>
  <c r="BD719" i="6" s="1"/>
  <c r="BL719" i="6"/>
  <c r="BE719" i="6" s="1"/>
  <c r="BQ719" i="6"/>
  <c r="BR719" i="6"/>
  <c r="BS719" i="6"/>
  <c r="BU719" i="6"/>
  <c r="BV719" i="6"/>
  <c r="BW719" i="6"/>
  <c r="BX719" i="6"/>
  <c r="BY719" i="6"/>
  <c r="CE719" i="6"/>
  <c r="BJ720" i="6"/>
  <c r="BK720" i="6"/>
  <c r="BD720" i="6" s="1"/>
  <c r="BL720" i="6"/>
  <c r="BE720" i="6" s="1"/>
  <c r="BQ720" i="6"/>
  <c r="BR720" i="6"/>
  <c r="BS720" i="6"/>
  <c r="BU720" i="6"/>
  <c r="BV720" i="6"/>
  <c r="BW720" i="6"/>
  <c r="BX720" i="6"/>
  <c r="BY720" i="6"/>
  <c r="CE720" i="6"/>
  <c r="BJ721" i="6"/>
  <c r="BK721" i="6"/>
  <c r="BD721" i="6" s="1"/>
  <c r="BL721" i="6"/>
  <c r="BE721" i="6" s="1"/>
  <c r="BQ721" i="6"/>
  <c r="BR721" i="6"/>
  <c r="BS721" i="6"/>
  <c r="BU721" i="6"/>
  <c r="BV721" i="6"/>
  <c r="BW721" i="6"/>
  <c r="BX721" i="6"/>
  <c r="BY721" i="6"/>
  <c r="CE721" i="6"/>
  <c r="BJ722" i="6"/>
  <c r="BK722" i="6"/>
  <c r="BD722" i="6" s="1"/>
  <c r="BL722" i="6"/>
  <c r="BE722" i="6" s="1"/>
  <c r="BQ722" i="6"/>
  <c r="BR722" i="6"/>
  <c r="BS722" i="6"/>
  <c r="BU722" i="6"/>
  <c r="BV722" i="6"/>
  <c r="BW722" i="6"/>
  <c r="BX722" i="6"/>
  <c r="BY722" i="6"/>
  <c r="CE722" i="6"/>
  <c r="BJ939" i="6"/>
  <c r="BK939" i="6"/>
  <c r="BD939" i="6" s="1"/>
  <c r="BL939" i="6"/>
  <c r="BE939" i="6" s="1"/>
  <c r="BQ939" i="6"/>
  <c r="BR939" i="6"/>
  <c r="BS939" i="6"/>
  <c r="BU939" i="6"/>
  <c r="BV939" i="6"/>
  <c r="BW939" i="6"/>
  <c r="BX939" i="6"/>
  <c r="BY939" i="6"/>
  <c r="CE939" i="6"/>
  <c r="BJ940" i="6"/>
  <c r="BK940" i="6"/>
  <c r="BD940" i="6" s="1"/>
  <c r="BL940" i="6"/>
  <c r="BE940" i="6" s="1"/>
  <c r="BQ940" i="6"/>
  <c r="BR940" i="6"/>
  <c r="BS940" i="6"/>
  <c r="BU940" i="6"/>
  <c r="BV940" i="6"/>
  <c r="BW940" i="6"/>
  <c r="BX940" i="6"/>
  <c r="BY940" i="6"/>
  <c r="CE940" i="6"/>
  <c r="BJ941" i="6"/>
  <c r="BK941" i="6"/>
  <c r="BD941" i="6" s="1"/>
  <c r="BL941" i="6"/>
  <c r="BE941" i="6" s="1"/>
  <c r="BQ941" i="6"/>
  <c r="BR941" i="6"/>
  <c r="BS941" i="6"/>
  <c r="BU941" i="6"/>
  <c r="BV941" i="6"/>
  <c r="BW941" i="6"/>
  <c r="BX941" i="6"/>
  <c r="BY941" i="6"/>
  <c r="CE941" i="6"/>
  <c r="BJ942" i="6"/>
  <c r="BK942" i="6"/>
  <c r="BD942" i="6" s="1"/>
  <c r="BL942" i="6"/>
  <c r="BE942" i="6" s="1"/>
  <c r="BQ942" i="6"/>
  <c r="BR942" i="6"/>
  <c r="BS942" i="6"/>
  <c r="BU942" i="6"/>
  <c r="BV942" i="6"/>
  <c r="BW942" i="6"/>
  <c r="BX942" i="6"/>
  <c r="BY942" i="6"/>
  <c r="CE942" i="6"/>
  <c r="BJ943" i="6"/>
  <c r="BK943" i="6"/>
  <c r="BD943" i="6" s="1"/>
  <c r="BL943" i="6"/>
  <c r="BE943" i="6" s="1"/>
  <c r="BQ943" i="6"/>
  <c r="BR943" i="6"/>
  <c r="BS943" i="6"/>
  <c r="BU943" i="6"/>
  <c r="BV943" i="6"/>
  <c r="BW943" i="6"/>
  <c r="BX943" i="6"/>
  <c r="BY943" i="6"/>
  <c r="CE943" i="6"/>
  <c r="BJ944" i="6"/>
  <c r="BK944" i="6"/>
  <c r="BD944" i="6" s="1"/>
  <c r="BL944" i="6"/>
  <c r="BE944" i="6" s="1"/>
  <c r="BQ944" i="6"/>
  <c r="BR944" i="6"/>
  <c r="BS944" i="6"/>
  <c r="BU944" i="6"/>
  <c r="BV944" i="6"/>
  <c r="BW944" i="6"/>
  <c r="BX944" i="6"/>
  <c r="BY944" i="6"/>
  <c r="CE944" i="6"/>
  <c r="BJ723" i="6"/>
  <c r="BK723" i="6"/>
  <c r="BD723" i="6" s="1"/>
  <c r="BL723" i="6"/>
  <c r="BE723" i="6" s="1"/>
  <c r="BQ723" i="6"/>
  <c r="BR723" i="6"/>
  <c r="BS723" i="6"/>
  <c r="BU723" i="6"/>
  <c r="BV723" i="6"/>
  <c r="BW723" i="6"/>
  <c r="BX723" i="6"/>
  <c r="BY723" i="6"/>
  <c r="CE723" i="6"/>
  <c r="BJ724" i="6"/>
  <c r="BK724" i="6"/>
  <c r="BD724" i="6" s="1"/>
  <c r="BL724" i="6"/>
  <c r="BE724" i="6" s="1"/>
  <c r="BQ724" i="6"/>
  <c r="BR724" i="6"/>
  <c r="BS724" i="6"/>
  <c r="BU724" i="6"/>
  <c r="BV724" i="6"/>
  <c r="BW724" i="6"/>
  <c r="BX724" i="6"/>
  <c r="BY724" i="6"/>
  <c r="CE724" i="6"/>
  <c r="BJ725" i="6"/>
  <c r="BK725" i="6"/>
  <c r="BD725" i="6" s="1"/>
  <c r="BL725" i="6"/>
  <c r="BE725" i="6" s="1"/>
  <c r="BQ725" i="6"/>
  <c r="BR725" i="6"/>
  <c r="BS725" i="6"/>
  <c r="BU725" i="6"/>
  <c r="BV725" i="6"/>
  <c r="BW725" i="6"/>
  <c r="BX725" i="6"/>
  <c r="BY725" i="6"/>
  <c r="CE725" i="6"/>
  <c r="BW726" i="6"/>
  <c r="BJ726" i="6"/>
  <c r="BK726" i="6"/>
  <c r="BD726" i="6" s="1"/>
  <c r="BL726" i="6"/>
  <c r="BQ726" i="6"/>
  <c r="BR726" i="6"/>
  <c r="BS726" i="6"/>
  <c r="BU726" i="6"/>
  <c r="BV726" i="6"/>
  <c r="BX726" i="6"/>
  <c r="BY726" i="6"/>
  <c r="CE726" i="6"/>
  <c r="AV727" i="6"/>
  <c r="BJ727" i="6"/>
  <c r="BK727" i="6"/>
  <c r="BD727" i="6" s="1"/>
  <c r="BL727" i="6"/>
  <c r="BE727" i="6" s="1"/>
  <c r="BQ727" i="6"/>
  <c r="BR727" i="6"/>
  <c r="BS727" i="6"/>
  <c r="BU727" i="6"/>
  <c r="BV727" i="6"/>
  <c r="BW727" i="6"/>
  <c r="BX727" i="6"/>
  <c r="BY727" i="6"/>
  <c r="CE727" i="6"/>
  <c r="BJ728" i="6"/>
  <c r="BK728" i="6"/>
  <c r="BD728" i="6" s="1"/>
  <c r="BL728" i="6"/>
  <c r="BE728" i="6" s="1"/>
  <c r="BQ728" i="6"/>
  <c r="BR728" i="6"/>
  <c r="BS728" i="6"/>
  <c r="BU728" i="6"/>
  <c r="BV728" i="6"/>
  <c r="BW728" i="6"/>
  <c r="BX728" i="6"/>
  <c r="BY728" i="6"/>
  <c r="CE728" i="6"/>
  <c r="BJ729" i="6"/>
  <c r="BK729" i="6"/>
  <c r="BD729" i="6" s="1"/>
  <c r="BL729" i="6"/>
  <c r="BE729" i="6" s="1"/>
  <c r="BQ729" i="6"/>
  <c r="BR729" i="6"/>
  <c r="BS729" i="6"/>
  <c r="BU729" i="6"/>
  <c r="BV729" i="6"/>
  <c r="BW729" i="6"/>
  <c r="BX729" i="6"/>
  <c r="BY729" i="6"/>
  <c r="CE729" i="6"/>
  <c r="BJ730" i="6"/>
  <c r="BK730" i="6"/>
  <c r="BD730" i="6" s="1"/>
  <c r="BL730" i="6"/>
  <c r="BE730" i="6" s="1"/>
  <c r="BQ730" i="6"/>
  <c r="BR730" i="6"/>
  <c r="BS730" i="6"/>
  <c r="BU730" i="6"/>
  <c r="BV730" i="6"/>
  <c r="BW730" i="6"/>
  <c r="BX730" i="6"/>
  <c r="BY730" i="6"/>
  <c r="CE730" i="6"/>
  <c r="BJ731" i="6"/>
  <c r="BK731" i="6"/>
  <c r="BD731" i="6" s="1"/>
  <c r="BL731" i="6"/>
  <c r="BE731" i="6" s="1"/>
  <c r="BQ731" i="6"/>
  <c r="BR731" i="6"/>
  <c r="BS731" i="6"/>
  <c r="BU731" i="6"/>
  <c r="BV731" i="6"/>
  <c r="BW731" i="6"/>
  <c r="BX731" i="6"/>
  <c r="BY731" i="6"/>
  <c r="CE731" i="6"/>
  <c r="BJ732" i="6"/>
  <c r="BK732" i="6"/>
  <c r="BD732" i="6" s="1"/>
  <c r="BL732" i="6"/>
  <c r="BE732" i="6" s="1"/>
  <c r="BQ732" i="6"/>
  <c r="BR732" i="6"/>
  <c r="BS732" i="6"/>
  <c r="BU732" i="6"/>
  <c r="BV732" i="6"/>
  <c r="BW732" i="6"/>
  <c r="BX732" i="6"/>
  <c r="BY732" i="6"/>
  <c r="CE732" i="6"/>
  <c r="BJ733" i="6"/>
  <c r="BK733" i="6"/>
  <c r="BD733" i="6" s="1"/>
  <c r="BL733" i="6"/>
  <c r="BQ733" i="6"/>
  <c r="BR733" i="6"/>
  <c r="BS733" i="6"/>
  <c r="BU733" i="6"/>
  <c r="BV733" i="6"/>
  <c r="BW733" i="6"/>
  <c r="BX733" i="6"/>
  <c r="BY733" i="6"/>
  <c r="CE733" i="6"/>
  <c r="BJ734" i="6"/>
  <c r="BK734" i="6"/>
  <c r="BD734" i="6" s="1"/>
  <c r="BL734" i="6"/>
  <c r="BE734" i="6" s="1"/>
  <c r="BQ734" i="6"/>
  <c r="BR734" i="6"/>
  <c r="BS734" i="6"/>
  <c r="BU734" i="6"/>
  <c r="BV734" i="6"/>
  <c r="BW734" i="6"/>
  <c r="BX734" i="6"/>
  <c r="BY734" i="6"/>
  <c r="CE734" i="6"/>
  <c r="BJ735" i="6"/>
  <c r="BK735" i="6"/>
  <c r="BD735" i="6" s="1"/>
  <c r="BL735" i="6"/>
  <c r="BE735" i="6" s="1"/>
  <c r="BQ735" i="6"/>
  <c r="BR735" i="6"/>
  <c r="BS735" i="6"/>
  <c r="BU735" i="6"/>
  <c r="BV735" i="6"/>
  <c r="BW735" i="6"/>
  <c r="BX735" i="6"/>
  <c r="BY735" i="6"/>
  <c r="CE735" i="6"/>
  <c r="BJ736" i="6"/>
  <c r="BK736" i="6"/>
  <c r="BD736" i="6" s="1"/>
  <c r="BL736" i="6"/>
  <c r="BE736" i="6" s="1"/>
  <c r="BQ736" i="6"/>
  <c r="BR736" i="6"/>
  <c r="BS736" i="6"/>
  <c r="BU736" i="6"/>
  <c r="BV736" i="6"/>
  <c r="BW736" i="6"/>
  <c r="BX736" i="6"/>
  <c r="BY736" i="6"/>
  <c r="CE736" i="6"/>
  <c r="BJ737" i="6"/>
  <c r="BK737" i="6"/>
  <c r="BD737" i="6" s="1"/>
  <c r="BL737" i="6"/>
  <c r="BE737" i="6" s="1"/>
  <c r="BQ737" i="6"/>
  <c r="BR737" i="6"/>
  <c r="BS737" i="6"/>
  <c r="BU737" i="6"/>
  <c r="BV737" i="6"/>
  <c r="BW737" i="6"/>
  <c r="BX737" i="6"/>
  <c r="BY737" i="6"/>
  <c r="CE737" i="6"/>
  <c r="BJ738" i="6"/>
  <c r="BK738" i="6"/>
  <c r="BD738" i="6" s="1"/>
  <c r="BL738" i="6"/>
  <c r="BE738" i="6" s="1"/>
  <c r="BQ738" i="6"/>
  <c r="BR738" i="6"/>
  <c r="BS738" i="6"/>
  <c r="BU738" i="6"/>
  <c r="BV738" i="6"/>
  <c r="BW738" i="6"/>
  <c r="BX738" i="6"/>
  <c r="BY738" i="6"/>
  <c r="CE738" i="6"/>
  <c r="BJ739" i="6"/>
  <c r="BK739" i="6"/>
  <c r="BD739" i="6" s="1"/>
  <c r="BL739" i="6"/>
  <c r="BE739" i="6" s="1"/>
  <c r="BQ739" i="6"/>
  <c r="BR739" i="6"/>
  <c r="BS739" i="6"/>
  <c r="BU739" i="6"/>
  <c r="BV739" i="6"/>
  <c r="BW739" i="6"/>
  <c r="BX739" i="6"/>
  <c r="BY739" i="6"/>
  <c r="CE739" i="6"/>
  <c r="BJ740" i="6"/>
  <c r="BK740" i="6"/>
  <c r="BD740" i="6" s="1"/>
  <c r="BL740" i="6"/>
  <c r="BE740" i="6" s="1"/>
  <c r="BQ740" i="6"/>
  <c r="BR740" i="6"/>
  <c r="BS740" i="6"/>
  <c r="BU740" i="6"/>
  <c r="BV740" i="6"/>
  <c r="BW740" i="6"/>
  <c r="BX740" i="6"/>
  <c r="BY740" i="6"/>
  <c r="CE740" i="6"/>
  <c r="BJ1083" i="6"/>
  <c r="BK1083" i="6"/>
  <c r="BD1083" i="6" s="1"/>
  <c r="BL1083" i="6"/>
  <c r="BE1083" i="6" s="1"/>
  <c r="BQ1083" i="6"/>
  <c r="BR1083" i="6"/>
  <c r="BS1083" i="6"/>
  <c r="BU1083" i="6"/>
  <c r="BV1083" i="6"/>
  <c r="BW1083" i="6"/>
  <c r="BX1083" i="6"/>
  <c r="BY1083" i="6"/>
  <c r="CE1083" i="6"/>
  <c r="BJ1084" i="6"/>
  <c r="BK1084" i="6"/>
  <c r="BD1084" i="6" s="1"/>
  <c r="BL1084" i="6"/>
  <c r="BE1084" i="6" s="1"/>
  <c r="BQ1084" i="6"/>
  <c r="BR1084" i="6"/>
  <c r="BS1084" i="6"/>
  <c r="BU1084" i="6"/>
  <c r="BV1084" i="6"/>
  <c r="BW1084" i="6"/>
  <c r="BX1084" i="6"/>
  <c r="BY1084" i="6"/>
  <c r="CE1084" i="6"/>
  <c r="BJ1085" i="6"/>
  <c r="BK1085" i="6"/>
  <c r="BD1085" i="6" s="1"/>
  <c r="BL1085" i="6"/>
  <c r="BE1085" i="6" s="1"/>
  <c r="BQ1085" i="6"/>
  <c r="BR1085" i="6"/>
  <c r="BS1085" i="6"/>
  <c r="BU1085" i="6"/>
  <c r="BV1085" i="6"/>
  <c r="BW1085" i="6"/>
  <c r="BX1085" i="6"/>
  <c r="BY1085" i="6"/>
  <c r="CE1085" i="6"/>
  <c r="BJ1086" i="6"/>
  <c r="BK1086" i="6"/>
  <c r="BD1086" i="6" s="1"/>
  <c r="BL1086" i="6"/>
  <c r="BQ1086" i="6"/>
  <c r="BR1086" i="6"/>
  <c r="BS1086" i="6"/>
  <c r="BU1086" i="6"/>
  <c r="BV1086" i="6"/>
  <c r="BW1086" i="6"/>
  <c r="BX1086" i="6"/>
  <c r="BY1086" i="6"/>
  <c r="CE1086" i="6"/>
  <c r="BJ1087" i="6"/>
  <c r="BK1087" i="6"/>
  <c r="BD1087" i="6" s="1"/>
  <c r="BL1087" i="6"/>
  <c r="BE1087" i="6" s="1"/>
  <c r="BQ1087" i="6"/>
  <c r="BR1087" i="6"/>
  <c r="BS1087" i="6"/>
  <c r="BU1087" i="6"/>
  <c r="BV1087" i="6"/>
  <c r="BW1087" i="6"/>
  <c r="BX1087" i="6"/>
  <c r="BY1087" i="6"/>
  <c r="CE1087" i="6"/>
  <c r="BJ1088" i="6"/>
  <c r="BK1088" i="6"/>
  <c r="BD1088" i="6" s="1"/>
  <c r="BL1088" i="6"/>
  <c r="BE1088" i="6" s="1"/>
  <c r="BQ1088" i="6"/>
  <c r="BR1088" i="6"/>
  <c r="BS1088" i="6"/>
  <c r="BU1088" i="6"/>
  <c r="BV1088" i="6"/>
  <c r="BW1088" i="6"/>
  <c r="BX1088" i="6"/>
  <c r="BY1088" i="6"/>
  <c r="CE1088" i="6"/>
  <c r="BJ981" i="6"/>
  <c r="BK981" i="6"/>
  <c r="BD981" i="6" s="1"/>
  <c r="BL981" i="6"/>
  <c r="BE981" i="6" s="1"/>
  <c r="BQ981" i="6"/>
  <c r="BR981" i="6"/>
  <c r="BS981" i="6"/>
  <c r="BU981" i="6"/>
  <c r="BV981" i="6"/>
  <c r="BW981" i="6"/>
  <c r="BX981" i="6"/>
  <c r="BY981" i="6"/>
  <c r="CE981" i="6"/>
  <c r="BJ982" i="6"/>
  <c r="BK982" i="6"/>
  <c r="BD982" i="6" s="1"/>
  <c r="BL982" i="6"/>
  <c r="BQ982" i="6"/>
  <c r="BR982" i="6"/>
  <c r="BS982" i="6"/>
  <c r="BU982" i="6"/>
  <c r="BV982" i="6"/>
  <c r="BW982" i="6"/>
  <c r="BX982" i="6"/>
  <c r="BY982" i="6"/>
  <c r="CE982" i="6"/>
  <c r="BJ983" i="6"/>
  <c r="BK983" i="6"/>
  <c r="BD983" i="6" s="1"/>
  <c r="BL983" i="6"/>
  <c r="BE983" i="6" s="1"/>
  <c r="BQ983" i="6"/>
  <c r="BR983" i="6"/>
  <c r="BS983" i="6"/>
  <c r="BU983" i="6"/>
  <c r="BV983" i="6"/>
  <c r="BW983" i="6"/>
  <c r="BX983" i="6"/>
  <c r="BY983" i="6"/>
  <c r="CE983" i="6"/>
  <c r="BJ984" i="6"/>
  <c r="BK984" i="6"/>
  <c r="BD984" i="6" s="1"/>
  <c r="BL984" i="6"/>
  <c r="BE984" i="6" s="1"/>
  <c r="BQ984" i="6"/>
  <c r="BR984" i="6"/>
  <c r="BS984" i="6"/>
  <c r="BU984" i="6"/>
  <c r="BV984" i="6"/>
  <c r="BW984" i="6"/>
  <c r="BX984" i="6"/>
  <c r="BY984" i="6"/>
  <c r="CE984" i="6"/>
  <c r="BJ985" i="6"/>
  <c r="BK985" i="6"/>
  <c r="BD985" i="6" s="1"/>
  <c r="BL985" i="6"/>
  <c r="BE985" i="6" s="1"/>
  <c r="BQ985" i="6"/>
  <c r="BR985" i="6"/>
  <c r="BS985" i="6"/>
  <c r="BU985" i="6"/>
  <c r="BV985" i="6"/>
  <c r="BW985" i="6"/>
  <c r="BX985" i="6"/>
  <c r="BY985" i="6"/>
  <c r="CE985" i="6"/>
  <c r="BJ986" i="6"/>
  <c r="BK986" i="6"/>
  <c r="BD986" i="6" s="1"/>
  <c r="BL986" i="6"/>
  <c r="BE986" i="6" s="1"/>
  <c r="BQ986" i="6"/>
  <c r="BR986" i="6"/>
  <c r="BS986" i="6"/>
  <c r="BU986" i="6"/>
  <c r="BV986" i="6"/>
  <c r="BW986" i="6"/>
  <c r="BX986" i="6"/>
  <c r="BY986" i="6"/>
  <c r="CE986" i="6"/>
  <c r="BJ987" i="6"/>
  <c r="BK987" i="6"/>
  <c r="BD987" i="6" s="1"/>
  <c r="BL987" i="6"/>
  <c r="BE987" i="6" s="1"/>
  <c r="BQ987" i="6"/>
  <c r="BR987" i="6"/>
  <c r="BS987" i="6"/>
  <c r="BU987" i="6"/>
  <c r="BV987" i="6"/>
  <c r="BW987" i="6"/>
  <c r="BX987" i="6"/>
  <c r="BY987" i="6"/>
  <c r="CE987" i="6"/>
  <c r="BJ988" i="6"/>
  <c r="BK988" i="6"/>
  <c r="BD988" i="6" s="1"/>
  <c r="BL988" i="6"/>
  <c r="BQ988" i="6"/>
  <c r="BR988" i="6"/>
  <c r="BS988" i="6"/>
  <c r="BU988" i="6"/>
  <c r="BV988" i="6"/>
  <c r="BW988" i="6"/>
  <c r="BX988" i="6"/>
  <c r="BY988" i="6"/>
  <c r="CE988" i="6"/>
  <c r="BJ989" i="6"/>
  <c r="BK989" i="6"/>
  <c r="BD989" i="6" s="1"/>
  <c r="BL989" i="6"/>
  <c r="BE989" i="6" s="1"/>
  <c r="BQ989" i="6"/>
  <c r="BR989" i="6"/>
  <c r="BS989" i="6"/>
  <c r="BU989" i="6"/>
  <c r="BV989" i="6"/>
  <c r="BW989" i="6"/>
  <c r="BX989" i="6"/>
  <c r="BY989" i="6"/>
  <c r="CE989" i="6"/>
  <c r="BK990" i="6"/>
  <c r="BD990" i="6" s="1"/>
  <c r="BJ990" i="6"/>
  <c r="BQ990" i="6"/>
  <c r="BR990" i="6"/>
  <c r="BS990" i="6"/>
  <c r="BU990" i="6"/>
  <c r="BV990" i="6"/>
  <c r="BW990" i="6"/>
  <c r="BX990" i="6"/>
  <c r="BY990" i="6"/>
  <c r="CE990" i="6"/>
  <c r="AV991" i="6"/>
  <c r="BJ991" i="6"/>
  <c r="BK991" i="6"/>
  <c r="BD991" i="6" s="1"/>
  <c r="BL991" i="6"/>
  <c r="BE991" i="6" s="1"/>
  <c r="BQ991" i="6"/>
  <c r="BR991" i="6"/>
  <c r="BS991" i="6"/>
  <c r="BU991" i="6"/>
  <c r="BV991" i="6"/>
  <c r="BW991" i="6"/>
  <c r="BX991" i="6"/>
  <c r="BY991" i="6"/>
  <c r="CE991" i="6"/>
  <c r="BJ992" i="6"/>
  <c r="BK992" i="6"/>
  <c r="BD992" i="6" s="1"/>
  <c r="BL992" i="6"/>
  <c r="BE992" i="6" s="1"/>
  <c r="BQ992" i="6"/>
  <c r="BR992" i="6"/>
  <c r="BS992" i="6"/>
  <c r="BU992" i="6"/>
  <c r="BV992" i="6"/>
  <c r="BW992" i="6"/>
  <c r="BX992" i="6"/>
  <c r="BY992" i="6"/>
  <c r="CE992" i="6"/>
  <c r="BJ993" i="6"/>
  <c r="BK993" i="6"/>
  <c r="BD993" i="6" s="1"/>
  <c r="BL993" i="6"/>
  <c r="BE993" i="6" s="1"/>
  <c r="BQ993" i="6"/>
  <c r="BR993" i="6"/>
  <c r="BS993" i="6"/>
  <c r="BU993" i="6"/>
  <c r="BV993" i="6"/>
  <c r="BW993" i="6"/>
  <c r="BX993" i="6"/>
  <c r="BY993" i="6"/>
  <c r="CE993" i="6"/>
  <c r="BJ994" i="6"/>
  <c r="BK994" i="6"/>
  <c r="BD994" i="6" s="1"/>
  <c r="BL994" i="6"/>
  <c r="BE994" i="6" s="1"/>
  <c r="BQ994" i="6"/>
  <c r="BR994" i="6"/>
  <c r="BS994" i="6"/>
  <c r="BU994" i="6"/>
  <c r="BV994" i="6"/>
  <c r="BW994" i="6"/>
  <c r="BX994" i="6"/>
  <c r="BY994" i="6"/>
  <c r="CE994" i="6"/>
  <c r="BJ995" i="6"/>
  <c r="BK995" i="6"/>
  <c r="BD995" i="6" s="1"/>
  <c r="BL995" i="6"/>
  <c r="BE995" i="6" s="1"/>
  <c r="BQ995" i="6"/>
  <c r="BR995" i="6"/>
  <c r="BS995" i="6"/>
  <c r="BU995" i="6"/>
  <c r="BV995" i="6"/>
  <c r="BW995" i="6"/>
  <c r="BX995" i="6"/>
  <c r="BY995" i="6"/>
  <c r="CE995" i="6"/>
  <c r="BJ996" i="6"/>
  <c r="BK996" i="6"/>
  <c r="BD996" i="6" s="1"/>
  <c r="BL996" i="6"/>
  <c r="BE996" i="6" s="1"/>
  <c r="BQ996" i="6"/>
  <c r="BR996" i="6"/>
  <c r="BS996" i="6"/>
  <c r="BU996" i="6"/>
  <c r="BV996" i="6"/>
  <c r="BW996" i="6"/>
  <c r="BX996" i="6"/>
  <c r="BY996" i="6"/>
  <c r="CE996" i="6"/>
  <c r="BJ997" i="6"/>
  <c r="BK997" i="6"/>
  <c r="BD997" i="6" s="1"/>
  <c r="BL997" i="6"/>
  <c r="BE997" i="6" s="1"/>
  <c r="BQ997" i="6"/>
  <c r="BR997" i="6"/>
  <c r="BS997" i="6"/>
  <c r="BU997" i="6"/>
  <c r="BV997" i="6"/>
  <c r="BW997" i="6"/>
  <c r="BX997" i="6"/>
  <c r="BY997" i="6"/>
  <c r="CE997" i="6"/>
  <c r="BJ998" i="6"/>
  <c r="BK998" i="6"/>
  <c r="BD998" i="6" s="1"/>
  <c r="BL998" i="6"/>
  <c r="BE998" i="6" s="1"/>
  <c r="BQ998" i="6"/>
  <c r="BR998" i="6"/>
  <c r="BS998" i="6"/>
  <c r="BU998" i="6"/>
  <c r="BV998" i="6"/>
  <c r="BW998" i="6"/>
  <c r="BX998" i="6"/>
  <c r="BY998" i="6"/>
  <c r="CE998" i="6"/>
  <c r="BJ1089" i="6"/>
  <c r="BK1089" i="6"/>
  <c r="BD1089" i="6" s="1"/>
  <c r="BL1089" i="6"/>
  <c r="BE1089" i="6" s="1"/>
  <c r="BQ1089" i="6"/>
  <c r="BR1089" i="6"/>
  <c r="BS1089" i="6"/>
  <c r="BU1089" i="6"/>
  <c r="BV1089" i="6"/>
  <c r="BW1089" i="6"/>
  <c r="BX1089" i="6"/>
  <c r="BY1089" i="6"/>
  <c r="CE1089" i="6"/>
  <c r="BJ1090" i="6"/>
  <c r="BK1090" i="6"/>
  <c r="BD1090" i="6" s="1"/>
  <c r="BL1090" i="6"/>
  <c r="BQ1090" i="6"/>
  <c r="BR1090" i="6"/>
  <c r="BS1090" i="6"/>
  <c r="BU1090" i="6"/>
  <c r="BV1090" i="6"/>
  <c r="BW1090" i="6"/>
  <c r="BX1090" i="6"/>
  <c r="BY1090" i="6"/>
  <c r="CE1090" i="6"/>
  <c r="BJ1091" i="6"/>
  <c r="BK1091" i="6"/>
  <c r="BD1091" i="6" s="1"/>
  <c r="BL1091" i="6"/>
  <c r="BE1091" i="6" s="1"/>
  <c r="BQ1091" i="6"/>
  <c r="BR1091" i="6"/>
  <c r="BS1091" i="6"/>
  <c r="BU1091" i="6"/>
  <c r="BV1091" i="6"/>
  <c r="BW1091" i="6"/>
  <c r="BX1091" i="6"/>
  <c r="BY1091" i="6"/>
  <c r="CE1091" i="6"/>
  <c r="BJ1092" i="6"/>
  <c r="BK1092" i="6"/>
  <c r="BD1092" i="6" s="1"/>
  <c r="BL1092" i="6"/>
  <c r="BQ1092" i="6"/>
  <c r="BR1092" i="6"/>
  <c r="BS1092" i="6"/>
  <c r="BU1092" i="6"/>
  <c r="BV1092" i="6"/>
  <c r="BW1092" i="6"/>
  <c r="BX1092" i="6"/>
  <c r="BY1092" i="6"/>
  <c r="CE1092" i="6"/>
  <c r="BJ1093" i="6"/>
  <c r="BK1093" i="6"/>
  <c r="BD1093" i="6" s="1"/>
  <c r="BL1093" i="6"/>
  <c r="BQ1093" i="6"/>
  <c r="BR1093" i="6"/>
  <c r="BS1093" i="6"/>
  <c r="BU1093" i="6"/>
  <c r="BV1093" i="6"/>
  <c r="BW1093" i="6"/>
  <c r="BX1093" i="6"/>
  <c r="BY1093" i="6"/>
  <c r="CE1093" i="6"/>
  <c r="BJ1094" i="6"/>
  <c r="BK1094" i="6"/>
  <c r="BD1094" i="6" s="1"/>
  <c r="BL1094" i="6"/>
  <c r="BE1094" i="6" s="1"/>
  <c r="BQ1094" i="6"/>
  <c r="BR1094" i="6"/>
  <c r="BS1094" i="6"/>
  <c r="BU1094" i="6"/>
  <c r="BV1094" i="6"/>
  <c r="BW1094" i="6"/>
  <c r="BX1094" i="6"/>
  <c r="BY1094" i="6"/>
  <c r="CE1094" i="6"/>
  <c r="BJ1125" i="6"/>
  <c r="BK1125" i="6"/>
  <c r="BD1125" i="6" s="1"/>
  <c r="BL1125" i="6"/>
  <c r="BQ1125" i="6"/>
  <c r="BR1125" i="6"/>
  <c r="BS1125" i="6"/>
  <c r="BU1125" i="6"/>
  <c r="BV1125" i="6"/>
  <c r="BW1125" i="6"/>
  <c r="BX1125" i="6"/>
  <c r="BY1125" i="6"/>
  <c r="CE1125" i="6"/>
  <c r="BJ1126" i="6"/>
  <c r="BK1126" i="6"/>
  <c r="BD1126" i="6" s="1"/>
  <c r="BL1126" i="6"/>
  <c r="BQ1126" i="6"/>
  <c r="BR1126" i="6"/>
  <c r="BS1126" i="6"/>
  <c r="BU1126" i="6"/>
  <c r="BV1126" i="6"/>
  <c r="BW1126" i="6"/>
  <c r="BX1126" i="6"/>
  <c r="BY1126" i="6"/>
  <c r="CE1126" i="6"/>
  <c r="BJ1127" i="6"/>
  <c r="BK1127" i="6"/>
  <c r="BD1127" i="6" s="1"/>
  <c r="BL1127" i="6"/>
  <c r="BE1127" i="6" s="1"/>
  <c r="BQ1127" i="6"/>
  <c r="BR1127" i="6"/>
  <c r="BS1127" i="6"/>
  <c r="BU1127" i="6"/>
  <c r="BV1127" i="6"/>
  <c r="BW1127" i="6"/>
  <c r="BX1127" i="6"/>
  <c r="BY1127" i="6"/>
  <c r="CE1127" i="6"/>
  <c r="BJ1128" i="6"/>
  <c r="BK1128" i="6"/>
  <c r="BD1128" i="6" s="1"/>
  <c r="BL1128" i="6"/>
  <c r="BQ1128" i="6"/>
  <c r="BR1128" i="6"/>
  <c r="BS1128" i="6"/>
  <c r="BU1128" i="6"/>
  <c r="BV1128" i="6"/>
  <c r="BW1128" i="6"/>
  <c r="BX1128" i="6"/>
  <c r="BY1128" i="6"/>
  <c r="CE1128" i="6"/>
  <c r="BJ1129" i="6"/>
  <c r="BK1129" i="6"/>
  <c r="BD1129" i="6" s="1"/>
  <c r="BL1129" i="6"/>
  <c r="BE1129" i="6" s="1"/>
  <c r="BQ1129" i="6"/>
  <c r="BR1129" i="6"/>
  <c r="BS1129" i="6"/>
  <c r="BU1129" i="6"/>
  <c r="BV1129" i="6"/>
  <c r="BW1129" i="6"/>
  <c r="BX1129" i="6"/>
  <c r="BY1129" i="6"/>
  <c r="CE1129" i="6"/>
  <c r="BJ1130" i="6"/>
  <c r="BK1130" i="6"/>
  <c r="BD1130" i="6" s="1"/>
  <c r="BL1130" i="6"/>
  <c r="BE1130" i="6" s="1"/>
  <c r="BQ1130" i="6"/>
  <c r="BR1130" i="6"/>
  <c r="BS1130" i="6"/>
  <c r="BU1130" i="6"/>
  <c r="BV1130" i="6"/>
  <c r="BW1130" i="6"/>
  <c r="BX1130" i="6"/>
  <c r="BY1130" i="6"/>
  <c r="CE1130" i="6"/>
  <c r="BJ1131" i="6"/>
  <c r="BK1131" i="6"/>
  <c r="BD1131" i="6" s="1"/>
  <c r="BL1131" i="6"/>
  <c r="BE1131" i="6" s="1"/>
  <c r="BQ1131" i="6"/>
  <c r="BR1131" i="6"/>
  <c r="BS1131" i="6"/>
  <c r="BU1131" i="6"/>
  <c r="BV1131" i="6"/>
  <c r="BW1131" i="6"/>
  <c r="BX1131" i="6"/>
  <c r="BY1131" i="6"/>
  <c r="CE1131" i="6"/>
  <c r="BJ1132" i="6"/>
  <c r="BK1132" i="6"/>
  <c r="BD1132" i="6" s="1"/>
  <c r="BL1132" i="6"/>
  <c r="BQ1132" i="6"/>
  <c r="BR1132" i="6"/>
  <c r="BS1132" i="6"/>
  <c r="BU1132" i="6"/>
  <c r="BV1132" i="6"/>
  <c r="BW1132" i="6"/>
  <c r="BX1132" i="6"/>
  <c r="BY1132" i="6"/>
  <c r="CE1132" i="6"/>
  <c r="BJ1133" i="6"/>
  <c r="BK1133" i="6"/>
  <c r="BD1133" i="6" s="1"/>
  <c r="BL1133" i="6"/>
  <c r="BE1133" i="6" s="1"/>
  <c r="BQ1133" i="6"/>
  <c r="BR1133" i="6"/>
  <c r="BS1133" i="6"/>
  <c r="BU1133" i="6"/>
  <c r="BV1133" i="6"/>
  <c r="BW1133" i="6"/>
  <c r="BX1133" i="6"/>
  <c r="BY1133" i="6"/>
  <c r="CE1133" i="6"/>
  <c r="BJ1134" i="6"/>
  <c r="BK1134" i="6"/>
  <c r="BD1134" i="6" s="1"/>
  <c r="BL1134" i="6"/>
  <c r="BQ1134" i="6"/>
  <c r="BR1134" i="6"/>
  <c r="BS1134" i="6"/>
  <c r="BU1134" i="6"/>
  <c r="BV1134" i="6"/>
  <c r="BW1134" i="6"/>
  <c r="BX1134" i="6"/>
  <c r="BY1134" i="6"/>
  <c r="CE1134" i="6"/>
  <c r="BJ1135" i="6"/>
  <c r="BK1135" i="6"/>
  <c r="BD1135" i="6" s="1"/>
  <c r="BL1135" i="6"/>
  <c r="BE1135" i="6" s="1"/>
  <c r="BQ1135" i="6"/>
  <c r="BR1135" i="6"/>
  <c r="BS1135" i="6"/>
  <c r="BU1135" i="6"/>
  <c r="BV1135" i="6"/>
  <c r="BW1135" i="6"/>
  <c r="BX1135" i="6"/>
  <c r="BY1135" i="6"/>
  <c r="CE1135" i="6"/>
  <c r="BJ1136" i="6"/>
  <c r="BK1136" i="6"/>
  <c r="BD1136" i="6" s="1"/>
  <c r="BL1136" i="6"/>
  <c r="BE1136" i="6" s="1"/>
  <c r="BQ1136" i="6"/>
  <c r="BR1136" i="6"/>
  <c r="BS1136" i="6"/>
  <c r="BU1136" i="6"/>
  <c r="BV1136" i="6"/>
  <c r="BW1136" i="6"/>
  <c r="BX1136" i="6"/>
  <c r="BY1136" i="6"/>
  <c r="CE1136" i="6"/>
  <c r="BJ1095" i="6"/>
  <c r="BK1095" i="6"/>
  <c r="BD1095" i="6" s="1"/>
  <c r="BL1095" i="6"/>
  <c r="BE1095" i="6" s="1"/>
  <c r="BQ1095" i="6"/>
  <c r="BR1095" i="6"/>
  <c r="BS1095" i="6"/>
  <c r="BU1095" i="6"/>
  <c r="BV1095" i="6"/>
  <c r="BW1095" i="6"/>
  <c r="BX1095" i="6"/>
  <c r="BY1095" i="6"/>
  <c r="CE1095" i="6"/>
  <c r="BJ1096" i="6"/>
  <c r="BK1096" i="6"/>
  <c r="BD1096" i="6" s="1"/>
  <c r="BL1096" i="6"/>
  <c r="BQ1096" i="6"/>
  <c r="BR1096" i="6"/>
  <c r="BS1096" i="6"/>
  <c r="BU1096" i="6"/>
  <c r="BV1096" i="6"/>
  <c r="BW1096" i="6"/>
  <c r="BX1096" i="6"/>
  <c r="BY1096" i="6"/>
  <c r="CE1096" i="6"/>
  <c r="BJ1097" i="6"/>
  <c r="BK1097" i="6"/>
  <c r="BD1097" i="6" s="1"/>
  <c r="BL1097" i="6"/>
  <c r="BE1097" i="6" s="1"/>
  <c r="BQ1097" i="6"/>
  <c r="BR1097" i="6"/>
  <c r="BS1097" i="6"/>
  <c r="BU1097" i="6"/>
  <c r="BV1097" i="6"/>
  <c r="BW1097" i="6"/>
  <c r="BX1097" i="6"/>
  <c r="BY1097" i="6"/>
  <c r="CE1097" i="6"/>
  <c r="BJ1098" i="6"/>
  <c r="BK1098" i="6"/>
  <c r="BD1098" i="6" s="1"/>
  <c r="BL1098" i="6"/>
  <c r="BQ1098" i="6"/>
  <c r="BR1098" i="6"/>
  <c r="BS1098" i="6"/>
  <c r="BU1098" i="6"/>
  <c r="BV1098" i="6"/>
  <c r="BW1098" i="6"/>
  <c r="BX1098" i="6"/>
  <c r="BY1098" i="6"/>
  <c r="CE1098" i="6"/>
  <c r="BJ1099" i="6"/>
  <c r="BK1099" i="6"/>
  <c r="BD1099" i="6" s="1"/>
  <c r="BL1099" i="6"/>
  <c r="BE1099" i="6" s="1"/>
  <c r="BQ1099" i="6"/>
  <c r="BR1099" i="6"/>
  <c r="BS1099" i="6"/>
  <c r="BU1099" i="6"/>
  <c r="BV1099" i="6"/>
  <c r="BW1099" i="6"/>
  <c r="BX1099" i="6"/>
  <c r="BY1099" i="6"/>
  <c r="CE1099" i="6"/>
  <c r="BJ1100" i="6"/>
  <c r="BK1100" i="6"/>
  <c r="BD1100" i="6" s="1"/>
  <c r="BL1100" i="6"/>
  <c r="BE1100" i="6" s="1"/>
  <c r="BQ1100" i="6"/>
  <c r="BR1100" i="6"/>
  <c r="BS1100" i="6"/>
  <c r="BU1100" i="6"/>
  <c r="BV1100" i="6"/>
  <c r="BW1100" i="6"/>
  <c r="BX1100" i="6"/>
  <c r="BY1100" i="6"/>
  <c r="CE1100" i="6"/>
  <c r="BJ1101" i="6"/>
  <c r="BK1101" i="6"/>
  <c r="BD1101" i="6" s="1"/>
  <c r="BL1101" i="6"/>
  <c r="BQ1101" i="6"/>
  <c r="BR1101" i="6"/>
  <c r="BS1101" i="6"/>
  <c r="BU1101" i="6"/>
  <c r="BV1101" i="6"/>
  <c r="BW1101" i="6"/>
  <c r="BX1101" i="6"/>
  <c r="BY1101" i="6"/>
  <c r="CE1101" i="6"/>
  <c r="BJ1102" i="6"/>
  <c r="BK1102" i="6"/>
  <c r="BD1102" i="6" s="1"/>
  <c r="BL1102" i="6"/>
  <c r="BQ1102" i="6"/>
  <c r="BR1102" i="6"/>
  <c r="BS1102" i="6"/>
  <c r="BU1102" i="6"/>
  <c r="BV1102" i="6"/>
  <c r="BW1102" i="6"/>
  <c r="BX1102" i="6"/>
  <c r="BY1102" i="6"/>
  <c r="CE1102" i="6"/>
  <c r="BJ1103" i="6"/>
  <c r="BK1103" i="6"/>
  <c r="BD1103" i="6" s="1"/>
  <c r="BL1103" i="6"/>
  <c r="BE1103" i="6" s="1"/>
  <c r="BQ1103" i="6"/>
  <c r="BR1103" i="6"/>
  <c r="BS1103" i="6"/>
  <c r="BU1103" i="6"/>
  <c r="BV1103" i="6"/>
  <c r="BW1103" i="6"/>
  <c r="BX1103" i="6"/>
  <c r="BY1103" i="6"/>
  <c r="CE1103" i="6"/>
  <c r="BJ1104" i="6"/>
  <c r="BK1104" i="6"/>
  <c r="BD1104" i="6" s="1"/>
  <c r="BL1104" i="6"/>
  <c r="BQ1104" i="6"/>
  <c r="BR1104" i="6"/>
  <c r="BS1104" i="6"/>
  <c r="BU1104" i="6"/>
  <c r="BV1104" i="6"/>
  <c r="BW1104" i="6"/>
  <c r="BX1104" i="6"/>
  <c r="BY1104" i="6"/>
  <c r="CE1104" i="6"/>
  <c r="AV1105" i="6"/>
  <c r="BJ1105" i="6"/>
  <c r="BK1105" i="6"/>
  <c r="BD1105" i="6" s="1"/>
  <c r="BL1105" i="6"/>
  <c r="BQ1105" i="6"/>
  <c r="BR1105" i="6"/>
  <c r="BS1105" i="6"/>
  <c r="BU1105" i="6"/>
  <c r="BV1105" i="6"/>
  <c r="BW1105" i="6"/>
  <c r="BX1105" i="6"/>
  <c r="BY1105" i="6"/>
  <c r="CE1105" i="6"/>
  <c r="BJ1106" i="6"/>
  <c r="BK1106" i="6"/>
  <c r="BD1106" i="6" s="1"/>
  <c r="BL1106" i="6"/>
  <c r="BE1106" i="6" s="1"/>
  <c r="BQ1106" i="6"/>
  <c r="BR1106" i="6"/>
  <c r="BS1106" i="6"/>
  <c r="BU1106" i="6"/>
  <c r="BV1106" i="6"/>
  <c r="BW1106" i="6"/>
  <c r="BX1106" i="6"/>
  <c r="BY1106" i="6"/>
  <c r="CE1106" i="6"/>
  <c r="BJ1137" i="6"/>
  <c r="BK1137" i="6"/>
  <c r="BD1137" i="6" s="1"/>
  <c r="BL1137" i="6"/>
  <c r="BQ1137" i="6"/>
  <c r="BR1137" i="6"/>
  <c r="BS1137" i="6"/>
  <c r="BU1137" i="6"/>
  <c r="BV1137" i="6"/>
  <c r="BW1137" i="6"/>
  <c r="BX1137" i="6"/>
  <c r="BY1137" i="6"/>
  <c r="CE1137" i="6"/>
  <c r="BJ1138" i="6"/>
  <c r="BK1138" i="6"/>
  <c r="BD1138" i="6" s="1"/>
  <c r="BL1138" i="6"/>
  <c r="BQ1138" i="6"/>
  <c r="BR1138" i="6"/>
  <c r="BS1138" i="6"/>
  <c r="BU1138" i="6"/>
  <c r="BV1138" i="6"/>
  <c r="BW1138" i="6"/>
  <c r="BX1138" i="6"/>
  <c r="BY1138" i="6"/>
  <c r="CE1138" i="6"/>
  <c r="BJ1139" i="6"/>
  <c r="BK1139" i="6"/>
  <c r="BD1139" i="6" s="1"/>
  <c r="BL1139" i="6"/>
  <c r="BE1139" i="6" s="1"/>
  <c r="BQ1139" i="6"/>
  <c r="BR1139" i="6"/>
  <c r="BS1139" i="6"/>
  <c r="BU1139" i="6"/>
  <c r="BV1139" i="6"/>
  <c r="BW1139" i="6"/>
  <c r="BX1139" i="6"/>
  <c r="BY1139" i="6"/>
  <c r="CE1139" i="6"/>
  <c r="BJ1140" i="6"/>
  <c r="BK1140" i="6"/>
  <c r="BD1140" i="6" s="1"/>
  <c r="BL1140" i="6"/>
  <c r="BQ1140" i="6"/>
  <c r="BR1140" i="6"/>
  <c r="BS1140" i="6"/>
  <c r="BU1140" i="6"/>
  <c r="BV1140" i="6"/>
  <c r="BW1140" i="6"/>
  <c r="BX1140" i="6"/>
  <c r="BY1140" i="6"/>
  <c r="CE1140" i="6"/>
  <c r="BJ1141" i="6"/>
  <c r="BK1141" i="6"/>
  <c r="BD1141" i="6" s="1"/>
  <c r="BL1141" i="6"/>
  <c r="BE1141" i="6" s="1"/>
  <c r="BQ1141" i="6"/>
  <c r="BR1141" i="6"/>
  <c r="BS1141" i="6"/>
  <c r="BU1141" i="6"/>
  <c r="BV1141" i="6"/>
  <c r="BW1141" i="6"/>
  <c r="BX1141" i="6"/>
  <c r="BY1141" i="6"/>
  <c r="CE1141" i="6"/>
  <c r="BJ1142" i="6"/>
  <c r="BK1142" i="6"/>
  <c r="BD1142" i="6" s="1"/>
  <c r="BL1142" i="6"/>
  <c r="BE1142" i="6" s="1"/>
  <c r="BQ1142" i="6"/>
  <c r="BR1142" i="6"/>
  <c r="BS1142" i="6"/>
  <c r="BU1142" i="6"/>
  <c r="BV1142" i="6"/>
  <c r="BW1142" i="6"/>
  <c r="BX1142" i="6"/>
  <c r="BY1142" i="6"/>
  <c r="CE1142" i="6"/>
  <c r="BJ999" i="6"/>
  <c r="BK999" i="6"/>
  <c r="BD999" i="6" s="1"/>
  <c r="BL999" i="6"/>
  <c r="BE999" i="6" s="1"/>
  <c r="BQ999" i="6"/>
  <c r="BR999" i="6"/>
  <c r="BS999" i="6"/>
  <c r="BU999" i="6"/>
  <c r="BV999" i="6"/>
  <c r="BW999" i="6"/>
  <c r="BX999" i="6"/>
  <c r="BY999" i="6"/>
  <c r="CE999" i="6"/>
  <c r="BJ1000" i="6"/>
  <c r="BK1000" i="6"/>
  <c r="BD1000" i="6" s="1"/>
  <c r="BL1000" i="6"/>
  <c r="BE1000" i="6" s="1"/>
  <c r="BQ1000" i="6"/>
  <c r="BR1000" i="6"/>
  <c r="BS1000" i="6"/>
  <c r="BU1000" i="6"/>
  <c r="BV1000" i="6"/>
  <c r="BW1000" i="6"/>
  <c r="BX1000" i="6"/>
  <c r="BY1000" i="6"/>
  <c r="CE1000" i="6"/>
  <c r="BJ1001" i="6"/>
  <c r="BK1001" i="6"/>
  <c r="BD1001" i="6" s="1"/>
  <c r="BL1001" i="6"/>
  <c r="BE1001" i="6" s="1"/>
  <c r="BQ1001" i="6"/>
  <c r="BR1001" i="6"/>
  <c r="BS1001" i="6"/>
  <c r="BU1001" i="6"/>
  <c r="BV1001" i="6"/>
  <c r="BW1001" i="6"/>
  <c r="BX1001" i="6"/>
  <c r="BY1001" i="6"/>
  <c r="CE1001" i="6"/>
  <c r="BJ1002" i="6"/>
  <c r="BK1002" i="6"/>
  <c r="BD1002" i="6" s="1"/>
  <c r="BL1002" i="6"/>
  <c r="BE1002" i="6" s="1"/>
  <c r="BQ1002" i="6"/>
  <c r="BR1002" i="6"/>
  <c r="BS1002" i="6"/>
  <c r="BU1002" i="6"/>
  <c r="BV1002" i="6"/>
  <c r="BW1002" i="6"/>
  <c r="BX1002" i="6"/>
  <c r="BY1002" i="6"/>
  <c r="CE1002" i="6"/>
  <c r="BJ1003" i="6"/>
  <c r="BK1003" i="6"/>
  <c r="BD1003" i="6" s="1"/>
  <c r="BL1003" i="6"/>
  <c r="BE1003" i="6" s="1"/>
  <c r="BQ1003" i="6"/>
  <c r="BR1003" i="6"/>
  <c r="BS1003" i="6"/>
  <c r="BU1003" i="6"/>
  <c r="BV1003" i="6"/>
  <c r="BW1003" i="6"/>
  <c r="BX1003" i="6"/>
  <c r="BY1003" i="6"/>
  <c r="CE1003" i="6"/>
  <c r="BJ1004" i="6"/>
  <c r="BK1004" i="6"/>
  <c r="BD1004" i="6" s="1"/>
  <c r="BL1004" i="6"/>
  <c r="BE1004" i="6" s="1"/>
  <c r="BQ1004" i="6"/>
  <c r="BR1004" i="6"/>
  <c r="BS1004" i="6"/>
  <c r="BU1004" i="6"/>
  <c r="BV1004" i="6"/>
  <c r="BW1004" i="6"/>
  <c r="BX1004" i="6"/>
  <c r="BY1004" i="6"/>
  <c r="CE1004" i="6"/>
  <c r="BJ1107" i="6"/>
  <c r="BK1107" i="6"/>
  <c r="BD1107" i="6" s="1"/>
  <c r="BL1107" i="6"/>
  <c r="BE1107" i="6" s="1"/>
  <c r="BQ1107" i="6"/>
  <c r="BR1107" i="6"/>
  <c r="BS1107" i="6"/>
  <c r="BU1107" i="6"/>
  <c r="BV1107" i="6"/>
  <c r="BW1107" i="6"/>
  <c r="BX1107" i="6"/>
  <c r="BY1107" i="6"/>
  <c r="CE1107" i="6"/>
  <c r="BJ1108" i="6"/>
  <c r="BK1108" i="6"/>
  <c r="BD1108" i="6" s="1"/>
  <c r="BL1108" i="6"/>
  <c r="BQ1108" i="6"/>
  <c r="BR1108" i="6"/>
  <c r="BS1108" i="6"/>
  <c r="BU1108" i="6"/>
  <c r="BV1108" i="6"/>
  <c r="BW1108" i="6"/>
  <c r="BX1108" i="6"/>
  <c r="BY1108" i="6"/>
  <c r="CE1108" i="6"/>
  <c r="BJ1109" i="6"/>
  <c r="BK1109" i="6"/>
  <c r="BD1109" i="6" s="1"/>
  <c r="BL1109" i="6"/>
  <c r="BE1109" i="6" s="1"/>
  <c r="BQ1109" i="6"/>
  <c r="BR1109" i="6"/>
  <c r="BS1109" i="6"/>
  <c r="BU1109" i="6"/>
  <c r="BV1109" i="6"/>
  <c r="BW1109" i="6"/>
  <c r="BX1109" i="6"/>
  <c r="BY1109" i="6"/>
  <c r="CE1109" i="6"/>
  <c r="BJ1110" i="6"/>
  <c r="BK1110" i="6"/>
  <c r="BD1110" i="6" s="1"/>
  <c r="BL1110" i="6"/>
  <c r="BQ1110" i="6"/>
  <c r="BR1110" i="6"/>
  <c r="BS1110" i="6"/>
  <c r="BU1110" i="6"/>
  <c r="BV1110" i="6"/>
  <c r="BW1110" i="6"/>
  <c r="BX1110" i="6"/>
  <c r="BY1110" i="6"/>
  <c r="CE1110" i="6"/>
  <c r="BJ1111" i="6"/>
  <c r="BK1111" i="6"/>
  <c r="BD1111" i="6" s="1"/>
  <c r="BL1111" i="6"/>
  <c r="BE1111" i="6" s="1"/>
  <c r="BQ1111" i="6"/>
  <c r="BR1111" i="6"/>
  <c r="BS1111" i="6"/>
  <c r="BU1111" i="6"/>
  <c r="BV1111" i="6"/>
  <c r="BW1111" i="6"/>
  <c r="BX1111" i="6"/>
  <c r="BY1111" i="6"/>
  <c r="CE1111" i="6"/>
  <c r="BJ1112" i="6"/>
  <c r="BK1112" i="6"/>
  <c r="BD1112" i="6" s="1"/>
  <c r="BL1112" i="6"/>
  <c r="BE1112" i="6" s="1"/>
  <c r="BQ1112" i="6"/>
  <c r="BR1112" i="6"/>
  <c r="BS1112" i="6"/>
  <c r="BU1112" i="6"/>
  <c r="BV1112" i="6"/>
  <c r="BW1112" i="6"/>
  <c r="BX1112" i="6"/>
  <c r="BY1112" i="6"/>
  <c r="CE1112" i="6"/>
  <c r="BJ1113" i="6"/>
  <c r="BK1113" i="6"/>
  <c r="BD1113" i="6" s="1"/>
  <c r="BL1113" i="6"/>
  <c r="BE1113" i="6" s="1"/>
  <c r="BQ1113" i="6"/>
  <c r="BR1113" i="6"/>
  <c r="BS1113" i="6"/>
  <c r="BU1113" i="6"/>
  <c r="BV1113" i="6"/>
  <c r="BW1113" i="6"/>
  <c r="BX1113" i="6"/>
  <c r="BY1113" i="6"/>
  <c r="CE1113" i="6"/>
  <c r="BJ1114" i="6"/>
  <c r="BK1114" i="6"/>
  <c r="BD1114" i="6" s="1"/>
  <c r="BL1114" i="6"/>
  <c r="BE1114" i="6" s="1"/>
  <c r="BQ1114" i="6"/>
  <c r="BR1114" i="6"/>
  <c r="BS1114" i="6"/>
  <c r="BU1114" i="6"/>
  <c r="BV1114" i="6"/>
  <c r="BW1114" i="6"/>
  <c r="BX1114" i="6"/>
  <c r="BY1114" i="6"/>
  <c r="CE1114" i="6"/>
  <c r="BJ1115" i="6"/>
  <c r="BK1115" i="6"/>
  <c r="BD1115" i="6" s="1"/>
  <c r="BL1115" i="6"/>
  <c r="BE1115" i="6" s="1"/>
  <c r="BQ1115" i="6"/>
  <c r="BR1115" i="6"/>
  <c r="BS1115" i="6"/>
  <c r="BU1115" i="6"/>
  <c r="BV1115" i="6"/>
  <c r="BW1115" i="6"/>
  <c r="BX1115" i="6"/>
  <c r="BY1115" i="6"/>
  <c r="CE1115" i="6"/>
  <c r="BJ1116" i="6"/>
  <c r="BK1116" i="6"/>
  <c r="BD1116" i="6" s="1"/>
  <c r="BL1116" i="6"/>
  <c r="BE1116" i="6" s="1"/>
  <c r="BQ1116" i="6"/>
  <c r="BR1116" i="6"/>
  <c r="BS1116" i="6"/>
  <c r="BU1116" i="6"/>
  <c r="BV1116" i="6"/>
  <c r="BW1116" i="6"/>
  <c r="BX1116" i="6"/>
  <c r="BY1116" i="6"/>
  <c r="CE1116" i="6"/>
  <c r="BJ1117" i="6"/>
  <c r="BK1117" i="6"/>
  <c r="BD1117" i="6" s="1"/>
  <c r="BL1117" i="6"/>
  <c r="BE1117" i="6" s="1"/>
  <c r="BQ1117" i="6"/>
  <c r="BR1117" i="6"/>
  <c r="BS1117" i="6"/>
  <c r="BU1117" i="6"/>
  <c r="BV1117" i="6"/>
  <c r="BW1117" i="6"/>
  <c r="BX1117" i="6"/>
  <c r="BY1117" i="6"/>
  <c r="CE1117" i="6"/>
  <c r="BJ1118" i="6"/>
  <c r="BK1118" i="6"/>
  <c r="BD1118" i="6" s="1"/>
  <c r="BL1118" i="6"/>
  <c r="BE1118" i="6" s="1"/>
  <c r="BQ1118" i="6"/>
  <c r="BR1118" i="6"/>
  <c r="BS1118" i="6"/>
  <c r="BU1118" i="6"/>
  <c r="BV1118" i="6"/>
  <c r="BW1118" i="6"/>
  <c r="BX1118" i="6"/>
  <c r="BY1118" i="6"/>
  <c r="CE1118" i="6"/>
  <c r="BJ1005" i="6"/>
  <c r="BK1005" i="6"/>
  <c r="BD1005" i="6" s="1"/>
  <c r="BL1005" i="6"/>
  <c r="BE1005" i="6" s="1"/>
  <c r="BQ1005" i="6"/>
  <c r="BR1005" i="6"/>
  <c r="BS1005" i="6"/>
  <c r="BU1005" i="6"/>
  <c r="BV1005" i="6"/>
  <c r="BW1005" i="6"/>
  <c r="BX1005" i="6"/>
  <c r="BY1005" i="6"/>
  <c r="CE1005" i="6"/>
  <c r="BJ1006" i="6"/>
  <c r="BK1006" i="6"/>
  <c r="BD1006" i="6" s="1"/>
  <c r="BL1006" i="6"/>
  <c r="BE1006" i="6" s="1"/>
  <c r="BQ1006" i="6"/>
  <c r="BR1006" i="6"/>
  <c r="BS1006" i="6"/>
  <c r="BU1006" i="6"/>
  <c r="BV1006" i="6"/>
  <c r="BW1006" i="6"/>
  <c r="BX1006" i="6"/>
  <c r="BY1006" i="6"/>
  <c r="CE1006" i="6"/>
  <c r="BJ1007" i="6"/>
  <c r="BK1007" i="6"/>
  <c r="BD1007" i="6" s="1"/>
  <c r="BL1007" i="6"/>
  <c r="BE1007" i="6" s="1"/>
  <c r="BQ1007" i="6"/>
  <c r="BR1007" i="6"/>
  <c r="BS1007" i="6"/>
  <c r="BU1007" i="6"/>
  <c r="BV1007" i="6"/>
  <c r="BW1007" i="6"/>
  <c r="BX1007" i="6"/>
  <c r="BY1007" i="6"/>
  <c r="CE1007" i="6"/>
  <c r="BJ1008" i="6"/>
  <c r="BK1008" i="6"/>
  <c r="BD1008" i="6" s="1"/>
  <c r="BL1008" i="6"/>
  <c r="BE1008" i="6" s="1"/>
  <c r="BQ1008" i="6"/>
  <c r="BR1008" i="6"/>
  <c r="BS1008" i="6"/>
  <c r="BU1008" i="6"/>
  <c r="BV1008" i="6"/>
  <c r="BW1008" i="6"/>
  <c r="BX1008" i="6"/>
  <c r="BY1008" i="6"/>
  <c r="CE1008" i="6"/>
  <c r="BJ1009" i="6"/>
  <c r="BK1009" i="6"/>
  <c r="BD1009" i="6" s="1"/>
  <c r="BL1009" i="6"/>
  <c r="BE1009" i="6" s="1"/>
  <c r="BQ1009" i="6"/>
  <c r="BR1009" i="6"/>
  <c r="BS1009" i="6"/>
  <c r="BU1009" i="6"/>
  <c r="BV1009" i="6"/>
  <c r="BW1009" i="6"/>
  <c r="BX1009" i="6"/>
  <c r="BY1009" i="6"/>
  <c r="CE1009" i="6"/>
  <c r="BJ1010" i="6"/>
  <c r="BK1010" i="6"/>
  <c r="BD1010" i="6" s="1"/>
  <c r="BL1010" i="6"/>
  <c r="BE1010" i="6" s="1"/>
  <c r="BQ1010" i="6"/>
  <c r="BR1010" i="6"/>
  <c r="BS1010" i="6"/>
  <c r="BU1010" i="6"/>
  <c r="BV1010" i="6"/>
  <c r="BW1010" i="6"/>
  <c r="BX1010" i="6"/>
  <c r="BY1010" i="6"/>
  <c r="CE1010" i="6"/>
  <c r="BJ1119" i="6"/>
  <c r="BK1119" i="6"/>
  <c r="BD1119" i="6" s="1"/>
  <c r="BL1119" i="6"/>
  <c r="BQ1119" i="6"/>
  <c r="BR1119" i="6"/>
  <c r="BS1119" i="6"/>
  <c r="BU1119" i="6"/>
  <c r="BV1119" i="6"/>
  <c r="BW1119" i="6"/>
  <c r="BX1119" i="6"/>
  <c r="BY1119" i="6"/>
  <c r="CE1119" i="6"/>
  <c r="BJ1120" i="6"/>
  <c r="BK1120" i="6"/>
  <c r="BD1120" i="6" s="1"/>
  <c r="BL1120" i="6"/>
  <c r="BQ1120" i="6"/>
  <c r="BR1120" i="6"/>
  <c r="BS1120" i="6"/>
  <c r="BU1120" i="6"/>
  <c r="BV1120" i="6"/>
  <c r="BW1120" i="6"/>
  <c r="BX1120" i="6"/>
  <c r="BY1120" i="6"/>
  <c r="CE1120" i="6"/>
  <c r="BJ1121" i="6"/>
  <c r="BK1121" i="6"/>
  <c r="BD1121" i="6" s="1"/>
  <c r="BL1121" i="6"/>
  <c r="BE1121" i="6" s="1"/>
  <c r="BQ1121" i="6"/>
  <c r="BR1121" i="6"/>
  <c r="BS1121" i="6"/>
  <c r="BU1121" i="6"/>
  <c r="BV1121" i="6"/>
  <c r="BW1121" i="6"/>
  <c r="BX1121" i="6"/>
  <c r="BY1121" i="6"/>
  <c r="CE1121" i="6"/>
  <c r="BJ1122" i="6"/>
  <c r="BK1122" i="6"/>
  <c r="BD1122" i="6" s="1"/>
  <c r="BL1122" i="6"/>
  <c r="BQ1122" i="6"/>
  <c r="BR1122" i="6"/>
  <c r="BS1122" i="6"/>
  <c r="BU1122" i="6"/>
  <c r="BV1122" i="6"/>
  <c r="BW1122" i="6"/>
  <c r="BX1122" i="6"/>
  <c r="BY1122" i="6"/>
  <c r="CE1122" i="6"/>
  <c r="AV1123" i="6"/>
  <c r="BJ1123" i="6"/>
  <c r="BK1123" i="6"/>
  <c r="BD1123" i="6" s="1"/>
  <c r="BL1123" i="6"/>
  <c r="BQ1123" i="6"/>
  <c r="BR1123" i="6"/>
  <c r="BS1123" i="6"/>
  <c r="BU1123" i="6"/>
  <c r="BV1123" i="6"/>
  <c r="BW1123" i="6"/>
  <c r="BX1123" i="6"/>
  <c r="BY1123" i="6"/>
  <c r="CE1123" i="6"/>
  <c r="BJ1124" i="6"/>
  <c r="BK1124" i="6"/>
  <c r="BD1124" i="6" s="1"/>
  <c r="BL1124" i="6"/>
  <c r="BE1124" i="6" s="1"/>
  <c r="BQ1124" i="6"/>
  <c r="BR1124" i="6"/>
  <c r="BS1124" i="6"/>
  <c r="BU1124" i="6"/>
  <c r="BV1124" i="6"/>
  <c r="BW1124" i="6"/>
  <c r="BX1124" i="6"/>
  <c r="BY1124" i="6"/>
  <c r="CE1124" i="6"/>
  <c r="BJ1143" i="6"/>
  <c r="BK1143" i="6"/>
  <c r="BD1143" i="6" s="1"/>
  <c r="BL1143" i="6"/>
  <c r="BE1143" i="6" s="1"/>
  <c r="BQ1143" i="6"/>
  <c r="BR1143" i="6"/>
  <c r="BS1143" i="6"/>
  <c r="BU1143" i="6"/>
  <c r="BV1143" i="6"/>
  <c r="BW1143" i="6"/>
  <c r="BX1143" i="6"/>
  <c r="BY1143" i="6"/>
  <c r="CE1143" i="6"/>
  <c r="BJ1144" i="6"/>
  <c r="BK1144" i="6"/>
  <c r="BD1144" i="6" s="1"/>
  <c r="BL1144" i="6"/>
  <c r="BQ1144" i="6"/>
  <c r="BR1144" i="6"/>
  <c r="BS1144" i="6"/>
  <c r="BU1144" i="6"/>
  <c r="BV1144" i="6"/>
  <c r="BW1144" i="6"/>
  <c r="BX1144" i="6"/>
  <c r="BY1144" i="6"/>
  <c r="CE1144" i="6"/>
  <c r="BJ1145" i="6"/>
  <c r="BK1145" i="6"/>
  <c r="BD1145" i="6" s="1"/>
  <c r="BL1145" i="6"/>
  <c r="BE1145" i="6" s="1"/>
  <c r="BQ1145" i="6"/>
  <c r="BR1145" i="6"/>
  <c r="BS1145" i="6"/>
  <c r="BU1145" i="6"/>
  <c r="BV1145" i="6"/>
  <c r="BW1145" i="6"/>
  <c r="BX1145" i="6"/>
  <c r="BY1145" i="6"/>
  <c r="CE1145" i="6"/>
  <c r="BJ1146" i="6"/>
  <c r="BK1146" i="6"/>
  <c r="BD1146" i="6" s="1"/>
  <c r="BL1146" i="6"/>
  <c r="BQ1146" i="6"/>
  <c r="BR1146" i="6"/>
  <c r="BS1146" i="6"/>
  <c r="BU1146" i="6"/>
  <c r="BV1146" i="6"/>
  <c r="BW1146" i="6"/>
  <c r="BX1146" i="6"/>
  <c r="BY1146" i="6"/>
  <c r="CE1146" i="6"/>
  <c r="BJ1147" i="6"/>
  <c r="BK1147" i="6"/>
  <c r="BD1147" i="6" s="1"/>
  <c r="BL1147" i="6"/>
  <c r="BE1147" i="6" s="1"/>
  <c r="BQ1147" i="6"/>
  <c r="BR1147" i="6"/>
  <c r="BS1147" i="6"/>
  <c r="BU1147" i="6"/>
  <c r="BV1147" i="6"/>
  <c r="BW1147" i="6"/>
  <c r="BX1147" i="6"/>
  <c r="BY1147" i="6"/>
  <c r="CE1147" i="6"/>
  <c r="BJ1148" i="6"/>
  <c r="BK1148" i="6"/>
  <c r="BD1148" i="6" s="1"/>
  <c r="BL1148" i="6"/>
  <c r="BE1148" i="6" s="1"/>
  <c r="BQ1148" i="6"/>
  <c r="BR1148" i="6"/>
  <c r="BS1148" i="6"/>
  <c r="BU1148" i="6"/>
  <c r="BV1148" i="6"/>
  <c r="BW1148" i="6"/>
  <c r="BX1148" i="6"/>
  <c r="BY1148" i="6"/>
  <c r="CE1148" i="6"/>
  <c r="BJ1227" i="6"/>
  <c r="BK1227" i="6"/>
  <c r="BD1227" i="6" s="1"/>
  <c r="BL1227" i="6"/>
  <c r="BE1227" i="6" s="1"/>
  <c r="BQ1227" i="6"/>
  <c r="BR1227" i="6"/>
  <c r="BS1227" i="6"/>
  <c r="BU1227" i="6"/>
  <c r="BV1227" i="6"/>
  <c r="BW1227" i="6"/>
  <c r="BX1227" i="6"/>
  <c r="BY1227" i="6"/>
  <c r="BJ1228" i="6"/>
  <c r="BK1228" i="6"/>
  <c r="BD1228" i="6" s="1"/>
  <c r="BL1228" i="6"/>
  <c r="BQ1228" i="6"/>
  <c r="BR1228" i="6"/>
  <c r="BS1228" i="6"/>
  <c r="BU1228" i="6"/>
  <c r="BV1228" i="6"/>
  <c r="BW1228" i="6"/>
  <c r="BX1228" i="6"/>
  <c r="BY1228" i="6"/>
  <c r="CE1249" i="6"/>
  <c r="BJ1229" i="6"/>
  <c r="BK1229" i="6"/>
  <c r="BD1229" i="6" s="1"/>
  <c r="BL1229" i="6"/>
  <c r="BE1229" i="6" s="1"/>
  <c r="BQ1229" i="6"/>
  <c r="BR1229" i="6"/>
  <c r="BS1229" i="6"/>
  <c r="BU1229" i="6"/>
  <c r="BV1229" i="6"/>
  <c r="BW1229" i="6"/>
  <c r="BX1229" i="6"/>
  <c r="BY1229" i="6"/>
  <c r="BJ1230" i="6"/>
  <c r="BK1230" i="6"/>
  <c r="BD1230" i="6" s="1"/>
  <c r="BL1230" i="6"/>
  <c r="BQ1230" i="6"/>
  <c r="BR1230" i="6"/>
  <c r="BS1230" i="6"/>
  <c r="BU1230" i="6"/>
  <c r="BV1230" i="6"/>
  <c r="BW1230" i="6"/>
  <c r="BX1230" i="6"/>
  <c r="BY1230" i="6"/>
  <c r="CE1248" i="6"/>
  <c r="BJ1231" i="6"/>
  <c r="BK1231" i="6"/>
  <c r="BD1231" i="6" s="1"/>
  <c r="BL1231" i="6"/>
  <c r="BE1231" i="6" s="1"/>
  <c r="BQ1231" i="6"/>
  <c r="BR1231" i="6"/>
  <c r="BS1231" i="6"/>
  <c r="BU1231" i="6"/>
  <c r="BV1231" i="6"/>
  <c r="BW1231" i="6"/>
  <c r="BX1231" i="6"/>
  <c r="BY1231" i="6"/>
  <c r="BJ1232" i="6"/>
  <c r="BK1232" i="6"/>
  <c r="BD1232" i="6" s="1"/>
  <c r="BL1232" i="6"/>
  <c r="BE1232" i="6" s="1"/>
  <c r="BQ1232" i="6"/>
  <c r="BR1232" i="6"/>
  <c r="BS1232" i="6"/>
  <c r="BU1232" i="6"/>
  <c r="BV1232" i="6"/>
  <c r="BW1232" i="6"/>
  <c r="BX1232" i="6"/>
  <c r="BY1232" i="6"/>
  <c r="CE1244" i="6"/>
  <c r="BJ1233" i="6"/>
  <c r="BK1233" i="6"/>
  <c r="BD1233" i="6" s="1"/>
  <c r="BL1233" i="6"/>
  <c r="BE1233" i="6" s="1"/>
  <c r="BQ1233" i="6"/>
  <c r="BR1233" i="6"/>
  <c r="BS1233" i="6"/>
  <c r="BU1233" i="6"/>
  <c r="BV1233" i="6"/>
  <c r="BW1233" i="6"/>
  <c r="BX1233" i="6"/>
  <c r="BY1233" i="6"/>
  <c r="CE1246" i="6"/>
  <c r="BJ1234" i="6"/>
  <c r="BK1234" i="6"/>
  <c r="BD1234" i="6" s="1"/>
  <c r="BL1234" i="6"/>
  <c r="BQ1234" i="6"/>
  <c r="BR1234" i="6"/>
  <c r="BS1234" i="6"/>
  <c r="BU1234" i="6"/>
  <c r="BV1234" i="6"/>
  <c r="BW1234" i="6"/>
  <c r="BX1234" i="6"/>
  <c r="BY1234" i="6"/>
  <c r="BJ1235" i="6"/>
  <c r="BK1235" i="6"/>
  <c r="BD1235" i="6" s="1"/>
  <c r="BL1235" i="6"/>
  <c r="BE1235" i="6" s="1"/>
  <c r="BQ1235" i="6"/>
  <c r="BR1235" i="6"/>
  <c r="BS1235" i="6"/>
  <c r="BU1235" i="6"/>
  <c r="BV1235" i="6"/>
  <c r="BW1235" i="6"/>
  <c r="BX1235" i="6"/>
  <c r="BY1235" i="6"/>
  <c r="CE1247" i="6"/>
  <c r="BJ1236" i="6"/>
  <c r="BK1236" i="6"/>
  <c r="BD1236" i="6" s="1"/>
  <c r="BL1236" i="6"/>
  <c r="BQ1236" i="6"/>
  <c r="BR1236" i="6"/>
  <c r="BS1236" i="6"/>
  <c r="BU1236" i="6"/>
  <c r="BV1236" i="6"/>
  <c r="BW1236" i="6"/>
  <c r="BX1236" i="6"/>
  <c r="BY1236" i="6"/>
  <c r="CE1239" i="6"/>
  <c r="BJ1237" i="6"/>
  <c r="BK1237" i="6"/>
  <c r="BD1237" i="6" s="1"/>
  <c r="BL1237" i="6"/>
  <c r="BE1237" i="6" s="1"/>
  <c r="BQ1237" i="6"/>
  <c r="BR1237" i="6"/>
  <c r="BS1237" i="6"/>
  <c r="BU1237" i="6"/>
  <c r="BV1237" i="6"/>
  <c r="BW1237" i="6"/>
  <c r="BX1237" i="6"/>
  <c r="BY1237" i="6"/>
  <c r="CE1245" i="6"/>
  <c r="BJ1238" i="6"/>
  <c r="BK1238" i="6"/>
  <c r="BD1238" i="6" s="1"/>
  <c r="BL1238" i="6"/>
  <c r="BE1238" i="6" s="1"/>
  <c r="BQ1238" i="6"/>
  <c r="BR1238" i="6"/>
  <c r="BS1238" i="6"/>
  <c r="BU1238" i="6"/>
  <c r="BV1238" i="6"/>
  <c r="BW1238" i="6"/>
  <c r="BX1238" i="6"/>
  <c r="BY1238" i="6"/>
  <c r="CE1250" i="6"/>
  <c r="BJ1251" i="6"/>
  <c r="BK1251" i="6"/>
  <c r="BD1251" i="6" s="1"/>
  <c r="BL1251" i="6"/>
  <c r="BE1251" i="6" s="1"/>
  <c r="BQ1251" i="6"/>
  <c r="BR1251" i="6"/>
  <c r="BS1251" i="6"/>
  <c r="BU1251" i="6"/>
  <c r="BV1251" i="6"/>
  <c r="BW1251" i="6"/>
  <c r="BX1251" i="6"/>
  <c r="BY1251" i="6"/>
  <c r="CE1251" i="6"/>
  <c r="BJ1252" i="6"/>
  <c r="BK1252" i="6"/>
  <c r="BD1252" i="6" s="1"/>
  <c r="BL1252" i="6"/>
  <c r="BE1252" i="6" s="1"/>
  <c r="BQ1252" i="6"/>
  <c r="BR1252" i="6"/>
  <c r="BS1252" i="6"/>
  <c r="BU1252" i="6"/>
  <c r="BV1252" i="6"/>
  <c r="BW1252" i="6"/>
  <c r="BX1252" i="6"/>
  <c r="BY1252" i="6"/>
  <c r="CE1252" i="6"/>
  <c r="BJ1253" i="6"/>
  <c r="BK1253" i="6"/>
  <c r="BD1253" i="6" s="1"/>
  <c r="BL1253" i="6"/>
  <c r="BE1253" i="6" s="1"/>
  <c r="BQ1253" i="6"/>
  <c r="BR1253" i="6"/>
  <c r="BS1253" i="6"/>
  <c r="BU1253" i="6"/>
  <c r="BV1253" i="6"/>
  <c r="BW1253" i="6"/>
  <c r="BX1253" i="6"/>
  <c r="BY1253" i="6"/>
  <c r="CE1253" i="6"/>
  <c r="BJ1254" i="6"/>
  <c r="BK1254" i="6"/>
  <c r="BD1254" i="6" s="1"/>
  <c r="BL1254" i="6"/>
  <c r="BE1254" i="6" s="1"/>
  <c r="BQ1254" i="6"/>
  <c r="BR1254" i="6"/>
  <c r="BS1254" i="6"/>
  <c r="BU1254" i="6"/>
  <c r="BV1254" i="6"/>
  <c r="BW1254" i="6"/>
  <c r="BX1254" i="6"/>
  <c r="BY1254" i="6"/>
  <c r="CE1254" i="6"/>
  <c r="BJ1255" i="6"/>
  <c r="BK1255" i="6"/>
  <c r="BD1255" i="6" s="1"/>
  <c r="BL1255" i="6"/>
  <c r="BE1255" i="6" s="1"/>
  <c r="BQ1255" i="6"/>
  <c r="BR1255" i="6"/>
  <c r="BS1255" i="6"/>
  <c r="BU1255" i="6"/>
  <c r="BV1255" i="6"/>
  <c r="BW1255" i="6"/>
  <c r="BX1255" i="6"/>
  <c r="BY1255" i="6"/>
  <c r="CE1255" i="6"/>
  <c r="BJ1256" i="6"/>
  <c r="BK1256" i="6"/>
  <c r="BD1256" i="6" s="1"/>
  <c r="BL1256" i="6"/>
  <c r="BE1256" i="6" s="1"/>
  <c r="BQ1256" i="6"/>
  <c r="BR1256" i="6"/>
  <c r="BS1256" i="6"/>
  <c r="BU1256" i="6"/>
  <c r="BV1256" i="6"/>
  <c r="BW1256" i="6"/>
  <c r="BX1256" i="6"/>
  <c r="BY1256" i="6"/>
  <c r="CE1256" i="6"/>
  <c r="BJ1257" i="6"/>
  <c r="BK1257" i="6"/>
  <c r="BD1257" i="6" s="1"/>
  <c r="BL1257" i="6"/>
  <c r="BE1257" i="6" s="1"/>
  <c r="BQ1257" i="6"/>
  <c r="BR1257" i="6"/>
  <c r="BS1257" i="6"/>
  <c r="BV1257" i="6"/>
  <c r="BW1257" i="6"/>
  <c r="BX1257" i="6"/>
  <c r="BY1257" i="6"/>
  <c r="CE1257" i="6"/>
  <c r="BJ1258" i="6"/>
  <c r="BK1258" i="6"/>
  <c r="BD1258" i="6" s="1"/>
  <c r="BL1258" i="6"/>
  <c r="BE1258" i="6" s="1"/>
  <c r="BQ1258" i="6"/>
  <c r="BR1258" i="6"/>
  <c r="BS1258" i="6"/>
  <c r="BV1258" i="6"/>
  <c r="BW1258" i="6"/>
  <c r="BX1258" i="6"/>
  <c r="BY1258" i="6"/>
  <c r="CE1258" i="6"/>
  <c r="BJ1259" i="6"/>
  <c r="BK1259" i="6"/>
  <c r="BD1259" i="6" s="1"/>
  <c r="BL1259" i="6"/>
  <c r="BE1259" i="6" s="1"/>
  <c r="BQ1259" i="6"/>
  <c r="BR1259" i="6"/>
  <c r="BS1259" i="6"/>
  <c r="BV1259" i="6"/>
  <c r="BW1259" i="6"/>
  <c r="BX1259" i="6"/>
  <c r="BY1259" i="6"/>
  <c r="CE1259" i="6"/>
  <c r="BJ1260" i="6"/>
  <c r="BK1260" i="6"/>
  <c r="BD1260" i="6" s="1"/>
  <c r="BL1260" i="6"/>
  <c r="BE1260" i="6" s="1"/>
  <c r="BQ1260" i="6"/>
  <c r="BR1260" i="6"/>
  <c r="BS1260" i="6"/>
  <c r="BV1260" i="6"/>
  <c r="BW1260" i="6"/>
  <c r="BX1260" i="6"/>
  <c r="BY1260" i="6"/>
  <c r="CE1260" i="6"/>
  <c r="BJ1261" i="6"/>
  <c r="BK1261" i="6"/>
  <c r="BD1261" i="6" s="1"/>
  <c r="BL1261" i="6"/>
  <c r="BE1261" i="6" s="1"/>
  <c r="BQ1261" i="6"/>
  <c r="BR1261" i="6"/>
  <c r="BS1261" i="6"/>
  <c r="BV1261" i="6"/>
  <c r="BW1261" i="6"/>
  <c r="BX1261" i="6"/>
  <c r="BY1261" i="6"/>
  <c r="CE1261" i="6"/>
  <c r="BJ1262" i="6"/>
  <c r="BK1262" i="6"/>
  <c r="BD1262" i="6" s="1"/>
  <c r="BL1262" i="6"/>
  <c r="BE1262" i="6" s="1"/>
  <c r="BQ1262" i="6"/>
  <c r="BR1262" i="6"/>
  <c r="BS1262" i="6"/>
  <c r="BV1262" i="6"/>
  <c r="BW1262" i="6"/>
  <c r="BX1262" i="6"/>
  <c r="BY1262" i="6"/>
  <c r="CE1262" i="6"/>
  <c r="BJ1263" i="6"/>
  <c r="BK1263" i="6"/>
  <c r="BD1263" i="6" s="1"/>
  <c r="BL1263" i="6"/>
  <c r="BE1263" i="6" s="1"/>
  <c r="BQ1263" i="6"/>
  <c r="BR1263" i="6"/>
  <c r="BS1263" i="6"/>
  <c r="BU1263" i="6"/>
  <c r="BV1263" i="6"/>
  <c r="BW1263" i="6"/>
  <c r="BX1263" i="6"/>
  <c r="BY1263" i="6"/>
  <c r="CE1263" i="6"/>
  <c r="BJ1264" i="6"/>
  <c r="BK1264" i="6"/>
  <c r="BD1264" i="6" s="1"/>
  <c r="BL1264" i="6"/>
  <c r="BE1264" i="6" s="1"/>
  <c r="BQ1264" i="6"/>
  <c r="BR1264" i="6"/>
  <c r="BS1264" i="6"/>
  <c r="BU1264" i="6"/>
  <c r="BV1264" i="6"/>
  <c r="BW1264" i="6"/>
  <c r="BX1264" i="6"/>
  <c r="BY1264" i="6"/>
  <c r="CE1264" i="6"/>
  <c r="BJ1265" i="6"/>
  <c r="BK1265" i="6"/>
  <c r="BD1265" i="6" s="1"/>
  <c r="BL1265" i="6"/>
  <c r="BE1265" i="6" s="1"/>
  <c r="BQ1265" i="6"/>
  <c r="BR1265" i="6"/>
  <c r="BS1265" i="6"/>
  <c r="BU1265" i="6"/>
  <c r="BV1265" i="6"/>
  <c r="BW1265" i="6"/>
  <c r="BX1265" i="6"/>
  <c r="BY1265" i="6"/>
  <c r="CE1265" i="6"/>
  <c r="BJ1266" i="6"/>
  <c r="BK1266" i="6"/>
  <c r="BD1266" i="6" s="1"/>
  <c r="BL1266" i="6"/>
  <c r="BE1266" i="6" s="1"/>
  <c r="BQ1266" i="6"/>
  <c r="BR1266" i="6"/>
  <c r="BS1266" i="6"/>
  <c r="BU1266" i="6"/>
  <c r="BV1266" i="6"/>
  <c r="BW1266" i="6"/>
  <c r="BX1266" i="6"/>
  <c r="BY1266" i="6"/>
  <c r="CE1266" i="6"/>
  <c r="BJ1267" i="6"/>
  <c r="BK1267" i="6"/>
  <c r="BD1267" i="6" s="1"/>
  <c r="BL1267" i="6"/>
  <c r="BE1267" i="6" s="1"/>
  <c r="BQ1267" i="6"/>
  <c r="BR1267" i="6"/>
  <c r="BS1267" i="6"/>
  <c r="BU1267" i="6"/>
  <c r="BV1267" i="6"/>
  <c r="BW1267" i="6"/>
  <c r="BX1267" i="6"/>
  <c r="BY1267" i="6"/>
  <c r="CE1267" i="6"/>
  <c r="BJ1268" i="6"/>
  <c r="BK1268" i="6"/>
  <c r="BD1268" i="6" s="1"/>
  <c r="BL1268" i="6"/>
  <c r="BE1268" i="6" s="1"/>
  <c r="BQ1268" i="6"/>
  <c r="BR1268" i="6"/>
  <c r="BS1268" i="6"/>
  <c r="BU1268" i="6"/>
  <c r="BV1268" i="6"/>
  <c r="BW1268" i="6"/>
  <c r="BX1268" i="6"/>
  <c r="BY1268" i="6"/>
  <c r="CE1268" i="6"/>
  <c r="BJ909" i="6"/>
  <c r="BQ909" i="6"/>
  <c r="BR909" i="6"/>
  <c r="BS909" i="6"/>
  <c r="BU909" i="6"/>
  <c r="BV909" i="6"/>
  <c r="BW909" i="6"/>
  <c r="BY909" i="6"/>
  <c r="CE909" i="6"/>
  <c r="BJ910" i="6"/>
  <c r="BK910" i="6"/>
  <c r="BD910" i="6" s="1"/>
  <c r="BL910" i="6"/>
  <c r="BQ910" i="6"/>
  <c r="BR910" i="6"/>
  <c r="BS910" i="6"/>
  <c r="BU910" i="6"/>
  <c r="BV910" i="6"/>
  <c r="BW910" i="6"/>
  <c r="BX910" i="6"/>
  <c r="BY910" i="6"/>
  <c r="CE910" i="6"/>
  <c r="BJ911" i="6"/>
  <c r="BK911" i="6"/>
  <c r="BD911" i="6" s="1"/>
  <c r="BL911" i="6"/>
  <c r="BN911" i="6" s="1"/>
  <c r="BQ911" i="6"/>
  <c r="BR911" i="6"/>
  <c r="BS911" i="6"/>
  <c r="BU911" i="6"/>
  <c r="BV911" i="6"/>
  <c r="BW911" i="6"/>
  <c r="BX911" i="6"/>
  <c r="BY911" i="6"/>
  <c r="CE911" i="6"/>
  <c r="BJ912" i="6"/>
  <c r="BK912" i="6"/>
  <c r="BD912" i="6" s="1"/>
  <c r="BL912" i="6"/>
  <c r="BM912" i="6" s="1"/>
  <c r="BQ912" i="6"/>
  <c r="BR912" i="6"/>
  <c r="BS912" i="6"/>
  <c r="BU912" i="6"/>
  <c r="BV912" i="6"/>
  <c r="BW912" i="6"/>
  <c r="BX912" i="6"/>
  <c r="BY912" i="6"/>
  <c r="CE912" i="6"/>
  <c r="BJ913" i="6"/>
  <c r="BK913" i="6"/>
  <c r="BD913" i="6" s="1"/>
  <c r="BL913" i="6"/>
  <c r="BM913" i="6" s="1"/>
  <c r="BQ913" i="6"/>
  <c r="BR913" i="6"/>
  <c r="BS913" i="6"/>
  <c r="BU913" i="6"/>
  <c r="BV913" i="6"/>
  <c r="BW913" i="6"/>
  <c r="BX913" i="6"/>
  <c r="BY913" i="6"/>
  <c r="CE913" i="6"/>
  <c r="BJ914" i="6"/>
  <c r="BK914" i="6"/>
  <c r="BD914" i="6" s="1"/>
  <c r="BL914" i="6"/>
  <c r="BM914" i="6" s="1"/>
  <c r="BQ914" i="6"/>
  <c r="BR914" i="6"/>
  <c r="BS914" i="6"/>
  <c r="BU914" i="6"/>
  <c r="BV914" i="6"/>
  <c r="BW914" i="6"/>
  <c r="BX914" i="6"/>
  <c r="BY914" i="6"/>
  <c r="CE914" i="6"/>
  <c r="BH1011" i="6"/>
  <c r="BJ1011" i="6"/>
  <c r="BK1011" i="6"/>
  <c r="BD1011" i="6" s="1"/>
  <c r="BL1011" i="6"/>
  <c r="BE1011" i="6" s="1"/>
  <c r="BQ1011" i="6"/>
  <c r="BR1011" i="6"/>
  <c r="BS1011" i="6"/>
  <c r="BU1011" i="6"/>
  <c r="BV1011" i="6"/>
  <c r="BW1011" i="6"/>
  <c r="BX1011" i="6"/>
  <c r="BY1011" i="6"/>
  <c r="BH1012" i="6"/>
  <c r="BJ1012" i="6"/>
  <c r="BK1012" i="6"/>
  <c r="BD1012" i="6" s="1"/>
  <c r="BL1012" i="6"/>
  <c r="BN1012" i="6" s="1"/>
  <c r="BQ1012" i="6"/>
  <c r="BR1012" i="6"/>
  <c r="BS1012" i="6"/>
  <c r="BU1012" i="6"/>
  <c r="BV1012" i="6"/>
  <c r="BW1012" i="6"/>
  <c r="BX1012" i="6"/>
  <c r="BY1012" i="6"/>
  <c r="BH1013" i="6"/>
  <c r="BJ1013" i="6"/>
  <c r="BK1013" i="6"/>
  <c r="BD1013" i="6" s="1"/>
  <c r="BL1013" i="6"/>
  <c r="BM1013" i="6" s="1"/>
  <c r="BQ1013" i="6"/>
  <c r="BR1013" i="6"/>
  <c r="BS1013" i="6"/>
  <c r="BU1013" i="6"/>
  <c r="BV1013" i="6"/>
  <c r="BW1013" i="6"/>
  <c r="BX1013" i="6"/>
  <c r="BY1013" i="6"/>
  <c r="BH1014" i="6"/>
  <c r="BJ1014" i="6"/>
  <c r="BK1014" i="6"/>
  <c r="BD1014" i="6" s="1"/>
  <c r="BL1014" i="6"/>
  <c r="BE1014" i="6" s="1"/>
  <c r="BQ1014" i="6"/>
  <c r="BR1014" i="6"/>
  <c r="BS1014" i="6"/>
  <c r="BU1014" i="6"/>
  <c r="BV1014" i="6"/>
  <c r="BW1014" i="6"/>
  <c r="BX1014" i="6"/>
  <c r="BY1014" i="6"/>
  <c r="BH1015" i="6"/>
  <c r="BJ1015" i="6"/>
  <c r="BK1015" i="6"/>
  <c r="BD1015" i="6" s="1"/>
  <c r="BL1015" i="6"/>
  <c r="BM1015" i="6" s="1"/>
  <c r="BQ1015" i="6"/>
  <c r="BR1015" i="6"/>
  <c r="BS1015" i="6"/>
  <c r="BU1015" i="6"/>
  <c r="BV1015" i="6"/>
  <c r="BW1015" i="6"/>
  <c r="BX1015" i="6"/>
  <c r="BY1015" i="6"/>
  <c r="BH1016" i="6"/>
  <c r="BJ1016" i="6"/>
  <c r="BK1016" i="6"/>
  <c r="BD1016" i="6" s="1"/>
  <c r="BL1016" i="6"/>
  <c r="BQ1016" i="6"/>
  <c r="BR1016" i="6"/>
  <c r="BS1016" i="6"/>
  <c r="BU1016" i="6"/>
  <c r="BV1016" i="6"/>
  <c r="BW1016" i="6"/>
  <c r="BX1016" i="6"/>
  <c r="BY1016" i="6"/>
  <c r="BJ429" i="6"/>
  <c r="BK429" i="6"/>
  <c r="BD429" i="6" s="1"/>
  <c r="BL429" i="6"/>
  <c r="BE429" i="6" s="1"/>
  <c r="BQ429" i="6"/>
  <c r="BR429" i="6"/>
  <c r="BS429" i="6"/>
  <c r="BU429" i="6"/>
  <c r="BV429" i="6"/>
  <c r="BW429" i="6"/>
  <c r="BX429" i="6"/>
  <c r="BY429" i="6"/>
  <c r="BJ430" i="6"/>
  <c r="BK430" i="6"/>
  <c r="BD430" i="6" s="1"/>
  <c r="BL430" i="6"/>
  <c r="BE430" i="6" s="1"/>
  <c r="BQ430" i="6"/>
  <c r="BR430" i="6"/>
  <c r="BS430" i="6"/>
  <c r="BU430" i="6"/>
  <c r="BV430" i="6"/>
  <c r="BW430" i="6"/>
  <c r="BX430" i="6"/>
  <c r="BY430" i="6"/>
  <c r="BJ431" i="6"/>
  <c r="BK431" i="6"/>
  <c r="BD431" i="6" s="1"/>
  <c r="BL431" i="6"/>
  <c r="BE431" i="6" s="1"/>
  <c r="BQ431" i="6"/>
  <c r="BR431" i="6"/>
  <c r="BS431" i="6"/>
  <c r="BU431" i="6"/>
  <c r="BV431" i="6"/>
  <c r="BW431" i="6"/>
  <c r="BX431" i="6"/>
  <c r="BY431" i="6"/>
  <c r="BJ432" i="6"/>
  <c r="BL432" i="6"/>
  <c r="BE432" i="6" s="1"/>
  <c r="BQ432" i="6"/>
  <c r="BR432" i="6"/>
  <c r="BS432" i="6"/>
  <c r="BU432" i="6"/>
  <c r="BV432" i="6"/>
  <c r="BW432" i="6"/>
  <c r="BY432" i="6"/>
  <c r="BJ433" i="6"/>
  <c r="BK433" i="6"/>
  <c r="BD433" i="6" s="1"/>
  <c r="BL433" i="6"/>
  <c r="BE433" i="6" s="1"/>
  <c r="BQ433" i="6"/>
  <c r="BR433" i="6"/>
  <c r="BS433" i="6"/>
  <c r="BU433" i="6"/>
  <c r="BV433" i="6"/>
  <c r="BW433" i="6"/>
  <c r="BX433" i="6"/>
  <c r="BY433" i="6"/>
  <c r="BJ434" i="6"/>
  <c r="BK434" i="6"/>
  <c r="BD434" i="6" s="1"/>
  <c r="BL434" i="6"/>
  <c r="BE434" i="6" s="1"/>
  <c r="BQ434" i="6"/>
  <c r="BR434" i="6"/>
  <c r="BS434" i="6"/>
  <c r="BU434" i="6"/>
  <c r="BV434" i="6"/>
  <c r="BW434" i="6"/>
  <c r="BX434" i="6"/>
  <c r="BY434" i="6"/>
  <c r="CE440" i="6"/>
  <c r="AN9" i="26"/>
  <c r="AQ9" i="26"/>
  <c r="AR9" i="26"/>
  <c r="AM9" i="26" s="1"/>
  <c r="AS9" i="26"/>
  <c r="AX9" i="26"/>
  <c r="AY9" i="26"/>
  <c r="AZ9" i="26"/>
  <c r="BB9" i="26"/>
  <c r="BC9" i="26"/>
  <c r="BD9" i="26"/>
  <c r="BE9" i="26"/>
  <c r="BF9" i="26"/>
  <c r="AQ10" i="26"/>
  <c r="AR10" i="26"/>
  <c r="AM10" i="26" s="1"/>
  <c r="AS10" i="26"/>
  <c r="AN10" i="26" s="1"/>
  <c r="AX10" i="26"/>
  <c r="AY10" i="26"/>
  <c r="AZ10" i="26"/>
  <c r="BB10" i="26"/>
  <c r="BC10" i="26"/>
  <c r="BD10" i="26"/>
  <c r="BE10" i="26"/>
  <c r="BF10" i="26"/>
  <c r="AQ11" i="26"/>
  <c r="AR11" i="26"/>
  <c r="AM11" i="26" s="1"/>
  <c r="AS11" i="26"/>
  <c r="AN11" i="26" s="1"/>
  <c r="AX11" i="26"/>
  <c r="AY11" i="26"/>
  <c r="AZ11" i="26"/>
  <c r="BB11" i="26"/>
  <c r="BC11" i="26"/>
  <c r="BD11" i="26"/>
  <c r="BE11" i="26"/>
  <c r="BF11" i="26"/>
  <c r="AQ12" i="26"/>
  <c r="AR12" i="26"/>
  <c r="AM12" i="26" s="1"/>
  <c r="AS12" i="26"/>
  <c r="AN12" i="26" s="1"/>
  <c r="AX12" i="26"/>
  <c r="AY12" i="26"/>
  <c r="AZ12" i="26"/>
  <c r="BB12" i="26"/>
  <c r="BC12" i="26"/>
  <c r="BD12" i="26"/>
  <c r="BE12" i="26"/>
  <c r="AL12" i="26" s="1"/>
  <c r="BF12" i="26"/>
  <c r="AQ13" i="26"/>
  <c r="AR13" i="26"/>
  <c r="AM13" i="26" s="1"/>
  <c r="AS13" i="26"/>
  <c r="AN13" i="26" s="1"/>
  <c r="AX13" i="26"/>
  <c r="AY13" i="26"/>
  <c r="AZ13" i="26"/>
  <c r="BB13" i="26"/>
  <c r="BC13" i="26"/>
  <c r="BD13" i="26"/>
  <c r="BE13" i="26"/>
  <c r="BF13" i="26"/>
  <c r="AQ14" i="26"/>
  <c r="AR14" i="26"/>
  <c r="AM14" i="26" s="1"/>
  <c r="AS14" i="26"/>
  <c r="AN14" i="26" s="1"/>
  <c r="AX14" i="26"/>
  <c r="AY14" i="26"/>
  <c r="AZ14" i="26"/>
  <c r="BB14" i="26"/>
  <c r="BC14" i="26"/>
  <c r="BD14" i="26"/>
  <c r="BE14" i="26"/>
  <c r="BF14" i="26"/>
  <c r="AQ15" i="26"/>
  <c r="AR15" i="26"/>
  <c r="AM15" i="26" s="1"/>
  <c r="AS15" i="26"/>
  <c r="AN15" i="26" s="1"/>
  <c r="AX15" i="26"/>
  <c r="AY15" i="26"/>
  <c r="AZ15" i="26"/>
  <c r="BB15" i="26"/>
  <c r="BC15" i="26"/>
  <c r="BD15" i="26"/>
  <c r="BE15" i="26"/>
  <c r="BF15" i="26"/>
  <c r="AQ16" i="26"/>
  <c r="AR16" i="26"/>
  <c r="AM16" i="26" s="1"/>
  <c r="AS16" i="26"/>
  <c r="AN16" i="26" s="1"/>
  <c r="AX16" i="26"/>
  <c r="AY16" i="26"/>
  <c r="AZ16" i="26"/>
  <c r="BB16" i="26"/>
  <c r="BC16" i="26"/>
  <c r="BD16" i="26"/>
  <c r="BE16" i="26"/>
  <c r="BF16" i="26"/>
  <c r="AQ17" i="26"/>
  <c r="AR17" i="26"/>
  <c r="AM17" i="26" s="1"/>
  <c r="AS17" i="26"/>
  <c r="AN17" i="26" s="1"/>
  <c r="AX17" i="26"/>
  <c r="AY17" i="26"/>
  <c r="AZ17" i="26"/>
  <c r="BB17" i="26"/>
  <c r="BC17" i="26"/>
  <c r="BD17" i="26"/>
  <c r="BE17" i="26"/>
  <c r="BF17" i="26"/>
  <c r="AQ18" i="26"/>
  <c r="AR18" i="26"/>
  <c r="AM18" i="26" s="1"/>
  <c r="AS18" i="26"/>
  <c r="AN18" i="26" s="1"/>
  <c r="AX18" i="26"/>
  <c r="AY18" i="26"/>
  <c r="AZ18" i="26"/>
  <c r="BB18" i="26"/>
  <c r="BC18" i="26"/>
  <c r="BD18" i="26"/>
  <c r="BE18" i="26"/>
  <c r="BF18" i="26"/>
  <c r="AQ19" i="26"/>
  <c r="AR19" i="26"/>
  <c r="AM19" i="26" s="1"/>
  <c r="AS19" i="26"/>
  <c r="AN19" i="26" s="1"/>
  <c r="AX19" i="26"/>
  <c r="AY19" i="26"/>
  <c r="AZ19" i="26"/>
  <c r="BB19" i="26"/>
  <c r="BC19" i="26"/>
  <c r="BD19" i="26"/>
  <c r="BE19" i="26"/>
  <c r="BF19" i="26"/>
  <c r="AQ20" i="26"/>
  <c r="AR20" i="26"/>
  <c r="AM20" i="26" s="1"/>
  <c r="AS20" i="26"/>
  <c r="AN20" i="26" s="1"/>
  <c r="AX20" i="26"/>
  <c r="AY20" i="26"/>
  <c r="AZ20" i="26"/>
  <c r="BB20" i="26"/>
  <c r="BC20" i="26"/>
  <c r="BD20" i="26"/>
  <c r="BE20" i="26"/>
  <c r="AL20" i="26" s="1"/>
  <c r="BF20" i="26"/>
  <c r="AQ21" i="26"/>
  <c r="AR21" i="26"/>
  <c r="AM21" i="26" s="1"/>
  <c r="AS21" i="26"/>
  <c r="AN21" i="26" s="1"/>
  <c r="AX21" i="26"/>
  <c r="AY21" i="26"/>
  <c r="AZ21" i="26"/>
  <c r="BB21" i="26"/>
  <c r="BC21" i="26"/>
  <c r="BD21" i="26"/>
  <c r="BE21" i="26"/>
  <c r="BF21" i="26"/>
  <c r="AQ22" i="26"/>
  <c r="AR22" i="26"/>
  <c r="AM22" i="26" s="1"/>
  <c r="AS22" i="26"/>
  <c r="AN22" i="26" s="1"/>
  <c r="AX22" i="26"/>
  <c r="AY22" i="26"/>
  <c r="AZ22" i="26"/>
  <c r="BB22" i="26"/>
  <c r="BC22" i="26"/>
  <c r="BD22" i="26"/>
  <c r="BE22" i="26"/>
  <c r="BF22" i="26"/>
  <c r="AQ23" i="26"/>
  <c r="AR23" i="26"/>
  <c r="AM23" i="26" s="1"/>
  <c r="AS23" i="26"/>
  <c r="AN23" i="26" s="1"/>
  <c r="AX23" i="26"/>
  <c r="AY23" i="26"/>
  <c r="AZ23" i="26"/>
  <c r="BB23" i="26"/>
  <c r="BC23" i="26"/>
  <c r="BD23" i="26"/>
  <c r="BE23" i="26"/>
  <c r="BF23" i="26"/>
  <c r="AQ24" i="26"/>
  <c r="AR24" i="26"/>
  <c r="AM24" i="26" s="1"/>
  <c r="AS24" i="26"/>
  <c r="AN24" i="26" s="1"/>
  <c r="AX24" i="26"/>
  <c r="AY24" i="26"/>
  <c r="AZ24" i="26"/>
  <c r="BB24" i="26"/>
  <c r="BC24" i="26"/>
  <c r="BD24" i="26"/>
  <c r="BE24" i="26"/>
  <c r="BF24" i="26"/>
  <c r="AQ25" i="26"/>
  <c r="AR25" i="26"/>
  <c r="AM25" i="26" s="1"/>
  <c r="AS25" i="26"/>
  <c r="AN25" i="26" s="1"/>
  <c r="AX25" i="26"/>
  <c r="AY25" i="26"/>
  <c r="AZ25" i="26"/>
  <c r="BB25" i="26"/>
  <c r="BC25" i="26"/>
  <c r="BD25" i="26"/>
  <c r="BE25" i="26"/>
  <c r="BF25" i="26"/>
  <c r="AQ26" i="26"/>
  <c r="AR26" i="26"/>
  <c r="AM26" i="26" s="1"/>
  <c r="AS26" i="26"/>
  <c r="AN26" i="26" s="1"/>
  <c r="AX26" i="26"/>
  <c r="AY26" i="26"/>
  <c r="AZ26" i="26"/>
  <c r="BB26" i="26"/>
  <c r="BC26" i="26"/>
  <c r="BD26" i="26"/>
  <c r="BE26" i="26"/>
  <c r="BF26" i="26"/>
  <c r="AI27" i="26"/>
  <c r="AQ27" i="26"/>
  <c r="AR27" i="26"/>
  <c r="AM27" i="26" s="1"/>
  <c r="AS27" i="26"/>
  <c r="AN27" i="26" s="1"/>
  <c r="AX27" i="26"/>
  <c r="AY27" i="26"/>
  <c r="AZ27" i="26"/>
  <c r="BB27" i="26"/>
  <c r="BC27" i="26"/>
  <c r="BD27" i="26"/>
  <c r="BE27" i="26"/>
  <c r="BF27" i="26"/>
  <c r="AI28" i="26"/>
  <c r="AQ28" i="26"/>
  <c r="AR28" i="26"/>
  <c r="AM28" i="26" s="1"/>
  <c r="AS28" i="26"/>
  <c r="AN28" i="26" s="1"/>
  <c r="AX28" i="26"/>
  <c r="AY28" i="26"/>
  <c r="AZ28" i="26"/>
  <c r="BB28" i="26"/>
  <c r="BC28" i="26"/>
  <c r="BD28" i="26"/>
  <c r="BE28" i="26"/>
  <c r="BF28" i="26"/>
  <c r="AI29" i="26"/>
  <c r="AN29" i="26"/>
  <c r="AQ29" i="26"/>
  <c r="AR29" i="26"/>
  <c r="AM29" i="26" s="1"/>
  <c r="AS29" i="26"/>
  <c r="AX29" i="26"/>
  <c r="AY29" i="26"/>
  <c r="AZ29" i="26"/>
  <c r="BB29" i="26"/>
  <c r="BC29" i="26"/>
  <c r="BD29" i="26"/>
  <c r="BE29" i="26"/>
  <c r="BF29" i="26"/>
  <c r="AI30" i="26"/>
  <c r="AQ30" i="26"/>
  <c r="AR30" i="26"/>
  <c r="AM30" i="26" s="1"/>
  <c r="AS30" i="26"/>
  <c r="AN30" i="26" s="1"/>
  <c r="AX30" i="26"/>
  <c r="AY30" i="26"/>
  <c r="AZ30" i="26"/>
  <c r="BB30" i="26"/>
  <c r="BC30" i="26"/>
  <c r="BD30" i="26"/>
  <c r="BE30" i="26"/>
  <c r="BF30" i="26"/>
  <c r="AI31" i="26"/>
  <c r="AQ31" i="26"/>
  <c r="AR31" i="26"/>
  <c r="AS31" i="26"/>
  <c r="AN31" i="26" s="1"/>
  <c r="AX31" i="26"/>
  <c r="AY31" i="26"/>
  <c r="AZ31" i="26"/>
  <c r="BB31" i="26"/>
  <c r="BC31" i="26"/>
  <c r="BD31" i="26"/>
  <c r="BE31" i="26"/>
  <c r="BF31" i="26"/>
  <c r="AI32" i="26"/>
  <c r="AQ32" i="26"/>
  <c r="AR32" i="26"/>
  <c r="AM32" i="26" s="1"/>
  <c r="AS32" i="26"/>
  <c r="AN32" i="26" s="1"/>
  <c r="AX32" i="26"/>
  <c r="AY32" i="26"/>
  <c r="AZ32" i="26"/>
  <c r="BB32" i="26"/>
  <c r="BC32" i="26"/>
  <c r="BD32" i="26"/>
  <c r="BE32" i="26"/>
  <c r="BF32" i="26"/>
  <c r="AQ33" i="26"/>
  <c r="AR33" i="26"/>
  <c r="AM33" i="26" s="1"/>
  <c r="AS33" i="26"/>
  <c r="AN33" i="26" s="1"/>
  <c r="AX33" i="26"/>
  <c r="AY33" i="26"/>
  <c r="AZ33" i="26"/>
  <c r="BB33" i="26"/>
  <c r="BC33" i="26"/>
  <c r="BD33" i="26"/>
  <c r="BE33" i="26"/>
  <c r="BF33" i="26"/>
  <c r="BH33" i="26"/>
  <c r="AO33" i="26" s="1"/>
  <c r="BJ33" i="26"/>
  <c r="AP33" i="26" s="1"/>
  <c r="AQ34" i="26"/>
  <c r="AR34" i="26"/>
  <c r="AM34" i="26" s="1"/>
  <c r="AS34" i="26"/>
  <c r="AN34" i="26" s="1"/>
  <c r="AX34" i="26"/>
  <c r="AY34" i="26"/>
  <c r="AZ34" i="26"/>
  <c r="BB34" i="26"/>
  <c r="BC34" i="26"/>
  <c r="BD34" i="26"/>
  <c r="BE34" i="26"/>
  <c r="BF34" i="26"/>
  <c r="AQ35" i="26"/>
  <c r="AR35" i="26"/>
  <c r="AM35" i="26" s="1"/>
  <c r="AS35" i="26"/>
  <c r="AN35" i="26" s="1"/>
  <c r="AX35" i="26"/>
  <c r="AY35" i="26"/>
  <c r="AZ35" i="26"/>
  <c r="BB35" i="26"/>
  <c r="BC35" i="26"/>
  <c r="BD35" i="26"/>
  <c r="BE35" i="26"/>
  <c r="BF35" i="26"/>
  <c r="AQ36" i="26"/>
  <c r="AR36" i="26"/>
  <c r="AM36" i="26" s="1"/>
  <c r="AS36" i="26"/>
  <c r="AN36" i="26" s="1"/>
  <c r="AX36" i="26"/>
  <c r="AY36" i="26"/>
  <c r="AZ36" i="26"/>
  <c r="BB36" i="26"/>
  <c r="BC36" i="26"/>
  <c r="BD36" i="26"/>
  <c r="BE36" i="26"/>
  <c r="BF36" i="26"/>
  <c r="AF37" i="26"/>
  <c r="AQ37" i="26"/>
  <c r="AR37" i="26"/>
  <c r="AM37" i="26" s="1"/>
  <c r="AS37" i="26"/>
  <c r="AN37" i="26" s="1"/>
  <c r="AW37" i="26"/>
  <c r="AX37" i="26"/>
  <c r="AY37" i="26"/>
  <c r="AZ37" i="26"/>
  <c r="BB37" i="26"/>
  <c r="BC37" i="26"/>
  <c r="BD37" i="26"/>
  <c r="BE37" i="26"/>
  <c r="BF37" i="26"/>
  <c r="AQ38" i="26"/>
  <c r="AR38" i="26"/>
  <c r="AM38" i="26" s="1"/>
  <c r="AS38" i="26"/>
  <c r="AN38" i="26" s="1"/>
  <c r="AX38" i="26"/>
  <c r="AY38" i="26"/>
  <c r="AZ38" i="26"/>
  <c r="BB38" i="26"/>
  <c r="BC38" i="26"/>
  <c r="BD38" i="26"/>
  <c r="BE38" i="26"/>
  <c r="BF38" i="26"/>
  <c r="AQ39" i="26"/>
  <c r="AR39" i="26"/>
  <c r="AM39" i="26" s="1"/>
  <c r="AS39" i="26"/>
  <c r="AN39" i="26" s="1"/>
  <c r="AX39" i="26"/>
  <c r="AY39" i="26"/>
  <c r="AZ39" i="26"/>
  <c r="BB39" i="26"/>
  <c r="BC39" i="26"/>
  <c r="BD39" i="26"/>
  <c r="BE39" i="26"/>
  <c r="BF39" i="26"/>
  <c r="AQ40" i="26"/>
  <c r="AR40" i="26"/>
  <c r="AM40" i="26" s="1"/>
  <c r="AS40" i="26"/>
  <c r="AN40" i="26" s="1"/>
  <c r="AX40" i="26"/>
  <c r="AY40" i="26"/>
  <c r="AZ40" i="26"/>
  <c r="BB40" i="26"/>
  <c r="BC40" i="26"/>
  <c r="BD40" i="26"/>
  <c r="BE40" i="26"/>
  <c r="BF40" i="26"/>
  <c r="AQ41" i="26"/>
  <c r="AR41" i="26"/>
  <c r="AM41" i="26" s="1"/>
  <c r="AS41" i="26"/>
  <c r="AN41" i="26" s="1"/>
  <c r="AX41" i="26"/>
  <c r="AY41" i="26"/>
  <c r="AZ41" i="26"/>
  <c r="BB41" i="26"/>
  <c r="BC41" i="26"/>
  <c r="BD41" i="26"/>
  <c r="BE41" i="26"/>
  <c r="BF41" i="26"/>
  <c r="AQ42" i="26"/>
  <c r="AR42" i="26"/>
  <c r="AM42" i="26" s="1"/>
  <c r="AS42" i="26"/>
  <c r="AN42" i="26" s="1"/>
  <c r="AX42" i="26"/>
  <c r="AY42" i="26"/>
  <c r="AZ42" i="26"/>
  <c r="BB42" i="26"/>
  <c r="BC42" i="26"/>
  <c r="BD42" i="26"/>
  <c r="BE42" i="26"/>
  <c r="BF42" i="26"/>
  <c r="AF43" i="26"/>
  <c r="AQ43" i="26"/>
  <c r="AR43" i="26"/>
  <c r="AM43" i="26" s="1"/>
  <c r="AS43" i="26"/>
  <c r="AT43" i="26" s="1"/>
  <c r="AX43" i="26"/>
  <c r="AY43" i="26"/>
  <c r="AZ43" i="26"/>
  <c r="BB43" i="26"/>
  <c r="BC43" i="26"/>
  <c r="BD43" i="26"/>
  <c r="BE43" i="26"/>
  <c r="BF43" i="26"/>
  <c r="AQ44" i="26"/>
  <c r="AR44" i="26"/>
  <c r="AM44" i="26" s="1"/>
  <c r="AS44" i="26"/>
  <c r="AN44" i="26" s="1"/>
  <c r="AX44" i="26"/>
  <c r="AY44" i="26"/>
  <c r="AZ44" i="26"/>
  <c r="BB44" i="26"/>
  <c r="BC44" i="26"/>
  <c r="BD44" i="26"/>
  <c r="BE44" i="26"/>
  <c r="BF44" i="26"/>
  <c r="AQ45" i="26"/>
  <c r="AR45" i="26"/>
  <c r="AM45" i="26" s="1"/>
  <c r="AS45" i="26"/>
  <c r="AN45" i="26" s="1"/>
  <c r="AX45" i="26"/>
  <c r="AY45" i="26"/>
  <c r="AZ45" i="26"/>
  <c r="BB45" i="26"/>
  <c r="BC45" i="26"/>
  <c r="BD45" i="26"/>
  <c r="BE45" i="26"/>
  <c r="BF45" i="26"/>
  <c r="AQ46" i="26"/>
  <c r="AR46" i="26"/>
  <c r="AM46" i="26" s="1"/>
  <c r="AS46" i="26"/>
  <c r="AN46" i="26" s="1"/>
  <c r="AX46" i="26"/>
  <c r="AY46" i="26"/>
  <c r="AZ46" i="26"/>
  <c r="BB46" i="26"/>
  <c r="BC46" i="26"/>
  <c r="BD46" i="26"/>
  <c r="BE46" i="26"/>
  <c r="BF46" i="26"/>
  <c r="AQ47" i="26"/>
  <c r="AR47" i="26"/>
  <c r="AM47" i="26" s="1"/>
  <c r="AS47" i="26"/>
  <c r="AN47" i="26" s="1"/>
  <c r="AX47" i="26"/>
  <c r="AY47" i="26"/>
  <c r="AZ47" i="26"/>
  <c r="BB47" i="26"/>
  <c r="BC47" i="26"/>
  <c r="BD47" i="26"/>
  <c r="BE47" i="26"/>
  <c r="BF47" i="26"/>
  <c r="AQ48" i="26"/>
  <c r="AR48" i="26"/>
  <c r="AM48" i="26" s="1"/>
  <c r="AS48" i="26"/>
  <c r="AN48" i="26" s="1"/>
  <c r="AX48" i="26"/>
  <c r="AY48" i="26"/>
  <c r="AZ48" i="26"/>
  <c r="BB48" i="26"/>
  <c r="BC48" i="26"/>
  <c r="BD48" i="26"/>
  <c r="BE48" i="26"/>
  <c r="BF48" i="26"/>
  <c r="AF49" i="26"/>
  <c r="AQ49" i="26"/>
  <c r="AR49" i="26"/>
  <c r="AM49" i="26" s="1"/>
  <c r="AS49" i="26"/>
  <c r="AU49" i="26" s="1"/>
  <c r="AX49" i="26"/>
  <c r="AY49" i="26"/>
  <c r="AZ49" i="26"/>
  <c r="BB49" i="26"/>
  <c r="BC49" i="26"/>
  <c r="BD49" i="26"/>
  <c r="BE49" i="26"/>
  <c r="BF49" i="26"/>
  <c r="AQ50" i="26"/>
  <c r="AR50" i="26"/>
  <c r="AM50" i="26" s="1"/>
  <c r="AS50" i="26"/>
  <c r="AN50" i="26" s="1"/>
  <c r="AX50" i="26"/>
  <c r="AY50" i="26"/>
  <c r="AZ50" i="26"/>
  <c r="BB50" i="26"/>
  <c r="BC50" i="26"/>
  <c r="BD50" i="26"/>
  <c r="BE50" i="26"/>
  <c r="BF50" i="26"/>
  <c r="AQ51" i="26"/>
  <c r="AR51" i="26"/>
  <c r="AM51" i="26" s="1"/>
  <c r="AS51" i="26"/>
  <c r="AN51" i="26" s="1"/>
  <c r="AX51" i="26"/>
  <c r="AY51" i="26"/>
  <c r="AZ51" i="26"/>
  <c r="BB51" i="26"/>
  <c r="BC51" i="26"/>
  <c r="BD51" i="26"/>
  <c r="BE51" i="26"/>
  <c r="AQ52" i="26"/>
  <c r="AR52" i="26"/>
  <c r="AM52" i="26" s="1"/>
  <c r="AS52" i="26"/>
  <c r="AN52" i="26" s="1"/>
  <c r="AX52" i="26"/>
  <c r="AY52" i="26"/>
  <c r="AZ52" i="26"/>
  <c r="BB52" i="26"/>
  <c r="BC52" i="26"/>
  <c r="BD52" i="26"/>
  <c r="BE52" i="26"/>
  <c r="AQ53" i="26"/>
  <c r="AR53" i="26"/>
  <c r="AM53" i="26" s="1"/>
  <c r="AS53" i="26"/>
  <c r="AN53" i="26" s="1"/>
  <c r="AX53" i="26"/>
  <c r="AY53" i="26"/>
  <c r="AZ53" i="26"/>
  <c r="BB53" i="26"/>
  <c r="BC53" i="26"/>
  <c r="BD53" i="26"/>
  <c r="BE53" i="26"/>
  <c r="AN54" i="26"/>
  <c r="AQ54" i="26"/>
  <c r="AR54" i="26"/>
  <c r="AM54" i="26" s="1"/>
  <c r="AS54" i="26"/>
  <c r="AX54" i="26"/>
  <c r="AY54" i="26"/>
  <c r="AZ54" i="26"/>
  <c r="BB54" i="26"/>
  <c r="BC54" i="26"/>
  <c r="BD54" i="26"/>
  <c r="BE54" i="26"/>
  <c r="AF55" i="26"/>
  <c r="AQ55" i="26"/>
  <c r="AR55" i="26"/>
  <c r="AM55" i="26" s="1"/>
  <c r="AS55" i="26"/>
  <c r="AT55" i="26" s="1"/>
  <c r="AX55" i="26"/>
  <c r="AY55" i="26"/>
  <c r="AZ55" i="26"/>
  <c r="BB55" i="26"/>
  <c r="BC55" i="26"/>
  <c r="BD55" i="26"/>
  <c r="BE55" i="26"/>
  <c r="AQ56" i="26"/>
  <c r="AR56" i="26"/>
  <c r="AM56" i="26" s="1"/>
  <c r="AS56" i="26"/>
  <c r="AN56" i="26" s="1"/>
  <c r="AX56" i="26"/>
  <c r="AY56" i="26"/>
  <c r="AZ56" i="26"/>
  <c r="BB56" i="26"/>
  <c r="BC56" i="26"/>
  <c r="BD56" i="26"/>
  <c r="BE56" i="26"/>
  <c r="AQ57" i="26"/>
  <c r="AR57" i="26"/>
  <c r="AM57" i="26" s="1"/>
  <c r="AS57" i="26"/>
  <c r="AX57" i="26"/>
  <c r="AY57" i="26"/>
  <c r="AZ57" i="26"/>
  <c r="BB57" i="26"/>
  <c r="BC57" i="26"/>
  <c r="BD57" i="26"/>
  <c r="BE57" i="26"/>
  <c r="BF57" i="26"/>
  <c r="AQ58" i="26"/>
  <c r="AR58" i="26"/>
  <c r="AM58" i="26" s="1"/>
  <c r="AS58" i="26"/>
  <c r="AN58" i="26" s="1"/>
  <c r="AX58" i="26"/>
  <c r="AY58" i="26"/>
  <c r="AZ58" i="26"/>
  <c r="BB58" i="26"/>
  <c r="BC58" i="26"/>
  <c r="BD58" i="26"/>
  <c r="BE58" i="26"/>
  <c r="BF58" i="26"/>
  <c r="AQ59" i="26"/>
  <c r="AR59" i="26"/>
  <c r="AM59" i="26" s="1"/>
  <c r="AS59" i="26"/>
  <c r="AN59" i="26" s="1"/>
  <c r="AX59" i="26"/>
  <c r="AY59" i="26"/>
  <c r="AZ59" i="26"/>
  <c r="BB59" i="26"/>
  <c r="BC59" i="26"/>
  <c r="BD59" i="26"/>
  <c r="BE59" i="26"/>
  <c r="BF59" i="26"/>
  <c r="AQ60" i="26"/>
  <c r="AR60" i="26"/>
  <c r="AM60" i="26" s="1"/>
  <c r="AS60" i="26"/>
  <c r="AX60" i="26"/>
  <c r="AY60" i="26"/>
  <c r="AZ60" i="26"/>
  <c r="BB60" i="26"/>
  <c r="BC60" i="26"/>
  <c r="BD60" i="26"/>
  <c r="BE60" i="26"/>
  <c r="BF60" i="26"/>
  <c r="AF61" i="26"/>
  <c r="AQ61" i="26"/>
  <c r="AR61" i="26"/>
  <c r="AM61" i="26" s="1"/>
  <c r="AS61" i="26"/>
  <c r="AN61" i="26" s="1"/>
  <c r="AX61" i="26"/>
  <c r="AY61" i="26"/>
  <c r="AZ61" i="26"/>
  <c r="BB61" i="26"/>
  <c r="BC61" i="26"/>
  <c r="BD61" i="26"/>
  <c r="BE61" i="26"/>
  <c r="BF61" i="26"/>
  <c r="AQ62" i="26"/>
  <c r="AR62" i="26"/>
  <c r="AM62" i="26" s="1"/>
  <c r="AS62" i="26"/>
  <c r="AN62" i="26" s="1"/>
  <c r="AX62" i="26"/>
  <c r="AY62" i="26"/>
  <c r="AZ62" i="26"/>
  <c r="BB62" i="26"/>
  <c r="BC62" i="26"/>
  <c r="BD62" i="26"/>
  <c r="BE62" i="26"/>
  <c r="BF62" i="26"/>
  <c r="AQ63" i="26"/>
  <c r="AR63" i="26"/>
  <c r="AM63" i="26" s="1"/>
  <c r="AS63" i="26"/>
  <c r="AN63" i="26" s="1"/>
  <c r="AX63" i="26"/>
  <c r="AY63" i="26"/>
  <c r="AZ63" i="26"/>
  <c r="BB63" i="26"/>
  <c r="BC63" i="26"/>
  <c r="BD63" i="26"/>
  <c r="BE63" i="26"/>
  <c r="BF63" i="26"/>
  <c r="AQ64" i="26"/>
  <c r="AR64" i="26"/>
  <c r="AM64" i="26" s="1"/>
  <c r="AS64" i="26"/>
  <c r="AN64" i="26" s="1"/>
  <c r="AX64" i="26"/>
  <c r="AY64" i="26"/>
  <c r="AZ64" i="26"/>
  <c r="BB64" i="26"/>
  <c r="BC64" i="26"/>
  <c r="BD64" i="26"/>
  <c r="BE64" i="26"/>
  <c r="BF64" i="26"/>
  <c r="AQ65" i="26"/>
  <c r="AR65" i="26"/>
  <c r="AM65" i="26" s="1"/>
  <c r="AS65" i="26"/>
  <c r="AN65" i="26" s="1"/>
  <c r="AX65" i="26"/>
  <c r="AY65" i="26"/>
  <c r="AZ65" i="26"/>
  <c r="BB65" i="26"/>
  <c r="BC65" i="26"/>
  <c r="BD65" i="26"/>
  <c r="BE65" i="26"/>
  <c r="BF65" i="26"/>
  <c r="AQ66" i="26"/>
  <c r="AR66" i="26"/>
  <c r="AM66" i="26" s="1"/>
  <c r="AS66" i="26"/>
  <c r="AN66" i="26" s="1"/>
  <c r="AX66" i="26"/>
  <c r="AY66" i="26"/>
  <c r="AZ66" i="26"/>
  <c r="BB66" i="26"/>
  <c r="BC66" i="26"/>
  <c r="BD66" i="26"/>
  <c r="BE66" i="26"/>
  <c r="BF66" i="26"/>
  <c r="AF67" i="26"/>
  <c r="AQ67" i="26"/>
  <c r="AR67" i="26"/>
  <c r="AM67" i="26" s="1"/>
  <c r="AS67" i="26"/>
  <c r="AT67" i="26" s="1"/>
  <c r="AX67" i="26"/>
  <c r="AY67" i="26"/>
  <c r="AZ67" i="26"/>
  <c r="BB67" i="26"/>
  <c r="BC67" i="26"/>
  <c r="BD67" i="26"/>
  <c r="BE67" i="26"/>
  <c r="BF67" i="26"/>
  <c r="AQ68" i="26"/>
  <c r="AR68" i="26"/>
  <c r="AM68" i="26" s="1"/>
  <c r="AS68" i="26"/>
  <c r="AN68" i="26" s="1"/>
  <c r="AX68" i="26"/>
  <c r="AY68" i="26"/>
  <c r="AZ68" i="26"/>
  <c r="BB68" i="26"/>
  <c r="BC68" i="26"/>
  <c r="BD68" i="26"/>
  <c r="BE68" i="26"/>
  <c r="BF68" i="26"/>
  <c r="AQ69" i="26"/>
  <c r="AR69" i="26"/>
  <c r="AM69" i="26" s="1"/>
  <c r="AS69" i="26"/>
  <c r="AN69" i="26" s="1"/>
  <c r="AX69" i="26"/>
  <c r="AY69" i="26"/>
  <c r="AZ69" i="26"/>
  <c r="BB69" i="26"/>
  <c r="BC69" i="26"/>
  <c r="BD69" i="26"/>
  <c r="BE69" i="26"/>
  <c r="BF69" i="26"/>
  <c r="AQ70" i="26"/>
  <c r="AR70" i="26"/>
  <c r="AM70" i="26" s="1"/>
  <c r="AS70" i="26"/>
  <c r="AN70" i="26" s="1"/>
  <c r="AX70" i="26"/>
  <c r="AY70" i="26"/>
  <c r="AZ70" i="26"/>
  <c r="BB70" i="26"/>
  <c r="BC70" i="26"/>
  <c r="BD70" i="26"/>
  <c r="BE70" i="26"/>
  <c r="BF70" i="26"/>
  <c r="AQ71" i="26"/>
  <c r="AR71" i="26"/>
  <c r="AM71" i="26" s="1"/>
  <c r="AS71" i="26"/>
  <c r="AN71" i="26" s="1"/>
  <c r="AX71" i="26"/>
  <c r="AY71" i="26"/>
  <c r="AZ71" i="26"/>
  <c r="BB71" i="26"/>
  <c r="BC71" i="26"/>
  <c r="BD71" i="26"/>
  <c r="BE71" i="26"/>
  <c r="BF71" i="26"/>
  <c r="AQ72" i="26"/>
  <c r="AR72" i="26"/>
  <c r="AM72" i="26" s="1"/>
  <c r="AS72" i="26"/>
  <c r="AN72" i="26" s="1"/>
  <c r="AX72" i="26"/>
  <c r="AY72" i="26"/>
  <c r="AZ72" i="26"/>
  <c r="BB72" i="26"/>
  <c r="BC72" i="26"/>
  <c r="BD72" i="26"/>
  <c r="BE72" i="26"/>
  <c r="AL72" i="26" s="1"/>
  <c r="BF72" i="26"/>
  <c r="AF73" i="26"/>
  <c r="AQ73" i="26"/>
  <c r="AR73" i="26"/>
  <c r="AM73" i="26" s="1"/>
  <c r="AS73" i="26"/>
  <c r="AT73" i="26" s="1"/>
  <c r="AX73" i="26"/>
  <c r="AY73" i="26"/>
  <c r="AZ73" i="26"/>
  <c r="BB73" i="26"/>
  <c r="BC73" i="26"/>
  <c r="BD73" i="26"/>
  <c r="BE73" i="26"/>
  <c r="BF73" i="26"/>
  <c r="AQ74" i="26"/>
  <c r="AR74" i="26"/>
  <c r="AM74" i="26" s="1"/>
  <c r="AS74" i="26"/>
  <c r="AN74" i="26" s="1"/>
  <c r="AX74" i="26"/>
  <c r="AY74" i="26"/>
  <c r="AZ74" i="26"/>
  <c r="BB74" i="26"/>
  <c r="BC74" i="26"/>
  <c r="BD74" i="26"/>
  <c r="BE74" i="26"/>
  <c r="BF74" i="26"/>
  <c r="AQ75" i="26"/>
  <c r="AR75" i="26"/>
  <c r="AM75" i="26" s="1"/>
  <c r="AS75" i="26"/>
  <c r="AN75" i="26" s="1"/>
  <c r="AX75" i="26"/>
  <c r="AY75" i="26"/>
  <c r="AZ75" i="26"/>
  <c r="BB75" i="26"/>
  <c r="BC75" i="26"/>
  <c r="BD75" i="26"/>
  <c r="BE75" i="26"/>
  <c r="BF75" i="26"/>
  <c r="AQ76" i="26"/>
  <c r="AR76" i="26"/>
  <c r="AM76" i="26" s="1"/>
  <c r="AS76" i="26"/>
  <c r="AN76" i="26" s="1"/>
  <c r="AX76" i="26"/>
  <c r="AY76" i="26"/>
  <c r="AZ76" i="26"/>
  <c r="BB76" i="26"/>
  <c r="BC76" i="26"/>
  <c r="BD76" i="26"/>
  <c r="BE76" i="26"/>
  <c r="BF76" i="26"/>
  <c r="AQ77" i="26"/>
  <c r="AR77" i="26"/>
  <c r="AM77" i="26" s="1"/>
  <c r="AS77" i="26"/>
  <c r="AN77" i="26" s="1"/>
  <c r="AX77" i="26"/>
  <c r="AY77" i="26"/>
  <c r="AZ77" i="26"/>
  <c r="BB77" i="26"/>
  <c r="BC77" i="26"/>
  <c r="BD77" i="26"/>
  <c r="BE77" i="26"/>
  <c r="BF77" i="26"/>
  <c r="AQ78" i="26"/>
  <c r="AR78" i="26"/>
  <c r="AM78" i="26" s="1"/>
  <c r="AS78" i="26"/>
  <c r="AX78" i="26"/>
  <c r="AY78" i="26"/>
  <c r="AZ78" i="26"/>
  <c r="BB78" i="26"/>
  <c r="BC78" i="26"/>
  <c r="BD78" i="26"/>
  <c r="BE78" i="26"/>
  <c r="BF78" i="26"/>
  <c r="AF79" i="26"/>
  <c r="AQ79" i="26"/>
  <c r="AR79" i="26"/>
  <c r="AM79" i="26" s="1"/>
  <c r="AS79" i="26"/>
  <c r="AN79" i="26" s="1"/>
  <c r="AX79" i="26"/>
  <c r="AY79" i="26"/>
  <c r="AZ79" i="26"/>
  <c r="BB79" i="26"/>
  <c r="BC79" i="26"/>
  <c r="BD79" i="26"/>
  <c r="BE79" i="26"/>
  <c r="BF79" i="26"/>
  <c r="AQ80" i="26"/>
  <c r="AR80" i="26"/>
  <c r="AM80" i="26" s="1"/>
  <c r="AS80" i="26"/>
  <c r="AN80" i="26" s="1"/>
  <c r="AX80" i="26"/>
  <c r="AY80" i="26"/>
  <c r="AZ80" i="26"/>
  <c r="BB80" i="26"/>
  <c r="BC80" i="26"/>
  <c r="BD80" i="26"/>
  <c r="BE80" i="26"/>
  <c r="BF80" i="26"/>
  <c r="AQ81" i="26"/>
  <c r="AR81" i="26"/>
  <c r="AM81" i="26" s="1"/>
  <c r="AS81" i="26"/>
  <c r="AN81" i="26" s="1"/>
  <c r="AX81" i="26"/>
  <c r="AY81" i="26"/>
  <c r="AZ81" i="26"/>
  <c r="BB81" i="26"/>
  <c r="BC81" i="26"/>
  <c r="BD81" i="26"/>
  <c r="BE81" i="26"/>
  <c r="BF81" i="26"/>
  <c r="AQ82" i="26"/>
  <c r="AR82" i="26"/>
  <c r="AM82" i="26" s="1"/>
  <c r="AS82" i="26"/>
  <c r="AN82" i="26" s="1"/>
  <c r="AX82" i="26"/>
  <c r="AY82" i="26"/>
  <c r="AZ82" i="26"/>
  <c r="BB82" i="26"/>
  <c r="BC82" i="26"/>
  <c r="BD82" i="26"/>
  <c r="BE82" i="26"/>
  <c r="BF82" i="26"/>
  <c r="AN83" i="26"/>
  <c r="AQ83" i="26"/>
  <c r="AR83" i="26"/>
  <c r="AM83" i="26" s="1"/>
  <c r="AS83" i="26"/>
  <c r="AX83" i="26"/>
  <c r="AY83" i="26"/>
  <c r="AZ83" i="26"/>
  <c r="BB83" i="26"/>
  <c r="BC83" i="26"/>
  <c r="BD83" i="26"/>
  <c r="BE83" i="26"/>
  <c r="BF83" i="26"/>
  <c r="AQ84" i="26"/>
  <c r="AR84" i="26"/>
  <c r="AM84" i="26" s="1"/>
  <c r="AS84" i="26"/>
  <c r="AN84" i="26" s="1"/>
  <c r="AX84" i="26"/>
  <c r="AY84" i="26"/>
  <c r="AZ84" i="26"/>
  <c r="BB84" i="26"/>
  <c r="BC84" i="26"/>
  <c r="BD84" i="26"/>
  <c r="BE84" i="26"/>
  <c r="BF84" i="26"/>
  <c r="AF85" i="26"/>
  <c r="AM85" i="26"/>
  <c r="AQ85" i="26"/>
  <c r="AR85" i="26"/>
  <c r="AS85" i="26"/>
  <c r="AN85" i="26" s="1"/>
  <c r="AX85" i="26"/>
  <c r="AY85" i="26"/>
  <c r="AZ85" i="26"/>
  <c r="BB85" i="26"/>
  <c r="BC85" i="26"/>
  <c r="BD85" i="26"/>
  <c r="BE85" i="26"/>
  <c r="BF85" i="26"/>
  <c r="AQ86" i="26"/>
  <c r="AR86" i="26"/>
  <c r="AM86" i="26" s="1"/>
  <c r="AS86" i="26"/>
  <c r="AN86" i="26" s="1"/>
  <c r="AX86" i="26"/>
  <c r="AY86" i="26"/>
  <c r="AZ86" i="26"/>
  <c r="BB86" i="26"/>
  <c r="BC86" i="26"/>
  <c r="BD86" i="26"/>
  <c r="BE86" i="26"/>
  <c r="BF86" i="26"/>
  <c r="AQ87" i="26"/>
  <c r="AR87" i="26"/>
  <c r="AM87" i="26" s="1"/>
  <c r="AS87" i="26"/>
  <c r="AN87" i="26" s="1"/>
  <c r="AX87" i="26"/>
  <c r="AY87" i="26"/>
  <c r="AZ87" i="26"/>
  <c r="BB87" i="26"/>
  <c r="BC87" i="26"/>
  <c r="BD87" i="26"/>
  <c r="BE87" i="26"/>
  <c r="BF87" i="26"/>
  <c r="AQ88" i="26"/>
  <c r="AR88" i="26"/>
  <c r="AM88" i="26" s="1"/>
  <c r="AS88" i="26"/>
  <c r="AN88" i="26" s="1"/>
  <c r="AX88" i="26"/>
  <c r="AY88" i="26"/>
  <c r="AZ88" i="26"/>
  <c r="BB88" i="26"/>
  <c r="BC88" i="26"/>
  <c r="BD88" i="26"/>
  <c r="BE88" i="26"/>
  <c r="BF88" i="26"/>
  <c r="AQ89" i="26"/>
  <c r="AR89" i="26"/>
  <c r="AM89" i="26" s="1"/>
  <c r="AS89" i="26"/>
  <c r="AN89" i="26" s="1"/>
  <c r="AX89" i="26"/>
  <c r="AY89" i="26"/>
  <c r="AZ89" i="26"/>
  <c r="BB89" i="26"/>
  <c r="BC89" i="26"/>
  <c r="BD89" i="26"/>
  <c r="BE89" i="26"/>
  <c r="BF89" i="26"/>
  <c r="AQ90" i="26"/>
  <c r="AR90" i="26"/>
  <c r="AM90" i="26" s="1"/>
  <c r="AS90" i="26"/>
  <c r="AN90" i="26" s="1"/>
  <c r="AX90" i="26"/>
  <c r="AY90" i="26"/>
  <c r="AZ90" i="26"/>
  <c r="BB90" i="26"/>
  <c r="BC90" i="26"/>
  <c r="BD90" i="26"/>
  <c r="BE90" i="26"/>
  <c r="BF90" i="26"/>
  <c r="AF91" i="26"/>
  <c r="AQ91" i="26"/>
  <c r="AR91" i="26"/>
  <c r="AM91" i="26" s="1"/>
  <c r="AS91" i="26"/>
  <c r="AT91" i="26" s="1"/>
  <c r="AX91" i="26"/>
  <c r="AY91" i="26"/>
  <c r="AZ91" i="26"/>
  <c r="BB91" i="26"/>
  <c r="BC91" i="26"/>
  <c r="BD91" i="26"/>
  <c r="BE91" i="26"/>
  <c r="BF91" i="26"/>
  <c r="AQ92" i="26"/>
  <c r="AR92" i="26"/>
  <c r="AM92" i="26" s="1"/>
  <c r="AS92" i="26"/>
  <c r="AN92" i="26" s="1"/>
  <c r="AX92" i="26"/>
  <c r="AY92" i="26"/>
  <c r="AZ92" i="26"/>
  <c r="BB92" i="26"/>
  <c r="BC92" i="26"/>
  <c r="BD92" i="26"/>
  <c r="BE92" i="26"/>
  <c r="BF92" i="26"/>
  <c r="AQ93" i="26"/>
  <c r="AR93" i="26"/>
  <c r="AM93" i="26" s="1"/>
  <c r="AS93" i="26"/>
  <c r="AN93" i="26" s="1"/>
  <c r="AX93" i="26"/>
  <c r="AY93" i="26"/>
  <c r="AZ93" i="26"/>
  <c r="BB93" i="26"/>
  <c r="BC93" i="26"/>
  <c r="BD93" i="26"/>
  <c r="BE93" i="26"/>
  <c r="BF93" i="26"/>
  <c r="AQ94" i="26"/>
  <c r="AR94" i="26"/>
  <c r="AM94" i="26" s="1"/>
  <c r="AS94" i="26"/>
  <c r="AN94" i="26" s="1"/>
  <c r="AX94" i="26"/>
  <c r="AY94" i="26"/>
  <c r="AZ94" i="26"/>
  <c r="BB94" i="26"/>
  <c r="BC94" i="26"/>
  <c r="BD94" i="26"/>
  <c r="BE94" i="26"/>
  <c r="BF94" i="26"/>
  <c r="AQ95" i="26"/>
  <c r="AR95" i="26"/>
  <c r="AM95" i="26" s="1"/>
  <c r="AS95" i="26"/>
  <c r="AN95" i="26" s="1"/>
  <c r="AX95" i="26"/>
  <c r="AY95" i="26"/>
  <c r="AZ95" i="26"/>
  <c r="BB95" i="26"/>
  <c r="BC95" i="26"/>
  <c r="BD95" i="26"/>
  <c r="BE95" i="26"/>
  <c r="BF95" i="26"/>
  <c r="AQ96" i="26"/>
  <c r="AR96" i="26"/>
  <c r="AM96" i="26" s="1"/>
  <c r="AS96" i="26"/>
  <c r="AN96" i="26" s="1"/>
  <c r="AX96" i="26"/>
  <c r="AY96" i="26"/>
  <c r="AZ96" i="26"/>
  <c r="BB96" i="26"/>
  <c r="BC96" i="26"/>
  <c r="BD96" i="26"/>
  <c r="BE96" i="26"/>
  <c r="BF96" i="26"/>
  <c r="AF97" i="26"/>
  <c r="AQ97" i="26"/>
  <c r="AR97" i="26"/>
  <c r="AM97" i="26" s="1"/>
  <c r="AS97" i="26"/>
  <c r="AN97" i="26" s="1"/>
  <c r="AX97" i="26"/>
  <c r="AY97" i="26"/>
  <c r="AZ97" i="26"/>
  <c r="BB97" i="26"/>
  <c r="BC97" i="26"/>
  <c r="BD97" i="26"/>
  <c r="BE97" i="26"/>
  <c r="BF97" i="26"/>
  <c r="AM98" i="26"/>
  <c r="AQ98" i="26"/>
  <c r="AR98" i="26"/>
  <c r="AS98" i="26"/>
  <c r="AN98" i="26" s="1"/>
  <c r="AX98" i="26"/>
  <c r="AY98" i="26"/>
  <c r="AZ98" i="26"/>
  <c r="BB98" i="26"/>
  <c r="BC98" i="26"/>
  <c r="BD98" i="26"/>
  <c r="BE98" i="26"/>
  <c r="BF98" i="26"/>
  <c r="AQ99" i="26"/>
  <c r="AR99" i="26"/>
  <c r="AM99" i="26" s="1"/>
  <c r="AS99" i="26"/>
  <c r="AN99" i="26" s="1"/>
  <c r="AX99" i="26"/>
  <c r="AY99" i="26"/>
  <c r="AZ99" i="26"/>
  <c r="BB99" i="26"/>
  <c r="BC99" i="26"/>
  <c r="BD99" i="26"/>
  <c r="BE99" i="26"/>
  <c r="BF99" i="26"/>
  <c r="AQ100" i="26"/>
  <c r="AR100" i="26"/>
  <c r="AM100" i="26" s="1"/>
  <c r="AS100" i="26"/>
  <c r="AN100" i="26" s="1"/>
  <c r="AX100" i="26"/>
  <c r="AY100" i="26"/>
  <c r="AZ100" i="26"/>
  <c r="BB100" i="26"/>
  <c r="BC100" i="26"/>
  <c r="BD100" i="26"/>
  <c r="BE100" i="26"/>
  <c r="BF100" i="26"/>
  <c r="AQ101" i="26"/>
  <c r="AR101" i="26"/>
  <c r="AM101" i="26" s="1"/>
  <c r="AS101" i="26"/>
  <c r="AN101" i="26" s="1"/>
  <c r="AX101" i="26"/>
  <c r="AY101" i="26"/>
  <c r="AZ101" i="26"/>
  <c r="BB101" i="26"/>
  <c r="BC101" i="26"/>
  <c r="BD101" i="26"/>
  <c r="BE101" i="26"/>
  <c r="BF101" i="26"/>
  <c r="AQ102" i="26"/>
  <c r="AR102" i="26"/>
  <c r="AM102" i="26" s="1"/>
  <c r="AS102" i="26"/>
  <c r="AN102" i="26" s="1"/>
  <c r="AX102" i="26"/>
  <c r="AY102" i="26"/>
  <c r="AZ102" i="26"/>
  <c r="BB102" i="26"/>
  <c r="BC102" i="26"/>
  <c r="BD102" i="26"/>
  <c r="BE102" i="26"/>
  <c r="BF102" i="26"/>
  <c r="AF103" i="26"/>
  <c r="AQ103" i="26"/>
  <c r="AR103" i="26"/>
  <c r="AM103" i="26" s="1"/>
  <c r="AS103" i="26"/>
  <c r="AU103" i="26" s="1"/>
  <c r="AT103" i="26"/>
  <c r="AW103" i="26" s="1"/>
  <c r="AX103" i="26"/>
  <c r="AY103" i="26"/>
  <c r="AZ103" i="26"/>
  <c r="BB103" i="26"/>
  <c r="BC103" i="26"/>
  <c r="BD103" i="26"/>
  <c r="BE103" i="26"/>
  <c r="BF103" i="26"/>
  <c r="AQ104" i="26"/>
  <c r="AR104" i="26"/>
  <c r="AM104" i="26" s="1"/>
  <c r="AS104" i="26"/>
  <c r="AN104" i="26" s="1"/>
  <c r="AX104" i="26"/>
  <c r="AY104" i="26"/>
  <c r="AZ104" i="26"/>
  <c r="BB104" i="26"/>
  <c r="BC104" i="26"/>
  <c r="BD104" i="26"/>
  <c r="BE104" i="26"/>
  <c r="BF104" i="26"/>
  <c r="AQ105" i="26"/>
  <c r="AR105" i="26"/>
  <c r="AM105" i="26" s="1"/>
  <c r="AS105" i="26"/>
  <c r="AN105" i="26" s="1"/>
  <c r="AX105" i="26"/>
  <c r="AY105" i="26"/>
  <c r="AZ105" i="26"/>
  <c r="BB105" i="26"/>
  <c r="BC105" i="26"/>
  <c r="BD105" i="26"/>
  <c r="BE105" i="26"/>
  <c r="BF105" i="26"/>
  <c r="AQ106" i="26"/>
  <c r="AR106" i="26"/>
  <c r="AM106" i="26" s="1"/>
  <c r="AS106" i="26"/>
  <c r="AN106" i="26" s="1"/>
  <c r="AX106" i="26"/>
  <c r="AY106" i="26"/>
  <c r="AZ106" i="26"/>
  <c r="BB106" i="26"/>
  <c r="BC106" i="26"/>
  <c r="BD106" i="26"/>
  <c r="BE106" i="26"/>
  <c r="BF106" i="26"/>
  <c r="AQ107" i="26"/>
  <c r="AR107" i="26"/>
  <c r="AM107" i="26" s="1"/>
  <c r="AS107" i="26"/>
  <c r="AN107" i="26" s="1"/>
  <c r="AX107" i="26"/>
  <c r="AY107" i="26"/>
  <c r="AZ107" i="26"/>
  <c r="BB107" i="26"/>
  <c r="BC107" i="26"/>
  <c r="BD107" i="26"/>
  <c r="BE107" i="26"/>
  <c r="BF107" i="26"/>
  <c r="AQ108" i="26"/>
  <c r="AR108" i="26"/>
  <c r="AM108" i="26" s="1"/>
  <c r="AS108" i="26"/>
  <c r="AN108" i="26" s="1"/>
  <c r="AX108" i="26"/>
  <c r="AY108" i="26"/>
  <c r="AZ108" i="26"/>
  <c r="BB108" i="26"/>
  <c r="BC108" i="26"/>
  <c r="BD108" i="26"/>
  <c r="BE108" i="26"/>
  <c r="BF108" i="26"/>
  <c r="AF109" i="26"/>
  <c r="AQ109" i="26"/>
  <c r="AR109" i="26"/>
  <c r="AM109" i="26" s="1"/>
  <c r="AS109" i="26"/>
  <c r="AN109" i="26" s="1"/>
  <c r="AT109" i="26"/>
  <c r="AX109" i="26"/>
  <c r="AY109" i="26"/>
  <c r="AZ109" i="26"/>
  <c r="BB109" i="26"/>
  <c r="BC109" i="26"/>
  <c r="BD109" i="26"/>
  <c r="BE109" i="26"/>
  <c r="BF109" i="26"/>
  <c r="AQ110" i="26"/>
  <c r="AR110" i="26"/>
  <c r="AM110" i="26" s="1"/>
  <c r="AS110" i="26"/>
  <c r="AN110" i="26" s="1"/>
  <c r="AX110" i="26"/>
  <c r="AY110" i="26"/>
  <c r="AZ110" i="26"/>
  <c r="BB110" i="26"/>
  <c r="BC110" i="26"/>
  <c r="BD110" i="26"/>
  <c r="BE110" i="26"/>
  <c r="BF110" i="26"/>
  <c r="AQ111" i="26"/>
  <c r="AR111" i="26"/>
  <c r="AM111" i="26" s="1"/>
  <c r="AS111" i="26"/>
  <c r="AN111" i="26" s="1"/>
  <c r="AX111" i="26"/>
  <c r="AY111" i="26"/>
  <c r="AZ111" i="26"/>
  <c r="BB111" i="26"/>
  <c r="BC111" i="26"/>
  <c r="BD111" i="26"/>
  <c r="BE111" i="26"/>
  <c r="BF111" i="26"/>
  <c r="AQ112" i="26"/>
  <c r="AR112" i="26"/>
  <c r="AM112" i="26" s="1"/>
  <c r="AS112" i="26"/>
  <c r="AN112" i="26" s="1"/>
  <c r="AX112" i="26"/>
  <c r="AY112" i="26"/>
  <c r="AZ112" i="26"/>
  <c r="BB112" i="26"/>
  <c r="BC112" i="26"/>
  <c r="BD112" i="26"/>
  <c r="BE112" i="26"/>
  <c r="BF112" i="26"/>
  <c r="AQ113" i="26"/>
  <c r="AR113" i="26"/>
  <c r="AM113" i="26" s="1"/>
  <c r="AS113" i="26"/>
  <c r="AN113" i="26" s="1"/>
  <c r="AX113" i="26"/>
  <c r="AY113" i="26"/>
  <c r="AZ113" i="26"/>
  <c r="BB113" i="26"/>
  <c r="BC113" i="26"/>
  <c r="BD113" i="26"/>
  <c r="BE113" i="26"/>
  <c r="BF113" i="26"/>
  <c r="AQ114" i="26"/>
  <c r="AR114" i="26"/>
  <c r="AM114" i="26" s="1"/>
  <c r="AS114" i="26"/>
  <c r="AN114" i="26" s="1"/>
  <c r="AX114" i="26"/>
  <c r="AY114" i="26"/>
  <c r="AZ114" i="26"/>
  <c r="BB114" i="26"/>
  <c r="BC114" i="26"/>
  <c r="BD114" i="26"/>
  <c r="AL114" i="26" s="1"/>
  <c r="BE114" i="26"/>
  <c r="BF114" i="26"/>
  <c r="AF115" i="26"/>
  <c r="AM115" i="26"/>
  <c r="AQ115" i="26"/>
  <c r="AR115" i="26"/>
  <c r="AS115" i="26"/>
  <c r="AN115" i="26" s="1"/>
  <c r="AX115" i="26"/>
  <c r="AY115" i="26"/>
  <c r="AZ115" i="26"/>
  <c r="BB115" i="26"/>
  <c r="BC115" i="26"/>
  <c r="BD115" i="26"/>
  <c r="BE115" i="26"/>
  <c r="BF115" i="26"/>
  <c r="AQ116" i="26"/>
  <c r="AR116" i="26"/>
  <c r="AM116" i="26" s="1"/>
  <c r="AS116" i="26"/>
  <c r="AN116" i="26" s="1"/>
  <c r="AX116" i="26"/>
  <c r="AY116" i="26"/>
  <c r="AZ116" i="26"/>
  <c r="BB116" i="26"/>
  <c r="BC116" i="26"/>
  <c r="BD116" i="26"/>
  <c r="BE116" i="26"/>
  <c r="BF116" i="26"/>
  <c r="AM117" i="26"/>
  <c r="AQ117" i="26"/>
  <c r="AR117" i="26"/>
  <c r="AS117" i="26"/>
  <c r="AN117" i="26" s="1"/>
  <c r="AX117" i="26"/>
  <c r="AY117" i="26"/>
  <c r="AZ117" i="26"/>
  <c r="BB117" i="26"/>
  <c r="BC117" i="26"/>
  <c r="BD117" i="26"/>
  <c r="BE117" i="26"/>
  <c r="AQ118" i="26"/>
  <c r="AR118" i="26"/>
  <c r="AM118" i="26" s="1"/>
  <c r="AS118" i="26"/>
  <c r="AN118" i="26" s="1"/>
  <c r="AX118" i="26"/>
  <c r="AY118" i="26"/>
  <c r="AZ118" i="26"/>
  <c r="BB118" i="26"/>
  <c r="BC118" i="26"/>
  <c r="BD118" i="26"/>
  <c r="BE118" i="26"/>
  <c r="AM119" i="26"/>
  <c r="AQ119" i="26"/>
  <c r="AR119" i="26"/>
  <c r="AS119" i="26"/>
  <c r="AN119" i="26" s="1"/>
  <c r="AX119" i="26"/>
  <c r="AY119" i="26"/>
  <c r="AZ119" i="26"/>
  <c r="BB119" i="26"/>
  <c r="BC119" i="26"/>
  <c r="BD119" i="26"/>
  <c r="BE119" i="26"/>
  <c r="AQ120" i="26"/>
  <c r="AR120" i="26"/>
  <c r="AM120" i="26" s="1"/>
  <c r="AS120" i="26"/>
  <c r="AN120" i="26" s="1"/>
  <c r="AX120" i="26"/>
  <c r="AY120" i="26"/>
  <c r="AZ120" i="26"/>
  <c r="BB120" i="26"/>
  <c r="BC120" i="26"/>
  <c r="BD120" i="26"/>
  <c r="BE120" i="26"/>
  <c r="AF121" i="26"/>
  <c r="AQ121" i="26"/>
  <c r="AR121" i="26"/>
  <c r="AM121" i="26" s="1"/>
  <c r="AS121" i="26"/>
  <c r="AU121" i="26" s="1"/>
  <c r="AX121" i="26"/>
  <c r="AY121" i="26"/>
  <c r="AZ121" i="26"/>
  <c r="BB121" i="26"/>
  <c r="BC121" i="26"/>
  <c r="BD121" i="26"/>
  <c r="BE121" i="26"/>
  <c r="AQ122" i="26"/>
  <c r="AR122" i="26"/>
  <c r="AM122" i="26" s="1"/>
  <c r="AS122" i="26"/>
  <c r="AN122" i="26" s="1"/>
  <c r="AX122" i="26"/>
  <c r="AY122" i="26"/>
  <c r="AZ122" i="26"/>
  <c r="BB122" i="26"/>
  <c r="BC122" i="26"/>
  <c r="BD122" i="26"/>
  <c r="BE122" i="26"/>
  <c r="AQ123" i="26"/>
  <c r="AR123" i="26"/>
  <c r="AM123" i="26" s="1"/>
  <c r="AS123" i="26"/>
  <c r="AN123" i="26" s="1"/>
  <c r="AX123" i="26"/>
  <c r="AY123" i="26"/>
  <c r="AZ123" i="26"/>
  <c r="BB123" i="26"/>
  <c r="BC123" i="26"/>
  <c r="BD123" i="26"/>
  <c r="BE123" i="26"/>
  <c r="BF123" i="26"/>
  <c r="AQ124" i="26"/>
  <c r="AR124" i="26"/>
  <c r="AM124" i="26" s="1"/>
  <c r="AS124" i="26"/>
  <c r="AN124" i="26" s="1"/>
  <c r="AX124" i="26"/>
  <c r="AY124" i="26"/>
  <c r="AZ124" i="26"/>
  <c r="BB124" i="26"/>
  <c r="BC124" i="26"/>
  <c r="BD124" i="26"/>
  <c r="BE124" i="26"/>
  <c r="BF124" i="26"/>
  <c r="AQ125" i="26"/>
  <c r="AR125" i="26"/>
  <c r="AM125" i="26" s="1"/>
  <c r="AS125" i="26"/>
  <c r="AN125" i="26" s="1"/>
  <c r="AX125" i="26"/>
  <c r="AY125" i="26"/>
  <c r="AZ125" i="26"/>
  <c r="BB125" i="26"/>
  <c r="BC125" i="26"/>
  <c r="BD125" i="26"/>
  <c r="BE125" i="26"/>
  <c r="BF125" i="26"/>
  <c r="AQ126" i="26"/>
  <c r="AR126" i="26"/>
  <c r="AM126" i="26" s="1"/>
  <c r="AS126" i="26"/>
  <c r="AN126" i="26" s="1"/>
  <c r="AX126" i="26"/>
  <c r="AY126" i="26"/>
  <c r="AZ126" i="26"/>
  <c r="BB126" i="26"/>
  <c r="BC126" i="26"/>
  <c r="BD126" i="26"/>
  <c r="BE126" i="26"/>
  <c r="BF126" i="26"/>
  <c r="AF127" i="26"/>
  <c r="AQ127" i="26"/>
  <c r="AR127" i="26"/>
  <c r="AM127" i="26" s="1"/>
  <c r="AS127" i="26"/>
  <c r="AX127" i="26"/>
  <c r="AY127" i="26"/>
  <c r="AZ127" i="26"/>
  <c r="BB127" i="26"/>
  <c r="BC127" i="26"/>
  <c r="BD127" i="26"/>
  <c r="BE127" i="26"/>
  <c r="BF127" i="26"/>
  <c r="AQ128" i="26"/>
  <c r="AR128" i="26"/>
  <c r="AM128" i="26" s="1"/>
  <c r="AS128" i="26"/>
  <c r="AN128" i="26" s="1"/>
  <c r="AX128" i="26"/>
  <c r="AY128" i="26"/>
  <c r="AZ128" i="26"/>
  <c r="BB128" i="26"/>
  <c r="BC128" i="26"/>
  <c r="BD128" i="26"/>
  <c r="BE128" i="26"/>
  <c r="BF128" i="26"/>
  <c r="AQ129" i="26"/>
  <c r="AX129" i="26"/>
  <c r="AY129" i="26"/>
  <c r="AZ129" i="26"/>
  <c r="BB129" i="26"/>
  <c r="BC129" i="26"/>
  <c r="BD129" i="26"/>
  <c r="BE129" i="26"/>
  <c r="BF129" i="26"/>
  <c r="AQ130" i="26"/>
  <c r="AX130" i="26"/>
  <c r="AY130" i="26"/>
  <c r="AZ130" i="26"/>
  <c r="BB130" i="26"/>
  <c r="BC130" i="26"/>
  <c r="BD130" i="26"/>
  <c r="BE130" i="26"/>
  <c r="BF130" i="26"/>
  <c r="AQ131" i="26"/>
  <c r="AX131" i="26"/>
  <c r="AY131" i="26"/>
  <c r="AZ131" i="26"/>
  <c r="BB131" i="26"/>
  <c r="BC131" i="26"/>
  <c r="BD131" i="26"/>
  <c r="BE131" i="26"/>
  <c r="BF131" i="26"/>
  <c r="AQ132" i="26"/>
  <c r="AR132" i="26"/>
  <c r="AM132" i="26" s="1"/>
  <c r="AS132" i="26"/>
  <c r="AN132" i="26" s="1"/>
  <c r="AX132" i="26"/>
  <c r="AY132" i="26"/>
  <c r="AZ132" i="26"/>
  <c r="BB132" i="26"/>
  <c r="BC132" i="26"/>
  <c r="BD132" i="26"/>
  <c r="BE132" i="26"/>
  <c r="BF132" i="26"/>
  <c r="AQ133" i="26"/>
  <c r="AR133" i="26"/>
  <c r="AM133" i="26" s="1"/>
  <c r="AS133" i="26"/>
  <c r="AN133" i="26" s="1"/>
  <c r="AX133" i="26"/>
  <c r="AY133" i="26"/>
  <c r="AZ133" i="26"/>
  <c r="BB133" i="26"/>
  <c r="BC133" i="26"/>
  <c r="BD133" i="26"/>
  <c r="BE133" i="26"/>
  <c r="BF133" i="26"/>
  <c r="AQ134" i="26"/>
  <c r="AR134" i="26"/>
  <c r="AM134" i="26" s="1"/>
  <c r="AS134" i="26"/>
  <c r="AN134" i="26" s="1"/>
  <c r="AX134" i="26"/>
  <c r="AY134" i="26"/>
  <c r="AZ134" i="26"/>
  <c r="BB134" i="26"/>
  <c r="BC134" i="26"/>
  <c r="BD134" i="26"/>
  <c r="BE134" i="26"/>
  <c r="BF134" i="26"/>
  <c r="AQ135" i="26"/>
  <c r="AR135" i="26"/>
  <c r="AM135" i="26" s="1"/>
  <c r="AS135" i="26"/>
  <c r="AN135" i="26" s="1"/>
  <c r="AX135" i="26"/>
  <c r="AY135" i="26"/>
  <c r="AZ135" i="26"/>
  <c r="BB135" i="26"/>
  <c r="BC135" i="26"/>
  <c r="BD135" i="26"/>
  <c r="BE135" i="26"/>
  <c r="BF135" i="26"/>
  <c r="AF136" i="26"/>
  <c r="AQ136" i="26"/>
  <c r="AR136" i="26"/>
  <c r="AM136" i="26" s="1"/>
  <c r="AS136" i="26"/>
  <c r="AN136" i="26" s="1"/>
  <c r="AX136" i="26"/>
  <c r="AY136" i="26"/>
  <c r="AZ136" i="26"/>
  <c r="BB136" i="26"/>
  <c r="BC136" i="26"/>
  <c r="BD136" i="26"/>
  <c r="BE136" i="26"/>
  <c r="BF136" i="26"/>
  <c r="AQ137" i="26"/>
  <c r="AR137" i="26"/>
  <c r="AM137" i="26" s="1"/>
  <c r="AS137" i="26"/>
  <c r="AN137" i="26" s="1"/>
  <c r="AX137" i="26"/>
  <c r="AY137" i="26"/>
  <c r="AZ137" i="26"/>
  <c r="BB137" i="26"/>
  <c r="BC137" i="26"/>
  <c r="BD137" i="26"/>
  <c r="BE137" i="26"/>
  <c r="BF137" i="26"/>
  <c r="AQ138" i="26"/>
  <c r="AR138" i="26"/>
  <c r="AM138" i="26" s="1"/>
  <c r="AS138" i="26"/>
  <c r="AN138" i="26" s="1"/>
  <c r="AX138" i="26"/>
  <c r="AY138" i="26"/>
  <c r="AZ138" i="26"/>
  <c r="BB138" i="26"/>
  <c r="BC138" i="26"/>
  <c r="BD138" i="26"/>
  <c r="BE138" i="26"/>
  <c r="BF138" i="26"/>
  <c r="AQ139" i="26"/>
  <c r="AR139" i="26"/>
  <c r="AM139" i="26" s="1"/>
  <c r="AS139" i="26"/>
  <c r="AN139" i="26" s="1"/>
  <c r="AX139" i="26"/>
  <c r="AY139" i="26"/>
  <c r="AZ139" i="26"/>
  <c r="BB139" i="26"/>
  <c r="BC139" i="26"/>
  <c r="BD139" i="26"/>
  <c r="BE139" i="26"/>
  <c r="BF139" i="26"/>
  <c r="AQ140" i="26"/>
  <c r="AR140" i="26"/>
  <c r="AM140" i="26" s="1"/>
  <c r="AS140" i="26"/>
  <c r="AN140" i="26" s="1"/>
  <c r="AX140" i="26"/>
  <c r="AY140" i="26"/>
  <c r="AZ140" i="26"/>
  <c r="BB140" i="26"/>
  <c r="BC140" i="26"/>
  <c r="BD140" i="26"/>
  <c r="BE140" i="26"/>
  <c r="BF140" i="26"/>
  <c r="AQ141" i="26"/>
  <c r="AR141" i="26"/>
  <c r="AM141" i="26" s="1"/>
  <c r="AS141" i="26"/>
  <c r="AN141" i="26" s="1"/>
  <c r="AX141" i="26"/>
  <c r="AY141" i="26"/>
  <c r="AZ141" i="26"/>
  <c r="BB141" i="26"/>
  <c r="BC141" i="26"/>
  <c r="BD141" i="26"/>
  <c r="BE141" i="26"/>
  <c r="BF141" i="26"/>
  <c r="AF142" i="26"/>
  <c r="AQ142" i="26"/>
  <c r="AR142" i="26"/>
  <c r="AM142" i="26" s="1"/>
  <c r="AS142" i="26"/>
  <c r="AU142" i="26"/>
  <c r="AX142" i="26"/>
  <c r="AY142" i="26"/>
  <c r="AZ142" i="26"/>
  <c r="BB142" i="26"/>
  <c r="BC142" i="26"/>
  <c r="BD142" i="26"/>
  <c r="BE142" i="26"/>
  <c r="BF142" i="26"/>
  <c r="AQ143" i="26"/>
  <c r="AR143" i="26"/>
  <c r="AM143" i="26" s="1"/>
  <c r="AS143" i="26"/>
  <c r="AN143" i="26" s="1"/>
  <c r="AX143" i="26"/>
  <c r="AY143" i="26"/>
  <c r="AZ143" i="26"/>
  <c r="BB143" i="26"/>
  <c r="BC143" i="26"/>
  <c r="BD143" i="26"/>
  <c r="BE143" i="26"/>
  <c r="BF143" i="26"/>
  <c r="AQ144" i="26"/>
  <c r="AR144" i="26"/>
  <c r="AM144" i="26" s="1"/>
  <c r="AS144" i="26"/>
  <c r="AN144" i="26" s="1"/>
  <c r="AX144" i="26"/>
  <c r="AY144" i="26"/>
  <c r="AZ144" i="26"/>
  <c r="BB144" i="26"/>
  <c r="BC144" i="26"/>
  <c r="BD144" i="26"/>
  <c r="BE144" i="26"/>
  <c r="BF144" i="26"/>
  <c r="AQ145" i="26"/>
  <c r="AR145" i="26"/>
  <c r="AM145" i="26" s="1"/>
  <c r="AS145" i="26"/>
  <c r="AN145" i="26" s="1"/>
  <c r="AX145" i="26"/>
  <c r="AY145" i="26"/>
  <c r="AZ145" i="26"/>
  <c r="BB145" i="26"/>
  <c r="BC145" i="26"/>
  <c r="BD145" i="26"/>
  <c r="BE145" i="26"/>
  <c r="BF145" i="26"/>
  <c r="AQ146" i="26"/>
  <c r="AR146" i="26"/>
  <c r="AM146" i="26" s="1"/>
  <c r="AS146" i="26"/>
  <c r="AN146" i="26" s="1"/>
  <c r="AX146" i="26"/>
  <c r="AY146" i="26"/>
  <c r="AZ146" i="26"/>
  <c r="BB146" i="26"/>
  <c r="BC146" i="26"/>
  <c r="BD146" i="26"/>
  <c r="BE146" i="26"/>
  <c r="BF146" i="26"/>
  <c r="AQ147" i="26"/>
  <c r="AR147" i="26"/>
  <c r="AM147" i="26" s="1"/>
  <c r="AS147" i="26"/>
  <c r="AN147" i="26" s="1"/>
  <c r="AX147" i="26"/>
  <c r="AY147" i="26"/>
  <c r="AZ147" i="26"/>
  <c r="BB147" i="26"/>
  <c r="BC147" i="26"/>
  <c r="BD147" i="26"/>
  <c r="BE147" i="26"/>
  <c r="BF147" i="26"/>
  <c r="AQ148" i="26"/>
  <c r="AR148" i="26"/>
  <c r="AM148" i="26" s="1"/>
  <c r="AS148" i="26"/>
  <c r="AN148" i="26" s="1"/>
  <c r="AX148" i="26"/>
  <c r="AY148" i="26"/>
  <c r="AZ148" i="26"/>
  <c r="BB148" i="26"/>
  <c r="BC148" i="26"/>
  <c r="BD148" i="26"/>
  <c r="BE148" i="26"/>
  <c r="BF148" i="26"/>
  <c r="AQ149" i="26"/>
  <c r="AR149" i="26"/>
  <c r="AM149" i="26" s="1"/>
  <c r="AS149" i="26"/>
  <c r="AN149" i="26" s="1"/>
  <c r="AX149" i="26"/>
  <c r="AY149" i="26"/>
  <c r="AZ149" i="26"/>
  <c r="BB149" i="26"/>
  <c r="BC149" i="26"/>
  <c r="BD149" i="26"/>
  <c r="BE149" i="26"/>
  <c r="BF149" i="26"/>
  <c r="AQ150" i="26"/>
  <c r="AR150" i="26"/>
  <c r="AM150" i="26" s="1"/>
  <c r="AS150" i="26"/>
  <c r="AN150" i="26" s="1"/>
  <c r="AX150" i="26"/>
  <c r="AY150" i="26"/>
  <c r="AZ150" i="26"/>
  <c r="BB150" i="26"/>
  <c r="BC150" i="26"/>
  <c r="BD150" i="26"/>
  <c r="BE150" i="26"/>
  <c r="BF150" i="26"/>
  <c r="AQ151" i="26"/>
  <c r="AR151" i="26"/>
  <c r="AM151" i="26" s="1"/>
  <c r="AS151" i="26"/>
  <c r="AN151" i="26" s="1"/>
  <c r="AX151" i="26"/>
  <c r="AY151" i="26"/>
  <c r="AZ151" i="26"/>
  <c r="BB151" i="26"/>
  <c r="BC151" i="26"/>
  <c r="BD151" i="26"/>
  <c r="BE151" i="26"/>
  <c r="BF151" i="26"/>
  <c r="AQ152" i="26"/>
  <c r="AR152" i="26"/>
  <c r="AM152" i="26" s="1"/>
  <c r="AS152" i="26"/>
  <c r="AN152" i="26" s="1"/>
  <c r="AX152" i="26"/>
  <c r="AY152" i="26"/>
  <c r="AZ152" i="26"/>
  <c r="BB152" i="26"/>
  <c r="BC152" i="26"/>
  <c r="BD152" i="26"/>
  <c r="BE152" i="26"/>
  <c r="BF152" i="26"/>
  <c r="AQ153" i="26"/>
  <c r="AR153" i="26"/>
  <c r="AM153" i="26" s="1"/>
  <c r="AS153" i="26"/>
  <c r="AN153" i="26" s="1"/>
  <c r="AX153" i="26"/>
  <c r="AY153" i="26"/>
  <c r="AZ153" i="26"/>
  <c r="BB153" i="26"/>
  <c r="BC153" i="26"/>
  <c r="BD153" i="26"/>
  <c r="BE153" i="26"/>
  <c r="BF153" i="26"/>
  <c r="AQ154" i="26"/>
  <c r="AR154" i="26"/>
  <c r="AM154" i="26" s="1"/>
  <c r="AS154" i="26"/>
  <c r="AX154" i="26"/>
  <c r="AY154" i="26"/>
  <c r="AZ154" i="26"/>
  <c r="BB154" i="26"/>
  <c r="BC154" i="26"/>
  <c r="BD154" i="26"/>
  <c r="BE154" i="26"/>
  <c r="BF154" i="26"/>
  <c r="AQ155" i="26"/>
  <c r="AR155" i="26"/>
  <c r="AM155" i="26" s="1"/>
  <c r="AS155" i="26"/>
  <c r="AN155" i="26" s="1"/>
  <c r="AX155" i="26"/>
  <c r="AY155" i="26"/>
  <c r="AZ155" i="26"/>
  <c r="BB155" i="26"/>
  <c r="BC155" i="26"/>
  <c r="BD155" i="26"/>
  <c r="BE155" i="26"/>
  <c r="BF155" i="26"/>
  <c r="AN156" i="26"/>
  <c r="AQ156" i="26"/>
  <c r="AR156" i="26"/>
  <c r="AM156" i="26" s="1"/>
  <c r="AS156" i="26"/>
  <c r="AX156" i="26"/>
  <c r="AY156" i="26"/>
  <c r="AZ156" i="26"/>
  <c r="BB156" i="26"/>
  <c r="BC156" i="26"/>
  <c r="BD156" i="26"/>
  <c r="BE156" i="26"/>
  <c r="BF156" i="26"/>
  <c r="AQ157" i="26"/>
  <c r="AR157" i="26"/>
  <c r="AM157" i="26" s="1"/>
  <c r="AS157" i="26"/>
  <c r="AN157" i="26" s="1"/>
  <c r="AX157" i="26"/>
  <c r="AY157" i="26"/>
  <c r="AZ157" i="26"/>
  <c r="BB157" i="26"/>
  <c r="BC157" i="26"/>
  <c r="BD157" i="26"/>
  <c r="BE157" i="26"/>
  <c r="BF157" i="26"/>
  <c r="AQ158" i="26"/>
  <c r="AR158" i="26"/>
  <c r="AM158" i="26" s="1"/>
  <c r="AS158" i="26"/>
  <c r="AN158" i="26" s="1"/>
  <c r="AX158" i="26"/>
  <c r="AY158" i="26"/>
  <c r="AZ158" i="26"/>
  <c r="BB158" i="26"/>
  <c r="BC158" i="26"/>
  <c r="BD158" i="26"/>
  <c r="BE158" i="26"/>
  <c r="BF158" i="26"/>
  <c r="AQ159" i="26"/>
  <c r="AR159" i="26"/>
  <c r="AM159" i="26" s="1"/>
  <c r="AS159" i="26"/>
  <c r="AN159" i="26" s="1"/>
  <c r="AX159" i="26"/>
  <c r="AY159" i="26"/>
  <c r="AZ159" i="26"/>
  <c r="BB159" i="26"/>
  <c r="BC159" i="26"/>
  <c r="BD159" i="26"/>
  <c r="BE159" i="26"/>
  <c r="BF159" i="26"/>
  <c r="AF160" i="26"/>
  <c r="AQ160" i="26"/>
  <c r="AR160" i="26"/>
  <c r="AM160" i="26" s="1"/>
  <c r="AS160" i="26"/>
  <c r="AT160" i="26" s="1"/>
  <c r="AX160" i="26"/>
  <c r="AY160" i="26"/>
  <c r="AZ160" i="26"/>
  <c r="BB160" i="26"/>
  <c r="BC160" i="26"/>
  <c r="BD160" i="26"/>
  <c r="BE160" i="26"/>
  <c r="BF160" i="26"/>
  <c r="AQ161" i="26"/>
  <c r="AR161" i="26"/>
  <c r="AM161" i="26" s="1"/>
  <c r="AS161" i="26"/>
  <c r="AN161" i="26" s="1"/>
  <c r="AX161" i="26"/>
  <c r="AY161" i="26"/>
  <c r="AZ161" i="26"/>
  <c r="BB161" i="26"/>
  <c r="BC161" i="26"/>
  <c r="BD161" i="26"/>
  <c r="BE161" i="26"/>
  <c r="BF161" i="26"/>
  <c r="AQ162" i="26"/>
  <c r="AR162" i="26"/>
  <c r="AM162" i="26" s="1"/>
  <c r="AS162" i="26"/>
  <c r="AN162" i="26" s="1"/>
  <c r="AX162" i="26"/>
  <c r="AY162" i="26"/>
  <c r="AZ162" i="26"/>
  <c r="BB162" i="26"/>
  <c r="BC162" i="26"/>
  <c r="BD162" i="26"/>
  <c r="BE162" i="26"/>
  <c r="BF162" i="26"/>
  <c r="AQ163" i="26"/>
  <c r="AR163" i="26"/>
  <c r="AM163" i="26" s="1"/>
  <c r="AS163" i="26"/>
  <c r="AN163" i="26" s="1"/>
  <c r="AX163" i="26"/>
  <c r="AY163" i="26"/>
  <c r="AZ163" i="26"/>
  <c r="BB163" i="26"/>
  <c r="BC163" i="26"/>
  <c r="BD163" i="26"/>
  <c r="BE163" i="26"/>
  <c r="BF163" i="26"/>
  <c r="AQ164" i="26"/>
  <c r="AR164" i="26"/>
  <c r="AM164" i="26" s="1"/>
  <c r="AS164" i="26"/>
  <c r="AN164" i="26" s="1"/>
  <c r="AX164" i="26"/>
  <c r="AY164" i="26"/>
  <c r="AZ164" i="26"/>
  <c r="BB164" i="26"/>
  <c r="BC164" i="26"/>
  <c r="BD164" i="26"/>
  <c r="BE164" i="26"/>
  <c r="BF164" i="26"/>
  <c r="AQ165" i="26"/>
  <c r="AR165" i="26"/>
  <c r="AM165" i="26" s="1"/>
  <c r="AS165" i="26"/>
  <c r="AN165" i="26" s="1"/>
  <c r="AX165" i="26"/>
  <c r="AY165" i="26"/>
  <c r="AZ165" i="26"/>
  <c r="BB165" i="26"/>
  <c r="BC165" i="26"/>
  <c r="BD165" i="26"/>
  <c r="BE165" i="26"/>
  <c r="BF165" i="26"/>
  <c r="AF166" i="26"/>
  <c r="AQ166" i="26"/>
  <c r="AR166" i="26"/>
  <c r="AM166" i="26" s="1"/>
  <c r="AS166" i="26"/>
  <c r="AT166" i="26" s="1"/>
  <c r="AX166" i="26"/>
  <c r="AY166" i="26"/>
  <c r="AZ166" i="26"/>
  <c r="BB166" i="26"/>
  <c r="BC166" i="26"/>
  <c r="BD166" i="26"/>
  <c r="BE166" i="26"/>
  <c r="BF166" i="26"/>
  <c r="AQ167" i="26"/>
  <c r="AR167" i="26"/>
  <c r="AM167" i="26" s="1"/>
  <c r="AS167" i="26"/>
  <c r="AN167" i="26" s="1"/>
  <c r="AX167" i="26"/>
  <c r="AY167" i="26"/>
  <c r="AZ167" i="26"/>
  <c r="BB167" i="26"/>
  <c r="BC167" i="26"/>
  <c r="BD167" i="26"/>
  <c r="BE167" i="26"/>
  <c r="BF167" i="26"/>
  <c r="AQ168" i="26"/>
  <c r="AR168" i="26"/>
  <c r="AM168" i="26" s="1"/>
  <c r="AS168" i="26"/>
  <c r="AN168" i="26" s="1"/>
  <c r="AX168" i="26"/>
  <c r="AY168" i="26"/>
  <c r="AZ168" i="26"/>
  <c r="BB168" i="26"/>
  <c r="BC168" i="26"/>
  <c r="BD168" i="26"/>
  <c r="BE168" i="26"/>
  <c r="BF168" i="26"/>
  <c r="AQ169" i="26"/>
  <c r="AR169" i="26"/>
  <c r="AM169" i="26" s="1"/>
  <c r="AS169" i="26"/>
  <c r="AN169" i="26" s="1"/>
  <c r="AX169" i="26"/>
  <c r="AY169" i="26"/>
  <c r="AZ169" i="26"/>
  <c r="BB169" i="26"/>
  <c r="BC169" i="26"/>
  <c r="BD169" i="26"/>
  <c r="BE169" i="26"/>
  <c r="BF169" i="26"/>
  <c r="AQ170" i="26"/>
  <c r="AR170" i="26"/>
  <c r="AM170" i="26" s="1"/>
  <c r="AS170" i="26"/>
  <c r="AN170" i="26" s="1"/>
  <c r="AX170" i="26"/>
  <c r="AY170" i="26"/>
  <c r="AZ170" i="26"/>
  <c r="BB170" i="26"/>
  <c r="BC170" i="26"/>
  <c r="BD170" i="26"/>
  <c r="BE170" i="26"/>
  <c r="BF170" i="26"/>
  <c r="AQ171" i="26"/>
  <c r="AR171" i="26"/>
  <c r="AM171" i="26" s="1"/>
  <c r="AS171" i="26"/>
  <c r="AN171" i="26" s="1"/>
  <c r="AX171" i="26"/>
  <c r="AY171" i="26"/>
  <c r="AZ171" i="26"/>
  <c r="BB171" i="26"/>
  <c r="BC171" i="26"/>
  <c r="BD171" i="26"/>
  <c r="BE171" i="26"/>
  <c r="BF171" i="26"/>
  <c r="AF172" i="26"/>
  <c r="AM172" i="26"/>
  <c r="AQ172" i="26"/>
  <c r="AR172" i="26"/>
  <c r="AS172" i="26"/>
  <c r="AU172" i="26" s="1"/>
  <c r="AX172" i="26"/>
  <c r="AY172" i="26"/>
  <c r="AZ172" i="26"/>
  <c r="BB172" i="26"/>
  <c r="BC172" i="26"/>
  <c r="BD172" i="26"/>
  <c r="BE172" i="26"/>
  <c r="BF172" i="26"/>
  <c r="AQ173" i="26"/>
  <c r="AR173" i="26"/>
  <c r="AM173" i="26" s="1"/>
  <c r="AS173" i="26"/>
  <c r="AN173" i="26" s="1"/>
  <c r="AX173" i="26"/>
  <c r="AY173" i="26"/>
  <c r="AZ173" i="26"/>
  <c r="BB173" i="26"/>
  <c r="BC173" i="26"/>
  <c r="BD173" i="26"/>
  <c r="BE173" i="26"/>
  <c r="BF173" i="26"/>
  <c r="AQ174" i="26"/>
  <c r="AR174" i="26"/>
  <c r="AM174" i="26" s="1"/>
  <c r="AS174" i="26"/>
  <c r="AN174" i="26" s="1"/>
  <c r="AX174" i="26"/>
  <c r="AY174" i="26"/>
  <c r="AZ174" i="26"/>
  <c r="BB174" i="26"/>
  <c r="BC174" i="26"/>
  <c r="BD174" i="26"/>
  <c r="BE174" i="26"/>
  <c r="BF174" i="26"/>
  <c r="AQ175" i="26"/>
  <c r="AR175" i="26"/>
  <c r="AM175" i="26" s="1"/>
  <c r="AS175" i="26"/>
  <c r="AN175" i="26" s="1"/>
  <c r="AX175" i="26"/>
  <c r="AY175" i="26"/>
  <c r="AZ175" i="26"/>
  <c r="BB175" i="26"/>
  <c r="BC175" i="26"/>
  <c r="BD175" i="26"/>
  <c r="BE175" i="26"/>
  <c r="BF175" i="26"/>
  <c r="AQ176" i="26"/>
  <c r="AR176" i="26"/>
  <c r="AM176" i="26" s="1"/>
  <c r="AS176" i="26"/>
  <c r="AN176" i="26" s="1"/>
  <c r="AX176" i="26"/>
  <c r="AY176" i="26"/>
  <c r="AZ176" i="26"/>
  <c r="BB176" i="26"/>
  <c r="BC176" i="26"/>
  <c r="BD176" i="26"/>
  <c r="BE176" i="26"/>
  <c r="BF176" i="26"/>
  <c r="AQ177" i="26"/>
  <c r="AR177" i="26"/>
  <c r="AM177" i="26" s="1"/>
  <c r="AS177" i="26"/>
  <c r="AN177" i="26" s="1"/>
  <c r="AX177" i="26"/>
  <c r="AY177" i="26"/>
  <c r="AZ177" i="26"/>
  <c r="BB177" i="26"/>
  <c r="BC177" i="26"/>
  <c r="BD177" i="26"/>
  <c r="BE177" i="26"/>
  <c r="BF177" i="26"/>
  <c r="AF178" i="26"/>
  <c r="AQ178" i="26"/>
  <c r="AR178" i="26"/>
  <c r="AM178" i="26" s="1"/>
  <c r="AS178" i="26"/>
  <c r="AN178" i="26" s="1"/>
  <c r="AX178" i="26"/>
  <c r="AY178" i="26"/>
  <c r="AZ178" i="26"/>
  <c r="BB178" i="26"/>
  <c r="BC178" i="26"/>
  <c r="BD178" i="26"/>
  <c r="BE178" i="26"/>
  <c r="BF178" i="26"/>
  <c r="AQ179" i="26"/>
  <c r="AR179" i="26"/>
  <c r="AM179" i="26" s="1"/>
  <c r="AS179" i="26"/>
  <c r="AN179" i="26" s="1"/>
  <c r="AX179" i="26"/>
  <c r="AY179" i="26"/>
  <c r="AZ179" i="26"/>
  <c r="BB179" i="26"/>
  <c r="BC179" i="26"/>
  <c r="BD179" i="26"/>
  <c r="BE179" i="26"/>
  <c r="BF179" i="26"/>
  <c r="AQ180" i="26"/>
  <c r="AR180" i="26"/>
  <c r="AM180" i="26" s="1"/>
  <c r="AS180" i="26"/>
  <c r="AN180" i="26" s="1"/>
  <c r="AX180" i="26"/>
  <c r="AY180" i="26"/>
  <c r="AZ180" i="26"/>
  <c r="BB180" i="26"/>
  <c r="BC180" i="26"/>
  <c r="BD180" i="26"/>
  <c r="BE180" i="26"/>
  <c r="BF180" i="26"/>
  <c r="AQ181" i="26"/>
  <c r="AR181" i="26"/>
  <c r="AM181" i="26" s="1"/>
  <c r="AS181" i="26"/>
  <c r="AN181" i="26" s="1"/>
  <c r="AX181" i="26"/>
  <c r="AY181" i="26"/>
  <c r="AZ181" i="26"/>
  <c r="BB181" i="26"/>
  <c r="BC181" i="26"/>
  <c r="BD181" i="26"/>
  <c r="BE181" i="26"/>
  <c r="BF181" i="26"/>
  <c r="AN182" i="26"/>
  <c r="AQ182" i="26"/>
  <c r="AR182" i="26"/>
  <c r="AM182" i="26" s="1"/>
  <c r="AS182" i="26"/>
  <c r="AX182" i="26"/>
  <c r="AY182" i="26"/>
  <c r="AZ182" i="26"/>
  <c r="BB182" i="26"/>
  <c r="BC182" i="26"/>
  <c r="BD182" i="26"/>
  <c r="BE182" i="26"/>
  <c r="BF182" i="26"/>
  <c r="AQ183" i="26"/>
  <c r="AR183" i="26"/>
  <c r="AM183" i="26" s="1"/>
  <c r="AS183" i="26"/>
  <c r="AN183" i="26" s="1"/>
  <c r="AX183" i="26"/>
  <c r="AY183" i="26"/>
  <c r="AZ183" i="26"/>
  <c r="BB183" i="26"/>
  <c r="BC183" i="26"/>
  <c r="BD183" i="26"/>
  <c r="BE183" i="26"/>
  <c r="BF183" i="26"/>
  <c r="AF184" i="26"/>
  <c r="AM184" i="26"/>
  <c r="AQ184" i="26"/>
  <c r="AR184" i="26"/>
  <c r="AS184" i="26"/>
  <c r="AN184" i="26" s="1"/>
  <c r="AX184" i="26"/>
  <c r="AY184" i="26"/>
  <c r="AZ184" i="26"/>
  <c r="BB184" i="26"/>
  <c r="BC184" i="26"/>
  <c r="BD184" i="26"/>
  <c r="BE184" i="26"/>
  <c r="BF184" i="26"/>
  <c r="AQ185" i="26"/>
  <c r="AR185" i="26"/>
  <c r="AM185" i="26" s="1"/>
  <c r="AS185" i="26"/>
  <c r="AN185" i="26" s="1"/>
  <c r="AX185" i="26"/>
  <c r="AY185" i="26"/>
  <c r="AZ185" i="26"/>
  <c r="BB185" i="26"/>
  <c r="BC185" i="26"/>
  <c r="BD185" i="26"/>
  <c r="BE185" i="26"/>
  <c r="BF185" i="26"/>
  <c r="AQ186" i="26"/>
  <c r="AR186" i="26"/>
  <c r="AM186" i="26" s="1"/>
  <c r="AS186" i="26"/>
  <c r="AN186" i="26" s="1"/>
  <c r="AX186" i="26"/>
  <c r="AY186" i="26"/>
  <c r="AZ186" i="26"/>
  <c r="BB186" i="26"/>
  <c r="BC186" i="26"/>
  <c r="BD186" i="26"/>
  <c r="BE186" i="26"/>
  <c r="BF186" i="26"/>
  <c r="AQ187" i="26"/>
  <c r="AR187" i="26"/>
  <c r="AM187" i="26" s="1"/>
  <c r="AS187" i="26"/>
  <c r="AN187" i="26" s="1"/>
  <c r="AX187" i="26"/>
  <c r="AY187" i="26"/>
  <c r="AZ187" i="26"/>
  <c r="BB187" i="26"/>
  <c r="BC187" i="26"/>
  <c r="BD187" i="26"/>
  <c r="BE187" i="26"/>
  <c r="BF187" i="26"/>
  <c r="AQ188" i="26"/>
  <c r="AR188" i="26"/>
  <c r="AM188" i="26" s="1"/>
  <c r="AS188" i="26"/>
  <c r="AN188" i="26" s="1"/>
  <c r="AX188" i="26"/>
  <c r="AY188" i="26"/>
  <c r="AZ188" i="26"/>
  <c r="BB188" i="26"/>
  <c r="BC188" i="26"/>
  <c r="BD188" i="26"/>
  <c r="BE188" i="26"/>
  <c r="BF188" i="26"/>
  <c r="AQ189" i="26"/>
  <c r="AR189" i="26"/>
  <c r="AM189" i="26" s="1"/>
  <c r="AS189" i="26"/>
  <c r="AN189" i="26" s="1"/>
  <c r="AX189" i="26"/>
  <c r="AY189" i="26"/>
  <c r="AZ189" i="26"/>
  <c r="BB189" i="26"/>
  <c r="BC189" i="26"/>
  <c r="BD189" i="26"/>
  <c r="BE189" i="26"/>
  <c r="BF189" i="26"/>
  <c r="AF190" i="26"/>
  <c r="AQ190" i="26"/>
  <c r="AR190" i="26"/>
  <c r="AM190" i="26" s="1"/>
  <c r="AS190" i="26"/>
  <c r="AN190" i="26" s="1"/>
  <c r="AX190" i="26"/>
  <c r="AY190" i="26"/>
  <c r="AZ190" i="26"/>
  <c r="BB190" i="26"/>
  <c r="BC190" i="26"/>
  <c r="BD190" i="26"/>
  <c r="BE190" i="26"/>
  <c r="BF190" i="26"/>
  <c r="AQ191" i="26"/>
  <c r="AR191" i="26"/>
  <c r="AM191" i="26" s="1"/>
  <c r="AS191" i="26"/>
  <c r="AN191" i="26" s="1"/>
  <c r="AX191" i="26"/>
  <c r="AY191" i="26"/>
  <c r="AZ191" i="26"/>
  <c r="BB191" i="26"/>
  <c r="BC191" i="26"/>
  <c r="BD191" i="26"/>
  <c r="BE191" i="26"/>
  <c r="BF191" i="26"/>
  <c r="AQ192" i="26"/>
  <c r="AR192" i="26"/>
  <c r="AM192" i="26" s="1"/>
  <c r="AS192" i="26"/>
  <c r="AN192" i="26" s="1"/>
  <c r="AX192" i="26"/>
  <c r="AY192" i="26"/>
  <c r="AZ192" i="26"/>
  <c r="BB192" i="26"/>
  <c r="BC192" i="26"/>
  <c r="BD192" i="26"/>
  <c r="BE192" i="26"/>
  <c r="BF192" i="26"/>
  <c r="AQ193" i="26"/>
  <c r="AR193" i="26"/>
  <c r="AM193" i="26" s="1"/>
  <c r="AS193" i="26"/>
  <c r="AN193" i="26" s="1"/>
  <c r="AX193" i="26"/>
  <c r="AY193" i="26"/>
  <c r="AZ193" i="26"/>
  <c r="BB193" i="26"/>
  <c r="BC193" i="26"/>
  <c r="BD193" i="26"/>
  <c r="BE193" i="26"/>
  <c r="BF193" i="26"/>
  <c r="AM194" i="26"/>
  <c r="AQ194" i="26"/>
  <c r="AR194" i="26"/>
  <c r="AS194" i="26"/>
  <c r="AN194" i="26" s="1"/>
  <c r="AX194" i="26"/>
  <c r="AY194" i="26"/>
  <c r="AZ194" i="26"/>
  <c r="BB194" i="26"/>
  <c r="BC194" i="26"/>
  <c r="BD194" i="26"/>
  <c r="BE194" i="26"/>
  <c r="BF194" i="26"/>
  <c r="AQ195" i="26"/>
  <c r="AR195" i="26"/>
  <c r="AM195" i="26" s="1"/>
  <c r="AS195" i="26"/>
  <c r="AN195" i="26" s="1"/>
  <c r="AX195" i="26"/>
  <c r="AY195" i="26"/>
  <c r="AZ195" i="26"/>
  <c r="BB195" i="26"/>
  <c r="BC195" i="26"/>
  <c r="BD195" i="26"/>
  <c r="BE195" i="26"/>
  <c r="BF195" i="26"/>
  <c r="AF196" i="26"/>
  <c r="AQ196" i="26"/>
  <c r="AR196" i="26"/>
  <c r="AM196" i="26" s="1"/>
  <c r="AS196" i="26"/>
  <c r="AN196" i="26" s="1"/>
  <c r="AX196" i="26"/>
  <c r="AY196" i="26"/>
  <c r="AZ196" i="26"/>
  <c r="BB196" i="26"/>
  <c r="BC196" i="26"/>
  <c r="BD196" i="26"/>
  <c r="BE196" i="26"/>
  <c r="BF196" i="26"/>
  <c r="AQ197" i="26"/>
  <c r="AR197" i="26"/>
  <c r="AM197" i="26" s="1"/>
  <c r="AS197" i="26"/>
  <c r="AN197" i="26" s="1"/>
  <c r="AX197" i="26"/>
  <c r="AY197" i="26"/>
  <c r="AZ197" i="26"/>
  <c r="BB197" i="26"/>
  <c r="BC197" i="26"/>
  <c r="BD197" i="26"/>
  <c r="BE197" i="26"/>
  <c r="BF197" i="26"/>
  <c r="AN198" i="26"/>
  <c r="AQ198" i="26"/>
  <c r="AR198" i="26"/>
  <c r="AM198" i="26" s="1"/>
  <c r="AS198" i="26"/>
  <c r="AX198" i="26"/>
  <c r="AY198" i="26"/>
  <c r="AZ198" i="26"/>
  <c r="BB198" i="26"/>
  <c r="BC198" i="26"/>
  <c r="BD198" i="26"/>
  <c r="BE198" i="26"/>
  <c r="BF198" i="26"/>
  <c r="AQ199" i="26"/>
  <c r="AR199" i="26"/>
  <c r="AM199" i="26" s="1"/>
  <c r="AS199" i="26"/>
  <c r="AN199" i="26" s="1"/>
  <c r="AX199" i="26"/>
  <c r="AY199" i="26"/>
  <c r="AZ199" i="26"/>
  <c r="BB199" i="26"/>
  <c r="BC199" i="26"/>
  <c r="BD199" i="26"/>
  <c r="BE199" i="26"/>
  <c r="BF199" i="26"/>
  <c r="AQ200" i="26"/>
  <c r="AR200" i="26"/>
  <c r="AM200" i="26" s="1"/>
  <c r="AS200" i="26"/>
  <c r="AN200" i="26" s="1"/>
  <c r="AX200" i="26"/>
  <c r="AY200" i="26"/>
  <c r="AZ200" i="26"/>
  <c r="BB200" i="26"/>
  <c r="BC200" i="26"/>
  <c r="BD200" i="26"/>
  <c r="BE200" i="26"/>
  <c r="BF200" i="26"/>
  <c r="AQ201" i="26"/>
  <c r="AR201" i="26"/>
  <c r="AM201" i="26" s="1"/>
  <c r="AS201" i="26"/>
  <c r="AN201" i="26" s="1"/>
  <c r="AX201" i="26"/>
  <c r="AY201" i="26"/>
  <c r="AZ201" i="26"/>
  <c r="BB201" i="26"/>
  <c r="BC201" i="26"/>
  <c r="BD201" i="26"/>
  <c r="BE201" i="26"/>
  <c r="BF201" i="26"/>
  <c r="AF202" i="26"/>
  <c r="AQ202" i="26"/>
  <c r="AR202" i="26"/>
  <c r="AM202" i="26" s="1"/>
  <c r="AS202" i="26"/>
  <c r="AN202" i="26" s="1"/>
  <c r="AX202" i="26"/>
  <c r="AY202" i="26"/>
  <c r="AZ202" i="26"/>
  <c r="BB202" i="26"/>
  <c r="BC202" i="26"/>
  <c r="BD202" i="26"/>
  <c r="BE202" i="26"/>
  <c r="BF202" i="26"/>
  <c r="AQ203" i="26"/>
  <c r="AR203" i="26"/>
  <c r="AM203" i="26" s="1"/>
  <c r="AS203" i="26"/>
  <c r="AN203" i="26" s="1"/>
  <c r="AX203" i="26"/>
  <c r="AY203" i="26"/>
  <c r="AZ203" i="26"/>
  <c r="BB203" i="26"/>
  <c r="BC203" i="26"/>
  <c r="BD203" i="26"/>
  <c r="BE203" i="26"/>
  <c r="BF203" i="26"/>
  <c r="AQ204" i="26"/>
  <c r="AR204" i="26"/>
  <c r="AM204" i="26" s="1"/>
  <c r="AS204" i="26"/>
  <c r="AN204" i="26" s="1"/>
  <c r="AX204" i="26"/>
  <c r="AY204" i="26"/>
  <c r="AZ204" i="26"/>
  <c r="BB204" i="26"/>
  <c r="BC204" i="26"/>
  <c r="BD204" i="26"/>
  <c r="BE204" i="26"/>
  <c r="BF204" i="26"/>
  <c r="AQ205" i="26"/>
  <c r="AR205" i="26"/>
  <c r="AM205" i="26" s="1"/>
  <c r="AS205" i="26"/>
  <c r="AX205" i="26"/>
  <c r="AY205" i="26"/>
  <c r="AZ205" i="26"/>
  <c r="BB205" i="26"/>
  <c r="BC205" i="26"/>
  <c r="BD205" i="26"/>
  <c r="BE205" i="26"/>
  <c r="BF205" i="26"/>
  <c r="AQ206" i="26"/>
  <c r="AR206" i="26"/>
  <c r="AM206" i="26" s="1"/>
  <c r="AS206" i="26"/>
  <c r="AN206" i="26" s="1"/>
  <c r="AX206" i="26"/>
  <c r="AY206" i="26"/>
  <c r="AZ206" i="26"/>
  <c r="BB206" i="26"/>
  <c r="BC206" i="26"/>
  <c r="BD206" i="26"/>
  <c r="BE206" i="26"/>
  <c r="BF206" i="26"/>
  <c r="AQ207" i="26"/>
  <c r="AR207" i="26"/>
  <c r="AM207" i="26" s="1"/>
  <c r="AS207" i="26"/>
  <c r="AN207" i="26" s="1"/>
  <c r="AX207" i="26"/>
  <c r="AY207" i="26"/>
  <c r="AZ207" i="26"/>
  <c r="BB207" i="26"/>
  <c r="BC207" i="26"/>
  <c r="BD207" i="26"/>
  <c r="BE207" i="26"/>
  <c r="BF207" i="26"/>
  <c r="AQ208" i="26"/>
  <c r="AR208" i="26"/>
  <c r="AM208" i="26" s="1"/>
  <c r="AS208" i="26"/>
  <c r="AX208" i="26"/>
  <c r="AY208" i="26"/>
  <c r="AZ208" i="26"/>
  <c r="BB208" i="26"/>
  <c r="BC208" i="26"/>
  <c r="BD208" i="26"/>
  <c r="BE208" i="26"/>
  <c r="BF208" i="26"/>
  <c r="AQ209" i="26"/>
  <c r="AR209" i="26"/>
  <c r="AM209" i="26" s="1"/>
  <c r="AS209" i="26"/>
  <c r="AN209" i="26" s="1"/>
  <c r="AX209" i="26"/>
  <c r="AY209" i="26"/>
  <c r="AZ209" i="26"/>
  <c r="BB209" i="26"/>
  <c r="BC209" i="26"/>
  <c r="BD209" i="26"/>
  <c r="BE209" i="26"/>
  <c r="BF209" i="26"/>
  <c r="AQ210" i="26"/>
  <c r="AR210" i="26"/>
  <c r="AM210" i="26" s="1"/>
  <c r="AS210" i="26"/>
  <c r="AN210" i="26" s="1"/>
  <c r="AX210" i="26"/>
  <c r="AY210" i="26"/>
  <c r="AZ210" i="26"/>
  <c r="BB210" i="26"/>
  <c r="BC210" i="26"/>
  <c r="BD210" i="26"/>
  <c r="BE210" i="26"/>
  <c r="BF210" i="26"/>
  <c r="AM211" i="26"/>
  <c r="AQ211" i="26"/>
  <c r="AR211" i="26"/>
  <c r="AS211" i="26"/>
  <c r="AN211" i="26" s="1"/>
  <c r="AX211" i="26"/>
  <c r="AY211" i="26"/>
  <c r="AZ211" i="26"/>
  <c r="BB211" i="26"/>
  <c r="BC211" i="26"/>
  <c r="BD211" i="26"/>
  <c r="BE211" i="26"/>
  <c r="BF211" i="26"/>
  <c r="AQ212" i="26"/>
  <c r="AR212" i="26"/>
  <c r="AM212" i="26" s="1"/>
  <c r="AS212" i="26"/>
  <c r="AN212" i="26" s="1"/>
  <c r="AX212" i="26"/>
  <c r="AY212" i="26"/>
  <c r="AZ212" i="26"/>
  <c r="BB212" i="26"/>
  <c r="BC212" i="26"/>
  <c r="BD212" i="26"/>
  <c r="BE212" i="26"/>
  <c r="BF212" i="26"/>
  <c r="AQ213" i="26"/>
  <c r="AR213" i="26"/>
  <c r="AM213" i="26" s="1"/>
  <c r="AS213" i="26"/>
  <c r="AN213" i="26" s="1"/>
  <c r="AX213" i="26"/>
  <c r="AY213" i="26"/>
  <c r="AZ213" i="26"/>
  <c r="BB213" i="26"/>
  <c r="BC213" i="26"/>
  <c r="BD213" i="26"/>
  <c r="BE213" i="26"/>
  <c r="BF213" i="26"/>
  <c r="AQ214" i="26"/>
  <c r="AR214" i="26"/>
  <c r="AM214" i="26" s="1"/>
  <c r="AS214" i="26"/>
  <c r="AN214" i="26" s="1"/>
  <c r="AW214" i="26"/>
  <c r="AX214" i="26"/>
  <c r="AY214" i="26"/>
  <c r="AZ214" i="26"/>
  <c r="BB214" i="26"/>
  <c r="BC214" i="26"/>
  <c r="BD214" i="26"/>
  <c r="BE214" i="26"/>
  <c r="BF214" i="26"/>
  <c r="AQ215" i="26"/>
  <c r="AR215" i="26"/>
  <c r="AM215" i="26" s="1"/>
  <c r="AS215" i="26"/>
  <c r="AN215" i="26" s="1"/>
  <c r="AX215" i="26"/>
  <c r="AY215" i="26"/>
  <c r="AZ215" i="26"/>
  <c r="BB215" i="26"/>
  <c r="BC215" i="26"/>
  <c r="BD215" i="26"/>
  <c r="BE215" i="26"/>
  <c r="BF215" i="26"/>
  <c r="AQ216" i="26"/>
  <c r="AR216" i="26"/>
  <c r="AM216" i="26" s="1"/>
  <c r="AS216" i="26"/>
  <c r="AN216" i="26" s="1"/>
  <c r="AX216" i="26"/>
  <c r="AY216" i="26"/>
  <c r="AZ216" i="26"/>
  <c r="BB216" i="26"/>
  <c r="BC216" i="26"/>
  <c r="BD216" i="26"/>
  <c r="BE216" i="26"/>
  <c r="BF216" i="26"/>
  <c r="AQ217" i="26"/>
  <c r="AR217" i="26"/>
  <c r="AM217" i="26" s="1"/>
  <c r="AS217" i="26"/>
  <c r="AN217" i="26" s="1"/>
  <c r="AX217" i="26"/>
  <c r="AY217" i="26"/>
  <c r="AZ217" i="26"/>
  <c r="BB217" i="26"/>
  <c r="BC217" i="26"/>
  <c r="BD217" i="26"/>
  <c r="BE217" i="26"/>
  <c r="BF217" i="26"/>
  <c r="AQ218" i="26"/>
  <c r="AR218" i="26"/>
  <c r="AM218" i="26" s="1"/>
  <c r="AS218" i="26"/>
  <c r="AN218" i="26" s="1"/>
  <c r="AX218" i="26"/>
  <c r="AY218" i="26"/>
  <c r="AZ218" i="26"/>
  <c r="BB218" i="26"/>
  <c r="BC218" i="26"/>
  <c r="BD218" i="26"/>
  <c r="BE218" i="26"/>
  <c r="BF218" i="26"/>
  <c r="AQ219" i="26"/>
  <c r="AR219" i="26"/>
  <c r="AM219" i="26" s="1"/>
  <c r="AS219" i="26"/>
  <c r="AN219" i="26" s="1"/>
  <c r="AX219" i="26"/>
  <c r="AY219" i="26"/>
  <c r="AZ219" i="26"/>
  <c r="BB219" i="26"/>
  <c r="BC219" i="26"/>
  <c r="BD219" i="26"/>
  <c r="BE219" i="26"/>
  <c r="BF219" i="26"/>
  <c r="AQ220" i="26"/>
  <c r="AR220" i="26"/>
  <c r="AM220" i="26" s="1"/>
  <c r="AS220" i="26"/>
  <c r="AN220" i="26" s="1"/>
  <c r="AW220" i="26"/>
  <c r="AX220" i="26"/>
  <c r="AY220" i="26"/>
  <c r="AZ220" i="26"/>
  <c r="BB220" i="26"/>
  <c r="BC220" i="26"/>
  <c r="BD220" i="26"/>
  <c r="BE220" i="26"/>
  <c r="BF220" i="26"/>
  <c r="AQ221" i="26"/>
  <c r="AR221" i="26"/>
  <c r="AM221" i="26" s="1"/>
  <c r="AS221" i="26"/>
  <c r="AN221" i="26" s="1"/>
  <c r="AX221" i="26"/>
  <c r="AY221" i="26"/>
  <c r="AZ221" i="26"/>
  <c r="BB221" i="26"/>
  <c r="BC221" i="26"/>
  <c r="BD221" i="26"/>
  <c r="BE221" i="26"/>
  <c r="BF221" i="26"/>
  <c r="AQ222" i="26"/>
  <c r="AR222" i="26"/>
  <c r="AM222" i="26" s="1"/>
  <c r="AS222" i="26"/>
  <c r="AN222" i="26" s="1"/>
  <c r="AX222" i="26"/>
  <c r="AY222" i="26"/>
  <c r="AZ222" i="26"/>
  <c r="BB222" i="26"/>
  <c r="BC222" i="26"/>
  <c r="BD222" i="26"/>
  <c r="BE222" i="26"/>
  <c r="BF222" i="26"/>
  <c r="AQ223" i="26"/>
  <c r="AR223" i="26"/>
  <c r="AM223" i="26" s="1"/>
  <c r="AS223" i="26"/>
  <c r="AN223" i="26" s="1"/>
  <c r="AX223" i="26"/>
  <c r="AY223" i="26"/>
  <c r="AZ223" i="26"/>
  <c r="BB223" i="26"/>
  <c r="BC223" i="26"/>
  <c r="BD223" i="26"/>
  <c r="BE223" i="26"/>
  <c r="BF223" i="26"/>
  <c r="AQ224" i="26"/>
  <c r="AR224" i="26"/>
  <c r="AM224" i="26" s="1"/>
  <c r="AS224" i="26"/>
  <c r="AN224" i="26" s="1"/>
  <c r="AX224" i="26"/>
  <c r="AY224" i="26"/>
  <c r="AZ224" i="26"/>
  <c r="BB224" i="26"/>
  <c r="BC224" i="26"/>
  <c r="BD224" i="26"/>
  <c r="BE224" i="26"/>
  <c r="BF224" i="26"/>
  <c r="AQ225" i="26"/>
  <c r="AR225" i="26"/>
  <c r="AM225" i="26" s="1"/>
  <c r="AS225" i="26"/>
  <c r="AN225" i="26" s="1"/>
  <c r="AX225" i="26"/>
  <c r="AY225" i="26"/>
  <c r="AZ225" i="26"/>
  <c r="BB225" i="26"/>
  <c r="BC225" i="26"/>
  <c r="BD225" i="26"/>
  <c r="BE225" i="26"/>
  <c r="BF225" i="26"/>
  <c r="AF226" i="26"/>
  <c r="AQ226" i="26"/>
  <c r="AR226" i="26"/>
  <c r="AM226" i="26" s="1"/>
  <c r="AS226" i="26"/>
  <c r="AN226" i="26" s="1"/>
  <c r="AX226" i="26"/>
  <c r="AY226" i="26"/>
  <c r="AZ226" i="26"/>
  <c r="BB226" i="26"/>
  <c r="BC226" i="26"/>
  <c r="BD226" i="26"/>
  <c r="BE226" i="26"/>
  <c r="BF226" i="26"/>
  <c r="AQ227" i="26"/>
  <c r="AR227" i="26"/>
  <c r="AM227" i="26" s="1"/>
  <c r="AS227" i="26"/>
  <c r="AN227" i="26" s="1"/>
  <c r="AX227" i="26"/>
  <c r="AY227" i="26"/>
  <c r="AZ227" i="26"/>
  <c r="BB227" i="26"/>
  <c r="BC227" i="26"/>
  <c r="BD227" i="26"/>
  <c r="BE227" i="26"/>
  <c r="BF227" i="26"/>
  <c r="AQ228" i="26"/>
  <c r="AR228" i="26"/>
  <c r="AM228" i="26" s="1"/>
  <c r="AS228" i="26"/>
  <c r="AN228" i="26" s="1"/>
  <c r="AX228" i="26"/>
  <c r="AY228" i="26"/>
  <c r="AZ228" i="26"/>
  <c r="BB228" i="26"/>
  <c r="BC228" i="26"/>
  <c r="BD228" i="26"/>
  <c r="BE228" i="26"/>
  <c r="BF228" i="26"/>
  <c r="AQ229" i="26"/>
  <c r="AR229" i="26"/>
  <c r="AM229" i="26" s="1"/>
  <c r="AS229" i="26"/>
  <c r="AN229" i="26" s="1"/>
  <c r="AX229" i="26"/>
  <c r="AY229" i="26"/>
  <c r="AZ229" i="26"/>
  <c r="BB229" i="26"/>
  <c r="BC229" i="26"/>
  <c r="BD229" i="26"/>
  <c r="BE229" i="26"/>
  <c r="BF229" i="26"/>
  <c r="AQ230" i="26"/>
  <c r="AR230" i="26"/>
  <c r="AM230" i="26" s="1"/>
  <c r="AS230" i="26"/>
  <c r="AN230" i="26" s="1"/>
  <c r="AX230" i="26"/>
  <c r="AY230" i="26"/>
  <c r="AZ230" i="26"/>
  <c r="BB230" i="26"/>
  <c r="BC230" i="26"/>
  <c r="BD230" i="26"/>
  <c r="BE230" i="26"/>
  <c r="BF230" i="26"/>
  <c r="AQ231" i="26"/>
  <c r="AR231" i="26"/>
  <c r="AM231" i="26" s="1"/>
  <c r="AS231" i="26"/>
  <c r="AN231" i="26" s="1"/>
  <c r="AX231" i="26"/>
  <c r="AY231" i="26"/>
  <c r="AZ231" i="26"/>
  <c r="BB231" i="26"/>
  <c r="BC231" i="26"/>
  <c r="BD231" i="26"/>
  <c r="BE231" i="26"/>
  <c r="BF231" i="26"/>
  <c r="AF232" i="26"/>
  <c r="AQ232" i="26"/>
  <c r="AR232" i="26"/>
  <c r="AM232" i="26" s="1"/>
  <c r="AS232" i="26"/>
  <c r="AN232" i="26" s="1"/>
  <c r="AX232" i="26"/>
  <c r="AY232" i="26"/>
  <c r="AZ232" i="26"/>
  <c r="BB232" i="26"/>
  <c r="BC232" i="26"/>
  <c r="BD232" i="26"/>
  <c r="BE232" i="26"/>
  <c r="BF232" i="26"/>
  <c r="AQ233" i="26"/>
  <c r="AR233" i="26"/>
  <c r="AM233" i="26" s="1"/>
  <c r="AS233" i="26"/>
  <c r="AN233" i="26" s="1"/>
  <c r="AX233" i="26"/>
  <c r="AY233" i="26"/>
  <c r="AZ233" i="26"/>
  <c r="BB233" i="26"/>
  <c r="BC233" i="26"/>
  <c r="BD233" i="26"/>
  <c r="BE233" i="26"/>
  <c r="BF233" i="26"/>
  <c r="AQ234" i="26"/>
  <c r="AR234" i="26"/>
  <c r="AM234" i="26" s="1"/>
  <c r="AS234" i="26"/>
  <c r="AN234" i="26" s="1"/>
  <c r="AX234" i="26"/>
  <c r="AY234" i="26"/>
  <c r="AZ234" i="26"/>
  <c r="BB234" i="26"/>
  <c r="BC234" i="26"/>
  <c r="BD234" i="26"/>
  <c r="BE234" i="26"/>
  <c r="BF234" i="26"/>
  <c r="AQ235" i="26"/>
  <c r="AR235" i="26"/>
  <c r="AM235" i="26" s="1"/>
  <c r="AS235" i="26"/>
  <c r="AN235" i="26" s="1"/>
  <c r="AX235" i="26"/>
  <c r="AY235" i="26"/>
  <c r="AZ235" i="26"/>
  <c r="BB235" i="26"/>
  <c r="BC235" i="26"/>
  <c r="BD235" i="26"/>
  <c r="BE235" i="26"/>
  <c r="BF235" i="26"/>
  <c r="AQ236" i="26"/>
  <c r="AR236" i="26"/>
  <c r="AM236" i="26" s="1"/>
  <c r="AS236" i="26"/>
  <c r="AN236" i="26" s="1"/>
  <c r="AX236" i="26"/>
  <c r="AY236" i="26"/>
  <c r="AZ236" i="26"/>
  <c r="BB236" i="26"/>
  <c r="BC236" i="26"/>
  <c r="BD236" i="26"/>
  <c r="BE236" i="26"/>
  <c r="BF236" i="26"/>
  <c r="AQ237" i="26"/>
  <c r="AR237" i="26"/>
  <c r="AM237" i="26" s="1"/>
  <c r="AS237" i="26"/>
  <c r="AN237" i="26" s="1"/>
  <c r="AX237" i="26"/>
  <c r="AY237" i="26"/>
  <c r="AZ237" i="26"/>
  <c r="BB237" i="26"/>
  <c r="BC237" i="26"/>
  <c r="BD237" i="26"/>
  <c r="BE237" i="26"/>
  <c r="BF237" i="26"/>
  <c r="AF238" i="26"/>
  <c r="AQ238" i="26"/>
  <c r="AR238" i="26"/>
  <c r="AM238" i="26" s="1"/>
  <c r="AS238" i="26"/>
  <c r="AX238" i="26"/>
  <c r="AY238" i="26"/>
  <c r="AZ238" i="26"/>
  <c r="BB238" i="26"/>
  <c r="BC238" i="26"/>
  <c r="BD238" i="26"/>
  <c r="BE238" i="26"/>
  <c r="BF238" i="26"/>
  <c r="AQ239" i="26"/>
  <c r="AR239" i="26"/>
  <c r="AM239" i="26" s="1"/>
  <c r="AS239" i="26"/>
  <c r="AN239" i="26" s="1"/>
  <c r="AX239" i="26"/>
  <c r="AY239" i="26"/>
  <c r="AZ239" i="26"/>
  <c r="BB239" i="26"/>
  <c r="BC239" i="26"/>
  <c r="BD239" i="26"/>
  <c r="BE239" i="26"/>
  <c r="BF239" i="26"/>
  <c r="AQ240" i="26"/>
  <c r="AR240" i="26"/>
  <c r="AM240" i="26" s="1"/>
  <c r="AS240" i="26"/>
  <c r="AN240" i="26" s="1"/>
  <c r="AX240" i="26"/>
  <c r="AY240" i="26"/>
  <c r="AZ240" i="26"/>
  <c r="BB240" i="26"/>
  <c r="BC240" i="26"/>
  <c r="BD240" i="26"/>
  <c r="BE240" i="26"/>
  <c r="BF240" i="26"/>
  <c r="AQ241" i="26"/>
  <c r="AR241" i="26"/>
  <c r="AM241" i="26" s="1"/>
  <c r="AS241" i="26"/>
  <c r="AN241" i="26" s="1"/>
  <c r="AX241" i="26"/>
  <c r="AY241" i="26"/>
  <c r="AZ241" i="26"/>
  <c r="BB241" i="26"/>
  <c r="BC241" i="26"/>
  <c r="BD241" i="26"/>
  <c r="BE241" i="26"/>
  <c r="BF241" i="26"/>
  <c r="AQ242" i="26"/>
  <c r="AR242" i="26"/>
  <c r="AM242" i="26" s="1"/>
  <c r="AS242" i="26"/>
  <c r="AN242" i="26" s="1"/>
  <c r="AX242" i="26"/>
  <c r="AY242" i="26"/>
  <c r="AZ242" i="26"/>
  <c r="BB242" i="26"/>
  <c r="BC242" i="26"/>
  <c r="BD242" i="26"/>
  <c r="BE242" i="26"/>
  <c r="BF242" i="26"/>
  <c r="AQ243" i="26"/>
  <c r="AR243" i="26"/>
  <c r="AM243" i="26" s="1"/>
  <c r="AS243" i="26"/>
  <c r="AN243" i="26" s="1"/>
  <c r="AX243" i="26"/>
  <c r="AY243" i="26"/>
  <c r="AZ243" i="26"/>
  <c r="BB243" i="26"/>
  <c r="BC243" i="26"/>
  <c r="BD243" i="26"/>
  <c r="BE243" i="26"/>
  <c r="BF243" i="26"/>
  <c r="AF244" i="26"/>
  <c r="AQ244" i="26"/>
  <c r="AR244" i="26"/>
  <c r="AM244" i="26" s="1"/>
  <c r="AS244" i="26"/>
  <c r="AN244" i="26" s="1"/>
  <c r="AX244" i="26"/>
  <c r="AY244" i="26"/>
  <c r="AZ244" i="26"/>
  <c r="BB244" i="26"/>
  <c r="BC244" i="26"/>
  <c r="BD244" i="26"/>
  <c r="BE244" i="26"/>
  <c r="BF244" i="26"/>
  <c r="AQ245" i="26"/>
  <c r="AR245" i="26"/>
  <c r="AM245" i="26" s="1"/>
  <c r="AS245" i="26"/>
  <c r="AN245" i="26" s="1"/>
  <c r="AX245" i="26"/>
  <c r="AY245" i="26"/>
  <c r="AZ245" i="26"/>
  <c r="BB245" i="26"/>
  <c r="BC245" i="26"/>
  <c r="BD245" i="26"/>
  <c r="BE245" i="26"/>
  <c r="BF245" i="26"/>
  <c r="AQ246" i="26"/>
  <c r="AR246" i="26"/>
  <c r="AM246" i="26" s="1"/>
  <c r="AS246" i="26"/>
  <c r="AN246" i="26" s="1"/>
  <c r="AX246" i="26"/>
  <c r="AY246" i="26"/>
  <c r="AZ246" i="26"/>
  <c r="BB246" i="26"/>
  <c r="BC246" i="26"/>
  <c r="BD246" i="26"/>
  <c r="BE246" i="26"/>
  <c r="BF246" i="26"/>
  <c r="AQ247" i="26"/>
  <c r="AR247" i="26"/>
  <c r="AM247" i="26" s="1"/>
  <c r="AS247" i="26"/>
  <c r="AN247" i="26" s="1"/>
  <c r="AX247" i="26"/>
  <c r="AY247" i="26"/>
  <c r="AZ247" i="26"/>
  <c r="BB247" i="26"/>
  <c r="BC247" i="26"/>
  <c r="BD247" i="26"/>
  <c r="BE247" i="26"/>
  <c r="BF247" i="26"/>
  <c r="AM248" i="26"/>
  <c r="AQ248" i="26"/>
  <c r="AR248" i="26"/>
  <c r="AS248" i="26"/>
  <c r="AN248" i="26" s="1"/>
  <c r="AX248" i="26"/>
  <c r="AY248" i="26"/>
  <c r="AZ248" i="26"/>
  <c r="BB248" i="26"/>
  <c r="BC248" i="26"/>
  <c r="BD248" i="26"/>
  <c r="BE248" i="26"/>
  <c r="BF248" i="26"/>
  <c r="AQ249" i="26"/>
  <c r="AR249" i="26"/>
  <c r="AM249" i="26" s="1"/>
  <c r="AS249" i="26"/>
  <c r="AN249" i="26" s="1"/>
  <c r="AX249" i="26"/>
  <c r="AY249" i="26"/>
  <c r="AZ249" i="26"/>
  <c r="BB249" i="26"/>
  <c r="BC249" i="26"/>
  <c r="BD249" i="26"/>
  <c r="BE249" i="26"/>
  <c r="BF249" i="26"/>
  <c r="AM250" i="26"/>
  <c r="AQ250" i="26"/>
  <c r="AR250" i="26"/>
  <c r="AS250" i="26"/>
  <c r="AN250" i="26" s="1"/>
  <c r="AX250" i="26"/>
  <c r="AY250" i="26"/>
  <c r="AZ250" i="26"/>
  <c r="BB250" i="26"/>
  <c r="BC250" i="26"/>
  <c r="BD250" i="26"/>
  <c r="BE250" i="26"/>
  <c r="BF250" i="26"/>
  <c r="AQ251" i="26"/>
  <c r="AR251" i="26"/>
  <c r="AM251" i="26" s="1"/>
  <c r="AS251" i="26"/>
  <c r="AN251" i="26" s="1"/>
  <c r="AX251" i="26"/>
  <c r="AY251" i="26"/>
  <c r="AZ251" i="26"/>
  <c r="BB251" i="26"/>
  <c r="BC251" i="26"/>
  <c r="BD251" i="26"/>
  <c r="BE251" i="26"/>
  <c r="BF251" i="26"/>
  <c r="AQ252" i="26"/>
  <c r="AX252" i="26"/>
  <c r="AY252" i="26"/>
  <c r="AZ252" i="26"/>
  <c r="BB252" i="26"/>
  <c r="BC252" i="26"/>
  <c r="BD252" i="26"/>
  <c r="BE252" i="26"/>
  <c r="BF252" i="26"/>
  <c r="AQ253" i="26"/>
  <c r="BB253" i="26"/>
  <c r="BC253" i="26"/>
  <c r="BD253" i="26"/>
  <c r="BE253" i="26"/>
  <c r="AQ254" i="26"/>
  <c r="BB254" i="26"/>
  <c r="BC254" i="26"/>
  <c r="BD254" i="26"/>
  <c r="BE254" i="26"/>
  <c r="AQ255" i="26"/>
  <c r="AR255" i="26"/>
  <c r="AM255" i="26" s="1"/>
  <c r="AS255" i="26"/>
  <c r="AN255" i="26" s="1"/>
  <c r="AX255" i="26"/>
  <c r="AY255" i="26"/>
  <c r="AZ255" i="26"/>
  <c r="BB255" i="26"/>
  <c r="BC255" i="26"/>
  <c r="BD255" i="26"/>
  <c r="BE255" i="26"/>
  <c r="BF255" i="26"/>
  <c r="AQ256" i="26"/>
  <c r="AR256" i="26"/>
  <c r="AM256" i="26" s="1"/>
  <c r="AS256" i="26"/>
  <c r="AN256" i="26" s="1"/>
  <c r="AX256" i="26"/>
  <c r="AY256" i="26"/>
  <c r="AZ256" i="26"/>
  <c r="BB256" i="26"/>
  <c r="BC256" i="26"/>
  <c r="BD256" i="26"/>
  <c r="BE256" i="26"/>
  <c r="BF256" i="26"/>
  <c r="AQ257" i="26"/>
  <c r="AR257" i="26"/>
  <c r="AM257" i="26" s="1"/>
  <c r="AS257" i="26"/>
  <c r="AN257" i="26" s="1"/>
  <c r="AX257" i="26"/>
  <c r="AY257" i="26"/>
  <c r="AZ257" i="26"/>
  <c r="BB257" i="26"/>
  <c r="BC257" i="26"/>
  <c r="BD257" i="26"/>
  <c r="BE257" i="26"/>
  <c r="BF257" i="26"/>
  <c r="AQ258" i="26"/>
  <c r="AR258" i="26"/>
  <c r="AM258" i="26" s="1"/>
  <c r="AS258" i="26"/>
  <c r="AN258" i="26" s="1"/>
  <c r="AX258" i="26"/>
  <c r="AY258" i="26"/>
  <c r="AZ258" i="26"/>
  <c r="BB258" i="26"/>
  <c r="BC258" i="26"/>
  <c r="BD258" i="26"/>
  <c r="BE258" i="26"/>
  <c r="BF258" i="26"/>
  <c r="AQ259" i="26"/>
  <c r="AR259" i="26"/>
  <c r="AM259" i="26" s="1"/>
  <c r="AS259" i="26"/>
  <c r="AN259" i="26" s="1"/>
  <c r="AX259" i="26"/>
  <c r="AY259" i="26"/>
  <c r="AZ259" i="26"/>
  <c r="BB259" i="26"/>
  <c r="BC259" i="26"/>
  <c r="BD259" i="26"/>
  <c r="BE259" i="26"/>
  <c r="BF259" i="26"/>
  <c r="AQ260" i="26"/>
  <c r="AR260" i="26"/>
  <c r="AM260" i="26" s="1"/>
  <c r="AS260" i="26"/>
  <c r="AN260" i="26" s="1"/>
  <c r="AX260" i="26"/>
  <c r="AY260" i="26"/>
  <c r="AZ260" i="26"/>
  <c r="BB260" i="26"/>
  <c r="BC260" i="26"/>
  <c r="BD260" i="26"/>
  <c r="BE260" i="26"/>
  <c r="BF260" i="26"/>
  <c r="AQ261" i="26"/>
  <c r="AR261" i="26"/>
  <c r="AM261" i="26" s="1"/>
  <c r="AS261" i="26"/>
  <c r="AN261" i="26" s="1"/>
  <c r="AX261" i="26"/>
  <c r="AY261" i="26"/>
  <c r="AZ261" i="26"/>
  <c r="BB261" i="26"/>
  <c r="BC261" i="26"/>
  <c r="BD261" i="26"/>
  <c r="BE261" i="26"/>
  <c r="BF261" i="26"/>
  <c r="AQ262" i="26"/>
  <c r="AR262" i="26"/>
  <c r="AM262" i="26" s="1"/>
  <c r="AS262" i="26"/>
  <c r="AN262" i="26" s="1"/>
  <c r="AX262" i="26"/>
  <c r="AY262" i="26"/>
  <c r="AZ262" i="26"/>
  <c r="BB262" i="26"/>
  <c r="BC262" i="26"/>
  <c r="BD262" i="26"/>
  <c r="BE262" i="26"/>
  <c r="BF262" i="26"/>
  <c r="AQ263" i="26"/>
  <c r="AR263" i="26"/>
  <c r="AM263" i="26" s="1"/>
  <c r="AS263" i="26"/>
  <c r="AN263" i="26" s="1"/>
  <c r="AX263" i="26"/>
  <c r="AY263" i="26"/>
  <c r="AZ263" i="26"/>
  <c r="BB263" i="26"/>
  <c r="BC263" i="26"/>
  <c r="BD263" i="26"/>
  <c r="BE263" i="26"/>
  <c r="BF263" i="26"/>
  <c r="AQ264" i="26"/>
  <c r="AR264" i="26"/>
  <c r="AM264" i="26" s="1"/>
  <c r="AS264" i="26"/>
  <c r="AN264" i="26" s="1"/>
  <c r="AX264" i="26"/>
  <c r="AY264" i="26"/>
  <c r="AZ264" i="26"/>
  <c r="BB264" i="26"/>
  <c r="BC264" i="26"/>
  <c r="BD264" i="26"/>
  <c r="BE264" i="26"/>
  <c r="BF264" i="26"/>
  <c r="AQ265" i="26"/>
  <c r="AR265" i="26"/>
  <c r="AM265" i="26" s="1"/>
  <c r="AS265" i="26"/>
  <c r="AN265" i="26" s="1"/>
  <c r="AX265" i="26"/>
  <c r="AY265" i="26"/>
  <c r="AZ265" i="26"/>
  <c r="BB265" i="26"/>
  <c r="BC265" i="26"/>
  <c r="BD265" i="26"/>
  <c r="BE265" i="26"/>
  <c r="BF265" i="26"/>
  <c r="AQ266" i="26"/>
  <c r="AR266" i="26"/>
  <c r="AM266" i="26" s="1"/>
  <c r="AS266" i="26"/>
  <c r="AN266" i="26" s="1"/>
  <c r="AX266" i="26"/>
  <c r="AY266" i="26"/>
  <c r="AZ266" i="26"/>
  <c r="BB266" i="26"/>
  <c r="BC266" i="26"/>
  <c r="BD266" i="26"/>
  <c r="BE266" i="26"/>
  <c r="BF266" i="26"/>
  <c r="AQ267" i="26"/>
  <c r="AR267" i="26"/>
  <c r="AM267" i="26" s="1"/>
  <c r="AS267" i="26"/>
  <c r="AN267" i="26" s="1"/>
  <c r="AX267" i="26"/>
  <c r="AY267" i="26"/>
  <c r="AZ267" i="26"/>
  <c r="BB267" i="26"/>
  <c r="BC267" i="26"/>
  <c r="BD267" i="26"/>
  <c r="BE267" i="26"/>
  <c r="BF267" i="26"/>
  <c r="AQ268" i="26"/>
  <c r="AR268" i="26"/>
  <c r="AM268" i="26" s="1"/>
  <c r="AS268" i="26"/>
  <c r="AN268" i="26" s="1"/>
  <c r="AX268" i="26"/>
  <c r="AY268" i="26"/>
  <c r="AZ268" i="26"/>
  <c r="BB268" i="26"/>
  <c r="BC268" i="26"/>
  <c r="BD268" i="26"/>
  <c r="BE268" i="26"/>
  <c r="BF268" i="26"/>
  <c r="AQ269" i="26"/>
  <c r="AR269" i="26"/>
  <c r="AM269" i="26" s="1"/>
  <c r="AS269" i="26"/>
  <c r="AN269" i="26" s="1"/>
  <c r="AX269" i="26"/>
  <c r="AY269" i="26"/>
  <c r="AZ269" i="26"/>
  <c r="BB269" i="26"/>
  <c r="BC269" i="26"/>
  <c r="BD269" i="26"/>
  <c r="BE269" i="26"/>
  <c r="BF269" i="26"/>
  <c r="AQ270" i="26"/>
  <c r="AR270" i="26"/>
  <c r="AM270" i="26" s="1"/>
  <c r="AS270" i="26"/>
  <c r="AN270" i="26" s="1"/>
  <c r="AX270" i="26"/>
  <c r="AY270" i="26"/>
  <c r="AZ270" i="26"/>
  <c r="BB270" i="26"/>
  <c r="BC270" i="26"/>
  <c r="BD270" i="26"/>
  <c r="BE270" i="26"/>
  <c r="BF270" i="26"/>
  <c r="AN271" i="26"/>
  <c r="AQ271" i="26"/>
  <c r="AR271" i="26"/>
  <c r="AM271" i="26" s="1"/>
  <c r="AS271" i="26"/>
  <c r="AX271" i="26"/>
  <c r="AY271" i="26"/>
  <c r="AZ271" i="26"/>
  <c r="BB271" i="26"/>
  <c r="BC271" i="26"/>
  <c r="BD271" i="26"/>
  <c r="BE271" i="26"/>
  <c r="BF271" i="26"/>
  <c r="AQ272" i="26"/>
  <c r="AR272" i="26"/>
  <c r="AM272" i="26" s="1"/>
  <c r="AS272" i="26"/>
  <c r="AN272" i="26" s="1"/>
  <c r="AX272" i="26"/>
  <c r="AY272" i="26"/>
  <c r="AZ272" i="26"/>
  <c r="BB272" i="26"/>
  <c r="BC272" i="26"/>
  <c r="BD272" i="26"/>
  <c r="BE272" i="26"/>
  <c r="AL272" i="26" s="1"/>
  <c r="BF272" i="26"/>
  <c r="AQ273" i="26"/>
  <c r="AR273" i="26"/>
  <c r="AM273" i="26" s="1"/>
  <c r="AS273" i="26"/>
  <c r="AN273" i="26" s="1"/>
  <c r="AX273" i="26"/>
  <c r="AY273" i="26"/>
  <c r="AZ273" i="26"/>
  <c r="BB273" i="26"/>
  <c r="BC273" i="26"/>
  <c r="BD273" i="26"/>
  <c r="BE273" i="26"/>
  <c r="BF273" i="26"/>
  <c r="AQ274" i="26"/>
  <c r="AR274" i="26"/>
  <c r="AM274" i="26" s="1"/>
  <c r="AS274" i="26"/>
  <c r="AN274" i="26" s="1"/>
  <c r="AX274" i="26"/>
  <c r="AY274" i="26"/>
  <c r="AZ274" i="26"/>
  <c r="BB274" i="26"/>
  <c r="BC274" i="26"/>
  <c r="BD274" i="26"/>
  <c r="BE274" i="26"/>
  <c r="BF274" i="26"/>
  <c r="AQ275" i="26"/>
  <c r="AR275" i="26"/>
  <c r="AM275" i="26" s="1"/>
  <c r="AS275" i="26"/>
  <c r="AN275" i="26" s="1"/>
  <c r="AX275" i="26"/>
  <c r="AY275" i="26"/>
  <c r="AZ275" i="26"/>
  <c r="BB275" i="26"/>
  <c r="BC275" i="26"/>
  <c r="BD275" i="26"/>
  <c r="BE275" i="26"/>
  <c r="BF275" i="26"/>
  <c r="AQ276" i="26"/>
  <c r="AR276" i="26"/>
  <c r="AM276" i="26" s="1"/>
  <c r="AS276" i="26"/>
  <c r="AN276" i="26" s="1"/>
  <c r="AX276" i="26"/>
  <c r="AY276" i="26"/>
  <c r="AZ276" i="26"/>
  <c r="BB276" i="26"/>
  <c r="BC276" i="26"/>
  <c r="BD276" i="26"/>
  <c r="BE276" i="26"/>
  <c r="BF276" i="26"/>
  <c r="AQ277" i="26"/>
  <c r="AR277" i="26"/>
  <c r="AM277" i="26" s="1"/>
  <c r="AS277" i="26"/>
  <c r="AN277" i="26" s="1"/>
  <c r="AX277" i="26"/>
  <c r="AY277" i="26"/>
  <c r="AZ277" i="26"/>
  <c r="BB277" i="26"/>
  <c r="BC277" i="26"/>
  <c r="BD277" i="26"/>
  <c r="BE277" i="26"/>
  <c r="BF277" i="26"/>
  <c r="AQ278" i="26"/>
  <c r="AR278" i="26"/>
  <c r="AM278" i="26" s="1"/>
  <c r="AS278" i="26"/>
  <c r="AN278" i="26" s="1"/>
  <c r="AX278" i="26"/>
  <c r="AY278" i="26"/>
  <c r="AZ278" i="26"/>
  <c r="BB278" i="26"/>
  <c r="BC278" i="26"/>
  <c r="BD278" i="26"/>
  <c r="BE278" i="26"/>
  <c r="BF278" i="26"/>
  <c r="AQ279" i="26"/>
  <c r="AR279" i="26"/>
  <c r="AM279" i="26" s="1"/>
  <c r="AS279" i="26"/>
  <c r="AN279" i="26" s="1"/>
  <c r="AX279" i="26"/>
  <c r="AY279" i="26"/>
  <c r="AZ279" i="26"/>
  <c r="BB279" i="26"/>
  <c r="BC279" i="26"/>
  <c r="BD279" i="26"/>
  <c r="BE279" i="26"/>
  <c r="BF279" i="26"/>
  <c r="AQ280" i="26"/>
  <c r="AR280" i="26"/>
  <c r="AM280" i="26" s="1"/>
  <c r="AS280" i="26"/>
  <c r="AN280" i="26" s="1"/>
  <c r="AX280" i="26"/>
  <c r="AY280" i="26"/>
  <c r="AZ280" i="26"/>
  <c r="BB280" i="26"/>
  <c r="BC280" i="26"/>
  <c r="BD280" i="26"/>
  <c r="BE280" i="26"/>
  <c r="BF280" i="26"/>
  <c r="AQ281" i="26"/>
  <c r="AR281" i="26"/>
  <c r="AM281" i="26" s="1"/>
  <c r="AS281" i="26"/>
  <c r="AN281" i="26" s="1"/>
  <c r="AX281" i="26"/>
  <c r="AY281" i="26"/>
  <c r="AZ281" i="26"/>
  <c r="BB281" i="26"/>
  <c r="BC281" i="26"/>
  <c r="BD281" i="26"/>
  <c r="BE281" i="26"/>
  <c r="BF281" i="26"/>
  <c r="AQ282" i="26"/>
  <c r="AR282" i="26"/>
  <c r="AM282" i="26" s="1"/>
  <c r="AS282" i="26"/>
  <c r="AN282" i="26" s="1"/>
  <c r="AX282" i="26"/>
  <c r="AY282" i="26"/>
  <c r="AZ282" i="26"/>
  <c r="BB282" i="26"/>
  <c r="BC282" i="26"/>
  <c r="BD282" i="26"/>
  <c r="BE282" i="26"/>
  <c r="BF282" i="26"/>
  <c r="AQ283" i="26"/>
  <c r="AR283" i="26"/>
  <c r="AM283" i="26" s="1"/>
  <c r="AS283" i="26"/>
  <c r="AN283" i="26" s="1"/>
  <c r="AX283" i="26"/>
  <c r="AY283" i="26"/>
  <c r="AZ283" i="26"/>
  <c r="BB283" i="26"/>
  <c r="BC283" i="26"/>
  <c r="BD283" i="26"/>
  <c r="BE283" i="26"/>
  <c r="BF283" i="26"/>
  <c r="AQ284" i="26"/>
  <c r="AR284" i="26"/>
  <c r="AM284" i="26" s="1"/>
  <c r="AS284" i="26"/>
  <c r="AN284" i="26" s="1"/>
  <c r="AX284" i="26"/>
  <c r="AY284" i="26"/>
  <c r="AZ284" i="26"/>
  <c r="BB284" i="26"/>
  <c r="BC284" i="26"/>
  <c r="BD284" i="26"/>
  <c r="BE284" i="26"/>
  <c r="BF284" i="26"/>
  <c r="AQ285" i="26"/>
  <c r="AR285" i="26"/>
  <c r="AM285" i="26" s="1"/>
  <c r="AS285" i="26"/>
  <c r="AN285" i="26" s="1"/>
  <c r="AX285" i="26"/>
  <c r="AY285" i="26"/>
  <c r="AZ285" i="26"/>
  <c r="BB285" i="26"/>
  <c r="BC285" i="26"/>
  <c r="BD285" i="26"/>
  <c r="BE285" i="26"/>
  <c r="BF285" i="26"/>
  <c r="AQ286" i="26"/>
  <c r="AR286" i="26"/>
  <c r="AM286" i="26" s="1"/>
  <c r="AS286" i="26"/>
  <c r="AN286" i="26" s="1"/>
  <c r="AX286" i="26"/>
  <c r="AY286" i="26"/>
  <c r="AZ286" i="26"/>
  <c r="BB286" i="26"/>
  <c r="BC286" i="26"/>
  <c r="BD286" i="26"/>
  <c r="BE286" i="26"/>
  <c r="BF286" i="26"/>
  <c r="AQ287" i="26"/>
  <c r="AR287" i="26"/>
  <c r="AM287" i="26" s="1"/>
  <c r="AS287" i="26"/>
  <c r="AN287" i="26" s="1"/>
  <c r="AX287" i="26"/>
  <c r="AY287" i="26"/>
  <c r="AZ287" i="26"/>
  <c r="BB287" i="26"/>
  <c r="BC287" i="26"/>
  <c r="BD287" i="26"/>
  <c r="BE287" i="26"/>
  <c r="BF287" i="26"/>
  <c r="AQ288" i="26"/>
  <c r="AR288" i="26"/>
  <c r="AM288" i="26" s="1"/>
  <c r="AS288" i="26"/>
  <c r="AN288" i="26" s="1"/>
  <c r="AX288" i="26"/>
  <c r="AY288" i="26"/>
  <c r="AZ288" i="26"/>
  <c r="BB288" i="26"/>
  <c r="BC288" i="26"/>
  <c r="BD288" i="26"/>
  <c r="BE288" i="26"/>
  <c r="BF288" i="26"/>
  <c r="AQ289" i="26"/>
  <c r="AR289" i="26"/>
  <c r="AM289" i="26" s="1"/>
  <c r="AS289" i="26"/>
  <c r="AN289" i="26" s="1"/>
  <c r="AX289" i="26"/>
  <c r="AY289" i="26"/>
  <c r="AZ289" i="26"/>
  <c r="BB289" i="26"/>
  <c r="BC289" i="26"/>
  <c r="BD289" i="26"/>
  <c r="BE289" i="26"/>
  <c r="BF289" i="26"/>
  <c r="AQ290" i="26"/>
  <c r="AR290" i="26"/>
  <c r="AM290" i="26" s="1"/>
  <c r="AS290" i="26"/>
  <c r="AN290" i="26" s="1"/>
  <c r="AX290" i="26"/>
  <c r="AY290" i="26"/>
  <c r="AZ290" i="26"/>
  <c r="BB290" i="26"/>
  <c r="BC290" i="26"/>
  <c r="BD290" i="26"/>
  <c r="BE290" i="26"/>
  <c r="BF290" i="26"/>
  <c r="AM291" i="26"/>
  <c r="AQ291" i="26"/>
  <c r="AR291" i="26"/>
  <c r="AS291" i="26"/>
  <c r="AN291" i="26" s="1"/>
  <c r="AX291" i="26"/>
  <c r="AY291" i="26"/>
  <c r="AZ291" i="26"/>
  <c r="BB291" i="26"/>
  <c r="BC291" i="26"/>
  <c r="BD291" i="26"/>
  <c r="BE291" i="26"/>
  <c r="BF291" i="26"/>
  <c r="AQ292" i="26"/>
  <c r="AR292" i="26"/>
  <c r="AM292" i="26" s="1"/>
  <c r="AS292" i="26"/>
  <c r="AN292" i="26" s="1"/>
  <c r="AX292" i="26"/>
  <c r="AY292" i="26"/>
  <c r="AZ292" i="26"/>
  <c r="BB292" i="26"/>
  <c r="BC292" i="26"/>
  <c r="BD292" i="26"/>
  <c r="BE292" i="26"/>
  <c r="BF292" i="26"/>
  <c r="AQ293" i="26"/>
  <c r="AR293" i="26"/>
  <c r="AM293" i="26" s="1"/>
  <c r="AS293" i="26"/>
  <c r="AN293" i="26" s="1"/>
  <c r="AX293" i="26"/>
  <c r="AY293" i="26"/>
  <c r="AZ293" i="26"/>
  <c r="BB293" i="26"/>
  <c r="BC293" i="26"/>
  <c r="BD293" i="26"/>
  <c r="BE293" i="26"/>
  <c r="BF293" i="26"/>
  <c r="AQ294" i="26"/>
  <c r="AR294" i="26"/>
  <c r="AM294" i="26" s="1"/>
  <c r="AS294" i="26"/>
  <c r="AN294" i="26" s="1"/>
  <c r="AX294" i="26"/>
  <c r="AY294" i="26"/>
  <c r="AZ294" i="26"/>
  <c r="BB294" i="26"/>
  <c r="BC294" i="26"/>
  <c r="BD294" i="26"/>
  <c r="BE294" i="26"/>
  <c r="BF294" i="26"/>
  <c r="AQ295" i="26"/>
  <c r="AR295" i="26"/>
  <c r="AM295" i="26" s="1"/>
  <c r="AS295" i="26"/>
  <c r="AN295" i="26" s="1"/>
  <c r="AX295" i="26"/>
  <c r="AY295" i="26"/>
  <c r="AZ295" i="26"/>
  <c r="BB295" i="26"/>
  <c r="BC295" i="26"/>
  <c r="BD295" i="26"/>
  <c r="BE295" i="26"/>
  <c r="BF295" i="26"/>
  <c r="AQ296" i="26"/>
  <c r="AR296" i="26"/>
  <c r="AM296" i="26" s="1"/>
  <c r="AS296" i="26"/>
  <c r="AN296" i="26" s="1"/>
  <c r="AX296" i="26"/>
  <c r="AY296" i="26"/>
  <c r="AZ296" i="26"/>
  <c r="BB296" i="26"/>
  <c r="BC296" i="26"/>
  <c r="BD296" i="26"/>
  <c r="BE296" i="26"/>
  <c r="BF296" i="26"/>
  <c r="AQ297" i="26"/>
  <c r="AR297" i="26"/>
  <c r="AM297" i="26" s="1"/>
  <c r="AS297" i="26"/>
  <c r="AN297" i="26" s="1"/>
  <c r="AX297" i="26"/>
  <c r="AY297" i="26"/>
  <c r="AZ297" i="26"/>
  <c r="BB297" i="26"/>
  <c r="BC297" i="26"/>
  <c r="BD297" i="26"/>
  <c r="BE297" i="26"/>
  <c r="BF297" i="26"/>
  <c r="AQ298" i="26"/>
  <c r="AR298" i="26"/>
  <c r="AM298" i="26" s="1"/>
  <c r="AS298" i="26"/>
  <c r="AN298" i="26" s="1"/>
  <c r="AX298" i="26"/>
  <c r="AY298" i="26"/>
  <c r="AZ298" i="26"/>
  <c r="BB298" i="26"/>
  <c r="BC298" i="26"/>
  <c r="BD298" i="26"/>
  <c r="BE298" i="26"/>
  <c r="BF298" i="26"/>
  <c r="AQ299" i="26"/>
  <c r="AR299" i="26"/>
  <c r="AM299" i="26" s="1"/>
  <c r="AS299" i="26"/>
  <c r="AN299" i="26" s="1"/>
  <c r="AX299" i="26"/>
  <c r="AY299" i="26"/>
  <c r="AZ299" i="26"/>
  <c r="BB299" i="26"/>
  <c r="BC299" i="26"/>
  <c r="BD299" i="26"/>
  <c r="BE299" i="26"/>
  <c r="BF299" i="26"/>
  <c r="AQ300" i="26"/>
  <c r="AR300" i="26"/>
  <c r="AM300" i="26" s="1"/>
  <c r="AS300" i="26"/>
  <c r="AN300" i="26" s="1"/>
  <c r="AX300" i="26"/>
  <c r="AY300" i="26"/>
  <c r="AZ300" i="26"/>
  <c r="BB300" i="26"/>
  <c r="BC300" i="26"/>
  <c r="BD300" i="26"/>
  <c r="BE300" i="26"/>
  <c r="BF300" i="26"/>
  <c r="AN301" i="26"/>
  <c r="AQ301" i="26"/>
  <c r="AR301" i="26"/>
  <c r="AM301" i="26" s="1"/>
  <c r="AS301" i="26"/>
  <c r="AX301" i="26"/>
  <c r="AY301" i="26"/>
  <c r="AZ301" i="26"/>
  <c r="BB301" i="26"/>
  <c r="BC301" i="26"/>
  <c r="BD301" i="26"/>
  <c r="BE301" i="26"/>
  <c r="BF301" i="26"/>
  <c r="AQ302" i="26"/>
  <c r="AR302" i="26"/>
  <c r="AM302" i="26" s="1"/>
  <c r="AS302" i="26"/>
  <c r="AN302" i="26" s="1"/>
  <c r="AX302" i="26"/>
  <c r="AY302" i="26"/>
  <c r="AZ302" i="26"/>
  <c r="BB302" i="26"/>
  <c r="BC302" i="26"/>
  <c r="BD302" i="26"/>
  <c r="BE302" i="26"/>
  <c r="BF302" i="26"/>
  <c r="AQ303" i="26"/>
  <c r="AR303" i="26"/>
  <c r="AM303" i="26" s="1"/>
  <c r="AS303" i="26"/>
  <c r="AN303" i="26" s="1"/>
  <c r="AX303" i="26"/>
  <c r="AY303" i="26"/>
  <c r="AZ303" i="26"/>
  <c r="BB303" i="26"/>
  <c r="BC303" i="26"/>
  <c r="BD303" i="26"/>
  <c r="BE303" i="26"/>
  <c r="BF303" i="26"/>
  <c r="AQ304" i="26"/>
  <c r="AR304" i="26"/>
  <c r="AM304" i="26" s="1"/>
  <c r="AS304" i="26"/>
  <c r="AN304" i="26" s="1"/>
  <c r="AX304" i="26"/>
  <c r="AY304" i="26"/>
  <c r="AZ304" i="26"/>
  <c r="BB304" i="26"/>
  <c r="BC304" i="26"/>
  <c r="BD304" i="26"/>
  <c r="BE304" i="26"/>
  <c r="BF304" i="26"/>
  <c r="AQ305" i="26"/>
  <c r="AR305" i="26"/>
  <c r="AM305" i="26" s="1"/>
  <c r="AS305" i="26"/>
  <c r="AN305" i="26" s="1"/>
  <c r="AX305" i="26"/>
  <c r="AY305" i="26"/>
  <c r="AZ305" i="26"/>
  <c r="BB305" i="26"/>
  <c r="BC305" i="26"/>
  <c r="BD305" i="26"/>
  <c r="BE305" i="26"/>
  <c r="BF305" i="26"/>
  <c r="AQ306" i="26"/>
  <c r="AR306" i="26"/>
  <c r="AM306" i="26" s="1"/>
  <c r="AS306" i="26"/>
  <c r="AN306" i="26" s="1"/>
  <c r="AX306" i="26"/>
  <c r="AY306" i="26"/>
  <c r="AZ306" i="26"/>
  <c r="BB306" i="26"/>
  <c r="BC306" i="26"/>
  <c r="BD306" i="26"/>
  <c r="BE306" i="26"/>
  <c r="BF306" i="26"/>
  <c r="AQ307" i="26"/>
  <c r="AR307" i="26"/>
  <c r="AM307" i="26" s="1"/>
  <c r="AS307" i="26"/>
  <c r="AN307" i="26" s="1"/>
  <c r="AX307" i="26"/>
  <c r="AY307" i="26"/>
  <c r="AZ307" i="26"/>
  <c r="BB307" i="26"/>
  <c r="BC307" i="26"/>
  <c r="BD307" i="26"/>
  <c r="BE307" i="26"/>
  <c r="BF307" i="26"/>
  <c r="AN308" i="26"/>
  <c r="AQ308" i="26"/>
  <c r="AR308" i="26"/>
  <c r="AM308" i="26" s="1"/>
  <c r="AS308" i="26"/>
  <c r="AX308" i="26"/>
  <c r="AY308" i="26"/>
  <c r="AZ308" i="26"/>
  <c r="BB308" i="26"/>
  <c r="BC308" i="26"/>
  <c r="BD308" i="26"/>
  <c r="BE308" i="26"/>
  <c r="BF308" i="26"/>
  <c r="AQ309" i="26"/>
  <c r="AR309" i="26"/>
  <c r="AM309" i="26" s="1"/>
  <c r="AS309" i="26"/>
  <c r="AN309" i="26" s="1"/>
  <c r="AX309" i="26"/>
  <c r="AY309" i="26"/>
  <c r="AZ309" i="26"/>
  <c r="BB309" i="26"/>
  <c r="BC309" i="26"/>
  <c r="BD309" i="26"/>
  <c r="BE309" i="26"/>
  <c r="BF309" i="26"/>
  <c r="AQ310" i="26"/>
  <c r="AR310" i="26"/>
  <c r="AM310" i="26" s="1"/>
  <c r="AS310" i="26"/>
  <c r="AN310" i="26" s="1"/>
  <c r="AX310" i="26"/>
  <c r="AY310" i="26"/>
  <c r="AZ310" i="26"/>
  <c r="BB310" i="26"/>
  <c r="BC310" i="26"/>
  <c r="BD310" i="26"/>
  <c r="BE310" i="26"/>
  <c r="BF310" i="26"/>
  <c r="AQ311" i="26"/>
  <c r="AR311" i="26"/>
  <c r="AM311" i="26" s="1"/>
  <c r="AS311" i="26"/>
  <c r="AN311" i="26" s="1"/>
  <c r="AX311" i="26"/>
  <c r="AY311" i="26"/>
  <c r="AZ311" i="26"/>
  <c r="BB311" i="26"/>
  <c r="BC311" i="26"/>
  <c r="BD311" i="26"/>
  <c r="BE311" i="26"/>
  <c r="BF311" i="26"/>
  <c r="AM312" i="26"/>
  <c r="AQ312" i="26"/>
  <c r="AR312" i="26"/>
  <c r="AS312" i="26"/>
  <c r="AN312" i="26" s="1"/>
  <c r="AX312" i="26"/>
  <c r="AY312" i="26"/>
  <c r="AZ312" i="26"/>
  <c r="BB312" i="26"/>
  <c r="BC312" i="26"/>
  <c r="AL312" i="26" s="1"/>
  <c r="BD312" i="26"/>
  <c r="BE312" i="26"/>
  <c r="BF312" i="26"/>
  <c r="AF313" i="26"/>
  <c r="AQ313" i="26"/>
  <c r="AR313" i="26"/>
  <c r="AM313" i="26" s="1"/>
  <c r="AS313" i="26"/>
  <c r="AN313" i="26" s="1"/>
  <c r="AX313" i="26"/>
  <c r="AY313" i="26"/>
  <c r="AZ313" i="26"/>
  <c r="BB313" i="26"/>
  <c r="BC313" i="26"/>
  <c r="BD313" i="26"/>
  <c r="BE313" i="26"/>
  <c r="BF313" i="26"/>
  <c r="AM314" i="26"/>
  <c r="AQ314" i="26"/>
  <c r="AR314" i="26"/>
  <c r="AS314" i="26"/>
  <c r="AN314" i="26" s="1"/>
  <c r="AX314" i="26"/>
  <c r="AY314" i="26"/>
  <c r="AZ314" i="26"/>
  <c r="BB314" i="26"/>
  <c r="BC314" i="26"/>
  <c r="BD314" i="26"/>
  <c r="BE314" i="26"/>
  <c r="BF314" i="26"/>
  <c r="AQ315" i="26"/>
  <c r="AR315" i="26"/>
  <c r="AM315" i="26" s="1"/>
  <c r="AS315" i="26"/>
  <c r="AN315" i="26" s="1"/>
  <c r="AX315" i="26"/>
  <c r="AY315" i="26"/>
  <c r="AZ315" i="26"/>
  <c r="BB315" i="26"/>
  <c r="BC315" i="26"/>
  <c r="BD315" i="26"/>
  <c r="BE315" i="26"/>
  <c r="BF315" i="26"/>
  <c r="AM316" i="26"/>
  <c r="AQ316" i="26"/>
  <c r="AR316" i="26"/>
  <c r="AS316" i="26"/>
  <c r="AN316" i="26" s="1"/>
  <c r="AX316" i="26"/>
  <c r="AY316" i="26"/>
  <c r="AZ316" i="26"/>
  <c r="BB316" i="26"/>
  <c r="BC316" i="26"/>
  <c r="BD316" i="26"/>
  <c r="BE316" i="26"/>
  <c r="BF316" i="26"/>
  <c r="AQ317" i="26"/>
  <c r="AR317" i="26"/>
  <c r="AM317" i="26" s="1"/>
  <c r="AS317" i="26"/>
  <c r="AN317" i="26" s="1"/>
  <c r="AX317" i="26"/>
  <c r="AY317" i="26"/>
  <c r="AZ317" i="26"/>
  <c r="BB317" i="26"/>
  <c r="BC317" i="26"/>
  <c r="BD317" i="26"/>
  <c r="BE317" i="26"/>
  <c r="BF317" i="26"/>
  <c r="AQ318" i="26"/>
  <c r="AR318" i="26"/>
  <c r="AM318" i="26" s="1"/>
  <c r="AS318" i="26"/>
  <c r="AN318" i="26" s="1"/>
  <c r="AX318" i="26"/>
  <c r="AY318" i="26"/>
  <c r="AZ318" i="26"/>
  <c r="BB318" i="26"/>
  <c r="BC318" i="26"/>
  <c r="BD318" i="26"/>
  <c r="BE318" i="26"/>
  <c r="AL318" i="26" s="1"/>
  <c r="BF318" i="26"/>
  <c r="AQ319" i="26"/>
  <c r="AR319" i="26"/>
  <c r="AM319" i="26" s="1"/>
  <c r="AS319" i="26"/>
  <c r="AN319" i="26" s="1"/>
  <c r="AX319" i="26"/>
  <c r="AY319" i="26"/>
  <c r="AZ319" i="26"/>
  <c r="BB319" i="26"/>
  <c r="BC319" i="26"/>
  <c r="BD319" i="26"/>
  <c r="BE319" i="26"/>
  <c r="BF319" i="26"/>
  <c r="AQ320" i="26"/>
  <c r="AR320" i="26"/>
  <c r="AM320" i="26" s="1"/>
  <c r="AS320" i="26"/>
  <c r="AN320" i="26" s="1"/>
  <c r="AX320" i="26"/>
  <c r="AY320" i="26"/>
  <c r="AZ320" i="26"/>
  <c r="BB320" i="26"/>
  <c r="BC320" i="26"/>
  <c r="BD320" i="26"/>
  <c r="BE320" i="26"/>
  <c r="BF320" i="26"/>
  <c r="AQ321" i="26"/>
  <c r="AR321" i="26"/>
  <c r="AM321" i="26" s="1"/>
  <c r="AS321" i="26"/>
  <c r="AN321" i="26" s="1"/>
  <c r="AX321" i="26"/>
  <c r="AY321" i="26"/>
  <c r="AZ321" i="26"/>
  <c r="BB321" i="26"/>
  <c r="BC321" i="26"/>
  <c r="BD321" i="26"/>
  <c r="BE321" i="26"/>
  <c r="BF321" i="26"/>
  <c r="AQ322" i="26"/>
  <c r="AR322" i="26"/>
  <c r="AM322" i="26" s="1"/>
  <c r="AS322" i="26"/>
  <c r="AN322" i="26" s="1"/>
  <c r="AX322" i="26"/>
  <c r="AY322" i="26"/>
  <c r="AZ322" i="26"/>
  <c r="BB322" i="26"/>
  <c r="BC322" i="26"/>
  <c r="BD322" i="26"/>
  <c r="BE322" i="26"/>
  <c r="BF322" i="26"/>
  <c r="AQ323" i="26"/>
  <c r="AR323" i="26"/>
  <c r="AM323" i="26" s="1"/>
  <c r="AS323" i="26"/>
  <c r="AN323" i="26" s="1"/>
  <c r="AX323" i="26"/>
  <c r="AY323" i="26"/>
  <c r="AZ323" i="26"/>
  <c r="BB323" i="26"/>
  <c r="BC323" i="26"/>
  <c r="BD323" i="26"/>
  <c r="BE323" i="26"/>
  <c r="BF323" i="26"/>
  <c r="AQ324" i="26"/>
  <c r="AR324" i="26"/>
  <c r="AM324" i="26" s="1"/>
  <c r="AS324" i="26"/>
  <c r="AN324" i="26" s="1"/>
  <c r="AX324" i="26"/>
  <c r="AY324" i="26"/>
  <c r="AZ324" i="26"/>
  <c r="BB324" i="26"/>
  <c r="BC324" i="26"/>
  <c r="BD324" i="26"/>
  <c r="BE324" i="26"/>
  <c r="BF324" i="26"/>
  <c r="AQ325" i="26"/>
  <c r="AR325" i="26"/>
  <c r="AM325" i="26" s="1"/>
  <c r="AS325" i="26"/>
  <c r="AN325" i="26" s="1"/>
  <c r="AX325" i="26"/>
  <c r="AY325" i="26"/>
  <c r="AZ325" i="26"/>
  <c r="BB325" i="26"/>
  <c r="BC325" i="26"/>
  <c r="BD325" i="26"/>
  <c r="BE325" i="26"/>
  <c r="BF325" i="26"/>
  <c r="AQ326" i="26"/>
  <c r="AR326" i="26"/>
  <c r="AM326" i="26" s="1"/>
  <c r="AS326" i="26"/>
  <c r="AN326" i="26" s="1"/>
  <c r="AX326" i="26"/>
  <c r="AY326" i="26"/>
  <c r="AZ326" i="26"/>
  <c r="BB326" i="26"/>
  <c r="BC326" i="26"/>
  <c r="BD326" i="26"/>
  <c r="BE326" i="26"/>
  <c r="BF326" i="26"/>
  <c r="AQ327" i="26"/>
  <c r="AR327" i="26"/>
  <c r="AM327" i="26" s="1"/>
  <c r="AS327" i="26"/>
  <c r="AN327" i="26" s="1"/>
  <c r="AX327" i="26"/>
  <c r="AY327" i="26"/>
  <c r="AZ327" i="26"/>
  <c r="BB327" i="26"/>
  <c r="BC327" i="26"/>
  <c r="BD327" i="26"/>
  <c r="BE327" i="26"/>
  <c r="BF327" i="26"/>
  <c r="AQ328" i="26"/>
  <c r="AR328" i="26"/>
  <c r="AM328" i="26" s="1"/>
  <c r="AS328" i="26"/>
  <c r="AN328" i="26" s="1"/>
  <c r="AX328" i="26"/>
  <c r="AY328" i="26"/>
  <c r="AZ328" i="26"/>
  <c r="BB328" i="26"/>
  <c r="BC328" i="26"/>
  <c r="BD328" i="26"/>
  <c r="BE328" i="26"/>
  <c r="BF328" i="26"/>
  <c r="AQ329" i="26"/>
  <c r="AR329" i="26"/>
  <c r="AM329" i="26" s="1"/>
  <c r="AS329" i="26"/>
  <c r="AN329" i="26" s="1"/>
  <c r="AX329" i="26"/>
  <c r="AY329" i="26"/>
  <c r="AZ329" i="26"/>
  <c r="BB329" i="26"/>
  <c r="BC329" i="26"/>
  <c r="BD329" i="26"/>
  <c r="BE329" i="26"/>
  <c r="BF329" i="26"/>
  <c r="AQ330" i="26"/>
  <c r="AR330" i="26"/>
  <c r="AM330" i="26" s="1"/>
  <c r="AS330" i="26"/>
  <c r="AN330" i="26" s="1"/>
  <c r="AX330" i="26"/>
  <c r="AY330" i="26"/>
  <c r="AZ330" i="26"/>
  <c r="BB330" i="26"/>
  <c r="BC330" i="26"/>
  <c r="BD330" i="26"/>
  <c r="BE330" i="26"/>
  <c r="BF330" i="26"/>
  <c r="AF331" i="26"/>
  <c r="AQ331" i="26"/>
  <c r="AR331" i="26"/>
  <c r="AM331" i="26" s="1"/>
  <c r="AS331" i="26"/>
  <c r="AN331" i="26" s="1"/>
  <c r="AX331" i="26"/>
  <c r="AY331" i="26"/>
  <c r="AZ331" i="26"/>
  <c r="BB331" i="26"/>
  <c r="BC331" i="26"/>
  <c r="BD331" i="26"/>
  <c r="BE331" i="26"/>
  <c r="BF331" i="26"/>
  <c r="AQ332" i="26"/>
  <c r="AR332" i="26"/>
  <c r="AM332" i="26" s="1"/>
  <c r="AS332" i="26"/>
  <c r="AN332" i="26" s="1"/>
  <c r="AX332" i="26"/>
  <c r="AY332" i="26"/>
  <c r="AZ332" i="26"/>
  <c r="BB332" i="26"/>
  <c r="BC332" i="26"/>
  <c r="BD332" i="26"/>
  <c r="BE332" i="26"/>
  <c r="BF332" i="26"/>
  <c r="AQ333" i="26"/>
  <c r="AR333" i="26"/>
  <c r="AM333" i="26" s="1"/>
  <c r="AS333" i="26"/>
  <c r="AN333" i="26" s="1"/>
  <c r="AX333" i="26"/>
  <c r="AY333" i="26"/>
  <c r="AZ333" i="26"/>
  <c r="BB333" i="26"/>
  <c r="BC333" i="26"/>
  <c r="BD333" i="26"/>
  <c r="BE333" i="26"/>
  <c r="BF333" i="26"/>
  <c r="AQ334" i="26"/>
  <c r="AR334" i="26"/>
  <c r="AM334" i="26" s="1"/>
  <c r="AS334" i="26"/>
  <c r="AN334" i="26" s="1"/>
  <c r="AX334" i="26"/>
  <c r="AY334" i="26"/>
  <c r="AZ334" i="26"/>
  <c r="BB334" i="26"/>
  <c r="BC334" i="26"/>
  <c r="BD334" i="26"/>
  <c r="BE334" i="26"/>
  <c r="BF334" i="26"/>
  <c r="AQ335" i="26"/>
  <c r="AR335" i="26"/>
  <c r="AM335" i="26" s="1"/>
  <c r="AS335" i="26"/>
  <c r="AN335" i="26" s="1"/>
  <c r="AX335" i="26"/>
  <c r="AY335" i="26"/>
  <c r="AZ335" i="26"/>
  <c r="BB335" i="26"/>
  <c r="BC335" i="26"/>
  <c r="BD335" i="26"/>
  <c r="BE335" i="26"/>
  <c r="BF335" i="26"/>
  <c r="AQ336" i="26"/>
  <c r="AR336" i="26"/>
  <c r="AM336" i="26" s="1"/>
  <c r="AS336" i="26"/>
  <c r="AN336" i="26" s="1"/>
  <c r="AX336" i="26"/>
  <c r="AY336" i="26"/>
  <c r="AZ336" i="26"/>
  <c r="BB336" i="26"/>
  <c r="BC336" i="26"/>
  <c r="BD336" i="26"/>
  <c r="BE336" i="26"/>
  <c r="BF336" i="26"/>
  <c r="AQ337" i="26"/>
  <c r="AR337" i="26"/>
  <c r="AM337" i="26" s="1"/>
  <c r="AS337" i="26"/>
  <c r="AN337" i="26" s="1"/>
  <c r="AX337" i="26"/>
  <c r="AY337" i="26"/>
  <c r="AZ337" i="26"/>
  <c r="BB337" i="26"/>
  <c r="BC337" i="26"/>
  <c r="BD337" i="26"/>
  <c r="BE337" i="26"/>
  <c r="BF337" i="26"/>
  <c r="AQ338" i="26"/>
  <c r="AR338" i="26"/>
  <c r="AM338" i="26" s="1"/>
  <c r="AS338" i="26"/>
  <c r="AN338" i="26" s="1"/>
  <c r="AX338" i="26"/>
  <c r="AY338" i="26"/>
  <c r="AZ338" i="26"/>
  <c r="BB338" i="26"/>
  <c r="BC338" i="26"/>
  <c r="BD338" i="26"/>
  <c r="BE338" i="26"/>
  <c r="BF338" i="26"/>
  <c r="AQ339" i="26"/>
  <c r="AR339" i="26"/>
  <c r="AM339" i="26" s="1"/>
  <c r="AS339" i="26"/>
  <c r="AN339" i="26" s="1"/>
  <c r="AX339" i="26"/>
  <c r="AY339" i="26"/>
  <c r="AZ339" i="26"/>
  <c r="BB339" i="26"/>
  <c r="BC339" i="26"/>
  <c r="BD339" i="26"/>
  <c r="BE339" i="26"/>
  <c r="BF339" i="26"/>
  <c r="AQ340" i="26"/>
  <c r="AR340" i="26"/>
  <c r="AM340" i="26" s="1"/>
  <c r="AS340" i="26"/>
  <c r="AN340" i="26" s="1"/>
  <c r="AX340" i="26"/>
  <c r="AY340" i="26"/>
  <c r="AZ340" i="26"/>
  <c r="BB340" i="26"/>
  <c r="BC340" i="26"/>
  <c r="BD340" i="26"/>
  <c r="BE340" i="26"/>
  <c r="BF340" i="26"/>
  <c r="AQ341" i="26"/>
  <c r="AR341" i="26"/>
  <c r="AM341" i="26" s="1"/>
  <c r="AS341" i="26"/>
  <c r="AN341" i="26" s="1"/>
  <c r="AX341" i="26"/>
  <c r="AY341" i="26"/>
  <c r="AZ341" i="26"/>
  <c r="BB341" i="26"/>
  <c r="BC341" i="26"/>
  <c r="BD341" i="26"/>
  <c r="BE341" i="26"/>
  <c r="BF341" i="26"/>
  <c r="AQ342" i="26"/>
  <c r="AR342" i="26"/>
  <c r="AM342" i="26" s="1"/>
  <c r="AS342" i="26"/>
  <c r="AN342" i="26" s="1"/>
  <c r="AX342" i="26"/>
  <c r="AY342" i="26"/>
  <c r="AZ342" i="26"/>
  <c r="BB342" i="26"/>
  <c r="BC342" i="26"/>
  <c r="BD342" i="26"/>
  <c r="BE342" i="26"/>
  <c r="BF342" i="26"/>
  <c r="AQ343" i="26"/>
  <c r="AR343" i="26"/>
  <c r="AM343" i="26" s="1"/>
  <c r="AS343" i="26"/>
  <c r="AN343" i="26" s="1"/>
  <c r="AX343" i="26"/>
  <c r="AY343" i="26"/>
  <c r="AZ343" i="26"/>
  <c r="BB343" i="26"/>
  <c r="BC343" i="26"/>
  <c r="BD343" i="26"/>
  <c r="BE343" i="26"/>
  <c r="BF343" i="26"/>
  <c r="AQ344" i="26"/>
  <c r="AR344" i="26"/>
  <c r="AM344" i="26" s="1"/>
  <c r="AS344" i="26"/>
  <c r="AN344" i="26" s="1"/>
  <c r="AX344" i="26"/>
  <c r="AY344" i="26"/>
  <c r="AZ344" i="26"/>
  <c r="BB344" i="26"/>
  <c r="BC344" i="26"/>
  <c r="BD344" i="26"/>
  <c r="BE344" i="26"/>
  <c r="BF344" i="26"/>
  <c r="AQ345" i="26"/>
  <c r="AR345" i="26"/>
  <c r="AM345" i="26" s="1"/>
  <c r="AS345" i="26"/>
  <c r="AN345" i="26" s="1"/>
  <c r="AX345" i="26"/>
  <c r="AY345" i="26"/>
  <c r="AZ345" i="26"/>
  <c r="BB345" i="26"/>
  <c r="BC345" i="26"/>
  <c r="BD345" i="26"/>
  <c r="BE345" i="26"/>
  <c r="BF345" i="26"/>
  <c r="AN346" i="26"/>
  <c r="AQ346" i="26"/>
  <c r="AR346" i="26"/>
  <c r="AM346" i="26" s="1"/>
  <c r="AS346" i="26"/>
  <c r="AX346" i="26"/>
  <c r="AY346" i="26"/>
  <c r="AZ346" i="26"/>
  <c r="BB346" i="26"/>
  <c r="BC346" i="26"/>
  <c r="BD346" i="26"/>
  <c r="BE346" i="26"/>
  <c r="BF346" i="26"/>
  <c r="AQ347" i="26"/>
  <c r="AR347" i="26"/>
  <c r="AM347" i="26" s="1"/>
  <c r="AS347" i="26"/>
  <c r="AN347" i="26" s="1"/>
  <c r="AX347" i="26"/>
  <c r="AY347" i="26"/>
  <c r="AZ347" i="26"/>
  <c r="BB347" i="26"/>
  <c r="BC347" i="26"/>
  <c r="BD347" i="26"/>
  <c r="BE347" i="26"/>
  <c r="BF347" i="26"/>
  <c r="AQ348" i="26"/>
  <c r="AR348" i="26"/>
  <c r="AM348" i="26" s="1"/>
  <c r="AS348" i="26"/>
  <c r="AN348" i="26" s="1"/>
  <c r="AX348" i="26"/>
  <c r="AY348" i="26"/>
  <c r="AZ348" i="26"/>
  <c r="BB348" i="26"/>
  <c r="BC348" i="26"/>
  <c r="BD348" i="26"/>
  <c r="BE348" i="26"/>
  <c r="BF348" i="26"/>
  <c r="AQ349" i="26"/>
  <c r="AR349" i="26"/>
  <c r="AM349" i="26" s="1"/>
  <c r="AS349" i="26"/>
  <c r="AN349" i="26" s="1"/>
  <c r="AX349" i="26"/>
  <c r="AY349" i="26"/>
  <c r="AZ349" i="26"/>
  <c r="BB349" i="26"/>
  <c r="BC349" i="26"/>
  <c r="BD349" i="26"/>
  <c r="BE349" i="26"/>
  <c r="BF349" i="26"/>
  <c r="AQ350" i="26"/>
  <c r="AR350" i="26"/>
  <c r="AM350" i="26" s="1"/>
  <c r="AS350" i="26"/>
  <c r="AN350" i="26" s="1"/>
  <c r="AX350" i="26"/>
  <c r="AY350" i="26"/>
  <c r="AZ350" i="26"/>
  <c r="BB350" i="26"/>
  <c r="BC350" i="26"/>
  <c r="BD350" i="26"/>
  <c r="BE350" i="26"/>
  <c r="BF350" i="26"/>
  <c r="AQ351" i="26"/>
  <c r="AR351" i="26"/>
  <c r="AM351" i="26" s="1"/>
  <c r="AS351" i="26"/>
  <c r="AN351" i="26" s="1"/>
  <c r="AX351" i="26"/>
  <c r="AY351" i="26"/>
  <c r="AZ351" i="26"/>
  <c r="BB351" i="26"/>
  <c r="BC351" i="26"/>
  <c r="BD351" i="26"/>
  <c r="BE351" i="26"/>
  <c r="BF351" i="26"/>
  <c r="AQ352" i="26"/>
  <c r="AR352" i="26"/>
  <c r="AM352" i="26" s="1"/>
  <c r="AS352" i="26"/>
  <c r="AN352" i="26" s="1"/>
  <c r="AX352" i="26"/>
  <c r="AY352" i="26"/>
  <c r="AZ352" i="26"/>
  <c r="BB352" i="26"/>
  <c r="BC352" i="26"/>
  <c r="BD352" i="26"/>
  <c r="BE352" i="26"/>
  <c r="BF352" i="26"/>
  <c r="AQ353" i="26"/>
  <c r="AR353" i="26"/>
  <c r="AM353" i="26" s="1"/>
  <c r="AS353" i="26"/>
  <c r="AN353" i="26" s="1"/>
  <c r="AX353" i="26"/>
  <c r="AY353" i="26"/>
  <c r="AZ353" i="26"/>
  <c r="BB353" i="26"/>
  <c r="BC353" i="26"/>
  <c r="BD353" i="26"/>
  <c r="BE353" i="26"/>
  <c r="BF353" i="26"/>
  <c r="AQ354" i="26"/>
  <c r="AR354" i="26"/>
  <c r="AM354" i="26" s="1"/>
  <c r="AS354" i="26"/>
  <c r="AN354" i="26" s="1"/>
  <c r="AX354" i="26"/>
  <c r="AY354" i="26"/>
  <c r="AZ354" i="26"/>
  <c r="BB354" i="26"/>
  <c r="BC354" i="26"/>
  <c r="BD354" i="26"/>
  <c r="BE354" i="26"/>
  <c r="BF354" i="26"/>
  <c r="AF355" i="26"/>
  <c r="AQ355" i="26"/>
  <c r="AR355" i="26"/>
  <c r="AM355" i="26" s="1"/>
  <c r="AS355" i="26"/>
  <c r="AN355" i="26" s="1"/>
  <c r="AX355" i="26"/>
  <c r="AY355" i="26"/>
  <c r="AZ355" i="26"/>
  <c r="BB355" i="26"/>
  <c r="BC355" i="26"/>
  <c r="BD355" i="26"/>
  <c r="BE355" i="26"/>
  <c r="BF355" i="26"/>
  <c r="AN356" i="26"/>
  <c r="AQ356" i="26"/>
  <c r="AR356" i="26"/>
  <c r="AM356" i="26" s="1"/>
  <c r="AS356" i="26"/>
  <c r="AX356" i="26"/>
  <c r="AY356" i="26"/>
  <c r="AZ356" i="26"/>
  <c r="BB356" i="26"/>
  <c r="BC356" i="26"/>
  <c r="BD356" i="26"/>
  <c r="BE356" i="26"/>
  <c r="BF356" i="26"/>
  <c r="AQ357" i="26"/>
  <c r="AR357" i="26"/>
  <c r="AM357" i="26" s="1"/>
  <c r="AS357" i="26"/>
  <c r="AN357" i="26" s="1"/>
  <c r="AX357" i="26"/>
  <c r="AY357" i="26"/>
  <c r="AZ357" i="26"/>
  <c r="BB357" i="26"/>
  <c r="BC357" i="26"/>
  <c r="BD357" i="26"/>
  <c r="BE357" i="26"/>
  <c r="BF357" i="26"/>
  <c r="AQ358" i="26"/>
  <c r="AR358" i="26"/>
  <c r="AM358" i="26" s="1"/>
  <c r="AS358" i="26"/>
  <c r="AN358" i="26" s="1"/>
  <c r="AX358" i="26"/>
  <c r="AY358" i="26"/>
  <c r="AZ358" i="26"/>
  <c r="BB358" i="26"/>
  <c r="BC358" i="26"/>
  <c r="BD358" i="26"/>
  <c r="BE358" i="26"/>
  <c r="BF358" i="26"/>
  <c r="AQ359" i="26"/>
  <c r="AR359" i="26"/>
  <c r="AM359" i="26" s="1"/>
  <c r="AS359" i="26"/>
  <c r="AN359" i="26" s="1"/>
  <c r="AX359" i="26"/>
  <c r="AY359" i="26"/>
  <c r="AZ359" i="26"/>
  <c r="BB359" i="26"/>
  <c r="BC359" i="26"/>
  <c r="BD359" i="26"/>
  <c r="BE359" i="26"/>
  <c r="BF359" i="26"/>
  <c r="AQ360" i="26"/>
  <c r="AR360" i="26"/>
  <c r="AM360" i="26" s="1"/>
  <c r="AS360" i="26"/>
  <c r="AN360" i="26" s="1"/>
  <c r="AX360" i="26"/>
  <c r="AY360" i="26"/>
  <c r="AZ360" i="26"/>
  <c r="BB360" i="26"/>
  <c r="BC360" i="26"/>
  <c r="BD360" i="26"/>
  <c r="BE360" i="26"/>
  <c r="BF360" i="26"/>
  <c r="AQ361" i="26"/>
  <c r="AR361" i="26"/>
  <c r="AM361" i="26" s="1"/>
  <c r="AS361" i="26"/>
  <c r="AN361" i="26" s="1"/>
  <c r="AX361" i="26"/>
  <c r="AY361" i="26"/>
  <c r="AZ361" i="26"/>
  <c r="BB361" i="26"/>
  <c r="BC361" i="26"/>
  <c r="BD361" i="26"/>
  <c r="BE361" i="26"/>
  <c r="BF361" i="26"/>
  <c r="AQ362" i="26"/>
  <c r="AR362" i="26"/>
  <c r="AM362" i="26" s="1"/>
  <c r="AS362" i="26"/>
  <c r="AN362" i="26" s="1"/>
  <c r="AX362" i="26"/>
  <c r="AY362" i="26"/>
  <c r="AZ362" i="26"/>
  <c r="BB362" i="26"/>
  <c r="BC362" i="26"/>
  <c r="BD362" i="26"/>
  <c r="BE362" i="26"/>
  <c r="BF362" i="26"/>
  <c r="AQ363" i="26"/>
  <c r="AR363" i="26"/>
  <c r="AM363" i="26" s="1"/>
  <c r="AS363" i="26"/>
  <c r="AN363" i="26" s="1"/>
  <c r="AX363" i="26"/>
  <c r="AY363" i="26"/>
  <c r="AZ363" i="26"/>
  <c r="BB363" i="26"/>
  <c r="BC363" i="26"/>
  <c r="BD363" i="26"/>
  <c r="BE363" i="26"/>
  <c r="BF363" i="26"/>
  <c r="AQ364" i="26"/>
  <c r="AR364" i="26"/>
  <c r="AM364" i="26" s="1"/>
  <c r="AS364" i="26"/>
  <c r="AN364" i="26" s="1"/>
  <c r="AX364" i="26"/>
  <c r="AY364" i="26"/>
  <c r="AZ364" i="26"/>
  <c r="BB364" i="26"/>
  <c r="BC364" i="26"/>
  <c r="BD364" i="26"/>
  <c r="BE364" i="26"/>
  <c r="BF364" i="26"/>
  <c r="AQ365" i="26"/>
  <c r="AR365" i="26"/>
  <c r="AM365" i="26" s="1"/>
  <c r="AS365" i="26"/>
  <c r="AN365" i="26" s="1"/>
  <c r="AX365" i="26"/>
  <c r="AY365" i="26"/>
  <c r="AZ365" i="26"/>
  <c r="BB365" i="26"/>
  <c r="BC365" i="26"/>
  <c r="BD365" i="26"/>
  <c r="BE365" i="26"/>
  <c r="BF365" i="26"/>
  <c r="AQ366" i="26"/>
  <c r="AR366" i="26"/>
  <c r="AM366" i="26" s="1"/>
  <c r="AS366" i="26"/>
  <c r="AN366" i="26" s="1"/>
  <c r="AX366" i="26"/>
  <c r="AY366" i="26"/>
  <c r="AZ366" i="26"/>
  <c r="BB366" i="26"/>
  <c r="BC366" i="26"/>
  <c r="BD366" i="26"/>
  <c r="BE366" i="26"/>
  <c r="BF366" i="26"/>
  <c r="AQ367" i="26"/>
  <c r="AR367" i="26"/>
  <c r="AM367" i="26" s="1"/>
  <c r="AS367" i="26"/>
  <c r="AN367" i="26" s="1"/>
  <c r="AX367" i="26"/>
  <c r="AY367" i="26"/>
  <c r="AZ367" i="26"/>
  <c r="BB367" i="26"/>
  <c r="BC367" i="26"/>
  <c r="BD367" i="26"/>
  <c r="BE367" i="26"/>
  <c r="BF367" i="26"/>
  <c r="AQ368" i="26"/>
  <c r="AR368" i="26"/>
  <c r="AM368" i="26" s="1"/>
  <c r="AS368" i="26"/>
  <c r="AN368" i="26" s="1"/>
  <c r="AX368" i="26"/>
  <c r="AY368" i="26"/>
  <c r="AZ368" i="26"/>
  <c r="BB368" i="26"/>
  <c r="BC368" i="26"/>
  <c r="BD368" i="26"/>
  <c r="BE368" i="26"/>
  <c r="BF368" i="26"/>
  <c r="AQ369" i="26"/>
  <c r="AR369" i="26"/>
  <c r="AM369" i="26" s="1"/>
  <c r="AS369" i="26"/>
  <c r="AN369" i="26" s="1"/>
  <c r="AX369" i="26"/>
  <c r="AY369" i="26"/>
  <c r="AZ369" i="26"/>
  <c r="BB369" i="26"/>
  <c r="BC369" i="26"/>
  <c r="BD369" i="26"/>
  <c r="BE369" i="26"/>
  <c r="BF369" i="26"/>
  <c r="AQ370" i="26"/>
  <c r="AR370" i="26"/>
  <c r="AM370" i="26" s="1"/>
  <c r="AS370" i="26"/>
  <c r="AN370" i="26" s="1"/>
  <c r="AX370" i="26"/>
  <c r="AY370" i="26"/>
  <c r="AZ370" i="26"/>
  <c r="BB370" i="26"/>
  <c r="BC370" i="26"/>
  <c r="BD370" i="26"/>
  <c r="BE370" i="26"/>
  <c r="BF370" i="26"/>
  <c r="AQ371" i="26"/>
  <c r="AR371" i="26"/>
  <c r="AM371" i="26" s="1"/>
  <c r="AS371" i="26"/>
  <c r="AN371" i="26" s="1"/>
  <c r="AX371" i="26"/>
  <c r="AY371" i="26"/>
  <c r="AZ371" i="26"/>
  <c r="BB371" i="26"/>
  <c r="BC371" i="26"/>
  <c r="BD371" i="26"/>
  <c r="BE371" i="26"/>
  <c r="BF371" i="26"/>
  <c r="AQ372" i="26"/>
  <c r="AR372" i="26"/>
  <c r="AM372" i="26" s="1"/>
  <c r="AS372" i="26"/>
  <c r="AN372" i="26" s="1"/>
  <c r="AX372" i="26"/>
  <c r="AY372" i="26"/>
  <c r="AZ372" i="26"/>
  <c r="BB372" i="26"/>
  <c r="BC372" i="26"/>
  <c r="BD372" i="26"/>
  <c r="BE372" i="26"/>
  <c r="BF372" i="26"/>
  <c r="AQ373" i="26"/>
  <c r="AR373" i="26"/>
  <c r="AM373" i="26" s="1"/>
  <c r="AS373" i="26"/>
  <c r="AN373" i="26" s="1"/>
  <c r="AX373" i="26"/>
  <c r="AY373" i="26"/>
  <c r="AZ373" i="26"/>
  <c r="BB373" i="26"/>
  <c r="BC373" i="26"/>
  <c r="BD373" i="26"/>
  <c r="BE373" i="26"/>
  <c r="BF373" i="26"/>
  <c r="AQ374" i="26"/>
  <c r="AR374" i="26"/>
  <c r="AM374" i="26" s="1"/>
  <c r="AS374" i="26"/>
  <c r="AN374" i="26" s="1"/>
  <c r="AX374" i="26"/>
  <c r="AY374" i="26"/>
  <c r="AZ374" i="26"/>
  <c r="BB374" i="26"/>
  <c r="BC374" i="26"/>
  <c r="BD374" i="26"/>
  <c r="BE374" i="26"/>
  <c r="BF374" i="26"/>
  <c r="AQ375" i="26"/>
  <c r="AR375" i="26"/>
  <c r="AM375" i="26" s="1"/>
  <c r="AS375" i="26"/>
  <c r="AN375" i="26" s="1"/>
  <c r="AX375" i="26"/>
  <c r="AY375" i="26"/>
  <c r="AZ375" i="26"/>
  <c r="BB375" i="26"/>
  <c r="BC375" i="26"/>
  <c r="BD375" i="26"/>
  <c r="BE375" i="26"/>
  <c r="BF375" i="26"/>
  <c r="AQ376" i="26"/>
  <c r="AR376" i="26"/>
  <c r="AM376" i="26" s="1"/>
  <c r="AS376" i="26"/>
  <c r="AN376" i="26" s="1"/>
  <c r="AX376" i="26"/>
  <c r="AY376" i="26"/>
  <c r="AZ376" i="26"/>
  <c r="BB376" i="26"/>
  <c r="BC376" i="26"/>
  <c r="BD376" i="26"/>
  <c r="BE376" i="26"/>
  <c r="BF376" i="26"/>
  <c r="AQ377" i="26"/>
  <c r="AR377" i="26"/>
  <c r="AM377" i="26" s="1"/>
  <c r="AS377" i="26"/>
  <c r="AN377" i="26" s="1"/>
  <c r="AX377" i="26"/>
  <c r="AY377" i="26"/>
  <c r="AZ377" i="26"/>
  <c r="BB377" i="26"/>
  <c r="BC377" i="26"/>
  <c r="BD377" i="26"/>
  <c r="BE377" i="26"/>
  <c r="BF377" i="26"/>
  <c r="AQ378" i="26"/>
  <c r="AR378" i="26"/>
  <c r="AM378" i="26" s="1"/>
  <c r="AS378" i="26"/>
  <c r="AN378" i="26" s="1"/>
  <c r="AX378" i="26"/>
  <c r="AY378" i="26"/>
  <c r="AZ378" i="26"/>
  <c r="BB378" i="26"/>
  <c r="BC378" i="26"/>
  <c r="BD378" i="26"/>
  <c r="BE378" i="26"/>
  <c r="BF378" i="26"/>
  <c r="AQ379" i="26"/>
  <c r="AR379" i="26"/>
  <c r="AM379" i="26" s="1"/>
  <c r="AS379" i="26"/>
  <c r="AN379" i="26" s="1"/>
  <c r="AX379" i="26"/>
  <c r="AY379" i="26"/>
  <c r="AZ379" i="26"/>
  <c r="BB379" i="26"/>
  <c r="BC379" i="26"/>
  <c r="BD379" i="26"/>
  <c r="BE379" i="26"/>
  <c r="BF379" i="26"/>
  <c r="AQ380" i="26"/>
  <c r="AR380" i="26"/>
  <c r="AM380" i="26" s="1"/>
  <c r="AS380" i="26"/>
  <c r="AN380" i="26" s="1"/>
  <c r="AX380" i="26"/>
  <c r="AY380" i="26"/>
  <c r="AZ380" i="26"/>
  <c r="BB380" i="26"/>
  <c r="BC380" i="26"/>
  <c r="BD380" i="26"/>
  <c r="BE380" i="26"/>
  <c r="BF380" i="26"/>
  <c r="AQ381" i="26"/>
  <c r="AR381" i="26"/>
  <c r="AM381" i="26" s="1"/>
  <c r="AS381" i="26"/>
  <c r="AN381" i="26" s="1"/>
  <c r="AX381" i="26"/>
  <c r="AY381" i="26"/>
  <c r="AZ381" i="26"/>
  <c r="BB381" i="26"/>
  <c r="BC381" i="26"/>
  <c r="BD381" i="26"/>
  <c r="BE381" i="26"/>
  <c r="BF381" i="26"/>
  <c r="AQ382" i="26"/>
  <c r="AR382" i="26"/>
  <c r="AM382" i="26" s="1"/>
  <c r="AS382" i="26"/>
  <c r="AN382" i="26" s="1"/>
  <c r="AX382" i="26"/>
  <c r="AY382" i="26"/>
  <c r="AZ382" i="26"/>
  <c r="BB382" i="26"/>
  <c r="BC382" i="26"/>
  <c r="BD382" i="26"/>
  <c r="BE382" i="26"/>
  <c r="BF382" i="26"/>
  <c r="AQ383" i="26"/>
  <c r="AR383" i="26"/>
  <c r="AM383" i="26" s="1"/>
  <c r="AS383" i="26"/>
  <c r="AN383" i="26" s="1"/>
  <c r="AX383" i="26"/>
  <c r="AY383" i="26"/>
  <c r="AZ383" i="26"/>
  <c r="BB383" i="26"/>
  <c r="BC383" i="26"/>
  <c r="BD383" i="26"/>
  <c r="BE383" i="26"/>
  <c r="BF383" i="26"/>
  <c r="AM384" i="26"/>
  <c r="AQ384" i="26"/>
  <c r="AR384" i="26"/>
  <c r="AS384" i="26"/>
  <c r="AN384" i="26" s="1"/>
  <c r="AX384" i="26"/>
  <c r="AY384" i="26"/>
  <c r="AZ384" i="26"/>
  <c r="BB384" i="26"/>
  <c r="BC384" i="26"/>
  <c r="BD384" i="26"/>
  <c r="BE384" i="26"/>
  <c r="BF384" i="26"/>
  <c r="AQ385" i="26"/>
  <c r="AR385" i="26"/>
  <c r="AM385" i="26" s="1"/>
  <c r="AS385" i="26"/>
  <c r="AN385" i="26" s="1"/>
  <c r="AX385" i="26"/>
  <c r="AY385" i="26"/>
  <c r="AZ385" i="26"/>
  <c r="BB385" i="26"/>
  <c r="BC385" i="26"/>
  <c r="BD385" i="26"/>
  <c r="BE385" i="26"/>
  <c r="BF385" i="26"/>
  <c r="AQ386" i="26"/>
  <c r="AR386" i="26"/>
  <c r="AM386" i="26" s="1"/>
  <c r="AS386" i="26"/>
  <c r="AN386" i="26" s="1"/>
  <c r="AX386" i="26"/>
  <c r="AY386" i="26"/>
  <c r="AZ386" i="26"/>
  <c r="BB386" i="26"/>
  <c r="BC386" i="26"/>
  <c r="BD386" i="26"/>
  <c r="BE386" i="26"/>
  <c r="BF386" i="26"/>
  <c r="AQ387" i="26"/>
  <c r="AR387" i="26"/>
  <c r="AM387" i="26" s="1"/>
  <c r="AS387" i="26"/>
  <c r="AN387" i="26" s="1"/>
  <c r="AX387" i="26"/>
  <c r="AY387" i="26"/>
  <c r="AZ387" i="26"/>
  <c r="BB387" i="26"/>
  <c r="BC387" i="26"/>
  <c r="BD387" i="26"/>
  <c r="BE387" i="26"/>
  <c r="BF387" i="26"/>
  <c r="AQ388" i="26"/>
  <c r="AR388" i="26"/>
  <c r="AM388" i="26" s="1"/>
  <c r="AS388" i="26"/>
  <c r="AN388" i="26" s="1"/>
  <c r="AX388" i="26"/>
  <c r="AY388" i="26"/>
  <c r="AZ388" i="26"/>
  <c r="BB388" i="26"/>
  <c r="BC388" i="26"/>
  <c r="BD388" i="26"/>
  <c r="BE388" i="26"/>
  <c r="BF388" i="26"/>
  <c r="AQ389" i="26"/>
  <c r="AR389" i="26"/>
  <c r="AM389" i="26" s="1"/>
  <c r="AS389" i="26"/>
  <c r="AN389" i="26" s="1"/>
  <c r="AX389" i="26"/>
  <c r="AY389" i="26"/>
  <c r="AZ389" i="26"/>
  <c r="BB389" i="26"/>
  <c r="BC389" i="26"/>
  <c r="BD389" i="26"/>
  <c r="BE389" i="26"/>
  <c r="BF389" i="26"/>
  <c r="AQ390" i="26"/>
  <c r="AR390" i="26"/>
  <c r="AM390" i="26" s="1"/>
  <c r="AS390" i="26"/>
  <c r="AN390" i="26" s="1"/>
  <c r="AX390" i="26"/>
  <c r="AY390" i="26"/>
  <c r="AZ390" i="26"/>
  <c r="BB390" i="26"/>
  <c r="BC390" i="26"/>
  <c r="BD390" i="26"/>
  <c r="BE390" i="26"/>
  <c r="BF390" i="26"/>
  <c r="AQ391" i="26"/>
  <c r="AR391" i="26"/>
  <c r="AM391" i="26" s="1"/>
  <c r="AS391" i="26"/>
  <c r="AN391" i="26" s="1"/>
  <c r="AX391" i="26"/>
  <c r="AY391" i="26"/>
  <c r="AZ391" i="26"/>
  <c r="BB391" i="26"/>
  <c r="BC391" i="26"/>
  <c r="BD391" i="26"/>
  <c r="BE391" i="26"/>
  <c r="BF391" i="26"/>
  <c r="AQ392" i="26"/>
  <c r="AR392" i="26"/>
  <c r="AM392" i="26" s="1"/>
  <c r="AS392" i="26"/>
  <c r="AN392" i="26" s="1"/>
  <c r="AX392" i="26"/>
  <c r="AY392" i="26"/>
  <c r="AZ392" i="26"/>
  <c r="BB392" i="26"/>
  <c r="BC392" i="26"/>
  <c r="BD392" i="26"/>
  <c r="BE392" i="26"/>
  <c r="BF392" i="26"/>
  <c r="AQ393" i="26"/>
  <c r="AR393" i="26"/>
  <c r="AM393" i="26" s="1"/>
  <c r="AS393" i="26"/>
  <c r="AN393" i="26" s="1"/>
  <c r="AX393" i="26"/>
  <c r="AY393" i="26"/>
  <c r="AZ393" i="26"/>
  <c r="BB393" i="26"/>
  <c r="BC393" i="26"/>
  <c r="BD393" i="26"/>
  <c r="BE393" i="26"/>
  <c r="BF393" i="26"/>
  <c r="AQ394" i="26"/>
  <c r="AR394" i="26"/>
  <c r="AM394" i="26" s="1"/>
  <c r="AS394" i="26"/>
  <c r="AN394" i="26" s="1"/>
  <c r="AX394" i="26"/>
  <c r="AY394" i="26"/>
  <c r="AZ394" i="26"/>
  <c r="BB394" i="26"/>
  <c r="BC394" i="26"/>
  <c r="BD394" i="26"/>
  <c r="BE394" i="26"/>
  <c r="BF394" i="26"/>
  <c r="AQ395" i="26"/>
  <c r="AR395" i="26"/>
  <c r="AM395" i="26" s="1"/>
  <c r="AS395" i="26"/>
  <c r="AN395" i="26" s="1"/>
  <c r="AX395" i="26"/>
  <c r="AY395" i="26"/>
  <c r="AZ395" i="26"/>
  <c r="BB395" i="26"/>
  <c r="BC395" i="26"/>
  <c r="BD395" i="26"/>
  <c r="BE395" i="26"/>
  <c r="BF395" i="26"/>
  <c r="AQ396" i="26"/>
  <c r="AR396" i="26"/>
  <c r="AM396" i="26" s="1"/>
  <c r="AS396" i="26"/>
  <c r="AN396" i="26" s="1"/>
  <c r="AX396" i="26"/>
  <c r="AY396" i="26"/>
  <c r="AZ396" i="26"/>
  <c r="BB396" i="26"/>
  <c r="BC396" i="26"/>
  <c r="BD396" i="26"/>
  <c r="BE396" i="26"/>
  <c r="BF396" i="26"/>
  <c r="AF397" i="26"/>
  <c r="AQ397" i="26"/>
  <c r="AR397" i="26"/>
  <c r="AM397" i="26" s="1"/>
  <c r="AS397" i="26"/>
  <c r="AN397" i="26" s="1"/>
  <c r="AX397" i="26"/>
  <c r="AY397" i="26"/>
  <c r="AZ397" i="26"/>
  <c r="BB397" i="26"/>
  <c r="BC397" i="26"/>
  <c r="BD397" i="26"/>
  <c r="BE397" i="26"/>
  <c r="BF397" i="26"/>
  <c r="AQ398" i="26"/>
  <c r="AR398" i="26"/>
  <c r="AM398" i="26" s="1"/>
  <c r="AS398" i="26"/>
  <c r="AN398" i="26" s="1"/>
  <c r="AX398" i="26"/>
  <c r="AY398" i="26"/>
  <c r="AZ398" i="26"/>
  <c r="BB398" i="26"/>
  <c r="BC398" i="26"/>
  <c r="BD398" i="26"/>
  <c r="BE398" i="26"/>
  <c r="BF398" i="26"/>
  <c r="AQ399" i="26"/>
  <c r="AR399" i="26"/>
  <c r="AM399" i="26" s="1"/>
  <c r="AS399" i="26"/>
  <c r="AN399" i="26" s="1"/>
  <c r="AX399" i="26"/>
  <c r="AY399" i="26"/>
  <c r="AZ399" i="26"/>
  <c r="BB399" i="26"/>
  <c r="BC399" i="26"/>
  <c r="BD399" i="26"/>
  <c r="BE399" i="26"/>
  <c r="BF399" i="26"/>
  <c r="AQ400" i="26"/>
  <c r="AR400" i="26"/>
  <c r="AM400" i="26" s="1"/>
  <c r="AS400" i="26"/>
  <c r="AN400" i="26" s="1"/>
  <c r="AX400" i="26"/>
  <c r="AY400" i="26"/>
  <c r="AZ400" i="26"/>
  <c r="BB400" i="26"/>
  <c r="BC400" i="26"/>
  <c r="BD400" i="26"/>
  <c r="BE400" i="26"/>
  <c r="BF400" i="26"/>
  <c r="AQ401" i="26"/>
  <c r="AR401" i="26"/>
  <c r="AM401" i="26" s="1"/>
  <c r="AS401" i="26"/>
  <c r="AN401" i="26" s="1"/>
  <c r="AX401" i="26"/>
  <c r="AY401" i="26"/>
  <c r="AZ401" i="26"/>
  <c r="BB401" i="26"/>
  <c r="BC401" i="26"/>
  <c r="BD401" i="26"/>
  <c r="BE401" i="26"/>
  <c r="BF401" i="26"/>
  <c r="AN402" i="26"/>
  <c r="AQ402" i="26"/>
  <c r="AR402" i="26"/>
  <c r="AM402" i="26" s="1"/>
  <c r="AS402" i="26"/>
  <c r="AX402" i="26"/>
  <c r="AY402" i="26"/>
  <c r="AZ402" i="26"/>
  <c r="BB402" i="26"/>
  <c r="BC402" i="26"/>
  <c r="BD402" i="26"/>
  <c r="BE402" i="26"/>
  <c r="BF402" i="26"/>
  <c r="AQ403" i="26"/>
  <c r="AR403" i="26"/>
  <c r="AM403" i="26" s="1"/>
  <c r="AS403" i="26"/>
  <c r="AN403" i="26" s="1"/>
  <c r="AX403" i="26"/>
  <c r="AY403" i="26"/>
  <c r="AZ403" i="26"/>
  <c r="BB403" i="26"/>
  <c r="BC403" i="26"/>
  <c r="BD403" i="26"/>
  <c r="BE403" i="26"/>
  <c r="BF403" i="26"/>
  <c r="AQ404" i="26"/>
  <c r="AR404" i="26"/>
  <c r="AM404" i="26" s="1"/>
  <c r="AS404" i="26"/>
  <c r="AN404" i="26" s="1"/>
  <c r="AX404" i="26"/>
  <c r="AY404" i="26"/>
  <c r="AZ404" i="26"/>
  <c r="BB404" i="26"/>
  <c r="BC404" i="26"/>
  <c r="BD404" i="26"/>
  <c r="BE404" i="26"/>
  <c r="BF404" i="26"/>
  <c r="AQ405" i="26"/>
  <c r="AR405" i="26"/>
  <c r="AM405" i="26" s="1"/>
  <c r="AS405" i="26"/>
  <c r="AN405" i="26" s="1"/>
  <c r="AX405" i="26"/>
  <c r="AY405" i="26"/>
  <c r="AZ405" i="26"/>
  <c r="BB405" i="26"/>
  <c r="BC405" i="26"/>
  <c r="BD405" i="26"/>
  <c r="BE405" i="26"/>
  <c r="BF405" i="26"/>
  <c r="AM406" i="26"/>
  <c r="AQ406" i="26"/>
  <c r="AR406" i="26"/>
  <c r="AS406" i="26"/>
  <c r="AN406" i="26" s="1"/>
  <c r="AX406" i="26"/>
  <c r="AY406" i="26"/>
  <c r="AZ406" i="26"/>
  <c r="BB406" i="26"/>
  <c r="BC406" i="26"/>
  <c r="BD406" i="26"/>
  <c r="BE406" i="26"/>
  <c r="BF406" i="26"/>
  <c r="AQ407" i="26"/>
  <c r="AR407" i="26"/>
  <c r="AM407" i="26" s="1"/>
  <c r="AS407" i="26"/>
  <c r="AN407" i="26" s="1"/>
  <c r="AX407" i="26"/>
  <c r="AY407" i="26"/>
  <c r="AZ407" i="26"/>
  <c r="BB407" i="26"/>
  <c r="BC407" i="26"/>
  <c r="BD407" i="26"/>
  <c r="BE407" i="26"/>
  <c r="BF407" i="26"/>
  <c r="AQ408" i="26"/>
  <c r="AR408" i="26"/>
  <c r="AM408" i="26" s="1"/>
  <c r="AS408" i="26"/>
  <c r="AN408" i="26" s="1"/>
  <c r="AX408" i="26"/>
  <c r="AY408" i="26"/>
  <c r="AZ408" i="26"/>
  <c r="BB408" i="26"/>
  <c r="BC408" i="26"/>
  <c r="BD408" i="26"/>
  <c r="BE408" i="26"/>
  <c r="BF408" i="26"/>
  <c r="AQ409" i="26"/>
  <c r="AR409" i="26"/>
  <c r="AM409" i="26" s="1"/>
  <c r="AS409" i="26"/>
  <c r="AN409" i="26" s="1"/>
  <c r="AX409" i="26"/>
  <c r="AY409" i="26"/>
  <c r="AZ409" i="26"/>
  <c r="BB409" i="26"/>
  <c r="BC409" i="26"/>
  <c r="BD409" i="26"/>
  <c r="BE409" i="26"/>
  <c r="BF409" i="26"/>
  <c r="AQ410" i="26"/>
  <c r="AR410" i="26"/>
  <c r="AM410" i="26" s="1"/>
  <c r="AS410" i="26"/>
  <c r="AN410" i="26" s="1"/>
  <c r="AX410" i="26"/>
  <c r="AY410" i="26"/>
  <c r="AZ410" i="26"/>
  <c r="BB410" i="26"/>
  <c r="BC410" i="26"/>
  <c r="BD410" i="26"/>
  <c r="BE410" i="26"/>
  <c r="BF410" i="26"/>
  <c r="AQ411" i="26"/>
  <c r="AR411" i="26"/>
  <c r="AM411" i="26" s="1"/>
  <c r="AS411" i="26"/>
  <c r="AN411" i="26" s="1"/>
  <c r="AX411" i="26"/>
  <c r="AY411" i="26"/>
  <c r="AZ411" i="26"/>
  <c r="BB411" i="26"/>
  <c r="BC411" i="26"/>
  <c r="BD411" i="26"/>
  <c r="BE411" i="26"/>
  <c r="BF411" i="26"/>
  <c r="AN412" i="26"/>
  <c r="AQ412" i="26"/>
  <c r="AR412" i="26"/>
  <c r="AM412" i="26" s="1"/>
  <c r="AS412" i="26"/>
  <c r="AX412" i="26"/>
  <c r="AY412" i="26"/>
  <c r="AZ412" i="26"/>
  <c r="BB412" i="26"/>
  <c r="BC412" i="26"/>
  <c r="BD412" i="26"/>
  <c r="BE412" i="26"/>
  <c r="BF412" i="26"/>
  <c r="AQ413" i="26"/>
  <c r="AR413" i="26"/>
  <c r="AM413" i="26" s="1"/>
  <c r="AS413" i="26"/>
  <c r="AN413" i="26" s="1"/>
  <c r="AX413" i="26"/>
  <c r="AY413" i="26"/>
  <c r="AZ413" i="26"/>
  <c r="BB413" i="26"/>
  <c r="BC413" i="26"/>
  <c r="BD413" i="26"/>
  <c r="BE413" i="26"/>
  <c r="BF413" i="26"/>
  <c r="AQ414" i="26"/>
  <c r="AR414" i="26"/>
  <c r="AM414" i="26" s="1"/>
  <c r="AS414" i="26"/>
  <c r="AN414" i="26" s="1"/>
  <c r="AX414" i="26"/>
  <c r="AY414" i="26"/>
  <c r="AZ414" i="26"/>
  <c r="BB414" i="26"/>
  <c r="BC414" i="26"/>
  <c r="BD414" i="26"/>
  <c r="BE414" i="26"/>
  <c r="BF414" i="26"/>
  <c r="AQ415" i="26"/>
  <c r="AR415" i="26"/>
  <c r="AM415" i="26" s="1"/>
  <c r="AS415" i="26"/>
  <c r="AN415" i="26" s="1"/>
  <c r="AX415" i="26"/>
  <c r="AY415" i="26"/>
  <c r="AZ415" i="26"/>
  <c r="BB415" i="26"/>
  <c r="BC415" i="26"/>
  <c r="BD415" i="26"/>
  <c r="BE415" i="26"/>
  <c r="BF415" i="26"/>
  <c r="AQ416" i="26"/>
  <c r="AR416" i="26"/>
  <c r="AM416" i="26" s="1"/>
  <c r="AS416" i="26"/>
  <c r="AN416" i="26" s="1"/>
  <c r="AX416" i="26"/>
  <c r="AY416" i="26"/>
  <c r="AZ416" i="26"/>
  <c r="BB416" i="26"/>
  <c r="BC416" i="26"/>
  <c r="BD416" i="26"/>
  <c r="BE416" i="26"/>
  <c r="BF416" i="26"/>
  <c r="AQ417" i="26"/>
  <c r="AR417" i="26"/>
  <c r="AM417" i="26" s="1"/>
  <c r="AS417" i="26"/>
  <c r="AN417" i="26" s="1"/>
  <c r="AX417" i="26"/>
  <c r="AY417" i="26"/>
  <c r="AZ417" i="26"/>
  <c r="BB417" i="26"/>
  <c r="BC417" i="26"/>
  <c r="BD417" i="26"/>
  <c r="BE417" i="26"/>
  <c r="AL417" i="26" s="1"/>
  <c r="BF417" i="26"/>
  <c r="AQ418" i="26"/>
  <c r="AR418" i="26"/>
  <c r="AM418" i="26" s="1"/>
  <c r="AS418" i="26"/>
  <c r="AN418" i="26" s="1"/>
  <c r="AX418" i="26"/>
  <c r="AY418" i="26"/>
  <c r="AZ418" i="26"/>
  <c r="BB418" i="26"/>
  <c r="BC418" i="26"/>
  <c r="BD418" i="26"/>
  <c r="BE418" i="26"/>
  <c r="BF418" i="26"/>
  <c r="AQ419" i="26"/>
  <c r="AR419" i="26"/>
  <c r="AM419" i="26" s="1"/>
  <c r="AS419" i="26"/>
  <c r="AN419" i="26" s="1"/>
  <c r="AX419" i="26"/>
  <c r="AY419" i="26"/>
  <c r="AZ419" i="26"/>
  <c r="BB419" i="26"/>
  <c r="BC419" i="26"/>
  <c r="BD419" i="26"/>
  <c r="BE419" i="26"/>
  <c r="BF419" i="26"/>
  <c r="AQ420" i="26"/>
  <c r="AR420" i="26"/>
  <c r="AM420" i="26" s="1"/>
  <c r="AS420" i="26"/>
  <c r="AN420" i="26" s="1"/>
  <c r="AX420" i="26"/>
  <c r="AY420" i="26"/>
  <c r="AZ420" i="26"/>
  <c r="BB420" i="26"/>
  <c r="BC420" i="26"/>
  <c r="BD420" i="26"/>
  <c r="BE420" i="26"/>
  <c r="BF420" i="26"/>
  <c r="AQ421" i="26"/>
  <c r="AR421" i="26"/>
  <c r="AM421" i="26" s="1"/>
  <c r="AS421" i="26"/>
  <c r="AN421" i="26" s="1"/>
  <c r="AX421" i="26"/>
  <c r="AY421" i="26"/>
  <c r="AZ421" i="26"/>
  <c r="BB421" i="26"/>
  <c r="BC421" i="26"/>
  <c r="BD421" i="26"/>
  <c r="BE421" i="26"/>
  <c r="BF421" i="26"/>
  <c r="AQ422" i="26"/>
  <c r="AR422" i="26"/>
  <c r="AM422" i="26" s="1"/>
  <c r="AS422" i="26"/>
  <c r="AN422" i="26" s="1"/>
  <c r="AX422" i="26"/>
  <c r="AY422" i="26"/>
  <c r="AZ422" i="26"/>
  <c r="BB422" i="26"/>
  <c r="BC422" i="26"/>
  <c r="BD422" i="26"/>
  <c r="BE422" i="26"/>
  <c r="BF422" i="26"/>
  <c r="AQ423" i="26"/>
  <c r="AR423" i="26"/>
  <c r="AM423" i="26" s="1"/>
  <c r="AS423" i="26"/>
  <c r="AN423" i="26" s="1"/>
  <c r="AX423" i="26"/>
  <c r="AY423" i="26"/>
  <c r="AZ423" i="26"/>
  <c r="BB423" i="26"/>
  <c r="BC423" i="26"/>
  <c r="BD423" i="26"/>
  <c r="BE423" i="26"/>
  <c r="BF423" i="26"/>
  <c r="AQ424" i="26"/>
  <c r="AR424" i="26"/>
  <c r="AM424" i="26" s="1"/>
  <c r="AS424" i="26"/>
  <c r="AN424" i="26" s="1"/>
  <c r="AX424" i="26"/>
  <c r="AY424" i="26"/>
  <c r="AZ424" i="26"/>
  <c r="BB424" i="26"/>
  <c r="BC424" i="26"/>
  <c r="BD424" i="26"/>
  <c r="BE424" i="26"/>
  <c r="BF424" i="26"/>
  <c r="AQ425" i="26"/>
  <c r="AR425" i="26"/>
  <c r="AM425" i="26" s="1"/>
  <c r="AS425" i="26"/>
  <c r="AN425" i="26" s="1"/>
  <c r="AX425" i="26"/>
  <c r="AY425" i="26"/>
  <c r="AZ425" i="26"/>
  <c r="BB425" i="26"/>
  <c r="BC425" i="26"/>
  <c r="BD425" i="26"/>
  <c r="BE425" i="26"/>
  <c r="BF425" i="26"/>
  <c r="AQ426" i="26"/>
  <c r="AR426" i="26"/>
  <c r="AM426" i="26" s="1"/>
  <c r="AS426" i="26"/>
  <c r="AN426" i="26" s="1"/>
  <c r="AX426" i="26"/>
  <c r="AY426" i="26"/>
  <c r="AZ426" i="26"/>
  <c r="BB426" i="26"/>
  <c r="BC426" i="26"/>
  <c r="BD426" i="26"/>
  <c r="BE426" i="26"/>
  <c r="BF426" i="26"/>
  <c r="AQ427" i="26"/>
  <c r="AR427" i="26"/>
  <c r="AM427" i="26" s="1"/>
  <c r="AS427" i="26"/>
  <c r="AN427" i="26" s="1"/>
  <c r="AX427" i="26"/>
  <c r="AY427" i="26"/>
  <c r="AZ427" i="26"/>
  <c r="BB427" i="26"/>
  <c r="BC427" i="26"/>
  <c r="BD427" i="26"/>
  <c r="BE427" i="26"/>
  <c r="BF427" i="26"/>
  <c r="AQ428" i="26"/>
  <c r="AR428" i="26"/>
  <c r="AM428" i="26" s="1"/>
  <c r="AS428" i="26"/>
  <c r="AN428" i="26" s="1"/>
  <c r="AX428" i="26"/>
  <c r="AY428" i="26"/>
  <c r="AZ428" i="26"/>
  <c r="BB428" i="26"/>
  <c r="BC428" i="26"/>
  <c r="BD428" i="26"/>
  <c r="BE428" i="26"/>
  <c r="BF428" i="26"/>
  <c r="AQ429" i="26"/>
  <c r="AR429" i="26"/>
  <c r="AM429" i="26" s="1"/>
  <c r="AS429" i="26"/>
  <c r="AN429" i="26" s="1"/>
  <c r="AX429" i="26"/>
  <c r="AY429" i="26"/>
  <c r="AZ429" i="26"/>
  <c r="BB429" i="26"/>
  <c r="BC429" i="26"/>
  <c r="BD429" i="26"/>
  <c r="BE429" i="26"/>
  <c r="BF429" i="26"/>
  <c r="AQ430" i="26"/>
  <c r="AR430" i="26"/>
  <c r="AM430" i="26" s="1"/>
  <c r="AS430" i="26"/>
  <c r="AN430" i="26" s="1"/>
  <c r="AX430" i="26"/>
  <c r="AY430" i="26"/>
  <c r="AZ430" i="26"/>
  <c r="BB430" i="26"/>
  <c r="BC430" i="26"/>
  <c r="BD430" i="26"/>
  <c r="BE430" i="26"/>
  <c r="BF430" i="26"/>
  <c r="AQ431" i="26"/>
  <c r="AR431" i="26"/>
  <c r="AM431" i="26" s="1"/>
  <c r="AS431" i="26"/>
  <c r="AN431" i="26" s="1"/>
  <c r="AX431" i="26"/>
  <c r="AY431" i="26"/>
  <c r="AZ431" i="26"/>
  <c r="BB431" i="26"/>
  <c r="BC431" i="26"/>
  <c r="BD431" i="26"/>
  <c r="BE431" i="26"/>
  <c r="BF431" i="26"/>
  <c r="AQ432" i="26"/>
  <c r="AR432" i="26"/>
  <c r="AM432" i="26" s="1"/>
  <c r="AS432" i="26"/>
  <c r="AN432" i="26" s="1"/>
  <c r="AX432" i="26"/>
  <c r="AY432" i="26"/>
  <c r="AZ432" i="26"/>
  <c r="BB432" i="26"/>
  <c r="BC432" i="26"/>
  <c r="BD432" i="26"/>
  <c r="BE432" i="26"/>
  <c r="BF432" i="26"/>
  <c r="AQ433" i="26"/>
  <c r="AR433" i="26"/>
  <c r="AM433" i="26" s="1"/>
  <c r="AS433" i="26"/>
  <c r="AN433" i="26" s="1"/>
  <c r="AX433" i="26"/>
  <c r="AY433" i="26"/>
  <c r="AZ433" i="26"/>
  <c r="BB433" i="26"/>
  <c r="BC433" i="26"/>
  <c r="BD433" i="26"/>
  <c r="BE433" i="26"/>
  <c r="BF433" i="26"/>
  <c r="AQ434" i="26"/>
  <c r="AR434" i="26"/>
  <c r="AM434" i="26" s="1"/>
  <c r="AS434" i="26"/>
  <c r="AN434" i="26" s="1"/>
  <c r="AX434" i="26"/>
  <c r="AY434" i="26"/>
  <c r="AZ434" i="26"/>
  <c r="BB434" i="26"/>
  <c r="BC434" i="26"/>
  <c r="BD434" i="26"/>
  <c r="BE434" i="26"/>
  <c r="BF434" i="26"/>
  <c r="AQ435" i="26"/>
  <c r="AR435" i="26"/>
  <c r="AM435" i="26" s="1"/>
  <c r="AS435" i="26"/>
  <c r="AN435" i="26" s="1"/>
  <c r="AX435" i="26"/>
  <c r="AY435" i="26"/>
  <c r="AZ435" i="26"/>
  <c r="BB435" i="26"/>
  <c r="BC435" i="26"/>
  <c r="BD435" i="26"/>
  <c r="BE435" i="26"/>
  <c r="BF435" i="26"/>
  <c r="AQ436" i="26"/>
  <c r="AR436" i="26"/>
  <c r="AM436" i="26" s="1"/>
  <c r="AS436" i="26"/>
  <c r="AN436" i="26" s="1"/>
  <c r="AX436" i="26"/>
  <c r="AY436" i="26"/>
  <c r="AZ436" i="26"/>
  <c r="BB436" i="26"/>
  <c r="BC436" i="26"/>
  <c r="BD436" i="26"/>
  <c r="BE436" i="26"/>
  <c r="BF436" i="26"/>
  <c r="AQ437" i="26"/>
  <c r="AR437" i="26"/>
  <c r="AM437" i="26" s="1"/>
  <c r="AS437" i="26"/>
  <c r="AN437" i="26" s="1"/>
  <c r="AX437" i="26"/>
  <c r="AY437" i="26"/>
  <c r="AZ437" i="26"/>
  <c r="BB437" i="26"/>
  <c r="BC437" i="26"/>
  <c r="BD437" i="26"/>
  <c r="BE437" i="26"/>
  <c r="BF437" i="26"/>
  <c r="AQ438" i="26"/>
  <c r="AR438" i="26"/>
  <c r="AM438" i="26" s="1"/>
  <c r="AS438" i="26"/>
  <c r="AN438" i="26" s="1"/>
  <c r="AX438" i="26"/>
  <c r="AY438" i="26"/>
  <c r="AZ438" i="26"/>
  <c r="BB438" i="26"/>
  <c r="BC438" i="26"/>
  <c r="BD438" i="26"/>
  <c r="BE438" i="26"/>
  <c r="BF438" i="26"/>
  <c r="AQ439" i="26"/>
  <c r="AR439" i="26"/>
  <c r="AM439" i="26" s="1"/>
  <c r="AS439" i="26"/>
  <c r="AN439" i="26" s="1"/>
  <c r="AX439" i="26"/>
  <c r="AY439" i="26"/>
  <c r="AZ439" i="26"/>
  <c r="BB439" i="26"/>
  <c r="BC439" i="26"/>
  <c r="BD439" i="26"/>
  <c r="BE439" i="26"/>
  <c r="BF439" i="26"/>
  <c r="AQ440" i="26"/>
  <c r="AR440" i="26"/>
  <c r="AM440" i="26" s="1"/>
  <c r="AS440" i="26"/>
  <c r="AN440" i="26" s="1"/>
  <c r="AX440" i="26"/>
  <c r="AY440" i="26"/>
  <c r="AZ440" i="26"/>
  <c r="BB440" i="26"/>
  <c r="BC440" i="26"/>
  <c r="BD440" i="26"/>
  <c r="BE440" i="26"/>
  <c r="BF440" i="26"/>
  <c r="AQ441" i="26"/>
  <c r="AR441" i="26"/>
  <c r="AM441" i="26" s="1"/>
  <c r="AS441" i="26"/>
  <c r="AN441" i="26" s="1"/>
  <c r="AX441" i="26"/>
  <c r="AY441" i="26"/>
  <c r="AZ441" i="26"/>
  <c r="BB441" i="26"/>
  <c r="BC441" i="26"/>
  <c r="BD441" i="26"/>
  <c r="BE441" i="26"/>
  <c r="BF441" i="26"/>
  <c r="AQ442" i="26"/>
  <c r="AR442" i="26"/>
  <c r="AM442" i="26" s="1"/>
  <c r="AS442" i="26"/>
  <c r="AN442" i="26" s="1"/>
  <c r="AX442" i="26"/>
  <c r="AY442" i="26"/>
  <c r="AZ442" i="26"/>
  <c r="BB442" i="26"/>
  <c r="BC442" i="26"/>
  <c r="BD442" i="26"/>
  <c r="BE442" i="26"/>
  <c r="BF442" i="26"/>
  <c r="AQ443" i="26"/>
  <c r="AR443" i="26"/>
  <c r="AM443" i="26" s="1"/>
  <c r="AS443" i="26"/>
  <c r="AN443" i="26" s="1"/>
  <c r="AX443" i="26"/>
  <c r="AY443" i="26"/>
  <c r="AZ443" i="26"/>
  <c r="BB443" i="26"/>
  <c r="BC443" i="26"/>
  <c r="BD443" i="26"/>
  <c r="BE443" i="26"/>
  <c r="BF443" i="26"/>
  <c r="AQ444" i="26"/>
  <c r="AR444" i="26"/>
  <c r="AM444" i="26" s="1"/>
  <c r="AS444" i="26"/>
  <c r="AN444" i="26" s="1"/>
  <c r="AX444" i="26"/>
  <c r="AY444" i="26"/>
  <c r="AZ444" i="26"/>
  <c r="BB444" i="26"/>
  <c r="BC444" i="26"/>
  <c r="BD444" i="26"/>
  <c r="BE444" i="26"/>
  <c r="BF444" i="26"/>
  <c r="AQ445" i="26"/>
  <c r="AR445" i="26"/>
  <c r="AM445" i="26" s="1"/>
  <c r="AS445" i="26"/>
  <c r="AN445" i="26" s="1"/>
  <c r="AX445" i="26"/>
  <c r="AY445" i="26"/>
  <c r="AZ445" i="26"/>
  <c r="BB445" i="26"/>
  <c r="BC445" i="26"/>
  <c r="BD445" i="26"/>
  <c r="BE445" i="26"/>
  <c r="BF445" i="26"/>
  <c r="AQ446" i="26"/>
  <c r="AR446" i="26"/>
  <c r="AM446" i="26" s="1"/>
  <c r="AS446" i="26"/>
  <c r="AN446" i="26" s="1"/>
  <c r="AX446" i="26"/>
  <c r="AY446" i="26"/>
  <c r="AZ446" i="26"/>
  <c r="BB446" i="26"/>
  <c r="BC446" i="26"/>
  <c r="BD446" i="26"/>
  <c r="BE446" i="26"/>
  <c r="BF446" i="26"/>
  <c r="AQ447" i="26"/>
  <c r="AR447" i="26"/>
  <c r="AM447" i="26" s="1"/>
  <c r="AS447" i="26"/>
  <c r="AN447" i="26" s="1"/>
  <c r="AX447" i="26"/>
  <c r="AY447" i="26"/>
  <c r="AZ447" i="26"/>
  <c r="BB447" i="26"/>
  <c r="BC447" i="26"/>
  <c r="BD447" i="26"/>
  <c r="BE447" i="26"/>
  <c r="BF447" i="26"/>
  <c r="AN448" i="26"/>
  <c r="AQ448" i="26"/>
  <c r="AR448" i="26"/>
  <c r="AM448" i="26" s="1"/>
  <c r="AS448" i="26"/>
  <c r="AX448" i="26"/>
  <c r="AY448" i="26"/>
  <c r="AZ448" i="26"/>
  <c r="BB448" i="26"/>
  <c r="BC448" i="26"/>
  <c r="BD448" i="26"/>
  <c r="BE448" i="26"/>
  <c r="BF448" i="26"/>
  <c r="AN449" i="26"/>
  <c r="AQ449" i="26"/>
  <c r="AR449" i="26"/>
  <c r="AM449" i="26" s="1"/>
  <c r="AS449" i="26"/>
  <c r="AX449" i="26"/>
  <c r="AY449" i="26"/>
  <c r="AZ449" i="26"/>
  <c r="BB449" i="26"/>
  <c r="BC449" i="26"/>
  <c r="BD449" i="26"/>
  <c r="BE449" i="26"/>
  <c r="BF449" i="26"/>
  <c r="AQ450" i="26"/>
  <c r="AR450" i="26"/>
  <c r="AM450" i="26" s="1"/>
  <c r="AS450" i="26"/>
  <c r="AN450" i="26" s="1"/>
  <c r="AX450" i="26"/>
  <c r="AY450" i="26"/>
  <c r="AZ450" i="26"/>
  <c r="BB450" i="26"/>
  <c r="BC450" i="26"/>
  <c r="BD450" i="26"/>
  <c r="BE450" i="26"/>
  <c r="BF450" i="26"/>
  <c r="AQ451" i="26"/>
  <c r="AR451" i="26"/>
  <c r="AM451" i="26" s="1"/>
  <c r="AS451" i="26"/>
  <c r="AN451" i="26" s="1"/>
  <c r="AX451" i="26"/>
  <c r="AY451" i="26"/>
  <c r="AZ451" i="26"/>
  <c r="BB451" i="26"/>
  <c r="BC451" i="26"/>
  <c r="BD451" i="26"/>
  <c r="BE451" i="26"/>
  <c r="BF451" i="26"/>
  <c r="AQ452" i="26"/>
  <c r="AR452" i="26"/>
  <c r="AM452" i="26" s="1"/>
  <c r="AS452" i="26"/>
  <c r="AN452" i="26" s="1"/>
  <c r="AX452" i="26"/>
  <c r="AY452" i="26"/>
  <c r="AZ452" i="26"/>
  <c r="BB452" i="26"/>
  <c r="BC452" i="26"/>
  <c r="BD452" i="26"/>
  <c r="BE452" i="26"/>
  <c r="BF452" i="26"/>
  <c r="AQ453" i="26"/>
  <c r="AR453" i="26"/>
  <c r="AM453" i="26" s="1"/>
  <c r="AS453" i="26"/>
  <c r="AN453" i="26" s="1"/>
  <c r="AX453" i="26"/>
  <c r="AY453" i="26"/>
  <c r="AZ453" i="26"/>
  <c r="BB453" i="26"/>
  <c r="BC453" i="26"/>
  <c r="BD453" i="26"/>
  <c r="BE453" i="26"/>
  <c r="BF453" i="26"/>
  <c r="AQ454" i="26"/>
  <c r="AR454" i="26"/>
  <c r="AM454" i="26" s="1"/>
  <c r="AS454" i="26"/>
  <c r="AN454" i="26" s="1"/>
  <c r="AX454" i="26"/>
  <c r="AY454" i="26"/>
  <c r="AZ454" i="26"/>
  <c r="BB454" i="26"/>
  <c r="BC454" i="26"/>
  <c r="BD454" i="26"/>
  <c r="BE454" i="26"/>
  <c r="BF454" i="26"/>
  <c r="AQ455" i="26"/>
  <c r="AR455" i="26"/>
  <c r="AM455" i="26" s="1"/>
  <c r="AS455" i="26"/>
  <c r="AN455" i="26" s="1"/>
  <c r="AX455" i="26"/>
  <c r="AY455" i="26"/>
  <c r="AZ455" i="26"/>
  <c r="BB455" i="26"/>
  <c r="BC455" i="26"/>
  <c r="BD455" i="26"/>
  <c r="BE455" i="26"/>
  <c r="BF455" i="26"/>
  <c r="AQ456" i="26"/>
  <c r="AR456" i="26"/>
  <c r="AM456" i="26" s="1"/>
  <c r="AS456" i="26"/>
  <c r="AN456" i="26" s="1"/>
  <c r="AX456" i="26"/>
  <c r="AY456" i="26"/>
  <c r="AZ456" i="26"/>
  <c r="BB456" i="26"/>
  <c r="BC456" i="26"/>
  <c r="BD456" i="26"/>
  <c r="BE456" i="26"/>
  <c r="BF456" i="26"/>
  <c r="AN457" i="26"/>
  <c r="AQ457" i="26"/>
  <c r="AR457" i="26"/>
  <c r="AM457" i="26" s="1"/>
  <c r="AS457" i="26"/>
  <c r="AX457" i="26"/>
  <c r="AY457" i="26"/>
  <c r="AZ457" i="26"/>
  <c r="BB457" i="26"/>
  <c r="BC457" i="26"/>
  <c r="BD457" i="26"/>
  <c r="BE457" i="26"/>
  <c r="BF457" i="26"/>
  <c r="AQ458" i="26"/>
  <c r="AR458" i="26"/>
  <c r="AM458" i="26" s="1"/>
  <c r="AS458" i="26"/>
  <c r="AN458" i="26" s="1"/>
  <c r="AX458" i="26"/>
  <c r="AY458" i="26"/>
  <c r="AZ458" i="26"/>
  <c r="BB458" i="26"/>
  <c r="BC458" i="26"/>
  <c r="BD458" i="26"/>
  <c r="BE458" i="26"/>
  <c r="BF458" i="26"/>
  <c r="AQ459" i="26"/>
  <c r="AR459" i="26"/>
  <c r="AM459" i="26" s="1"/>
  <c r="AS459" i="26"/>
  <c r="AN459" i="26" s="1"/>
  <c r="AX459" i="26"/>
  <c r="AY459" i="26"/>
  <c r="AZ459" i="26"/>
  <c r="BB459" i="26"/>
  <c r="BC459" i="26"/>
  <c r="BD459" i="26"/>
  <c r="BE459" i="26"/>
  <c r="BF459" i="26"/>
  <c r="AQ460" i="26"/>
  <c r="AR460" i="26"/>
  <c r="AM460" i="26" s="1"/>
  <c r="AS460" i="26"/>
  <c r="AN460" i="26" s="1"/>
  <c r="AX460" i="26"/>
  <c r="AY460" i="26"/>
  <c r="AZ460" i="26"/>
  <c r="BB460" i="26"/>
  <c r="BC460" i="26"/>
  <c r="BD460" i="26"/>
  <c r="BE460" i="26"/>
  <c r="BF460" i="26"/>
  <c r="AQ461" i="26"/>
  <c r="AR461" i="26"/>
  <c r="AM461" i="26" s="1"/>
  <c r="AS461" i="26"/>
  <c r="AN461" i="26" s="1"/>
  <c r="AX461" i="26"/>
  <c r="AY461" i="26"/>
  <c r="AZ461" i="26"/>
  <c r="BB461" i="26"/>
  <c r="BC461" i="26"/>
  <c r="BD461" i="26"/>
  <c r="BE461" i="26"/>
  <c r="BF461" i="26"/>
  <c r="AN462" i="26"/>
  <c r="AQ462" i="26"/>
  <c r="AR462" i="26"/>
  <c r="AM462" i="26" s="1"/>
  <c r="AS462" i="26"/>
  <c r="AX462" i="26"/>
  <c r="AY462" i="26"/>
  <c r="AZ462" i="26"/>
  <c r="BB462" i="26"/>
  <c r="BC462" i="26"/>
  <c r="BD462" i="26"/>
  <c r="BE462" i="26"/>
  <c r="BF462" i="26"/>
  <c r="AQ463" i="26"/>
  <c r="AR463" i="26"/>
  <c r="AM463" i="26" s="1"/>
  <c r="AS463" i="26"/>
  <c r="AN463" i="26" s="1"/>
  <c r="AX463" i="26"/>
  <c r="AY463" i="26"/>
  <c r="AZ463" i="26"/>
  <c r="BB463" i="26"/>
  <c r="BC463" i="26"/>
  <c r="BD463" i="26"/>
  <c r="BE463" i="26"/>
  <c r="BF463" i="26"/>
  <c r="AN464" i="26"/>
  <c r="AQ464" i="26"/>
  <c r="AR464" i="26"/>
  <c r="AM464" i="26" s="1"/>
  <c r="AS464" i="26"/>
  <c r="AX464" i="26"/>
  <c r="AY464" i="26"/>
  <c r="AZ464" i="26"/>
  <c r="BB464" i="26"/>
  <c r="BC464" i="26"/>
  <c r="BD464" i="26"/>
  <c r="BE464" i="26"/>
  <c r="BF464" i="26"/>
  <c r="AQ465" i="26"/>
  <c r="AR465" i="26"/>
  <c r="AM465" i="26" s="1"/>
  <c r="AS465" i="26"/>
  <c r="AN465" i="26" s="1"/>
  <c r="AX465" i="26"/>
  <c r="AY465" i="26"/>
  <c r="AZ465" i="26"/>
  <c r="BB465" i="26"/>
  <c r="BC465" i="26"/>
  <c r="BD465" i="26"/>
  <c r="BE465" i="26"/>
  <c r="BF465" i="26"/>
  <c r="AQ466" i="26"/>
  <c r="AR466" i="26"/>
  <c r="AM466" i="26" s="1"/>
  <c r="AS466" i="26"/>
  <c r="AN466" i="26" s="1"/>
  <c r="AX466" i="26"/>
  <c r="AY466" i="26"/>
  <c r="AZ466" i="26"/>
  <c r="BB466" i="26"/>
  <c r="BC466" i="26"/>
  <c r="BD466" i="26"/>
  <c r="BE466" i="26"/>
  <c r="BF466" i="26"/>
  <c r="AQ467" i="26"/>
  <c r="AR467" i="26"/>
  <c r="AM467" i="26" s="1"/>
  <c r="AS467" i="26"/>
  <c r="AN467" i="26" s="1"/>
  <c r="AX467" i="26"/>
  <c r="AY467" i="26"/>
  <c r="AZ467" i="26"/>
  <c r="BB467" i="26"/>
  <c r="BC467" i="26"/>
  <c r="BD467" i="26"/>
  <c r="BE467" i="26"/>
  <c r="BF467" i="26"/>
  <c r="AN468" i="26"/>
  <c r="AQ468" i="26"/>
  <c r="AR468" i="26"/>
  <c r="AM468" i="26" s="1"/>
  <c r="AS468" i="26"/>
  <c r="AX468" i="26"/>
  <c r="AY468" i="26"/>
  <c r="AZ468" i="26"/>
  <c r="BB468" i="26"/>
  <c r="BC468" i="26"/>
  <c r="BD468" i="26"/>
  <c r="BE468" i="26"/>
  <c r="BF468" i="26"/>
  <c r="AQ469" i="26"/>
  <c r="AR469" i="26"/>
  <c r="AM469" i="26" s="1"/>
  <c r="AS469" i="26"/>
  <c r="AN469" i="26" s="1"/>
  <c r="AX469" i="26"/>
  <c r="AY469" i="26"/>
  <c r="AZ469" i="26"/>
  <c r="BB469" i="26"/>
  <c r="BC469" i="26"/>
  <c r="BD469" i="26"/>
  <c r="BE469" i="26"/>
  <c r="BF469" i="26"/>
  <c r="AQ470" i="26"/>
  <c r="AR470" i="26"/>
  <c r="AM470" i="26" s="1"/>
  <c r="AS470" i="26"/>
  <c r="AN470" i="26" s="1"/>
  <c r="AX470" i="26"/>
  <c r="AY470" i="26"/>
  <c r="AZ470" i="26"/>
  <c r="BB470" i="26"/>
  <c r="BC470" i="26"/>
  <c r="BD470" i="26"/>
  <c r="BE470" i="26"/>
  <c r="BF470" i="26"/>
  <c r="AQ471" i="26"/>
  <c r="AR471" i="26"/>
  <c r="AM471" i="26" s="1"/>
  <c r="AS471" i="26"/>
  <c r="AN471" i="26" s="1"/>
  <c r="AX471" i="26"/>
  <c r="AY471" i="26"/>
  <c r="AZ471" i="26"/>
  <c r="BB471" i="26"/>
  <c r="BC471" i="26"/>
  <c r="BD471" i="26"/>
  <c r="BE471" i="26"/>
  <c r="BF471" i="26"/>
  <c r="AQ472" i="26"/>
  <c r="AR472" i="26"/>
  <c r="AM472" i="26" s="1"/>
  <c r="AS472" i="26"/>
  <c r="AN472" i="26" s="1"/>
  <c r="AX472" i="26"/>
  <c r="AY472" i="26"/>
  <c r="AZ472" i="26"/>
  <c r="BB472" i="26"/>
  <c r="BC472" i="26"/>
  <c r="BD472" i="26"/>
  <c r="BE472" i="26"/>
  <c r="BF472" i="26"/>
  <c r="AQ473" i="26"/>
  <c r="AR473" i="26"/>
  <c r="AM473" i="26" s="1"/>
  <c r="AS473" i="26"/>
  <c r="AN473" i="26" s="1"/>
  <c r="AX473" i="26"/>
  <c r="AY473" i="26"/>
  <c r="AZ473" i="26"/>
  <c r="BB473" i="26"/>
  <c r="BC473" i="26"/>
  <c r="BD473" i="26"/>
  <c r="BE473" i="26"/>
  <c r="BF473" i="26"/>
  <c r="AQ474" i="26"/>
  <c r="AR474" i="26"/>
  <c r="AM474" i="26" s="1"/>
  <c r="AS474" i="26"/>
  <c r="AN474" i="26" s="1"/>
  <c r="AX474" i="26"/>
  <c r="AY474" i="26"/>
  <c r="AZ474" i="26"/>
  <c r="BB474" i="26"/>
  <c r="BC474" i="26"/>
  <c r="BD474" i="26"/>
  <c r="BE474" i="26"/>
  <c r="BF474" i="26"/>
  <c r="AQ475" i="26"/>
  <c r="AR475" i="26"/>
  <c r="AM475" i="26" s="1"/>
  <c r="AS475" i="26"/>
  <c r="AN475" i="26" s="1"/>
  <c r="AX475" i="26"/>
  <c r="AY475" i="26"/>
  <c r="AZ475" i="26"/>
  <c r="BB475" i="26"/>
  <c r="BC475" i="26"/>
  <c r="BD475" i="26"/>
  <c r="BE475" i="26"/>
  <c r="BF475" i="26"/>
  <c r="AQ476" i="26"/>
  <c r="AR476" i="26"/>
  <c r="AM476" i="26" s="1"/>
  <c r="AS476" i="26"/>
  <c r="AN476" i="26" s="1"/>
  <c r="AX476" i="26"/>
  <c r="AY476" i="26"/>
  <c r="AZ476" i="26"/>
  <c r="BB476" i="26"/>
  <c r="BC476" i="26"/>
  <c r="BD476" i="26"/>
  <c r="BE476" i="26"/>
  <c r="BF476" i="26"/>
  <c r="AQ477" i="26"/>
  <c r="AR477" i="26"/>
  <c r="AM477" i="26" s="1"/>
  <c r="AS477" i="26"/>
  <c r="AN477" i="26" s="1"/>
  <c r="AX477" i="26"/>
  <c r="AY477" i="26"/>
  <c r="AZ477" i="26"/>
  <c r="BB477" i="26"/>
  <c r="BC477" i="26"/>
  <c r="BD477" i="26"/>
  <c r="BE477" i="26"/>
  <c r="BF477" i="26"/>
  <c r="AN478" i="26"/>
  <c r="AQ478" i="26"/>
  <c r="AR478" i="26"/>
  <c r="AM478" i="26" s="1"/>
  <c r="AS478" i="26"/>
  <c r="AX478" i="26"/>
  <c r="AY478" i="26"/>
  <c r="AZ478" i="26"/>
  <c r="BB478" i="26"/>
  <c r="BC478" i="26"/>
  <c r="BD478" i="26"/>
  <c r="BE478" i="26"/>
  <c r="BF478" i="26"/>
  <c r="AQ479" i="26"/>
  <c r="AR479" i="26"/>
  <c r="AM479" i="26" s="1"/>
  <c r="AS479" i="26"/>
  <c r="AN479" i="26" s="1"/>
  <c r="AX479" i="26"/>
  <c r="AY479" i="26"/>
  <c r="AZ479" i="26"/>
  <c r="BB479" i="26"/>
  <c r="BC479" i="26"/>
  <c r="BD479" i="26"/>
  <c r="BE479" i="26"/>
  <c r="BF479" i="26"/>
  <c r="AQ480" i="26"/>
  <c r="AR480" i="26"/>
  <c r="AM480" i="26" s="1"/>
  <c r="AS480" i="26"/>
  <c r="AN480" i="26" s="1"/>
  <c r="AX480" i="26"/>
  <c r="AY480" i="26"/>
  <c r="AZ480" i="26"/>
  <c r="BB480" i="26"/>
  <c r="BC480" i="26"/>
  <c r="BD480" i="26"/>
  <c r="BE480" i="26"/>
  <c r="BF480" i="26"/>
  <c r="AQ481" i="26"/>
  <c r="AR481" i="26"/>
  <c r="AM481" i="26" s="1"/>
  <c r="AS481" i="26"/>
  <c r="AN481" i="26" s="1"/>
  <c r="AX481" i="26"/>
  <c r="AY481" i="26"/>
  <c r="AZ481" i="26"/>
  <c r="BB481" i="26"/>
  <c r="BC481" i="26"/>
  <c r="BD481" i="26"/>
  <c r="BE481" i="26"/>
  <c r="BF481" i="26"/>
  <c r="AQ482" i="26"/>
  <c r="AR482" i="26"/>
  <c r="AM482" i="26" s="1"/>
  <c r="AS482" i="26"/>
  <c r="AN482" i="26" s="1"/>
  <c r="AX482" i="26"/>
  <c r="AY482" i="26"/>
  <c r="AZ482" i="26"/>
  <c r="BB482" i="26"/>
  <c r="BC482" i="26"/>
  <c r="BD482" i="26"/>
  <c r="BE482" i="26"/>
  <c r="BF482" i="26"/>
  <c r="AQ483" i="26"/>
  <c r="AR483" i="26"/>
  <c r="AM483" i="26" s="1"/>
  <c r="AS483" i="26"/>
  <c r="AN483" i="26" s="1"/>
  <c r="AX483" i="26"/>
  <c r="AY483" i="26"/>
  <c r="AZ483" i="26"/>
  <c r="BB483" i="26"/>
  <c r="BC483" i="26"/>
  <c r="BD483" i="26"/>
  <c r="BE483" i="26"/>
  <c r="BF483" i="26"/>
  <c r="AQ484" i="26"/>
  <c r="AR484" i="26"/>
  <c r="AM484" i="26" s="1"/>
  <c r="AS484" i="26"/>
  <c r="AN484" i="26" s="1"/>
  <c r="AX484" i="26"/>
  <c r="AY484" i="26"/>
  <c r="AZ484" i="26"/>
  <c r="BB484" i="26"/>
  <c r="BC484" i="26"/>
  <c r="BD484" i="26"/>
  <c r="BE484" i="26"/>
  <c r="BF484" i="26"/>
  <c r="AM485" i="26"/>
  <c r="AQ485" i="26"/>
  <c r="AR485" i="26"/>
  <c r="AS485" i="26"/>
  <c r="AN485" i="26" s="1"/>
  <c r="AX485" i="26"/>
  <c r="AY485" i="26"/>
  <c r="AZ485" i="26"/>
  <c r="BB485" i="26"/>
  <c r="BC485" i="26"/>
  <c r="AL485" i="26" s="1"/>
  <c r="BD485" i="26"/>
  <c r="BE485" i="26"/>
  <c r="BF485" i="26"/>
  <c r="AQ486" i="26"/>
  <c r="AR486" i="26"/>
  <c r="AM486" i="26" s="1"/>
  <c r="AS486" i="26"/>
  <c r="AN486" i="26" s="1"/>
  <c r="AX486" i="26"/>
  <c r="AY486" i="26"/>
  <c r="AZ486" i="26"/>
  <c r="BB486" i="26"/>
  <c r="BC486" i="26"/>
  <c r="BD486" i="26"/>
  <c r="BE486" i="26"/>
  <c r="BF486" i="26"/>
  <c r="AQ487" i="26"/>
  <c r="AR487" i="26"/>
  <c r="AM487" i="26" s="1"/>
  <c r="AS487" i="26"/>
  <c r="AN487" i="26" s="1"/>
  <c r="AX487" i="26"/>
  <c r="AY487" i="26"/>
  <c r="AZ487" i="26"/>
  <c r="BB487" i="26"/>
  <c r="BC487" i="26"/>
  <c r="BD487" i="26"/>
  <c r="BE487" i="26"/>
  <c r="BF487" i="26"/>
  <c r="AQ488" i="26"/>
  <c r="AR488" i="26"/>
  <c r="AM488" i="26" s="1"/>
  <c r="AS488" i="26"/>
  <c r="AN488" i="26" s="1"/>
  <c r="AX488" i="26"/>
  <c r="AY488" i="26"/>
  <c r="AZ488" i="26"/>
  <c r="BB488" i="26"/>
  <c r="BC488" i="26"/>
  <c r="BD488" i="26"/>
  <c r="BE488" i="26"/>
  <c r="BF488" i="26"/>
  <c r="AQ489" i="26"/>
  <c r="AR489" i="26"/>
  <c r="AM489" i="26" s="1"/>
  <c r="AS489" i="26"/>
  <c r="AN489" i="26" s="1"/>
  <c r="AX489" i="26"/>
  <c r="AY489" i="26"/>
  <c r="AZ489" i="26"/>
  <c r="BB489" i="26"/>
  <c r="BC489" i="26"/>
  <c r="BD489" i="26"/>
  <c r="BE489" i="26"/>
  <c r="BF489" i="26"/>
  <c r="AQ490" i="26"/>
  <c r="AR490" i="26"/>
  <c r="AM490" i="26" s="1"/>
  <c r="AS490" i="26"/>
  <c r="AN490" i="26" s="1"/>
  <c r="AX490" i="26"/>
  <c r="AY490" i="26"/>
  <c r="AZ490" i="26"/>
  <c r="BB490" i="26"/>
  <c r="BC490" i="26"/>
  <c r="BD490" i="26"/>
  <c r="BE490" i="26"/>
  <c r="BF490" i="26"/>
  <c r="AQ491" i="26"/>
  <c r="AR491" i="26"/>
  <c r="AM491" i="26" s="1"/>
  <c r="AS491" i="26"/>
  <c r="AN491" i="26" s="1"/>
  <c r="AX491" i="26"/>
  <c r="AY491" i="26"/>
  <c r="AZ491" i="26"/>
  <c r="BB491" i="26"/>
  <c r="BC491" i="26"/>
  <c r="BD491" i="26"/>
  <c r="BE491" i="26"/>
  <c r="BF491" i="26"/>
  <c r="AQ492" i="26"/>
  <c r="AR492" i="26"/>
  <c r="AM492" i="26" s="1"/>
  <c r="AS492" i="26"/>
  <c r="AN492" i="26" s="1"/>
  <c r="AX492" i="26"/>
  <c r="AY492" i="26"/>
  <c r="AZ492" i="26"/>
  <c r="BB492" i="26"/>
  <c r="BC492" i="26"/>
  <c r="BD492" i="26"/>
  <c r="BE492" i="26"/>
  <c r="BF492" i="26"/>
  <c r="AQ493" i="26"/>
  <c r="AR493" i="26"/>
  <c r="AM493" i="26" s="1"/>
  <c r="AS493" i="26"/>
  <c r="AN493" i="26" s="1"/>
  <c r="AX493" i="26"/>
  <c r="AY493" i="26"/>
  <c r="AZ493" i="26"/>
  <c r="BB493" i="26"/>
  <c r="BC493" i="26"/>
  <c r="BD493" i="26"/>
  <c r="BE493" i="26"/>
  <c r="BF493" i="26"/>
  <c r="AQ494" i="26"/>
  <c r="AR494" i="26"/>
  <c r="AM494" i="26" s="1"/>
  <c r="AS494" i="26"/>
  <c r="AN494" i="26" s="1"/>
  <c r="AX494" i="26"/>
  <c r="AY494" i="26"/>
  <c r="AZ494" i="26"/>
  <c r="BB494" i="26"/>
  <c r="BC494" i="26"/>
  <c r="BD494" i="26"/>
  <c r="BE494" i="26"/>
  <c r="BF494" i="26"/>
  <c r="AQ495" i="26"/>
  <c r="AR495" i="26"/>
  <c r="AM495" i="26" s="1"/>
  <c r="AS495" i="26"/>
  <c r="AN495" i="26" s="1"/>
  <c r="AX495" i="26"/>
  <c r="AY495" i="26"/>
  <c r="AZ495" i="26"/>
  <c r="BB495" i="26"/>
  <c r="BC495" i="26"/>
  <c r="BD495" i="26"/>
  <c r="BE495" i="26"/>
  <c r="BF495" i="26"/>
  <c r="AM496" i="26"/>
  <c r="AQ496" i="26"/>
  <c r="AR496" i="26"/>
  <c r="AS496" i="26"/>
  <c r="AN496" i="26" s="1"/>
  <c r="AX496" i="26"/>
  <c r="AY496" i="26"/>
  <c r="AZ496" i="26"/>
  <c r="BB496" i="26"/>
  <c r="BC496" i="26"/>
  <c r="BD496" i="26"/>
  <c r="BE496" i="26"/>
  <c r="BF496" i="26"/>
  <c r="AQ497" i="26"/>
  <c r="AR497" i="26"/>
  <c r="AM497" i="26" s="1"/>
  <c r="AS497" i="26"/>
  <c r="AN497" i="26" s="1"/>
  <c r="AX497" i="26"/>
  <c r="AY497" i="26"/>
  <c r="AZ497" i="26"/>
  <c r="BB497" i="26"/>
  <c r="BC497" i="26"/>
  <c r="BD497" i="26"/>
  <c r="BE497" i="26"/>
  <c r="BF497" i="26"/>
  <c r="AQ498" i="26"/>
  <c r="AR498" i="26"/>
  <c r="AM498" i="26" s="1"/>
  <c r="AS498" i="26"/>
  <c r="AN498" i="26" s="1"/>
  <c r="AX498" i="26"/>
  <c r="AY498" i="26"/>
  <c r="AZ498" i="26"/>
  <c r="BB498" i="26"/>
  <c r="BC498" i="26"/>
  <c r="BD498" i="26"/>
  <c r="BE498" i="26"/>
  <c r="BF498" i="26"/>
  <c r="AQ499" i="26"/>
  <c r="AR499" i="26"/>
  <c r="AM499" i="26" s="1"/>
  <c r="AS499" i="26"/>
  <c r="AN499" i="26" s="1"/>
  <c r="AX499" i="26"/>
  <c r="AY499" i="26"/>
  <c r="AZ499" i="26"/>
  <c r="BB499" i="26"/>
  <c r="BC499" i="26"/>
  <c r="BD499" i="26"/>
  <c r="BE499" i="26"/>
  <c r="BF499" i="26"/>
  <c r="AQ500" i="26"/>
  <c r="AR500" i="26"/>
  <c r="AM500" i="26" s="1"/>
  <c r="AS500" i="26"/>
  <c r="AN500" i="26" s="1"/>
  <c r="AX500" i="26"/>
  <c r="AY500" i="26"/>
  <c r="AZ500" i="26"/>
  <c r="BB500" i="26"/>
  <c r="BC500" i="26"/>
  <c r="BD500" i="26"/>
  <c r="BE500" i="26"/>
  <c r="BF500" i="26"/>
  <c r="AQ501" i="26"/>
  <c r="AR501" i="26"/>
  <c r="AM501" i="26" s="1"/>
  <c r="AS501" i="26"/>
  <c r="AN501" i="26" s="1"/>
  <c r="AX501" i="26"/>
  <c r="AY501" i="26"/>
  <c r="AZ501" i="26"/>
  <c r="BB501" i="26"/>
  <c r="BC501" i="26"/>
  <c r="BD501" i="26"/>
  <c r="BE501" i="26"/>
  <c r="BF501" i="26"/>
  <c r="AQ502" i="26"/>
  <c r="AR502" i="26"/>
  <c r="AM502" i="26" s="1"/>
  <c r="AS502" i="26"/>
  <c r="AN502" i="26" s="1"/>
  <c r="AX502" i="26"/>
  <c r="AY502" i="26"/>
  <c r="AZ502" i="26"/>
  <c r="BB502" i="26"/>
  <c r="BC502" i="26"/>
  <c r="BD502" i="26"/>
  <c r="BE502" i="26"/>
  <c r="BF502" i="26"/>
  <c r="AQ503" i="26"/>
  <c r="AR503" i="26"/>
  <c r="AM503" i="26" s="1"/>
  <c r="AS503" i="26"/>
  <c r="AN503" i="26" s="1"/>
  <c r="AX503" i="26"/>
  <c r="AY503" i="26"/>
  <c r="AZ503" i="26"/>
  <c r="BB503" i="26"/>
  <c r="BC503" i="26"/>
  <c r="BD503" i="26"/>
  <c r="BE503" i="26"/>
  <c r="BF503" i="26"/>
  <c r="AQ504" i="26"/>
  <c r="AR504" i="26"/>
  <c r="AM504" i="26" s="1"/>
  <c r="AS504" i="26"/>
  <c r="AN504" i="26" s="1"/>
  <c r="AX504" i="26"/>
  <c r="AY504" i="26"/>
  <c r="AZ504" i="26"/>
  <c r="BB504" i="26"/>
  <c r="BC504" i="26"/>
  <c r="BD504" i="26"/>
  <c r="BE504" i="26"/>
  <c r="BF504" i="26"/>
  <c r="AQ505" i="26"/>
  <c r="AR505" i="26"/>
  <c r="AM505" i="26" s="1"/>
  <c r="AS505" i="26"/>
  <c r="AN505" i="26" s="1"/>
  <c r="AX505" i="26"/>
  <c r="AY505" i="26"/>
  <c r="AZ505" i="26"/>
  <c r="BB505" i="26"/>
  <c r="BC505" i="26"/>
  <c r="BD505" i="26"/>
  <c r="BE505" i="26"/>
  <c r="BF505" i="26"/>
  <c r="AQ506" i="26"/>
  <c r="AR506" i="26"/>
  <c r="AM506" i="26" s="1"/>
  <c r="AS506" i="26"/>
  <c r="AN506" i="26" s="1"/>
  <c r="AX506" i="26"/>
  <c r="AY506" i="26"/>
  <c r="AZ506" i="26"/>
  <c r="BB506" i="26"/>
  <c r="BC506" i="26"/>
  <c r="BD506" i="26"/>
  <c r="BE506" i="26"/>
  <c r="BF506" i="26"/>
  <c r="AQ507" i="26"/>
  <c r="AR507" i="26"/>
  <c r="AM507" i="26" s="1"/>
  <c r="AS507" i="26"/>
  <c r="AN507" i="26" s="1"/>
  <c r="AX507" i="26"/>
  <c r="AY507" i="26"/>
  <c r="AZ507" i="26"/>
  <c r="BB507" i="26"/>
  <c r="BC507" i="26"/>
  <c r="BD507" i="26"/>
  <c r="BE507" i="26"/>
  <c r="BF507" i="26"/>
  <c r="AQ508" i="26"/>
  <c r="AR508" i="26"/>
  <c r="AM508" i="26" s="1"/>
  <c r="AS508" i="26"/>
  <c r="AN508" i="26" s="1"/>
  <c r="AX508" i="26"/>
  <c r="AY508" i="26"/>
  <c r="AZ508" i="26"/>
  <c r="BB508" i="26"/>
  <c r="BC508" i="26"/>
  <c r="BD508" i="26"/>
  <c r="BE508" i="26"/>
  <c r="BF508" i="26"/>
  <c r="AQ509" i="26"/>
  <c r="AR509" i="26"/>
  <c r="AM509" i="26" s="1"/>
  <c r="AS509" i="26"/>
  <c r="AN509" i="26" s="1"/>
  <c r="AX509" i="26"/>
  <c r="AY509" i="26"/>
  <c r="AZ509" i="26"/>
  <c r="BB509" i="26"/>
  <c r="BC509" i="26"/>
  <c r="BD509" i="26"/>
  <c r="BE509" i="26"/>
  <c r="BF509" i="26"/>
  <c r="AQ510" i="26"/>
  <c r="AR510" i="26"/>
  <c r="AM510" i="26" s="1"/>
  <c r="AS510" i="26"/>
  <c r="AN510" i="26" s="1"/>
  <c r="AX510" i="26"/>
  <c r="AY510" i="26"/>
  <c r="AZ510" i="26"/>
  <c r="BB510" i="26"/>
  <c r="BC510" i="26"/>
  <c r="BD510" i="26"/>
  <c r="BE510" i="26"/>
  <c r="BF510" i="26"/>
  <c r="AQ511" i="26"/>
  <c r="AR511" i="26"/>
  <c r="AM511" i="26" s="1"/>
  <c r="AS511" i="26"/>
  <c r="AN511" i="26" s="1"/>
  <c r="AX511" i="26"/>
  <c r="AY511" i="26"/>
  <c r="AZ511" i="26"/>
  <c r="BB511" i="26"/>
  <c r="BC511" i="26"/>
  <c r="BD511" i="26"/>
  <c r="BE511" i="26"/>
  <c r="BF511" i="26"/>
  <c r="AQ512" i="26"/>
  <c r="AR512" i="26"/>
  <c r="AM512" i="26" s="1"/>
  <c r="AS512" i="26"/>
  <c r="AN512" i="26" s="1"/>
  <c r="AX512" i="26"/>
  <c r="AY512" i="26"/>
  <c r="AZ512" i="26"/>
  <c r="BB512" i="26"/>
  <c r="BC512" i="26"/>
  <c r="BD512" i="26"/>
  <c r="BE512" i="26"/>
  <c r="BF512" i="26"/>
  <c r="AQ513" i="26"/>
  <c r="AR513" i="26"/>
  <c r="AM513" i="26" s="1"/>
  <c r="AS513" i="26"/>
  <c r="AN513" i="26" s="1"/>
  <c r="AX513" i="26"/>
  <c r="AY513" i="26"/>
  <c r="AZ513" i="26"/>
  <c r="BB513" i="26"/>
  <c r="BC513" i="26"/>
  <c r="BD513" i="26"/>
  <c r="BE513" i="26"/>
  <c r="BF513" i="26"/>
  <c r="AQ514" i="26"/>
  <c r="AR514" i="26"/>
  <c r="AM514" i="26" s="1"/>
  <c r="AS514" i="26"/>
  <c r="AN514" i="26" s="1"/>
  <c r="AX514" i="26"/>
  <c r="AY514" i="26"/>
  <c r="AZ514" i="26"/>
  <c r="BB514" i="26"/>
  <c r="BC514" i="26"/>
  <c r="BD514" i="26"/>
  <c r="BE514" i="26"/>
  <c r="BF514" i="26"/>
  <c r="AQ515" i="26"/>
  <c r="AR515" i="26"/>
  <c r="AM515" i="26" s="1"/>
  <c r="AS515" i="26"/>
  <c r="AN515" i="26" s="1"/>
  <c r="AX515" i="26"/>
  <c r="AY515" i="26"/>
  <c r="AZ515" i="26"/>
  <c r="BB515" i="26"/>
  <c r="BC515" i="26"/>
  <c r="BD515" i="26"/>
  <c r="BE515" i="26"/>
  <c r="BF515" i="26"/>
  <c r="AQ516" i="26"/>
  <c r="AR516" i="26"/>
  <c r="AM516" i="26" s="1"/>
  <c r="AS516" i="26"/>
  <c r="AN516" i="26" s="1"/>
  <c r="AX516" i="26"/>
  <c r="AY516" i="26"/>
  <c r="AZ516" i="26"/>
  <c r="BB516" i="26"/>
  <c r="BC516" i="26"/>
  <c r="BD516" i="26"/>
  <c r="BE516" i="26"/>
  <c r="BF516" i="26"/>
  <c r="AQ517" i="26"/>
  <c r="AR517" i="26"/>
  <c r="AM517" i="26" s="1"/>
  <c r="AS517" i="26"/>
  <c r="AN517" i="26" s="1"/>
  <c r="AX517" i="26"/>
  <c r="AY517" i="26"/>
  <c r="AZ517" i="26"/>
  <c r="BB517" i="26"/>
  <c r="BC517" i="26"/>
  <c r="BD517" i="26"/>
  <c r="BE517" i="26"/>
  <c r="BF517" i="26"/>
  <c r="AQ518" i="26"/>
  <c r="AR518" i="26"/>
  <c r="AM518" i="26" s="1"/>
  <c r="AS518" i="26"/>
  <c r="AN518" i="26" s="1"/>
  <c r="AX518" i="26"/>
  <c r="AY518" i="26"/>
  <c r="AZ518" i="26"/>
  <c r="BB518" i="26"/>
  <c r="BC518" i="26"/>
  <c r="BD518" i="26"/>
  <c r="BE518" i="26"/>
  <c r="BF518" i="26"/>
  <c r="AQ519" i="26"/>
  <c r="AR519" i="26"/>
  <c r="AM519" i="26" s="1"/>
  <c r="AS519" i="26"/>
  <c r="AN519" i="26" s="1"/>
  <c r="AX519" i="26"/>
  <c r="AY519" i="26"/>
  <c r="AZ519" i="26"/>
  <c r="BB519" i="26"/>
  <c r="BC519" i="26"/>
  <c r="BD519" i="26"/>
  <c r="BE519" i="26"/>
  <c r="BF519" i="26"/>
  <c r="AQ520" i="26"/>
  <c r="AR520" i="26"/>
  <c r="AM520" i="26" s="1"/>
  <c r="AS520" i="26"/>
  <c r="AN520" i="26" s="1"/>
  <c r="AX520" i="26"/>
  <c r="AY520" i="26"/>
  <c r="AZ520" i="26"/>
  <c r="BB520" i="26"/>
  <c r="BC520" i="26"/>
  <c r="BD520" i="26"/>
  <c r="BE520" i="26"/>
  <c r="BF520" i="26"/>
  <c r="AQ521" i="26"/>
  <c r="AR521" i="26"/>
  <c r="AM521" i="26" s="1"/>
  <c r="AS521" i="26"/>
  <c r="AN521" i="26" s="1"/>
  <c r="AX521" i="26"/>
  <c r="AY521" i="26"/>
  <c r="AZ521" i="26"/>
  <c r="BB521" i="26"/>
  <c r="BC521" i="26"/>
  <c r="BD521" i="26"/>
  <c r="BE521" i="26"/>
  <c r="BF521" i="26"/>
  <c r="AQ522" i="26"/>
  <c r="AR522" i="26"/>
  <c r="AM522" i="26" s="1"/>
  <c r="AS522" i="26"/>
  <c r="AN522" i="26" s="1"/>
  <c r="AX522" i="26"/>
  <c r="AY522" i="26"/>
  <c r="AZ522" i="26"/>
  <c r="BB522" i="26"/>
  <c r="BC522" i="26"/>
  <c r="BD522" i="26"/>
  <c r="BE522" i="26"/>
  <c r="BF522" i="26"/>
  <c r="AQ523" i="26"/>
  <c r="AR523" i="26"/>
  <c r="AM523" i="26" s="1"/>
  <c r="AS523" i="26"/>
  <c r="AN523" i="26" s="1"/>
  <c r="AX523" i="26"/>
  <c r="AY523" i="26"/>
  <c r="AZ523" i="26"/>
  <c r="BB523" i="26"/>
  <c r="BC523" i="26"/>
  <c r="BD523" i="26"/>
  <c r="BE523" i="26"/>
  <c r="BF523" i="26"/>
  <c r="AQ524" i="26"/>
  <c r="AR524" i="26"/>
  <c r="AM524" i="26" s="1"/>
  <c r="AS524" i="26"/>
  <c r="AN524" i="26" s="1"/>
  <c r="AX524" i="26"/>
  <c r="AY524" i="26"/>
  <c r="AZ524" i="26"/>
  <c r="BB524" i="26"/>
  <c r="BC524" i="26"/>
  <c r="BD524" i="26"/>
  <c r="BE524" i="26"/>
  <c r="BF524" i="26"/>
  <c r="AQ525" i="26"/>
  <c r="AR525" i="26"/>
  <c r="AM525" i="26" s="1"/>
  <c r="AS525" i="26"/>
  <c r="AN525" i="26" s="1"/>
  <c r="AX525" i="26"/>
  <c r="AY525" i="26"/>
  <c r="AZ525" i="26"/>
  <c r="BB525" i="26"/>
  <c r="BC525" i="26"/>
  <c r="BD525" i="26"/>
  <c r="BE525" i="26"/>
  <c r="BF525" i="26"/>
  <c r="AQ526" i="26"/>
  <c r="AR526" i="26"/>
  <c r="AM526" i="26" s="1"/>
  <c r="AS526" i="26"/>
  <c r="AN526" i="26" s="1"/>
  <c r="AX526" i="26"/>
  <c r="AY526" i="26"/>
  <c r="AZ526" i="26"/>
  <c r="BB526" i="26"/>
  <c r="BC526" i="26"/>
  <c r="BD526" i="26"/>
  <c r="BE526" i="26"/>
  <c r="BF526" i="26"/>
  <c r="AQ527" i="26"/>
  <c r="AR527" i="26"/>
  <c r="AM527" i="26" s="1"/>
  <c r="AS527" i="26"/>
  <c r="AN527" i="26" s="1"/>
  <c r="AX527" i="26"/>
  <c r="AY527" i="26"/>
  <c r="AZ527" i="26"/>
  <c r="BB527" i="26"/>
  <c r="BC527" i="26"/>
  <c r="BD527" i="26"/>
  <c r="BE527" i="26"/>
  <c r="BF527" i="26"/>
  <c r="AQ528" i="26"/>
  <c r="AR528" i="26"/>
  <c r="AM528" i="26" s="1"/>
  <c r="AS528" i="26"/>
  <c r="AN528" i="26" s="1"/>
  <c r="AX528" i="26"/>
  <c r="AY528" i="26"/>
  <c r="AZ528" i="26"/>
  <c r="BB528" i="26"/>
  <c r="BC528" i="26"/>
  <c r="BD528" i="26"/>
  <c r="BE528" i="26"/>
  <c r="BF528" i="26"/>
  <c r="AQ529" i="26"/>
  <c r="AR529" i="26"/>
  <c r="AM529" i="26" s="1"/>
  <c r="AS529" i="26"/>
  <c r="AN529" i="26" s="1"/>
  <c r="AX529" i="26"/>
  <c r="AY529" i="26"/>
  <c r="AZ529" i="26"/>
  <c r="BB529" i="26"/>
  <c r="BC529" i="26"/>
  <c r="BD529" i="26"/>
  <c r="BE529" i="26"/>
  <c r="BF529" i="26"/>
  <c r="AQ530" i="26"/>
  <c r="AR530" i="26"/>
  <c r="AM530" i="26" s="1"/>
  <c r="AS530" i="26"/>
  <c r="AN530" i="26" s="1"/>
  <c r="AX530" i="26"/>
  <c r="AY530" i="26"/>
  <c r="AZ530" i="26"/>
  <c r="BB530" i="26"/>
  <c r="BC530" i="26"/>
  <c r="BD530" i="26"/>
  <c r="BE530" i="26"/>
  <c r="BF530" i="26"/>
  <c r="AQ531" i="26"/>
  <c r="AR531" i="26"/>
  <c r="AM531" i="26" s="1"/>
  <c r="AS531" i="26"/>
  <c r="AN531" i="26" s="1"/>
  <c r="AX531" i="26"/>
  <c r="AY531" i="26"/>
  <c r="AZ531" i="26"/>
  <c r="BB531" i="26"/>
  <c r="BC531" i="26"/>
  <c r="BD531" i="26"/>
  <c r="BE531" i="26"/>
  <c r="BF531" i="26"/>
  <c r="AQ532" i="26"/>
  <c r="AR532" i="26"/>
  <c r="AM532" i="26" s="1"/>
  <c r="AS532" i="26"/>
  <c r="AN532" i="26" s="1"/>
  <c r="AX532" i="26"/>
  <c r="AY532" i="26"/>
  <c r="AZ532" i="26"/>
  <c r="BB532" i="26"/>
  <c r="BC532" i="26"/>
  <c r="BD532" i="26"/>
  <c r="BE532" i="26"/>
  <c r="BF532" i="26"/>
  <c r="AQ533" i="26"/>
  <c r="AR533" i="26"/>
  <c r="AM533" i="26" s="1"/>
  <c r="AS533" i="26"/>
  <c r="AN533" i="26" s="1"/>
  <c r="AX533" i="26"/>
  <c r="AY533" i="26"/>
  <c r="AZ533" i="26"/>
  <c r="BB533" i="26"/>
  <c r="BC533" i="26"/>
  <c r="BD533" i="26"/>
  <c r="BE533" i="26"/>
  <c r="BF533" i="26"/>
  <c r="AQ534" i="26"/>
  <c r="AR534" i="26"/>
  <c r="AM534" i="26" s="1"/>
  <c r="AS534" i="26"/>
  <c r="AN534" i="26" s="1"/>
  <c r="AX534" i="26"/>
  <c r="AY534" i="26"/>
  <c r="AZ534" i="26"/>
  <c r="BB534" i="26"/>
  <c r="BC534" i="26"/>
  <c r="BD534" i="26"/>
  <c r="BE534" i="26"/>
  <c r="BF534" i="26"/>
  <c r="AQ535" i="26"/>
  <c r="AR535" i="26"/>
  <c r="AM535" i="26" s="1"/>
  <c r="AS535" i="26"/>
  <c r="AN535" i="26" s="1"/>
  <c r="AX535" i="26"/>
  <c r="AY535" i="26"/>
  <c r="AZ535" i="26"/>
  <c r="BB535" i="26"/>
  <c r="BC535" i="26"/>
  <c r="BD535" i="26"/>
  <c r="BE535" i="26"/>
  <c r="BF535" i="26"/>
  <c r="AQ536" i="26"/>
  <c r="AR536" i="26"/>
  <c r="AM536" i="26" s="1"/>
  <c r="AS536" i="26"/>
  <c r="AN536" i="26" s="1"/>
  <c r="AX536" i="26"/>
  <c r="AY536" i="26"/>
  <c r="AZ536" i="26"/>
  <c r="BB536" i="26"/>
  <c r="BC536" i="26"/>
  <c r="BD536" i="26"/>
  <c r="BE536" i="26"/>
  <c r="BF536" i="26"/>
  <c r="AQ537" i="26"/>
  <c r="AR537" i="26"/>
  <c r="AM537" i="26" s="1"/>
  <c r="AS537" i="26"/>
  <c r="AN537" i="26" s="1"/>
  <c r="AX537" i="26"/>
  <c r="AY537" i="26"/>
  <c r="AZ537" i="26"/>
  <c r="BB537" i="26"/>
  <c r="BC537" i="26"/>
  <c r="BD537" i="26"/>
  <c r="BE537" i="26"/>
  <c r="BF537" i="26"/>
  <c r="AQ538" i="26"/>
  <c r="AR538" i="26"/>
  <c r="AM538" i="26" s="1"/>
  <c r="AS538" i="26"/>
  <c r="AN538" i="26" s="1"/>
  <c r="AX538" i="26"/>
  <c r="AY538" i="26"/>
  <c r="AZ538" i="26"/>
  <c r="BB538" i="26"/>
  <c r="BC538" i="26"/>
  <c r="BD538" i="26"/>
  <c r="BE538" i="26"/>
  <c r="BF538" i="26"/>
  <c r="AQ539" i="26"/>
  <c r="AR539" i="26"/>
  <c r="AM539" i="26" s="1"/>
  <c r="AS539" i="26"/>
  <c r="AN539" i="26" s="1"/>
  <c r="AX539" i="26"/>
  <c r="AY539" i="26"/>
  <c r="AZ539" i="26"/>
  <c r="BB539" i="26"/>
  <c r="BC539" i="26"/>
  <c r="BD539" i="26"/>
  <c r="BE539" i="26"/>
  <c r="BF539" i="26"/>
  <c r="AQ540" i="26"/>
  <c r="AR540" i="26"/>
  <c r="AM540" i="26" s="1"/>
  <c r="AS540" i="26"/>
  <c r="AN540" i="26" s="1"/>
  <c r="AX540" i="26"/>
  <c r="AY540" i="26"/>
  <c r="AZ540" i="26"/>
  <c r="BB540" i="26"/>
  <c r="BC540" i="26"/>
  <c r="BD540" i="26"/>
  <c r="BE540" i="26"/>
  <c r="BF540" i="26"/>
  <c r="AQ541" i="26"/>
  <c r="AR541" i="26"/>
  <c r="AM541" i="26" s="1"/>
  <c r="AS541" i="26"/>
  <c r="AN541" i="26" s="1"/>
  <c r="AX541" i="26"/>
  <c r="AY541" i="26"/>
  <c r="AZ541" i="26"/>
  <c r="BB541" i="26"/>
  <c r="BC541" i="26"/>
  <c r="BD541" i="26"/>
  <c r="BE541" i="26"/>
  <c r="BF541" i="26"/>
  <c r="AQ542" i="26"/>
  <c r="AR542" i="26"/>
  <c r="AM542" i="26" s="1"/>
  <c r="AS542" i="26"/>
  <c r="AN542" i="26" s="1"/>
  <c r="AX542" i="26"/>
  <c r="AY542" i="26"/>
  <c r="AZ542" i="26"/>
  <c r="BB542" i="26"/>
  <c r="BC542" i="26"/>
  <c r="BD542" i="26"/>
  <c r="BE542" i="26"/>
  <c r="BF542" i="26"/>
  <c r="AQ543" i="26"/>
  <c r="AR543" i="26"/>
  <c r="AM543" i="26" s="1"/>
  <c r="AS543" i="26"/>
  <c r="AN543" i="26" s="1"/>
  <c r="AX543" i="26"/>
  <c r="AY543" i="26"/>
  <c r="AZ543" i="26"/>
  <c r="BB543" i="26"/>
  <c r="BC543" i="26"/>
  <c r="BD543" i="26"/>
  <c r="BE543" i="26"/>
  <c r="BF543" i="26"/>
  <c r="AQ544" i="26"/>
  <c r="AR544" i="26"/>
  <c r="AM544" i="26" s="1"/>
  <c r="AS544" i="26"/>
  <c r="AN544" i="26" s="1"/>
  <c r="AX544" i="26"/>
  <c r="AY544" i="26"/>
  <c r="AZ544" i="26"/>
  <c r="BB544" i="26"/>
  <c r="BC544" i="26"/>
  <c r="BD544" i="26"/>
  <c r="BE544" i="26"/>
  <c r="BF544" i="26"/>
  <c r="AQ545" i="26"/>
  <c r="AR545" i="26"/>
  <c r="AM545" i="26" s="1"/>
  <c r="AS545" i="26"/>
  <c r="AN545" i="26" s="1"/>
  <c r="AX545" i="26"/>
  <c r="AY545" i="26"/>
  <c r="AZ545" i="26"/>
  <c r="BB545" i="26"/>
  <c r="BC545" i="26"/>
  <c r="BD545" i="26"/>
  <c r="BE545" i="26"/>
  <c r="BF545" i="26"/>
  <c r="AQ546" i="26"/>
  <c r="AR546" i="26"/>
  <c r="AM546" i="26" s="1"/>
  <c r="AS546" i="26"/>
  <c r="AN546" i="26" s="1"/>
  <c r="AX546" i="26"/>
  <c r="AY546" i="26"/>
  <c r="AZ546" i="26"/>
  <c r="BB546" i="26"/>
  <c r="BC546" i="26"/>
  <c r="BD546" i="26"/>
  <c r="BE546" i="26"/>
  <c r="BF546" i="26"/>
  <c r="AQ547" i="26"/>
  <c r="AR547" i="26"/>
  <c r="AM547" i="26" s="1"/>
  <c r="AS547" i="26"/>
  <c r="AN547" i="26" s="1"/>
  <c r="AX547" i="26"/>
  <c r="AY547" i="26"/>
  <c r="AZ547" i="26"/>
  <c r="BB547" i="26"/>
  <c r="BC547" i="26"/>
  <c r="BD547" i="26"/>
  <c r="BE547" i="26"/>
  <c r="BF547" i="26"/>
  <c r="AQ548" i="26"/>
  <c r="AR548" i="26"/>
  <c r="AM548" i="26" s="1"/>
  <c r="AS548" i="26"/>
  <c r="AN548" i="26" s="1"/>
  <c r="AX548" i="26"/>
  <c r="AY548" i="26"/>
  <c r="AZ548" i="26"/>
  <c r="BB548" i="26"/>
  <c r="BC548" i="26"/>
  <c r="BD548" i="26"/>
  <c r="BE548" i="26"/>
  <c r="BF548" i="26"/>
  <c r="AQ549" i="26"/>
  <c r="AR549" i="26"/>
  <c r="AM549" i="26" s="1"/>
  <c r="AS549" i="26"/>
  <c r="AN549" i="26" s="1"/>
  <c r="AX549" i="26"/>
  <c r="AY549" i="26"/>
  <c r="AZ549" i="26"/>
  <c r="BB549" i="26"/>
  <c r="BC549" i="26"/>
  <c r="BD549" i="26"/>
  <c r="BE549" i="26"/>
  <c r="BF549" i="26"/>
  <c r="AQ550" i="26"/>
  <c r="AR550" i="26"/>
  <c r="AM550" i="26" s="1"/>
  <c r="AS550" i="26"/>
  <c r="AN550" i="26" s="1"/>
  <c r="AX550" i="26"/>
  <c r="AY550" i="26"/>
  <c r="AZ550" i="26"/>
  <c r="BB550" i="26"/>
  <c r="BC550" i="26"/>
  <c r="BD550" i="26"/>
  <c r="BE550" i="26"/>
  <c r="BF550" i="26"/>
  <c r="AQ551" i="26"/>
  <c r="AR551" i="26"/>
  <c r="AM551" i="26" s="1"/>
  <c r="AS551" i="26"/>
  <c r="AN551" i="26" s="1"/>
  <c r="AX551" i="26"/>
  <c r="AY551" i="26"/>
  <c r="AZ551" i="26"/>
  <c r="BB551" i="26"/>
  <c r="BC551" i="26"/>
  <c r="BD551" i="26"/>
  <c r="BE551" i="26"/>
  <c r="BF551" i="26"/>
  <c r="AQ552" i="26"/>
  <c r="AR552" i="26"/>
  <c r="AM552" i="26" s="1"/>
  <c r="AS552" i="26"/>
  <c r="AN552" i="26" s="1"/>
  <c r="AX552" i="26"/>
  <c r="AY552" i="26"/>
  <c r="AZ552" i="26"/>
  <c r="BB552" i="26"/>
  <c r="BC552" i="26"/>
  <c r="BD552" i="26"/>
  <c r="BE552" i="26"/>
  <c r="BF552" i="26"/>
  <c r="AQ553" i="26"/>
  <c r="AR553" i="26"/>
  <c r="AM553" i="26" s="1"/>
  <c r="AS553" i="26"/>
  <c r="AN553" i="26" s="1"/>
  <c r="AX553" i="26"/>
  <c r="AY553" i="26"/>
  <c r="AZ553" i="26"/>
  <c r="BB553" i="26"/>
  <c r="BC553" i="26"/>
  <c r="BD553" i="26"/>
  <c r="BE553" i="26"/>
  <c r="BF553" i="26"/>
  <c r="AQ554" i="26"/>
  <c r="AR554" i="26"/>
  <c r="AM554" i="26" s="1"/>
  <c r="AS554" i="26"/>
  <c r="AN554" i="26" s="1"/>
  <c r="AX554" i="26"/>
  <c r="AY554" i="26"/>
  <c r="AZ554" i="26"/>
  <c r="BB554" i="26"/>
  <c r="BC554" i="26"/>
  <c r="BD554" i="26"/>
  <c r="BE554" i="26"/>
  <c r="BF554" i="26"/>
  <c r="AQ555" i="26"/>
  <c r="AR555" i="26"/>
  <c r="AM555" i="26" s="1"/>
  <c r="AS555" i="26"/>
  <c r="AN555" i="26" s="1"/>
  <c r="AX555" i="26"/>
  <c r="AY555" i="26"/>
  <c r="AZ555" i="26"/>
  <c r="BB555" i="26"/>
  <c r="BC555" i="26"/>
  <c r="BD555" i="26"/>
  <c r="BE555" i="26"/>
  <c r="BF555" i="26"/>
  <c r="AQ556" i="26"/>
  <c r="AR556" i="26"/>
  <c r="AM556" i="26" s="1"/>
  <c r="AS556" i="26"/>
  <c r="AN556" i="26" s="1"/>
  <c r="AX556" i="26"/>
  <c r="AY556" i="26"/>
  <c r="AZ556" i="26"/>
  <c r="BB556" i="26"/>
  <c r="BC556" i="26"/>
  <c r="BD556" i="26"/>
  <c r="BE556" i="26"/>
  <c r="BF556" i="26"/>
  <c r="AQ557" i="26"/>
  <c r="AR557" i="26"/>
  <c r="AM557" i="26" s="1"/>
  <c r="AS557" i="26"/>
  <c r="AN557" i="26" s="1"/>
  <c r="AX557" i="26"/>
  <c r="AY557" i="26"/>
  <c r="AZ557" i="26"/>
  <c r="BB557" i="26"/>
  <c r="BC557" i="26"/>
  <c r="BD557" i="26"/>
  <c r="BE557" i="26"/>
  <c r="BF557" i="26"/>
  <c r="AQ558" i="26"/>
  <c r="AR558" i="26"/>
  <c r="AM558" i="26" s="1"/>
  <c r="AS558" i="26"/>
  <c r="AN558" i="26" s="1"/>
  <c r="AX558" i="26"/>
  <c r="AY558" i="26"/>
  <c r="AZ558" i="26"/>
  <c r="BB558" i="26"/>
  <c r="BC558" i="26"/>
  <c r="BD558" i="26"/>
  <c r="BE558" i="26"/>
  <c r="BF558" i="26"/>
  <c r="AQ559" i="26"/>
  <c r="AR559" i="26"/>
  <c r="AM559" i="26" s="1"/>
  <c r="AS559" i="26"/>
  <c r="AN559" i="26" s="1"/>
  <c r="AX559" i="26"/>
  <c r="AY559" i="26"/>
  <c r="AZ559" i="26"/>
  <c r="BB559" i="26"/>
  <c r="BC559" i="26"/>
  <c r="BD559" i="26"/>
  <c r="BE559" i="26"/>
  <c r="BF559" i="26"/>
  <c r="AQ560" i="26"/>
  <c r="AR560" i="26"/>
  <c r="AM560" i="26" s="1"/>
  <c r="AS560" i="26"/>
  <c r="AN560" i="26" s="1"/>
  <c r="AX560" i="26"/>
  <c r="AY560" i="26"/>
  <c r="AZ560" i="26"/>
  <c r="BB560" i="26"/>
  <c r="BC560" i="26"/>
  <c r="BD560" i="26"/>
  <c r="BE560" i="26"/>
  <c r="BF560" i="26"/>
  <c r="AQ561" i="26"/>
  <c r="AR561" i="26"/>
  <c r="AM561" i="26" s="1"/>
  <c r="AS561" i="26"/>
  <c r="AN561" i="26" s="1"/>
  <c r="AX561" i="26"/>
  <c r="AY561" i="26"/>
  <c r="AZ561" i="26"/>
  <c r="BB561" i="26"/>
  <c r="BC561" i="26"/>
  <c r="BD561" i="26"/>
  <c r="BE561" i="26"/>
  <c r="BF561" i="26"/>
  <c r="AQ562" i="26"/>
  <c r="AR562" i="26"/>
  <c r="AM562" i="26" s="1"/>
  <c r="AS562" i="26"/>
  <c r="AN562" i="26" s="1"/>
  <c r="AX562" i="26"/>
  <c r="AY562" i="26"/>
  <c r="AZ562" i="26"/>
  <c r="BB562" i="26"/>
  <c r="BC562" i="26"/>
  <c r="BD562" i="26"/>
  <c r="BE562" i="26"/>
  <c r="BF562" i="26"/>
  <c r="AQ563" i="26"/>
  <c r="AR563" i="26"/>
  <c r="AM563" i="26" s="1"/>
  <c r="AS563" i="26"/>
  <c r="AN563" i="26" s="1"/>
  <c r="AX563" i="26"/>
  <c r="AY563" i="26"/>
  <c r="AZ563" i="26"/>
  <c r="BB563" i="26"/>
  <c r="BC563" i="26"/>
  <c r="BD563" i="26"/>
  <c r="BE563" i="26"/>
  <c r="BF563" i="26"/>
  <c r="AQ564" i="26"/>
  <c r="AR564" i="26"/>
  <c r="AM564" i="26" s="1"/>
  <c r="AS564" i="26"/>
  <c r="AN564" i="26" s="1"/>
  <c r="AX564" i="26"/>
  <c r="AY564" i="26"/>
  <c r="AZ564" i="26"/>
  <c r="BB564" i="26"/>
  <c r="BC564" i="26"/>
  <c r="BD564" i="26"/>
  <c r="BE564" i="26"/>
  <c r="BF564" i="26"/>
  <c r="AQ565" i="26"/>
  <c r="AR565" i="26"/>
  <c r="AM565" i="26" s="1"/>
  <c r="AS565" i="26"/>
  <c r="AN565" i="26" s="1"/>
  <c r="AX565" i="26"/>
  <c r="AY565" i="26"/>
  <c r="AZ565" i="26"/>
  <c r="BB565" i="26"/>
  <c r="BC565" i="26"/>
  <c r="BD565" i="26"/>
  <c r="BE565" i="26"/>
  <c r="BF565" i="26"/>
  <c r="AQ566" i="26"/>
  <c r="AR566" i="26"/>
  <c r="AM566" i="26" s="1"/>
  <c r="AS566" i="26"/>
  <c r="AN566" i="26" s="1"/>
  <c r="AX566" i="26"/>
  <c r="AY566" i="26"/>
  <c r="AZ566" i="26"/>
  <c r="BB566" i="26"/>
  <c r="BC566" i="26"/>
  <c r="BD566" i="26"/>
  <c r="BE566" i="26"/>
  <c r="AL566" i="26" s="1"/>
  <c r="BF566" i="26"/>
  <c r="AQ567" i="26"/>
  <c r="AR567" i="26"/>
  <c r="AM567" i="26" s="1"/>
  <c r="AS567" i="26"/>
  <c r="AN567" i="26" s="1"/>
  <c r="AX567" i="26"/>
  <c r="AY567" i="26"/>
  <c r="AZ567" i="26"/>
  <c r="BB567" i="26"/>
  <c r="BC567" i="26"/>
  <c r="BD567" i="26"/>
  <c r="BE567" i="26"/>
  <c r="BF567" i="26"/>
  <c r="AQ568" i="26"/>
  <c r="AR568" i="26"/>
  <c r="AM568" i="26" s="1"/>
  <c r="AS568" i="26"/>
  <c r="AN568" i="26" s="1"/>
  <c r="AX568" i="26"/>
  <c r="AY568" i="26"/>
  <c r="AZ568" i="26"/>
  <c r="BB568" i="26"/>
  <c r="BC568" i="26"/>
  <c r="BD568" i="26"/>
  <c r="BE568" i="26"/>
  <c r="BF568" i="26"/>
  <c r="AM569" i="26"/>
  <c r="AQ569" i="26"/>
  <c r="AR569" i="26"/>
  <c r="AS569" i="26"/>
  <c r="AN569" i="26" s="1"/>
  <c r="AX569" i="26"/>
  <c r="AY569" i="26"/>
  <c r="AZ569" i="26"/>
  <c r="BB569" i="26"/>
  <c r="BC569" i="26"/>
  <c r="BD569" i="26"/>
  <c r="BE569" i="26"/>
  <c r="BF569" i="26"/>
  <c r="AQ570" i="26"/>
  <c r="AR570" i="26"/>
  <c r="AM570" i="26" s="1"/>
  <c r="AS570" i="26"/>
  <c r="AN570" i="26" s="1"/>
  <c r="AX570" i="26"/>
  <c r="AY570" i="26"/>
  <c r="AZ570" i="26"/>
  <c r="BB570" i="26"/>
  <c r="BC570" i="26"/>
  <c r="BD570" i="26"/>
  <c r="BE570" i="26"/>
  <c r="BF570" i="26"/>
  <c r="AM571" i="26"/>
  <c r="AN571" i="26"/>
  <c r="AQ571" i="26"/>
  <c r="AR571" i="26"/>
  <c r="AS571" i="26"/>
  <c r="AX571" i="26"/>
  <c r="AY571" i="26"/>
  <c r="AZ571" i="26"/>
  <c r="BB571" i="26"/>
  <c r="BC571" i="26"/>
  <c r="BD571" i="26"/>
  <c r="BE571" i="26"/>
  <c r="BF571" i="26"/>
  <c r="AQ572" i="26"/>
  <c r="AR572" i="26"/>
  <c r="AM572" i="26" s="1"/>
  <c r="AS572" i="26"/>
  <c r="AN572" i="26" s="1"/>
  <c r="AX572" i="26"/>
  <c r="AY572" i="26"/>
  <c r="AZ572" i="26"/>
  <c r="BB572" i="26"/>
  <c r="BC572" i="26"/>
  <c r="BD572" i="26"/>
  <c r="BE572" i="26"/>
  <c r="BF572" i="26"/>
  <c r="AQ573" i="26"/>
  <c r="AR573" i="26"/>
  <c r="AM573" i="26" s="1"/>
  <c r="AS573" i="26"/>
  <c r="AN573" i="26" s="1"/>
  <c r="AX573" i="26"/>
  <c r="AY573" i="26"/>
  <c r="AZ573" i="26"/>
  <c r="BB573" i="26"/>
  <c r="BC573" i="26"/>
  <c r="BD573" i="26"/>
  <c r="BE573" i="26"/>
  <c r="BF573" i="26"/>
  <c r="AQ574" i="26"/>
  <c r="AR574" i="26"/>
  <c r="AM574" i="26" s="1"/>
  <c r="AS574" i="26"/>
  <c r="AN574" i="26" s="1"/>
  <c r="AX574" i="26"/>
  <c r="AY574" i="26"/>
  <c r="AZ574" i="26"/>
  <c r="BB574" i="26"/>
  <c r="BC574" i="26"/>
  <c r="BD574" i="26"/>
  <c r="BE574" i="26"/>
  <c r="AL574" i="26" s="1"/>
  <c r="BF574" i="26"/>
  <c r="AQ575" i="26"/>
  <c r="AR575" i="26"/>
  <c r="AM575" i="26" s="1"/>
  <c r="AS575" i="26"/>
  <c r="AN575" i="26" s="1"/>
  <c r="AX575" i="26"/>
  <c r="AY575" i="26"/>
  <c r="AZ575" i="26"/>
  <c r="BB575" i="26"/>
  <c r="BC575" i="26"/>
  <c r="BD575" i="26"/>
  <c r="BE575" i="26"/>
  <c r="BF575" i="26"/>
  <c r="AQ576" i="26"/>
  <c r="AR576" i="26"/>
  <c r="AM576" i="26" s="1"/>
  <c r="AS576" i="26"/>
  <c r="AN576" i="26" s="1"/>
  <c r="AX576" i="26"/>
  <c r="AY576" i="26"/>
  <c r="AZ576" i="26"/>
  <c r="BB576" i="26"/>
  <c r="BC576" i="26"/>
  <c r="BD576" i="26"/>
  <c r="BE576" i="26"/>
  <c r="BF576" i="26"/>
  <c r="AF577" i="26"/>
  <c r="AQ577" i="26"/>
  <c r="AR577" i="26"/>
  <c r="AM577" i="26" s="1"/>
  <c r="AS577" i="26"/>
  <c r="AN577" i="26" s="1"/>
  <c r="AX577" i="26"/>
  <c r="AY577" i="26"/>
  <c r="AZ577" i="26"/>
  <c r="BB577" i="26"/>
  <c r="BC577" i="26"/>
  <c r="BD577" i="26"/>
  <c r="BE577" i="26"/>
  <c r="BF577" i="26"/>
  <c r="AQ578" i="26"/>
  <c r="AR578" i="26"/>
  <c r="AM578" i="26" s="1"/>
  <c r="AS578" i="26"/>
  <c r="AN578" i="26" s="1"/>
  <c r="AX578" i="26"/>
  <c r="AY578" i="26"/>
  <c r="AZ578" i="26"/>
  <c r="BB578" i="26"/>
  <c r="BC578" i="26"/>
  <c r="BD578" i="26"/>
  <c r="BE578" i="26"/>
  <c r="BF578" i="26"/>
  <c r="AQ579" i="26"/>
  <c r="AR579" i="26"/>
  <c r="AM579" i="26" s="1"/>
  <c r="AS579" i="26"/>
  <c r="AN579" i="26" s="1"/>
  <c r="AX579" i="26"/>
  <c r="AY579" i="26"/>
  <c r="AZ579" i="26"/>
  <c r="BB579" i="26"/>
  <c r="BC579" i="26"/>
  <c r="BD579" i="26"/>
  <c r="BE579" i="26"/>
  <c r="BF579" i="26"/>
  <c r="AQ580" i="26"/>
  <c r="AR580" i="26"/>
  <c r="AM580" i="26" s="1"/>
  <c r="AS580" i="26"/>
  <c r="AN580" i="26" s="1"/>
  <c r="AX580" i="26"/>
  <c r="AY580" i="26"/>
  <c r="AZ580" i="26"/>
  <c r="BB580" i="26"/>
  <c r="BC580" i="26"/>
  <c r="BD580" i="26"/>
  <c r="BE580" i="26"/>
  <c r="BF580" i="26"/>
  <c r="AQ581" i="26"/>
  <c r="AR581" i="26"/>
  <c r="AM581" i="26" s="1"/>
  <c r="AS581" i="26"/>
  <c r="AN581" i="26" s="1"/>
  <c r="AX581" i="26"/>
  <c r="AY581" i="26"/>
  <c r="AZ581" i="26"/>
  <c r="BB581" i="26"/>
  <c r="BC581" i="26"/>
  <c r="BD581" i="26"/>
  <c r="BE581" i="26"/>
  <c r="BF581" i="26"/>
  <c r="AN582" i="26"/>
  <c r="AQ582" i="26"/>
  <c r="AR582" i="26"/>
  <c r="AM582" i="26" s="1"/>
  <c r="AS582" i="26"/>
  <c r="AX582" i="26"/>
  <c r="AY582" i="26"/>
  <c r="AZ582" i="26"/>
  <c r="BB582" i="26"/>
  <c r="BC582" i="26"/>
  <c r="BD582" i="26"/>
  <c r="BE582" i="26"/>
  <c r="BF582" i="26"/>
  <c r="AQ583" i="26"/>
  <c r="AR583" i="26"/>
  <c r="AM583" i="26" s="1"/>
  <c r="AS583" i="26"/>
  <c r="AN583" i="26" s="1"/>
  <c r="AX583" i="26"/>
  <c r="AY583" i="26"/>
  <c r="AZ583" i="26"/>
  <c r="BB583" i="26"/>
  <c r="BC583" i="26"/>
  <c r="BD583" i="26"/>
  <c r="BE583" i="26"/>
  <c r="BF583" i="26"/>
  <c r="AQ584" i="26"/>
  <c r="AR584" i="26"/>
  <c r="AM584" i="26" s="1"/>
  <c r="AS584" i="26"/>
  <c r="AN584" i="26" s="1"/>
  <c r="AX584" i="26"/>
  <c r="AY584" i="26"/>
  <c r="AZ584" i="26"/>
  <c r="BB584" i="26"/>
  <c r="BC584" i="26"/>
  <c r="BD584" i="26"/>
  <c r="BE584" i="26"/>
  <c r="BF584" i="26"/>
  <c r="AQ585" i="26"/>
  <c r="AR585" i="26"/>
  <c r="AM585" i="26" s="1"/>
  <c r="AS585" i="26"/>
  <c r="AN585" i="26" s="1"/>
  <c r="AX585" i="26"/>
  <c r="AY585" i="26"/>
  <c r="AZ585" i="26"/>
  <c r="BB585" i="26"/>
  <c r="BC585" i="26"/>
  <c r="BD585" i="26"/>
  <c r="BE585" i="26"/>
  <c r="BF585" i="26"/>
  <c r="AQ586" i="26"/>
  <c r="AR586" i="26"/>
  <c r="AM586" i="26" s="1"/>
  <c r="AS586" i="26"/>
  <c r="AN586" i="26" s="1"/>
  <c r="AX586" i="26"/>
  <c r="AY586" i="26"/>
  <c r="AZ586" i="26"/>
  <c r="BB586" i="26"/>
  <c r="BC586" i="26"/>
  <c r="BD586" i="26"/>
  <c r="BE586" i="26"/>
  <c r="BF586" i="26"/>
  <c r="AQ587" i="26"/>
  <c r="AR587" i="26"/>
  <c r="AM587" i="26" s="1"/>
  <c r="AS587" i="26"/>
  <c r="AN587" i="26" s="1"/>
  <c r="AX587" i="26"/>
  <c r="AY587" i="26"/>
  <c r="AZ587" i="26"/>
  <c r="BB587" i="26"/>
  <c r="BC587" i="26"/>
  <c r="BD587" i="26"/>
  <c r="BE587" i="26"/>
  <c r="BF587" i="26"/>
  <c r="AQ588" i="26"/>
  <c r="AR588" i="26"/>
  <c r="AM588" i="26" s="1"/>
  <c r="AS588" i="26"/>
  <c r="AN588" i="26" s="1"/>
  <c r="AX588" i="26"/>
  <c r="AY588" i="26"/>
  <c r="AZ588" i="26"/>
  <c r="BB588" i="26"/>
  <c r="BC588" i="26"/>
  <c r="BD588" i="26"/>
  <c r="BE588" i="26"/>
  <c r="BF588" i="26"/>
  <c r="AQ589" i="26"/>
  <c r="AR589" i="26"/>
  <c r="AM589" i="26" s="1"/>
  <c r="AS589" i="26"/>
  <c r="AN589" i="26" s="1"/>
  <c r="AX589" i="26"/>
  <c r="AY589" i="26"/>
  <c r="AZ589" i="26"/>
  <c r="BB589" i="26"/>
  <c r="BC589" i="26"/>
  <c r="BD589" i="26"/>
  <c r="BE589" i="26"/>
  <c r="BF589" i="26"/>
  <c r="AQ590" i="26"/>
  <c r="AR590" i="26"/>
  <c r="AM590" i="26" s="1"/>
  <c r="AS590" i="26"/>
  <c r="AN590" i="26" s="1"/>
  <c r="AX590" i="26"/>
  <c r="AY590" i="26"/>
  <c r="AZ590" i="26"/>
  <c r="BB590" i="26"/>
  <c r="BC590" i="26"/>
  <c r="BD590" i="26"/>
  <c r="BE590" i="26"/>
  <c r="BF590" i="26"/>
  <c r="AQ591" i="26"/>
  <c r="AR591" i="26"/>
  <c r="AM591" i="26" s="1"/>
  <c r="AS591" i="26"/>
  <c r="AN591" i="26" s="1"/>
  <c r="AX591" i="26"/>
  <c r="AY591" i="26"/>
  <c r="AZ591" i="26"/>
  <c r="BB591" i="26"/>
  <c r="BC591" i="26"/>
  <c r="BD591" i="26"/>
  <c r="BE591" i="26"/>
  <c r="BF591" i="26"/>
  <c r="AQ592" i="26"/>
  <c r="AR592" i="26"/>
  <c r="AM592" i="26" s="1"/>
  <c r="AS592" i="26"/>
  <c r="AN592" i="26" s="1"/>
  <c r="AX592" i="26"/>
  <c r="AY592" i="26"/>
  <c r="AZ592" i="26"/>
  <c r="BB592" i="26"/>
  <c r="BC592" i="26"/>
  <c r="BD592" i="26"/>
  <c r="BE592" i="26"/>
  <c r="BF592" i="26"/>
  <c r="AQ593" i="26"/>
  <c r="AR593" i="26"/>
  <c r="AM593" i="26" s="1"/>
  <c r="AS593" i="26"/>
  <c r="AN593" i="26" s="1"/>
  <c r="AX593" i="26"/>
  <c r="AY593" i="26"/>
  <c r="AZ593" i="26"/>
  <c r="BB593" i="26"/>
  <c r="BC593" i="26"/>
  <c r="BD593" i="26"/>
  <c r="BE593" i="26"/>
  <c r="BF593" i="26"/>
  <c r="AQ594" i="26"/>
  <c r="AR594" i="26"/>
  <c r="AM594" i="26" s="1"/>
  <c r="AS594" i="26"/>
  <c r="AN594" i="26" s="1"/>
  <c r="AX594" i="26"/>
  <c r="AY594" i="26"/>
  <c r="AZ594" i="26"/>
  <c r="BB594" i="26"/>
  <c r="BC594" i="26"/>
  <c r="BD594" i="26"/>
  <c r="BE594" i="26"/>
  <c r="BF594" i="26"/>
  <c r="AQ595" i="26"/>
  <c r="AR595" i="26"/>
  <c r="AM595" i="26" s="1"/>
  <c r="AS595" i="26"/>
  <c r="AN595" i="26" s="1"/>
  <c r="AX595" i="26"/>
  <c r="AY595" i="26"/>
  <c r="AZ595" i="26"/>
  <c r="BB595" i="26"/>
  <c r="BC595" i="26"/>
  <c r="BD595" i="26"/>
  <c r="BE595" i="26"/>
  <c r="BF595" i="26"/>
  <c r="AQ596" i="26"/>
  <c r="AR596" i="26"/>
  <c r="AM596" i="26" s="1"/>
  <c r="AS596" i="26"/>
  <c r="AN596" i="26" s="1"/>
  <c r="AX596" i="26"/>
  <c r="AY596" i="26"/>
  <c r="AZ596" i="26"/>
  <c r="BB596" i="26"/>
  <c r="BC596" i="26"/>
  <c r="BD596" i="26"/>
  <c r="BE596" i="26"/>
  <c r="BF596" i="26"/>
  <c r="AQ597" i="26"/>
  <c r="AR597" i="26"/>
  <c r="AM597" i="26" s="1"/>
  <c r="AS597" i="26"/>
  <c r="AN597" i="26" s="1"/>
  <c r="AX597" i="26"/>
  <c r="AY597" i="26"/>
  <c r="AZ597" i="26"/>
  <c r="BB597" i="26"/>
  <c r="BC597" i="26"/>
  <c r="BD597" i="26"/>
  <c r="BE597" i="26"/>
  <c r="BF597" i="26"/>
  <c r="AQ598" i="26"/>
  <c r="AR598" i="26"/>
  <c r="AM598" i="26" s="1"/>
  <c r="AS598" i="26"/>
  <c r="AN598" i="26" s="1"/>
  <c r="AX598" i="26"/>
  <c r="AY598" i="26"/>
  <c r="AZ598" i="26"/>
  <c r="BB598" i="26"/>
  <c r="BC598" i="26"/>
  <c r="BD598" i="26"/>
  <c r="BE598" i="26"/>
  <c r="BF598" i="26"/>
  <c r="AQ599" i="26"/>
  <c r="AR599" i="26"/>
  <c r="AM599" i="26" s="1"/>
  <c r="AS599" i="26"/>
  <c r="AN599" i="26" s="1"/>
  <c r="AX599" i="26"/>
  <c r="AY599" i="26"/>
  <c r="AZ599" i="26"/>
  <c r="BB599" i="26"/>
  <c r="BC599" i="26"/>
  <c r="BD599" i="26"/>
  <c r="BE599" i="26"/>
  <c r="BF599" i="26"/>
  <c r="AQ600" i="26"/>
  <c r="AR600" i="26"/>
  <c r="AM600" i="26" s="1"/>
  <c r="AS600" i="26"/>
  <c r="AN600" i="26" s="1"/>
  <c r="AX600" i="26"/>
  <c r="AY600" i="26"/>
  <c r="AZ600" i="26"/>
  <c r="BB600" i="26"/>
  <c r="BC600" i="26"/>
  <c r="BD600" i="26"/>
  <c r="BE600" i="26"/>
  <c r="BF600" i="26"/>
  <c r="AQ601" i="26"/>
  <c r="AR601" i="26"/>
  <c r="AM601" i="26" s="1"/>
  <c r="AS601" i="26"/>
  <c r="AN601" i="26" s="1"/>
  <c r="AX601" i="26"/>
  <c r="AY601" i="26"/>
  <c r="AZ601" i="26"/>
  <c r="BB601" i="26"/>
  <c r="BC601" i="26"/>
  <c r="BD601" i="26"/>
  <c r="BE601" i="26"/>
  <c r="BF601" i="26"/>
  <c r="AQ602" i="26"/>
  <c r="AR602" i="26"/>
  <c r="AM602" i="26" s="1"/>
  <c r="AS602" i="26"/>
  <c r="AN602" i="26" s="1"/>
  <c r="AX602" i="26"/>
  <c r="AY602" i="26"/>
  <c r="AZ602" i="26"/>
  <c r="BB602" i="26"/>
  <c r="BC602" i="26"/>
  <c r="BD602" i="26"/>
  <c r="BE602" i="26"/>
  <c r="BF602" i="26"/>
  <c r="AQ603" i="26"/>
  <c r="AR603" i="26"/>
  <c r="AM603" i="26" s="1"/>
  <c r="AS603" i="26"/>
  <c r="AN603" i="26" s="1"/>
  <c r="AX603" i="26"/>
  <c r="AY603" i="26"/>
  <c r="AZ603" i="26"/>
  <c r="BB603" i="26"/>
  <c r="BC603" i="26"/>
  <c r="BD603" i="26"/>
  <c r="BE603" i="26"/>
  <c r="BF603" i="26"/>
  <c r="AQ604" i="26"/>
  <c r="AR604" i="26"/>
  <c r="AM604" i="26" s="1"/>
  <c r="AS604" i="26"/>
  <c r="AN604" i="26" s="1"/>
  <c r="AX604" i="26"/>
  <c r="AY604" i="26"/>
  <c r="AZ604" i="26"/>
  <c r="BB604" i="26"/>
  <c r="BC604" i="26"/>
  <c r="BD604" i="26"/>
  <c r="BE604" i="26"/>
  <c r="BF604" i="26"/>
  <c r="AQ605" i="26"/>
  <c r="AR605" i="26"/>
  <c r="AM605" i="26" s="1"/>
  <c r="AS605" i="26"/>
  <c r="AN605" i="26" s="1"/>
  <c r="AX605" i="26"/>
  <c r="AY605" i="26"/>
  <c r="AZ605" i="26"/>
  <c r="BB605" i="26"/>
  <c r="BC605" i="26"/>
  <c r="BD605" i="26"/>
  <c r="BE605" i="26"/>
  <c r="BF605" i="26"/>
  <c r="AQ606" i="26"/>
  <c r="AR606" i="26"/>
  <c r="AM606" i="26" s="1"/>
  <c r="AS606" i="26"/>
  <c r="AN606" i="26" s="1"/>
  <c r="AX606" i="26"/>
  <c r="AY606" i="26"/>
  <c r="AZ606" i="26"/>
  <c r="BB606" i="26"/>
  <c r="BC606" i="26"/>
  <c r="BD606" i="26"/>
  <c r="BE606" i="26"/>
  <c r="BF606" i="26"/>
  <c r="AQ607" i="26"/>
  <c r="AR607" i="26"/>
  <c r="AM607" i="26" s="1"/>
  <c r="AS607" i="26"/>
  <c r="AN607" i="26" s="1"/>
  <c r="AX607" i="26"/>
  <c r="AY607" i="26"/>
  <c r="AZ607" i="26"/>
  <c r="BB607" i="26"/>
  <c r="BC607" i="26"/>
  <c r="BD607" i="26"/>
  <c r="BE607" i="26"/>
  <c r="BF607" i="26"/>
  <c r="AQ608" i="26"/>
  <c r="AR608" i="26"/>
  <c r="AM608" i="26" s="1"/>
  <c r="AS608" i="26"/>
  <c r="AN608" i="26" s="1"/>
  <c r="AX608" i="26"/>
  <c r="AY608" i="26"/>
  <c r="AZ608" i="26"/>
  <c r="BB608" i="26"/>
  <c r="BC608" i="26"/>
  <c r="BD608" i="26"/>
  <c r="BE608" i="26"/>
  <c r="BF608" i="26"/>
  <c r="AQ609" i="26"/>
  <c r="AR609" i="26"/>
  <c r="AM609" i="26" s="1"/>
  <c r="AS609" i="26"/>
  <c r="AN609" i="26" s="1"/>
  <c r="AX609" i="26"/>
  <c r="AY609" i="26"/>
  <c r="AZ609" i="26"/>
  <c r="BB609" i="26"/>
  <c r="BC609" i="26"/>
  <c r="BD609" i="26"/>
  <c r="BE609" i="26"/>
  <c r="BF609" i="26"/>
  <c r="AQ610" i="26"/>
  <c r="AR610" i="26"/>
  <c r="AM610" i="26" s="1"/>
  <c r="AS610" i="26"/>
  <c r="AN610" i="26" s="1"/>
  <c r="AX610" i="26"/>
  <c r="AY610" i="26"/>
  <c r="AZ610" i="26"/>
  <c r="BB610" i="26"/>
  <c r="BC610" i="26"/>
  <c r="BD610" i="26"/>
  <c r="BE610" i="26"/>
  <c r="BF610" i="26"/>
  <c r="AQ611" i="26"/>
  <c r="AR611" i="26"/>
  <c r="AM611" i="26" s="1"/>
  <c r="AS611" i="26"/>
  <c r="AN611" i="26" s="1"/>
  <c r="AX611" i="26"/>
  <c r="AY611" i="26"/>
  <c r="AZ611" i="26"/>
  <c r="BB611" i="26"/>
  <c r="BC611" i="26"/>
  <c r="BD611" i="26"/>
  <c r="BE611" i="26"/>
  <c r="BF611" i="26"/>
  <c r="AQ612" i="26"/>
  <c r="AR612" i="26"/>
  <c r="AM612" i="26" s="1"/>
  <c r="AS612" i="26"/>
  <c r="AN612" i="26" s="1"/>
  <c r="AX612" i="26"/>
  <c r="AY612" i="26"/>
  <c r="AZ612" i="26"/>
  <c r="BB612" i="26"/>
  <c r="BC612" i="26"/>
  <c r="BD612" i="26"/>
  <c r="BE612" i="26"/>
  <c r="BF612" i="26"/>
  <c r="AQ613" i="26"/>
  <c r="AR613" i="26"/>
  <c r="AM613" i="26" s="1"/>
  <c r="AS613" i="26"/>
  <c r="AN613" i="26" s="1"/>
  <c r="AX613" i="26"/>
  <c r="AY613" i="26"/>
  <c r="AZ613" i="26"/>
  <c r="BB613" i="26"/>
  <c r="BC613" i="26"/>
  <c r="BD613" i="26"/>
  <c r="BE613" i="26"/>
  <c r="BF613" i="26"/>
  <c r="AQ614" i="26"/>
  <c r="AR614" i="26"/>
  <c r="AM614" i="26" s="1"/>
  <c r="AS614" i="26"/>
  <c r="AN614" i="26" s="1"/>
  <c r="AX614" i="26"/>
  <c r="AY614" i="26"/>
  <c r="AZ614" i="26"/>
  <c r="BB614" i="26"/>
  <c r="BC614" i="26"/>
  <c r="BD614" i="26"/>
  <c r="BE614" i="26"/>
  <c r="BF614" i="26"/>
  <c r="AQ615" i="26"/>
  <c r="AR615" i="26"/>
  <c r="AM615" i="26" s="1"/>
  <c r="AS615" i="26"/>
  <c r="AN615" i="26" s="1"/>
  <c r="AX615" i="26"/>
  <c r="AY615" i="26"/>
  <c r="AZ615" i="26"/>
  <c r="BB615" i="26"/>
  <c r="BC615" i="26"/>
  <c r="BD615" i="26"/>
  <c r="BE615" i="26"/>
  <c r="BF615" i="26"/>
  <c r="AQ616" i="26"/>
  <c r="AR616" i="26"/>
  <c r="AM616" i="26" s="1"/>
  <c r="AS616" i="26"/>
  <c r="AN616" i="26" s="1"/>
  <c r="AX616" i="26"/>
  <c r="AY616" i="26"/>
  <c r="AZ616" i="26"/>
  <c r="BB616" i="26"/>
  <c r="BC616" i="26"/>
  <c r="BD616" i="26"/>
  <c r="BE616" i="26"/>
  <c r="BF616" i="26"/>
  <c r="AQ617" i="26"/>
  <c r="AR617" i="26"/>
  <c r="AM617" i="26" s="1"/>
  <c r="AS617" i="26"/>
  <c r="AN617" i="26" s="1"/>
  <c r="AX617" i="26"/>
  <c r="AY617" i="26"/>
  <c r="AZ617" i="26"/>
  <c r="BB617" i="26"/>
  <c r="BC617" i="26"/>
  <c r="BD617" i="26"/>
  <c r="BE617" i="26"/>
  <c r="BF617" i="26"/>
  <c r="AQ618" i="26"/>
  <c r="AR618" i="26"/>
  <c r="AM618" i="26" s="1"/>
  <c r="AS618" i="26"/>
  <c r="AN618" i="26" s="1"/>
  <c r="AX618" i="26"/>
  <c r="AY618" i="26"/>
  <c r="AZ618" i="26"/>
  <c r="BB618" i="26"/>
  <c r="BC618" i="26"/>
  <c r="BD618" i="26"/>
  <c r="BE618" i="26"/>
  <c r="BF618" i="26"/>
  <c r="AQ619" i="26"/>
  <c r="AR619" i="26"/>
  <c r="AM619" i="26" s="1"/>
  <c r="AS619" i="26"/>
  <c r="AN619" i="26" s="1"/>
  <c r="AX619" i="26"/>
  <c r="AY619" i="26"/>
  <c r="AZ619" i="26"/>
  <c r="BB619" i="26"/>
  <c r="BC619" i="26"/>
  <c r="BD619" i="26"/>
  <c r="BE619" i="26"/>
  <c r="BF619" i="26"/>
  <c r="AM620" i="26"/>
  <c r="AQ620" i="26"/>
  <c r="AR620" i="26"/>
  <c r="AS620" i="26"/>
  <c r="AN620" i="26" s="1"/>
  <c r="AX620" i="26"/>
  <c r="AY620" i="26"/>
  <c r="AZ620" i="26"/>
  <c r="BB620" i="26"/>
  <c r="BC620" i="26"/>
  <c r="BD620" i="26"/>
  <c r="BE620" i="26"/>
  <c r="BF620" i="26"/>
  <c r="AQ621" i="26"/>
  <c r="AR621" i="26"/>
  <c r="AM621" i="26" s="1"/>
  <c r="AS621" i="26"/>
  <c r="AN621" i="26" s="1"/>
  <c r="AX621" i="26"/>
  <c r="AY621" i="26"/>
  <c r="AZ621" i="26"/>
  <c r="BB621" i="26"/>
  <c r="BC621" i="26"/>
  <c r="BD621" i="26"/>
  <c r="BE621" i="26"/>
  <c r="BF621" i="26"/>
  <c r="AQ622" i="26"/>
  <c r="AR622" i="26"/>
  <c r="AM622" i="26" s="1"/>
  <c r="AS622" i="26"/>
  <c r="AN622" i="26" s="1"/>
  <c r="AX622" i="26"/>
  <c r="AY622" i="26"/>
  <c r="AZ622" i="26"/>
  <c r="BB622" i="26"/>
  <c r="BC622" i="26"/>
  <c r="BD622" i="26"/>
  <c r="BE622" i="26"/>
  <c r="BF622" i="26"/>
  <c r="AQ623" i="26"/>
  <c r="AR623" i="26"/>
  <c r="AM623" i="26" s="1"/>
  <c r="AS623" i="26"/>
  <c r="AN623" i="26" s="1"/>
  <c r="AX623" i="26"/>
  <c r="AY623" i="26"/>
  <c r="AZ623" i="26"/>
  <c r="BB623" i="26"/>
  <c r="BC623" i="26"/>
  <c r="BD623" i="26"/>
  <c r="BE623" i="26"/>
  <c r="BF623" i="26"/>
  <c r="AQ624" i="26"/>
  <c r="AR624" i="26"/>
  <c r="AM624" i="26" s="1"/>
  <c r="AS624" i="26"/>
  <c r="AN624" i="26" s="1"/>
  <c r="AX624" i="26"/>
  <c r="AY624" i="26"/>
  <c r="AZ624" i="26"/>
  <c r="BB624" i="26"/>
  <c r="BC624" i="26"/>
  <c r="BD624" i="26"/>
  <c r="BE624" i="26"/>
  <c r="BF624" i="26"/>
  <c r="AQ625" i="26"/>
  <c r="AR625" i="26"/>
  <c r="AM625" i="26" s="1"/>
  <c r="AS625" i="26"/>
  <c r="AN625" i="26" s="1"/>
  <c r="AX625" i="26"/>
  <c r="AY625" i="26"/>
  <c r="AZ625" i="26"/>
  <c r="BB625" i="26"/>
  <c r="BC625" i="26"/>
  <c r="BD625" i="26"/>
  <c r="BE625" i="26"/>
  <c r="BF625" i="26"/>
  <c r="AQ626" i="26"/>
  <c r="AR626" i="26"/>
  <c r="AM626" i="26" s="1"/>
  <c r="AS626" i="26"/>
  <c r="AN626" i="26" s="1"/>
  <c r="AX626" i="26"/>
  <c r="AY626" i="26"/>
  <c r="AZ626" i="26"/>
  <c r="BB626" i="26"/>
  <c r="BC626" i="26"/>
  <c r="BD626" i="26"/>
  <c r="BE626" i="26"/>
  <c r="BF626" i="26"/>
  <c r="AQ627" i="26"/>
  <c r="AR627" i="26"/>
  <c r="AM627" i="26" s="1"/>
  <c r="AS627" i="26"/>
  <c r="AN627" i="26" s="1"/>
  <c r="AX627" i="26"/>
  <c r="AY627" i="26"/>
  <c r="AZ627" i="26"/>
  <c r="BB627" i="26"/>
  <c r="BC627" i="26"/>
  <c r="BD627" i="26"/>
  <c r="BE627" i="26"/>
  <c r="BF627" i="26"/>
  <c r="AQ628" i="26"/>
  <c r="AR628" i="26"/>
  <c r="AM628" i="26" s="1"/>
  <c r="AS628" i="26"/>
  <c r="AN628" i="26" s="1"/>
  <c r="AX628" i="26"/>
  <c r="AY628" i="26"/>
  <c r="AZ628" i="26"/>
  <c r="BB628" i="26"/>
  <c r="BC628" i="26"/>
  <c r="BD628" i="26"/>
  <c r="BE628" i="26"/>
  <c r="BF628" i="26"/>
  <c r="AQ629" i="26"/>
  <c r="AR629" i="26"/>
  <c r="AM629" i="26" s="1"/>
  <c r="AS629" i="26"/>
  <c r="AN629" i="26" s="1"/>
  <c r="AX629" i="26"/>
  <c r="AY629" i="26"/>
  <c r="AZ629" i="26"/>
  <c r="BB629" i="26"/>
  <c r="BC629" i="26"/>
  <c r="BD629" i="26"/>
  <c r="BE629" i="26"/>
  <c r="BF629" i="26"/>
  <c r="AQ630" i="26"/>
  <c r="AR630" i="26"/>
  <c r="AM630" i="26" s="1"/>
  <c r="AS630" i="26"/>
  <c r="AN630" i="26" s="1"/>
  <c r="AX630" i="26"/>
  <c r="AY630" i="26"/>
  <c r="AZ630" i="26"/>
  <c r="BB630" i="26"/>
  <c r="BC630" i="26"/>
  <c r="BD630" i="26"/>
  <c r="BE630" i="26"/>
  <c r="BF630" i="26"/>
  <c r="AQ631" i="26"/>
  <c r="AR631" i="26"/>
  <c r="AM631" i="26" s="1"/>
  <c r="AS631" i="26"/>
  <c r="AN631" i="26" s="1"/>
  <c r="AX631" i="26"/>
  <c r="AY631" i="26"/>
  <c r="AZ631" i="26"/>
  <c r="BB631" i="26"/>
  <c r="BC631" i="26"/>
  <c r="BD631" i="26"/>
  <c r="BE631" i="26"/>
  <c r="BF631" i="26"/>
  <c r="AQ632" i="26"/>
  <c r="AR632" i="26"/>
  <c r="AM632" i="26" s="1"/>
  <c r="AS632" i="26"/>
  <c r="AN632" i="26" s="1"/>
  <c r="AX632" i="26"/>
  <c r="AY632" i="26"/>
  <c r="AZ632" i="26"/>
  <c r="BB632" i="26"/>
  <c r="BC632" i="26"/>
  <c r="BD632" i="26"/>
  <c r="BE632" i="26"/>
  <c r="BF632" i="26"/>
  <c r="AQ633" i="26"/>
  <c r="AR633" i="26"/>
  <c r="AM633" i="26" s="1"/>
  <c r="AS633" i="26"/>
  <c r="AN633" i="26" s="1"/>
  <c r="AX633" i="26"/>
  <c r="AY633" i="26"/>
  <c r="AZ633" i="26"/>
  <c r="BB633" i="26"/>
  <c r="BC633" i="26"/>
  <c r="BD633" i="26"/>
  <c r="BE633" i="26"/>
  <c r="BF633" i="26"/>
  <c r="AQ634" i="26"/>
  <c r="AR634" i="26"/>
  <c r="AM634" i="26" s="1"/>
  <c r="AS634" i="26"/>
  <c r="AN634" i="26" s="1"/>
  <c r="AX634" i="26"/>
  <c r="AY634" i="26"/>
  <c r="AZ634" i="26"/>
  <c r="BB634" i="26"/>
  <c r="BC634" i="26"/>
  <c r="BD634" i="26"/>
  <c r="BE634" i="26"/>
  <c r="BF634" i="26"/>
  <c r="AQ635" i="26"/>
  <c r="AR635" i="26"/>
  <c r="AM635" i="26" s="1"/>
  <c r="AS635" i="26"/>
  <c r="AN635" i="26" s="1"/>
  <c r="AX635" i="26"/>
  <c r="AY635" i="26"/>
  <c r="AZ635" i="26"/>
  <c r="BB635" i="26"/>
  <c r="BC635" i="26"/>
  <c r="BD635" i="26"/>
  <c r="BE635" i="26"/>
  <c r="BF635" i="26"/>
  <c r="AQ636" i="26"/>
  <c r="AR636" i="26"/>
  <c r="AM636" i="26" s="1"/>
  <c r="AS636" i="26"/>
  <c r="AN636" i="26" s="1"/>
  <c r="AX636" i="26"/>
  <c r="AY636" i="26"/>
  <c r="AZ636" i="26"/>
  <c r="BB636" i="26"/>
  <c r="BC636" i="26"/>
  <c r="BD636" i="26"/>
  <c r="BE636" i="26"/>
  <c r="BF636" i="26"/>
  <c r="AQ637" i="26"/>
  <c r="AR637" i="26"/>
  <c r="AM637" i="26" s="1"/>
  <c r="AS637" i="26"/>
  <c r="AN637" i="26" s="1"/>
  <c r="AX637" i="26"/>
  <c r="AY637" i="26"/>
  <c r="AZ637" i="26"/>
  <c r="BB637" i="26"/>
  <c r="BC637" i="26"/>
  <c r="BD637" i="26"/>
  <c r="BE637" i="26"/>
  <c r="BF637" i="26"/>
  <c r="AQ638" i="26"/>
  <c r="AR638" i="26"/>
  <c r="AM638" i="26" s="1"/>
  <c r="AS638" i="26"/>
  <c r="AN638" i="26" s="1"/>
  <c r="AX638" i="26"/>
  <c r="AY638" i="26"/>
  <c r="AZ638" i="26"/>
  <c r="BB638" i="26"/>
  <c r="BC638" i="26"/>
  <c r="BD638" i="26"/>
  <c r="BE638" i="26"/>
  <c r="BF638" i="26"/>
  <c r="AQ639" i="26"/>
  <c r="AR639" i="26"/>
  <c r="AM639" i="26" s="1"/>
  <c r="AS639" i="26"/>
  <c r="AN639" i="26" s="1"/>
  <c r="AX639" i="26"/>
  <c r="AY639" i="26"/>
  <c r="AZ639" i="26"/>
  <c r="BB639" i="26"/>
  <c r="BC639" i="26"/>
  <c r="BD639" i="26"/>
  <c r="BE639" i="26"/>
  <c r="BF639" i="26"/>
  <c r="AQ640" i="26"/>
  <c r="AR640" i="26"/>
  <c r="AM640" i="26" s="1"/>
  <c r="AS640" i="26"/>
  <c r="AN640" i="26" s="1"/>
  <c r="AX640" i="26"/>
  <c r="AY640" i="26"/>
  <c r="AZ640" i="26"/>
  <c r="BB640" i="26"/>
  <c r="BC640" i="26"/>
  <c r="BD640" i="26"/>
  <c r="BE640" i="26"/>
  <c r="BF640" i="26"/>
  <c r="AQ641" i="26"/>
  <c r="AR641" i="26"/>
  <c r="AM641" i="26" s="1"/>
  <c r="AS641" i="26"/>
  <c r="AN641" i="26" s="1"/>
  <c r="AX641" i="26"/>
  <c r="AY641" i="26"/>
  <c r="AZ641" i="26"/>
  <c r="BB641" i="26"/>
  <c r="BC641" i="26"/>
  <c r="BD641" i="26"/>
  <c r="BE641" i="26"/>
  <c r="BF641" i="26"/>
  <c r="AQ642" i="26"/>
  <c r="AR642" i="26"/>
  <c r="AM642" i="26" s="1"/>
  <c r="AS642" i="26"/>
  <c r="AN642" i="26" s="1"/>
  <c r="AX642" i="26"/>
  <c r="AY642" i="26"/>
  <c r="AZ642" i="26"/>
  <c r="BB642" i="26"/>
  <c r="BC642" i="26"/>
  <c r="BD642" i="26"/>
  <c r="BE642" i="26"/>
  <c r="BF642" i="26"/>
  <c r="AQ643" i="26"/>
  <c r="AR643" i="26"/>
  <c r="AM643" i="26" s="1"/>
  <c r="AS643" i="26"/>
  <c r="AN643" i="26" s="1"/>
  <c r="AX643" i="26"/>
  <c r="AY643" i="26"/>
  <c r="AZ643" i="26"/>
  <c r="BB643" i="26"/>
  <c r="BC643" i="26"/>
  <c r="BD643" i="26"/>
  <c r="BE643" i="26"/>
  <c r="BF643" i="26"/>
  <c r="AQ644" i="26"/>
  <c r="AR644" i="26"/>
  <c r="AM644" i="26" s="1"/>
  <c r="AS644" i="26"/>
  <c r="AN644" i="26" s="1"/>
  <c r="AX644" i="26"/>
  <c r="AY644" i="26"/>
  <c r="AZ644" i="26"/>
  <c r="BB644" i="26"/>
  <c r="BC644" i="26"/>
  <c r="BD644" i="26"/>
  <c r="BE644" i="26"/>
  <c r="BF644" i="26"/>
  <c r="AM645" i="26"/>
  <c r="AN645" i="26"/>
  <c r="AQ645" i="26"/>
  <c r="AR645" i="26"/>
  <c r="AS645" i="26"/>
  <c r="AX645" i="26"/>
  <c r="AY645" i="26"/>
  <c r="AZ645" i="26"/>
  <c r="BB645" i="26"/>
  <c r="BC645" i="26"/>
  <c r="BD645" i="26"/>
  <c r="BE645" i="26"/>
  <c r="BF645" i="26"/>
  <c r="AN646" i="26"/>
  <c r="AQ646" i="26"/>
  <c r="AR646" i="26"/>
  <c r="AM646" i="26" s="1"/>
  <c r="AS646" i="26"/>
  <c r="AX646" i="26"/>
  <c r="AY646" i="26"/>
  <c r="AZ646" i="26"/>
  <c r="BB646" i="26"/>
  <c r="BC646" i="26"/>
  <c r="BD646" i="26"/>
  <c r="BE646" i="26"/>
  <c r="BF646" i="26"/>
  <c r="AQ647" i="26"/>
  <c r="AR647" i="26"/>
  <c r="AM647" i="26" s="1"/>
  <c r="AS647" i="26"/>
  <c r="AN647" i="26" s="1"/>
  <c r="AX647" i="26"/>
  <c r="AY647" i="26"/>
  <c r="AZ647" i="26"/>
  <c r="BB647" i="26"/>
  <c r="BC647" i="26"/>
  <c r="BD647" i="26"/>
  <c r="BE647" i="26"/>
  <c r="BF647" i="26"/>
  <c r="AQ648" i="26"/>
  <c r="AR648" i="26"/>
  <c r="AM648" i="26" s="1"/>
  <c r="AS648" i="26"/>
  <c r="AN648" i="26" s="1"/>
  <c r="AX648" i="26"/>
  <c r="AY648" i="26"/>
  <c r="AZ648" i="26"/>
  <c r="BB648" i="26"/>
  <c r="BC648" i="26"/>
  <c r="BD648" i="26"/>
  <c r="BE648" i="26"/>
  <c r="BF648" i="26"/>
  <c r="AQ649" i="26"/>
  <c r="AR649" i="26"/>
  <c r="AM649" i="26" s="1"/>
  <c r="AS649" i="26"/>
  <c r="AN649" i="26" s="1"/>
  <c r="AX649" i="26"/>
  <c r="AY649" i="26"/>
  <c r="AZ649" i="26"/>
  <c r="BB649" i="26"/>
  <c r="BC649" i="26"/>
  <c r="BD649" i="26"/>
  <c r="BE649" i="26"/>
  <c r="BF649" i="26"/>
  <c r="AQ650" i="26"/>
  <c r="AR650" i="26"/>
  <c r="AM650" i="26" s="1"/>
  <c r="AS650" i="26"/>
  <c r="AN650" i="26" s="1"/>
  <c r="AX650" i="26"/>
  <c r="AY650" i="26"/>
  <c r="AZ650" i="26"/>
  <c r="BB650" i="26"/>
  <c r="BC650" i="26"/>
  <c r="BD650" i="26"/>
  <c r="BE650" i="26"/>
  <c r="BF650" i="26"/>
  <c r="AQ651" i="26"/>
  <c r="AR651" i="26"/>
  <c r="AM651" i="26" s="1"/>
  <c r="AS651" i="26"/>
  <c r="AN651" i="26" s="1"/>
  <c r="AX651" i="26"/>
  <c r="AY651" i="26"/>
  <c r="AZ651" i="26"/>
  <c r="BB651" i="26"/>
  <c r="BC651" i="26"/>
  <c r="BD651" i="26"/>
  <c r="BE651" i="26"/>
  <c r="BF651" i="26"/>
  <c r="AQ652" i="26"/>
  <c r="AR652" i="26"/>
  <c r="AM652" i="26" s="1"/>
  <c r="AS652" i="26"/>
  <c r="AN652" i="26" s="1"/>
  <c r="AX652" i="26"/>
  <c r="AY652" i="26"/>
  <c r="AZ652" i="26"/>
  <c r="BB652" i="26"/>
  <c r="BC652" i="26"/>
  <c r="BD652" i="26"/>
  <c r="BE652" i="26"/>
  <c r="BF652" i="26"/>
  <c r="AQ653" i="26"/>
  <c r="AR653" i="26"/>
  <c r="AM653" i="26" s="1"/>
  <c r="AS653" i="26"/>
  <c r="AN653" i="26" s="1"/>
  <c r="AX653" i="26"/>
  <c r="AY653" i="26"/>
  <c r="AZ653" i="26"/>
  <c r="BB653" i="26"/>
  <c r="BC653" i="26"/>
  <c r="BD653" i="26"/>
  <c r="BE653" i="26"/>
  <c r="BF653" i="26"/>
  <c r="AQ654" i="26"/>
  <c r="AR654" i="26"/>
  <c r="AM654" i="26" s="1"/>
  <c r="AS654" i="26"/>
  <c r="AN654" i="26" s="1"/>
  <c r="AX654" i="26"/>
  <c r="AY654" i="26"/>
  <c r="AZ654" i="26"/>
  <c r="BB654" i="26"/>
  <c r="BC654" i="26"/>
  <c r="BD654" i="26"/>
  <c r="BE654" i="26"/>
  <c r="BF654" i="26"/>
  <c r="AQ655" i="26"/>
  <c r="AR655" i="26"/>
  <c r="AM655" i="26" s="1"/>
  <c r="AS655" i="26"/>
  <c r="AN655" i="26" s="1"/>
  <c r="AX655" i="26"/>
  <c r="AY655" i="26"/>
  <c r="AZ655" i="26"/>
  <c r="BB655" i="26"/>
  <c r="BC655" i="26"/>
  <c r="BD655" i="26"/>
  <c r="BE655" i="26"/>
  <c r="BF655" i="26"/>
  <c r="AQ656" i="26"/>
  <c r="AR656" i="26"/>
  <c r="AM656" i="26" s="1"/>
  <c r="AS656" i="26"/>
  <c r="AN656" i="26" s="1"/>
  <c r="AX656" i="26"/>
  <c r="AY656" i="26"/>
  <c r="AZ656" i="26"/>
  <c r="BB656" i="26"/>
  <c r="BC656" i="26"/>
  <c r="BD656" i="26"/>
  <c r="BE656" i="26"/>
  <c r="BF656" i="26"/>
  <c r="AQ657" i="26"/>
  <c r="AR657" i="26"/>
  <c r="AM657" i="26" s="1"/>
  <c r="AS657" i="26"/>
  <c r="AN657" i="26" s="1"/>
  <c r="AX657" i="26"/>
  <c r="AY657" i="26"/>
  <c r="AZ657" i="26"/>
  <c r="BB657" i="26"/>
  <c r="BC657" i="26"/>
  <c r="BD657" i="26"/>
  <c r="BE657" i="26"/>
  <c r="BF657" i="26"/>
  <c r="AQ658" i="26"/>
  <c r="AR658" i="26"/>
  <c r="AM658" i="26" s="1"/>
  <c r="AS658" i="26"/>
  <c r="AN658" i="26" s="1"/>
  <c r="AX658" i="26"/>
  <c r="AY658" i="26"/>
  <c r="AZ658" i="26"/>
  <c r="BB658" i="26"/>
  <c r="BC658" i="26"/>
  <c r="BD658" i="26"/>
  <c r="BE658" i="26"/>
  <c r="BF658" i="26"/>
  <c r="AQ659" i="26"/>
  <c r="AR659" i="26"/>
  <c r="AM659" i="26" s="1"/>
  <c r="AS659" i="26"/>
  <c r="AN659" i="26" s="1"/>
  <c r="AX659" i="26"/>
  <c r="AY659" i="26"/>
  <c r="AZ659" i="26"/>
  <c r="BB659" i="26"/>
  <c r="BC659" i="26"/>
  <c r="BD659" i="26"/>
  <c r="BE659" i="26"/>
  <c r="BF659" i="26"/>
  <c r="AQ660" i="26"/>
  <c r="AR660" i="26"/>
  <c r="AM660" i="26" s="1"/>
  <c r="AS660" i="26"/>
  <c r="AN660" i="26" s="1"/>
  <c r="AX660" i="26"/>
  <c r="AY660" i="26"/>
  <c r="AZ660" i="26"/>
  <c r="BB660" i="26"/>
  <c r="BC660" i="26"/>
  <c r="BD660" i="26"/>
  <c r="BE660" i="26"/>
  <c r="BF660" i="26"/>
  <c r="AQ661" i="26"/>
  <c r="AR661" i="26"/>
  <c r="AM661" i="26" s="1"/>
  <c r="AS661" i="26"/>
  <c r="AN661" i="26" s="1"/>
  <c r="AX661" i="26"/>
  <c r="AY661" i="26"/>
  <c r="AZ661" i="26"/>
  <c r="BB661" i="26"/>
  <c r="BC661" i="26"/>
  <c r="BD661" i="26"/>
  <c r="BE661" i="26"/>
  <c r="BF661" i="26"/>
  <c r="AN662" i="26"/>
  <c r="AQ662" i="26"/>
  <c r="AR662" i="26"/>
  <c r="AM662" i="26" s="1"/>
  <c r="AS662" i="26"/>
  <c r="AX662" i="26"/>
  <c r="AY662" i="26"/>
  <c r="AZ662" i="26"/>
  <c r="BB662" i="26"/>
  <c r="BC662" i="26"/>
  <c r="BD662" i="26"/>
  <c r="BE662" i="26"/>
  <c r="BF662" i="26"/>
  <c r="AQ663" i="26"/>
  <c r="AR663" i="26"/>
  <c r="AM663" i="26" s="1"/>
  <c r="AS663" i="26"/>
  <c r="AN663" i="26" s="1"/>
  <c r="AX663" i="26"/>
  <c r="AY663" i="26"/>
  <c r="AZ663" i="26"/>
  <c r="BB663" i="26"/>
  <c r="BC663" i="26"/>
  <c r="BD663" i="26"/>
  <c r="BE663" i="26"/>
  <c r="BF663" i="26"/>
  <c r="AQ664" i="26"/>
  <c r="AR664" i="26"/>
  <c r="AM664" i="26" s="1"/>
  <c r="AS664" i="26"/>
  <c r="AN664" i="26" s="1"/>
  <c r="AX664" i="26"/>
  <c r="AY664" i="26"/>
  <c r="AZ664" i="26"/>
  <c r="BB664" i="26"/>
  <c r="BC664" i="26"/>
  <c r="BD664" i="26"/>
  <c r="BE664" i="26"/>
  <c r="BF664" i="26"/>
  <c r="AQ665" i="26"/>
  <c r="AR665" i="26"/>
  <c r="AM665" i="26" s="1"/>
  <c r="AS665" i="26"/>
  <c r="AN665" i="26" s="1"/>
  <c r="AX665" i="26"/>
  <c r="AY665" i="26"/>
  <c r="AZ665" i="26"/>
  <c r="BB665" i="26"/>
  <c r="BC665" i="26"/>
  <c r="BD665" i="26"/>
  <c r="BE665" i="26"/>
  <c r="BF665" i="26"/>
  <c r="AQ666" i="26"/>
  <c r="AR666" i="26"/>
  <c r="AM666" i="26" s="1"/>
  <c r="AS666" i="26"/>
  <c r="AN666" i="26" s="1"/>
  <c r="AX666" i="26"/>
  <c r="AY666" i="26"/>
  <c r="AZ666" i="26"/>
  <c r="BB666" i="26"/>
  <c r="BC666" i="26"/>
  <c r="BD666" i="26"/>
  <c r="BE666" i="26"/>
  <c r="BF666" i="26"/>
  <c r="AQ667" i="26"/>
  <c r="AR667" i="26"/>
  <c r="AM667" i="26" s="1"/>
  <c r="AS667" i="26"/>
  <c r="AN667" i="26" s="1"/>
  <c r="AX667" i="26"/>
  <c r="AY667" i="26"/>
  <c r="AZ667" i="26"/>
  <c r="BB667" i="26"/>
  <c r="BC667" i="26"/>
  <c r="BD667" i="26"/>
  <c r="BE667" i="26"/>
  <c r="BF667" i="26"/>
  <c r="AQ668" i="26"/>
  <c r="AR668" i="26"/>
  <c r="AM668" i="26" s="1"/>
  <c r="AS668" i="26"/>
  <c r="AN668" i="26" s="1"/>
  <c r="AX668" i="26"/>
  <c r="AY668" i="26"/>
  <c r="AZ668" i="26"/>
  <c r="BB668" i="26"/>
  <c r="BC668" i="26"/>
  <c r="BD668" i="26"/>
  <c r="BE668" i="26"/>
  <c r="BF668" i="26"/>
  <c r="AQ669" i="26"/>
  <c r="AR669" i="26"/>
  <c r="AM669" i="26" s="1"/>
  <c r="AS669" i="26"/>
  <c r="AN669" i="26" s="1"/>
  <c r="AX669" i="26"/>
  <c r="AY669" i="26"/>
  <c r="AZ669" i="26"/>
  <c r="BB669" i="26"/>
  <c r="BC669" i="26"/>
  <c r="BD669" i="26"/>
  <c r="BE669" i="26"/>
  <c r="BF669" i="26"/>
  <c r="AQ670" i="26"/>
  <c r="AR670" i="26"/>
  <c r="AM670" i="26" s="1"/>
  <c r="AS670" i="26"/>
  <c r="AN670" i="26" s="1"/>
  <c r="AX670" i="26"/>
  <c r="AY670" i="26"/>
  <c r="AZ670" i="26"/>
  <c r="BB670" i="26"/>
  <c r="BC670" i="26"/>
  <c r="BD670" i="26"/>
  <c r="BE670" i="26"/>
  <c r="BF670" i="26"/>
  <c r="AN671" i="26"/>
  <c r="AQ671" i="26"/>
  <c r="AR671" i="26"/>
  <c r="AM671" i="26" s="1"/>
  <c r="AS671" i="26"/>
  <c r="AX671" i="26"/>
  <c r="AY671" i="26"/>
  <c r="AZ671" i="26"/>
  <c r="BB671" i="26"/>
  <c r="BC671" i="26"/>
  <c r="BD671" i="26"/>
  <c r="BE671" i="26"/>
  <c r="BF671" i="26"/>
  <c r="AQ672" i="26"/>
  <c r="AR672" i="26"/>
  <c r="AM672" i="26" s="1"/>
  <c r="AS672" i="26"/>
  <c r="AN672" i="26" s="1"/>
  <c r="AX672" i="26"/>
  <c r="AY672" i="26"/>
  <c r="AZ672" i="26"/>
  <c r="BB672" i="26"/>
  <c r="BC672" i="26"/>
  <c r="BD672" i="26"/>
  <c r="BE672" i="26"/>
  <c r="BF672" i="26"/>
  <c r="AQ673" i="26"/>
  <c r="AR673" i="26"/>
  <c r="AM673" i="26" s="1"/>
  <c r="AS673" i="26"/>
  <c r="AN673" i="26" s="1"/>
  <c r="AX673" i="26"/>
  <c r="AY673" i="26"/>
  <c r="AZ673" i="26"/>
  <c r="BB673" i="26"/>
  <c r="BC673" i="26"/>
  <c r="BD673" i="26"/>
  <c r="BE673" i="26"/>
  <c r="BF673" i="26"/>
  <c r="AQ674" i="26"/>
  <c r="AR674" i="26"/>
  <c r="AM674" i="26" s="1"/>
  <c r="AS674" i="26"/>
  <c r="AN674" i="26" s="1"/>
  <c r="AX674" i="26"/>
  <c r="AY674" i="26"/>
  <c r="AZ674" i="26"/>
  <c r="BB674" i="26"/>
  <c r="BC674" i="26"/>
  <c r="BD674" i="26"/>
  <c r="BE674" i="26"/>
  <c r="BF674" i="26"/>
  <c r="AQ675" i="26"/>
  <c r="AR675" i="26"/>
  <c r="AM675" i="26" s="1"/>
  <c r="AS675" i="26"/>
  <c r="AN675" i="26" s="1"/>
  <c r="AX675" i="26"/>
  <c r="AY675" i="26"/>
  <c r="AZ675" i="26"/>
  <c r="BB675" i="26"/>
  <c r="BC675" i="26"/>
  <c r="BD675" i="26"/>
  <c r="BE675" i="26"/>
  <c r="BF675" i="26"/>
  <c r="AQ676" i="26"/>
  <c r="AR676" i="26"/>
  <c r="AM676" i="26" s="1"/>
  <c r="AS676" i="26"/>
  <c r="AN676" i="26" s="1"/>
  <c r="AX676" i="26"/>
  <c r="AY676" i="26"/>
  <c r="AZ676" i="26"/>
  <c r="BB676" i="26"/>
  <c r="BC676" i="26"/>
  <c r="BD676" i="26"/>
  <c r="BE676" i="26"/>
  <c r="BF676" i="26"/>
  <c r="AQ677" i="26"/>
  <c r="AR677" i="26"/>
  <c r="AM677" i="26" s="1"/>
  <c r="AS677" i="26"/>
  <c r="AN677" i="26" s="1"/>
  <c r="AX677" i="26"/>
  <c r="AY677" i="26"/>
  <c r="AZ677" i="26"/>
  <c r="BB677" i="26"/>
  <c r="BC677" i="26"/>
  <c r="BD677" i="26"/>
  <c r="BE677" i="26"/>
  <c r="BF677" i="26"/>
  <c r="AQ678" i="26"/>
  <c r="AR678" i="26"/>
  <c r="AM678" i="26" s="1"/>
  <c r="AS678" i="26"/>
  <c r="AN678" i="26" s="1"/>
  <c r="AX678" i="26"/>
  <c r="AY678" i="26"/>
  <c r="AZ678" i="26"/>
  <c r="BB678" i="26"/>
  <c r="BC678" i="26"/>
  <c r="BD678" i="26"/>
  <c r="BE678" i="26"/>
  <c r="BF678" i="26"/>
  <c r="AF679" i="26"/>
  <c r="AQ679" i="26"/>
  <c r="AR679" i="26"/>
  <c r="AM679" i="26" s="1"/>
  <c r="AS679" i="26"/>
  <c r="AN679" i="26" s="1"/>
  <c r="AX679" i="26"/>
  <c r="AY679" i="26"/>
  <c r="AZ679" i="26"/>
  <c r="BB679" i="26"/>
  <c r="BC679" i="26"/>
  <c r="BD679" i="26"/>
  <c r="BE679" i="26"/>
  <c r="BF679" i="26"/>
  <c r="AQ680" i="26"/>
  <c r="AR680" i="26"/>
  <c r="AM680" i="26" s="1"/>
  <c r="AS680" i="26"/>
  <c r="AN680" i="26" s="1"/>
  <c r="AX680" i="26"/>
  <c r="AY680" i="26"/>
  <c r="AZ680" i="26"/>
  <c r="BB680" i="26"/>
  <c r="BC680" i="26"/>
  <c r="BD680" i="26"/>
  <c r="BE680" i="26"/>
  <c r="BF680" i="26"/>
  <c r="AQ681" i="26"/>
  <c r="AR681" i="26"/>
  <c r="AM681" i="26" s="1"/>
  <c r="AS681" i="26"/>
  <c r="AN681" i="26" s="1"/>
  <c r="AX681" i="26"/>
  <c r="AY681" i="26"/>
  <c r="AZ681" i="26"/>
  <c r="BB681" i="26"/>
  <c r="BC681" i="26"/>
  <c r="BD681" i="26"/>
  <c r="BE681" i="26"/>
  <c r="BF681" i="26"/>
  <c r="AQ682" i="26"/>
  <c r="AR682" i="26"/>
  <c r="AM682" i="26" s="1"/>
  <c r="AS682" i="26"/>
  <c r="AN682" i="26" s="1"/>
  <c r="AX682" i="26"/>
  <c r="AY682" i="26"/>
  <c r="AZ682" i="26"/>
  <c r="BB682" i="26"/>
  <c r="BC682" i="26"/>
  <c r="BD682" i="26"/>
  <c r="BE682" i="26"/>
  <c r="BF682" i="26"/>
  <c r="AQ683" i="26"/>
  <c r="AR683" i="26"/>
  <c r="AM683" i="26" s="1"/>
  <c r="AS683" i="26"/>
  <c r="AN683" i="26" s="1"/>
  <c r="AX683" i="26"/>
  <c r="AY683" i="26"/>
  <c r="AZ683" i="26"/>
  <c r="BB683" i="26"/>
  <c r="BC683" i="26"/>
  <c r="BD683" i="26"/>
  <c r="BE683" i="26"/>
  <c r="BF683" i="26"/>
  <c r="AQ684" i="26"/>
  <c r="AR684" i="26"/>
  <c r="AM684" i="26" s="1"/>
  <c r="AS684" i="26"/>
  <c r="AN684" i="26" s="1"/>
  <c r="AX684" i="26"/>
  <c r="AY684" i="26"/>
  <c r="AZ684" i="26"/>
  <c r="BB684" i="26"/>
  <c r="BC684" i="26"/>
  <c r="BD684" i="26"/>
  <c r="BE684" i="26"/>
  <c r="BF684" i="26"/>
  <c r="AQ685" i="26"/>
  <c r="AR685" i="26"/>
  <c r="AM685" i="26" s="1"/>
  <c r="AS685" i="26"/>
  <c r="AN685" i="26" s="1"/>
  <c r="AX685" i="26"/>
  <c r="AY685" i="26"/>
  <c r="AZ685" i="26"/>
  <c r="BB685" i="26"/>
  <c r="BC685" i="26"/>
  <c r="BD685" i="26"/>
  <c r="BE685" i="26"/>
  <c r="BF685" i="26"/>
  <c r="AQ686" i="26"/>
  <c r="AR686" i="26"/>
  <c r="AM686" i="26" s="1"/>
  <c r="AS686" i="26"/>
  <c r="AN686" i="26" s="1"/>
  <c r="AX686" i="26"/>
  <c r="AY686" i="26"/>
  <c r="AZ686" i="26"/>
  <c r="BB686" i="26"/>
  <c r="BC686" i="26"/>
  <c r="BD686" i="26"/>
  <c r="BE686" i="26"/>
  <c r="BF686" i="26"/>
  <c r="AQ687" i="26"/>
  <c r="AR687" i="26"/>
  <c r="AM687" i="26" s="1"/>
  <c r="AS687" i="26"/>
  <c r="AN687" i="26" s="1"/>
  <c r="AX687" i="26"/>
  <c r="AY687" i="26"/>
  <c r="AZ687" i="26"/>
  <c r="BB687" i="26"/>
  <c r="BC687" i="26"/>
  <c r="BD687" i="26"/>
  <c r="BE687" i="26"/>
  <c r="BF687" i="26"/>
  <c r="AQ688" i="26"/>
  <c r="AR688" i="26"/>
  <c r="AM688" i="26" s="1"/>
  <c r="AS688" i="26"/>
  <c r="AN688" i="26" s="1"/>
  <c r="AX688" i="26"/>
  <c r="AY688" i="26"/>
  <c r="AZ688" i="26"/>
  <c r="BB688" i="26"/>
  <c r="BC688" i="26"/>
  <c r="BD688" i="26"/>
  <c r="BE688" i="26"/>
  <c r="BF688" i="26"/>
  <c r="AQ689" i="26"/>
  <c r="AR689" i="26"/>
  <c r="AM689" i="26" s="1"/>
  <c r="AS689" i="26"/>
  <c r="AN689" i="26" s="1"/>
  <c r="AX689" i="26"/>
  <c r="AY689" i="26"/>
  <c r="AZ689" i="26"/>
  <c r="BB689" i="26"/>
  <c r="BC689" i="26"/>
  <c r="BD689" i="26"/>
  <c r="BE689" i="26"/>
  <c r="BF689" i="26"/>
  <c r="AQ690" i="26"/>
  <c r="AR690" i="26"/>
  <c r="AM690" i="26" s="1"/>
  <c r="AS690" i="26"/>
  <c r="AN690" i="26" s="1"/>
  <c r="AX690" i="26"/>
  <c r="AY690" i="26"/>
  <c r="AZ690" i="26"/>
  <c r="BB690" i="26"/>
  <c r="BC690" i="26"/>
  <c r="BD690" i="26"/>
  <c r="BE690" i="26"/>
  <c r="BF690" i="26"/>
  <c r="AQ691" i="26"/>
  <c r="AR691" i="26"/>
  <c r="AM691" i="26" s="1"/>
  <c r="AS691" i="26"/>
  <c r="AN691" i="26" s="1"/>
  <c r="AX691" i="26"/>
  <c r="AY691" i="26"/>
  <c r="AZ691" i="26"/>
  <c r="BB691" i="26"/>
  <c r="BC691" i="26"/>
  <c r="BD691" i="26"/>
  <c r="BE691" i="26"/>
  <c r="BF691" i="26"/>
  <c r="AQ692" i="26"/>
  <c r="AR692" i="26"/>
  <c r="AM692" i="26" s="1"/>
  <c r="AS692" i="26"/>
  <c r="AN692" i="26" s="1"/>
  <c r="AX692" i="26"/>
  <c r="AY692" i="26"/>
  <c r="AZ692" i="26"/>
  <c r="BB692" i="26"/>
  <c r="BC692" i="26"/>
  <c r="BD692" i="26"/>
  <c r="BE692" i="26"/>
  <c r="BF692" i="26"/>
  <c r="AM693" i="26"/>
  <c r="AQ693" i="26"/>
  <c r="AR693" i="26"/>
  <c r="AS693" i="26"/>
  <c r="AN693" i="26" s="1"/>
  <c r="AX693" i="26"/>
  <c r="AY693" i="26"/>
  <c r="AZ693" i="26"/>
  <c r="BB693" i="26"/>
  <c r="BC693" i="26"/>
  <c r="BD693" i="26"/>
  <c r="BE693" i="26"/>
  <c r="BF693" i="26"/>
  <c r="AQ694" i="26"/>
  <c r="AR694" i="26"/>
  <c r="AM694" i="26" s="1"/>
  <c r="AS694" i="26"/>
  <c r="AN694" i="26" s="1"/>
  <c r="AX694" i="26"/>
  <c r="AY694" i="26"/>
  <c r="AZ694" i="26"/>
  <c r="BB694" i="26"/>
  <c r="BC694" i="26"/>
  <c r="BD694" i="26"/>
  <c r="BE694" i="26"/>
  <c r="BF694" i="26"/>
  <c r="AQ695" i="26"/>
  <c r="AR695" i="26"/>
  <c r="AM695" i="26" s="1"/>
  <c r="AS695" i="26"/>
  <c r="AN695" i="26" s="1"/>
  <c r="AX695" i="26"/>
  <c r="AY695" i="26"/>
  <c r="AZ695" i="26"/>
  <c r="BB695" i="26"/>
  <c r="BC695" i="26"/>
  <c r="BD695" i="26"/>
  <c r="BE695" i="26"/>
  <c r="BF695" i="26"/>
  <c r="AQ696" i="26"/>
  <c r="AR696" i="26"/>
  <c r="AM696" i="26" s="1"/>
  <c r="AS696" i="26"/>
  <c r="AN696" i="26" s="1"/>
  <c r="AX696" i="26"/>
  <c r="AY696" i="26"/>
  <c r="AZ696" i="26"/>
  <c r="BB696" i="26"/>
  <c r="BC696" i="26"/>
  <c r="BD696" i="26"/>
  <c r="BE696" i="26"/>
  <c r="BF696" i="26"/>
  <c r="AQ697" i="26"/>
  <c r="AR697" i="26"/>
  <c r="AM697" i="26" s="1"/>
  <c r="AS697" i="26"/>
  <c r="AN697" i="26" s="1"/>
  <c r="AX697" i="26"/>
  <c r="AY697" i="26"/>
  <c r="AZ697" i="26"/>
  <c r="BB697" i="26"/>
  <c r="BC697" i="26"/>
  <c r="BD697" i="26"/>
  <c r="BE697" i="26"/>
  <c r="BF697" i="26"/>
  <c r="AQ698" i="26"/>
  <c r="AR698" i="26"/>
  <c r="AM698" i="26" s="1"/>
  <c r="AS698" i="26"/>
  <c r="AN698" i="26" s="1"/>
  <c r="AX698" i="26"/>
  <c r="AY698" i="26"/>
  <c r="AZ698" i="26"/>
  <c r="BB698" i="26"/>
  <c r="BC698" i="26"/>
  <c r="AL698" i="26" s="1"/>
  <c r="BD698" i="26"/>
  <c r="BE698" i="26"/>
  <c r="BF698" i="26"/>
  <c r="AQ699" i="26"/>
  <c r="AR699" i="26"/>
  <c r="AM699" i="26" s="1"/>
  <c r="AS699" i="26"/>
  <c r="AN699" i="26" s="1"/>
  <c r="AX699" i="26"/>
  <c r="AY699" i="26"/>
  <c r="AZ699" i="26"/>
  <c r="BB699" i="26"/>
  <c r="BC699" i="26"/>
  <c r="BD699" i="26"/>
  <c r="BE699" i="26"/>
  <c r="BF699" i="26"/>
  <c r="AQ700" i="26"/>
  <c r="AR700" i="26"/>
  <c r="AM700" i="26" s="1"/>
  <c r="AS700" i="26"/>
  <c r="AN700" i="26" s="1"/>
  <c r="AX700" i="26"/>
  <c r="AY700" i="26"/>
  <c r="AZ700" i="26"/>
  <c r="BB700" i="26"/>
  <c r="BC700" i="26"/>
  <c r="BD700" i="26"/>
  <c r="BE700" i="26"/>
  <c r="BF700" i="26"/>
  <c r="AQ701" i="26"/>
  <c r="AR701" i="26"/>
  <c r="AM701" i="26" s="1"/>
  <c r="AS701" i="26"/>
  <c r="AN701" i="26" s="1"/>
  <c r="AX701" i="26"/>
  <c r="AY701" i="26"/>
  <c r="AZ701" i="26"/>
  <c r="BB701" i="26"/>
  <c r="BC701" i="26"/>
  <c r="BD701" i="26"/>
  <c r="BE701" i="26"/>
  <c r="BF701" i="26"/>
  <c r="AQ702" i="26"/>
  <c r="AR702" i="26"/>
  <c r="AM702" i="26" s="1"/>
  <c r="AS702" i="26"/>
  <c r="AN702" i="26" s="1"/>
  <c r="AX702" i="26"/>
  <c r="AY702" i="26"/>
  <c r="AZ702" i="26"/>
  <c r="BB702" i="26"/>
  <c r="BC702" i="26"/>
  <c r="BD702" i="26"/>
  <c r="BE702" i="26"/>
  <c r="BF702" i="26"/>
  <c r="AQ703" i="26"/>
  <c r="AR703" i="26"/>
  <c r="AM703" i="26" s="1"/>
  <c r="AS703" i="26"/>
  <c r="AN703" i="26" s="1"/>
  <c r="AX703" i="26"/>
  <c r="AY703" i="26"/>
  <c r="AZ703" i="26"/>
  <c r="BB703" i="26"/>
  <c r="BC703" i="26"/>
  <c r="BD703" i="26"/>
  <c r="BE703" i="26"/>
  <c r="BF703" i="26"/>
  <c r="AQ704" i="26"/>
  <c r="AR704" i="26"/>
  <c r="AM704" i="26" s="1"/>
  <c r="AS704" i="26"/>
  <c r="AN704" i="26" s="1"/>
  <c r="AX704" i="26"/>
  <c r="AY704" i="26"/>
  <c r="AZ704" i="26"/>
  <c r="BB704" i="26"/>
  <c r="BC704" i="26"/>
  <c r="BD704" i="26"/>
  <c r="BE704" i="26"/>
  <c r="BF704" i="26"/>
  <c r="AQ705" i="26"/>
  <c r="AR705" i="26"/>
  <c r="AM705" i="26" s="1"/>
  <c r="AS705" i="26"/>
  <c r="AN705" i="26" s="1"/>
  <c r="AX705" i="26"/>
  <c r="AY705" i="26"/>
  <c r="AZ705" i="26"/>
  <c r="BB705" i="26"/>
  <c r="BC705" i="26"/>
  <c r="BD705" i="26"/>
  <c r="BE705" i="26"/>
  <c r="BF705" i="26"/>
  <c r="AQ706" i="26"/>
  <c r="AR706" i="26"/>
  <c r="AM706" i="26" s="1"/>
  <c r="AS706" i="26"/>
  <c r="AN706" i="26" s="1"/>
  <c r="AX706" i="26"/>
  <c r="AY706" i="26"/>
  <c r="AZ706" i="26"/>
  <c r="BB706" i="26"/>
  <c r="BC706" i="26"/>
  <c r="BD706" i="26"/>
  <c r="BE706" i="26"/>
  <c r="BF706" i="26"/>
  <c r="AQ707" i="26"/>
  <c r="AR707" i="26"/>
  <c r="AM707" i="26" s="1"/>
  <c r="AS707" i="26"/>
  <c r="AN707" i="26" s="1"/>
  <c r="AX707" i="26"/>
  <c r="AY707" i="26"/>
  <c r="AZ707" i="26"/>
  <c r="BB707" i="26"/>
  <c r="BC707" i="26"/>
  <c r="BD707" i="26"/>
  <c r="BE707" i="26"/>
  <c r="BF707" i="26"/>
  <c r="AQ708" i="26"/>
  <c r="AR708" i="26"/>
  <c r="AM708" i="26" s="1"/>
  <c r="AS708" i="26"/>
  <c r="AN708" i="26" s="1"/>
  <c r="AX708" i="26"/>
  <c r="AY708" i="26"/>
  <c r="AZ708" i="26"/>
  <c r="BB708" i="26"/>
  <c r="BC708" i="26"/>
  <c r="BD708" i="26"/>
  <c r="BE708" i="26"/>
  <c r="BF708" i="26"/>
  <c r="AQ709" i="26"/>
  <c r="AR709" i="26"/>
  <c r="AM709" i="26" s="1"/>
  <c r="AS709" i="26"/>
  <c r="AN709" i="26" s="1"/>
  <c r="AX709" i="26"/>
  <c r="AY709" i="26"/>
  <c r="AZ709" i="26"/>
  <c r="BB709" i="26"/>
  <c r="BC709" i="26"/>
  <c r="BD709" i="26"/>
  <c r="BE709" i="26"/>
  <c r="BF709" i="26"/>
  <c r="AQ710" i="26"/>
  <c r="AR710" i="26"/>
  <c r="AM710" i="26" s="1"/>
  <c r="AS710" i="26"/>
  <c r="AN710" i="26" s="1"/>
  <c r="AX710" i="26"/>
  <c r="AY710" i="26"/>
  <c r="AZ710" i="26"/>
  <c r="BB710" i="26"/>
  <c r="BC710" i="26"/>
  <c r="BD710" i="26"/>
  <c r="BE710" i="26"/>
  <c r="BF710" i="26"/>
  <c r="AQ711" i="26"/>
  <c r="AR711" i="26"/>
  <c r="AM711" i="26" s="1"/>
  <c r="AS711" i="26"/>
  <c r="AN711" i="26" s="1"/>
  <c r="AX711" i="26"/>
  <c r="AY711" i="26"/>
  <c r="AZ711" i="26"/>
  <c r="BB711" i="26"/>
  <c r="BC711" i="26"/>
  <c r="BD711" i="26"/>
  <c r="BE711" i="26"/>
  <c r="BF711" i="26"/>
  <c r="AQ712" i="26"/>
  <c r="AR712" i="26"/>
  <c r="AM712" i="26" s="1"/>
  <c r="AS712" i="26"/>
  <c r="AN712" i="26" s="1"/>
  <c r="AX712" i="26"/>
  <c r="AY712" i="26"/>
  <c r="AZ712" i="26"/>
  <c r="BB712" i="26"/>
  <c r="BC712" i="26"/>
  <c r="BD712" i="26"/>
  <c r="BE712" i="26"/>
  <c r="BF712" i="26"/>
  <c r="AQ713" i="26"/>
  <c r="AR713" i="26"/>
  <c r="AM713" i="26" s="1"/>
  <c r="AS713" i="26"/>
  <c r="AN713" i="26" s="1"/>
  <c r="AX713" i="26"/>
  <c r="AY713" i="26"/>
  <c r="AZ713" i="26"/>
  <c r="BB713" i="26"/>
  <c r="BC713" i="26"/>
  <c r="BD713" i="26"/>
  <c r="BE713" i="26"/>
  <c r="BF713" i="26"/>
  <c r="AQ714" i="26"/>
  <c r="AR714" i="26"/>
  <c r="AM714" i="26" s="1"/>
  <c r="AS714" i="26"/>
  <c r="AN714" i="26" s="1"/>
  <c r="AX714" i="26"/>
  <c r="AY714" i="26"/>
  <c r="AZ714" i="26"/>
  <c r="BB714" i="26"/>
  <c r="BC714" i="26"/>
  <c r="BD714" i="26"/>
  <c r="BE714" i="26"/>
  <c r="BF714" i="26"/>
  <c r="AQ715" i="26"/>
  <c r="AR715" i="26"/>
  <c r="AM715" i="26" s="1"/>
  <c r="AS715" i="26"/>
  <c r="AN715" i="26" s="1"/>
  <c r="AX715" i="26"/>
  <c r="AY715" i="26"/>
  <c r="AZ715" i="26"/>
  <c r="BB715" i="26"/>
  <c r="BC715" i="26"/>
  <c r="BD715" i="26"/>
  <c r="BE715" i="26"/>
  <c r="BF715" i="26"/>
  <c r="AQ716" i="26"/>
  <c r="AR716" i="26"/>
  <c r="AM716" i="26" s="1"/>
  <c r="AS716" i="26"/>
  <c r="AN716" i="26" s="1"/>
  <c r="AX716" i="26"/>
  <c r="AY716" i="26"/>
  <c r="AZ716" i="26"/>
  <c r="BB716" i="26"/>
  <c r="BC716" i="26"/>
  <c r="BD716" i="26"/>
  <c r="BE716" i="26"/>
  <c r="BF716" i="26"/>
  <c r="AQ717" i="26"/>
  <c r="AR717" i="26"/>
  <c r="AM717" i="26" s="1"/>
  <c r="AS717" i="26"/>
  <c r="AN717" i="26" s="1"/>
  <c r="AX717" i="26"/>
  <c r="AY717" i="26"/>
  <c r="AZ717" i="26"/>
  <c r="BB717" i="26"/>
  <c r="BC717" i="26"/>
  <c r="BD717" i="26"/>
  <c r="BE717" i="26"/>
  <c r="BF717" i="26"/>
  <c r="AQ718" i="26"/>
  <c r="AR718" i="26"/>
  <c r="AM718" i="26" s="1"/>
  <c r="AS718" i="26"/>
  <c r="AN718" i="26" s="1"/>
  <c r="AX718" i="26"/>
  <c r="AY718" i="26"/>
  <c r="AZ718" i="26"/>
  <c r="BB718" i="26"/>
  <c r="BC718" i="26"/>
  <c r="BD718" i="26"/>
  <c r="BE718" i="26"/>
  <c r="BF718" i="26"/>
  <c r="AQ719" i="26"/>
  <c r="AR719" i="26"/>
  <c r="AM719" i="26" s="1"/>
  <c r="AS719" i="26"/>
  <c r="AN719" i="26" s="1"/>
  <c r="AX719" i="26"/>
  <c r="AY719" i="26"/>
  <c r="AZ719" i="26"/>
  <c r="BB719" i="26"/>
  <c r="BC719" i="26"/>
  <c r="BD719" i="26"/>
  <c r="BE719" i="26"/>
  <c r="BF719" i="26"/>
  <c r="AQ720" i="26"/>
  <c r="AR720" i="26"/>
  <c r="AM720" i="26" s="1"/>
  <c r="AS720" i="26"/>
  <c r="AN720" i="26" s="1"/>
  <c r="AX720" i="26"/>
  <c r="AY720" i="26"/>
  <c r="AZ720" i="26"/>
  <c r="BB720" i="26"/>
  <c r="BC720" i="26"/>
  <c r="BD720" i="26"/>
  <c r="BE720" i="26"/>
  <c r="BF720" i="26"/>
  <c r="AQ721" i="26"/>
  <c r="AR721" i="26"/>
  <c r="AM721" i="26" s="1"/>
  <c r="AS721" i="26"/>
  <c r="AN721" i="26" s="1"/>
  <c r="AX721" i="26"/>
  <c r="AY721" i="26"/>
  <c r="AZ721" i="26"/>
  <c r="BB721" i="26"/>
  <c r="BC721" i="26"/>
  <c r="BD721" i="26"/>
  <c r="BE721" i="26"/>
  <c r="BF721" i="26"/>
  <c r="AQ722" i="26"/>
  <c r="AR722" i="26"/>
  <c r="AM722" i="26" s="1"/>
  <c r="AS722" i="26"/>
  <c r="AN722" i="26" s="1"/>
  <c r="AX722" i="26"/>
  <c r="AY722" i="26"/>
  <c r="AZ722" i="26"/>
  <c r="BB722" i="26"/>
  <c r="BC722" i="26"/>
  <c r="BD722" i="26"/>
  <c r="BE722" i="26"/>
  <c r="BF722" i="26"/>
  <c r="AQ723" i="26"/>
  <c r="AR723" i="26"/>
  <c r="AM723" i="26" s="1"/>
  <c r="AS723" i="26"/>
  <c r="AN723" i="26" s="1"/>
  <c r="AX723" i="26"/>
  <c r="AY723" i="26"/>
  <c r="AZ723" i="26"/>
  <c r="BB723" i="26"/>
  <c r="BC723" i="26"/>
  <c r="BD723" i="26"/>
  <c r="BE723" i="26"/>
  <c r="BF723" i="26"/>
  <c r="AN724" i="26"/>
  <c r="AQ724" i="26"/>
  <c r="AR724" i="26"/>
  <c r="AM724" i="26" s="1"/>
  <c r="AS724" i="26"/>
  <c r="AX724" i="26"/>
  <c r="AY724" i="26"/>
  <c r="AZ724" i="26"/>
  <c r="BB724" i="26"/>
  <c r="BC724" i="26"/>
  <c r="BD724" i="26"/>
  <c r="BE724" i="26"/>
  <c r="BF724" i="26"/>
  <c r="AQ725" i="26"/>
  <c r="AR725" i="26"/>
  <c r="AM725" i="26" s="1"/>
  <c r="AS725" i="26"/>
  <c r="AN725" i="26" s="1"/>
  <c r="AX725" i="26"/>
  <c r="AY725" i="26"/>
  <c r="AZ725" i="26"/>
  <c r="BB725" i="26"/>
  <c r="BC725" i="26"/>
  <c r="BD725" i="26"/>
  <c r="AL725" i="26" s="1"/>
  <c r="BE725" i="26"/>
  <c r="BF725" i="26"/>
  <c r="AQ726" i="26"/>
  <c r="AR726" i="26"/>
  <c r="AM726" i="26" s="1"/>
  <c r="AS726" i="26"/>
  <c r="AN726" i="26" s="1"/>
  <c r="AX726" i="26"/>
  <c r="AY726" i="26"/>
  <c r="AZ726" i="26"/>
  <c r="BB726" i="26"/>
  <c r="BC726" i="26"/>
  <c r="BD726" i="26"/>
  <c r="BE726" i="26"/>
  <c r="BF726" i="26"/>
  <c r="AQ727" i="26"/>
  <c r="AR727" i="26"/>
  <c r="AM727" i="26" s="1"/>
  <c r="AS727" i="26"/>
  <c r="AN727" i="26" s="1"/>
  <c r="AX727" i="26"/>
  <c r="AY727" i="26"/>
  <c r="AZ727" i="26"/>
  <c r="BB727" i="26"/>
  <c r="BC727" i="26"/>
  <c r="BD727" i="26"/>
  <c r="BE727" i="26"/>
  <c r="BF727" i="26"/>
  <c r="AQ728" i="26"/>
  <c r="AR728" i="26"/>
  <c r="AM728" i="26" s="1"/>
  <c r="AS728" i="26"/>
  <c r="AN728" i="26" s="1"/>
  <c r="AX728" i="26"/>
  <c r="AY728" i="26"/>
  <c r="AZ728" i="26"/>
  <c r="BB728" i="26"/>
  <c r="BC728" i="26"/>
  <c r="BD728" i="26"/>
  <c r="BE728" i="26"/>
  <c r="BF728" i="26"/>
  <c r="AQ729" i="26"/>
  <c r="AR729" i="26"/>
  <c r="AM729" i="26" s="1"/>
  <c r="AS729" i="26"/>
  <c r="AN729" i="26" s="1"/>
  <c r="AX729" i="26"/>
  <c r="AY729" i="26"/>
  <c r="AZ729" i="26"/>
  <c r="BB729" i="26"/>
  <c r="BC729" i="26"/>
  <c r="BD729" i="26"/>
  <c r="BE729" i="26"/>
  <c r="BF729" i="26"/>
  <c r="AQ730" i="26"/>
  <c r="AR730" i="26"/>
  <c r="AM730" i="26" s="1"/>
  <c r="AS730" i="26"/>
  <c r="AN730" i="26" s="1"/>
  <c r="AX730" i="26"/>
  <c r="AY730" i="26"/>
  <c r="AZ730" i="26"/>
  <c r="BB730" i="26"/>
  <c r="BC730" i="26"/>
  <c r="BD730" i="26"/>
  <c r="BE730" i="26"/>
  <c r="BF730" i="26"/>
  <c r="AQ731" i="26"/>
  <c r="AR731" i="26"/>
  <c r="AM731" i="26" s="1"/>
  <c r="AS731" i="26"/>
  <c r="AN731" i="26" s="1"/>
  <c r="AX731" i="26"/>
  <c r="AY731" i="26"/>
  <c r="AZ731" i="26"/>
  <c r="BB731" i="26"/>
  <c r="BC731" i="26"/>
  <c r="BD731" i="26"/>
  <c r="BE731" i="26"/>
  <c r="BF731" i="26"/>
  <c r="AQ732" i="26"/>
  <c r="AR732" i="26"/>
  <c r="AM732" i="26" s="1"/>
  <c r="AS732" i="26"/>
  <c r="AN732" i="26" s="1"/>
  <c r="AX732" i="26"/>
  <c r="AY732" i="26"/>
  <c r="AZ732" i="26"/>
  <c r="BB732" i="26"/>
  <c r="BC732" i="26"/>
  <c r="BD732" i="26"/>
  <c r="BE732" i="26"/>
  <c r="BF732" i="26"/>
  <c r="AQ733" i="26"/>
  <c r="AR733" i="26"/>
  <c r="AM733" i="26" s="1"/>
  <c r="AS733" i="26"/>
  <c r="AN733" i="26" s="1"/>
  <c r="AX733" i="26"/>
  <c r="AY733" i="26"/>
  <c r="AZ733" i="26"/>
  <c r="BB733" i="26"/>
  <c r="BC733" i="26"/>
  <c r="BD733" i="26"/>
  <c r="BE733" i="26"/>
  <c r="BF733" i="26"/>
  <c r="AQ734" i="26"/>
  <c r="AR734" i="26"/>
  <c r="AM734" i="26" s="1"/>
  <c r="AS734" i="26"/>
  <c r="AN734" i="26" s="1"/>
  <c r="AX734" i="26"/>
  <c r="AY734" i="26"/>
  <c r="AZ734" i="26"/>
  <c r="BB734" i="26"/>
  <c r="BC734" i="26"/>
  <c r="BD734" i="26"/>
  <c r="BE734" i="26"/>
  <c r="BF734" i="26"/>
  <c r="AQ735" i="26"/>
  <c r="AR735" i="26"/>
  <c r="AM735" i="26" s="1"/>
  <c r="AS735" i="26"/>
  <c r="AN735" i="26" s="1"/>
  <c r="AX735" i="26"/>
  <c r="AY735" i="26"/>
  <c r="AZ735" i="26"/>
  <c r="BB735" i="26"/>
  <c r="BC735" i="26"/>
  <c r="BD735" i="26"/>
  <c r="BE735" i="26"/>
  <c r="BF735" i="26"/>
  <c r="AQ736" i="26"/>
  <c r="AR736" i="26"/>
  <c r="AM736" i="26" s="1"/>
  <c r="AS736" i="26"/>
  <c r="AN736" i="26" s="1"/>
  <c r="AX736" i="26"/>
  <c r="AY736" i="26"/>
  <c r="AZ736" i="26"/>
  <c r="BB736" i="26"/>
  <c r="BC736" i="26"/>
  <c r="BD736" i="26"/>
  <c r="BE736" i="26"/>
  <c r="BF736" i="26"/>
  <c r="AQ737" i="26"/>
  <c r="AR737" i="26"/>
  <c r="AM737" i="26" s="1"/>
  <c r="AS737" i="26"/>
  <c r="AN737" i="26" s="1"/>
  <c r="AX737" i="26"/>
  <c r="AY737" i="26"/>
  <c r="AZ737" i="26"/>
  <c r="BB737" i="26"/>
  <c r="BC737" i="26"/>
  <c r="BD737" i="26"/>
  <c r="BE737" i="26"/>
  <c r="BF737" i="26"/>
  <c r="AQ738" i="26"/>
  <c r="AR738" i="26"/>
  <c r="AM738" i="26" s="1"/>
  <c r="AS738" i="26"/>
  <c r="AN738" i="26" s="1"/>
  <c r="AX738" i="26"/>
  <c r="AY738" i="26"/>
  <c r="AZ738" i="26"/>
  <c r="BB738" i="26"/>
  <c r="BC738" i="26"/>
  <c r="BD738" i="26"/>
  <c r="BE738" i="26"/>
  <c r="BF738" i="26"/>
  <c r="AQ739" i="26"/>
  <c r="AR739" i="26"/>
  <c r="AM739" i="26" s="1"/>
  <c r="AS739" i="26"/>
  <c r="AN739" i="26" s="1"/>
  <c r="AX739" i="26"/>
  <c r="AY739" i="26"/>
  <c r="AZ739" i="26"/>
  <c r="BB739" i="26"/>
  <c r="BC739" i="26"/>
  <c r="BD739" i="26"/>
  <c r="BE739" i="26"/>
  <c r="BF739" i="26"/>
  <c r="AQ740" i="26"/>
  <c r="AR740" i="26"/>
  <c r="AM740" i="26" s="1"/>
  <c r="AS740" i="26"/>
  <c r="AN740" i="26" s="1"/>
  <c r="AX740" i="26"/>
  <c r="AY740" i="26"/>
  <c r="AZ740" i="26"/>
  <c r="BB740" i="26"/>
  <c r="BC740" i="26"/>
  <c r="BD740" i="26"/>
  <c r="BE740" i="26"/>
  <c r="BF740" i="26"/>
  <c r="AQ741" i="26"/>
  <c r="AR741" i="26"/>
  <c r="AM741" i="26" s="1"/>
  <c r="AS741" i="26"/>
  <c r="AN741" i="26" s="1"/>
  <c r="AX741" i="26"/>
  <c r="AY741" i="26"/>
  <c r="AZ741" i="26"/>
  <c r="BB741" i="26"/>
  <c r="BC741" i="26"/>
  <c r="BD741" i="26"/>
  <c r="BE741" i="26"/>
  <c r="BF741" i="26"/>
  <c r="AQ742" i="26"/>
  <c r="AR742" i="26"/>
  <c r="AM742" i="26" s="1"/>
  <c r="AS742" i="26"/>
  <c r="AN742" i="26" s="1"/>
  <c r="AX742" i="26"/>
  <c r="AY742" i="26"/>
  <c r="AZ742" i="26"/>
  <c r="BB742" i="26"/>
  <c r="BC742" i="26"/>
  <c r="BD742" i="26"/>
  <c r="BE742" i="26"/>
  <c r="BF742" i="26"/>
  <c r="AQ743" i="26"/>
  <c r="AR743" i="26"/>
  <c r="AM743" i="26" s="1"/>
  <c r="AS743" i="26"/>
  <c r="AN743" i="26" s="1"/>
  <c r="AX743" i="26"/>
  <c r="AY743" i="26"/>
  <c r="AZ743" i="26"/>
  <c r="BB743" i="26"/>
  <c r="BC743" i="26"/>
  <c r="BD743" i="26"/>
  <c r="BE743" i="26"/>
  <c r="BF743" i="26"/>
  <c r="AQ744" i="26"/>
  <c r="AR744" i="26"/>
  <c r="AM744" i="26" s="1"/>
  <c r="AS744" i="26"/>
  <c r="AN744" i="26" s="1"/>
  <c r="AX744" i="26"/>
  <c r="AY744" i="26"/>
  <c r="AZ744" i="26"/>
  <c r="BB744" i="26"/>
  <c r="BC744" i="26"/>
  <c r="BD744" i="26"/>
  <c r="BE744" i="26"/>
  <c r="BF744" i="26"/>
  <c r="AQ745" i="26"/>
  <c r="AR745" i="26"/>
  <c r="AM745" i="26" s="1"/>
  <c r="AS745" i="26"/>
  <c r="AN745" i="26" s="1"/>
  <c r="AX745" i="26"/>
  <c r="AY745" i="26"/>
  <c r="AZ745" i="26"/>
  <c r="BB745" i="26"/>
  <c r="BC745" i="26"/>
  <c r="BD745" i="26"/>
  <c r="BE745" i="26"/>
  <c r="BF745" i="26"/>
  <c r="AQ746" i="26"/>
  <c r="AR746" i="26"/>
  <c r="AM746" i="26" s="1"/>
  <c r="AS746" i="26"/>
  <c r="AN746" i="26" s="1"/>
  <c r="AX746" i="26"/>
  <c r="AY746" i="26"/>
  <c r="AZ746" i="26"/>
  <c r="BB746" i="26"/>
  <c r="BC746" i="26"/>
  <c r="BD746" i="26"/>
  <c r="BE746" i="26"/>
  <c r="BF746" i="26"/>
  <c r="AQ747" i="26"/>
  <c r="AR747" i="26"/>
  <c r="AM747" i="26" s="1"/>
  <c r="AS747" i="26"/>
  <c r="AN747" i="26" s="1"/>
  <c r="AX747" i="26"/>
  <c r="AY747" i="26"/>
  <c r="AZ747" i="26"/>
  <c r="BB747" i="26"/>
  <c r="BC747" i="26"/>
  <c r="BD747" i="26"/>
  <c r="BE747" i="26"/>
  <c r="BF747" i="26"/>
  <c r="AQ748" i="26"/>
  <c r="AR748" i="26"/>
  <c r="AM748" i="26" s="1"/>
  <c r="AS748" i="26"/>
  <c r="AN748" i="26" s="1"/>
  <c r="AX748" i="26"/>
  <c r="AY748" i="26"/>
  <c r="AZ748" i="26"/>
  <c r="BB748" i="26"/>
  <c r="BC748" i="26"/>
  <c r="BD748" i="26"/>
  <c r="BE748" i="26"/>
  <c r="BF748" i="26"/>
  <c r="AQ749" i="26"/>
  <c r="AR749" i="26"/>
  <c r="AM749" i="26" s="1"/>
  <c r="AS749" i="26"/>
  <c r="AN749" i="26" s="1"/>
  <c r="AX749" i="26"/>
  <c r="AY749" i="26"/>
  <c r="AZ749" i="26"/>
  <c r="BB749" i="26"/>
  <c r="BC749" i="26"/>
  <c r="BD749" i="26"/>
  <c r="BE749" i="26"/>
  <c r="BF749" i="26"/>
  <c r="AQ750" i="26"/>
  <c r="AR750" i="26"/>
  <c r="AM750" i="26" s="1"/>
  <c r="AS750" i="26"/>
  <c r="AN750" i="26" s="1"/>
  <c r="AX750" i="26"/>
  <c r="AY750" i="26"/>
  <c r="AZ750" i="26"/>
  <c r="BB750" i="26"/>
  <c r="BC750" i="26"/>
  <c r="BD750" i="26"/>
  <c r="BE750" i="26"/>
  <c r="BF750" i="26"/>
  <c r="AQ751" i="26"/>
  <c r="AR751" i="26"/>
  <c r="AM751" i="26" s="1"/>
  <c r="AS751" i="26"/>
  <c r="AN751" i="26" s="1"/>
  <c r="AX751" i="26"/>
  <c r="AY751" i="26"/>
  <c r="AZ751" i="26"/>
  <c r="BB751" i="26"/>
  <c r="BC751" i="26"/>
  <c r="BD751" i="26"/>
  <c r="BE751" i="26"/>
  <c r="BF751" i="26"/>
  <c r="AQ752" i="26"/>
  <c r="AR752" i="26"/>
  <c r="AM752" i="26" s="1"/>
  <c r="AS752" i="26"/>
  <c r="AN752" i="26" s="1"/>
  <c r="AX752" i="26"/>
  <c r="AY752" i="26"/>
  <c r="AZ752" i="26"/>
  <c r="BB752" i="26"/>
  <c r="BC752" i="26"/>
  <c r="BD752" i="26"/>
  <c r="BE752" i="26"/>
  <c r="BF752" i="26"/>
  <c r="AQ753" i="26"/>
  <c r="AR753" i="26"/>
  <c r="AM753" i="26" s="1"/>
  <c r="AS753" i="26"/>
  <c r="AN753" i="26" s="1"/>
  <c r="AX753" i="26"/>
  <c r="AY753" i="26"/>
  <c r="AZ753" i="26"/>
  <c r="BB753" i="26"/>
  <c r="BC753" i="26"/>
  <c r="BD753" i="26"/>
  <c r="BE753" i="26"/>
  <c r="BF753" i="26"/>
  <c r="AQ754" i="26"/>
  <c r="AR754" i="26"/>
  <c r="AM754" i="26" s="1"/>
  <c r="AS754" i="26"/>
  <c r="AN754" i="26" s="1"/>
  <c r="AX754" i="26"/>
  <c r="AY754" i="26"/>
  <c r="AZ754" i="26"/>
  <c r="BB754" i="26"/>
  <c r="BC754" i="26"/>
  <c r="BD754" i="26"/>
  <c r="BE754" i="26"/>
  <c r="BF754" i="26"/>
  <c r="AQ755" i="26"/>
  <c r="AR755" i="26"/>
  <c r="AM755" i="26" s="1"/>
  <c r="AS755" i="26"/>
  <c r="AN755" i="26" s="1"/>
  <c r="AX755" i="26"/>
  <c r="AY755" i="26"/>
  <c r="AZ755" i="26"/>
  <c r="BB755" i="26"/>
  <c r="BC755" i="26"/>
  <c r="BD755" i="26"/>
  <c r="BE755" i="26"/>
  <c r="BF755" i="26"/>
  <c r="AQ756" i="26"/>
  <c r="AR756" i="26"/>
  <c r="AM756" i="26" s="1"/>
  <c r="AS756" i="26"/>
  <c r="AN756" i="26" s="1"/>
  <c r="AX756" i="26"/>
  <c r="AY756" i="26"/>
  <c r="AZ756" i="26"/>
  <c r="BB756" i="26"/>
  <c r="BC756" i="26"/>
  <c r="BD756" i="26"/>
  <c r="BE756" i="26"/>
  <c r="BF756" i="26"/>
  <c r="AQ757" i="26"/>
  <c r="AR757" i="26"/>
  <c r="AM757" i="26" s="1"/>
  <c r="AS757" i="26"/>
  <c r="AN757" i="26" s="1"/>
  <c r="AX757" i="26"/>
  <c r="AY757" i="26"/>
  <c r="AZ757" i="26"/>
  <c r="BB757" i="26"/>
  <c r="BC757" i="26"/>
  <c r="BD757" i="26"/>
  <c r="BE757" i="26"/>
  <c r="BF757" i="26"/>
  <c r="AQ758" i="26"/>
  <c r="AR758" i="26"/>
  <c r="AM758" i="26" s="1"/>
  <c r="AS758" i="26"/>
  <c r="AN758" i="26" s="1"/>
  <c r="AX758" i="26"/>
  <c r="AY758" i="26"/>
  <c r="AZ758" i="26"/>
  <c r="BB758" i="26"/>
  <c r="BC758" i="26"/>
  <c r="BD758" i="26"/>
  <c r="BE758" i="26"/>
  <c r="BF758" i="26"/>
  <c r="AQ759" i="26"/>
  <c r="AR759" i="26"/>
  <c r="AM759" i="26" s="1"/>
  <c r="AS759" i="26"/>
  <c r="AN759" i="26" s="1"/>
  <c r="AX759" i="26"/>
  <c r="AY759" i="26"/>
  <c r="AZ759" i="26"/>
  <c r="BB759" i="26"/>
  <c r="BC759" i="26"/>
  <c r="BD759" i="26"/>
  <c r="BE759" i="26"/>
  <c r="BF759" i="26"/>
  <c r="AQ760" i="26"/>
  <c r="AR760" i="26"/>
  <c r="AM760" i="26" s="1"/>
  <c r="AS760" i="26"/>
  <c r="AN760" i="26" s="1"/>
  <c r="AX760" i="26"/>
  <c r="AY760" i="26"/>
  <c r="AZ760" i="26"/>
  <c r="BB760" i="26"/>
  <c r="BC760" i="26"/>
  <c r="BD760" i="26"/>
  <c r="BE760" i="26"/>
  <c r="BF760" i="26"/>
  <c r="AQ761" i="26"/>
  <c r="AR761" i="26"/>
  <c r="AM761" i="26" s="1"/>
  <c r="AS761" i="26"/>
  <c r="AN761" i="26" s="1"/>
  <c r="AX761" i="26"/>
  <c r="AY761" i="26"/>
  <c r="AZ761" i="26"/>
  <c r="BB761" i="26"/>
  <c r="BC761" i="26"/>
  <c r="BD761" i="26"/>
  <c r="BE761" i="26"/>
  <c r="BF761" i="26"/>
  <c r="AQ762" i="26"/>
  <c r="AR762" i="26"/>
  <c r="AM762" i="26" s="1"/>
  <c r="AS762" i="26"/>
  <c r="AN762" i="26" s="1"/>
  <c r="AX762" i="26"/>
  <c r="AY762" i="26"/>
  <c r="AZ762" i="26"/>
  <c r="BB762" i="26"/>
  <c r="BC762" i="26"/>
  <c r="BD762" i="26"/>
  <c r="BE762" i="26"/>
  <c r="BF762" i="26"/>
  <c r="AQ763" i="26"/>
  <c r="AR763" i="26"/>
  <c r="AM763" i="26" s="1"/>
  <c r="AS763" i="26"/>
  <c r="AN763" i="26" s="1"/>
  <c r="AX763" i="26"/>
  <c r="AY763" i="26"/>
  <c r="AZ763" i="26"/>
  <c r="BB763" i="26"/>
  <c r="BC763" i="26"/>
  <c r="BD763" i="26"/>
  <c r="BE763" i="26"/>
  <c r="BF763" i="26"/>
  <c r="AQ764" i="26"/>
  <c r="AR764" i="26"/>
  <c r="AM764" i="26" s="1"/>
  <c r="AS764" i="26"/>
  <c r="AN764" i="26" s="1"/>
  <c r="AX764" i="26"/>
  <c r="AY764" i="26"/>
  <c r="AZ764" i="26"/>
  <c r="BB764" i="26"/>
  <c r="BC764" i="26"/>
  <c r="BD764" i="26"/>
  <c r="BE764" i="26"/>
  <c r="BF764" i="26"/>
  <c r="AQ765" i="26"/>
  <c r="AR765" i="26"/>
  <c r="AM765" i="26" s="1"/>
  <c r="AS765" i="26"/>
  <c r="AN765" i="26" s="1"/>
  <c r="AX765" i="26"/>
  <c r="AY765" i="26"/>
  <c r="AZ765" i="26"/>
  <c r="BB765" i="26"/>
  <c r="BC765" i="26"/>
  <c r="BD765" i="26"/>
  <c r="BE765" i="26"/>
  <c r="BF765" i="26"/>
  <c r="AQ766" i="26"/>
  <c r="AR766" i="26"/>
  <c r="AM766" i="26" s="1"/>
  <c r="AS766" i="26"/>
  <c r="AN766" i="26" s="1"/>
  <c r="AX766" i="26"/>
  <c r="AY766" i="26"/>
  <c r="AZ766" i="26"/>
  <c r="BB766" i="26"/>
  <c r="BC766" i="26"/>
  <c r="BD766" i="26"/>
  <c r="BE766" i="26"/>
  <c r="BF766" i="26"/>
  <c r="AQ767" i="26"/>
  <c r="AR767" i="26"/>
  <c r="AM767" i="26" s="1"/>
  <c r="AS767" i="26"/>
  <c r="AN767" i="26" s="1"/>
  <c r="AX767" i="26"/>
  <c r="AY767" i="26"/>
  <c r="AZ767" i="26"/>
  <c r="BB767" i="26"/>
  <c r="BC767" i="26"/>
  <c r="BD767" i="26"/>
  <c r="BE767" i="26"/>
  <c r="BF767" i="26"/>
  <c r="AQ768" i="26"/>
  <c r="AR768" i="26"/>
  <c r="AM768" i="26" s="1"/>
  <c r="AS768" i="26"/>
  <c r="AN768" i="26" s="1"/>
  <c r="AX768" i="26"/>
  <c r="AY768" i="26"/>
  <c r="AZ768" i="26"/>
  <c r="BB768" i="26"/>
  <c r="BC768" i="26"/>
  <c r="BD768" i="26"/>
  <c r="BE768" i="26"/>
  <c r="BF768" i="26"/>
  <c r="AQ769" i="26"/>
  <c r="AR769" i="26"/>
  <c r="AM769" i="26" s="1"/>
  <c r="AS769" i="26"/>
  <c r="AN769" i="26" s="1"/>
  <c r="AX769" i="26"/>
  <c r="AY769" i="26"/>
  <c r="AZ769" i="26"/>
  <c r="BB769" i="26"/>
  <c r="BC769" i="26"/>
  <c r="BD769" i="26"/>
  <c r="BE769" i="26"/>
  <c r="BF769" i="26"/>
  <c r="AQ770" i="26"/>
  <c r="AR770" i="26"/>
  <c r="AM770" i="26" s="1"/>
  <c r="AS770" i="26"/>
  <c r="AN770" i="26" s="1"/>
  <c r="AX770" i="26"/>
  <c r="AY770" i="26"/>
  <c r="AZ770" i="26"/>
  <c r="BB770" i="26"/>
  <c r="BC770" i="26"/>
  <c r="BD770" i="26"/>
  <c r="BE770" i="26"/>
  <c r="BF770" i="26"/>
  <c r="AQ771" i="26"/>
  <c r="AR771" i="26"/>
  <c r="AM771" i="26" s="1"/>
  <c r="AS771" i="26"/>
  <c r="AN771" i="26" s="1"/>
  <c r="AX771" i="26"/>
  <c r="AY771" i="26"/>
  <c r="AZ771" i="26"/>
  <c r="BB771" i="26"/>
  <c r="BC771" i="26"/>
  <c r="BD771" i="26"/>
  <c r="BE771" i="26"/>
  <c r="BF771" i="26"/>
  <c r="AQ772" i="26"/>
  <c r="AR772" i="26"/>
  <c r="AM772" i="26" s="1"/>
  <c r="AS772" i="26"/>
  <c r="AN772" i="26" s="1"/>
  <c r="AX772" i="26"/>
  <c r="AY772" i="26"/>
  <c r="AZ772" i="26"/>
  <c r="BB772" i="26"/>
  <c r="BC772" i="26"/>
  <c r="BD772" i="26"/>
  <c r="BE772" i="26"/>
  <c r="BF772" i="26"/>
  <c r="AQ773" i="26"/>
  <c r="AR773" i="26"/>
  <c r="AM773" i="26" s="1"/>
  <c r="AS773" i="26"/>
  <c r="AN773" i="26" s="1"/>
  <c r="AX773" i="26"/>
  <c r="AY773" i="26"/>
  <c r="AZ773" i="26"/>
  <c r="BB773" i="26"/>
  <c r="BC773" i="26"/>
  <c r="BD773" i="26"/>
  <c r="BE773" i="26"/>
  <c r="BF773" i="26"/>
  <c r="AQ774" i="26"/>
  <c r="AR774" i="26"/>
  <c r="AM774" i="26" s="1"/>
  <c r="AS774" i="26"/>
  <c r="AN774" i="26" s="1"/>
  <c r="AX774" i="26"/>
  <c r="AY774" i="26"/>
  <c r="AZ774" i="26"/>
  <c r="BB774" i="26"/>
  <c r="BC774" i="26"/>
  <c r="BD774" i="26"/>
  <c r="BE774" i="26"/>
  <c r="BF774" i="26"/>
  <c r="AQ775" i="26"/>
  <c r="AR775" i="26"/>
  <c r="AM775" i="26" s="1"/>
  <c r="AS775" i="26"/>
  <c r="AN775" i="26" s="1"/>
  <c r="AX775" i="26"/>
  <c r="AY775" i="26"/>
  <c r="AZ775" i="26"/>
  <c r="BB775" i="26"/>
  <c r="BC775" i="26"/>
  <c r="BD775" i="26"/>
  <c r="BE775" i="26"/>
  <c r="BF775" i="26"/>
  <c r="AQ776" i="26"/>
  <c r="AR776" i="26"/>
  <c r="AM776" i="26" s="1"/>
  <c r="AS776" i="26"/>
  <c r="AN776" i="26" s="1"/>
  <c r="AX776" i="26"/>
  <c r="AY776" i="26"/>
  <c r="AZ776" i="26"/>
  <c r="BB776" i="26"/>
  <c r="BC776" i="26"/>
  <c r="BD776" i="26"/>
  <c r="BE776" i="26"/>
  <c r="BF776" i="26"/>
  <c r="AQ777" i="26"/>
  <c r="AR777" i="26"/>
  <c r="AM777" i="26" s="1"/>
  <c r="AS777" i="26"/>
  <c r="AN777" i="26" s="1"/>
  <c r="AX777" i="26"/>
  <c r="AY777" i="26"/>
  <c r="AZ777" i="26"/>
  <c r="BB777" i="26"/>
  <c r="BC777" i="26"/>
  <c r="BD777" i="26"/>
  <c r="BE777" i="26"/>
  <c r="BF777" i="26"/>
  <c r="AQ778" i="26"/>
  <c r="AR778" i="26"/>
  <c r="AM778" i="26" s="1"/>
  <c r="AS778" i="26"/>
  <c r="AN778" i="26" s="1"/>
  <c r="AX778" i="26"/>
  <c r="AY778" i="26"/>
  <c r="AZ778" i="26"/>
  <c r="BB778" i="26"/>
  <c r="BC778" i="26"/>
  <c r="BD778" i="26"/>
  <c r="BE778" i="26"/>
  <c r="BF778" i="26"/>
  <c r="AQ779" i="26"/>
  <c r="AR779" i="26"/>
  <c r="AM779" i="26" s="1"/>
  <c r="AS779" i="26"/>
  <c r="AN779" i="26" s="1"/>
  <c r="AX779" i="26"/>
  <c r="AY779" i="26"/>
  <c r="AZ779" i="26"/>
  <c r="BB779" i="26"/>
  <c r="BC779" i="26"/>
  <c r="BD779" i="26"/>
  <c r="BE779" i="26"/>
  <c r="BF779" i="26"/>
  <c r="AQ780" i="26"/>
  <c r="AR780" i="26"/>
  <c r="AM780" i="26" s="1"/>
  <c r="AS780" i="26"/>
  <c r="AN780" i="26" s="1"/>
  <c r="AX780" i="26"/>
  <c r="AY780" i="26"/>
  <c r="AZ780" i="26"/>
  <c r="BB780" i="26"/>
  <c r="BC780" i="26"/>
  <c r="BD780" i="26"/>
  <c r="BE780" i="26"/>
  <c r="BF780" i="26"/>
  <c r="AQ781" i="26"/>
  <c r="AR781" i="26"/>
  <c r="AM781" i="26" s="1"/>
  <c r="AS781" i="26"/>
  <c r="AN781" i="26" s="1"/>
  <c r="AX781" i="26"/>
  <c r="AY781" i="26"/>
  <c r="AZ781" i="26"/>
  <c r="BB781" i="26"/>
  <c r="BC781" i="26"/>
  <c r="BD781" i="26"/>
  <c r="BE781" i="26"/>
  <c r="BF781" i="26"/>
  <c r="AQ782" i="26"/>
  <c r="AR782" i="26"/>
  <c r="AM782" i="26" s="1"/>
  <c r="AS782" i="26"/>
  <c r="AN782" i="26" s="1"/>
  <c r="AX782" i="26"/>
  <c r="AY782" i="26"/>
  <c r="AZ782" i="26"/>
  <c r="BB782" i="26"/>
  <c r="BC782" i="26"/>
  <c r="BD782" i="26"/>
  <c r="BE782" i="26"/>
  <c r="BF782" i="26"/>
  <c r="AQ783" i="26"/>
  <c r="AR783" i="26"/>
  <c r="AM783" i="26" s="1"/>
  <c r="AS783" i="26"/>
  <c r="AN783" i="26" s="1"/>
  <c r="AX783" i="26"/>
  <c r="AY783" i="26"/>
  <c r="AZ783" i="26"/>
  <c r="BB783" i="26"/>
  <c r="BC783" i="26"/>
  <c r="BD783" i="26"/>
  <c r="BE783" i="26"/>
  <c r="BF783" i="26"/>
  <c r="AQ784" i="26"/>
  <c r="AR784" i="26"/>
  <c r="AM784" i="26" s="1"/>
  <c r="AS784" i="26"/>
  <c r="AN784" i="26" s="1"/>
  <c r="AX784" i="26"/>
  <c r="AY784" i="26"/>
  <c r="AZ784" i="26"/>
  <c r="BB784" i="26"/>
  <c r="BC784" i="26"/>
  <c r="BD784" i="26"/>
  <c r="BE784" i="26"/>
  <c r="BF784" i="26"/>
  <c r="AQ785" i="26"/>
  <c r="AR785" i="26"/>
  <c r="AM785" i="26" s="1"/>
  <c r="AS785" i="26"/>
  <c r="AN785" i="26" s="1"/>
  <c r="AX785" i="26"/>
  <c r="AY785" i="26"/>
  <c r="AZ785" i="26"/>
  <c r="BB785" i="26"/>
  <c r="BC785" i="26"/>
  <c r="BD785" i="26"/>
  <c r="BE785" i="26"/>
  <c r="BF785" i="26"/>
  <c r="AQ786" i="26"/>
  <c r="AR786" i="26"/>
  <c r="AM786" i="26" s="1"/>
  <c r="AS786" i="26"/>
  <c r="AN786" i="26" s="1"/>
  <c r="AX786" i="26"/>
  <c r="AY786" i="26"/>
  <c r="AZ786" i="26"/>
  <c r="BB786" i="26"/>
  <c r="BC786" i="26"/>
  <c r="BD786" i="26"/>
  <c r="BE786" i="26"/>
  <c r="BF786" i="26"/>
  <c r="AQ787" i="26"/>
  <c r="AR787" i="26"/>
  <c r="AM787" i="26" s="1"/>
  <c r="AS787" i="26"/>
  <c r="AN787" i="26" s="1"/>
  <c r="AX787" i="26"/>
  <c r="AY787" i="26"/>
  <c r="AZ787" i="26"/>
  <c r="BB787" i="26"/>
  <c r="BC787" i="26"/>
  <c r="BD787" i="26"/>
  <c r="BE787" i="26"/>
  <c r="BF787" i="26"/>
  <c r="AQ788" i="26"/>
  <c r="AR788" i="26"/>
  <c r="AM788" i="26" s="1"/>
  <c r="AS788" i="26"/>
  <c r="AN788" i="26" s="1"/>
  <c r="AX788" i="26"/>
  <c r="AY788" i="26"/>
  <c r="AZ788" i="26"/>
  <c r="BB788" i="26"/>
  <c r="BC788" i="26"/>
  <c r="BD788" i="26"/>
  <c r="BE788" i="26"/>
  <c r="BF788" i="26"/>
  <c r="AQ789" i="26"/>
  <c r="AR789" i="26"/>
  <c r="AM789" i="26" s="1"/>
  <c r="AS789" i="26"/>
  <c r="AN789" i="26" s="1"/>
  <c r="AX789" i="26"/>
  <c r="AY789" i="26"/>
  <c r="AZ789" i="26"/>
  <c r="BB789" i="26"/>
  <c r="BC789" i="26"/>
  <c r="BD789" i="26"/>
  <c r="BE789" i="26"/>
  <c r="BF789" i="26"/>
  <c r="AQ790" i="26"/>
  <c r="AR790" i="26"/>
  <c r="AM790" i="26" s="1"/>
  <c r="AS790" i="26"/>
  <c r="AN790" i="26" s="1"/>
  <c r="AX790" i="26"/>
  <c r="AY790" i="26"/>
  <c r="AZ790" i="26"/>
  <c r="BB790" i="26"/>
  <c r="BC790" i="26"/>
  <c r="BD790" i="26"/>
  <c r="BE790" i="26"/>
  <c r="BF790" i="26"/>
  <c r="AQ791" i="26"/>
  <c r="AR791" i="26"/>
  <c r="AM791" i="26" s="1"/>
  <c r="AS791" i="26"/>
  <c r="AN791" i="26" s="1"/>
  <c r="AX791" i="26"/>
  <c r="AY791" i="26"/>
  <c r="AZ791" i="26"/>
  <c r="BB791" i="26"/>
  <c r="BC791" i="26"/>
  <c r="BD791" i="26"/>
  <c r="BE791" i="26"/>
  <c r="BF791" i="26"/>
  <c r="AQ792" i="26"/>
  <c r="AR792" i="26"/>
  <c r="AM792" i="26" s="1"/>
  <c r="AS792" i="26"/>
  <c r="AN792" i="26" s="1"/>
  <c r="AX792" i="26"/>
  <c r="AY792" i="26"/>
  <c r="AZ792" i="26"/>
  <c r="BB792" i="26"/>
  <c r="BC792" i="26"/>
  <c r="BD792" i="26"/>
  <c r="BE792" i="26"/>
  <c r="BF792" i="26"/>
  <c r="AQ793" i="26"/>
  <c r="AR793" i="26"/>
  <c r="AM793" i="26" s="1"/>
  <c r="AS793" i="26"/>
  <c r="AN793" i="26" s="1"/>
  <c r="AX793" i="26"/>
  <c r="AY793" i="26"/>
  <c r="AZ793" i="26"/>
  <c r="BB793" i="26"/>
  <c r="BC793" i="26"/>
  <c r="BD793" i="26"/>
  <c r="BE793" i="26"/>
  <c r="BF793" i="26"/>
  <c r="AQ794" i="26"/>
  <c r="AR794" i="26"/>
  <c r="AM794" i="26" s="1"/>
  <c r="AS794" i="26"/>
  <c r="AN794" i="26" s="1"/>
  <c r="AX794" i="26"/>
  <c r="AY794" i="26"/>
  <c r="AZ794" i="26"/>
  <c r="BB794" i="26"/>
  <c r="BC794" i="26"/>
  <c r="BD794" i="26"/>
  <c r="BE794" i="26"/>
  <c r="BF794" i="26"/>
  <c r="AQ795" i="26"/>
  <c r="AR795" i="26"/>
  <c r="AM795" i="26" s="1"/>
  <c r="AS795" i="26"/>
  <c r="AN795" i="26" s="1"/>
  <c r="AX795" i="26"/>
  <c r="AY795" i="26"/>
  <c r="AZ795" i="26"/>
  <c r="BB795" i="26"/>
  <c r="BC795" i="26"/>
  <c r="BD795" i="26"/>
  <c r="BE795" i="26"/>
  <c r="BF795" i="26"/>
  <c r="AQ796" i="26"/>
  <c r="AR796" i="26"/>
  <c r="AM796" i="26" s="1"/>
  <c r="AS796" i="26"/>
  <c r="AN796" i="26" s="1"/>
  <c r="AX796" i="26"/>
  <c r="AY796" i="26"/>
  <c r="AZ796" i="26"/>
  <c r="BB796" i="26"/>
  <c r="BC796" i="26"/>
  <c r="BD796" i="26"/>
  <c r="BE796" i="26"/>
  <c r="BF796" i="26"/>
  <c r="AM797" i="26"/>
  <c r="AQ797" i="26"/>
  <c r="AR797" i="26"/>
  <c r="AS797" i="26"/>
  <c r="AN797" i="26" s="1"/>
  <c r="AX797" i="26"/>
  <c r="AY797" i="26"/>
  <c r="AZ797" i="26"/>
  <c r="BB797" i="26"/>
  <c r="BC797" i="26"/>
  <c r="BD797" i="26"/>
  <c r="BE797" i="26"/>
  <c r="BF797" i="26"/>
  <c r="AQ798" i="26"/>
  <c r="AR798" i="26"/>
  <c r="AM798" i="26" s="1"/>
  <c r="AS798" i="26"/>
  <c r="AN798" i="26" s="1"/>
  <c r="AX798" i="26"/>
  <c r="AY798" i="26"/>
  <c r="AZ798" i="26"/>
  <c r="BB798" i="26"/>
  <c r="BC798" i="26"/>
  <c r="BD798" i="26"/>
  <c r="BE798" i="26"/>
  <c r="BF798" i="26"/>
  <c r="AQ799" i="26"/>
  <c r="AR799" i="26"/>
  <c r="AM799" i="26" s="1"/>
  <c r="AS799" i="26"/>
  <c r="AN799" i="26" s="1"/>
  <c r="AX799" i="26"/>
  <c r="AY799" i="26"/>
  <c r="AZ799" i="26"/>
  <c r="BB799" i="26"/>
  <c r="BC799" i="26"/>
  <c r="BD799" i="26"/>
  <c r="BE799" i="26"/>
  <c r="BF799" i="26"/>
  <c r="AQ800" i="26"/>
  <c r="AR800" i="26"/>
  <c r="AM800" i="26" s="1"/>
  <c r="AS800" i="26"/>
  <c r="AN800" i="26" s="1"/>
  <c r="AX800" i="26"/>
  <c r="AY800" i="26"/>
  <c r="AZ800" i="26"/>
  <c r="BB800" i="26"/>
  <c r="BC800" i="26"/>
  <c r="BD800" i="26"/>
  <c r="BE800" i="26"/>
  <c r="BF800" i="26"/>
  <c r="AQ801" i="26"/>
  <c r="AR801" i="26"/>
  <c r="AM801" i="26" s="1"/>
  <c r="AS801" i="26"/>
  <c r="AN801" i="26" s="1"/>
  <c r="AX801" i="26"/>
  <c r="AY801" i="26"/>
  <c r="AZ801" i="26"/>
  <c r="BB801" i="26"/>
  <c r="BC801" i="26"/>
  <c r="BD801" i="26"/>
  <c r="BE801" i="26"/>
  <c r="BF801" i="26"/>
  <c r="AQ802" i="26"/>
  <c r="AR802" i="26"/>
  <c r="AM802" i="26" s="1"/>
  <c r="AS802" i="26"/>
  <c r="AN802" i="26" s="1"/>
  <c r="AX802" i="26"/>
  <c r="AY802" i="26"/>
  <c r="AZ802" i="26"/>
  <c r="BB802" i="26"/>
  <c r="BC802" i="26"/>
  <c r="BD802" i="26"/>
  <c r="BE802" i="26"/>
  <c r="BF802" i="26"/>
  <c r="AQ803" i="26"/>
  <c r="AR803" i="26"/>
  <c r="AM803" i="26" s="1"/>
  <c r="AS803" i="26"/>
  <c r="AN803" i="26" s="1"/>
  <c r="AX803" i="26"/>
  <c r="AY803" i="26"/>
  <c r="AZ803" i="26"/>
  <c r="BB803" i="26"/>
  <c r="BC803" i="26"/>
  <c r="BD803" i="26"/>
  <c r="BE803" i="26"/>
  <c r="BF803" i="26"/>
  <c r="AQ804" i="26"/>
  <c r="AR804" i="26"/>
  <c r="AM804" i="26" s="1"/>
  <c r="AS804" i="26"/>
  <c r="AN804" i="26" s="1"/>
  <c r="AX804" i="26"/>
  <c r="AY804" i="26"/>
  <c r="AZ804" i="26"/>
  <c r="BB804" i="26"/>
  <c r="BC804" i="26"/>
  <c r="BD804" i="26"/>
  <c r="BE804" i="26"/>
  <c r="BF804" i="26"/>
  <c r="AQ805" i="26"/>
  <c r="AR805" i="26"/>
  <c r="AM805" i="26" s="1"/>
  <c r="AS805" i="26"/>
  <c r="AN805" i="26" s="1"/>
  <c r="AX805" i="26"/>
  <c r="AY805" i="26"/>
  <c r="AZ805" i="26"/>
  <c r="BB805" i="26"/>
  <c r="BC805" i="26"/>
  <c r="BD805" i="26"/>
  <c r="BE805" i="26"/>
  <c r="BF805" i="26"/>
  <c r="AQ806" i="26"/>
  <c r="AR806" i="26"/>
  <c r="AM806" i="26" s="1"/>
  <c r="AS806" i="26"/>
  <c r="AN806" i="26" s="1"/>
  <c r="AX806" i="26"/>
  <c r="AY806" i="26"/>
  <c r="AZ806" i="26"/>
  <c r="BB806" i="26"/>
  <c r="BC806" i="26"/>
  <c r="BD806" i="26"/>
  <c r="BE806" i="26"/>
  <c r="BF806" i="26"/>
  <c r="AQ807" i="26"/>
  <c r="AR807" i="26"/>
  <c r="AM807" i="26" s="1"/>
  <c r="AS807" i="26"/>
  <c r="AN807" i="26" s="1"/>
  <c r="AX807" i="26"/>
  <c r="AY807" i="26"/>
  <c r="AZ807" i="26"/>
  <c r="BB807" i="26"/>
  <c r="BC807" i="26"/>
  <c r="BD807" i="26"/>
  <c r="BE807" i="26"/>
  <c r="BF807" i="26"/>
  <c r="AQ808" i="26"/>
  <c r="AR808" i="26"/>
  <c r="AM808" i="26" s="1"/>
  <c r="AS808" i="26"/>
  <c r="AN808" i="26" s="1"/>
  <c r="AX808" i="26"/>
  <c r="AY808" i="26"/>
  <c r="AZ808" i="26"/>
  <c r="BB808" i="26"/>
  <c r="BC808" i="26"/>
  <c r="BD808" i="26"/>
  <c r="BE808" i="26"/>
  <c r="BF808" i="26"/>
  <c r="AQ809" i="26"/>
  <c r="AR809" i="26"/>
  <c r="AM809" i="26" s="1"/>
  <c r="AS809" i="26"/>
  <c r="AN809" i="26" s="1"/>
  <c r="AX809" i="26"/>
  <c r="AY809" i="26"/>
  <c r="AZ809" i="26"/>
  <c r="BB809" i="26"/>
  <c r="BC809" i="26"/>
  <c r="BD809" i="26"/>
  <c r="BE809" i="26"/>
  <c r="BF809" i="26"/>
  <c r="AM810" i="26"/>
  <c r="AQ810" i="26"/>
  <c r="AR810" i="26"/>
  <c r="AS810" i="26"/>
  <c r="AN810" i="26" s="1"/>
  <c r="AX810" i="26"/>
  <c r="AY810" i="26"/>
  <c r="AZ810" i="26"/>
  <c r="BB810" i="26"/>
  <c r="BC810" i="26"/>
  <c r="BD810" i="26"/>
  <c r="BE810" i="26"/>
  <c r="BF810" i="26"/>
  <c r="AQ811" i="26"/>
  <c r="AR811" i="26"/>
  <c r="AM811" i="26" s="1"/>
  <c r="AS811" i="26"/>
  <c r="AN811" i="26" s="1"/>
  <c r="AX811" i="26"/>
  <c r="AY811" i="26"/>
  <c r="AZ811" i="26"/>
  <c r="BB811" i="26"/>
  <c r="BC811" i="26"/>
  <c r="BD811" i="26"/>
  <c r="BE811" i="26"/>
  <c r="BF811" i="26"/>
  <c r="AQ812" i="26"/>
  <c r="AR812" i="26"/>
  <c r="AM812" i="26" s="1"/>
  <c r="AS812" i="26"/>
  <c r="AN812" i="26" s="1"/>
  <c r="AX812" i="26"/>
  <c r="AY812" i="26"/>
  <c r="AZ812" i="26"/>
  <c r="BB812" i="26"/>
  <c r="BC812" i="26"/>
  <c r="BD812" i="26"/>
  <c r="BE812" i="26"/>
  <c r="BF812" i="26"/>
  <c r="AQ813" i="26"/>
  <c r="AR813" i="26"/>
  <c r="AM813" i="26" s="1"/>
  <c r="AS813" i="26"/>
  <c r="AN813" i="26" s="1"/>
  <c r="AX813" i="26"/>
  <c r="AY813" i="26"/>
  <c r="AZ813" i="26"/>
  <c r="BB813" i="26"/>
  <c r="BC813" i="26"/>
  <c r="BD813" i="26"/>
  <c r="BE813" i="26"/>
  <c r="BF813" i="26"/>
  <c r="AQ814" i="26"/>
  <c r="AR814" i="26"/>
  <c r="AM814" i="26" s="1"/>
  <c r="AS814" i="26"/>
  <c r="AN814" i="26" s="1"/>
  <c r="AX814" i="26"/>
  <c r="AY814" i="26"/>
  <c r="AZ814" i="26"/>
  <c r="BB814" i="26"/>
  <c r="BC814" i="26"/>
  <c r="BD814" i="26"/>
  <c r="BE814" i="26"/>
  <c r="BF814" i="26"/>
  <c r="AQ815" i="26"/>
  <c r="AR815" i="26"/>
  <c r="AM815" i="26" s="1"/>
  <c r="AS815" i="26"/>
  <c r="AN815" i="26" s="1"/>
  <c r="AX815" i="26"/>
  <c r="AY815" i="26"/>
  <c r="AZ815" i="26"/>
  <c r="BB815" i="26"/>
  <c r="BC815" i="26"/>
  <c r="BD815" i="26"/>
  <c r="BE815" i="26"/>
  <c r="BF815" i="26"/>
  <c r="AQ816" i="26"/>
  <c r="AR816" i="26"/>
  <c r="AM816" i="26" s="1"/>
  <c r="AS816" i="26"/>
  <c r="AN816" i="26" s="1"/>
  <c r="AX816" i="26"/>
  <c r="AY816" i="26"/>
  <c r="AZ816" i="26"/>
  <c r="BB816" i="26"/>
  <c r="BC816" i="26"/>
  <c r="BD816" i="26"/>
  <c r="BE816" i="26"/>
  <c r="BF816" i="26"/>
  <c r="AQ817" i="26"/>
  <c r="AR817" i="26"/>
  <c r="AM817" i="26" s="1"/>
  <c r="AS817" i="26"/>
  <c r="AN817" i="26" s="1"/>
  <c r="AX817" i="26"/>
  <c r="AY817" i="26"/>
  <c r="AZ817" i="26"/>
  <c r="BB817" i="26"/>
  <c r="BC817" i="26"/>
  <c r="BD817" i="26"/>
  <c r="BE817" i="26"/>
  <c r="BF817" i="26"/>
  <c r="AN818" i="26"/>
  <c r="AQ818" i="26"/>
  <c r="AR818" i="26"/>
  <c r="AM818" i="26" s="1"/>
  <c r="AS818" i="26"/>
  <c r="AX818" i="26"/>
  <c r="AY818" i="26"/>
  <c r="AZ818" i="26"/>
  <c r="BB818" i="26"/>
  <c r="BC818" i="26"/>
  <c r="BD818" i="26"/>
  <c r="BE818" i="26"/>
  <c r="BF818" i="26"/>
  <c r="AQ819" i="26"/>
  <c r="AR819" i="26"/>
  <c r="AM819" i="26" s="1"/>
  <c r="AS819" i="26"/>
  <c r="AN819" i="26" s="1"/>
  <c r="AX819" i="26"/>
  <c r="AY819" i="26"/>
  <c r="AZ819" i="26"/>
  <c r="BB819" i="26"/>
  <c r="BC819" i="26"/>
  <c r="BD819" i="26"/>
  <c r="BE819" i="26"/>
  <c r="BF819" i="26"/>
  <c r="AQ820" i="26"/>
  <c r="AR820" i="26"/>
  <c r="AM820" i="26" s="1"/>
  <c r="AS820" i="26"/>
  <c r="AN820" i="26" s="1"/>
  <c r="AX820" i="26"/>
  <c r="AY820" i="26"/>
  <c r="AZ820" i="26"/>
  <c r="BB820" i="26"/>
  <c r="BC820" i="26"/>
  <c r="BD820" i="26"/>
  <c r="BE820" i="26"/>
  <c r="BF820" i="26"/>
  <c r="AQ821" i="26"/>
  <c r="AR821" i="26"/>
  <c r="AM821" i="26" s="1"/>
  <c r="AS821" i="26"/>
  <c r="AN821" i="26" s="1"/>
  <c r="AX821" i="26"/>
  <c r="AY821" i="26"/>
  <c r="AZ821" i="26"/>
  <c r="BB821" i="26"/>
  <c r="BC821" i="26"/>
  <c r="BD821" i="26"/>
  <c r="BE821" i="26"/>
  <c r="BF821" i="26"/>
  <c r="AQ822" i="26"/>
  <c r="AR822" i="26"/>
  <c r="AM822" i="26" s="1"/>
  <c r="AS822" i="26"/>
  <c r="AN822" i="26" s="1"/>
  <c r="AX822" i="26"/>
  <c r="AY822" i="26"/>
  <c r="AZ822" i="26"/>
  <c r="BB822" i="26"/>
  <c r="BC822" i="26"/>
  <c r="BD822" i="26"/>
  <c r="BE822" i="26"/>
  <c r="BF822" i="26"/>
  <c r="AQ823" i="26"/>
  <c r="AR823" i="26"/>
  <c r="AM823" i="26" s="1"/>
  <c r="AS823" i="26"/>
  <c r="AN823" i="26" s="1"/>
  <c r="AX823" i="26"/>
  <c r="AY823" i="26"/>
  <c r="AZ823" i="26"/>
  <c r="BB823" i="26"/>
  <c r="BC823" i="26"/>
  <c r="BD823" i="26"/>
  <c r="BE823" i="26"/>
  <c r="BF823" i="26"/>
  <c r="AQ824" i="26"/>
  <c r="AR824" i="26"/>
  <c r="AM824" i="26" s="1"/>
  <c r="AS824" i="26"/>
  <c r="AN824" i="26" s="1"/>
  <c r="AX824" i="26"/>
  <c r="AY824" i="26"/>
  <c r="AZ824" i="26"/>
  <c r="BB824" i="26"/>
  <c r="BC824" i="26"/>
  <c r="BD824" i="26"/>
  <c r="BE824" i="26"/>
  <c r="BF824" i="26"/>
  <c r="AN825" i="26"/>
  <c r="AQ825" i="26"/>
  <c r="AR825" i="26"/>
  <c r="AM825" i="26" s="1"/>
  <c r="AS825" i="26"/>
  <c r="AX825" i="26"/>
  <c r="AY825" i="26"/>
  <c r="AZ825" i="26"/>
  <c r="BB825" i="26"/>
  <c r="BC825" i="26"/>
  <c r="BD825" i="26"/>
  <c r="BE825" i="26"/>
  <c r="BF825" i="26"/>
  <c r="AQ826" i="26"/>
  <c r="AR826" i="26"/>
  <c r="AM826" i="26" s="1"/>
  <c r="AS826" i="26"/>
  <c r="AN826" i="26" s="1"/>
  <c r="AX826" i="26"/>
  <c r="AY826" i="26"/>
  <c r="AZ826" i="26"/>
  <c r="BB826" i="26"/>
  <c r="BC826" i="26"/>
  <c r="BD826" i="26"/>
  <c r="BE826" i="26"/>
  <c r="BF826" i="26"/>
  <c r="AQ827" i="26"/>
  <c r="AR827" i="26"/>
  <c r="AM827" i="26" s="1"/>
  <c r="AS827" i="26"/>
  <c r="AN827" i="26" s="1"/>
  <c r="AX827" i="26"/>
  <c r="AY827" i="26"/>
  <c r="AZ827" i="26"/>
  <c r="BB827" i="26"/>
  <c r="BC827" i="26"/>
  <c r="BD827" i="26"/>
  <c r="BE827" i="26"/>
  <c r="BF827" i="26"/>
  <c r="AQ828" i="26"/>
  <c r="AR828" i="26"/>
  <c r="AM828" i="26" s="1"/>
  <c r="AS828" i="26"/>
  <c r="AN828" i="26" s="1"/>
  <c r="AX828" i="26"/>
  <c r="AY828" i="26"/>
  <c r="AZ828" i="26"/>
  <c r="BB828" i="26"/>
  <c r="BC828" i="26"/>
  <c r="BD828" i="26"/>
  <c r="BE828" i="26"/>
  <c r="BF828" i="26"/>
  <c r="AN829" i="26"/>
  <c r="AQ829" i="26"/>
  <c r="AR829" i="26"/>
  <c r="AM829" i="26" s="1"/>
  <c r="AS829" i="26"/>
  <c r="AX829" i="26"/>
  <c r="AY829" i="26"/>
  <c r="AZ829" i="26"/>
  <c r="BB829" i="26"/>
  <c r="BC829" i="26"/>
  <c r="BD829" i="26"/>
  <c r="BE829" i="26"/>
  <c r="BF829" i="26"/>
  <c r="AQ830" i="26"/>
  <c r="AR830" i="26"/>
  <c r="AM830" i="26" s="1"/>
  <c r="AS830" i="26"/>
  <c r="AN830" i="26" s="1"/>
  <c r="AX830" i="26"/>
  <c r="AY830" i="26"/>
  <c r="AZ830" i="26"/>
  <c r="BB830" i="26"/>
  <c r="BC830" i="26"/>
  <c r="BD830" i="26"/>
  <c r="BE830" i="26"/>
  <c r="BF830" i="26"/>
  <c r="AQ831" i="26"/>
  <c r="AR831" i="26"/>
  <c r="AM831" i="26" s="1"/>
  <c r="AS831" i="26"/>
  <c r="AN831" i="26" s="1"/>
  <c r="AX831" i="26"/>
  <c r="AY831" i="26"/>
  <c r="AZ831" i="26"/>
  <c r="BB831" i="26"/>
  <c r="BC831" i="26"/>
  <c r="BD831" i="26"/>
  <c r="BE831" i="26"/>
  <c r="BF831" i="26"/>
  <c r="AQ832" i="26"/>
  <c r="AR832" i="26"/>
  <c r="AM832" i="26" s="1"/>
  <c r="AS832" i="26"/>
  <c r="AN832" i="26" s="1"/>
  <c r="AX832" i="26"/>
  <c r="AY832" i="26"/>
  <c r="AZ832" i="26"/>
  <c r="BB832" i="26"/>
  <c r="BC832" i="26"/>
  <c r="BD832" i="26"/>
  <c r="BE832" i="26"/>
  <c r="BF832" i="26"/>
  <c r="AQ833" i="26"/>
  <c r="AR833" i="26"/>
  <c r="AM833" i="26" s="1"/>
  <c r="AS833" i="26"/>
  <c r="AN833" i="26" s="1"/>
  <c r="AX833" i="26"/>
  <c r="AY833" i="26"/>
  <c r="AZ833" i="26"/>
  <c r="BB833" i="26"/>
  <c r="BC833" i="26"/>
  <c r="BD833" i="26"/>
  <c r="BE833" i="26"/>
  <c r="BF833" i="26"/>
  <c r="AQ834" i="26"/>
  <c r="AR834" i="26"/>
  <c r="AM834" i="26" s="1"/>
  <c r="AS834" i="26"/>
  <c r="AN834" i="26" s="1"/>
  <c r="AX834" i="26"/>
  <c r="AY834" i="26"/>
  <c r="AZ834" i="26"/>
  <c r="BB834" i="26"/>
  <c r="BC834" i="26"/>
  <c r="BD834" i="26"/>
  <c r="BE834" i="26"/>
  <c r="BF834" i="26"/>
  <c r="AQ835" i="26"/>
  <c r="AR835" i="26"/>
  <c r="AM835" i="26" s="1"/>
  <c r="AS835" i="26"/>
  <c r="AN835" i="26" s="1"/>
  <c r="AX835" i="26"/>
  <c r="AY835" i="26"/>
  <c r="AZ835" i="26"/>
  <c r="BB835" i="26"/>
  <c r="BC835" i="26"/>
  <c r="BD835" i="26"/>
  <c r="BE835" i="26"/>
  <c r="BF835" i="26"/>
  <c r="AQ836" i="26"/>
  <c r="AR836" i="26"/>
  <c r="AM836" i="26" s="1"/>
  <c r="AS836" i="26"/>
  <c r="AN836" i="26" s="1"/>
  <c r="AX836" i="26"/>
  <c r="AY836" i="26"/>
  <c r="AZ836" i="26"/>
  <c r="BB836" i="26"/>
  <c r="BC836" i="26"/>
  <c r="BD836" i="26"/>
  <c r="BE836" i="26"/>
  <c r="BF836" i="26"/>
  <c r="AQ837" i="26"/>
  <c r="AR837" i="26"/>
  <c r="AM837" i="26" s="1"/>
  <c r="AS837" i="26"/>
  <c r="AN837" i="26" s="1"/>
  <c r="AX837" i="26"/>
  <c r="AY837" i="26"/>
  <c r="AZ837" i="26"/>
  <c r="BB837" i="26"/>
  <c r="BC837" i="26"/>
  <c r="BD837" i="26"/>
  <c r="BE837" i="26"/>
  <c r="BF837" i="26"/>
  <c r="AQ838" i="26"/>
  <c r="AR838" i="26"/>
  <c r="AM838" i="26" s="1"/>
  <c r="AS838" i="26"/>
  <c r="AN838" i="26" s="1"/>
  <c r="AX838" i="26"/>
  <c r="AY838" i="26"/>
  <c r="AZ838" i="26"/>
  <c r="BB838" i="26"/>
  <c r="BC838" i="26"/>
  <c r="BD838" i="26"/>
  <c r="BE838" i="26"/>
  <c r="BF838" i="26"/>
  <c r="AQ839" i="26"/>
  <c r="AR839" i="26"/>
  <c r="AM839" i="26" s="1"/>
  <c r="AS839" i="26"/>
  <c r="AN839" i="26" s="1"/>
  <c r="AX839" i="26"/>
  <c r="AY839" i="26"/>
  <c r="AZ839" i="26"/>
  <c r="BB839" i="26"/>
  <c r="BC839" i="26"/>
  <c r="BD839" i="26"/>
  <c r="BE839" i="26"/>
  <c r="BF839" i="26"/>
  <c r="AQ840" i="26"/>
  <c r="AR840" i="26"/>
  <c r="AM840" i="26" s="1"/>
  <c r="AS840" i="26"/>
  <c r="AN840" i="26" s="1"/>
  <c r="AX840" i="26"/>
  <c r="AY840" i="26"/>
  <c r="AZ840" i="26"/>
  <c r="BB840" i="26"/>
  <c r="BC840" i="26"/>
  <c r="BD840" i="26"/>
  <c r="BE840" i="26"/>
  <c r="BF840" i="26"/>
  <c r="AQ841" i="26"/>
  <c r="AR841" i="26"/>
  <c r="AM841" i="26" s="1"/>
  <c r="AS841" i="26"/>
  <c r="AN841" i="26" s="1"/>
  <c r="AX841" i="26"/>
  <c r="AY841" i="26"/>
  <c r="AZ841" i="26"/>
  <c r="BB841" i="26"/>
  <c r="BC841" i="26"/>
  <c r="BD841" i="26"/>
  <c r="BE841" i="26"/>
  <c r="BF841" i="26"/>
  <c r="AQ842" i="26"/>
  <c r="AR842" i="26"/>
  <c r="AM842" i="26" s="1"/>
  <c r="AS842" i="26"/>
  <c r="AN842" i="26" s="1"/>
  <c r="AX842" i="26"/>
  <c r="AY842" i="26"/>
  <c r="AZ842" i="26"/>
  <c r="BB842" i="26"/>
  <c r="BC842" i="26"/>
  <c r="BD842" i="26"/>
  <c r="BE842" i="26"/>
  <c r="AL842" i="26" s="1"/>
  <c r="BF842" i="26"/>
  <c r="AQ843" i="26"/>
  <c r="AR843" i="26"/>
  <c r="AM843" i="26" s="1"/>
  <c r="AS843" i="26"/>
  <c r="AN843" i="26" s="1"/>
  <c r="AX843" i="26"/>
  <c r="AY843" i="26"/>
  <c r="AZ843" i="26"/>
  <c r="BB843" i="26"/>
  <c r="BC843" i="26"/>
  <c r="BD843" i="26"/>
  <c r="BE843" i="26"/>
  <c r="BF843" i="26"/>
  <c r="AQ844" i="26"/>
  <c r="AR844" i="26"/>
  <c r="AM844" i="26" s="1"/>
  <c r="AS844" i="26"/>
  <c r="AN844" i="26" s="1"/>
  <c r="AX844" i="26"/>
  <c r="AY844" i="26"/>
  <c r="AZ844" i="26"/>
  <c r="BB844" i="26"/>
  <c r="BC844" i="26"/>
  <c r="BD844" i="26"/>
  <c r="BE844" i="26"/>
  <c r="BF844" i="26"/>
  <c r="AQ845" i="26"/>
  <c r="AR845" i="26"/>
  <c r="AM845" i="26" s="1"/>
  <c r="AS845" i="26"/>
  <c r="AN845" i="26" s="1"/>
  <c r="AX845" i="26"/>
  <c r="AY845" i="26"/>
  <c r="AZ845" i="26"/>
  <c r="BB845" i="26"/>
  <c r="BC845" i="26"/>
  <c r="BD845" i="26"/>
  <c r="BE845" i="26"/>
  <c r="BF845" i="26"/>
  <c r="AQ846" i="26"/>
  <c r="AR846" i="26"/>
  <c r="AM846" i="26" s="1"/>
  <c r="AS846" i="26"/>
  <c r="AN846" i="26" s="1"/>
  <c r="AX846" i="26"/>
  <c r="AY846" i="26"/>
  <c r="AZ846" i="26"/>
  <c r="BB846" i="26"/>
  <c r="BC846" i="26"/>
  <c r="BD846" i="26"/>
  <c r="BE846" i="26"/>
  <c r="BF846" i="26"/>
  <c r="AQ847" i="26"/>
  <c r="AR847" i="26"/>
  <c r="AM847" i="26" s="1"/>
  <c r="AS847" i="26"/>
  <c r="AN847" i="26" s="1"/>
  <c r="AX847" i="26"/>
  <c r="AY847" i="26"/>
  <c r="AZ847" i="26"/>
  <c r="BB847" i="26"/>
  <c r="BC847" i="26"/>
  <c r="BD847" i="26"/>
  <c r="BE847" i="26"/>
  <c r="BF847" i="26"/>
  <c r="AQ848" i="26"/>
  <c r="AR848" i="26"/>
  <c r="AM848" i="26" s="1"/>
  <c r="AS848" i="26"/>
  <c r="AN848" i="26" s="1"/>
  <c r="AX848" i="26"/>
  <c r="AY848" i="26"/>
  <c r="AZ848" i="26"/>
  <c r="BB848" i="26"/>
  <c r="BC848" i="26"/>
  <c r="BD848" i="26"/>
  <c r="BE848" i="26"/>
  <c r="BF848" i="26"/>
  <c r="AQ849" i="26"/>
  <c r="AR849" i="26"/>
  <c r="AM849" i="26" s="1"/>
  <c r="AS849" i="26"/>
  <c r="AN849" i="26" s="1"/>
  <c r="AX849" i="26"/>
  <c r="AY849" i="26"/>
  <c r="AZ849" i="26"/>
  <c r="BB849" i="26"/>
  <c r="BC849" i="26"/>
  <c r="BD849" i="26"/>
  <c r="BE849" i="26"/>
  <c r="BF849" i="26"/>
  <c r="AQ850" i="26"/>
  <c r="AR850" i="26"/>
  <c r="AM850" i="26" s="1"/>
  <c r="AS850" i="26"/>
  <c r="AN850" i="26" s="1"/>
  <c r="AX850" i="26"/>
  <c r="AY850" i="26"/>
  <c r="AZ850" i="26"/>
  <c r="BB850" i="26"/>
  <c r="BC850" i="26"/>
  <c r="BD850" i="26"/>
  <c r="BE850" i="26"/>
  <c r="BF850" i="26"/>
  <c r="AQ851" i="26"/>
  <c r="AR851" i="26"/>
  <c r="AM851" i="26" s="1"/>
  <c r="AS851" i="26"/>
  <c r="AN851" i="26" s="1"/>
  <c r="AX851" i="26"/>
  <c r="AY851" i="26"/>
  <c r="AZ851" i="26"/>
  <c r="BB851" i="26"/>
  <c r="BC851" i="26"/>
  <c r="BD851" i="26"/>
  <c r="BE851" i="26"/>
  <c r="BF851" i="26"/>
  <c r="AQ852" i="26"/>
  <c r="AR852" i="26"/>
  <c r="AM852" i="26" s="1"/>
  <c r="AS852" i="26"/>
  <c r="AN852" i="26" s="1"/>
  <c r="AX852" i="26"/>
  <c r="AY852" i="26"/>
  <c r="AZ852" i="26"/>
  <c r="BB852" i="26"/>
  <c r="BC852" i="26"/>
  <c r="BD852" i="26"/>
  <c r="BE852" i="26"/>
  <c r="BF852" i="26"/>
  <c r="AQ853" i="26"/>
  <c r="AR853" i="26"/>
  <c r="AM853" i="26" s="1"/>
  <c r="AS853" i="26"/>
  <c r="AN853" i="26" s="1"/>
  <c r="AX853" i="26"/>
  <c r="AY853" i="26"/>
  <c r="AZ853" i="26"/>
  <c r="BB853" i="26"/>
  <c r="BC853" i="26"/>
  <c r="BD853" i="26"/>
  <c r="BE853" i="26"/>
  <c r="BF853" i="26"/>
  <c r="AQ854" i="26"/>
  <c r="AR854" i="26"/>
  <c r="AM854" i="26" s="1"/>
  <c r="AS854" i="26"/>
  <c r="AN854" i="26" s="1"/>
  <c r="AX854" i="26"/>
  <c r="AY854" i="26"/>
  <c r="AZ854" i="26"/>
  <c r="BB854" i="26"/>
  <c r="BC854" i="26"/>
  <c r="BD854" i="26"/>
  <c r="BE854" i="26"/>
  <c r="BF854" i="26"/>
  <c r="AQ855" i="26"/>
  <c r="AR855" i="26"/>
  <c r="AM855" i="26" s="1"/>
  <c r="AS855" i="26"/>
  <c r="AN855" i="26" s="1"/>
  <c r="AX855" i="26"/>
  <c r="AY855" i="26"/>
  <c r="AZ855" i="26"/>
  <c r="BB855" i="26"/>
  <c r="BC855" i="26"/>
  <c r="BD855" i="26"/>
  <c r="BE855" i="26"/>
  <c r="BF855" i="26"/>
  <c r="AQ856" i="26"/>
  <c r="AR856" i="26"/>
  <c r="AM856" i="26" s="1"/>
  <c r="AS856" i="26"/>
  <c r="AN856" i="26" s="1"/>
  <c r="AX856" i="26"/>
  <c r="AY856" i="26"/>
  <c r="AZ856" i="26"/>
  <c r="BB856" i="26"/>
  <c r="BC856" i="26"/>
  <c r="BD856" i="26"/>
  <c r="BE856" i="26"/>
  <c r="BF856" i="26"/>
  <c r="AQ857" i="26"/>
  <c r="AR857" i="26"/>
  <c r="AM857" i="26" s="1"/>
  <c r="AS857" i="26"/>
  <c r="AN857" i="26" s="1"/>
  <c r="AX857" i="26"/>
  <c r="AY857" i="26"/>
  <c r="AZ857" i="26"/>
  <c r="BB857" i="26"/>
  <c r="BC857" i="26"/>
  <c r="BD857" i="26"/>
  <c r="BE857" i="26"/>
  <c r="BF857" i="26"/>
  <c r="AQ858" i="26"/>
  <c r="AR858" i="26"/>
  <c r="AM858" i="26" s="1"/>
  <c r="AS858" i="26"/>
  <c r="AN858" i="26" s="1"/>
  <c r="AX858" i="26"/>
  <c r="AY858" i="26"/>
  <c r="AZ858" i="26"/>
  <c r="BB858" i="26"/>
  <c r="BC858" i="26"/>
  <c r="BD858" i="26"/>
  <c r="BE858" i="26"/>
  <c r="BF858" i="26"/>
  <c r="AQ859" i="26"/>
  <c r="AR859" i="26"/>
  <c r="AM859" i="26" s="1"/>
  <c r="AS859" i="26"/>
  <c r="AN859" i="26" s="1"/>
  <c r="AX859" i="26"/>
  <c r="AY859" i="26"/>
  <c r="AZ859" i="26"/>
  <c r="BB859" i="26"/>
  <c r="BC859" i="26"/>
  <c r="BD859" i="26"/>
  <c r="BE859" i="26"/>
  <c r="BF859" i="26"/>
  <c r="AQ860" i="26"/>
  <c r="AR860" i="26"/>
  <c r="AM860" i="26" s="1"/>
  <c r="AS860" i="26"/>
  <c r="AN860" i="26" s="1"/>
  <c r="AX860" i="26"/>
  <c r="AY860" i="26"/>
  <c r="AZ860" i="26"/>
  <c r="BB860" i="26"/>
  <c r="BC860" i="26"/>
  <c r="BD860" i="26"/>
  <c r="BE860" i="26"/>
  <c r="BF860" i="26"/>
  <c r="AQ861" i="26"/>
  <c r="AR861" i="26"/>
  <c r="AM861" i="26" s="1"/>
  <c r="AS861" i="26"/>
  <c r="AN861" i="26" s="1"/>
  <c r="AX861" i="26"/>
  <c r="AY861" i="26"/>
  <c r="AZ861" i="26"/>
  <c r="BB861" i="26"/>
  <c r="BC861" i="26"/>
  <c r="BD861" i="26"/>
  <c r="BE861" i="26"/>
  <c r="BF861" i="26"/>
  <c r="AQ862" i="26"/>
  <c r="AR862" i="26"/>
  <c r="AM862" i="26" s="1"/>
  <c r="AS862" i="26"/>
  <c r="AN862" i="26" s="1"/>
  <c r="AX862" i="26"/>
  <c r="AY862" i="26"/>
  <c r="AZ862" i="26"/>
  <c r="BB862" i="26"/>
  <c r="BC862" i="26"/>
  <c r="BD862" i="26"/>
  <c r="BE862" i="26"/>
  <c r="BF862" i="26"/>
  <c r="AQ863" i="26"/>
  <c r="AR863" i="26"/>
  <c r="AM863" i="26" s="1"/>
  <c r="AS863" i="26"/>
  <c r="AN863" i="26" s="1"/>
  <c r="AX863" i="26"/>
  <c r="AY863" i="26"/>
  <c r="AZ863" i="26"/>
  <c r="BB863" i="26"/>
  <c r="BC863" i="26"/>
  <c r="BD863" i="26"/>
  <c r="BE863" i="26"/>
  <c r="BF863" i="26"/>
  <c r="AQ864" i="26"/>
  <c r="AR864" i="26"/>
  <c r="AM864" i="26" s="1"/>
  <c r="AS864" i="26"/>
  <c r="AN864" i="26" s="1"/>
  <c r="AX864" i="26"/>
  <c r="AY864" i="26"/>
  <c r="AZ864" i="26"/>
  <c r="BB864" i="26"/>
  <c r="BC864" i="26"/>
  <c r="BD864" i="26"/>
  <c r="BE864" i="26"/>
  <c r="BF864" i="26"/>
  <c r="AQ865" i="26"/>
  <c r="AR865" i="26"/>
  <c r="AM865" i="26" s="1"/>
  <c r="AS865" i="26"/>
  <c r="AN865" i="26" s="1"/>
  <c r="AX865" i="26"/>
  <c r="AY865" i="26"/>
  <c r="AZ865" i="26"/>
  <c r="BB865" i="26"/>
  <c r="BC865" i="26"/>
  <c r="BD865" i="26"/>
  <c r="BE865" i="26"/>
  <c r="BF865" i="26"/>
  <c r="AQ866" i="26"/>
  <c r="AR866" i="26"/>
  <c r="AM866" i="26" s="1"/>
  <c r="AS866" i="26"/>
  <c r="AN866" i="26" s="1"/>
  <c r="AX866" i="26"/>
  <c r="AY866" i="26"/>
  <c r="AZ866" i="26"/>
  <c r="BB866" i="26"/>
  <c r="BC866" i="26"/>
  <c r="BD866" i="26"/>
  <c r="BE866" i="26"/>
  <c r="BF866" i="26"/>
  <c r="AQ867" i="26"/>
  <c r="AR867" i="26"/>
  <c r="AM867" i="26" s="1"/>
  <c r="AS867" i="26"/>
  <c r="AN867" i="26" s="1"/>
  <c r="AX867" i="26"/>
  <c r="AY867" i="26"/>
  <c r="AZ867" i="26"/>
  <c r="BB867" i="26"/>
  <c r="BC867" i="26"/>
  <c r="BD867" i="26"/>
  <c r="BE867" i="26"/>
  <c r="BF867" i="26"/>
  <c r="AQ868" i="26"/>
  <c r="AR868" i="26"/>
  <c r="AM868" i="26" s="1"/>
  <c r="AS868" i="26"/>
  <c r="AN868" i="26" s="1"/>
  <c r="AX868" i="26"/>
  <c r="AY868" i="26"/>
  <c r="AZ868" i="26"/>
  <c r="BB868" i="26"/>
  <c r="BC868" i="26"/>
  <c r="BD868" i="26"/>
  <c r="BE868" i="26"/>
  <c r="BF868" i="26"/>
  <c r="AQ869" i="26"/>
  <c r="AR869" i="26"/>
  <c r="AM869" i="26" s="1"/>
  <c r="AS869" i="26"/>
  <c r="AN869" i="26" s="1"/>
  <c r="AX869" i="26"/>
  <c r="AY869" i="26"/>
  <c r="AZ869" i="26"/>
  <c r="BB869" i="26"/>
  <c r="BC869" i="26"/>
  <c r="BD869" i="26"/>
  <c r="BE869" i="26"/>
  <c r="BF869" i="26"/>
  <c r="AQ870" i="26"/>
  <c r="AR870" i="26"/>
  <c r="AM870" i="26" s="1"/>
  <c r="AS870" i="26"/>
  <c r="AN870" i="26" s="1"/>
  <c r="AX870" i="26"/>
  <c r="AY870" i="26"/>
  <c r="AZ870" i="26"/>
  <c r="BB870" i="26"/>
  <c r="BC870" i="26"/>
  <c r="BD870" i="26"/>
  <c r="BE870" i="26"/>
  <c r="BF870" i="26"/>
  <c r="AQ871" i="26"/>
  <c r="AR871" i="26"/>
  <c r="AM871" i="26" s="1"/>
  <c r="AS871" i="26"/>
  <c r="AN871" i="26" s="1"/>
  <c r="AX871" i="26"/>
  <c r="AY871" i="26"/>
  <c r="AZ871" i="26"/>
  <c r="BB871" i="26"/>
  <c r="BC871" i="26"/>
  <c r="AL871" i="26" s="1"/>
  <c r="BD871" i="26"/>
  <c r="BE871" i="26"/>
  <c r="BF871" i="26"/>
  <c r="AQ872" i="26"/>
  <c r="AR872" i="26"/>
  <c r="AM872" i="26" s="1"/>
  <c r="AS872" i="26"/>
  <c r="AN872" i="26" s="1"/>
  <c r="AX872" i="26"/>
  <c r="AY872" i="26"/>
  <c r="AZ872" i="26"/>
  <c r="BB872" i="26"/>
  <c r="BC872" i="26"/>
  <c r="BD872" i="26"/>
  <c r="BE872" i="26"/>
  <c r="BF872" i="26"/>
  <c r="AQ873" i="26"/>
  <c r="AR873" i="26"/>
  <c r="AM873" i="26" s="1"/>
  <c r="AS873" i="26"/>
  <c r="AN873" i="26" s="1"/>
  <c r="AX873" i="26"/>
  <c r="AY873" i="26"/>
  <c r="AZ873" i="26"/>
  <c r="BB873" i="26"/>
  <c r="BC873" i="26"/>
  <c r="BD873" i="26"/>
  <c r="BE873" i="26"/>
  <c r="BF873" i="26"/>
  <c r="AQ874" i="26"/>
  <c r="AR874" i="26"/>
  <c r="AM874" i="26" s="1"/>
  <c r="AS874" i="26"/>
  <c r="AN874" i="26" s="1"/>
  <c r="AX874" i="26"/>
  <c r="AY874" i="26"/>
  <c r="AZ874" i="26"/>
  <c r="BB874" i="26"/>
  <c r="BC874" i="26"/>
  <c r="BD874" i="26"/>
  <c r="BE874" i="26"/>
  <c r="BF874" i="26"/>
  <c r="AQ875" i="26"/>
  <c r="AR875" i="26"/>
  <c r="AM875" i="26" s="1"/>
  <c r="AS875" i="26"/>
  <c r="AN875" i="26" s="1"/>
  <c r="AX875" i="26"/>
  <c r="AY875" i="26"/>
  <c r="AZ875" i="26"/>
  <c r="BB875" i="26"/>
  <c r="BC875" i="26"/>
  <c r="BD875" i="26"/>
  <c r="BE875" i="26"/>
  <c r="BF875" i="26"/>
  <c r="AQ876" i="26"/>
  <c r="AR876" i="26"/>
  <c r="AM876" i="26" s="1"/>
  <c r="AS876" i="26"/>
  <c r="AN876" i="26" s="1"/>
  <c r="AX876" i="26"/>
  <c r="AY876" i="26"/>
  <c r="AZ876" i="26"/>
  <c r="BB876" i="26"/>
  <c r="BC876" i="26"/>
  <c r="BD876" i="26"/>
  <c r="BE876" i="26"/>
  <c r="BF876" i="26"/>
  <c r="AQ877" i="26"/>
  <c r="AR877" i="26"/>
  <c r="AM877" i="26" s="1"/>
  <c r="AS877" i="26"/>
  <c r="AN877" i="26" s="1"/>
  <c r="AX877" i="26"/>
  <c r="AY877" i="26"/>
  <c r="AZ877" i="26"/>
  <c r="BB877" i="26"/>
  <c r="BC877" i="26"/>
  <c r="BD877" i="26"/>
  <c r="BE877" i="26"/>
  <c r="BF877" i="26"/>
  <c r="AQ878" i="26"/>
  <c r="AR878" i="26"/>
  <c r="AM878" i="26" s="1"/>
  <c r="AS878" i="26"/>
  <c r="AN878" i="26" s="1"/>
  <c r="AX878" i="26"/>
  <c r="AY878" i="26"/>
  <c r="AZ878" i="26"/>
  <c r="BB878" i="26"/>
  <c r="BC878" i="26"/>
  <c r="BD878" i="26"/>
  <c r="BE878" i="26"/>
  <c r="BF878" i="26"/>
  <c r="AQ879" i="26"/>
  <c r="AR879" i="26"/>
  <c r="AM879" i="26" s="1"/>
  <c r="AS879" i="26"/>
  <c r="AN879" i="26" s="1"/>
  <c r="AX879" i="26"/>
  <c r="AY879" i="26"/>
  <c r="AZ879" i="26"/>
  <c r="BB879" i="26"/>
  <c r="BC879" i="26"/>
  <c r="BD879" i="26"/>
  <c r="BE879" i="26"/>
  <c r="BF879" i="26"/>
  <c r="AQ880" i="26"/>
  <c r="AR880" i="26"/>
  <c r="AM880" i="26" s="1"/>
  <c r="AS880" i="26"/>
  <c r="AN880" i="26" s="1"/>
  <c r="AX880" i="26"/>
  <c r="AY880" i="26"/>
  <c r="AZ880" i="26"/>
  <c r="BB880" i="26"/>
  <c r="BC880" i="26"/>
  <c r="BD880" i="26"/>
  <c r="BE880" i="26"/>
  <c r="BF880" i="26"/>
  <c r="AQ881" i="26"/>
  <c r="AR881" i="26"/>
  <c r="AM881" i="26" s="1"/>
  <c r="AS881" i="26"/>
  <c r="AN881" i="26" s="1"/>
  <c r="AX881" i="26"/>
  <c r="AY881" i="26"/>
  <c r="AZ881" i="26"/>
  <c r="BB881" i="26"/>
  <c r="BC881" i="26"/>
  <c r="BD881" i="26"/>
  <c r="BE881" i="26"/>
  <c r="BF881" i="26"/>
  <c r="AQ882" i="26"/>
  <c r="AR882" i="26"/>
  <c r="AM882" i="26" s="1"/>
  <c r="AS882" i="26"/>
  <c r="AN882" i="26" s="1"/>
  <c r="AX882" i="26"/>
  <c r="AY882" i="26"/>
  <c r="AZ882" i="26"/>
  <c r="BB882" i="26"/>
  <c r="BC882" i="26"/>
  <c r="BD882" i="26"/>
  <c r="BE882" i="26"/>
  <c r="BF882" i="26"/>
  <c r="AQ883" i="26"/>
  <c r="AR883" i="26"/>
  <c r="AM883" i="26" s="1"/>
  <c r="AS883" i="26"/>
  <c r="AN883" i="26" s="1"/>
  <c r="AX883" i="26"/>
  <c r="AY883" i="26"/>
  <c r="AZ883" i="26"/>
  <c r="BB883" i="26"/>
  <c r="BC883" i="26"/>
  <c r="BD883" i="26"/>
  <c r="BE883" i="26"/>
  <c r="BF883" i="26"/>
  <c r="AQ884" i="26"/>
  <c r="AR884" i="26"/>
  <c r="AM884" i="26" s="1"/>
  <c r="AS884" i="26"/>
  <c r="AN884" i="26" s="1"/>
  <c r="AX884" i="26"/>
  <c r="AY884" i="26"/>
  <c r="AZ884" i="26"/>
  <c r="BB884" i="26"/>
  <c r="BC884" i="26"/>
  <c r="BD884" i="26"/>
  <c r="BE884" i="26"/>
  <c r="BF884" i="26"/>
  <c r="AQ885" i="26"/>
  <c r="AR885" i="26"/>
  <c r="AM885" i="26" s="1"/>
  <c r="AS885" i="26"/>
  <c r="AN885" i="26" s="1"/>
  <c r="AX885" i="26"/>
  <c r="AY885" i="26"/>
  <c r="AZ885" i="26"/>
  <c r="BB885" i="26"/>
  <c r="BC885" i="26"/>
  <c r="BD885" i="26"/>
  <c r="BE885" i="26"/>
  <c r="BF885" i="26"/>
  <c r="AQ886" i="26"/>
  <c r="AR886" i="26"/>
  <c r="AM886" i="26" s="1"/>
  <c r="AS886" i="26"/>
  <c r="AN886" i="26" s="1"/>
  <c r="AX886" i="26"/>
  <c r="AY886" i="26"/>
  <c r="AZ886" i="26"/>
  <c r="BB886" i="26"/>
  <c r="BC886" i="26"/>
  <c r="BD886" i="26"/>
  <c r="BE886" i="26"/>
  <c r="BF886" i="26"/>
  <c r="AQ887" i="26"/>
  <c r="AR887" i="26"/>
  <c r="AM887" i="26" s="1"/>
  <c r="AS887" i="26"/>
  <c r="AN887" i="26" s="1"/>
  <c r="AX887" i="26"/>
  <c r="AY887" i="26"/>
  <c r="AZ887" i="26"/>
  <c r="BB887" i="26"/>
  <c r="BC887" i="26"/>
  <c r="BD887" i="26"/>
  <c r="BE887" i="26"/>
  <c r="BF887" i="26"/>
  <c r="AQ888" i="26"/>
  <c r="AR888" i="26"/>
  <c r="AM888" i="26" s="1"/>
  <c r="AS888" i="26"/>
  <c r="AN888" i="26" s="1"/>
  <c r="AX888" i="26"/>
  <c r="AY888" i="26"/>
  <c r="AZ888" i="26"/>
  <c r="BB888" i="26"/>
  <c r="BC888" i="26"/>
  <c r="BD888" i="26"/>
  <c r="BE888" i="26"/>
  <c r="BF888" i="26"/>
  <c r="AQ889" i="26"/>
  <c r="AR889" i="26"/>
  <c r="AM889" i="26" s="1"/>
  <c r="AS889" i="26"/>
  <c r="AN889" i="26" s="1"/>
  <c r="AX889" i="26"/>
  <c r="AY889" i="26"/>
  <c r="AZ889" i="26"/>
  <c r="BB889" i="26"/>
  <c r="BC889" i="26"/>
  <c r="AL889" i="26" s="1"/>
  <c r="BD889" i="26"/>
  <c r="BE889" i="26"/>
  <c r="BF889" i="26"/>
  <c r="AQ890" i="26"/>
  <c r="AR890" i="26"/>
  <c r="AM890" i="26" s="1"/>
  <c r="AS890" i="26"/>
  <c r="AN890" i="26" s="1"/>
  <c r="AX890" i="26"/>
  <c r="AY890" i="26"/>
  <c r="AZ890" i="26"/>
  <c r="BB890" i="26"/>
  <c r="BC890" i="26"/>
  <c r="BD890" i="26"/>
  <c r="BE890" i="26"/>
  <c r="BF890" i="26"/>
  <c r="AQ891" i="26"/>
  <c r="AR891" i="26"/>
  <c r="AM891" i="26" s="1"/>
  <c r="AS891" i="26"/>
  <c r="AN891" i="26" s="1"/>
  <c r="AX891" i="26"/>
  <c r="AY891" i="26"/>
  <c r="AZ891" i="26"/>
  <c r="BB891" i="26"/>
  <c r="BC891" i="26"/>
  <c r="BD891" i="26"/>
  <c r="BE891" i="26"/>
  <c r="BF891" i="26"/>
  <c r="AQ892" i="26"/>
  <c r="AR892" i="26"/>
  <c r="AM892" i="26" s="1"/>
  <c r="AS892" i="26"/>
  <c r="AN892" i="26" s="1"/>
  <c r="AX892" i="26"/>
  <c r="AY892" i="26"/>
  <c r="AZ892" i="26"/>
  <c r="BB892" i="26"/>
  <c r="BC892" i="26"/>
  <c r="BD892" i="26"/>
  <c r="BE892" i="26"/>
  <c r="BF892" i="26"/>
  <c r="AQ893" i="26"/>
  <c r="AR893" i="26"/>
  <c r="AM893" i="26" s="1"/>
  <c r="AS893" i="26"/>
  <c r="AN893" i="26" s="1"/>
  <c r="AX893" i="26"/>
  <c r="AY893" i="26"/>
  <c r="AZ893" i="26"/>
  <c r="BB893" i="26"/>
  <c r="BC893" i="26"/>
  <c r="BD893" i="26"/>
  <c r="BE893" i="26"/>
  <c r="BF893" i="26"/>
  <c r="AQ894" i="26"/>
  <c r="AR894" i="26"/>
  <c r="AM894" i="26" s="1"/>
  <c r="AS894" i="26"/>
  <c r="AN894" i="26" s="1"/>
  <c r="AX894" i="26"/>
  <c r="AY894" i="26"/>
  <c r="AZ894" i="26"/>
  <c r="BB894" i="26"/>
  <c r="BC894" i="26"/>
  <c r="BD894" i="26"/>
  <c r="BE894" i="26"/>
  <c r="BF894" i="26"/>
  <c r="AQ895" i="26"/>
  <c r="AR895" i="26"/>
  <c r="AM895" i="26" s="1"/>
  <c r="AS895" i="26"/>
  <c r="AN895" i="26" s="1"/>
  <c r="AX895" i="26"/>
  <c r="AY895" i="26"/>
  <c r="AZ895" i="26"/>
  <c r="BB895" i="26"/>
  <c r="BC895" i="26"/>
  <c r="BD895" i="26"/>
  <c r="BE895" i="26"/>
  <c r="BF895" i="26"/>
  <c r="AQ896" i="26"/>
  <c r="AR896" i="26"/>
  <c r="AM896" i="26" s="1"/>
  <c r="AS896" i="26"/>
  <c r="AN896" i="26" s="1"/>
  <c r="AX896" i="26"/>
  <c r="AY896" i="26"/>
  <c r="AZ896" i="26"/>
  <c r="BB896" i="26"/>
  <c r="BC896" i="26"/>
  <c r="BD896" i="26"/>
  <c r="BE896" i="26"/>
  <c r="BF896" i="26"/>
  <c r="AQ897" i="26"/>
  <c r="AR897" i="26"/>
  <c r="AM897" i="26" s="1"/>
  <c r="AS897" i="26"/>
  <c r="AN897" i="26" s="1"/>
  <c r="AX897" i="26"/>
  <c r="AY897" i="26"/>
  <c r="AZ897" i="26"/>
  <c r="BB897" i="26"/>
  <c r="BC897" i="26"/>
  <c r="BD897" i="26"/>
  <c r="BE897" i="26"/>
  <c r="BF897" i="26"/>
  <c r="AQ898" i="26"/>
  <c r="AR898" i="26"/>
  <c r="AM898" i="26" s="1"/>
  <c r="AS898" i="26"/>
  <c r="AN898" i="26" s="1"/>
  <c r="AX898" i="26"/>
  <c r="AY898" i="26"/>
  <c r="AZ898" i="26"/>
  <c r="BB898" i="26"/>
  <c r="BC898" i="26"/>
  <c r="BD898" i="26"/>
  <c r="BE898" i="26"/>
  <c r="BF898" i="26"/>
  <c r="AQ899" i="26"/>
  <c r="AR899" i="26"/>
  <c r="AM899" i="26" s="1"/>
  <c r="AS899" i="26"/>
  <c r="AN899" i="26" s="1"/>
  <c r="AX899" i="26"/>
  <c r="AY899" i="26"/>
  <c r="AZ899" i="26"/>
  <c r="BB899" i="26"/>
  <c r="BC899" i="26"/>
  <c r="BD899" i="26"/>
  <c r="BE899" i="26"/>
  <c r="BF899" i="26"/>
  <c r="AQ900" i="26"/>
  <c r="AR900" i="26"/>
  <c r="AM900" i="26" s="1"/>
  <c r="AS900" i="26"/>
  <c r="AN900" i="26" s="1"/>
  <c r="AX900" i="26"/>
  <c r="AY900" i="26"/>
  <c r="AZ900" i="26"/>
  <c r="BB900" i="26"/>
  <c r="BC900" i="26"/>
  <c r="BD900" i="26"/>
  <c r="BE900" i="26"/>
  <c r="BF900" i="26"/>
  <c r="AQ901" i="26"/>
  <c r="AR901" i="26"/>
  <c r="AM901" i="26" s="1"/>
  <c r="AS901" i="26"/>
  <c r="AN901" i="26" s="1"/>
  <c r="AX901" i="26"/>
  <c r="AY901" i="26"/>
  <c r="AZ901" i="26"/>
  <c r="BB901" i="26"/>
  <c r="BC901" i="26"/>
  <c r="BD901" i="26"/>
  <c r="BE901" i="26"/>
  <c r="BF901" i="26"/>
  <c r="AQ902" i="26"/>
  <c r="AR902" i="26"/>
  <c r="AM902" i="26" s="1"/>
  <c r="AS902" i="26"/>
  <c r="AN902" i="26" s="1"/>
  <c r="AX902" i="26"/>
  <c r="AY902" i="26"/>
  <c r="AZ902" i="26"/>
  <c r="BB902" i="26"/>
  <c r="BC902" i="26"/>
  <c r="BD902" i="26"/>
  <c r="BE902" i="26"/>
  <c r="BF902" i="26"/>
  <c r="AQ903" i="26"/>
  <c r="AR903" i="26"/>
  <c r="AM903" i="26" s="1"/>
  <c r="AS903" i="26"/>
  <c r="AN903" i="26" s="1"/>
  <c r="AX903" i="26"/>
  <c r="AY903" i="26"/>
  <c r="AZ903" i="26"/>
  <c r="BB903" i="26"/>
  <c r="BC903" i="26"/>
  <c r="BD903" i="26"/>
  <c r="BE903" i="26"/>
  <c r="BF903" i="26"/>
  <c r="AQ904" i="26"/>
  <c r="AR904" i="26"/>
  <c r="AM904" i="26" s="1"/>
  <c r="AS904" i="26"/>
  <c r="AN904" i="26" s="1"/>
  <c r="AX904" i="26"/>
  <c r="AY904" i="26"/>
  <c r="AZ904" i="26"/>
  <c r="BB904" i="26"/>
  <c r="BC904" i="26"/>
  <c r="BD904" i="26"/>
  <c r="BE904" i="26"/>
  <c r="BF904" i="26"/>
  <c r="AQ905" i="26"/>
  <c r="AR905" i="26"/>
  <c r="AM905" i="26" s="1"/>
  <c r="AS905" i="26"/>
  <c r="AN905" i="26" s="1"/>
  <c r="AX905" i="26"/>
  <c r="AY905" i="26"/>
  <c r="AZ905" i="26"/>
  <c r="BB905" i="26"/>
  <c r="BC905" i="26"/>
  <c r="BD905" i="26"/>
  <c r="BE905" i="26"/>
  <c r="BF905" i="26"/>
  <c r="AQ906" i="26"/>
  <c r="AR906" i="26"/>
  <c r="AM906" i="26" s="1"/>
  <c r="AS906" i="26"/>
  <c r="AN906" i="26" s="1"/>
  <c r="AX906" i="26"/>
  <c r="AY906" i="26"/>
  <c r="AZ906" i="26"/>
  <c r="BB906" i="26"/>
  <c r="BC906" i="26"/>
  <c r="BD906" i="26"/>
  <c r="BE906" i="26"/>
  <c r="BF906" i="26"/>
  <c r="AQ907" i="26"/>
  <c r="AR907" i="26"/>
  <c r="AM907" i="26" s="1"/>
  <c r="AS907" i="26"/>
  <c r="AN907" i="26" s="1"/>
  <c r="AX907" i="26"/>
  <c r="AY907" i="26"/>
  <c r="AZ907" i="26"/>
  <c r="BB907" i="26"/>
  <c r="BC907" i="26"/>
  <c r="BD907" i="26"/>
  <c r="BE907" i="26"/>
  <c r="BF907" i="26"/>
  <c r="AQ908" i="26"/>
  <c r="AR908" i="26"/>
  <c r="AM908" i="26" s="1"/>
  <c r="AS908" i="26"/>
  <c r="AN908" i="26" s="1"/>
  <c r="AX908" i="26"/>
  <c r="AY908" i="26"/>
  <c r="AZ908" i="26"/>
  <c r="BB908" i="26"/>
  <c r="BC908" i="26"/>
  <c r="BD908" i="26"/>
  <c r="BE908" i="26"/>
  <c r="BF908" i="26"/>
  <c r="AQ909" i="26"/>
  <c r="AR909" i="26"/>
  <c r="AM909" i="26" s="1"/>
  <c r="AS909" i="26"/>
  <c r="AN909" i="26" s="1"/>
  <c r="AX909" i="26"/>
  <c r="AY909" i="26"/>
  <c r="AZ909" i="26"/>
  <c r="BB909" i="26"/>
  <c r="BC909" i="26"/>
  <c r="BD909" i="26"/>
  <c r="BE909" i="26"/>
  <c r="BF909" i="26"/>
  <c r="AQ910" i="26"/>
  <c r="AR910" i="26"/>
  <c r="AM910" i="26" s="1"/>
  <c r="AS910" i="26"/>
  <c r="AN910" i="26" s="1"/>
  <c r="AX910" i="26"/>
  <c r="AY910" i="26"/>
  <c r="AZ910" i="26"/>
  <c r="BB910" i="26"/>
  <c r="BC910" i="26"/>
  <c r="BD910" i="26"/>
  <c r="BE910" i="26"/>
  <c r="BF910" i="26"/>
  <c r="AQ911" i="26"/>
  <c r="AR911" i="26"/>
  <c r="AM911" i="26" s="1"/>
  <c r="AS911" i="26"/>
  <c r="AN911" i="26" s="1"/>
  <c r="AX911" i="26"/>
  <c r="AY911" i="26"/>
  <c r="AZ911" i="26"/>
  <c r="BB911" i="26"/>
  <c r="BC911" i="26"/>
  <c r="BD911" i="26"/>
  <c r="BE911" i="26"/>
  <c r="BF911" i="26"/>
  <c r="AQ912" i="26"/>
  <c r="AR912" i="26"/>
  <c r="AM912" i="26" s="1"/>
  <c r="AS912" i="26"/>
  <c r="AN912" i="26" s="1"/>
  <c r="AX912" i="26"/>
  <c r="AY912" i="26"/>
  <c r="AZ912" i="26"/>
  <c r="BB912" i="26"/>
  <c r="BC912" i="26"/>
  <c r="BD912" i="26"/>
  <c r="BE912" i="26"/>
  <c r="BF912" i="26"/>
  <c r="AQ913" i="26"/>
  <c r="AR913" i="26"/>
  <c r="AM913" i="26" s="1"/>
  <c r="AS913" i="26"/>
  <c r="AN913" i="26" s="1"/>
  <c r="AX913" i="26"/>
  <c r="AY913" i="26"/>
  <c r="AZ913" i="26"/>
  <c r="BB913" i="26"/>
  <c r="BC913" i="26"/>
  <c r="BD913" i="26"/>
  <c r="BE913" i="26"/>
  <c r="BF913" i="26"/>
  <c r="AQ914" i="26"/>
  <c r="AR914" i="26"/>
  <c r="AM914" i="26" s="1"/>
  <c r="AS914" i="26"/>
  <c r="AN914" i="26" s="1"/>
  <c r="AX914" i="26"/>
  <c r="AY914" i="26"/>
  <c r="AZ914" i="26"/>
  <c r="BB914" i="26"/>
  <c r="BC914" i="26"/>
  <c r="BD914" i="26"/>
  <c r="BE914" i="26"/>
  <c r="BF914" i="26"/>
  <c r="AQ915" i="26"/>
  <c r="AR915" i="26"/>
  <c r="AM915" i="26" s="1"/>
  <c r="AS915" i="26"/>
  <c r="AN915" i="26" s="1"/>
  <c r="AX915" i="26"/>
  <c r="AY915" i="26"/>
  <c r="AZ915" i="26"/>
  <c r="BB915" i="26"/>
  <c r="BC915" i="26"/>
  <c r="BD915" i="26"/>
  <c r="BE915" i="26"/>
  <c r="BF915" i="26"/>
  <c r="AQ916" i="26"/>
  <c r="AR916" i="26"/>
  <c r="AM916" i="26" s="1"/>
  <c r="AS916" i="26"/>
  <c r="AN916" i="26" s="1"/>
  <c r="AX916" i="26"/>
  <c r="AY916" i="26"/>
  <c r="AZ916" i="26"/>
  <c r="BB916" i="26"/>
  <c r="BC916" i="26"/>
  <c r="BD916" i="26"/>
  <c r="BE916" i="26"/>
  <c r="BF916" i="26"/>
  <c r="AQ917" i="26"/>
  <c r="AR917" i="26"/>
  <c r="AM917" i="26" s="1"/>
  <c r="AS917" i="26"/>
  <c r="AN917" i="26" s="1"/>
  <c r="AX917" i="26"/>
  <c r="AY917" i="26"/>
  <c r="AZ917" i="26"/>
  <c r="BB917" i="26"/>
  <c r="BC917" i="26"/>
  <c r="BD917" i="26"/>
  <c r="BE917" i="26"/>
  <c r="BF917" i="26"/>
  <c r="AQ918" i="26"/>
  <c r="AR918" i="26"/>
  <c r="AM918" i="26" s="1"/>
  <c r="AS918" i="26"/>
  <c r="AN918" i="26" s="1"/>
  <c r="AX918" i="26"/>
  <c r="AY918" i="26"/>
  <c r="AZ918" i="26"/>
  <c r="BB918" i="26"/>
  <c r="BC918" i="26"/>
  <c r="BD918" i="26"/>
  <c r="BE918" i="26"/>
  <c r="BF918" i="26"/>
  <c r="AQ919" i="26"/>
  <c r="AR919" i="26"/>
  <c r="AM919" i="26" s="1"/>
  <c r="AS919" i="26"/>
  <c r="AN919" i="26" s="1"/>
  <c r="AX919" i="26"/>
  <c r="AY919" i="26"/>
  <c r="AZ919" i="26"/>
  <c r="BB919" i="26"/>
  <c r="BC919" i="26"/>
  <c r="BD919" i="26"/>
  <c r="BE919" i="26"/>
  <c r="BF919" i="26"/>
  <c r="AQ920" i="26"/>
  <c r="AR920" i="26"/>
  <c r="AM920" i="26" s="1"/>
  <c r="AS920" i="26"/>
  <c r="AN920" i="26" s="1"/>
  <c r="AX920" i="26"/>
  <c r="AY920" i="26"/>
  <c r="AZ920" i="26"/>
  <c r="BB920" i="26"/>
  <c r="BC920" i="26"/>
  <c r="BD920" i="26"/>
  <c r="BE920" i="26"/>
  <c r="BF920" i="26"/>
  <c r="AQ921" i="26"/>
  <c r="AR921" i="26"/>
  <c r="AM921" i="26" s="1"/>
  <c r="AS921" i="26"/>
  <c r="AN921" i="26" s="1"/>
  <c r="AX921" i="26"/>
  <c r="AY921" i="26"/>
  <c r="AZ921" i="26"/>
  <c r="BB921" i="26"/>
  <c r="BC921" i="26"/>
  <c r="BD921" i="26"/>
  <c r="BE921" i="26"/>
  <c r="BF921" i="26"/>
  <c r="AQ922" i="26"/>
  <c r="AR922" i="26"/>
  <c r="AM922" i="26" s="1"/>
  <c r="AS922" i="26"/>
  <c r="AN922" i="26" s="1"/>
  <c r="AX922" i="26"/>
  <c r="AY922" i="26"/>
  <c r="AZ922" i="26"/>
  <c r="BB922" i="26"/>
  <c r="BC922" i="26"/>
  <c r="BD922" i="26"/>
  <c r="BE922" i="26"/>
  <c r="BF922" i="26"/>
  <c r="AM923" i="26"/>
  <c r="AQ923" i="26"/>
  <c r="AR923" i="26"/>
  <c r="AS923" i="26"/>
  <c r="AN923" i="26" s="1"/>
  <c r="AX923" i="26"/>
  <c r="AY923" i="26"/>
  <c r="AZ923" i="26"/>
  <c r="BB923" i="26"/>
  <c r="BC923" i="26"/>
  <c r="BD923" i="26"/>
  <c r="BE923" i="26"/>
  <c r="BF923" i="26"/>
  <c r="AQ924" i="26"/>
  <c r="AR924" i="26"/>
  <c r="AM924" i="26" s="1"/>
  <c r="AS924" i="26"/>
  <c r="AN924" i="26" s="1"/>
  <c r="AX924" i="26"/>
  <c r="AY924" i="26"/>
  <c r="AZ924" i="26"/>
  <c r="BB924" i="26"/>
  <c r="BC924" i="26"/>
  <c r="BD924" i="26"/>
  <c r="BE924" i="26"/>
  <c r="BF924" i="26"/>
  <c r="AQ925" i="26"/>
  <c r="AR925" i="26"/>
  <c r="AM925" i="26" s="1"/>
  <c r="AS925" i="26"/>
  <c r="AN925" i="26" s="1"/>
  <c r="AX925" i="26"/>
  <c r="AY925" i="26"/>
  <c r="AZ925" i="26"/>
  <c r="BB925" i="26"/>
  <c r="BC925" i="26"/>
  <c r="BD925" i="26"/>
  <c r="BE925" i="26"/>
  <c r="BF925" i="26"/>
  <c r="AQ926" i="26"/>
  <c r="AR926" i="26"/>
  <c r="AM926" i="26" s="1"/>
  <c r="AS926" i="26"/>
  <c r="AN926" i="26" s="1"/>
  <c r="AX926" i="26"/>
  <c r="AY926" i="26"/>
  <c r="AZ926" i="26"/>
  <c r="BB926" i="26"/>
  <c r="BC926" i="26"/>
  <c r="BD926" i="26"/>
  <c r="BE926" i="26"/>
  <c r="BF926" i="26"/>
  <c r="AQ927" i="26"/>
  <c r="AR927" i="26"/>
  <c r="AM927" i="26" s="1"/>
  <c r="AS927" i="26"/>
  <c r="AN927" i="26" s="1"/>
  <c r="AX927" i="26"/>
  <c r="AY927" i="26"/>
  <c r="AZ927" i="26"/>
  <c r="BB927" i="26"/>
  <c r="BC927" i="26"/>
  <c r="BD927" i="26"/>
  <c r="BE927" i="26"/>
  <c r="BF927" i="26"/>
  <c r="AQ928" i="26"/>
  <c r="AR928" i="26"/>
  <c r="AM928" i="26" s="1"/>
  <c r="AS928" i="26"/>
  <c r="AN928" i="26" s="1"/>
  <c r="AX928" i="26"/>
  <c r="AY928" i="26"/>
  <c r="AZ928" i="26"/>
  <c r="BB928" i="26"/>
  <c r="BC928" i="26"/>
  <c r="BD928" i="26"/>
  <c r="BE928" i="26"/>
  <c r="BF928" i="26"/>
  <c r="AQ929" i="26"/>
  <c r="AR929" i="26"/>
  <c r="AM929" i="26" s="1"/>
  <c r="AS929" i="26"/>
  <c r="AN929" i="26" s="1"/>
  <c r="AX929" i="26"/>
  <c r="AY929" i="26"/>
  <c r="AZ929" i="26"/>
  <c r="BB929" i="26"/>
  <c r="BC929" i="26"/>
  <c r="BD929" i="26"/>
  <c r="BE929" i="26"/>
  <c r="BF929" i="26"/>
  <c r="AQ930" i="26"/>
  <c r="AR930" i="26"/>
  <c r="AM930" i="26" s="1"/>
  <c r="AS930" i="26"/>
  <c r="AN930" i="26" s="1"/>
  <c r="AX930" i="26"/>
  <c r="AY930" i="26"/>
  <c r="AZ930" i="26"/>
  <c r="BB930" i="26"/>
  <c r="BC930" i="26"/>
  <c r="BD930" i="26"/>
  <c r="BE930" i="26"/>
  <c r="BF930" i="26"/>
  <c r="AQ931" i="26"/>
  <c r="AR931" i="26"/>
  <c r="AM931" i="26" s="1"/>
  <c r="AS931" i="26"/>
  <c r="AN931" i="26" s="1"/>
  <c r="AX931" i="26"/>
  <c r="AY931" i="26"/>
  <c r="AZ931" i="26"/>
  <c r="BB931" i="26"/>
  <c r="BC931" i="26"/>
  <c r="BD931" i="26"/>
  <c r="BE931" i="26"/>
  <c r="BF931" i="26"/>
  <c r="AQ932" i="26"/>
  <c r="AR932" i="26"/>
  <c r="AM932" i="26" s="1"/>
  <c r="AS932" i="26"/>
  <c r="AN932" i="26" s="1"/>
  <c r="AX932" i="26"/>
  <c r="AY932" i="26"/>
  <c r="AZ932" i="26"/>
  <c r="BB932" i="26"/>
  <c r="BC932" i="26"/>
  <c r="BD932" i="26"/>
  <c r="BE932" i="26"/>
  <c r="BF932" i="26"/>
  <c r="AQ933" i="26"/>
  <c r="AR933" i="26"/>
  <c r="AM933" i="26" s="1"/>
  <c r="AS933" i="26"/>
  <c r="AN933" i="26" s="1"/>
  <c r="AX933" i="26"/>
  <c r="AY933" i="26"/>
  <c r="AZ933" i="26"/>
  <c r="BB933" i="26"/>
  <c r="BC933" i="26"/>
  <c r="BD933" i="26"/>
  <c r="BE933" i="26"/>
  <c r="BF933" i="26"/>
  <c r="AQ934" i="26"/>
  <c r="AR934" i="26"/>
  <c r="AM934" i="26" s="1"/>
  <c r="AS934" i="26"/>
  <c r="AN934" i="26" s="1"/>
  <c r="AX934" i="26"/>
  <c r="AY934" i="26"/>
  <c r="AZ934" i="26"/>
  <c r="BB934" i="26"/>
  <c r="BC934" i="26"/>
  <c r="BD934" i="26"/>
  <c r="BE934" i="26"/>
  <c r="BF934" i="26"/>
  <c r="AQ935" i="26"/>
  <c r="AR935" i="26"/>
  <c r="AM935" i="26" s="1"/>
  <c r="AS935" i="26"/>
  <c r="AN935" i="26" s="1"/>
  <c r="AX935" i="26"/>
  <c r="AY935" i="26"/>
  <c r="AZ935" i="26"/>
  <c r="BB935" i="26"/>
  <c r="BC935" i="26"/>
  <c r="BD935" i="26"/>
  <c r="BE935" i="26"/>
  <c r="BF935" i="26"/>
  <c r="AQ936" i="26"/>
  <c r="AR936" i="26"/>
  <c r="AM936" i="26" s="1"/>
  <c r="AS936" i="26"/>
  <c r="AN936" i="26" s="1"/>
  <c r="AX936" i="26"/>
  <c r="AY936" i="26"/>
  <c r="AZ936" i="26"/>
  <c r="BB936" i="26"/>
  <c r="BC936" i="26"/>
  <c r="BD936" i="26"/>
  <c r="BE936" i="26"/>
  <c r="BF936" i="26"/>
  <c r="AQ937" i="26"/>
  <c r="AR937" i="26"/>
  <c r="AM937" i="26" s="1"/>
  <c r="AS937" i="26"/>
  <c r="AN937" i="26" s="1"/>
  <c r="AX937" i="26"/>
  <c r="AY937" i="26"/>
  <c r="AZ937" i="26"/>
  <c r="BB937" i="26"/>
  <c r="BC937" i="26"/>
  <c r="BD937" i="26"/>
  <c r="BE937" i="26"/>
  <c r="BF937" i="26"/>
  <c r="AQ938" i="26"/>
  <c r="AR938" i="26"/>
  <c r="AM938" i="26" s="1"/>
  <c r="AS938" i="26"/>
  <c r="AN938" i="26" s="1"/>
  <c r="AX938" i="26"/>
  <c r="AY938" i="26"/>
  <c r="AZ938" i="26"/>
  <c r="BB938" i="26"/>
  <c r="BC938" i="26"/>
  <c r="BD938" i="26"/>
  <c r="BE938" i="26"/>
  <c r="BF938" i="26"/>
  <c r="AQ939" i="26"/>
  <c r="AR939" i="26"/>
  <c r="AM939" i="26" s="1"/>
  <c r="AS939" i="26"/>
  <c r="AN939" i="26" s="1"/>
  <c r="AX939" i="26"/>
  <c r="AY939" i="26"/>
  <c r="AZ939" i="26"/>
  <c r="BB939" i="26"/>
  <c r="BC939" i="26"/>
  <c r="BD939" i="26"/>
  <c r="BE939" i="26"/>
  <c r="BF939" i="26"/>
  <c r="AQ940" i="26"/>
  <c r="AR940" i="26"/>
  <c r="AM940" i="26" s="1"/>
  <c r="AS940" i="26"/>
  <c r="AN940" i="26" s="1"/>
  <c r="AX940" i="26"/>
  <c r="AY940" i="26"/>
  <c r="AZ940" i="26"/>
  <c r="BB940" i="26"/>
  <c r="BC940" i="26"/>
  <c r="BD940" i="26"/>
  <c r="BE940" i="26"/>
  <c r="BF940" i="26"/>
  <c r="AQ941" i="26"/>
  <c r="AR941" i="26"/>
  <c r="AM941" i="26" s="1"/>
  <c r="AS941" i="26"/>
  <c r="AN941" i="26" s="1"/>
  <c r="AX941" i="26"/>
  <c r="AY941" i="26"/>
  <c r="AZ941" i="26"/>
  <c r="BB941" i="26"/>
  <c r="BC941" i="26"/>
  <c r="BD941" i="26"/>
  <c r="BE941" i="26"/>
  <c r="BF941" i="26"/>
  <c r="AQ942" i="26"/>
  <c r="AR942" i="26"/>
  <c r="AM942" i="26" s="1"/>
  <c r="AS942" i="26"/>
  <c r="AN942" i="26" s="1"/>
  <c r="AX942" i="26"/>
  <c r="AY942" i="26"/>
  <c r="AZ942" i="26"/>
  <c r="BB942" i="26"/>
  <c r="BC942" i="26"/>
  <c r="BD942" i="26"/>
  <c r="BE942" i="26"/>
  <c r="BF942" i="26"/>
  <c r="AQ943" i="26"/>
  <c r="AR943" i="26"/>
  <c r="AM943" i="26" s="1"/>
  <c r="AS943" i="26"/>
  <c r="AN943" i="26" s="1"/>
  <c r="AX943" i="26"/>
  <c r="AY943" i="26"/>
  <c r="AZ943" i="26"/>
  <c r="BB943" i="26"/>
  <c r="BC943" i="26"/>
  <c r="BD943" i="26"/>
  <c r="BE943" i="26"/>
  <c r="BF943" i="26"/>
  <c r="AQ944" i="26"/>
  <c r="AR944" i="26"/>
  <c r="AM944" i="26" s="1"/>
  <c r="AS944" i="26"/>
  <c r="AN944" i="26" s="1"/>
  <c r="AX944" i="26"/>
  <c r="AY944" i="26"/>
  <c r="AZ944" i="26"/>
  <c r="BB944" i="26"/>
  <c r="BC944" i="26"/>
  <c r="BD944" i="26"/>
  <c r="BE944" i="26"/>
  <c r="BF944" i="26"/>
  <c r="AQ945" i="26"/>
  <c r="AR945" i="26"/>
  <c r="AM945" i="26" s="1"/>
  <c r="AS945" i="26"/>
  <c r="AN945" i="26" s="1"/>
  <c r="AX945" i="26"/>
  <c r="AY945" i="26"/>
  <c r="AZ945" i="26"/>
  <c r="BB945" i="26"/>
  <c r="BC945" i="26"/>
  <c r="BD945" i="26"/>
  <c r="BE945" i="26"/>
  <c r="BF945" i="26"/>
  <c r="AQ946" i="26"/>
  <c r="AR946" i="26"/>
  <c r="AM946" i="26" s="1"/>
  <c r="AS946" i="26"/>
  <c r="AN946" i="26" s="1"/>
  <c r="AX946" i="26"/>
  <c r="AY946" i="26"/>
  <c r="AZ946" i="26"/>
  <c r="BB946" i="26"/>
  <c r="BC946" i="26"/>
  <c r="BD946" i="26"/>
  <c r="BE946" i="26"/>
  <c r="BF946" i="26"/>
  <c r="AQ947" i="26"/>
  <c r="AR947" i="26"/>
  <c r="AM947" i="26" s="1"/>
  <c r="AS947" i="26"/>
  <c r="AN947" i="26" s="1"/>
  <c r="AX947" i="26"/>
  <c r="AY947" i="26"/>
  <c r="AZ947" i="26"/>
  <c r="BB947" i="26"/>
  <c r="BC947" i="26"/>
  <c r="BD947" i="26"/>
  <c r="BE947" i="26"/>
  <c r="BF947" i="26"/>
  <c r="AQ948" i="26"/>
  <c r="AR948" i="26"/>
  <c r="AM948" i="26" s="1"/>
  <c r="AS948" i="26"/>
  <c r="AN948" i="26" s="1"/>
  <c r="AX948" i="26"/>
  <c r="AY948" i="26"/>
  <c r="AZ948" i="26"/>
  <c r="BB948" i="26"/>
  <c r="BC948" i="26"/>
  <c r="BD948" i="26"/>
  <c r="BE948" i="26"/>
  <c r="BF948" i="26"/>
  <c r="AQ949" i="26"/>
  <c r="AR949" i="26"/>
  <c r="AM949" i="26" s="1"/>
  <c r="AS949" i="26"/>
  <c r="AN949" i="26" s="1"/>
  <c r="AX949" i="26"/>
  <c r="AY949" i="26"/>
  <c r="AZ949" i="26"/>
  <c r="BB949" i="26"/>
  <c r="BC949" i="26"/>
  <c r="BD949" i="26"/>
  <c r="BE949" i="26"/>
  <c r="BF949" i="26"/>
  <c r="AQ950" i="26"/>
  <c r="AR950" i="26"/>
  <c r="AM950" i="26" s="1"/>
  <c r="AS950" i="26"/>
  <c r="AN950" i="26" s="1"/>
  <c r="AX950" i="26"/>
  <c r="AY950" i="26"/>
  <c r="AZ950" i="26"/>
  <c r="BB950" i="26"/>
  <c r="BC950" i="26"/>
  <c r="BD950" i="26"/>
  <c r="BE950" i="26"/>
  <c r="BF950" i="26"/>
  <c r="AQ951" i="26"/>
  <c r="AR951" i="26"/>
  <c r="AM951" i="26" s="1"/>
  <c r="AS951" i="26"/>
  <c r="AN951" i="26" s="1"/>
  <c r="AX951" i="26"/>
  <c r="AY951" i="26"/>
  <c r="AZ951" i="26"/>
  <c r="BB951" i="26"/>
  <c r="BC951" i="26"/>
  <c r="BD951" i="26"/>
  <c r="BE951" i="26"/>
  <c r="BF951" i="26"/>
  <c r="AQ952" i="26"/>
  <c r="AR952" i="26"/>
  <c r="AM952" i="26" s="1"/>
  <c r="AS952" i="26"/>
  <c r="AN952" i="26" s="1"/>
  <c r="AX952" i="26"/>
  <c r="AY952" i="26"/>
  <c r="AZ952" i="26"/>
  <c r="BB952" i="26"/>
  <c r="BC952" i="26"/>
  <c r="BD952" i="26"/>
  <c r="BE952" i="26"/>
  <c r="BF952" i="26"/>
  <c r="AQ953" i="26"/>
  <c r="AR953" i="26"/>
  <c r="AM953" i="26" s="1"/>
  <c r="AS953" i="26"/>
  <c r="AN953" i="26" s="1"/>
  <c r="AX953" i="26"/>
  <c r="AY953" i="26"/>
  <c r="AZ953" i="26"/>
  <c r="BB953" i="26"/>
  <c r="BC953" i="26"/>
  <c r="BD953" i="26"/>
  <c r="BE953" i="26"/>
  <c r="BF953" i="26"/>
  <c r="AQ954" i="26"/>
  <c r="AR954" i="26"/>
  <c r="AM954" i="26" s="1"/>
  <c r="AS954" i="26"/>
  <c r="AN954" i="26" s="1"/>
  <c r="AX954" i="26"/>
  <c r="AY954" i="26"/>
  <c r="AZ954" i="26"/>
  <c r="BB954" i="26"/>
  <c r="BC954" i="26"/>
  <c r="BD954" i="26"/>
  <c r="BE954" i="26"/>
  <c r="BF954" i="26"/>
  <c r="AQ955" i="26"/>
  <c r="AR955" i="26"/>
  <c r="AM955" i="26" s="1"/>
  <c r="AS955" i="26"/>
  <c r="AN955" i="26" s="1"/>
  <c r="AX955" i="26"/>
  <c r="AY955" i="26"/>
  <c r="AZ955" i="26"/>
  <c r="BB955" i="26"/>
  <c r="BC955" i="26"/>
  <c r="BD955" i="26"/>
  <c r="BE955" i="26"/>
  <c r="BF955" i="26"/>
  <c r="AQ956" i="26"/>
  <c r="AR956" i="26"/>
  <c r="AM956" i="26" s="1"/>
  <c r="AS956" i="26"/>
  <c r="AN956" i="26" s="1"/>
  <c r="AX956" i="26"/>
  <c r="AY956" i="26"/>
  <c r="AZ956" i="26"/>
  <c r="BB956" i="26"/>
  <c r="BC956" i="26"/>
  <c r="BD956" i="26"/>
  <c r="BE956" i="26"/>
  <c r="BF956" i="26"/>
  <c r="AQ957" i="26"/>
  <c r="AR957" i="26"/>
  <c r="AM957" i="26" s="1"/>
  <c r="AS957" i="26"/>
  <c r="AN957" i="26" s="1"/>
  <c r="AX957" i="26"/>
  <c r="AY957" i="26"/>
  <c r="AZ957" i="26"/>
  <c r="BB957" i="26"/>
  <c r="BC957" i="26"/>
  <c r="BD957" i="26"/>
  <c r="BE957" i="26"/>
  <c r="BF957" i="26"/>
  <c r="AQ958" i="26"/>
  <c r="AR958" i="26"/>
  <c r="AM958" i="26" s="1"/>
  <c r="AS958" i="26"/>
  <c r="AX958" i="26"/>
  <c r="AY958" i="26"/>
  <c r="AZ958" i="26"/>
  <c r="BB958" i="26"/>
  <c r="BC958" i="26"/>
  <c r="BD958" i="26"/>
  <c r="BE958" i="26"/>
  <c r="BF958" i="26"/>
  <c r="AQ959" i="26"/>
  <c r="AR959" i="26"/>
  <c r="AM959" i="26" s="1"/>
  <c r="AS959" i="26"/>
  <c r="AN959" i="26" s="1"/>
  <c r="AX959" i="26"/>
  <c r="AY959" i="26"/>
  <c r="AZ959" i="26"/>
  <c r="BB959" i="26"/>
  <c r="BC959" i="26"/>
  <c r="BD959" i="26"/>
  <c r="BE959" i="26"/>
  <c r="BF959" i="26"/>
  <c r="AM960" i="26"/>
  <c r="AQ960" i="26"/>
  <c r="AR960" i="26"/>
  <c r="AS960" i="26"/>
  <c r="AN960" i="26" s="1"/>
  <c r="AX960" i="26"/>
  <c r="AY960" i="26"/>
  <c r="AZ960" i="26"/>
  <c r="BB960" i="26"/>
  <c r="BC960" i="26"/>
  <c r="AL960" i="26" s="1"/>
  <c r="BD960" i="26"/>
  <c r="BE960" i="26"/>
  <c r="BF960" i="26"/>
  <c r="AQ961" i="26"/>
  <c r="AR961" i="26"/>
  <c r="AM961" i="26" s="1"/>
  <c r="AS961" i="26"/>
  <c r="AN961" i="26" s="1"/>
  <c r="AX961" i="26"/>
  <c r="AY961" i="26"/>
  <c r="AZ961" i="26"/>
  <c r="BB961" i="26"/>
  <c r="BC961" i="26"/>
  <c r="BD961" i="26"/>
  <c r="BE961" i="26"/>
  <c r="BF961" i="26"/>
  <c r="AQ962" i="26"/>
  <c r="AR962" i="26"/>
  <c r="AM962" i="26" s="1"/>
  <c r="AS962" i="26"/>
  <c r="AN962" i="26" s="1"/>
  <c r="AX962" i="26"/>
  <c r="AY962" i="26"/>
  <c r="AZ962" i="26"/>
  <c r="BB962" i="26"/>
  <c r="BC962" i="26"/>
  <c r="BD962" i="26"/>
  <c r="BE962" i="26"/>
  <c r="BF962" i="26"/>
  <c r="AQ963" i="26"/>
  <c r="AR963" i="26"/>
  <c r="AM963" i="26" s="1"/>
  <c r="AS963" i="26"/>
  <c r="AN963" i="26" s="1"/>
  <c r="AX963" i="26"/>
  <c r="AY963" i="26"/>
  <c r="AZ963" i="26"/>
  <c r="BB963" i="26"/>
  <c r="BC963" i="26"/>
  <c r="BD963" i="26"/>
  <c r="BE963" i="26"/>
  <c r="BF963" i="26"/>
  <c r="AQ964" i="26"/>
  <c r="AR964" i="26"/>
  <c r="AM964" i="26" s="1"/>
  <c r="AS964" i="26"/>
  <c r="AN964" i="26" s="1"/>
  <c r="AX964" i="26"/>
  <c r="AY964" i="26"/>
  <c r="AZ964" i="26"/>
  <c r="BB964" i="26"/>
  <c r="BC964" i="26"/>
  <c r="BD964" i="26"/>
  <c r="BE964" i="26"/>
  <c r="BF964" i="26"/>
  <c r="AM965" i="26"/>
  <c r="AQ965" i="26"/>
  <c r="AR965" i="26"/>
  <c r="AS965" i="26"/>
  <c r="AN965" i="26" s="1"/>
  <c r="AX965" i="26"/>
  <c r="AY965" i="26"/>
  <c r="AZ965" i="26"/>
  <c r="BB965" i="26"/>
  <c r="BC965" i="26"/>
  <c r="AL965" i="26" s="1"/>
  <c r="BD965" i="26"/>
  <c r="BE965" i="26"/>
  <c r="BF965" i="26"/>
  <c r="AQ966" i="26"/>
  <c r="AR966" i="26"/>
  <c r="AM966" i="26" s="1"/>
  <c r="AS966" i="26"/>
  <c r="AN966" i="26" s="1"/>
  <c r="AX966" i="26"/>
  <c r="AY966" i="26"/>
  <c r="AZ966" i="26"/>
  <c r="BB966" i="26"/>
  <c r="BC966" i="26"/>
  <c r="BD966" i="26"/>
  <c r="BE966" i="26"/>
  <c r="BF966" i="26"/>
  <c r="AQ967" i="26"/>
  <c r="AR967" i="26"/>
  <c r="AM967" i="26" s="1"/>
  <c r="AS967" i="26"/>
  <c r="AN967" i="26" s="1"/>
  <c r="AX967" i="26"/>
  <c r="AY967" i="26"/>
  <c r="AZ967" i="26"/>
  <c r="BB967" i="26"/>
  <c r="BC967" i="26"/>
  <c r="BD967" i="26"/>
  <c r="BE967" i="26"/>
  <c r="BF967" i="26"/>
  <c r="AQ968" i="26"/>
  <c r="AR968" i="26"/>
  <c r="AM968" i="26" s="1"/>
  <c r="AS968" i="26"/>
  <c r="AN968" i="26" s="1"/>
  <c r="AX968" i="26"/>
  <c r="AY968" i="26"/>
  <c r="AZ968" i="26"/>
  <c r="BB968" i="26"/>
  <c r="BC968" i="26"/>
  <c r="BD968" i="26"/>
  <c r="BE968" i="26"/>
  <c r="BF968" i="26"/>
  <c r="AQ969" i="26"/>
  <c r="AR969" i="26"/>
  <c r="AM969" i="26" s="1"/>
  <c r="AS969" i="26"/>
  <c r="AN969" i="26" s="1"/>
  <c r="AX969" i="26"/>
  <c r="AY969" i="26"/>
  <c r="AZ969" i="26"/>
  <c r="BB969" i="26"/>
  <c r="BC969" i="26"/>
  <c r="BD969" i="26"/>
  <c r="BE969" i="26"/>
  <c r="BF969" i="26"/>
  <c r="AQ970" i="26"/>
  <c r="AR970" i="26"/>
  <c r="AM970" i="26" s="1"/>
  <c r="AS970" i="26"/>
  <c r="AN970" i="26" s="1"/>
  <c r="AX970" i="26"/>
  <c r="AY970" i="26"/>
  <c r="AZ970" i="26"/>
  <c r="BB970" i="26"/>
  <c r="BC970" i="26"/>
  <c r="BD970" i="26"/>
  <c r="BE970" i="26"/>
  <c r="BF970" i="26"/>
  <c r="AQ971" i="26"/>
  <c r="AR971" i="26"/>
  <c r="AM971" i="26" s="1"/>
  <c r="AS971" i="26"/>
  <c r="AN971" i="26" s="1"/>
  <c r="AX971" i="26"/>
  <c r="AY971" i="26"/>
  <c r="AZ971" i="26"/>
  <c r="BB971" i="26"/>
  <c r="BC971" i="26"/>
  <c r="BD971" i="26"/>
  <c r="BE971" i="26"/>
  <c r="BF971" i="26"/>
  <c r="AQ972" i="26"/>
  <c r="AR972" i="26"/>
  <c r="AM972" i="26" s="1"/>
  <c r="AS972" i="26"/>
  <c r="AN972" i="26" s="1"/>
  <c r="AX972" i="26"/>
  <c r="AY972" i="26"/>
  <c r="AZ972" i="26"/>
  <c r="BB972" i="26"/>
  <c r="BC972" i="26"/>
  <c r="BD972" i="26"/>
  <c r="BE972" i="26"/>
  <c r="BF972" i="26"/>
  <c r="AQ973" i="26"/>
  <c r="AR973" i="26"/>
  <c r="AM973" i="26" s="1"/>
  <c r="AS973" i="26"/>
  <c r="AN973" i="26" s="1"/>
  <c r="AX973" i="26"/>
  <c r="AY973" i="26"/>
  <c r="AZ973" i="26"/>
  <c r="BB973" i="26"/>
  <c r="BC973" i="26"/>
  <c r="BD973" i="26"/>
  <c r="BE973" i="26"/>
  <c r="BF973" i="26"/>
  <c r="AQ974" i="26"/>
  <c r="AR974" i="26"/>
  <c r="AM974" i="26" s="1"/>
  <c r="AS974" i="26"/>
  <c r="AN974" i="26" s="1"/>
  <c r="AX974" i="26"/>
  <c r="AY974" i="26"/>
  <c r="AZ974" i="26"/>
  <c r="BB974" i="26"/>
  <c r="BC974" i="26"/>
  <c r="BD974" i="26"/>
  <c r="BE974" i="26"/>
  <c r="BF974" i="26"/>
  <c r="AQ975" i="26"/>
  <c r="AR975" i="26"/>
  <c r="AM975" i="26" s="1"/>
  <c r="AS975" i="26"/>
  <c r="AN975" i="26" s="1"/>
  <c r="AX975" i="26"/>
  <c r="AY975" i="26"/>
  <c r="AZ975" i="26"/>
  <c r="BB975" i="26"/>
  <c r="BC975" i="26"/>
  <c r="BD975" i="26"/>
  <c r="BE975" i="26"/>
  <c r="BF975" i="26"/>
  <c r="AQ976" i="26"/>
  <c r="AR976" i="26"/>
  <c r="AM976" i="26" s="1"/>
  <c r="AS976" i="26"/>
  <c r="AN976" i="26" s="1"/>
  <c r="AX976" i="26"/>
  <c r="AY976" i="26"/>
  <c r="AZ976" i="26"/>
  <c r="BB976" i="26"/>
  <c r="BC976" i="26"/>
  <c r="BD976" i="26"/>
  <c r="BE976" i="26"/>
  <c r="AL976" i="26" s="1"/>
  <c r="BF976" i="26"/>
  <c r="AQ977" i="26"/>
  <c r="AR977" i="26"/>
  <c r="AM977" i="26" s="1"/>
  <c r="AS977" i="26"/>
  <c r="AN977" i="26" s="1"/>
  <c r="AX977" i="26"/>
  <c r="AY977" i="26"/>
  <c r="AZ977" i="26"/>
  <c r="BB977" i="26"/>
  <c r="BC977" i="26"/>
  <c r="BD977" i="26"/>
  <c r="BE977" i="26"/>
  <c r="BF977" i="26"/>
  <c r="AQ978" i="26"/>
  <c r="AR978" i="26"/>
  <c r="AM978" i="26" s="1"/>
  <c r="AS978" i="26"/>
  <c r="AN978" i="26" s="1"/>
  <c r="AX978" i="26"/>
  <c r="AY978" i="26"/>
  <c r="AZ978" i="26"/>
  <c r="BB978" i="26"/>
  <c r="BC978" i="26"/>
  <c r="BD978" i="26"/>
  <c r="BE978" i="26"/>
  <c r="BF978" i="26"/>
  <c r="AF979" i="26"/>
  <c r="AQ979" i="26"/>
  <c r="AR979" i="26"/>
  <c r="AM979" i="26" s="1"/>
  <c r="AS979" i="26"/>
  <c r="AN979" i="26" s="1"/>
  <c r="AX979" i="26"/>
  <c r="AY979" i="26"/>
  <c r="AZ979" i="26"/>
  <c r="BB979" i="26"/>
  <c r="BC979" i="26"/>
  <c r="BD979" i="26"/>
  <c r="BE979" i="26"/>
  <c r="BF979" i="26"/>
  <c r="AQ980" i="26"/>
  <c r="AR980" i="26"/>
  <c r="AM980" i="26" s="1"/>
  <c r="AS980" i="26"/>
  <c r="AN980" i="26" s="1"/>
  <c r="AX980" i="26"/>
  <c r="AY980" i="26"/>
  <c r="AZ980" i="26"/>
  <c r="BB980" i="26"/>
  <c r="BC980" i="26"/>
  <c r="BD980" i="26"/>
  <c r="BE980" i="26"/>
  <c r="BF980" i="26"/>
  <c r="AQ981" i="26"/>
  <c r="AR981" i="26"/>
  <c r="AM981" i="26" s="1"/>
  <c r="AS981" i="26"/>
  <c r="AN981" i="26" s="1"/>
  <c r="AX981" i="26"/>
  <c r="AY981" i="26"/>
  <c r="AZ981" i="26"/>
  <c r="BB981" i="26"/>
  <c r="BC981" i="26"/>
  <c r="BD981" i="26"/>
  <c r="BE981" i="26"/>
  <c r="BF981" i="26"/>
  <c r="AQ982" i="26"/>
  <c r="AR982" i="26"/>
  <c r="AM982" i="26" s="1"/>
  <c r="AS982" i="26"/>
  <c r="AN982" i="26" s="1"/>
  <c r="AX982" i="26"/>
  <c r="AY982" i="26"/>
  <c r="AZ982" i="26"/>
  <c r="BB982" i="26"/>
  <c r="BC982" i="26"/>
  <c r="BD982" i="26"/>
  <c r="BE982" i="26"/>
  <c r="BF982" i="26"/>
  <c r="AQ983" i="26"/>
  <c r="AR983" i="26"/>
  <c r="AM983" i="26" s="1"/>
  <c r="AS983" i="26"/>
  <c r="AN983" i="26" s="1"/>
  <c r="AX983" i="26"/>
  <c r="AY983" i="26"/>
  <c r="AZ983" i="26"/>
  <c r="BB983" i="26"/>
  <c r="BC983" i="26"/>
  <c r="BD983" i="26"/>
  <c r="BE983" i="26"/>
  <c r="BF983" i="26"/>
  <c r="AQ984" i="26"/>
  <c r="AR984" i="26"/>
  <c r="AM984" i="26" s="1"/>
  <c r="AS984" i="26"/>
  <c r="AN984" i="26" s="1"/>
  <c r="AX984" i="26"/>
  <c r="AY984" i="26"/>
  <c r="AZ984" i="26"/>
  <c r="BB984" i="26"/>
  <c r="BC984" i="26"/>
  <c r="BD984" i="26"/>
  <c r="BE984" i="26"/>
  <c r="BF984" i="26"/>
  <c r="AQ985" i="26"/>
  <c r="AR985" i="26"/>
  <c r="AM985" i="26" s="1"/>
  <c r="AS985" i="26"/>
  <c r="AN985" i="26" s="1"/>
  <c r="AX985" i="26"/>
  <c r="AY985" i="26"/>
  <c r="AZ985" i="26"/>
  <c r="BB985" i="26"/>
  <c r="BC985" i="26"/>
  <c r="BD985" i="26"/>
  <c r="BE985" i="26"/>
  <c r="BF985" i="26"/>
  <c r="AQ986" i="26"/>
  <c r="AR986" i="26"/>
  <c r="AM986" i="26" s="1"/>
  <c r="AS986" i="26"/>
  <c r="AN986" i="26" s="1"/>
  <c r="AX986" i="26"/>
  <c r="AY986" i="26"/>
  <c r="AZ986" i="26"/>
  <c r="BB986" i="26"/>
  <c r="BC986" i="26"/>
  <c r="BD986" i="26"/>
  <c r="BE986" i="26"/>
  <c r="BF986" i="26"/>
  <c r="AQ987" i="26"/>
  <c r="AR987" i="26"/>
  <c r="AM987" i="26" s="1"/>
  <c r="AS987" i="26"/>
  <c r="AN987" i="26" s="1"/>
  <c r="AX987" i="26"/>
  <c r="AY987" i="26"/>
  <c r="AZ987" i="26"/>
  <c r="BB987" i="26"/>
  <c r="BC987" i="26"/>
  <c r="BD987" i="26"/>
  <c r="BE987" i="26"/>
  <c r="BF987" i="26"/>
  <c r="AQ988" i="26"/>
  <c r="AR988" i="26"/>
  <c r="AM988" i="26" s="1"/>
  <c r="AS988" i="26"/>
  <c r="AN988" i="26" s="1"/>
  <c r="AX988" i="26"/>
  <c r="AY988" i="26"/>
  <c r="AZ988" i="26"/>
  <c r="BB988" i="26"/>
  <c r="BC988" i="26"/>
  <c r="BD988" i="26"/>
  <c r="BE988" i="26"/>
  <c r="AL988" i="26" s="1"/>
  <c r="BF988" i="26"/>
  <c r="AQ989" i="26"/>
  <c r="AR989" i="26"/>
  <c r="AM989" i="26" s="1"/>
  <c r="AS989" i="26"/>
  <c r="AN989" i="26" s="1"/>
  <c r="AX989" i="26"/>
  <c r="AY989" i="26"/>
  <c r="AZ989" i="26"/>
  <c r="BB989" i="26"/>
  <c r="BC989" i="26"/>
  <c r="BD989" i="26"/>
  <c r="BE989" i="26"/>
  <c r="BF989" i="26"/>
  <c r="AQ990" i="26"/>
  <c r="AR990" i="26"/>
  <c r="AM990" i="26" s="1"/>
  <c r="AS990" i="26"/>
  <c r="AN990" i="26" s="1"/>
  <c r="AX990" i="26"/>
  <c r="AY990" i="26"/>
  <c r="AZ990" i="26"/>
  <c r="BB990" i="26"/>
  <c r="BC990" i="26"/>
  <c r="BD990" i="26"/>
  <c r="BE990" i="26"/>
  <c r="BF990" i="26"/>
  <c r="AQ991" i="26"/>
  <c r="AR991" i="26"/>
  <c r="AM991" i="26" s="1"/>
  <c r="AS991" i="26"/>
  <c r="AN991" i="26" s="1"/>
  <c r="AX991" i="26"/>
  <c r="AY991" i="26"/>
  <c r="AZ991" i="26"/>
  <c r="BB991" i="26"/>
  <c r="BC991" i="26"/>
  <c r="BD991" i="26"/>
  <c r="BE991" i="26"/>
  <c r="BF991" i="26"/>
  <c r="AQ992" i="26"/>
  <c r="AR992" i="26"/>
  <c r="AM992" i="26" s="1"/>
  <c r="AS992" i="26"/>
  <c r="AN992" i="26" s="1"/>
  <c r="AX992" i="26"/>
  <c r="AY992" i="26"/>
  <c r="AZ992" i="26"/>
  <c r="BB992" i="26"/>
  <c r="BC992" i="26"/>
  <c r="BD992" i="26"/>
  <c r="BE992" i="26"/>
  <c r="BF992" i="26"/>
  <c r="AQ993" i="26"/>
  <c r="AR993" i="26"/>
  <c r="AM993" i="26" s="1"/>
  <c r="AS993" i="26"/>
  <c r="AN993" i="26" s="1"/>
  <c r="AX993" i="26"/>
  <c r="AY993" i="26"/>
  <c r="AZ993" i="26"/>
  <c r="BB993" i="26"/>
  <c r="BC993" i="26"/>
  <c r="BD993" i="26"/>
  <c r="BE993" i="26"/>
  <c r="BF993" i="26"/>
  <c r="AQ994" i="26"/>
  <c r="AR994" i="26"/>
  <c r="AM994" i="26" s="1"/>
  <c r="AS994" i="26"/>
  <c r="AN994" i="26" s="1"/>
  <c r="AX994" i="26"/>
  <c r="AY994" i="26"/>
  <c r="AZ994" i="26"/>
  <c r="BB994" i="26"/>
  <c r="BC994" i="26"/>
  <c r="BD994" i="26"/>
  <c r="BE994" i="26"/>
  <c r="BF994" i="26"/>
  <c r="AQ995" i="26"/>
  <c r="AR995" i="26"/>
  <c r="AM995" i="26" s="1"/>
  <c r="AS995" i="26"/>
  <c r="AN995" i="26" s="1"/>
  <c r="AX995" i="26"/>
  <c r="AY995" i="26"/>
  <c r="AZ995" i="26"/>
  <c r="BB995" i="26"/>
  <c r="BC995" i="26"/>
  <c r="BD995" i="26"/>
  <c r="BE995" i="26"/>
  <c r="BF995" i="26"/>
  <c r="AQ996" i="26"/>
  <c r="AR996" i="26"/>
  <c r="AM996" i="26" s="1"/>
  <c r="AS996" i="26"/>
  <c r="AN996" i="26" s="1"/>
  <c r="AX996" i="26"/>
  <c r="AY996" i="26"/>
  <c r="AZ996" i="26"/>
  <c r="BB996" i="26"/>
  <c r="BC996" i="26"/>
  <c r="BD996" i="26"/>
  <c r="BE996" i="26"/>
  <c r="BF996" i="26"/>
  <c r="AQ997" i="26"/>
  <c r="AR997" i="26"/>
  <c r="AM997" i="26" s="1"/>
  <c r="AS997" i="26"/>
  <c r="AN997" i="26" s="1"/>
  <c r="AX997" i="26"/>
  <c r="AY997" i="26"/>
  <c r="AZ997" i="26"/>
  <c r="BB997" i="26"/>
  <c r="BC997" i="26"/>
  <c r="BD997" i="26"/>
  <c r="BE997" i="26"/>
  <c r="BF997" i="26"/>
  <c r="AQ998" i="26"/>
  <c r="AR998" i="26"/>
  <c r="AM998" i="26" s="1"/>
  <c r="AS998" i="26"/>
  <c r="AN998" i="26" s="1"/>
  <c r="AX998" i="26"/>
  <c r="AY998" i="26"/>
  <c r="AZ998" i="26"/>
  <c r="BB998" i="26"/>
  <c r="BC998" i="26"/>
  <c r="BD998" i="26"/>
  <c r="BE998" i="26"/>
  <c r="BF998" i="26"/>
  <c r="AQ999" i="26"/>
  <c r="AR999" i="26"/>
  <c r="AM999" i="26" s="1"/>
  <c r="AS999" i="26"/>
  <c r="AN999" i="26" s="1"/>
  <c r="AX999" i="26"/>
  <c r="AY999" i="26"/>
  <c r="AZ999" i="26"/>
  <c r="BB999" i="26"/>
  <c r="BC999" i="26"/>
  <c r="BD999" i="26"/>
  <c r="BE999" i="26"/>
  <c r="BF999" i="26"/>
  <c r="AQ1000" i="26"/>
  <c r="AR1000" i="26"/>
  <c r="AM1000" i="26" s="1"/>
  <c r="AS1000" i="26"/>
  <c r="AN1000" i="26" s="1"/>
  <c r="AX1000" i="26"/>
  <c r="AY1000" i="26"/>
  <c r="AZ1000" i="26"/>
  <c r="BB1000" i="26"/>
  <c r="BC1000" i="26"/>
  <c r="BD1000" i="26"/>
  <c r="BE1000" i="26"/>
  <c r="BF1000" i="26"/>
  <c r="AQ1001" i="26"/>
  <c r="AR1001" i="26"/>
  <c r="AM1001" i="26" s="1"/>
  <c r="AS1001" i="26"/>
  <c r="AN1001" i="26" s="1"/>
  <c r="AX1001" i="26"/>
  <c r="AY1001" i="26"/>
  <c r="AZ1001" i="26"/>
  <c r="BB1001" i="26"/>
  <c r="BC1001" i="26"/>
  <c r="BD1001" i="26"/>
  <c r="BE1001" i="26"/>
  <c r="BF1001" i="26"/>
  <c r="AQ1002" i="26"/>
  <c r="AR1002" i="26"/>
  <c r="AM1002" i="26" s="1"/>
  <c r="AS1002" i="26"/>
  <c r="AN1002" i="26" s="1"/>
  <c r="AX1002" i="26"/>
  <c r="AY1002" i="26"/>
  <c r="AZ1002" i="26"/>
  <c r="BB1002" i="26"/>
  <c r="BC1002" i="26"/>
  <c r="BD1002" i="26"/>
  <c r="BE1002" i="26"/>
  <c r="BF1002" i="26"/>
  <c r="AQ1003" i="26"/>
  <c r="AR1003" i="26"/>
  <c r="AM1003" i="26" s="1"/>
  <c r="AS1003" i="26"/>
  <c r="AN1003" i="26" s="1"/>
  <c r="AX1003" i="26"/>
  <c r="AY1003" i="26"/>
  <c r="AZ1003" i="26"/>
  <c r="BB1003" i="26"/>
  <c r="BC1003" i="26"/>
  <c r="BD1003" i="26"/>
  <c r="BE1003" i="26"/>
  <c r="BF1003" i="26"/>
  <c r="AQ1004" i="26"/>
  <c r="AR1004" i="26"/>
  <c r="AM1004" i="26" s="1"/>
  <c r="AS1004" i="26"/>
  <c r="AN1004" i="26" s="1"/>
  <c r="AX1004" i="26"/>
  <c r="AY1004" i="26"/>
  <c r="AZ1004" i="26"/>
  <c r="BB1004" i="26"/>
  <c r="BC1004" i="26"/>
  <c r="BD1004" i="26"/>
  <c r="BE1004" i="26"/>
  <c r="BF1004" i="26"/>
  <c r="AQ1005" i="26"/>
  <c r="AR1005" i="26"/>
  <c r="AM1005" i="26" s="1"/>
  <c r="AS1005" i="26"/>
  <c r="AN1005" i="26" s="1"/>
  <c r="AX1005" i="26"/>
  <c r="AY1005" i="26"/>
  <c r="AZ1005" i="26"/>
  <c r="BB1005" i="26"/>
  <c r="BC1005" i="26"/>
  <c r="BD1005" i="26"/>
  <c r="BE1005" i="26"/>
  <c r="BF1005" i="26"/>
  <c r="AQ1006" i="26"/>
  <c r="AR1006" i="26"/>
  <c r="AM1006" i="26" s="1"/>
  <c r="AS1006" i="26"/>
  <c r="AN1006" i="26" s="1"/>
  <c r="AX1006" i="26"/>
  <c r="AY1006" i="26"/>
  <c r="AZ1006" i="26"/>
  <c r="BB1006" i="26"/>
  <c r="BC1006" i="26"/>
  <c r="BD1006" i="26"/>
  <c r="BE1006" i="26"/>
  <c r="BF1006" i="26"/>
  <c r="AQ1007" i="26"/>
  <c r="AR1007" i="26"/>
  <c r="AM1007" i="26" s="1"/>
  <c r="AS1007" i="26"/>
  <c r="AN1007" i="26" s="1"/>
  <c r="AX1007" i="26"/>
  <c r="AY1007" i="26"/>
  <c r="AZ1007" i="26"/>
  <c r="BB1007" i="26"/>
  <c r="BC1007" i="26"/>
  <c r="BD1007" i="26"/>
  <c r="BE1007" i="26"/>
  <c r="BF1007" i="26"/>
  <c r="AQ1008" i="26"/>
  <c r="AR1008" i="26"/>
  <c r="AM1008" i="26" s="1"/>
  <c r="AS1008" i="26"/>
  <c r="AN1008" i="26" s="1"/>
  <c r="AX1008" i="26"/>
  <c r="AY1008" i="26"/>
  <c r="AZ1008" i="26"/>
  <c r="BB1008" i="26"/>
  <c r="BC1008" i="26"/>
  <c r="BD1008" i="26"/>
  <c r="BE1008" i="26"/>
  <c r="AL1008" i="26" s="1"/>
  <c r="BF1008" i="26"/>
  <c r="AN1009" i="26"/>
  <c r="AQ1009" i="26"/>
  <c r="AR1009" i="26"/>
  <c r="AM1009" i="26" s="1"/>
  <c r="AS1009" i="26"/>
  <c r="AX1009" i="26"/>
  <c r="AY1009" i="26"/>
  <c r="AZ1009" i="26"/>
  <c r="BB1009" i="26"/>
  <c r="BC1009" i="26"/>
  <c r="BD1009" i="26"/>
  <c r="BE1009" i="26"/>
  <c r="BF1009" i="26"/>
  <c r="AQ1010" i="26"/>
  <c r="AR1010" i="26"/>
  <c r="AM1010" i="26" s="1"/>
  <c r="AS1010" i="26"/>
  <c r="AN1010" i="26" s="1"/>
  <c r="AX1010" i="26"/>
  <c r="AY1010" i="26"/>
  <c r="AZ1010" i="26"/>
  <c r="BB1010" i="26"/>
  <c r="BC1010" i="26"/>
  <c r="BD1010" i="26"/>
  <c r="BE1010" i="26"/>
  <c r="BF1010" i="26"/>
  <c r="AQ1011" i="26"/>
  <c r="AR1011" i="26"/>
  <c r="AM1011" i="26" s="1"/>
  <c r="AS1011" i="26"/>
  <c r="AN1011" i="26" s="1"/>
  <c r="AX1011" i="26"/>
  <c r="AY1011" i="26"/>
  <c r="AZ1011" i="26"/>
  <c r="BB1011" i="26"/>
  <c r="BC1011" i="26"/>
  <c r="BD1011" i="26"/>
  <c r="BE1011" i="26"/>
  <c r="BF1011" i="26"/>
  <c r="AQ1012" i="26"/>
  <c r="AR1012" i="26"/>
  <c r="AM1012" i="26" s="1"/>
  <c r="AS1012" i="26"/>
  <c r="AN1012" i="26" s="1"/>
  <c r="AX1012" i="26"/>
  <c r="AY1012" i="26"/>
  <c r="AZ1012" i="26"/>
  <c r="BB1012" i="26"/>
  <c r="BC1012" i="26"/>
  <c r="BD1012" i="26"/>
  <c r="BE1012" i="26"/>
  <c r="BF1012" i="26"/>
  <c r="AQ1013" i="26"/>
  <c r="AR1013" i="26"/>
  <c r="AM1013" i="26" s="1"/>
  <c r="AS1013" i="26"/>
  <c r="AN1013" i="26" s="1"/>
  <c r="AX1013" i="26"/>
  <c r="AY1013" i="26"/>
  <c r="AZ1013" i="26"/>
  <c r="BB1013" i="26"/>
  <c r="BC1013" i="26"/>
  <c r="BD1013" i="26"/>
  <c r="BE1013" i="26"/>
  <c r="BF1013" i="26"/>
  <c r="AQ1014" i="26"/>
  <c r="AR1014" i="26"/>
  <c r="AM1014" i="26" s="1"/>
  <c r="AS1014" i="26"/>
  <c r="AN1014" i="26" s="1"/>
  <c r="AX1014" i="26"/>
  <c r="AY1014" i="26"/>
  <c r="AZ1014" i="26"/>
  <c r="BB1014" i="26"/>
  <c r="BC1014" i="26"/>
  <c r="BD1014" i="26"/>
  <c r="BE1014" i="26"/>
  <c r="BF1014" i="26"/>
  <c r="AQ1015" i="26"/>
  <c r="AR1015" i="26"/>
  <c r="AM1015" i="26" s="1"/>
  <c r="AS1015" i="26"/>
  <c r="AN1015" i="26" s="1"/>
  <c r="AX1015" i="26"/>
  <c r="AY1015" i="26"/>
  <c r="AZ1015" i="26"/>
  <c r="BB1015" i="26"/>
  <c r="BC1015" i="26"/>
  <c r="BD1015" i="26"/>
  <c r="BE1015" i="26"/>
  <c r="BF1015" i="26"/>
  <c r="AQ1016" i="26"/>
  <c r="AR1016" i="26"/>
  <c r="AM1016" i="26" s="1"/>
  <c r="AS1016" i="26"/>
  <c r="AN1016" i="26" s="1"/>
  <c r="AX1016" i="26"/>
  <c r="AY1016" i="26"/>
  <c r="AZ1016" i="26"/>
  <c r="BB1016" i="26"/>
  <c r="BC1016" i="26"/>
  <c r="BD1016" i="26"/>
  <c r="BE1016" i="26"/>
  <c r="BF1016" i="26"/>
  <c r="AQ1017" i="26"/>
  <c r="AR1017" i="26"/>
  <c r="AM1017" i="26" s="1"/>
  <c r="AS1017" i="26"/>
  <c r="AN1017" i="26" s="1"/>
  <c r="AX1017" i="26"/>
  <c r="AY1017" i="26"/>
  <c r="AZ1017" i="26"/>
  <c r="BB1017" i="26"/>
  <c r="BC1017" i="26"/>
  <c r="BD1017" i="26"/>
  <c r="BE1017" i="26"/>
  <c r="BF1017" i="26"/>
  <c r="AQ1018" i="26"/>
  <c r="AR1018" i="26"/>
  <c r="AM1018" i="26" s="1"/>
  <c r="AS1018" i="26"/>
  <c r="AN1018" i="26" s="1"/>
  <c r="AX1018" i="26"/>
  <c r="AY1018" i="26"/>
  <c r="AZ1018" i="26"/>
  <c r="BB1018" i="26"/>
  <c r="BC1018" i="26"/>
  <c r="BD1018" i="26"/>
  <c r="BE1018" i="26"/>
  <c r="BF1018" i="26"/>
  <c r="AQ1019" i="26"/>
  <c r="AR1019" i="26"/>
  <c r="AM1019" i="26" s="1"/>
  <c r="AS1019" i="26"/>
  <c r="AN1019" i="26" s="1"/>
  <c r="AX1019" i="26"/>
  <c r="AY1019" i="26"/>
  <c r="AZ1019" i="26"/>
  <c r="BB1019" i="26"/>
  <c r="BC1019" i="26"/>
  <c r="AL1019" i="26" s="1"/>
  <c r="BD1019" i="26"/>
  <c r="BE1019" i="26"/>
  <c r="BF1019" i="26"/>
  <c r="AQ1020" i="26"/>
  <c r="AR1020" i="26"/>
  <c r="AM1020" i="26" s="1"/>
  <c r="AS1020" i="26"/>
  <c r="AN1020" i="26" s="1"/>
  <c r="AX1020" i="26"/>
  <c r="AY1020" i="26"/>
  <c r="AZ1020" i="26"/>
  <c r="BB1020" i="26"/>
  <c r="BC1020" i="26"/>
  <c r="BD1020" i="26"/>
  <c r="BE1020" i="26"/>
  <c r="BF1020" i="26"/>
  <c r="AQ1021" i="26"/>
  <c r="AR1021" i="26"/>
  <c r="AM1021" i="26" s="1"/>
  <c r="AS1021" i="26"/>
  <c r="AN1021" i="26" s="1"/>
  <c r="AX1021" i="26"/>
  <c r="AY1021" i="26"/>
  <c r="AZ1021" i="26"/>
  <c r="BB1021" i="26"/>
  <c r="BC1021" i="26"/>
  <c r="BD1021" i="26"/>
  <c r="BE1021" i="26"/>
  <c r="BF1021" i="26"/>
  <c r="AQ1022" i="26"/>
  <c r="AR1022" i="26"/>
  <c r="AM1022" i="26" s="1"/>
  <c r="AS1022" i="26"/>
  <c r="AN1022" i="26" s="1"/>
  <c r="AX1022" i="26"/>
  <c r="AY1022" i="26"/>
  <c r="AZ1022" i="26"/>
  <c r="BB1022" i="26"/>
  <c r="BC1022" i="26"/>
  <c r="BD1022" i="26"/>
  <c r="BE1022" i="26"/>
  <c r="BF1022" i="26"/>
  <c r="AQ1023" i="26"/>
  <c r="AR1023" i="26"/>
  <c r="AM1023" i="26" s="1"/>
  <c r="AS1023" i="26"/>
  <c r="AN1023" i="26" s="1"/>
  <c r="AX1023" i="26"/>
  <c r="AY1023" i="26"/>
  <c r="AZ1023" i="26"/>
  <c r="BB1023" i="26"/>
  <c r="BC1023" i="26"/>
  <c r="BD1023" i="26"/>
  <c r="BE1023" i="26"/>
  <c r="BF1023" i="26"/>
  <c r="AQ1024" i="26"/>
  <c r="AR1024" i="26"/>
  <c r="AM1024" i="26" s="1"/>
  <c r="AS1024" i="26"/>
  <c r="AN1024" i="26" s="1"/>
  <c r="AX1024" i="26"/>
  <c r="AY1024" i="26"/>
  <c r="AZ1024" i="26"/>
  <c r="BB1024" i="26"/>
  <c r="BC1024" i="26"/>
  <c r="BD1024" i="26"/>
  <c r="BE1024" i="26"/>
  <c r="BF1024" i="26"/>
  <c r="AQ1025" i="26"/>
  <c r="AR1025" i="26"/>
  <c r="AM1025" i="26" s="1"/>
  <c r="AS1025" i="26"/>
  <c r="AN1025" i="26" s="1"/>
  <c r="AX1025" i="26"/>
  <c r="AY1025" i="26"/>
  <c r="AZ1025" i="26"/>
  <c r="BB1025" i="26"/>
  <c r="BC1025" i="26"/>
  <c r="BD1025" i="26"/>
  <c r="BE1025" i="26"/>
  <c r="BF1025" i="26"/>
  <c r="AQ1026" i="26"/>
  <c r="AR1026" i="26"/>
  <c r="AM1026" i="26" s="1"/>
  <c r="AS1026" i="26"/>
  <c r="AN1026" i="26" s="1"/>
  <c r="AX1026" i="26"/>
  <c r="AY1026" i="26"/>
  <c r="AZ1026" i="26"/>
  <c r="BB1026" i="26"/>
  <c r="BC1026" i="26"/>
  <c r="BD1026" i="26"/>
  <c r="BE1026" i="26"/>
  <c r="BF1026" i="26"/>
  <c r="AQ1027" i="26"/>
  <c r="AR1027" i="26"/>
  <c r="AM1027" i="26" s="1"/>
  <c r="AS1027" i="26"/>
  <c r="AN1027" i="26" s="1"/>
  <c r="AX1027" i="26"/>
  <c r="AY1027" i="26"/>
  <c r="AZ1027" i="26"/>
  <c r="BB1027" i="26"/>
  <c r="BC1027" i="26"/>
  <c r="BD1027" i="26"/>
  <c r="BE1027" i="26"/>
  <c r="BF1027" i="26"/>
  <c r="AQ1028" i="26"/>
  <c r="AR1028" i="26"/>
  <c r="AM1028" i="26" s="1"/>
  <c r="AS1028" i="26"/>
  <c r="AN1028" i="26" s="1"/>
  <c r="AX1028" i="26"/>
  <c r="AY1028" i="26"/>
  <c r="AZ1028" i="26"/>
  <c r="BB1028" i="26"/>
  <c r="BC1028" i="26"/>
  <c r="BD1028" i="26"/>
  <c r="BE1028" i="26"/>
  <c r="BF1028" i="26"/>
  <c r="AQ1029" i="26"/>
  <c r="AR1029" i="26"/>
  <c r="AM1029" i="26" s="1"/>
  <c r="AS1029" i="26"/>
  <c r="AN1029" i="26" s="1"/>
  <c r="AX1029" i="26"/>
  <c r="AY1029" i="26"/>
  <c r="AZ1029" i="26"/>
  <c r="BB1029" i="26"/>
  <c r="BC1029" i="26"/>
  <c r="BD1029" i="26"/>
  <c r="BE1029" i="26"/>
  <c r="BF1029" i="26"/>
  <c r="AQ1030" i="26"/>
  <c r="AR1030" i="26"/>
  <c r="AM1030" i="26" s="1"/>
  <c r="AS1030" i="26"/>
  <c r="AN1030" i="26" s="1"/>
  <c r="AX1030" i="26"/>
  <c r="AY1030" i="26"/>
  <c r="AZ1030" i="26"/>
  <c r="BB1030" i="26"/>
  <c r="BC1030" i="26"/>
  <c r="BD1030" i="26"/>
  <c r="BE1030" i="26"/>
  <c r="BF1030" i="26"/>
  <c r="AQ1031" i="26"/>
  <c r="AR1031" i="26"/>
  <c r="AM1031" i="26" s="1"/>
  <c r="AS1031" i="26"/>
  <c r="AN1031" i="26" s="1"/>
  <c r="AX1031" i="26"/>
  <c r="AY1031" i="26"/>
  <c r="AZ1031" i="26"/>
  <c r="BB1031" i="26"/>
  <c r="BC1031" i="26"/>
  <c r="BD1031" i="26"/>
  <c r="BE1031" i="26"/>
  <c r="BF1031" i="26"/>
  <c r="AQ1032" i="26"/>
  <c r="AR1032" i="26"/>
  <c r="AM1032" i="26" s="1"/>
  <c r="AS1032" i="26"/>
  <c r="AN1032" i="26" s="1"/>
  <c r="AX1032" i="26"/>
  <c r="AY1032" i="26"/>
  <c r="AZ1032" i="26"/>
  <c r="BB1032" i="26"/>
  <c r="BC1032" i="26"/>
  <c r="BD1032" i="26"/>
  <c r="BE1032" i="26"/>
  <c r="BF1032" i="26"/>
  <c r="AQ1033" i="26"/>
  <c r="AR1033" i="26"/>
  <c r="AM1033" i="26" s="1"/>
  <c r="AS1033" i="26"/>
  <c r="AN1033" i="26" s="1"/>
  <c r="AX1033" i="26"/>
  <c r="AY1033" i="26"/>
  <c r="AZ1033" i="26"/>
  <c r="BB1033" i="26"/>
  <c r="BC1033" i="26"/>
  <c r="BD1033" i="26"/>
  <c r="BE1033" i="26"/>
  <c r="BF1033" i="26"/>
  <c r="AQ1034" i="26"/>
  <c r="AR1034" i="26"/>
  <c r="AM1034" i="26" s="1"/>
  <c r="AS1034" i="26"/>
  <c r="AN1034" i="26" s="1"/>
  <c r="AX1034" i="26"/>
  <c r="AY1034" i="26"/>
  <c r="AZ1034" i="26"/>
  <c r="BB1034" i="26"/>
  <c r="BC1034" i="26"/>
  <c r="BD1034" i="26"/>
  <c r="BE1034" i="26"/>
  <c r="BF1034" i="26"/>
  <c r="AQ1035" i="26"/>
  <c r="AR1035" i="26"/>
  <c r="AM1035" i="26" s="1"/>
  <c r="AS1035" i="26"/>
  <c r="AN1035" i="26" s="1"/>
  <c r="AX1035" i="26"/>
  <c r="AY1035" i="26"/>
  <c r="AZ1035" i="26"/>
  <c r="BB1035" i="26"/>
  <c r="BC1035" i="26"/>
  <c r="AL1035" i="26" s="1"/>
  <c r="BD1035" i="26"/>
  <c r="BE1035" i="26"/>
  <c r="BF1035" i="26"/>
  <c r="AQ1036" i="26"/>
  <c r="AR1036" i="26"/>
  <c r="AM1036" i="26" s="1"/>
  <c r="AS1036" i="26"/>
  <c r="AN1036" i="26" s="1"/>
  <c r="AX1036" i="26"/>
  <c r="AY1036" i="26"/>
  <c r="AZ1036" i="26"/>
  <c r="BB1036" i="26"/>
  <c r="BC1036" i="26"/>
  <c r="BD1036" i="26"/>
  <c r="BE1036" i="26"/>
  <c r="BF1036" i="26"/>
  <c r="AQ1037" i="26"/>
  <c r="AR1037" i="26"/>
  <c r="AM1037" i="26" s="1"/>
  <c r="AS1037" i="26"/>
  <c r="AN1037" i="26" s="1"/>
  <c r="AX1037" i="26"/>
  <c r="AY1037" i="26"/>
  <c r="AZ1037" i="26"/>
  <c r="BB1037" i="26"/>
  <c r="BC1037" i="26"/>
  <c r="BD1037" i="26"/>
  <c r="BE1037" i="26"/>
  <c r="BF1037" i="26"/>
  <c r="AN1038" i="26"/>
  <c r="AQ1038" i="26"/>
  <c r="AR1038" i="26"/>
  <c r="AM1038" i="26" s="1"/>
  <c r="AS1038" i="26"/>
  <c r="AX1038" i="26"/>
  <c r="AY1038" i="26"/>
  <c r="AZ1038" i="26"/>
  <c r="BB1038" i="26"/>
  <c r="BC1038" i="26"/>
  <c r="BD1038" i="26"/>
  <c r="BE1038" i="26"/>
  <c r="BF1038" i="26"/>
  <c r="AQ1039" i="26"/>
  <c r="AR1039" i="26"/>
  <c r="AM1039" i="26" s="1"/>
  <c r="AS1039" i="26"/>
  <c r="AN1039" i="26" s="1"/>
  <c r="AX1039" i="26"/>
  <c r="AY1039" i="26"/>
  <c r="AZ1039" i="26"/>
  <c r="BB1039" i="26"/>
  <c r="BC1039" i="26"/>
  <c r="BD1039" i="26"/>
  <c r="BE1039" i="26"/>
  <c r="BF1039" i="26"/>
  <c r="AQ1040" i="26"/>
  <c r="AR1040" i="26"/>
  <c r="AM1040" i="26" s="1"/>
  <c r="AS1040" i="26"/>
  <c r="AN1040" i="26" s="1"/>
  <c r="AX1040" i="26"/>
  <c r="AY1040" i="26"/>
  <c r="AZ1040" i="26"/>
  <c r="BB1040" i="26"/>
  <c r="BC1040" i="26"/>
  <c r="BD1040" i="26"/>
  <c r="BE1040" i="26"/>
  <c r="AL1040" i="26" s="1"/>
  <c r="BF1040" i="26"/>
  <c r="AQ1041" i="26"/>
  <c r="AR1041" i="26"/>
  <c r="AM1041" i="26" s="1"/>
  <c r="AS1041" i="26"/>
  <c r="AN1041" i="26" s="1"/>
  <c r="AX1041" i="26"/>
  <c r="AY1041" i="26"/>
  <c r="AZ1041" i="26"/>
  <c r="BB1041" i="26"/>
  <c r="BC1041" i="26"/>
  <c r="BD1041" i="26"/>
  <c r="BE1041" i="26"/>
  <c r="BF1041" i="26"/>
  <c r="AQ1042" i="26"/>
  <c r="AR1042" i="26"/>
  <c r="AM1042" i="26" s="1"/>
  <c r="AS1042" i="26"/>
  <c r="AN1042" i="26" s="1"/>
  <c r="AX1042" i="26"/>
  <c r="AY1042" i="26"/>
  <c r="AZ1042" i="26"/>
  <c r="BB1042" i="26"/>
  <c r="BC1042" i="26"/>
  <c r="AL1042" i="26" s="1"/>
  <c r="BD1042" i="26"/>
  <c r="BE1042" i="26"/>
  <c r="BF1042" i="26"/>
  <c r="AQ1043" i="26"/>
  <c r="AR1043" i="26"/>
  <c r="AM1043" i="26" s="1"/>
  <c r="AS1043" i="26"/>
  <c r="AN1043" i="26" s="1"/>
  <c r="AX1043" i="26"/>
  <c r="AY1043" i="26"/>
  <c r="AZ1043" i="26"/>
  <c r="BB1043" i="26"/>
  <c r="BC1043" i="26"/>
  <c r="BD1043" i="26"/>
  <c r="BE1043" i="26"/>
  <c r="BF1043" i="26"/>
  <c r="AM1044" i="26"/>
  <c r="AQ1044" i="26"/>
  <c r="AR1044" i="26"/>
  <c r="AS1044" i="26"/>
  <c r="AN1044" i="26" s="1"/>
  <c r="AX1044" i="26"/>
  <c r="AY1044" i="26"/>
  <c r="AZ1044" i="26"/>
  <c r="BB1044" i="26"/>
  <c r="BC1044" i="26"/>
  <c r="BD1044" i="26"/>
  <c r="BE1044" i="26"/>
  <c r="BF1044" i="26"/>
  <c r="AQ1045" i="26"/>
  <c r="AR1045" i="26"/>
  <c r="AM1045" i="26" s="1"/>
  <c r="AS1045" i="26"/>
  <c r="AN1045" i="26" s="1"/>
  <c r="AX1045" i="26"/>
  <c r="AY1045" i="26"/>
  <c r="AZ1045" i="26"/>
  <c r="BB1045" i="26"/>
  <c r="BC1045" i="26"/>
  <c r="BD1045" i="26"/>
  <c r="BE1045" i="26"/>
  <c r="BF1045" i="26"/>
  <c r="AQ1046" i="26"/>
  <c r="AR1046" i="26"/>
  <c r="AM1046" i="26" s="1"/>
  <c r="AS1046" i="26"/>
  <c r="AN1046" i="26" s="1"/>
  <c r="AX1046" i="26"/>
  <c r="AY1046" i="26"/>
  <c r="AZ1046" i="26"/>
  <c r="BB1046" i="26"/>
  <c r="BC1046" i="26"/>
  <c r="BD1046" i="26"/>
  <c r="BE1046" i="26"/>
  <c r="BF1046" i="26"/>
  <c r="AQ1047" i="26"/>
  <c r="AR1047" i="26"/>
  <c r="AM1047" i="26" s="1"/>
  <c r="AS1047" i="26"/>
  <c r="AN1047" i="26" s="1"/>
  <c r="AX1047" i="26"/>
  <c r="AY1047" i="26"/>
  <c r="AZ1047" i="26"/>
  <c r="BB1047" i="26"/>
  <c r="BC1047" i="26"/>
  <c r="BD1047" i="26"/>
  <c r="BE1047" i="26"/>
  <c r="BF1047" i="26"/>
  <c r="AQ1048" i="26"/>
  <c r="AR1048" i="26"/>
  <c r="AM1048" i="26" s="1"/>
  <c r="AS1048" i="26"/>
  <c r="AN1048" i="26" s="1"/>
  <c r="AX1048" i="26"/>
  <c r="AY1048" i="26"/>
  <c r="AZ1048" i="26"/>
  <c r="BB1048" i="26"/>
  <c r="BC1048" i="26"/>
  <c r="BD1048" i="26"/>
  <c r="BE1048" i="26"/>
  <c r="BF1048" i="26"/>
  <c r="AQ1049" i="26"/>
  <c r="AR1049" i="26"/>
  <c r="AM1049" i="26" s="1"/>
  <c r="AS1049" i="26"/>
  <c r="AN1049" i="26" s="1"/>
  <c r="AX1049" i="26"/>
  <c r="AY1049" i="26"/>
  <c r="AZ1049" i="26"/>
  <c r="BB1049" i="26"/>
  <c r="BC1049" i="26"/>
  <c r="BD1049" i="26"/>
  <c r="BE1049" i="26"/>
  <c r="BF1049" i="26"/>
  <c r="AQ1050" i="26"/>
  <c r="AR1050" i="26"/>
  <c r="AM1050" i="26" s="1"/>
  <c r="AS1050" i="26"/>
  <c r="AN1050" i="26" s="1"/>
  <c r="AX1050" i="26"/>
  <c r="AY1050" i="26"/>
  <c r="AZ1050" i="26"/>
  <c r="BB1050" i="26"/>
  <c r="BC1050" i="26"/>
  <c r="BD1050" i="26"/>
  <c r="BE1050" i="26"/>
  <c r="BF1050" i="26"/>
  <c r="AQ1051" i="26"/>
  <c r="AR1051" i="26"/>
  <c r="AM1051" i="26" s="1"/>
  <c r="AS1051" i="26"/>
  <c r="AN1051" i="26" s="1"/>
  <c r="AX1051" i="26"/>
  <c r="AY1051" i="26"/>
  <c r="AZ1051" i="26"/>
  <c r="BB1051" i="26"/>
  <c r="BC1051" i="26"/>
  <c r="BD1051" i="26"/>
  <c r="BE1051" i="26"/>
  <c r="BF1051" i="26"/>
  <c r="AQ1052" i="26"/>
  <c r="AR1052" i="26"/>
  <c r="AM1052" i="26" s="1"/>
  <c r="AS1052" i="26"/>
  <c r="AN1052" i="26" s="1"/>
  <c r="AX1052" i="26"/>
  <c r="AY1052" i="26"/>
  <c r="AZ1052" i="26"/>
  <c r="BB1052" i="26"/>
  <c r="BC1052" i="26"/>
  <c r="BD1052" i="26"/>
  <c r="BE1052" i="26"/>
  <c r="BF1052" i="26"/>
  <c r="AQ1053" i="26"/>
  <c r="AR1053" i="26"/>
  <c r="AM1053" i="26" s="1"/>
  <c r="AS1053" i="26"/>
  <c r="AN1053" i="26" s="1"/>
  <c r="AX1053" i="26"/>
  <c r="AY1053" i="26"/>
  <c r="AZ1053" i="26"/>
  <c r="BB1053" i="26"/>
  <c r="BC1053" i="26"/>
  <c r="BD1053" i="26"/>
  <c r="BE1053" i="26"/>
  <c r="BF1053" i="26"/>
  <c r="AQ1054" i="26"/>
  <c r="AR1054" i="26"/>
  <c r="AM1054" i="26" s="1"/>
  <c r="AS1054" i="26"/>
  <c r="AN1054" i="26" s="1"/>
  <c r="AX1054" i="26"/>
  <c r="AY1054" i="26"/>
  <c r="AZ1054" i="26"/>
  <c r="BB1054" i="26"/>
  <c r="BC1054" i="26"/>
  <c r="BD1054" i="26"/>
  <c r="BE1054" i="26"/>
  <c r="BF1054" i="26"/>
  <c r="AQ1055" i="26"/>
  <c r="AR1055" i="26"/>
  <c r="AM1055" i="26" s="1"/>
  <c r="AS1055" i="26"/>
  <c r="AN1055" i="26" s="1"/>
  <c r="AX1055" i="26"/>
  <c r="AY1055" i="26"/>
  <c r="AZ1055" i="26"/>
  <c r="BB1055" i="26"/>
  <c r="BC1055" i="26"/>
  <c r="BD1055" i="26"/>
  <c r="BE1055" i="26"/>
  <c r="BF1055" i="26"/>
  <c r="AQ1056" i="26"/>
  <c r="AR1056" i="26"/>
  <c r="AM1056" i="26" s="1"/>
  <c r="AS1056" i="26"/>
  <c r="AN1056" i="26" s="1"/>
  <c r="AX1056" i="26"/>
  <c r="AY1056" i="26"/>
  <c r="AZ1056" i="26"/>
  <c r="BB1056" i="26"/>
  <c r="BC1056" i="26"/>
  <c r="BD1056" i="26"/>
  <c r="BE1056" i="26"/>
  <c r="BF1056" i="26"/>
  <c r="AQ1057" i="26"/>
  <c r="AR1057" i="26"/>
  <c r="AM1057" i="26" s="1"/>
  <c r="AS1057" i="26"/>
  <c r="AN1057" i="26" s="1"/>
  <c r="AX1057" i="26"/>
  <c r="AY1057" i="26"/>
  <c r="AZ1057" i="26"/>
  <c r="BB1057" i="26"/>
  <c r="BC1057" i="26"/>
  <c r="BD1057" i="26"/>
  <c r="BE1057" i="26"/>
  <c r="BF1057" i="26"/>
  <c r="AQ1058" i="26"/>
  <c r="AR1058" i="26"/>
  <c r="AM1058" i="26" s="1"/>
  <c r="AS1058" i="26"/>
  <c r="AN1058" i="26" s="1"/>
  <c r="AX1058" i="26"/>
  <c r="AY1058" i="26"/>
  <c r="AZ1058" i="26"/>
  <c r="BB1058" i="26"/>
  <c r="BC1058" i="26"/>
  <c r="BD1058" i="26"/>
  <c r="BE1058" i="26"/>
  <c r="BF1058" i="26"/>
  <c r="AQ1059" i="26"/>
  <c r="AR1059" i="26"/>
  <c r="AM1059" i="26" s="1"/>
  <c r="AS1059" i="26"/>
  <c r="AN1059" i="26" s="1"/>
  <c r="AX1059" i="26"/>
  <c r="AY1059" i="26"/>
  <c r="AZ1059" i="26"/>
  <c r="BB1059" i="26"/>
  <c r="BC1059" i="26"/>
  <c r="BD1059" i="26"/>
  <c r="BE1059" i="26"/>
  <c r="BF1059" i="26"/>
  <c r="AQ1060" i="26"/>
  <c r="AR1060" i="26"/>
  <c r="AM1060" i="26" s="1"/>
  <c r="AS1060" i="26"/>
  <c r="AX1060" i="26"/>
  <c r="AY1060" i="26"/>
  <c r="AZ1060" i="26"/>
  <c r="BB1060" i="26"/>
  <c r="BC1060" i="26"/>
  <c r="BD1060" i="26"/>
  <c r="BE1060" i="26"/>
  <c r="BF1060" i="26"/>
  <c r="AQ1061" i="26"/>
  <c r="AR1061" i="26"/>
  <c r="AM1061" i="26" s="1"/>
  <c r="AS1061" i="26"/>
  <c r="AN1061" i="26" s="1"/>
  <c r="AX1061" i="26"/>
  <c r="AY1061" i="26"/>
  <c r="AZ1061" i="26"/>
  <c r="BB1061" i="26"/>
  <c r="BC1061" i="26"/>
  <c r="BD1061" i="26"/>
  <c r="BE1061" i="26"/>
  <c r="BF1061" i="26"/>
  <c r="AQ1062" i="26"/>
  <c r="AR1062" i="26"/>
  <c r="AM1062" i="26" s="1"/>
  <c r="AS1062" i="26"/>
  <c r="AN1062" i="26" s="1"/>
  <c r="AX1062" i="26"/>
  <c r="AY1062" i="26"/>
  <c r="AZ1062" i="26"/>
  <c r="BB1062" i="26"/>
  <c r="BC1062" i="26"/>
  <c r="BD1062" i="26"/>
  <c r="BE1062" i="26"/>
  <c r="BF1062" i="26"/>
  <c r="AF1063" i="26"/>
  <c r="AQ1063" i="26"/>
  <c r="AR1063" i="26"/>
  <c r="AM1063" i="26" s="1"/>
  <c r="AS1063" i="26"/>
  <c r="AN1063" i="26" s="1"/>
  <c r="AX1063" i="26"/>
  <c r="AY1063" i="26"/>
  <c r="AZ1063" i="26"/>
  <c r="BB1063" i="26"/>
  <c r="BC1063" i="26"/>
  <c r="BD1063" i="26"/>
  <c r="BE1063" i="26"/>
  <c r="BF1063" i="26"/>
  <c r="AQ1064" i="26"/>
  <c r="AR1064" i="26"/>
  <c r="AM1064" i="26" s="1"/>
  <c r="AS1064" i="26"/>
  <c r="AN1064" i="26" s="1"/>
  <c r="AX1064" i="26"/>
  <c r="AY1064" i="26"/>
  <c r="AZ1064" i="26"/>
  <c r="BB1064" i="26"/>
  <c r="BC1064" i="26"/>
  <c r="BD1064" i="26"/>
  <c r="BE1064" i="26"/>
  <c r="BF1064" i="26"/>
  <c r="AQ1065" i="26"/>
  <c r="AR1065" i="26"/>
  <c r="AM1065" i="26" s="1"/>
  <c r="AS1065" i="26"/>
  <c r="AN1065" i="26" s="1"/>
  <c r="AX1065" i="26"/>
  <c r="AY1065" i="26"/>
  <c r="AZ1065" i="26"/>
  <c r="BB1065" i="26"/>
  <c r="BC1065" i="26"/>
  <c r="BD1065" i="26"/>
  <c r="BE1065" i="26"/>
  <c r="BF1065" i="26"/>
  <c r="AQ1066" i="26"/>
  <c r="AR1066" i="26"/>
  <c r="AM1066" i="26" s="1"/>
  <c r="AS1066" i="26"/>
  <c r="AN1066" i="26" s="1"/>
  <c r="AX1066" i="26"/>
  <c r="AY1066" i="26"/>
  <c r="AZ1066" i="26"/>
  <c r="BB1066" i="26"/>
  <c r="BC1066" i="26"/>
  <c r="BD1066" i="26"/>
  <c r="BE1066" i="26"/>
  <c r="BF1066" i="26"/>
  <c r="AQ1067" i="26"/>
  <c r="AR1067" i="26"/>
  <c r="AM1067" i="26" s="1"/>
  <c r="AS1067" i="26"/>
  <c r="AN1067" i="26" s="1"/>
  <c r="AX1067" i="26"/>
  <c r="AY1067" i="26"/>
  <c r="AZ1067" i="26"/>
  <c r="BB1067" i="26"/>
  <c r="BC1067" i="26"/>
  <c r="BD1067" i="26"/>
  <c r="BE1067" i="26"/>
  <c r="BF1067" i="26"/>
  <c r="AQ1068" i="26"/>
  <c r="AR1068" i="26"/>
  <c r="AM1068" i="26" s="1"/>
  <c r="AS1068" i="26"/>
  <c r="AN1068" i="26" s="1"/>
  <c r="AX1068" i="26"/>
  <c r="AY1068" i="26"/>
  <c r="AZ1068" i="26"/>
  <c r="BB1068" i="26"/>
  <c r="BC1068" i="26"/>
  <c r="BD1068" i="26"/>
  <c r="BE1068" i="26"/>
  <c r="BF1068" i="26"/>
  <c r="AQ1069" i="26"/>
  <c r="AR1069" i="26"/>
  <c r="AM1069" i="26" s="1"/>
  <c r="AS1069" i="26"/>
  <c r="AN1069" i="26" s="1"/>
  <c r="AX1069" i="26"/>
  <c r="AY1069" i="26"/>
  <c r="AZ1069" i="26"/>
  <c r="BB1069" i="26"/>
  <c r="BC1069" i="26"/>
  <c r="BD1069" i="26"/>
  <c r="BE1069" i="26"/>
  <c r="BF1069" i="26"/>
  <c r="AQ1070" i="26"/>
  <c r="AR1070" i="26"/>
  <c r="AM1070" i="26" s="1"/>
  <c r="AS1070" i="26"/>
  <c r="AN1070" i="26" s="1"/>
  <c r="AX1070" i="26"/>
  <c r="AY1070" i="26"/>
  <c r="AZ1070" i="26"/>
  <c r="BB1070" i="26"/>
  <c r="BC1070" i="26"/>
  <c r="BD1070" i="26"/>
  <c r="BE1070" i="26"/>
  <c r="BF1070" i="26"/>
  <c r="AQ1071" i="26"/>
  <c r="AR1071" i="26"/>
  <c r="AM1071" i="26" s="1"/>
  <c r="AS1071" i="26"/>
  <c r="AN1071" i="26" s="1"/>
  <c r="AX1071" i="26"/>
  <c r="AY1071" i="26"/>
  <c r="AZ1071" i="26"/>
  <c r="BB1071" i="26"/>
  <c r="BC1071" i="26"/>
  <c r="BD1071" i="26"/>
  <c r="BE1071" i="26"/>
  <c r="BF1071" i="26"/>
  <c r="AQ1072" i="26"/>
  <c r="AR1072" i="26"/>
  <c r="AM1072" i="26" s="1"/>
  <c r="AS1072" i="26"/>
  <c r="AN1072" i="26" s="1"/>
  <c r="AX1072" i="26"/>
  <c r="AY1072" i="26"/>
  <c r="AZ1072" i="26"/>
  <c r="BB1072" i="26"/>
  <c r="BC1072" i="26"/>
  <c r="BD1072" i="26"/>
  <c r="BE1072" i="26"/>
  <c r="BF1072" i="26"/>
  <c r="AQ1073" i="26"/>
  <c r="AR1073" i="26"/>
  <c r="AM1073" i="26" s="1"/>
  <c r="AS1073" i="26"/>
  <c r="AN1073" i="26" s="1"/>
  <c r="AX1073" i="26"/>
  <c r="AY1073" i="26"/>
  <c r="AZ1073" i="26"/>
  <c r="BB1073" i="26"/>
  <c r="BC1073" i="26"/>
  <c r="BD1073" i="26"/>
  <c r="BE1073" i="26"/>
  <c r="BF1073" i="26"/>
  <c r="AQ1074" i="26"/>
  <c r="AR1074" i="26"/>
  <c r="AM1074" i="26" s="1"/>
  <c r="AS1074" i="26"/>
  <c r="AN1074" i="26" s="1"/>
  <c r="AX1074" i="26"/>
  <c r="AY1074" i="26"/>
  <c r="AZ1074" i="26"/>
  <c r="BB1074" i="26"/>
  <c r="BC1074" i="26"/>
  <c r="BD1074" i="26"/>
  <c r="BE1074" i="26"/>
  <c r="BF1074" i="26"/>
  <c r="AQ1075" i="26"/>
  <c r="AR1075" i="26"/>
  <c r="AM1075" i="26" s="1"/>
  <c r="AS1075" i="26"/>
  <c r="AN1075" i="26" s="1"/>
  <c r="AX1075" i="26"/>
  <c r="AY1075" i="26"/>
  <c r="AZ1075" i="26"/>
  <c r="BB1075" i="26"/>
  <c r="BC1075" i="26"/>
  <c r="BD1075" i="26"/>
  <c r="BE1075" i="26"/>
  <c r="BF1075" i="26"/>
  <c r="AQ1076" i="26"/>
  <c r="AR1076" i="26"/>
  <c r="AM1076" i="26" s="1"/>
  <c r="AS1076" i="26"/>
  <c r="AN1076" i="26" s="1"/>
  <c r="AX1076" i="26"/>
  <c r="AY1076" i="26"/>
  <c r="AZ1076" i="26"/>
  <c r="BB1076" i="26"/>
  <c r="BC1076" i="26"/>
  <c r="BD1076" i="26"/>
  <c r="BE1076" i="26"/>
  <c r="BF1076" i="26"/>
  <c r="AQ1077" i="26"/>
  <c r="AR1077" i="26"/>
  <c r="AM1077" i="26" s="1"/>
  <c r="AS1077" i="26"/>
  <c r="AN1077" i="26" s="1"/>
  <c r="AX1077" i="26"/>
  <c r="AY1077" i="26"/>
  <c r="AZ1077" i="26"/>
  <c r="BB1077" i="26"/>
  <c r="BC1077" i="26"/>
  <c r="BD1077" i="26"/>
  <c r="BE1077" i="26"/>
  <c r="BF1077" i="26"/>
  <c r="AQ1078" i="26"/>
  <c r="AR1078" i="26"/>
  <c r="AM1078" i="26" s="1"/>
  <c r="AS1078" i="26"/>
  <c r="AN1078" i="26" s="1"/>
  <c r="AX1078" i="26"/>
  <c r="AY1078" i="26"/>
  <c r="AZ1078" i="26"/>
  <c r="BB1078" i="26"/>
  <c r="BC1078" i="26"/>
  <c r="BD1078" i="26"/>
  <c r="BE1078" i="26"/>
  <c r="BF1078" i="26"/>
  <c r="AQ1079" i="26"/>
  <c r="AR1079" i="26"/>
  <c r="AM1079" i="26" s="1"/>
  <c r="AS1079" i="26"/>
  <c r="AN1079" i="26" s="1"/>
  <c r="AX1079" i="26"/>
  <c r="AY1079" i="26"/>
  <c r="AZ1079" i="26"/>
  <c r="BB1079" i="26"/>
  <c r="BC1079" i="26"/>
  <c r="BD1079" i="26"/>
  <c r="BE1079" i="26"/>
  <c r="BF1079" i="26"/>
  <c r="AQ1080" i="26"/>
  <c r="AR1080" i="26"/>
  <c r="AM1080" i="26" s="1"/>
  <c r="AS1080" i="26"/>
  <c r="AN1080" i="26" s="1"/>
  <c r="AX1080" i="26"/>
  <c r="AY1080" i="26"/>
  <c r="AZ1080" i="26"/>
  <c r="BB1080" i="26"/>
  <c r="BC1080" i="26"/>
  <c r="BD1080" i="26"/>
  <c r="BE1080" i="26"/>
  <c r="BF1080" i="26"/>
  <c r="AQ1081" i="26"/>
  <c r="AR1081" i="26"/>
  <c r="AM1081" i="26" s="1"/>
  <c r="AS1081" i="26"/>
  <c r="AN1081" i="26" s="1"/>
  <c r="AX1081" i="26"/>
  <c r="AY1081" i="26"/>
  <c r="AZ1081" i="26"/>
  <c r="BB1081" i="26"/>
  <c r="BC1081" i="26"/>
  <c r="BD1081" i="26"/>
  <c r="BE1081" i="26"/>
  <c r="BF1081" i="26"/>
  <c r="AQ1082" i="26"/>
  <c r="AR1082" i="26"/>
  <c r="AM1082" i="26" s="1"/>
  <c r="AS1082" i="26"/>
  <c r="AN1082" i="26" s="1"/>
  <c r="AX1082" i="26"/>
  <c r="AY1082" i="26"/>
  <c r="AZ1082" i="26"/>
  <c r="BB1082" i="26"/>
  <c r="BC1082" i="26"/>
  <c r="BD1082" i="26"/>
  <c r="BE1082" i="26"/>
  <c r="BF1082" i="26"/>
  <c r="AQ1083" i="26"/>
  <c r="AR1083" i="26"/>
  <c r="AM1083" i="26" s="1"/>
  <c r="AS1083" i="26"/>
  <c r="AN1083" i="26" s="1"/>
  <c r="AX1083" i="26"/>
  <c r="AY1083" i="26"/>
  <c r="AZ1083" i="26"/>
  <c r="BB1083" i="26"/>
  <c r="BC1083" i="26"/>
  <c r="BD1083" i="26"/>
  <c r="BE1083" i="26"/>
  <c r="BF1083" i="26"/>
  <c r="AQ1084" i="26"/>
  <c r="AR1084" i="26"/>
  <c r="AM1084" i="26" s="1"/>
  <c r="AS1084" i="26"/>
  <c r="AN1084" i="26" s="1"/>
  <c r="AX1084" i="26"/>
  <c r="AY1084" i="26"/>
  <c r="AZ1084" i="26"/>
  <c r="BB1084" i="26"/>
  <c r="BC1084" i="26"/>
  <c r="BD1084" i="26"/>
  <c r="BE1084" i="26"/>
  <c r="BF1084" i="26"/>
  <c r="AQ1085" i="26"/>
  <c r="AR1085" i="26"/>
  <c r="AM1085" i="26" s="1"/>
  <c r="AS1085" i="26"/>
  <c r="AN1085" i="26" s="1"/>
  <c r="AX1085" i="26"/>
  <c r="AY1085" i="26"/>
  <c r="AZ1085" i="26"/>
  <c r="BB1085" i="26"/>
  <c r="BC1085" i="26"/>
  <c r="BD1085" i="26"/>
  <c r="BE1085" i="26"/>
  <c r="BF1085" i="26"/>
  <c r="AQ1086" i="26"/>
  <c r="AR1086" i="26"/>
  <c r="AM1086" i="26" s="1"/>
  <c r="AS1086" i="26"/>
  <c r="AN1086" i="26" s="1"/>
  <c r="AX1086" i="26"/>
  <c r="AY1086" i="26"/>
  <c r="AZ1086" i="26"/>
  <c r="BB1086" i="26"/>
  <c r="BC1086" i="26"/>
  <c r="BD1086" i="26"/>
  <c r="BE1086" i="26"/>
  <c r="BF1086" i="26"/>
  <c r="AN1087" i="26"/>
  <c r="AQ1087" i="26"/>
  <c r="AR1087" i="26"/>
  <c r="AM1087" i="26" s="1"/>
  <c r="AS1087" i="26"/>
  <c r="AX1087" i="26"/>
  <c r="AY1087" i="26"/>
  <c r="AZ1087" i="26"/>
  <c r="BB1087" i="26"/>
  <c r="BC1087" i="26"/>
  <c r="BD1087" i="26"/>
  <c r="BE1087" i="26"/>
  <c r="BF1087" i="26"/>
  <c r="AQ1088" i="26"/>
  <c r="AR1088" i="26"/>
  <c r="AM1088" i="26" s="1"/>
  <c r="AS1088" i="26"/>
  <c r="AN1088" i="26" s="1"/>
  <c r="AX1088" i="26"/>
  <c r="AY1088" i="26"/>
  <c r="AZ1088" i="26"/>
  <c r="BB1088" i="26"/>
  <c r="BC1088" i="26"/>
  <c r="BD1088" i="26"/>
  <c r="BE1088" i="26"/>
  <c r="BF1088" i="26"/>
  <c r="AQ1089" i="26"/>
  <c r="AR1089" i="26"/>
  <c r="AM1089" i="26" s="1"/>
  <c r="AS1089" i="26"/>
  <c r="AN1089" i="26" s="1"/>
  <c r="AX1089" i="26"/>
  <c r="AY1089" i="26"/>
  <c r="AZ1089" i="26"/>
  <c r="BB1089" i="26"/>
  <c r="BC1089" i="26"/>
  <c r="BD1089" i="26"/>
  <c r="BE1089" i="26"/>
  <c r="BF1089" i="26"/>
  <c r="AN1090" i="26"/>
  <c r="AQ1090" i="26"/>
  <c r="AR1090" i="26"/>
  <c r="AM1090" i="26" s="1"/>
  <c r="AS1090" i="26"/>
  <c r="AX1090" i="26"/>
  <c r="AY1090" i="26"/>
  <c r="AZ1090" i="26"/>
  <c r="BB1090" i="26"/>
  <c r="BC1090" i="26"/>
  <c r="BD1090" i="26"/>
  <c r="BE1090" i="26"/>
  <c r="BF1090" i="26"/>
  <c r="AQ1091" i="26"/>
  <c r="AR1091" i="26"/>
  <c r="AM1091" i="26" s="1"/>
  <c r="AS1091" i="26"/>
  <c r="AN1091" i="26" s="1"/>
  <c r="AX1091" i="26"/>
  <c r="AY1091" i="26"/>
  <c r="AZ1091" i="26"/>
  <c r="BB1091" i="26"/>
  <c r="BC1091" i="26"/>
  <c r="BD1091" i="26"/>
  <c r="BE1091" i="26"/>
  <c r="BF1091" i="26"/>
  <c r="AQ1092" i="26"/>
  <c r="AR1092" i="26"/>
  <c r="AM1092" i="26" s="1"/>
  <c r="AS1092" i="26"/>
  <c r="AN1092" i="26" s="1"/>
  <c r="AX1092" i="26"/>
  <c r="AY1092" i="26"/>
  <c r="AZ1092" i="26"/>
  <c r="BB1092" i="26"/>
  <c r="BC1092" i="26"/>
  <c r="BD1092" i="26"/>
  <c r="BE1092" i="26"/>
  <c r="BF1092" i="26"/>
  <c r="AF1093" i="26"/>
  <c r="AQ1093" i="26"/>
  <c r="AR1093" i="26"/>
  <c r="AM1093" i="26" s="1"/>
  <c r="AS1093" i="26"/>
  <c r="AN1093" i="26" s="1"/>
  <c r="AX1093" i="26"/>
  <c r="AY1093" i="26"/>
  <c r="AZ1093" i="26"/>
  <c r="BB1093" i="26"/>
  <c r="BC1093" i="26"/>
  <c r="BD1093" i="26"/>
  <c r="BE1093" i="26"/>
  <c r="BF1093" i="26"/>
  <c r="AQ1094" i="26"/>
  <c r="AR1094" i="26"/>
  <c r="AM1094" i="26" s="1"/>
  <c r="AS1094" i="26"/>
  <c r="AN1094" i="26" s="1"/>
  <c r="AX1094" i="26"/>
  <c r="AY1094" i="26"/>
  <c r="AZ1094" i="26"/>
  <c r="BB1094" i="26"/>
  <c r="BC1094" i="26"/>
  <c r="BD1094" i="26"/>
  <c r="BE1094" i="26"/>
  <c r="BF1094" i="26"/>
  <c r="AQ1095" i="26"/>
  <c r="AR1095" i="26"/>
  <c r="AM1095" i="26" s="1"/>
  <c r="AS1095" i="26"/>
  <c r="AN1095" i="26" s="1"/>
  <c r="AX1095" i="26"/>
  <c r="AY1095" i="26"/>
  <c r="AZ1095" i="26"/>
  <c r="BB1095" i="26"/>
  <c r="BC1095" i="26"/>
  <c r="BD1095" i="26"/>
  <c r="BE1095" i="26"/>
  <c r="BF1095" i="26"/>
  <c r="AQ1096" i="26"/>
  <c r="AR1096" i="26"/>
  <c r="AM1096" i="26" s="1"/>
  <c r="AS1096" i="26"/>
  <c r="AN1096" i="26" s="1"/>
  <c r="AX1096" i="26"/>
  <c r="AY1096" i="26"/>
  <c r="AZ1096" i="26"/>
  <c r="BB1096" i="26"/>
  <c r="BC1096" i="26"/>
  <c r="BD1096" i="26"/>
  <c r="BE1096" i="26"/>
  <c r="BF1096" i="26"/>
  <c r="AQ1097" i="26"/>
  <c r="AR1097" i="26"/>
  <c r="AM1097" i="26" s="1"/>
  <c r="AS1097" i="26"/>
  <c r="AN1097" i="26" s="1"/>
  <c r="AX1097" i="26"/>
  <c r="AY1097" i="26"/>
  <c r="AZ1097" i="26"/>
  <c r="BB1097" i="26"/>
  <c r="BC1097" i="26"/>
  <c r="BD1097" i="26"/>
  <c r="BE1097" i="26"/>
  <c r="BF1097" i="26"/>
  <c r="AM1098" i="26"/>
  <c r="AQ1098" i="26"/>
  <c r="AR1098" i="26"/>
  <c r="AS1098" i="26"/>
  <c r="AN1098" i="26" s="1"/>
  <c r="AX1098" i="26"/>
  <c r="AY1098" i="26"/>
  <c r="AZ1098" i="26"/>
  <c r="BB1098" i="26"/>
  <c r="BC1098" i="26"/>
  <c r="BD1098" i="26"/>
  <c r="BE1098" i="26"/>
  <c r="BF1098" i="26"/>
  <c r="AQ1099" i="26"/>
  <c r="AR1099" i="26"/>
  <c r="AM1099" i="26" s="1"/>
  <c r="AS1099" i="26"/>
  <c r="AN1099" i="26" s="1"/>
  <c r="AX1099" i="26"/>
  <c r="AY1099" i="26"/>
  <c r="AZ1099" i="26"/>
  <c r="BB1099" i="26"/>
  <c r="BC1099" i="26"/>
  <c r="BD1099" i="26"/>
  <c r="BE1099" i="26"/>
  <c r="BF1099" i="26"/>
  <c r="AQ1100" i="26"/>
  <c r="AR1100" i="26"/>
  <c r="AM1100" i="26" s="1"/>
  <c r="AS1100" i="26"/>
  <c r="AN1100" i="26" s="1"/>
  <c r="AX1100" i="26"/>
  <c r="AY1100" i="26"/>
  <c r="AZ1100" i="26"/>
  <c r="BB1100" i="26"/>
  <c r="BC1100" i="26"/>
  <c r="BD1100" i="26"/>
  <c r="BE1100" i="26"/>
  <c r="BF1100" i="26"/>
  <c r="AQ1101" i="26"/>
  <c r="AR1101" i="26"/>
  <c r="AM1101" i="26" s="1"/>
  <c r="AS1101" i="26"/>
  <c r="AN1101" i="26" s="1"/>
  <c r="AX1101" i="26"/>
  <c r="AY1101" i="26"/>
  <c r="AZ1101" i="26"/>
  <c r="BB1101" i="26"/>
  <c r="BC1101" i="26"/>
  <c r="BD1101" i="26"/>
  <c r="BE1101" i="26"/>
  <c r="BF1101" i="26"/>
  <c r="AQ1102" i="26"/>
  <c r="AR1102" i="26"/>
  <c r="AM1102" i="26" s="1"/>
  <c r="AS1102" i="26"/>
  <c r="AN1102" i="26" s="1"/>
  <c r="AX1102" i="26"/>
  <c r="AY1102" i="26"/>
  <c r="AZ1102" i="26"/>
  <c r="BB1102" i="26"/>
  <c r="BC1102" i="26"/>
  <c r="BD1102" i="26"/>
  <c r="BE1102" i="26"/>
  <c r="BF1102" i="26"/>
  <c r="AQ1103" i="26"/>
  <c r="AR1103" i="26"/>
  <c r="AM1103" i="26" s="1"/>
  <c r="AS1103" i="26"/>
  <c r="AN1103" i="26" s="1"/>
  <c r="AX1103" i="26"/>
  <c r="AY1103" i="26"/>
  <c r="AZ1103" i="26"/>
  <c r="BB1103" i="26"/>
  <c r="BC1103" i="26"/>
  <c r="BD1103" i="26"/>
  <c r="BE1103" i="26"/>
  <c r="BF1103" i="26"/>
  <c r="AQ1104" i="26"/>
  <c r="AR1104" i="26"/>
  <c r="AM1104" i="26" s="1"/>
  <c r="AS1104" i="26"/>
  <c r="AN1104" i="26" s="1"/>
  <c r="AX1104" i="26"/>
  <c r="AY1104" i="26"/>
  <c r="AZ1104" i="26"/>
  <c r="BB1104" i="26"/>
  <c r="BC1104" i="26"/>
  <c r="BD1104" i="26"/>
  <c r="BE1104" i="26"/>
  <c r="BF1104" i="26"/>
  <c r="AQ1105" i="26"/>
  <c r="AR1105" i="26"/>
  <c r="AM1105" i="26" s="1"/>
  <c r="AS1105" i="26"/>
  <c r="AN1105" i="26" s="1"/>
  <c r="AX1105" i="26"/>
  <c r="AY1105" i="26"/>
  <c r="AZ1105" i="26"/>
  <c r="BB1105" i="26"/>
  <c r="BC1105" i="26"/>
  <c r="BD1105" i="26"/>
  <c r="BE1105" i="26"/>
  <c r="BF1105" i="26"/>
  <c r="AQ1106" i="26"/>
  <c r="AR1106" i="26"/>
  <c r="AM1106" i="26" s="1"/>
  <c r="AS1106" i="26"/>
  <c r="AN1106" i="26" s="1"/>
  <c r="AX1106" i="26"/>
  <c r="AY1106" i="26"/>
  <c r="AZ1106" i="26"/>
  <c r="BB1106" i="26"/>
  <c r="BC1106" i="26"/>
  <c r="BD1106" i="26"/>
  <c r="BE1106" i="26"/>
  <c r="BF1106" i="26"/>
  <c r="AQ1107" i="26"/>
  <c r="AR1107" i="26"/>
  <c r="AM1107" i="26" s="1"/>
  <c r="AS1107" i="26"/>
  <c r="AN1107" i="26" s="1"/>
  <c r="AX1107" i="26"/>
  <c r="AY1107" i="26"/>
  <c r="AZ1107" i="26"/>
  <c r="BB1107" i="26"/>
  <c r="BC1107" i="26"/>
  <c r="BD1107" i="26"/>
  <c r="BE1107" i="26"/>
  <c r="BF1107" i="26"/>
  <c r="AQ1108" i="26"/>
  <c r="AR1108" i="26"/>
  <c r="AM1108" i="26" s="1"/>
  <c r="AS1108" i="26"/>
  <c r="AN1108" i="26" s="1"/>
  <c r="AX1108" i="26"/>
  <c r="AY1108" i="26"/>
  <c r="AZ1108" i="26"/>
  <c r="BB1108" i="26"/>
  <c r="BC1108" i="26"/>
  <c r="BD1108" i="26"/>
  <c r="BE1108" i="26"/>
  <c r="BF1108" i="26"/>
  <c r="AQ1109" i="26"/>
  <c r="AR1109" i="26"/>
  <c r="AM1109" i="26" s="1"/>
  <c r="AS1109" i="26"/>
  <c r="AN1109" i="26" s="1"/>
  <c r="AX1109" i="26"/>
  <c r="AY1109" i="26"/>
  <c r="AZ1109" i="26"/>
  <c r="BB1109" i="26"/>
  <c r="BC1109" i="26"/>
  <c r="BD1109" i="26"/>
  <c r="BE1109" i="26"/>
  <c r="BF1109" i="26"/>
  <c r="AQ1110" i="26"/>
  <c r="AR1110" i="26"/>
  <c r="AM1110" i="26" s="1"/>
  <c r="AS1110" i="26"/>
  <c r="AN1110" i="26" s="1"/>
  <c r="AX1110" i="26"/>
  <c r="AY1110" i="26"/>
  <c r="AZ1110" i="26"/>
  <c r="BB1110" i="26"/>
  <c r="BC1110" i="26"/>
  <c r="BD1110" i="26"/>
  <c r="BE1110" i="26"/>
  <c r="BF1110" i="26"/>
  <c r="AQ1111" i="26"/>
  <c r="AR1111" i="26"/>
  <c r="AM1111" i="26" s="1"/>
  <c r="AS1111" i="26"/>
  <c r="AN1111" i="26" s="1"/>
  <c r="AX1111" i="26"/>
  <c r="AY1111" i="26"/>
  <c r="AZ1111" i="26"/>
  <c r="BB1111" i="26"/>
  <c r="BC1111" i="26"/>
  <c r="BD1111" i="26"/>
  <c r="BE1111" i="26"/>
  <c r="BF1111" i="26"/>
  <c r="AQ1112" i="26"/>
  <c r="AR1112" i="26"/>
  <c r="AM1112" i="26" s="1"/>
  <c r="AS1112" i="26"/>
  <c r="AN1112" i="26" s="1"/>
  <c r="AX1112" i="26"/>
  <c r="AY1112" i="26"/>
  <c r="AZ1112" i="26"/>
  <c r="BB1112" i="26"/>
  <c r="BC1112" i="26"/>
  <c r="BD1112" i="26"/>
  <c r="BE1112" i="26"/>
  <c r="BF1112" i="26"/>
  <c r="AQ1113" i="26"/>
  <c r="AR1113" i="26"/>
  <c r="AM1113" i="26" s="1"/>
  <c r="AS1113" i="26"/>
  <c r="AN1113" i="26" s="1"/>
  <c r="AX1113" i="26"/>
  <c r="AY1113" i="26"/>
  <c r="AZ1113" i="26"/>
  <c r="BB1113" i="26"/>
  <c r="BC1113" i="26"/>
  <c r="BD1113" i="26"/>
  <c r="BE1113" i="26"/>
  <c r="BF1113" i="26"/>
  <c r="AQ1114" i="26"/>
  <c r="AR1114" i="26"/>
  <c r="AM1114" i="26" s="1"/>
  <c r="AS1114" i="26"/>
  <c r="AN1114" i="26" s="1"/>
  <c r="AX1114" i="26"/>
  <c r="AY1114" i="26"/>
  <c r="AZ1114" i="26"/>
  <c r="BB1114" i="26"/>
  <c r="BC1114" i="26"/>
  <c r="BD1114" i="26"/>
  <c r="BE1114" i="26"/>
  <c r="BF1114" i="26"/>
  <c r="AQ1115" i="26"/>
  <c r="AR1115" i="26"/>
  <c r="AM1115" i="26" s="1"/>
  <c r="AS1115" i="26"/>
  <c r="AN1115" i="26" s="1"/>
  <c r="AX1115" i="26"/>
  <c r="AY1115" i="26"/>
  <c r="AZ1115" i="26"/>
  <c r="BB1115" i="26"/>
  <c r="BC1115" i="26"/>
  <c r="BD1115" i="26"/>
  <c r="BE1115" i="26"/>
  <c r="BF1115" i="26"/>
  <c r="AQ1116" i="26"/>
  <c r="AR1116" i="26"/>
  <c r="AM1116" i="26" s="1"/>
  <c r="AS1116" i="26"/>
  <c r="AN1116" i="26" s="1"/>
  <c r="AX1116" i="26"/>
  <c r="AY1116" i="26"/>
  <c r="AZ1116" i="26"/>
  <c r="BB1116" i="26"/>
  <c r="BC1116" i="26"/>
  <c r="BD1116" i="26"/>
  <c r="BE1116" i="26"/>
  <c r="BF1116" i="26"/>
  <c r="AQ1117" i="26"/>
  <c r="AR1117" i="26"/>
  <c r="AM1117" i="26" s="1"/>
  <c r="AS1117" i="26"/>
  <c r="AN1117" i="26" s="1"/>
  <c r="AX1117" i="26"/>
  <c r="AY1117" i="26"/>
  <c r="AZ1117" i="26"/>
  <c r="BB1117" i="26"/>
  <c r="BC1117" i="26"/>
  <c r="BD1117" i="26"/>
  <c r="BE1117" i="26"/>
  <c r="BF1117" i="26"/>
  <c r="AQ1118" i="26"/>
  <c r="AR1118" i="26"/>
  <c r="AM1118" i="26" s="1"/>
  <c r="AS1118" i="26"/>
  <c r="AN1118" i="26" s="1"/>
  <c r="AX1118" i="26"/>
  <c r="AY1118" i="26"/>
  <c r="AZ1118" i="26"/>
  <c r="BB1118" i="26"/>
  <c r="BC1118" i="26"/>
  <c r="BD1118" i="26"/>
  <c r="BE1118" i="26"/>
  <c r="BF1118" i="26"/>
  <c r="AQ1119" i="26"/>
  <c r="AR1119" i="26"/>
  <c r="AM1119" i="26" s="1"/>
  <c r="AS1119" i="26"/>
  <c r="AN1119" i="26" s="1"/>
  <c r="AX1119" i="26"/>
  <c r="AY1119" i="26"/>
  <c r="AZ1119" i="26"/>
  <c r="BB1119" i="26"/>
  <c r="BC1119" i="26"/>
  <c r="BD1119" i="26"/>
  <c r="BE1119" i="26"/>
  <c r="BF1119" i="26"/>
  <c r="AQ1120" i="26"/>
  <c r="AR1120" i="26"/>
  <c r="AM1120" i="26" s="1"/>
  <c r="AS1120" i="26"/>
  <c r="AN1120" i="26" s="1"/>
  <c r="AX1120" i="26"/>
  <c r="AY1120" i="26"/>
  <c r="AZ1120" i="26"/>
  <c r="BB1120" i="26"/>
  <c r="BC1120" i="26"/>
  <c r="BD1120" i="26"/>
  <c r="BE1120" i="26"/>
  <c r="BF1120" i="26"/>
  <c r="AQ1121" i="26"/>
  <c r="AR1121" i="26"/>
  <c r="AM1121" i="26" s="1"/>
  <c r="AS1121" i="26"/>
  <c r="AN1121" i="26" s="1"/>
  <c r="AX1121" i="26"/>
  <c r="AY1121" i="26"/>
  <c r="AZ1121" i="26"/>
  <c r="BB1121" i="26"/>
  <c r="BC1121" i="26"/>
  <c r="BD1121" i="26"/>
  <c r="BE1121" i="26"/>
  <c r="BF1121" i="26"/>
  <c r="AN1122" i="26"/>
  <c r="AQ1122" i="26"/>
  <c r="AR1122" i="26"/>
  <c r="AM1122" i="26" s="1"/>
  <c r="AS1122" i="26"/>
  <c r="AX1122" i="26"/>
  <c r="AY1122" i="26"/>
  <c r="AZ1122" i="26"/>
  <c r="BB1122" i="26"/>
  <c r="BC1122" i="26"/>
  <c r="BD1122" i="26"/>
  <c r="BE1122" i="26"/>
  <c r="BF1122" i="26"/>
  <c r="AQ1123" i="26"/>
  <c r="AR1123" i="26"/>
  <c r="AM1123" i="26" s="1"/>
  <c r="AS1123" i="26"/>
  <c r="AN1123" i="26" s="1"/>
  <c r="AX1123" i="26"/>
  <c r="AY1123" i="26"/>
  <c r="AZ1123" i="26"/>
  <c r="BB1123" i="26"/>
  <c r="BC1123" i="26"/>
  <c r="BD1123" i="26"/>
  <c r="BE1123" i="26"/>
  <c r="BF1123" i="26"/>
  <c r="AQ1124" i="26"/>
  <c r="AR1124" i="26"/>
  <c r="AM1124" i="26" s="1"/>
  <c r="AS1124" i="26"/>
  <c r="AN1124" i="26" s="1"/>
  <c r="AX1124" i="26"/>
  <c r="AY1124" i="26"/>
  <c r="AZ1124" i="26"/>
  <c r="BB1124" i="26"/>
  <c r="BC1124" i="26"/>
  <c r="BD1124" i="26"/>
  <c r="BE1124" i="26"/>
  <c r="BF1124" i="26"/>
  <c r="AQ1125" i="26"/>
  <c r="AR1125" i="26"/>
  <c r="AM1125" i="26" s="1"/>
  <c r="AS1125" i="26"/>
  <c r="AN1125" i="26" s="1"/>
  <c r="AX1125" i="26"/>
  <c r="AY1125" i="26"/>
  <c r="AZ1125" i="26"/>
  <c r="BB1125" i="26"/>
  <c r="BC1125" i="26"/>
  <c r="BD1125" i="26"/>
  <c r="BE1125" i="26"/>
  <c r="BF1125" i="26"/>
  <c r="AQ1126" i="26"/>
  <c r="AR1126" i="26"/>
  <c r="AM1126" i="26" s="1"/>
  <c r="AS1126" i="26"/>
  <c r="AN1126" i="26" s="1"/>
  <c r="AX1126" i="26"/>
  <c r="AY1126" i="26"/>
  <c r="AZ1126" i="26"/>
  <c r="BB1126" i="26"/>
  <c r="BC1126" i="26"/>
  <c r="BD1126" i="26"/>
  <c r="BE1126" i="26"/>
  <c r="BF1126" i="26"/>
  <c r="AQ1127" i="26"/>
  <c r="AR1127" i="26"/>
  <c r="AM1127" i="26" s="1"/>
  <c r="AS1127" i="26"/>
  <c r="AN1127" i="26" s="1"/>
  <c r="AX1127" i="26"/>
  <c r="AY1127" i="26"/>
  <c r="AZ1127" i="26"/>
  <c r="BB1127" i="26"/>
  <c r="BC1127" i="26"/>
  <c r="BD1127" i="26"/>
  <c r="BE1127" i="26"/>
  <c r="BF1127" i="26"/>
  <c r="AQ1128" i="26"/>
  <c r="AR1128" i="26"/>
  <c r="AM1128" i="26" s="1"/>
  <c r="AS1128" i="26"/>
  <c r="AN1128" i="26" s="1"/>
  <c r="AX1128" i="26"/>
  <c r="AY1128" i="26"/>
  <c r="AZ1128" i="26"/>
  <c r="BB1128" i="26"/>
  <c r="BC1128" i="26"/>
  <c r="BD1128" i="26"/>
  <c r="BE1128" i="26"/>
  <c r="BF1128" i="26"/>
  <c r="AM1129" i="26"/>
  <c r="AQ1129" i="26"/>
  <c r="AR1129" i="26"/>
  <c r="AS1129" i="26"/>
  <c r="AN1129" i="26" s="1"/>
  <c r="AX1129" i="26"/>
  <c r="AY1129" i="26"/>
  <c r="AZ1129" i="26"/>
  <c r="BB1129" i="26"/>
  <c r="BC1129" i="26"/>
  <c r="AL1129" i="26" s="1"/>
  <c r="BD1129" i="26"/>
  <c r="BE1129" i="26"/>
  <c r="BF1129" i="26"/>
  <c r="AQ1130" i="26"/>
  <c r="AR1130" i="26"/>
  <c r="AM1130" i="26" s="1"/>
  <c r="AS1130" i="26"/>
  <c r="AN1130" i="26" s="1"/>
  <c r="AX1130" i="26"/>
  <c r="AY1130" i="26"/>
  <c r="AZ1130" i="26"/>
  <c r="BB1130" i="26"/>
  <c r="BC1130" i="26"/>
  <c r="BD1130" i="26"/>
  <c r="BE1130" i="26"/>
  <c r="BF1130" i="26"/>
  <c r="AQ1131" i="26"/>
  <c r="AR1131" i="26"/>
  <c r="AM1131" i="26" s="1"/>
  <c r="AS1131" i="26"/>
  <c r="AN1131" i="26" s="1"/>
  <c r="AX1131" i="26"/>
  <c r="AY1131" i="26"/>
  <c r="AZ1131" i="26"/>
  <c r="BB1131" i="26"/>
  <c r="BC1131" i="26"/>
  <c r="BD1131" i="26"/>
  <c r="BE1131" i="26"/>
  <c r="BF1131" i="26"/>
  <c r="AQ1132" i="26"/>
  <c r="AR1132" i="26"/>
  <c r="AM1132" i="26" s="1"/>
  <c r="AS1132" i="26"/>
  <c r="AN1132" i="26" s="1"/>
  <c r="AX1132" i="26"/>
  <c r="AY1132" i="26"/>
  <c r="AZ1132" i="26"/>
  <c r="BB1132" i="26"/>
  <c r="BC1132" i="26"/>
  <c r="BD1132" i="26"/>
  <c r="BE1132" i="26"/>
  <c r="BF1132" i="26"/>
  <c r="AQ1133" i="26"/>
  <c r="AR1133" i="26"/>
  <c r="AM1133" i="26" s="1"/>
  <c r="AS1133" i="26"/>
  <c r="AN1133" i="26" s="1"/>
  <c r="AX1133" i="26"/>
  <c r="AY1133" i="26"/>
  <c r="AZ1133" i="26"/>
  <c r="BB1133" i="26"/>
  <c r="BC1133" i="26"/>
  <c r="BD1133" i="26"/>
  <c r="BE1133" i="26"/>
  <c r="BF1133" i="26"/>
  <c r="AQ1134" i="26"/>
  <c r="AR1134" i="26"/>
  <c r="AM1134" i="26" s="1"/>
  <c r="AS1134" i="26"/>
  <c r="AN1134" i="26" s="1"/>
  <c r="AX1134" i="26"/>
  <c r="AY1134" i="26"/>
  <c r="AZ1134" i="26"/>
  <c r="BB1134" i="26"/>
  <c r="BC1134" i="26"/>
  <c r="BD1134" i="26"/>
  <c r="BE1134" i="26"/>
  <c r="BF1134" i="26"/>
  <c r="AF1135" i="26"/>
  <c r="AQ1135" i="26"/>
  <c r="AR1135" i="26"/>
  <c r="AM1135" i="26" s="1"/>
  <c r="AS1135" i="26"/>
  <c r="AN1135" i="26" s="1"/>
  <c r="AX1135" i="26"/>
  <c r="AY1135" i="26"/>
  <c r="AZ1135" i="26"/>
  <c r="BB1135" i="26"/>
  <c r="BC1135" i="26"/>
  <c r="BD1135" i="26"/>
  <c r="BE1135" i="26"/>
  <c r="BF1135" i="26"/>
  <c r="AQ1136" i="26"/>
  <c r="AR1136" i="26"/>
  <c r="AM1136" i="26" s="1"/>
  <c r="AS1136" i="26"/>
  <c r="AN1136" i="26" s="1"/>
  <c r="AX1136" i="26"/>
  <c r="AY1136" i="26"/>
  <c r="AZ1136" i="26"/>
  <c r="BB1136" i="26"/>
  <c r="BC1136" i="26"/>
  <c r="BD1136" i="26"/>
  <c r="BE1136" i="26"/>
  <c r="BF1136" i="26"/>
  <c r="AQ1137" i="26"/>
  <c r="AR1137" i="26"/>
  <c r="AM1137" i="26" s="1"/>
  <c r="AS1137" i="26"/>
  <c r="AN1137" i="26" s="1"/>
  <c r="AX1137" i="26"/>
  <c r="AY1137" i="26"/>
  <c r="AZ1137" i="26"/>
  <c r="BB1137" i="26"/>
  <c r="BC1137" i="26"/>
  <c r="BD1137" i="26"/>
  <c r="BE1137" i="26"/>
  <c r="BF1137" i="26"/>
  <c r="AQ1138" i="26"/>
  <c r="AR1138" i="26"/>
  <c r="AM1138" i="26" s="1"/>
  <c r="AS1138" i="26"/>
  <c r="AN1138" i="26" s="1"/>
  <c r="AX1138" i="26"/>
  <c r="AY1138" i="26"/>
  <c r="AZ1138" i="26"/>
  <c r="BB1138" i="26"/>
  <c r="BC1138" i="26"/>
  <c r="BD1138" i="26"/>
  <c r="BE1138" i="26"/>
  <c r="BF1138" i="26"/>
  <c r="AM1139" i="26"/>
  <c r="AQ1139" i="26"/>
  <c r="AR1139" i="26"/>
  <c r="AS1139" i="26"/>
  <c r="AN1139" i="26" s="1"/>
  <c r="AX1139" i="26"/>
  <c r="AY1139" i="26"/>
  <c r="AZ1139" i="26"/>
  <c r="BB1139" i="26"/>
  <c r="BC1139" i="26"/>
  <c r="BD1139" i="26"/>
  <c r="BE1139" i="26"/>
  <c r="BF1139" i="26"/>
  <c r="AM1140" i="26"/>
  <c r="AQ1140" i="26"/>
  <c r="AR1140" i="26"/>
  <c r="AS1140" i="26"/>
  <c r="AN1140" i="26" s="1"/>
  <c r="AX1140" i="26"/>
  <c r="AY1140" i="26"/>
  <c r="AZ1140" i="26"/>
  <c r="BB1140" i="26"/>
  <c r="BC1140" i="26"/>
  <c r="BD1140" i="26"/>
  <c r="BE1140" i="26"/>
  <c r="BF1140" i="26"/>
  <c r="AQ1141" i="26"/>
  <c r="AR1141" i="26"/>
  <c r="AM1141" i="26" s="1"/>
  <c r="AS1141" i="26"/>
  <c r="AN1141" i="26" s="1"/>
  <c r="AX1141" i="26"/>
  <c r="AY1141" i="26"/>
  <c r="AZ1141" i="26"/>
  <c r="BB1141" i="26"/>
  <c r="BC1141" i="26"/>
  <c r="BD1141" i="26"/>
  <c r="BE1141" i="26"/>
  <c r="BF1141" i="26"/>
  <c r="AQ1142" i="26"/>
  <c r="AR1142" i="26"/>
  <c r="AM1142" i="26" s="1"/>
  <c r="AS1142" i="26"/>
  <c r="AN1142" i="26" s="1"/>
  <c r="AX1142" i="26"/>
  <c r="AY1142" i="26"/>
  <c r="AZ1142" i="26"/>
  <c r="BB1142" i="26"/>
  <c r="BC1142" i="26"/>
  <c r="BD1142" i="26"/>
  <c r="BE1142" i="26"/>
  <c r="BF1142" i="26"/>
  <c r="AQ1143" i="26"/>
  <c r="AR1143" i="26"/>
  <c r="AM1143" i="26" s="1"/>
  <c r="AS1143" i="26"/>
  <c r="AN1143" i="26" s="1"/>
  <c r="AX1143" i="26"/>
  <c r="AY1143" i="26"/>
  <c r="AZ1143" i="26"/>
  <c r="BB1143" i="26"/>
  <c r="BC1143" i="26"/>
  <c r="BD1143" i="26"/>
  <c r="BE1143" i="26"/>
  <c r="BF1143" i="26"/>
  <c r="AQ1144" i="26"/>
  <c r="AR1144" i="26"/>
  <c r="AM1144" i="26" s="1"/>
  <c r="AS1144" i="26"/>
  <c r="AN1144" i="26" s="1"/>
  <c r="AX1144" i="26"/>
  <c r="AY1144" i="26"/>
  <c r="AZ1144" i="26"/>
  <c r="BB1144" i="26"/>
  <c r="BC1144" i="26"/>
  <c r="BD1144" i="26"/>
  <c r="BE1144" i="26"/>
  <c r="BF1144" i="26"/>
  <c r="AQ1145" i="26"/>
  <c r="AR1145" i="26"/>
  <c r="AM1145" i="26" s="1"/>
  <c r="AS1145" i="26"/>
  <c r="AN1145" i="26" s="1"/>
  <c r="AX1145" i="26"/>
  <c r="AY1145" i="26"/>
  <c r="AZ1145" i="26"/>
  <c r="BB1145" i="26"/>
  <c r="BC1145" i="26"/>
  <c r="BD1145" i="26"/>
  <c r="BE1145" i="26"/>
  <c r="BF1145" i="26"/>
  <c r="AQ1146" i="26"/>
  <c r="AR1146" i="26"/>
  <c r="AM1146" i="26" s="1"/>
  <c r="AS1146" i="26"/>
  <c r="AN1146" i="26" s="1"/>
  <c r="AX1146" i="26"/>
  <c r="AY1146" i="26"/>
  <c r="AZ1146" i="26"/>
  <c r="BB1146" i="26"/>
  <c r="BC1146" i="26"/>
  <c r="BD1146" i="26"/>
  <c r="BE1146" i="26"/>
  <c r="BF1146" i="26"/>
  <c r="AQ1147" i="26"/>
  <c r="AR1147" i="26"/>
  <c r="AM1147" i="26" s="1"/>
  <c r="AS1147" i="26"/>
  <c r="AN1147" i="26" s="1"/>
  <c r="AX1147" i="26"/>
  <c r="AY1147" i="26"/>
  <c r="AZ1147" i="26"/>
  <c r="BB1147" i="26"/>
  <c r="BC1147" i="26"/>
  <c r="BD1147" i="26"/>
  <c r="BE1147" i="26"/>
  <c r="BF1147" i="26"/>
  <c r="AQ1148" i="26"/>
  <c r="AR1148" i="26"/>
  <c r="AM1148" i="26" s="1"/>
  <c r="AS1148" i="26"/>
  <c r="AN1148" i="26" s="1"/>
  <c r="AX1148" i="26"/>
  <c r="AY1148" i="26"/>
  <c r="AZ1148" i="26"/>
  <c r="BB1148" i="26"/>
  <c r="BC1148" i="26"/>
  <c r="BD1148" i="26"/>
  <c r="BE1148" i="26"/>
  <c r="BF1148" i="26"/>
  <c r="AQ1149" i="26"/>
  <c r="AR1149" i="26"/>
  <c r="AM1149" i="26" s="1"/>
  <c r="AS1149" i="26"/>
  <c r="AN1149" i="26" s="1"/>
  <c r="AX1149" i="26"/>
  <c r="AY1149" i="26"/>
  <c r="AZ1149" i="26"/>
  <c r="BB1149" i="26"/>
  <c r="BC1149" i="26"/>
  <c r="BD1149" i="26"/>
  <c r="BE1149" i="26"/>
  <c r="BF1149" i="26"/>
  <c r="AQ1150" i="26"/>
  <c r="AR1150" i="26"/>
  <c r="AM1150" i="26" s="1"/>
  <c r="AS1150" i="26"/>
  <c r="AN1150" i="26" s="1"/>
  <c r="AX1150" i="26"/>
  <c r="AY1150" i="26"/>
  <c r="AZ1150" i="26"/>
  <c r="BB1150" i="26"/>
  <c r="BC1150" i="26"/>
  <c r="BD1150" i="26"/>
  <c r="BE1150" i="26"/>
  <c r="BF1150" i="26"/>
  <c r="AQ1151" i="26"/>
  <c r="AR1151" i="26"/>
  <c r="AM1151" i="26" s="1"/>
  <c r="AS1151" i="26"/>
  <c r="AN1151" i="26" s="1"/>
  <c r="AX1151" i="26"/>
  <c r="AY1151" i="26"/>
  <c r="AZ1151" i="26"/>
  <c r="BB1151" i="26"/>
  <c r="BC1151" i="26"/>
  <c r="BD1151" i="26"/>
  <c r="BE1151" i="26"/>
  <c r="BF1151" i="26"/>
  <c r="AQ1152" i="26"/>
  <c r="AR1152" i="26"/>
  <c r="AM1152" i="26" s="1"/>
  <c r="AS1152" i="26"/>
  <c r="AN1152" i="26" s="1"/>
  <c r="AX1152" i="26"/>
  <c r="AY1152" i="26"/>
  <c r="AZ1152" i="26"/>
  <c r="BB1152" i="26"/>
  <c r="BC1152" i="26"/>
  <c r="BD1152" i="26"/>
  <c r="BE1152" i="26"/>
  <c r="BF1152" i="26"/>
  <c r="AQ1153" i="26"/>
  <c r="AR1153" i="26"/>
  <c r="AM1153" i="26" s="1"/>
  <c r="AS1153" i="26"/>
  <c r="AN1153" i="26" s="1"/>
  <c r="AX1153" i="26"/>
  <c r="AY1153" i="26"/>
  <c r="AZ1153" i="26"/>
  <c r="BB1153" i="26"/>
  <c r="BC1153" i="26"/>
  <c r="BD1153" i="26"/>
  <c r="BE1153" i="26"/>
  <c r="BF1153" i="26"/>
  <c r="AQ1154" i="26"/>
  <c r="AR1154" i="26"/>
  <c r="AM1154" i="26" s="1"/>
  <c r="AS1154" i="26"/>
  <c r="AN1154" i="26" s="1"/>
  <c r="AX1154" i="26"/>
  <c r="AY1154" i="26"/>
  <c r="AZ1154" i="26"/>
  <c r="BB1154" i="26"/>
  <c r="BC1154" i="26"/>
  <c r="BD1154" i="26"/>
  <c r="BE1154" i="26"/>
  <c r="BF1154" i="26"/>
  <c r="AQ1155" i="26"/>
  <c r="AR1155" i="26"/>
  <c r="AM1155" i="26" s="1"/>
  <c r="AS1155" i="26"/>
  <c r="AN1155" i="26" s="1"/>
  <c r="AX1155" i="26"/>
  <c r="AY1155" i="26"/>
  <c r="AZ1155" i="26"/>
  <c r="BB1155" i="26"/>
  <c r="BC1155" i="26"/>
  <c r="BD1155" i="26"/>
  <c r="BE1155" i="26"/>
  <c r="BF1155" i="26"/>
  <c r="AQ1156" i="26"/>
  <c r="AR1156" i="26"/>
  <c r="AM1156" i="26" s="1"/>
  <c r="AS1156" i="26"/>
  <c r="AN1156" i="26" s="1"/>
  <c r="AX1156" i="26"/>
  <c r="AY1156" i="26"/>
  <c r="AZ1156" i="26"/>
  <c r="BB1156" i="26"/>
  <c r="BC1156" i="26"/>
  <c r="BD1156" i="26"/>
  <c r="BE1156" i="26"/>
  <c r="BF1156" i="26"/>
  <c r="AQ1157" i="26"/>
  <c r="AR1157" i="26"/>
  <c r="AM1157" i="26" s="1"/>
  <c r="AS1157" i="26"/>
  <c r="AN1157" i="26" s="1"/>
  <c r="AX1157" i="26"/>
  <c r="AY1157" i="26"/>
  <c r="AZ1157" i="26"/>
  <c r="BB1157" i="26"/>
  <c r="BC1157" i="26"/>
  <c r="BD1157" i="26"/>
  <c r="BE1157" i="26"/>
  <c r="BF1157" i="26"/>
  <c r="AQ1158" i="26"/>
  <c r="AR1158" i="26"/>
  <c r="AM1158" i="26" s="1"/>
  <c r="AS1158" i="26"/>
  <c r="AN1158" i="26" s="1"/>
  <c r="AX1158" i="26"/>
  <c r="AY1158" i="26"/>
  <c r="AZ1158" i="26"/>
  <c r="BB1158" i="26"/>
  <c r="BC1158" i="26"/>
  <c r="BD1158" i="26"/>
  <c r="BE1158" i="26"/>
  <c r="BF1158" i="26"/>
  <c r="AQ1159" i="26"/>
  <c r="AR1159" i="26"/>
  <c r="AM1159" i="26" s="1"/>
  <c r="AS1159" i="26"/>
  <c r="AN1159" i="26" s="1"/>
  <c r="AX1159" i="26"/>
  <c r="AY1159" i="26"/>
  <c r="AZ1159" i="26"/>
  <c r="BB1159" i="26"/>
  <c r="BC1159" i="26"/>
  <c r="BD1159" i="26"/>
  <c r="BE1159" i="26"/>
  <c r="BF1159" i="26"/>
  <c r="AQ1160" i="26"/>
  <c r="AR1160" i="26"/>
  <c r="AM1160" i="26" s="1"/>
  <c r="AS1160" i="26"/>
  <c r="AN1160" i="26" s="1"/>
  <c r="AX1160" i="26"/>
  <c r="AY1160" i="26"/>
  <c r="AZ1160" i="26"/>
  <c r="BB1160" i="26"/>
  <c r="BC1160" i="26"/>
  <c r="BD1160" i="26"/>
  <c r="BE1160" i="26"/>
  <c r="BF1160" i="26"/>
  <c r="AQ1161" i="26"/>
  <c r="AR1161" i="26"/>
  <c r="AM1161" i="26" s="1"/>
  <c r="AS1161" i="26"/>
  <c r="AN1161" i="26" s="1"/>
  <c r="AX1161" i="26"/>
  <c r="AY1161" i="26"/>
  <c r="AZ1161" i="26"/>
  <c r="BB1161" i="26"/>
  <c r="BC1161" i="26"/>
  <c r="BD1161" i="26"/>
  <c r="BE1161" i="26"/>
  <c r="BF1161" i="26"/>
  <c r="AQ1162" i="26"/>
  <c r="AR1162" i="26"/>
  <c r="AM1162" i="26" s="1"/>
  <c r="AS1162" i="26"/>
  <c r="AN1162" i="26" s="1"/>
  <c r="AX1162" i="26"/>
  <c r="AY1162" i="26"/>
  <c r="AZ1162" i="26"/>
  <c r="BB1162" i="26"/>
  <c r="BC1162" i="26"/>
  <c r="BD1162" i="26"/>
  <c r="BE1162" i="26"/>
  <c r="BF1162" i="26"/>
  <c r="AQ1163" i="26"/>
  <c r="AR1163" i="26"/>
  <c r="AM1163" i="26" s="1"/>
  <c r="AS1163" i="26"/>
  <c r="AN1163" i="26" s="1"/>
  <c r="AX1163" i="26"/>
  <c r="AY1163" i="26"/>
  <c r="AZ1163" i="26"/>
  <c r="BB1163" i="26"/>
  <c r="BC1163" i="26"/>
  <c r="BD1163" i="26"/>
  <c r="BE1163" i="26"/>
  <c r="BF1163" i="26"/>
  <c r="AQ1164" i="26"/>
  <c r="AR1164" i="26"/>
  <c r="AM1164" i="26" s="1"/>
  <c r="AS1164" i="26"/>
  <c r="AN1164" i="26" s="1"/>
  <c r="AX1164" i="26"/>
  <c r="AY1164" i="26"/>
  <c r="AZ1164" i="26"/>
  <c r="BB1164" i="26"/>
  <c r="BC1164" i="26"/>
  <c r="BD1164" i="26"/>
  <c r="BE1164" i="26"/>
  <c r="BF1164" i="26"/>
  <c r="AQ1165" i="26"/>
  <c r="AR1165" i="26"/>
  <c r="AM1165" i="26" s="1"/>
  <c r="AS1165" i="26"/>
  <c r="AN1165" i="26" s="1"/>
  <c r="AX1165" i="26"/>
  <c r="AY1165" i="26"/>
  <c r="AZ1165" i="26"/>
  <c r="BB1165" i="26"/>
  <c r="BC1165" i="26"/>
  <c r="BD1165" i="26"/>
  <c r="BE1165" i="26"/>
  <c r="BF1165" i="26"/>
  <c r="AQ1166" i="26"/>
  <c r="AR1166" i="26"/>
  <c r="AM1166" i="26" s="1"/>
  <c r="AS1166" i="26"/>
  <c r="AN1166" i="26" s="1"/>
  <c r="AX1166" i="26"/>
  <c r="AY1166" i="26"/>
  <c r="AZ1166" i="26"/>
  <c r="BB1166" i="26"/>
  <c r="BC1166" i="26"/>
  <c r="BD1166" i="26"/>
  <c r="BE1166" i="26"/>
  <c r="BF1166" i="26"/>
  <c r="AQ1167" i="26"/>
  <c r="AR1167" i="26"/>
  <c r="AM1167" i="26" s="1"/>
  <c r="AS1167" i="26"/>
  <c r="AN1167" i="26" s="1"/>
  <c r="AX1167" i="26"/>
  <c r="AY1167" i="26"/>
  <c r="AZ1167" i="26"/>
  <c r="BB1167" i="26"/>
  <c r="BC1167" i="26"/>
  <c r="BD1167" i="26"/>
  <c r="BE1167" i="26"/>
  <c r="BF1167" i="26"/>
  <c r="AQ1168" i="26"/>
  <c r="AR1168" i="26"/>
  <c r="AM1168" i="26" s="1"/>
  <c r="AS1168" i="26"/>
  <c r="AN1168" i="26" s="1"/>
  <c r="AX1168" i="26"/>
  <c r="AY1168" i="26"/>
  <c r="AZ1168" i="26"/>
  <c r="BB1168" i="26"/>
  <c r="BC1168" i="26"/>
  <c r="BD1168" i="26"/>
  <c r="BE1168" i="26"/>
  <c r="BF1168" i="26"/>
  <c r="AQ1169" i="26"/>
  <c r="AR1169" i="26"/>
  <c r="AM1169" i="26" s="1"/>
  <c r="AS1169" i="26"/>
  <c r="AN1169" i="26" s="1"/>
  <c r="AX1169" i="26"/>
  <c r="AY1169" i="26"/>
  <c r="AZ1169" i="26"/>
  <c r="BB1169" i="26"/>
  <c r="BC1169" i="26"/>
  <c r="BD1169" i="26"/>
  <c r="BE1169" i="26"/>
  <c r="BF1169" i="26"/>
  <c r="AQ1170" i="26"/>
  <c r="AR1170" i="26"/>
  <c r="AM1170" i="26" s="1"/>
  <c r="AS1170" i="26"/>
  <c r="AN1170" i="26" s="1"/>
  <c r="AX1170" i="26"/>
  <c r="AY1170" i="26"/>
  <c r="AZ1170" i="26"/>
  <c r="BB1170" i="26"/>
  <c r="BC1170" i="26"/>
  <c r="BD1170" i="26"/>
  <c r="BE1170" i="26"/>
  <c r="BF1170" i="26"/>
  <c r="AF1171" i="26"/>
  <c r="AM1171" i="26"/>
  <c r="AQ1171" i="26"/>
  <c r="AR1171" i="26"/>
  <c r="AS1171" i="26"/>
  <c r="AN1171" i="26" s="1"/>
  <c r="AX1171" i="26"/>
  <c r="AY1171" i="26"/>
  <c r="AZ1171" i="26"/>
  <c r="BB1171" i="26"/>
  <c r="BC1171" i="26"/>
  <c r="BD1171" i="26"/>
  <c r="BE1171" i="26"/>
  <c r="BF1171" i="26"/>
  <c r="AQ1172" i="26"/>
  <c r="AR1172" i="26"/>
  <c r="AM1172" i="26" s="1"/>
  <c r="AS1172" i="26"/>
  <c r="AN1172" i="26" s="1"/>
  <c r="AX1172" i="26"/>
  <c r="AY1172" i="26"/>
  <c r="AZ1172" i="26"/>
  <c r="BB1172" i="26"/>
  <c r="BC1172" i="26"/>
  <c r="BD1172" i="26"/>
  <c r="BE1172" i="26"/>
  <c r="BF1172" i="26"/>
  <c r="AQ1173" i="26"/>
  <c r="AR1173" i="26"/>
  <c r="AM1173" i="26" s="1"/>
  <c r="AS1173" i="26"/>
  <c r="AN1173" i="26" s="1"/>
  <c r="AX1173" i="26"/>
  <c r="AY1173" i="26"/>
  <c r="AZ1173" i="26"/>
  <c r="BB1173" i="26"/>
  <c r="BC1173" i="26"/>
  <c r="BD1173" i="26"/>
  <c r="BE1173" i="26"/>
  <c r="BF1173" i="26"/>
  <c r="AQ1174" i="26"/>
  <c r="AR1174" i="26"/>
  <c r="AM1174" i="26" s="1"/>
  <c r="AS1174" i="26"/>
  <c r="AN1174" i="26" s="1"/>
  <c r="AX1174" i="26"/>
  <c r="AY1174" i="26"/>
  <c r="AZ1174" i="26"/>
  <c r="BB1174" i="26"/>
  <c r="BC1174" i="26"/>
  <c r="BD1174" i="26"/>
  <c r="BE1174" i="26"/>
  <c r="BF1174" i="26"/>
  <c r="AQ1175" i="26"/>
  <c r="AR1175" i="26"/>
  <c r="AM1175" i="26" s="1"/>
  <c r="AS1175" i="26"/>
  <c r="AN1175" i="26" s="1"/>
  <c r="AX1175" i="26"/>
  <c r="AY1175" i="26"/>
  <c r="AZ1175" i="26"/>
  <c r="BB1175" i="26"/>
  <c r="BC1175" i="26"/>
  <c r="BD1175" i="26"/>
  <c r="BE1175" i="26"/>
  <c r="BF1175" i="26"/>
  <c r="AQ1176" i="26"/>
  <c r="AR1176" i="26"/>
  <c r="AM1176" i="26" s="1"/>
  <c r="AS1176" i="26"/>
  <c r="AN1176" i="26" s="1"/>
  <c r="AX1176" i="26"/>
  <c r="AY1176" i="26"/>
  <c r="AZ1176" i="26"/>
  <c r="BB1176" i="26"/>
  <c r="BC1176" i="26"/>
  <c r="BD1176" i="26"/>
  <c r="BE1176" i="26"/>
  <c r="BF1176" i="26"/>
  <c r="AQ1177" i="26"/>
  <c r="AR1177" i="26"/>
  <c r="AM1177" i="26" s="1"/>
  <c r="AS1177" i="26"/>
  <c r="AT1177" i="26" s="1"/>
  <c r="AX1177" i="26"/>
  <c r="AY1177" i="26"/>
  <c r="AZ1177" i="26"/>
  <c r="BB1177" i="26"/>
  <c r="BC1177" i="26"/>
  <c r="BD1177" i="26"/>
  <c r="BE1177" i="26"/>
  <c r="BF1177" i="26"/>
  <c r="AQ1178" i="26"/>
  <c r="AR1178" i="26"/>
  <c r="AM1178" i="26" s="1"/>
  <c r="AS1178" i="26"/>
  <c r="AN1178" i="26" s="1"/>
  <c r="AX1178" i="26"/>
  <c r="AY1178" i="26"/>
  <c r="AZ1178" i="26"/>
  <c r="BB1178" i="26"/>
  <c r="BC1178" i="26"/>
  <c r="BD1178" i="26"/>
  <c r="BE1178" i="26"/>
  <c r="BF1178" i="26"/>
  <c r="AQ1179" i="26"/>
  <c r="AR1179" i="26"/>
  <c r="AM1179" i="26" s="1"/>
  <c r="AS1179" i="26"/>
  <c r="AN1179" i="26" s="1"/>
  <c r="AX1179" i="26"/>
  <c r="AY1179" i="26"/>
  <c r="AZ1179" i="26"/>
  <c r="BB1179" i="26"/>
  <c r="BC1179" i="26"/>
  <c r="BD1179" i="26"/>
  <c r="BE1179" i="26"/>
  <c r="BF1179" i="26"/>
  <c r="AQ1180" i="26"/>
  <c r="AR1180" i="26"/>
  <c r="AM1180" i="26" s="1"/>
  <c r="AS1180" i="26"/>
  <c r="AN1180" i="26" s="1"/>
  <c r="AX1180" i="26"/>
  <c r="AY1180" i="26"/>
  <c r="AZ1180" i="26"/>
  <c r="BB1180" i="26"/>
  <c r="BC1180" i="26"/>
  <c r="BD1180" i="26"/>
  <c r="BE1180" i="26"/>
  <c r="BF1180" i="26"/>
  <c r="AQ1181" i="26"/>
  <c r="AR1181" i="26"/>
  <c r="AM1181" i="26" s="1"/>
  <c r="AS1181" i="26"/>
  <c r="AN1181" i="26" s="1"/>
  <c r="AX1181" i="26"/>
  <c r="AY1181" i="26"/>
  <c r="AZ1181" i="26"/>
  <c r="BB1181" i="26"/>
  <c r="BC1181" i="26"/>
  <c r="BD1181" i="26"/>
  <c r="BE1181" i="26"/>
  <c r="BF1181" i="26"/>
  <c r="AQ1182" i="26"/>
  <c r="AR1182" i="26"/>
  <c r="AM1182" i="26" s="1"/>
  <c r="AS1182" i="26"/>
  <c r="AN1182" i="26" s="1"/>
  <c r="AX1182" i="26"/>
  <c r="AY1182" i="26"/>
  <c r="AZ1182" i="26"/>
  <c r="BB1182" i="26"/>
  <c r="BC1182" i="26"/>
  <c r="BD1182" i="26"/>
  <c r="BE1182" i="26"/>
  <c r="BF1182" i="26"/>
  <c r="AQ1183" i="26"/>
  <c r="AR1183" i="26"/>
  <c r="AM1183" i="26" s="1"/>
  <c r="AS1183" i="26"/>
  <c r="AN1183" i="26" s="1"/>
  <c r="AX1183" i="26"/>
  <c r="AY1183" i="26"/>
  <c r="AZ1183" i="26"/>
  <c r="BB1183" i="26"/>
  <c r="BC1183" i="26"/>
  <c r="BD1183" i="26"/>
  <c r="BE1183" i="26"/>
  <c r="BF1183" i="26"/>
  <c r="AQ1184" i="26"/>
  <c r="AR1184" i="26"/>
  <c r="AM1184" i="26" s="1"/>
  <c r="AS1184" i="26"/>
  <c r="AN1184" i="26" s="1"/>
  <c r="AX1184" i="26"/>
  <c r="AY1184" i="26"/>
  <c r="AZ1184" i="26"/>
  <c r="BB1184" i="26"/>
  <c r="BC1184" i="26"/>
  <c r="BD1184" i="26"/>
  <c r="BE1184" i="26"/>
  <c r="BF1184" i="26"/>
  <c r="AQ1185" i="26"/>
  <c r="AR1185" i="26"/>
  <c r="AM1185" i="26" s="1"/>
  <c r="AS1185" i="26"/>
  <c r="AN1185" i="26" s="1"/>
  <c r="AX1185" i="26"/>
  <c r="AY1185" i="26"/>
  <c r="AZ1185" i="26"/>
  <c r="BB1185" i="26"/>
  <c r="BC1185" i="26"/>
  <c r="BD1185" i="26"/>
  <c r="BE1185" i="26"/>
  <c r="BF1185" i="26"/>
  <c r="AQ1186" i="26"/>
  <c r="AR1186" i="26"/>
  <c r="AM1186" i="26" s="1"/>
  <c r="AS1186" i="26"/>
  <c r="AN1186" i="26" s="1"/>
  <c r="AX1186" i="26"/>
  <c r="AY1186" i="26"/>
  <c r="AZ1186" i="26"/>
  <c r="BB1186" i="26"/>
  <c r="BC1186" i="26"/>
  <c r="BD1186" i="26"/>
  <c r="BE1186" i="26"/>
  <c r="BF1186" i="26"/>
  <c r="AQ1187" i="26"/>
  <c r="AR1187" i="26"/>
  <c r="AM1187" i="26" s="1"/>
  <c r="AS1187" i="26"/>
  <c r="AN1187" i="26" s="1"/>
  <c r="AX1187" i="26"/>
  <c r="AY1187" i="26"/>
  <c r="AZ1187" i="26"/>
  <c r="BB1187" i="26"/>
  <c r="BC1187" i="26"/>
  <c r="BD1187" i="26"/>
  <c r="BE1187" i="26"/>
  <c r="BF1187" i="26"/>
  <c r="AQ1188" i="26"/>
  <c r="AR1188" i="26"/>
  <c r="AM1188" i="26" s="1"/>
  <c r="AS1188" i="26"/>
  <c r="AN1188" i="26" s="1"/>
  <c r="AX1188" i="26"/>
  <c r="AY1188" i="26"/>
  <c r="AZ1188" i="26"/>
  <c r="BB1188" i="26"/>
  <c r="BC1188" i="26"/>
  <c r="BD1188" i="26"/>
  <c r="BE1188" i="26"/>
  <c r="BF1188" i="26"/>
  <c r="AQ1189" i="26"/>
  <c r="AR1189" i="26"/>
  <c r="AM1189" i="26" s="1"/>
  <c r="AS1189" i="26"/>
  <c r="AN1189" i="26" s="1"/>
  <c r="AX1189" i="26"/>
  <c r="AY1189" i="26"/>
  <c r="AZ1189" i="26"/>
  <c r="BB1189" i="26"/>
  <c r="BC1189" i="26"/>
  <c r="BD1189" i="26"/>
  <c r="BE1189" i="26"/>
  <c r="BF1189" i="26"/>
  <c r="AQ1190" i="26"/>
  <c r="AR1190" i="26"/>
  <c r="AM1190" i="26" s="1"/>
  <c r="AS1190" i="26"/>
  <c r="AN1190" i="26" s="1"/>
  <c r="AX1190" i="26"/>
  <c r="AY1190" i="26"/>
  <c r="AZ1190" i="26"/>
  <c r="BB1190" i="26"/>
  <c r="BC1190" i="26"/>
  <c r="BD1190" i="26"/>
  <c r="BE1190" i="26"/>
  <c r="BF1190" i="26"/>
  <c r="AQ1191" i="26"/>
  <c r="AR1191" i="26"/>
  <c r="AM1191" i="26" s="1"/>
  <c r="AS1191" i="26"/>
  <c r="AN1191" i="26" s="1"/>
  <c r="AX1191" i="26"/>
  <c r="AY1191" i="26"/>
  <c r="AZ1191" i="26"/>
  <c r="BB1191" i="26"/>
  <c r="BC1191" i="26"/>
  <c r="BD1191" i="26"/>
  <c r="BE1191" i="26"/>
  <c r="BF1191" i="26"/>
  <c r="AQ1192" i="26"/>
  <c r="AR1192" i="26"/>
  <c r="AM1192" i="26" s="1"/>
  <c r="AS1192" i="26"/>
  <c r="AN1192" i="26" s="1"/>
  <c r="AX1192" i="26"/>
  <c r="AY1192" i="26"/>
  <c r="AZ1192" i="26"/>
  <c r="BB1192" i="26"/>
  <c r="BC1192" i="26"/>
  <c r="BD1192" i="26"/>
  <c r="BE1192" i="26"/>
  <c r="BF1192" i="26"/>
  <c r="AQ1193" i="26"/>
  <c r="AR1193" i="26"/>
  <c r="AM1193" i="26" s="1"/>
  <c r="AS1193" i="26"/>
  <c r="AN1193" i="26" s="1"/>
  <c r="AX1193" i="26"/>
  <c r="AY1193" i="26"/>
  <c r="AZ1193" i="26"/>
  <c r="BB1193" i="26"/>
  <c r="BC1193" i="26"/>
  <c r="BD1193" i="26"/>
  <c r="BE1193" i="26"/>
  <c r="BF1193" i="26"/>
  <c r="AQ1194" i="26"/>
  <c r="AR1194" i="26"/>
  <c r="AM1194" i="26" s="1"/>
  <c r="AS1194" i="26"/>
  <c r="AN1194" i="26" s="1"/>
  <c r="AX1194" i="26"/>
  <c r="AY1194" i="26"/>
  <c r="AZ1194" i="26"/>
  <c r="BB1194" i="26"/>
  <c r="BC1194" i="26"/>
  <c r="BD1194" i="26"/>
  <c r="BE1194" i="26"/>
  <c r="BF1194" i="26"/>
  <c r="AQ1195" i="26"/>
  <c r="AR1195" i="26"/>
  <c r="AM1195" i="26" s="1"/>
  <c r="AS1195" i="26"/>
  <c r="AN1195" i="26" s="1"/>
  <c r="AX1195" i="26"/>
  <c r="AY1195" i="26"/>
  <c r="AZ1195" i="26"/>
  <c r="BB1195" i="26"/>
  <c r="BC1195" i="26"/>
  <c r="BD1195" i="26"/>
  <c r="BE1195" i="26"/>
  <c r="BF1195" i="26"/>
  <c r="AQ1196" i="26"/>
  <c r="AR1196" i="26"/>
  <c r="AM1196" i="26" s="1"/>
  <c r="AS1196" i="26"/>
  <c r="AN1196" i="26" s="1"/>
  <c r="AX1196" i="26"/>
  <c r="AY1196" i="26"/>
  <c r="AZ1196" i="26"/>
  <c r="BB1196" i="26"/>
  <c r="BC1196" i="26"/>
  <c r="BD1196" i="26"/>
  <c r="BE1196" i="26"/>
  <c r="BF1196" i="26"/>
  <c r="AQ1197" i="26"/>
  <c r="AR1197" i="26"/>
  <c r="AM1197" i="26" s="1"/>
  <c r="AS1197" i="26"/>
  <c r="AN1197" i="26" s="1"/>
  <c r="AX1197" i="26"/>
  <c r="AY1197" i="26"/>
  <c r="AZ1197" i="26"/>
  <c r="BB1197" i="26"/>
  <c r="BC1197" i="26"/>
  <c r="BD1197" i="26"/>
  <c r="BE1197" i="26"/>
  <c r="BF1197" i="26"/>
  <c r="AQ1198" i="26"/>
  <c r="AR1198" i="26"/>
  <c r="AM1198" i="26" s="1"/>
  <c r="AS1198" i="26"/>
  <c r="AN1198" i="26" s="1"/>
  <c r="AX1198" i="26"/>
  <c r="AY1198" i="26"/>
  <c r="AZ1198" i="26"/>
  <c r="BB1198" i="26"/>
  <c r="BC1198" i="26"/>
  <c r="BD1198" i="26"/>
  <c r="BE1198" i="26"/>
  <c r="BF1198" i="26"/>
  <c r="AQ1199" i="26"/>
  <c r="AR1199" i="26"/>
  <c r="AM1199" i="26" s="1"/>
  <c r="AS1199" i="26"/>
  <c r="AN1199" i="26" s="1"/>
  <c r="AX1199" i="26"/>
  <c r="AY1199" i="26"/>
  <c r="AZ1199" i="26"/>
  <c r="BB1199" i="26"/>
  <c r="BC1199" i="26"/>
  <c r="BD1199" i="26"/>
  <c r="BE1199" i="26"/>
  <c r="BF1199" i="26"/>
  <c r="AQ1200" i="26"/>
  <c r="AR1200" i="26"/>
  <c r="AM1200" i="26" s="1"/>
  <c r="AS1200" i="26"/>
  <c r="AN1200" i="26" s="1"/>
  <c r="AX1200" i="26"/>
  <c r="AY1200" i="26"/>
  <c r="AZ1200" i="26"/>
  <c r="BB1200" i="26"/>
  <c r="BC1200" i="26"/>
  <c r="BD1200" i="26"/>
  <c r="BE1200" i="26"/>
  <c r="BF1200" i="26"/>
  <c r="AQ1201" i="26"/>
  <c r="AR1201" i="26"/>
  <c r="AM1201" i="26" s="1"/>
  <c r="AS1201" i="26"/>
  <c r="AN1201" i="26" s="1"/>
  <c r="AX1201" i="26"/>
  <c r="AY1201" i="26"/>
  <c r="AZ1201" i="26"/>
  <c r="BB1201" i="26"/>
  <c r="BC1201" i="26"/>
  <c r="BD1201" i="26"/>
  <c r="BE1201" i="26"/>
  <c r="BF1201" i="26"/>
  <c r="AQ1202" i="26"/>
  <c r="AR1202" i="26"/>
  <c r="AM1202" i="26" s="1"/>
  <c r="AS1202" i="26"/>
  <c r="AN1202" i="26" s="1"/>
  <c r="AX1202" i="26"/>
  <c r="AY1202" i="26"/>
  <c r="AZ1202" i="26"/>
  <c r="BB1202" i="26"/>
  <c r="BC1202" i="26"/>
  <c r="BD1202" i="26"/>
  <c r="BE1202" i="26"/>
  <c r="BF1202" i="26"/>
  <c r="AQ1203" i="26"/>
  <c r="AR1203" i="26"/>
  <c r="AM1203" i="26" s="1"/>
  <c r="AS1203" i="26"/>
  <c r="AN1203" i="26" s="1"/>
  <c r="AX1203" i="26"/>
  <c r="AY1203" i="26"/>
  <c r="AZ1203" i="26"/>
  <c r="BB1203" i="26"/>
  <c r="BC1203" i="26"/>
  <c r="BD1203" i="26"/>
  <c r="BE1203" i="26"/>
  <c r="BF1203" i="26"/>
  <c r="AQ1204" i="26"/>
  <c r="AR1204" i="26"/>
  <c r="AM1204" i="26" s="1"/>
  <c r="AS1204" i="26"/>
  <c r="AN1204" i="26" s="1"/>
  <c r="AX1204" i="26"/>
  <c r="AY1204" i="26"/>
  <c r="AZ1204" i="26"/>
  <c r="BB1204" i="26"/>
  <c r="BC1204" i="26"/>
  <c r="BD1204" i="26"/>
  <c r="BE1204" i="26"/>
  <c r="BF1204" i="26"/>
  <c r="AQ1205" i="26"/>
  <c r="AR1205" i="26"/>
  <c r="AM1205" i="26" s="1"/>
  <c r="AS1205" i="26"/>
  <c r="AN1205" i="26" s="1"/>
  <c r="AX1205" i="26"/>
  <c r="AY1205" i="26"/>
  <c r="AZ1205" i="26"/>
  <c r="BB1205" i="26"/>
  <c r="BC1205" i="26"/>
  <c r="BD1205" i="26"/>
  <c r="BE1205" i="26"/>
  <c r="BF1205" i="26"/>
  <c r="AQ1206" i="26"/>
  <c r="AR1206" i="26"/>
  <c r="AM1206" i="26" s="1"/>
  <c r="AS1206" i="26"/>
  <c r="AN1206" i="26" s="1"/>
  <c r="AX1206" i="26"/>
  <c r="AY1206" i="26"/>
  <c r="AZ1206" i="26"/>
  <c r="BB1206" i="26"/>
  <c r="BC1206" i="26"/>
  <c r="BD1206" i="26"/>
  <c r="BE1206" i="26"/>
  <c r="BF1206" i="26"/>
  <c r="AQ1207" i="26"/>
  <c r="AR1207" i="26"/>
  <c r="AM1207" i="26" s="1"/>
  <c r="AS1207" i="26"/>
  <c r="AN1207" i="26" s="1"/>
  <c r="AX1207" i="26"/>
  <c r="AY1207" i="26"/>
  <c r="AZ1207" i="26"/>
  <c r="BB1207" i="26"/>
  <c r="BC1207" i="26"/>
  <c r="BD1207" i="26"/>
  <c r="BE1207" i="26"/>
  <c r="BF1207" i="26"/>
  <c r="AQ1208" i="26"/>
  <c r="AR1208" i="26"/>
  <c r="AM1208" i="26" s="1"/>
  <c r="AS1208" i="26"/>
  <c r="AN1208" i="26" s="1"/>
  <c r="AX1208" i="26"/>
  <c r="AY1208" i="26"/>
  <c r="AZ1208" i="26"/>
  <c r="BB1208" i="26"/>
  <c r="BC1208" i="26"/>
  <c r="BD1208" i="26"/>
  <c r="BE1208" i="26"/>
  <c r="BF1208" i="26"/>
  <c r="AQ1209" i="26"/>
  <c r="AR1209" i="26"/>
  <c r="AM1209" i="26" s="1"/>
  <c r="AS1209" i="26"/>
  <c r="AN1209" i="26" s="1"/>
  <c r="AX1209" i="26"/>
  <c r="AY1209" i="26"/>
  <c r="AZ1209" i="26"/>
  <c r="BB1209" i="26"/>
  <c r="BC1209" i="26"/>
  <c r="BD1209" i="26"/>
  <c r="BE1209" i="26"/>
  <c r="BF1209" i="26"/>
  <c r="AQ1210" i="26"/>
  <c r="AR1210" i="26"/>
  <c r="AM1210" i="26" s="1"/>
  <c r="AS1210" i="26"/>
  <c r="AN1210" i="26" s="1"/>
  <c r="AX1210" i="26"/>
  <c r="AY1210" i="26"/>
  <c r="AZ1210" i="26"/>
  <c r="BB1210" i="26"/>
  <c r="BC1210" i="26"/>
  <c r="BD1210" i="26"/>
  <c r="BE1210" i="26"/>
  <c r="BF1210" i="26"/>
  <c r="AQ1211" i="26"/>
  <c r="AR1211" i="26"/>
  <c r="AM1211" i="26" s="1"/>
  <c r="AS1211" i="26"/>
  <c r="AN1211" i="26" s="1"/>
  <c r="AX1211" i="26"/>
  <c r="AY1211" i="26"/>
  <c r="AZ1211" i="26"/>
  <c r="BB1211" i="26"/>
  <c r="BC1211" i="26"/>
  <c r="BD1211" i="26"/>
  <c r="BE1211" i="26"/>
  <c r="BF1211" i="26"/>
  <c r="AQ1212" i="26"/>
  <c r="AR1212" i="26"/>
  <c r="AM1212" i="26" s="1"/>
  <c r="AS1212" i="26"/>
  <c r="AN1212" i="26" s="1"/>
  <c r="AX1212" i="26"/>
  <c r="AY1212" i="26"/>
  <c r="AZ1212" i="26"/>
  <c r="BB1212" i="26"/>
  <c r="BC1212" i="26"/>
  <c r="BD1212" i="26"/>
  <c r="BE1212" i="26"/>
  <c r="BF1212" i="26"/>
  <c r="AQ1213" i="26"/>
  <c r="AR1213" i="26"/>
  <c r="AM1213" i="26" s="1"/>
  <c r="AS1213" i="26"/>
  <c r="AN1213" i="26" s="1"/>
  <c r="AX1213" i="26"/>
  <c r="AY1213" i="26"/>
  <c r="AZ1213" i="26"/>
  <c r="BB1213" i="26"/>
  <c r="BC1213" i="26"/>
  <c r="BD1213" i="26"/>
  <c r="BE1213" i="26"/>
  <c r="BF1213" i="26"/>
  <c r="AQ1214" i="26"/>
  <c r="AR1214" i="26"/>
  <c r="AM1214" i="26" s="1"/>
  <c r="AS1214" i="26"/>
  <c r="AN1214" i="26" s="1"/>
  <c r="AX1214" i="26"/>
  <c r="AY1214" i="26"/>
  <c r="AZ1214" i="26"/>
  <c r="BB1214" i="26"/>
  <c r="BC1214" i="26"/>
  <c r="BD1214" i="26"/>
  <c r="BE1214" i="26"/>
  <c r="BF1214" i="26"/>
  <c r="AQ1215" i="26"/>
  <c r="AR1215" i="26"/>
  <c r="AM1215" i="26" s="1"/>
  <c r="AS1215" i="26"/>
  <c r="AN1215" i="26" s="1"/>
  <c r="AX1215" i="26"/>
  <c r="AY1215" i="26"/>
  <c r="AZ1215" i="26"/>
  <c r="BB1215" i="26"/>
  <c r="BC1215" i="26"/>
  <c r="BD1215" i="26"/>
  <c r="BE1215" i="26"/>
  <c r="AL1215" i="26" s="1"/>
  <c r="BF1215" i="26"/>
  <c r="AQ1216" i="26"/>
  <c r="AR1216" i="26"/>
  <c r="AM1216" i="26" s="1"/>
  <c r="AS1216" i="26"/>
  <c r="AN1216" i="26" s="1"/>
  <c r="AX1216" i="26"/>
  <c r="AY1216" i="26"/>
  <c r="AZ1216" i="26"/>
  <c r="BB1216" i="26"/>
  <c r="BC1216" i="26"/>
  <c r="BD1216" i="26"/>
  <c r="BE1216" i="26"/>
  <c r="BF1216" i="26"/>
  <c r="AQ1217" i="26"/>
  <c r="AR1217" i="26"/>
  <c r="AM1217" i="26" s="1"/>
  <c r="AS1217" i="26"/>
  <c r="AN1217" i="26" s="1"/>
  <c r="AX1217" i="26"/>
  <c r="AY1217" i="26"/>
  <c r="AZ1217" i="26"/>
  <c r="BB1217" i="26"/>
  <c r="BC1217" i="26"/>
  <c r="BD1217" i="26"/>
  <c r="BE1217" i="26"/>
  <c r="BF1217" i="26"/>
  <c r="AQ1218" i="26"/>
  <c r="AR1218" i="26"/>
  <c r="AM1218" i="26" s="1"/>
  <c r="AS1218" i="26"/>
  <c r="AN1218" i="26" s="1"/>
  <c r="AX1218" i="26"/>
  <c r="AY1218" i="26"/>
  <c r="AZ1218" i="26"/>
  <c r="BB1218" i="26"/>
  <c r="BC1218" i="26"/>
  <c r="BD1218" i="26"/>
  <c r="BE1218" i="26"/>
  <c r="BF1218" i="26"/>
  <c r="AQ1219" i="26"/>
  <c r="AR1219" i="26"/>
  <c r="AM1219" i="26" s="1"/>
  <c r="AS1219" i="26"/>
  <c r="AN1219" i="26" s="1"/>
  <c r="AX1219" i="26"/>
  <c r="AY1219" i="26"/>
  <c r="AZ1219" i="26"/>
  <c r="BB1219" i="26"/>
  <c r="BC1219" i="26"/>
  <c r="BD1219" i="26"/>
  <c r="BE1219" i="26"/>
  <c r="BF1219" i="26"/>
  <c r="AQ1220" i="26"/>
  <c r="AR1220" i="26"/>
  <c r="AM1220" i="26" s="1"/>
  <c r="AS1220" i="26"/>
  <c r="AN1220" i="26" s="1"/>
  <c r="AX1220" i="26"/>
  <c r="AY1220" i="26"/>
  <c r="AZ1220" i="26"/>
  <c r="BB1220" i="26"/>
  <c r="BC1220" i="26"/>
  <c r="BD1220" i="26"/>
  <c r="BE1220" i="26"/>
  <c r="BF1220" i="26"/>
  <c r="AQ1221" i="26"/>
  <c r="AR1221" i="26"/>
  <c r="AM1221" i="26" s="1"/>
  <c r="AS1221" i="26"/>
  <c r="AN1221" i="26" s="1"/>
  <c r="AX1221" i="26"/>
  <c r="AY1221" i="26"/>
  <c r="AZ1221" i="26"/>
  <c r="BB1221" i="26"/>
  <c r="BC1221" i="26"/>
  <c r="BD1221" i="26"/>
  <c r="BE1221" i="26"/>
  <c r="BF1221" i="26"/>
  <c r="AQ1222" i="26"/>
  <c r="AR1222" i="26"/>
  <c r="AM1222" i="26" s="1"/>
  <c r="AS1222" i="26"/>
  <c r="AN1222" i="26" s="1"/>
  <c r="AX1222" i="26"/>
  <c r="AY1222" i="26"/>
  <c r="AZ1222" i="26"/>
  <c r="BB1222" i="26"/>
  <c r="BC1222" i="26"/>
  <c r="BD1222" i="26"/>
  <c r="BE1222" i="26"/>
  <c r="BF1222" i="26"/>
  <c r="AQ1223" i="26"/>
  <c r="AR1223" i="26"/>
  <c r="AM1223" i="26" s="1"/>
  <c r="AS1223" i="26"/>
  <c r="AN1223" i="26" s="1"/>
  <c r="AX1223" i="26"/>
  <c r="AY1223" i="26"/>
  <c r="AZ1223" i="26"/>
  <c r="BB1223" i="26"/>
  <c r="BC1223" i="26"/>
  <c r="BD1223" i="26"/>
  <c r="BE1223" i="26"/>
  <c r="AL1223" i="26" s="1"/>
  <c r="BF1223" i="26"/>
  <c r="AQ1224" i="26"/>
  <c r="AR1224" i="26"/>
  <c r="AM1224" i="26" s="1"/>
  <c r="AS1224" i="26"/>
  <c r="AN1224" i="26" s="1"/>
  <c r="AX1224" i="26"/>
  <c r="AY1224" i="26"/>
  <c r="AZ1224" i="26"/>
  <c r="BB1224" i="26"/>
  <c r="BC1224" i="26"/>
  <c r="BD1224" i="26"/>
  <c r="BE1224" i="26"/>
  <c r="BF1224" i="26"/>
  <c r="AQ1225" i="26"/>
  <c r="AR1225" i="26"/>
  <c r="AM1225" i="26" s="1"/>
  <c r="AS1225" i="26"/>
  <c r="AN1225" i="26" s="1"/>
  <c r="AX1225" i="26"/>
  <c r="AY1225" i="26"/>
  <c r="AZ1225" i="26"/>
  <c r="BB1225" i="26"/>
  <c r="BC1225" i="26"/>
  <c r="BD1225" i="26"/>
  <c r="BE1225" i="26"/>
  <c r="BF1225" i="26"/>
  <c r="AQ1226" i="26"/>
  <c r="AR1226" i="26"/>
  <c r="AM1226" i="26" s="1"/>
  <c r="AS1226" i="26"/>
  <c r="AN1226" i="26" s="1"/>
  <c r="AX1226" i="26"/>
  <c r="AY1226" i="26"/>
  <c r="AZ1226" i="26"/>
  <c r="BB1226" i="26"/>
  <c r="BC1226" i="26"/>
  <c r="BD1226" i="26"/>
  <c r="BE1226" i="26"/>
  <c r="BF1226" i="26"/>
  <c r="AQ1227" i="26"/>
  <c r="AR1227" i="26"/>
  <c r="AM1227" i="26" s="1"/>
  <c r="AS1227" i="26"/>
  <c r="AN1227" i="26" s="1"/>
  <c r="AX1227" i="26"/>
  <c r="AY1227" i="26"/>
  <c r="AZ1227" i="26"/>
  <c r="BB1227" i="26"/>
  <c r="BC1227" i="26"/>
  <c r="BD1227" i="26"/>
  <c r="BE1227" i="26"/>
  <c r="BF1227" i="26"/>
  <c r="AQ1228" i="26"/>
  <c r="AR1228" i="26"/>
  <c r="AM1228" i="26" s="1"/>
  <c r="AS1228" i="26"/>
  <c r="AN1228" i="26" s="1"/>
  <c r="AX1228" i="26"/>
  <c r="AY1228" i="26"/>
  <c r="AZ1228" i="26"/>
  <c r="BB1228" i="26"/>
  <c r="BC1228" i="26"/>
  <c r="BD1228" i="26"/>
  <c r="BE1228" i="26"/>
  <c r="BF1228" i="26"/>
  <c r="AQ1229" i="26"/>
  <c r="AR1229" i="26"/>
  <c r="AM1229" i="26" s="1"/>
  <c r="AS1229" i="26"/>
  <c r="AN1229" i="26" s="1"/>
  <c r="AX1229" i="26"/>
  <c r="AY1229" i="26"/>
  <c r="AZ1229" i="26"/>
  <c r="BB1229" i="26"/>
  <c r="BC1229" i="26"/>
  <c r="BD1229" i="26"/>
  <c r="BE1229" i="26"/>
  <c r="BF1229" i="26"/>
  <c r="AQ1230" i="26"/>
  <c r="AR1230" i="26"/>
  <c r="AM1230" i="26" s="1"/>
  <c r="AS1230" i="26"/>
  <c r="AN1230" i="26" s="1"/>
  <c r="AX1230" i="26"/>
  <c r="AY1230" i="26"/>
  <c r="AZ1230" i="26"/>
  <c r="BB1230" i="26"/>
  <c r="BC1230" i="26"/>
  <c r="BD1230" i="26"/>
  <c r="BE1230" i="26"/>
  <c r="BF1230" i="26"/>
  <c r="AQ1231" i="26"/>
  <c r="AR1231" i="26"/>
  <c r="AM1231" i="26" s="1"/>
  <c r="AS1231" i="26"/>
  <c r="AN1231" i="26" s="1"/>
  <c r="AX1231" i="26"/>
  <c r="AY1231" i="26"/>
  <c r="AZ1231" i="26"/>
  <c r="BB1231" i="26"/>
  <c r="BC1231" i="26"/>
  <c r="BD1231" i="26"/>
  <c r="BE1231" i="26"/>
  <c r="BF1231" i="26"/>
  <c r="AQ1232" i="26"/>
  <c r="AR1232" i="26"/>
  <c r="AM1232" i="26" s="1"/>
  <c r="AS1232" i="26"/>
  <c r="AN1232" i="26" s="1"/>
  <c r="AX1232" i="26"/>
  <c r="AY1232" i="26"/>
  <c r="AZ1232" i="26"/>
  <c r="BB1232" i="26"/>
  <c r="BC1232" i="26"/>
  <c r="BD1232" i="26"/>
  <c r="BE1232" i="26"/>
  <c r="BF1232" i="26"/>
  <c r="AQ1233" i="26"/>
  <c r="AR1233" i="26"/>
  <c r="AM1233" i="26" s="1"/>
  <c r="AS1233" i="26"/>
  <c r="AN1233" i="26" s="1"/>
  <c r="AX1233" i="26"/>
  <c r="AY1233" i="26"/>
  <c r="AZ1233" i="26"/>
  <c r="BB1233" i="26"/>
  <c r="BC1233" i="26"/>
  <c r="BD1233" i="26"/>
  <c r="BE1233" i="26"/>
  <c r="BF1233" i="26"/>
  <c r="AQ1234" i="26"/>
  <c r="AR1234" i="26"/>
  <c r="AM1234" i="26" s="1"/>
  <c r="AS1234" i="26"/>
  <c r="AN1234" i="26" s="1"/>
  <c r="AX1234" i="26"/>
  <c r="AY1234" i="26"/>
  <c r="AZ1234" i="26"/>
  <c r="BB1234" i="26"/>
  <c r="BC1234" i="26"/>
  <c r="BD1234" i="26"/>
  <c r="BE1234" i="26"/>
  <c r="BF1234" i="26"/>
  <c r="AQ1235" i="26"/>
  <c r="AR1235" i="26"/>
  <c r="AM1235" i="26" s="1"/>
  <c r="AS1235" i="26"/>
  <c r="AN1235" i="26" s="1"/>
  <c r="AX1235" i="26"/>
  <c r="AY1235" i="26"/>
  <c r="AZ1235" i="26"/>
  <c r="BB1235" i="26"/>
  <c r="BC1235" i="26"/>
  <c r="BD1235" i="26"/>
  <c r="BE1235" i="26"/>
  <c r="BF1235" i="26"/>
  <c r="AQ1236" i="26"/>
  <c r="AR1236" i="26"/>
  <c r="AM1236" i="26" s="1"/>
  <c r="AS1236" i="26"/>
  <c r="AN1236" i="26" s="1"/>
  <c r="AX1236" i="26"/>
  <c r="AY1236" i="26"/>
  <c r="AZ1236" i="26"/>
  <c r="BB1236" i="26"/>
  <c r="BC1236" i="26"/>
  <c r="BD1236" i="26"/>
  <c r="BE1236" i="26"/>
  <c r="BF1236" i="26"/>
  <c r="AQ1237" i="26"/>
  <c r="AR1237" i="26"/>
  <c r="AM1237" i="26" s="1"/>
  <c r="AS1237" i="26"/>
  <c r="AN1237" i="26" s="1"/>
  <c r="AX1237" i="26"/>
  <c r="AY1237" i="26"/>
  <c r="AZ1237" i="26"/>
  <c r="BB1237" i="26"/>
  <c r="BC1237" i="26"/>
  <c r="BD1237" i="26"/>
  <c r="BE1237" i="26"/>
  <c r="BF1237" i="26"/>
  <c r="AQ1238" i="26"/>
  <c r="AR1238" i="26"/>
  <c r="AM1238" i="26" s="1"/>
  <c r="AS1238" i="26"/>
  <c r="AN1238" i="26" s="1"/>
  <c r="AX1238" i="26"/>
  <c r="AY1238" i="26"/>
  <c r="AZ1238" i="26"/>
  <c r="BB1238" i="26"/>
  <c r="BC1238" i="26"/>
  <c r="BD1238" i="26"/>
  <c r="BE1238" i="26"/>
  <c r="BF1238" i="26"/>
  <c r="AQ1239" i="26"/>
  <c r="AX1239" i="26"/>
  <c r="AY1239" i="26"/>
  <c r="AZ1239" i="26"/>
  <c r="BB1239" i="26"/>
  <c r="BC1239" i="26"/>
  <c r="BD1239" i="26"/>
  <c r="BE1239" i="26"/>
  <c r="BF1239" i="26"/>
  <c r="AQ1240" i="26"/>
  <c r="AX1240" i="26"/>
  <c r="AY1240" i="26"/>
  <c r="AZ1240" i="26"/>
  <c r="BB1240" i="26"/>
  <c r="BC1240" i="26"/>
  <c r="BD1240" i="26"/>
  <c r="BE1240" i="26"/>
  <c r="BF1240" i="26"/>
  <c r="AQ1241" i="26"/>
  <c r="AX1241" i="26"/>
  <c r="AY1241" i="26"/>
  <c r="AZ1241" i="26"/>
  <c r="BB1241" i="26"/>
  <c r="BC1241" i="26"/>
  <c r="BD1241" i="26"/>
  <c r="BE1241" i="26"/>
  <c r="BF1241" i="26"/>
  <c r="BE982" i="6" l="1"/>
  <c r="B10289" i="22"/>
  <c r="A10290" i="22"/>
  <c r="CF1167" i="6"/>
  <c r="BC464" i="6"/>
  <c r="BE220" i="6"/>
  <c r="CH505" i="6"/>
  <c r="CI505" i="6" s="1"/>
  <c r="BH505" i="6" s="1"/>
  <c r="CH504" i="6"/>
  <c r="CI504" i="6" s="1"/>
  <c r="BH504" i="6" s="1"/>
  <c r="CF501" i="6"/>
  <c r="CG501" i="6" s="1"/>
  <c r="CF503" i="6"/>
  <c r="CG503" i="6" s="1"/>
  <c r="CF502" i="6"/>
  <c r="CG502" i="6" s="1"/>
  <c r="CF505" i="6"/>
  <c r="CG505" i="6" s="1"/>
  <c r="CF504" i="6"/>
  <c r="CG504" i="6" s="1"/>
  <c r="CH506" i="6"/>
  <c r="CI506" i="6" s="1"/>
  <c r="BH506" i="6" s="1"/>
  <c r="CH502" i="6"/>
  <c r="CI502" i="6" s="1"/>
  <c r="BH502" i="6" s="1"/>
  <c r="CH501" i="6"/>
  <c r="CI501" i="6" s="1"/>
  <c r="BH501" i="6" s="1"/>
  <c r="CF506" i="6"/>
  <c r="CG506" i="6" s="1"/>
  <c r="CH503" i="6"/>
  <c r="CI503" i="6" s="1"/>
  <c r="BH503" i="6" s="1"/>
  <c r="BE202" i="6"/>
  <c r="BE183" i="6"/>
  <c r="BE936" i="6"/>
  <c r="BE858" i="6"/>
  <c r="CF1246" i="6"/>
  <c r="CF1081" i="6"/>
  <c r="CG1081" i="6" s="1"/>
  <c r="CF1155" i="6"/>
  <c r="CG1155" i="6" s="1"/>
  <c r="CF1045" i="6"/>
  <c r="CF1020" i="6"/>
  <c r="CG1020" i="6" s="1"/>
  <c r="CF1219" i="6"/>
  <c r="CF1077" i="6"/>
  <c r="CG1077" i="6" s="1"/>
  <c r="CF1075" i="6"/>
  <c r="CG1075" i="6" s="1"/>
  <c r="CF1032" i="6"/>
  <c r="CF1030" i="6"/>
  <c r="CG1030" i="6" s="1"/>
  <c r="CF1024" i="6"/>
  <c r="CG1024" i="6" s="1"/>
  <c r="CF1249" i="6"/>
  <c r="CF1209" i="6"/>
  <c r="CG1209" i="6" s="1"/>
  <c r="CF1071" i="6"/>
  <c r="CF1069" i="6"/>
  <c r="CG1069" i="6" s="1"/>
  <c r="CF1067" i="6"/>
  <c r="CG1067" i="6" s="1"/>
  <c r="CF1065" i="6"/>
  <c r="CF1158" i="6"/>
  <c r="CG1158" i="6" s="1"/>
  <c r="CF1042" i="6"/>
  <c r="CG1042" i="6" s="1"/>
  <c r="CF1038" i="6"/>
  <c r="CF1036" i="6"/>
  <c r="CG1036" i="6" s="1"/>
  <c r="CF1026" i="6"/>
  <c r="CG1026" i="6" s="1"/>
  <c r="CF1018" i="6"/>
  <c r="CG1018" i="6" s="1"/>
  <c r="CF1203" i="6"/>
  <c r="CG1203" i="6" s="1"/>
  <c r="CF1165" i="6"/>
  <c r="CF1063" i="6"/>
  <c r="CG1063" i="6" s="1"/>
  <c r="CF1051" i="6"/>
  <c r="CG1051" i="6" s="1"/>
  <c r="CF1212" i="6"/>
  <c r="CF1182" i="6"/>
  <c r="CG1182" i="6" s="1"/>
  <c r="CF1163" i="6"/>
  <c r="CG1163" i="6" s="1"/>
  <c r="CF1213" i="6"/>
  <c r="CG1213" i="6" s="1"/>
  <c r="CF1060" i="6"/>
  <c r="CG1060" i="6" s="1"/>
  <c r="CF1059" i="6"/>
  <c r="CF1048" i="6"/>
  <c r="CG1048" i="6" s="1"/>
  <c r="CF1210" i="6"/>
  <c r="CG1210" i="6" s="1"/>
  <c r="CF1180" i="6"/>
  <c r="CF1149" i="6"/>
  <c r="CG1149" i="6" s="1"/>
  <c r="CF1161" i="6"/>
  <c r="CF1044" i="6"/>
  <c r="CG1044" i="6" s="1"/>
  <c r="CF1019" i="6"/>
  <c r="CG1019" i="6" s="1"/>
  <c r="CF1017" i="6"/>
  <c r="CF1228" i="6"/>
  <c r="CG1228" i="6" s="1"/>
  <c r="CF1080" i="6"/>
  <c r="CG1080" i="6" s="1"/>
  <c r="CF1078" i="6"/>
  <c r="CF1039" i="6"/>
  <c r="CG1039" i="6" s="1"/>
  <c r="CF1033" i="6"/>
  <c r="CG1033" i="6" s="1"/>
  <c r="CF1029" i="6"/>
  <c r="CG1029" i="6" s="1"/>
  <c r="CF1027" i="6"/>
  <c r="CG1027" i="6" s="1"/>
  <c r="CF1023" i="6"/>
  <c r="CF1021" i="6"/>
  <c r="CG1021" i="6" s="1"/>
  <c r="CF1218" i="6"/>
  <c r="CG1218" i="6" s="1"/>
  <c r="CF1216" i="6"/>
  <c r="CF1074" i="6"/>
  <c r="CG1074" i="6" s="1"/>
  <c r="CF1072" i="6"/>
  <c r="CF1068" i="6"/>
  <c r="CG1068" i="6" s="1"/>
  <c r="CF1066" i="6"/>
  <c r="CG1066" i="6" s="1"/>
  <c r="CF1152" i="6"/>
  <c r="CF1164" i="6"/>
  <c r="CG1164" i="6" s="1"/>
  <c r="CF1170" i="6"/>
  <c r="CG1170" i="6" s="1"/>
  <c r="CF1151" i="6"/>
  <c r="CF1157" i="6"/>
  <c r="CG1157" i="6" s="1"/>
  <c r="CF1041" i="6"/>
  <c r="CG1041" i="6" s="1"/>
  <c r="CF1035" i="6"/>
  <c r="CG1035" i="6" s="1"/>
  <c r="CF1153" i="6"/>
  <c r="CG1153" i="6" s="1"/>
  <c r="CF1206" i="6"/>
  <c r="CF1204" i="6"/>
  <c r="CG1204" i="6" s="1"/>
  <c r="CF1171" i="6"/>
  <c r="CG1171" i="6" s="1"/>
  <c r="CF1188" i="6"/>
  <c r="CF1186" i="6"/>
  <c r="CG1186" i="6" s="1"/>
  <c r="CF1192" i="6"/>
  <c r="CF1194" i="6"/>
  <c r="CG1194" i="6" s="1"/>
  <c r="CF1169" i="6"/>
  <c r="CG1169" i="6" s="1"/>
  <c r="CF1195" i="6"/>
  <c r="AL1237" i="26"/>
  <c r="AL1216" i="26"/>
  <c r="AL1211" i="26"/>
  <c r="AL861" i="26"/>
  <c r="AL732" i="26"/>
  <c r="AL557" i="26"/>
  <c r="AL105" i="26"/>
  <c r="AL1174" i="26"/>
  <c r="AL615" i="26"/>
  <c r="AL609" i="26"/>
  <c r="AL607" i="26"/>
  <c r="AL584" i="26"/>
  <c r="AL529" i="26"/>
  <c r="AL860" i="26"/>
  <c r="AL747" i="26"/>
  <c r="AL737" i="26"/>
  <c r="AL685" i="26"/>
  <c r="AL281" i="26"/>
  <c r="AL249" i="26"/>
  <c r="AL202" i="26"/>
  <c r="AL171" i="26"/>
  <c r="AL102" i="26"/>
  <c r="AL41" i="26"/>
  <c r="AL1160" i="26"/>
  <c r="AL794" i="26"/>
  <c r="AL705" i="26"/>
  <c r="AL644" i="26"/>
  <c r="AL1225" i="26"/>
  <c r="AL573" i="26"/>
  <c r="AL1230" i="26"/>
  <c r="AL969" i="26"/>
  <c r="AL893" i="26"/>
  <c r="AL872" i="26"/>
  <c r="AL814" i="26"/>
  <c r="AL608" i="26"/>
  <c r="AL540" i="26"/>
  <c r="AL509" i="26"/>
  <c r="AL375" i="26"/>
  <c r="AL282" i="26"/>
  <c r="AL1173" i="26"/>
  <c r="AL1113" i="26"/>
  <c r="AL1091" i="26"/>
  <c r="AL1001" i="26"/>
  <c r="AL890" i="26"/>
  <c r="AL735" i="26"/>
  <c r="AL687" i="26"/>
  <c r="AL666" i="26"/>
  <c r="AL649" i="26"/>
  <c r="AL463" i="26"/>
  <c r="AL423" i="26"/>
  <c r="AL368" i="26"/>
  <c r="AL361" i="26"/>
  <c r="AL331" i="26"/>
  <c r="AL209" i="26"/>
  <c r="AL195" i="26"/>
  <c r="AL193" i="26"/>
  <c r="AL177" i="26"/>
  <c r="AL15" i="26"/>
  <c r="AL1064" i="26"/>
  <c r="AL847" i="26"/>
  <c r="AL634" i="26"/>
  <c r="AL588" i="26"/>
  <c r="AL346" i="26"/>
  <c r="AL120" i="26"/>
  <c r="AL1238" i="26"/>
  <c r="AL1213" i="26"/>
  <c r="AL1195" i="26"/>
  <c r="AL1071" i="26"/>
  <c r="AL975" i="26"/>
  <c r="AL746" i="26"/>
  <c r="AL710" i="26"/>
  <c r="AL699" i="26"/>
  <c r="AL614" i="26"/>
  <c r="AL581" i="26"/>
  <c r="AL532" i="26"/>
  <c r="AL530" i="26"/>
  <c r="AL338" i="26"/>
  <c r="AL116" i="26"/>
  <c r="CH436" i="6"/>
  <c r="CI436" i="6" s="1"/>
  <c r="CF437" i="6"/>
  <c r="CG437" i="6" s="1"/>
  <c r="CH435" i="6"/>
  <c r="CI435" i="6" s="1"/>
  <c r="CF439" i="6"/>
  <c r="CG439" i="6" s="1"/>
  <c r="CF438" i="6"/>
  <c r="CH439" i="6"/>
  <c r="CI439" i="6" s="1"/>
  <c r="CF436" i="6"/>
  <c r="CG436" i="6" s="1"/>
  <c r="CH438" i="6"/>
  <c r="CI438" i="6" s="1"/>
  <c r="CF435" i="6"/>
  <c r="CG435" i="6" s="1"/>
  <c r="CH437" i="6"/>
  <c r="CI437" i="6" s="1"/>
  <c r="CF636" i="6"/>
  <c r="CG636" i="6" s="1"/>
  <c r="CH634" i="6"/>
  <c r="CI634" i="6" s="1"/>
  <c r="CF634" i="6"/>
  <c r="CH636" i="6"/>
  <c r="CI636" i="6" s="1"/>
  <c r="AL1232" i="26"/>
  <c r="AL1194" i="26"/>
  <c r="AL1149" i="26"/>
  <c r="AL1141" i="26"/>
  <c r="AL1027" i="26"/>
  <c r="AL1005" i="26"/>
  <c r="AL992" i="26"/>
  <c r="AL953" i="26"/>
  <c r="AL882" i="26"/>
  <c r="AL829" i="26"/>
  <c r="AL795" i="26"/>
  <c r="AL751" i="26"/>
  <c r="AL621" i="26"/>
  <c r="AL502" i="26"/>
  <c r="AL488" i="26"/>
  <c r="AL422" i="26"/>
  <c r="AL385" i="26"/>
  <c r="AL320" i="26"/>
  <c r="AL274" i="26"/>
  <c r="AL234" i="26"/>
  <c r="AL150" i="26"/>
  <c r="AL128" i="26"/>
  <c r="AL1234" i="26"/>
  <c r="AL1227" i="26"/>
  <c r="AL1207" i="26"/>
  <c r="AL1146" i="26"/>
  <c r="AL1109" i="26"/>
  <c r="AL989" i="26"/>
  <c r="AL967" i="26"/>
  <c r="AL950" i="26"/>
  <c r="AL940" i="26"/>
  <c r="AL820" i="26"/>
  <c r="AL684" i="26"/>
  <c r="AL589" i="26"/>
  <c r="AL556" i="26"/>
  <c r="AL553" i="26"/>
  <c r="AL481" i="26"/>
  <c r="AL347" i="26"/>
  <c r="AL337" i="26"/>
  <c r="AL304" i="26"/>
  <c r="AL210" i="26"/>
  <c r="AL173" i="26"/>
  <c r="AL152" i="26"/>
  <c r="AL92" i="26"/>
  <c r="AL67" i="26"/>
  <c r="AL1204" i="26"/>
  <c r="AL858" i="26"/>
  <c r="AL808" i="26"/>
  <c r="AL487" i="26"/>
  <c r="AL428" i="26"/>
  <c r="AL276" i="26"/>
  <c r="AL216" i="26"/>
  <c r="AL172" i="26"/>
  <c r="AL91" i="26"/>
  <c r="AL1080" i="26"/>
  <c r="AL1226" i="26"/>
  <c r="AL1114" i="26"/>
  <c r="AL1060" i="26"/>
  <c r="AL1026" i="26"/>
  <c r="AL1016" i="26"/>
  <c r="AL932" i="26"/>
  <c r="AL918" i="26"/>
  <c r="AL906" i="26"/>
  <c r="AL779" i="26"/>
  <c r="AL768" i="26"/>
  <c r="AL726" i="26"/>
  <c r="AL654" i="26"/>
  <c r="AL652" i="26"/>
  <c r="AL579" i="26"/>
  <c r="AL489" i="26"/>
  <c r="AL384" i="26"/>
  <c r="AL291" i="26"/>
  <c r="AL271" i="26"/>
  <c r="AL248" i="26"/>
  <c r="CH732" i="6"/>
  <c r="CI732" i="6" s="1"/>
  <c r="BH732" i="6" s="1"/>
  <c r="AR732" i="6" s="1"/>
  <c r="CF732" i="6"/>
  <c r="CG732" i="6" s="1"/>
  <c r="CH915" i="6"/>
  <c r="CI915" i="6" s="1"/>
  <c r="BH915" i="6" s="1"/>
  <c r="CF915" i="6"/>
  <c r="CG915" i="6" s="1"/>
  <c r="CF895" i="6"/>
  <c r="CH895" i="6"/>
  <c r="CI895" i="6" s="1"/>
  <c r="BH895" i="6" s="1"/>
  <c r="CH976" i="6"/>
  <c r="CI976" i="6" s="1"/>
  <c r="BH976" i="6" s="1"/>
  <c r="CF976" i="6"/>
  <c r="CG976" i="6" s="1"/>
  <c r="CF582" i="6"/>
  <c r="CG582" i="6" s="1"/>
  <c r="CH582" i="6"/>
  <c r="CI582" i="6" s="1"/>
  <c r="CH535" i="6"/>
  <c r="CI535" i="6" s="1"/>
  <c r="BH535" i="6" s="1"/>
  <c r="AR535" i="6" s="1"/>
  <c r="CF535" i="6"/>
  <c r="CG535" i="6" s="1"/>
  <c r="CF217" i="6"/>
  <c r="CH217" i="6"/>
  <c r="CI217" i="6" s="1"/>
  <c r="BH217" i="6" s="1"/>
  <c r="CH991" i="6"/>
  <c r="CI991" i="6" s="1"/>
  <c r="BH991" i="6" s="1"/>
  <c r="AR991" i="6" s="1"/>
  <c r="CF991" i="6"/>
  <c r="CG991" i="6" s="1"/>
  <c r="CH987" i="6"/>
  <c r="CI987" i="6" s="1"/>
  <c r="BH987" i="6" s="1"/>
  <c r="AR987" i="6" s="1"/>
  <c r="CF987" i="6"/>
  <c r="CG987" i="6" s="1"/>
  <c r="CH727" i="6"/>
  <c r="CI727" i="6" s="1"/>
  <c r="BH727" i="6" s="1"/>
  <c r="AR727" i="6" s="1"/>
  <c r="CF727" i="6"/>
  <c r="CG727" i="6" s="1"/>
  <c r="CH972" i="6"/>
  <c r="CF972" i="6"/>
  <c r="CG972" i="6" s="1"/>
  <c r="CH970" i="6"/>
  <c r="CI970" i="6" s="1"/>
  <c r="BH970" i="6" s="1"/>
  <c r="AR970" i="6" s="1"/>
  <c r="CF970" i="6"/>
  <c r="CG970" i="6" s="1"/>
  <c r="CF966" i="6"/>
  <c r="CG966" i="6" s="1"/>
  <c r="CH966" i="6"/>
  <c r="CI966" i="6" s="1"/>
  <c r="BH966" i="6" s="1"/>
  <c r="AR966" i="6" s="1"/>
  <c r="CF964" i="6"/>
  <c r="CG964" i="6" s="1"/>
  <c r="CH964" i="6"/>
  <c r="CI964" i="6" s="1"/>
  <c r="BH964" i="6" s="1"/>
  <c r="AR964" i="6" s="1"/>
  <c r="CH961" i="6"/>
  <c r="CF961" i="6"/>
  <c r="CG961" i="6" s="1"/>
  <c r="CH33" i="6"/>
  <c r="CI33" i="6" s="1"/>
  <c r="BH33" i="6" s="1"/>
  <c r="AR33" i="6" s="1"/>
  <c r="CF33" i="6"/>
  <c r="CG33" i="6" s="1"/>
  <c r="CH31" i="6"/>
  <c r="CI31" i="6" s="1"/>
  <c r="BH31" i="6" s="1"/>
  <c r="AR31" i="6" s="1"/>
  <c r="CF31" i="6"/>
  <c r="CG31" i="6" s="1"/>
  <c r="CH12" i="6"/>
  <c r="CI12" i="6" s="1"/>
  <c r="BH12" i="6" s="1"/>
  <c r="AR12" i="6" s="1"/>
  <c r="CF12" i="6"/>
  <c r="CG12" i="6" s="1"/>
  <c r="CF10" i="6"/>
  <c r="CH10" i="6"/>
  <c r="CI10" i="6" s="1"/>
  <c r="BH10" i="6" s="1"/>
  <c r="AR10" i="6" s="1"/>
  <c r="CF623" i="6"/>
  <c r="CG623" i="6" s="1"/>
  <c r="CH623" i="6"/>
  <c r="CI623" i="6" s="1"/>
  <c r="CH621" i="6"/>
  <c r="CI621" i="6" s="1"/>
  <c r="BH621" i="6" s="1"/>
  <c r="CF621" i="6"/>
  <c r="CG621" i="6" s="1"/>
  <c r="CH892" i="6"/>
  <c r="CI892" i="6" s="1"/>
  <c r="BH892" i="6" s="1"/>
  <c r="AR892" i="6" s="1"/>
  <c r="CF892" i="6"/>
  <c r="CG892" i="6" s="1"/>
  <c r="CH655" i="6"/>
  <c r="CF655" i="6"/>
  <c r="CG655" i="6" s="1"/>
  <c r="CH653" i="6"/>
  <c r="CF653" i="6"/>
  <c r="CG653" i="6" s="1"/>
  <c r="CH651" i="6"/>
  <c r="CI651" i="6" s="1"/>
  <c r="CF651" i="6"/>
  <c r="CG651" i="6" s="1"/>
  <c r="CF805" i="6"/>
  <c r="CG805" i="6" s="1"/>
  <c r="CH805" i="6"/>
  <c r="CI805" i="6" s="1"/>
  <c r="CH801" i="6"/>
  <c r="CF801" i="6"/>
  <c r="CG801" i="6" s="1"/>
  <c r="CH649" i="6"/>
  <c r="CI649" i="6" s="1"/>
  <c r="CF649" i="6"/>
  <c r="CG649" i="6" s="1"/>
  <c r="CH647" i="6"/>
  <c r="CI647" i="6" s="1"/>
  <c r="CF647" i="6"/>
  <c r="CG647" i="6" s="1"/>
  <c r="CH645" i="6"/>
  <c r="CI645" i="6" s="1"/>
  <c r="CF645" i="6"/>
  <c r="CG645" i="6" s="1"/>
  <c r="CH643" i="6"/>
  <c r="CF643" i="6"/>
  <c r="CG643" i="6" s="1"/>
  <c r="CH641" i="6"/>
  <c r="CF641" i="6"/>
  <c r="CG641" i="6" s="1"/>
  <c r="CF639" i="6"/>
  <c r="CG639" i="6" s="1"/>
  <c r="CH639" i="6"/>
  <c r="CI639" i="6" s="1"/>
  <c r="CH978" i="6"/>
  <c r="CI978" i="6" s="1"/>
  <c r="BH978" i="6" s="1"/>
  <c r="CF978" i="6"/>
  <c r="CG978" i="6" s="1"/>
  <c r="CH975" i="6"/>
  <c r="CF975" i="6"/>
  <c r="CG975" i="6" s="1"/>
  <c r="CF27" i="6"/>
  <c r="CH27" i="6"/>
  <c r="CI27" i="6" s="1"/>
  <c r="BH27" i="6" s="1"/>
  <c r="AR27" i="6" s="1"/>
  <c r="CF25" i="6"/>
  <c r="CG25" i="6" s="1"/>
  <c r="CH25" i="6"/>
  <c r="CI25" i="6" s="1"/>
  <c r="BH25" i="6" s="1"/>
  <c r="AR25" i="6" s="1"/>
  <c r="CF419" i="6"/>
  <c r="CG419" i="6" s="1"/>
  <c r="CH419" i="6"/>
  <c r="CI419" i="6" s="1"/>
  <c r="BH419" i="6" s="1"/>
  <c r="CH417" i="6"/>
  <c r="CF417" i="6"/>
  <c r="CG417" i="6" s="1"/>
  <c r="CH625" i="6"/>
  <c r="CI625" i="6" s="1"/>
  <c r="CF625" i="6"/>
  <c r="CG625" i="6" s="1"/>
  <c r="CH531" i="6"/>
  <c r="CI531" i="6" s="1"/>
  <c r="CF531" i="6"/>
  <c r="CG531" i="6" s="1"/>
  <c r="CF214" i="6"/>
  <c r="CG214" i="6" s="1"/>
  <c r="CH214" i="6"/>
  <c r="CI214" i="6" s="1"/>
  <c r="BH214" i="6" s="1"/>
  <c r="CH988" i="6"/>
  <c r="CF988" i="6"/>
  <c r="CG988" i="6" s="1"/>
  <c r="CH67" i="6"/>
  <c r="CI67" i="6" s="1"/>
  <c r="BH67" i="6" s="1"/>
  <c r="AR67" i="6" s="1"/>
  <c r="CF67" i="6"/>
  <c r="CG67" i="6" s="1"/>
  <c r="CF537" i="6"/>
  <c r="CG537" i="6" s="1"/>
  <c r="CH537" i="6"/>
  <c r="CI537" i="6" s="1"/>
  <c r="CF37" i="6"/>
  <c r="CG37" i="6" s="1"/>
  <c r="CH37" i="6"/>
  <c r="CI37" i="6" s="1"/>
  <c r="BH37" i="6" s="1"/>
  <c r="CF35" i="6"/>
  <c r="CH35" i="6"/>
  <c r="CI35" i="6" s="1"/>
  <c r="BH35" i="6" s="1"/>
  <c r="AR35" i="6" s="1"/>
  <c r="CF421" i="6"/>
  <c r="CG421" i="6" s="1"/>
  <c r="CH421" i="6"/>
  <c r="CI421" i="6" s="1"/>
  <c r="BH421" i="6" s="1"/>
  <c r="AR421" i="6" s="1"/>
  <c r="CF216" i="6"/>
  <c r="CG216" i="6" s="1"/>
  <c r="CH216" i="6"/>
  <c r="CI216" i="6" s="1"/>
  <c r="BH216" i="6" s="1"/>
  <c r="CH730" i="6"/>
  <c r="CI730" i="6" s="1"/>
  <c r="BH730" i="6" s="1"/>
  <c r="AR730" i="6" s="1"/>
  <c r="CF730" i="6"/>
  <c r="CG730" i="6" s="1"/>
  <c r="CF916" i="6"/>
  <c r="CH916" i="6"/>
  <c r="CI916" i="6" s="1"/>
  <c r="BH916" i="6" s="1"/>
  <c r="CH891" i="6"/>
  <c r="CI891" i="6" s="1"/>
  <c r="BH891" i="6" s="1"/>
  <c r="AR891" i="6" s="1"/>
  <c r="CF891" i="6"/>
  <c r="CG891" i="6" s="1"/>
  <c r="CH873" i="6"/>
  <c r="CI873" i="6" s="1"/>
  <c r="BH873" i="6" s="1"/>
  <c r="CF873" i="6"/>
  <c r="CG873" i="6" s="1"/>
  <c r="CF977" i="6"/>
  <c r="CG977" i="6" s="1"/>
  <c r="CH977" i="6"/>
  <c r="CI977" i="6" s="1"/>
  <c r="BH977" i="6" s="1"/>
  <c r="AR977" i="6" s="1"/>
  <c r="CH967" i="6"/>
  <c r="CF967" i="6"/>
  <c r="CG967" i="6" s="1"/>
  <c r="CH13" i="6"/>
  <c r="CI13" i="6" s="1"/>
  <c r="BH13" i="6" s="1"/>
  <c r="AR13" i="6" s="1"/>
  <c r="CF13" i="6"/>
  <c r="CG13" i="6" s="1"/>
  <c r="CF274" i="6"/>
  <c r="CG274" i="6" s="1"/>
  <c r="CH274" i="6"/>
  <c r="CI274" i="6" s="1"/>
  <c r="CF979" i="6"/>
  <c r="CG979" i="6" s="1"/>
  <c r="CH979" i="6"/>
  <c r="CI979" i="6" s="1"/>
  <c r="BH979" i="6" s="1"/>
  <c r="AR979" i="6" s="1"/>
  <c r="CH969" i="6"/>
  <c r="CF969" i="6"/>
  <c r="CG969" i="6" s="1"/>
  <c r="CH963" i="6"/>
  <c r="CF963" i="6"/>
  <c r="CG963" i="6" s="1"/>
  <c r="CF378" i="6"/>
  <c r="CG378" i="6" s="1"/>
  <c r="CH378" i="6"/>
  <c r="CI378" i="6" s="1"/>
  <c r="CH583" i="6"/>
  <c r="CI583" i="6" s="1"/>
  <c r="CF583" i="6"/>
  <c r="CG583" i="6" s="1"/>
  <c r="CH622" i="6"/>
  <c r="CF622" i="6"/>
  <c r="CG622" i="6" s="1"/>
  <c r="CH213" i="6"/>
  <c r="CI213" i="6" s="1"/>
  <c r="BH213" i="6" s="1"/>
  <c r="CF213" i="6"/>
  <c r="CG213" i="6" s="1"/>
  <c r="CH990" i="6"/>
  <c r="CI990" i="6" s="1"/>
  <c r="BH990" i="6" s="1"/>
  <c r="CF990" i="6"/>
  <c r="CG990" i="6" s="1"/>
  <c r="CH726" i="6"/>
  <c r="CI726" i="6" s="1"/>
  <c r="BH726" i="6" s="1"/>
  <c r="AR726" i="6" s="1"/>
  <c r="CF726" i="6"/>
  <c r="CG726" i="6" s="1"/>
  <c r="CF724" i="6"/>
  <c r="CH724" i="6"/>
  <c r="CI724" i="6" s="1"/>
  <c r="BH724" i="6" s="1"/>
  <c r="AR724" i="6" s="1"/>
  <c r="CH936" i="6"/>
  <c r="CI936" i="6" s="1"/>
  <c r="BH936" i="6" s="1"/>
  <c r="AR936" i="6" s="1"/>
  <c r="CF936" i="6"/>
  <c r="CG936" i="6" s="1"/>
  <c r="CH870" i="6"/>
  <c r="CI870" i="6" s="1"/>
  <c r="BH870" i="6" s="1"/>
  <c r="CF870" i="6"/>
  <c r="CG870" i="6" s="1"/>
  <c r="CH858" i="6"/>
  <c r="CI858" i="6" s="1"/>
  <c r="BH858" i="6" s="1"/>
  <c r="AR858" i="6" s="1"/>
  <c r="CF858" i="6"/>
  <c r="CG858" i="6" s="1"/>
  <c r="CH850" i="6"/>
  <c r="CF850" i="6"/>
  <c r="CG850" i="6" s="1"/>
  <c r="CF660" i="6"/>
  <c r="CG660" i="6" s="1"/>
  <c r="CH660" i="6"/>
  <c r="CI660" i="6" s="1"/>
  <c r="BH660" i="6" s="1"/>
  <c r="AR660" i="6" s="1"/>
  <c r="CH658" i="6"/>
  <c r="CI658" i="6" s="1"/>
  <c r="BH658" i="6" s="1"/>
  <c r="AR658" i="6" s="1"/>
  <c r="CF658" i="6"/>
  <c r="CG658" i="6" s="1"/>
  <c r="CH654" i="6"/>
  <c r="CI654" i="6" s="1"/>
  <c r="CF654" i="6"/>
  <c r="CG654" i="6" s="1"/>
  <c r="CH652" i="6"/>
  <c r="CF652" i="6"/>
  <c r="CG652" i="6" s="1"/>
  <c r="CF804" i="6"/>
  <c r="CG804" i="6" s="1"/>
  <c r="CH804" i="6"/>
  <c r="CI804" i="6" s="1"/>
  <c r="CH802" i="6"/>
  <c r="CI802" i="6" s="1"/>
  <c r="CF802" i="6"/>
  <c r="CG802" i="6" s="1"/>
  <c r="CF648" i="6"/>
  <c r="CG648" i="6" s="1"/>
  <c r="CH648" i="6"/>
  <c r="CI648" i="6" s="1"/>
  <c r="CH646" i="6"/>
  <c r="CF646" i="6"/>
  <c r="CG646" i="6" s="1"/>
  <c r="CH642" i="6"/>
  <c r="CI642" i="6" s="1"/>
  <c r="CF642" i="6"/>
  <c r="CG642" i="6" s="1"/>
  <c r="CH640" i="6"/>
  <c r="CI640" i="6" s="1"/>
  <c r="CF640" i="6"/>
  <c r="CG640" i="6" s="1"/>
  <c r="CH522" i="6"/>
  <c r="CI522" i="6" s="1"/>
  <c r="CF522" i="6"/>
  <c r="CG522" i="6" s="1"/>
  <c r="CH520" i="6"/>
  <c r="CF520" i="6"/>
  <c r="CG520" i="6" s="1"/>
  <c r="CH606" i="6"/>
  <c r="CI606" i="6" s="1"/>
  <c r="CF606" i="6"/>
  <c r="CG606" i="6" s="1"/>
  <c r="CH604" i="6"/>
  <c r="CI604" i="6" s="1"/>
  <c r="CF604" i="6"/>
  <c r="CG604" i="6" s="1"/>
  <c r="CH960" i="6"/>
  <c r="CI960" i="6" s="1"/>
  <c r="BH960" i="6" s="1"/>
  <c r="AR960" i="6" s="1"/>
  <c r="CF960" i="6"/>
  <c r="CG960" i="6" s="1"/>
  <c r="CH958" i="6"/>
  <c r="CF958" i="6"/>
  <c r="CG958" i="6" s="1"/>
  <c r="CH432" i="6"/>
  <c r="CI432" i="6" s="1"/>
  <c r="CF432" i="6"/>
  <c r="CG432" i="6" s="1"/>
  <c r="CH430" i="6"/>
  <c r="CI430" i="6" s="1"/>
  <c r="CF430" i="6"/>
  <c r="CG430" i="6" s="1"/>
  <c r="CH426" i="6"/>
  <c r="CI426" i="6" s="1"/>
  <c r="CF426" i="6"/>
  <c r="CG426" i="6" s="1"/>
  <c r="CF424" i="6"/>
  <c r="CH424" i="6"/>
  <c r="CI424" i="6" s="1"/>
  <c r="CH30" i="6"/>
  <c r="CI30" i="6" s="1"/>
  <c r="BH30" i="6" s="1"/>
  <c r="AR30" i="6" s="1"/>
  <c r="CF30" i="6"/>
  <c r="CG30" i="6" s="1"/>
  <c r="CF28" i="6"/>
  <c r="CG28" i="6" s="1"/>
  <c r="CH28" i="6"/>
  <c r="CI28" i="6" s="1"/>
  <c r="BH28" i="6" s="1"/>
  <c r="AR28" i="6" s="1"/>
  <c r="CF580" i="6"/>
  <c r="CG580" i="6" s="1"/>
  <c r="CH580" i="6"/>
  <c r="CI580" i="6" s="1"/>
  <c r="CH418" i="6"/>
  <c r="CF418" i="6"/>
  <c r="CG418" i="6" s="1"/>
  <c r="CH534" i="6"/>
  <c r="CI534" i="6" s="1"/>
  <c r="CF534" i="6"/>
  <c r="CG534" i="6" s="1"/>
  <c r="CH532" i="6"/>
  <c r="CI532" i="6" s="1"/>
  <c r="BH532" i="6" s="1"/>
  <c r="AR532" i="6" s="1"/>
  <c r="CF532" i="6"/>
  <c r="CG532" i="6" s="1"/>
  <c r="CF215" i="6"/>
  <c r="CG215" i="6" s="1"/>
  <c r="CH215" i="6"/>
  <c r="CI215" i="6" s="1"/>
  <c r="BH215" i="6" s="1"/>
  <c r="AR215" i="6" s="1"/>
  <c r="CH412" i="6"/>
  <c r="CF412" i="6"/>
  <c r="CG412" i="6" s="1"/>
  <c r="CH66" i="6"/>
  <c r="CI66" i="6" s="1"/>
  <c r="BH66" i="6" s="1"/>
  <c r="AR66" i="6" s="1"/>
  <c r="CF66" i="6"/>
  <c r="CG66" i="6" s="1"/>
  <c r="CF64" i="6"/>
  <c r="CG64" i="6" s="1"/>
  <c r="CH64" i="6"/>
  <c r="CI64" i="6" s="1"/>
  <c r="BH64" i="6" s="1"/>
  <c r="AR64" i="6" s="1"/>
  <c r="CF36" i="6"/>
  <c r="CG36" i="6" s="1"/>
  <c r="CH36" i="6"/>
  <c r="CI36" i="6" s="1"/>
  <c r="BH36" i="6" s="1"/>
  <c r="AR36" i="6" s="1"/>
  <c r="CH34" i="6"/>
  <c r="CF34" i="6"/>
  <c r="CG34" i="6" s="1"/>
  <c r="CF24" i="6"/>
  <c r="CG24" i="6" s="1"/>
  <c r="CH24" i="6"/>
  <c r="CI24" i="6" s="1"/>
  <c r="BH24" i="6" s="1"/>
  <c r="AR24" i="6" s="1"/>
  <c r="CF22" i="6"/>
  <c r="CG22" i="6" s="1"/>
  <c r="CH22" i="6"/>
  <c r="CI22" i="6" s="1"/>
  <c r="BH22" i="6" s="1"/>
  <c r="AR22" i="6" s="1"/>
  <c r="CF420" i="6"/>
  <c r="CG420" i="6" s="1"/>
  <c r="CH420" i="6"/>
  <c r="CI420" i="6" s="1"/>
  <c r="BH420" i="6" s="1"/>
  <c r="AR420" i="6" s="1"/>
  <c r="CF624" i="6"/>
  <c r="CH624" i="6"/>
  <c r="CI624" i="6" s="1"/>
  <c r="BE1218" i="6"/>
  <c r="BE1216" i="6"/>
  <c r="BE1210" i="6"/>
  <c r="BE1080" i="6"/>
  <c r="BE1078" i="6"/>
  <c r="BE1119" i="6"/>
  <c r="BE1137" i="6"/>
  <c r="BE1105" i="6"/>
  <c r="BE1206" i="6"/>
  <c r="BE1204" i="6"/>
  <c r="BE1074" i="6"/>
  <c r="BE1072" i="6"/>
  <c r="BE1056" i="6"/>
  <c r="BE1054" i="6"/>
  <c r="BE1167" i="6"/>
  <c r="BN1165" i="6"/>
  <c r="BE1159" i="6"/>
  <c r="BE1125" i="6"/>
  <c r="BE1093" i="6"/>
  <c r="BE1212" i="6"/>
  <c r="BE1194" i="6"/>
  <c r="BE1192" i="6"/>
  <c r="BE1188" i="6"/>
  <c r="BE1186" i="6"/>
  <c r="BE1182" i="6"/>
  <c r="BE1180" i="6"/>
  <c r="BE1176" i="6"/>
  <c r="BE1174" i="6"/>
  <c r="BE1171" i="6"/>
  <c r="BE1155" i="6"/>
  <c r="BN1153" i="6"/>
  <c r="BE1060" i="6"/>
  <c r="BE1246" i="6"/>
  <c r="BE1149" i="6"/>
  <c r="BN1039" i="6"/>
  <c r="BE1236" i="6"/>
  <c r="BE1234" i="6"/>
  <c r="BE1230" i="6"/>
  <c r="BE1228" i="6"/>
  <c r="BE1146" i="6"/>
  <c r="BE1144" i="6"/>
  <c r="BE1219" i="6"/>
  <c r="BE1213" i="6"/>
  <c r="BE1209" i="6"/>
  <c r="BE1081" i="6"/>
  <c r="BE1077" i="6"/>
  <c r="BE1123" i="6"/>
  <c r="BE1122" i="6"/>
  <c r="BE1120" i="6"/>
  <c r="BE1110" i="6"/>
  <c r="BE1108" i="6"/>
  <c r="BE1140" i="6"/>
  <c r="BE1138" i="6"/>
  <c r="BE1203" i="6"/>
  <c r="BE1075" i="6"/>
  <c r="BE1057" i="6"/>
  <c r="BE1053" i="6"/>
  <c r="BE1168" i="6"/>
  <c r="BN1045" i="6"/>
  <c r="BE1042" i="6"/>
  <c r="BE1038" i="6"/>
  <c r="BE1036" i="6"/>
  <c r="BE1104" i="6"/>
  <c r="BE1102" i="6"/>
  <c r="BE1098" i="6"/>
  <c r="BE1096" i="6"/>
  <c r="BE1132" i="6"/>
  <c r="BE1128" i="6"/>
  <c r="BE1126" i="6"/>
  <c r="BE1092" i="6"/>
  <c r="BE1086" i="6"/>
  <c r="BE1195" i="6"/>
  <c r="BE1063" i="6"/>
  <c r="BM1249" i="6"/>
  <c r="BM1243" i="6"/>
  <c r="BE1164" i="6"/>
  <c r="BE1158" i="6"/>
  <c r="BE1156" i="6"/>
  <c r="BE1048" i="6"/>
  <c r="BE1152" i="6"/>
  <c r="BE1150" i="6"/>
  <c r="CH298" i="6"/>
  <c r="CI298" i="6" s="1"/>
  <c r="CH306" i="6"/>
  <c r="CI306" i="6" s="1"/>
  <c r="CH314" i="6"/>
  <c r="CI314" i="6" s="1"/>
  <c r="CH322" i="6"/>
  <c r="CI322" i="6" s="1"/>
  <c r="CH330" i="6"/>
  <c r="CI330" i="6" s="1"/>
  <c r="CH338" i="6"/>
  <c r="CH346" i="6"/>
  <c r="CI346" i="6" s="1"/>
  <c r="CH354" i="6"/>
  <c r="CI354" i="6" s="1"/>
  <c r="CH362" i="6"/>
  <c r="CI362" i="6" s="1"/>
  <c r="CH370" i="6"/>
  <c r="CI370" i="6" s="1"/>
  <c r="CH386" i="6"/>
  <c r="CI386" i="6" s="1"/>
  <c r="CH394" i="6"/>
  <c r="CI394" i="6" s="1"/>
  <c r="CH402" i="6"/>
  <c r="CI402" i="6" s="1"/>
  <c r="CH410" i="6"/>
  <c r="CH434" i="6"/>
  <c r="CI434" i="6" s="1"/>
  <c r="CH442" i="6"/>
  <c r="CI442" i="6" s="1"/>
  <c r="CH450" i="6"/>
  <c r="CI450" i="6" s="1"/>
  <c r="CH458" i="6"/>
  <c r="CI458" i="6" s="1"/>
  <c r="CH466" i="6"/>
  <c r="CI466" i="6" s="1"/>
  <c r="CH474" i="6"/>
  <c r="CI474" i="6" s="1"/>
  <c r="CH482" i="6"/>
  <c r="CI482" i="6" s="1"/>
  <c r="CH490" i="6"/>
  <c r="CH498" i="6"/>
  <c r="CI498" i="6" s="1"/>
  <c r="CH512" i="6"/>
  <c r="CH528" i="6"/>
  <c r="CI528" i="6" s="1"/>
  <c r="CH536" i="6"/>
  <c r="CI536" i="6" s="1"/>
  <c r="BH536" i="6" s="1"/>
  <c r="CH544" i="6"/>
  <c r="CH552" i="6"/>
  <c r="CI552" i="6" s="1"/>
  <c r="CH560" i="6"/>
  <c r="CI560" i="6" s="1"/>
  <c r="CH568" i="6"/>
  <c r="CH576" i="6"/>
  <c r="CI576" i="6" s="1"/>
  <c r="CH584" i="6"/>
  <c r="CI584" i="6" s="1"/>
  <c r="CH592" i="6"/>
  <c r="CI592" i="6" s="1"/>
  <c r="CH600" i="6"/>
  <c r="CI600" i="6" s="1"/>
  <c r="CH608" i="6"/>
  <c r="CI608" i="6" s="1"/>
  <c r="CH616" i="6"/>
  <c r="CI616" i="6" s="1"/>
  <c r="CH632" i="6"/>
  <c r="CI632" i="6" s="1"/>
  <c r="CH656" i="6"/>
  <c r="CH664" i="6"/>
  <c r="CI664" i="6" s="1"/>
  <c r="BH664" i="6" s="1"/>
  <c r="CH672" i="6"/>
  <c r="CI672" i="6" s="1"/>
  <c r="BH672" i="6" s="1"/>
  <c r="CH680" i="6"/>
  <c r="CI680" i="6" s="1"/>
  <c r="BH680" i="6" s="1"/>
  <c r="CH688" i="6"/>
  <c r="CI688" i="6" s="1"/>
  <c r="BH688" i="6" s="1"/>
  <c r="CH696" i="6"/>
  <c r="CI696" i="6" s="1"/>
  <c r="BH696" i="6" s="1"/>
  <c r="CH704" i="6"/>
  <c r="CI704" i="6" s="1"/>
  <c r="BH704" i="6" s="1"/>
  <c r="CH712" i="6"/>
  <c r="CI712" i="6" s="1"/>
  <c r="BH712" i="6" s="1"/>
  <c r="CH720" i="6"/>
  <c r="CH728" i="6"/>
  <c r="CI728" i="6" s="1"/>
  <c r="BH728" i="6" s="1"/>
  <c r="CH736" i="6"/>
  <c r="CI736" i="6" s="1"/>
  <c r="BH736" i="6" s="1"/>
  <c r="CH744" i="6"/>
  <c r="CI744" i="6" s="1"/>
  <c r="BH744" i="6" s="1"/>
  <c r="CH752" i="6"/>
  <c r="CI752" i="6" s="1"/>
  <c r="BH752" i="6" s="1"/>
  <c r="CH760" i="6"/>
  <c r="CI760" i="6" s="1"/>
  <c r="BH760" i="6" s="1"/>
  <c r="CH768" i="6"/>
  <c r="CI768" i="6" s="1"/>
  <c r="BH768" i="6" s="1"/>
  <c r="CH776" i="6"/>
  <c r="CI776" i="6" s="1"/>
  <c r="BH776" i="6" s="1"/>
  <c r="CH784" i="6"/>
  <c r="CH792" i="6"/>
  <c r="CI792" i="6" s="1"/>
  <c r="BH792" i="6" s="1"/>
  <c r="CH800" i="6"/>
  <c r="CI800" i="6" s="1"/>
  <c r="BH800" i="6" s="1"/>
  <c r="CH808" i="6"/>
  <c r="CI808" i="6" s="1"/>
  <c r="BH808" i="6" s="1"/>
  <c r="CH816" i="6"/>
  <c r="CI816" i="6" s="1"/>
  <c r="BH816" i="6" s="1"/>
  <c r="CH824" i="6"/>
  <c r="CI824" i="6" s="1"/>
  <c r="BH824" i="6" s="1"/>
  <c r="CH832" i="6"/>
  <c r="CI832" i="6" s="1"/>
  <c r="BH832" i="6" s="1"/>
  <c r="CH840" i="6"/>
  <c r="CI840" i="6" s="1"/>
  <c r="BH840" i="6" s="1"/>
  <c r="CH848" i="6"/>
  <c r="CH856" i="6"/>
  <c r="CI856" i="6" s="1"/>
  <c r="BH856" i="6" s="1"/>
  <c r="CH864" i="6"/>
  <c r="CI864" i="6" s="1"/>
  <c r="BH864" i="6" s="1"/>
  <c r="CH872" i="6"/>
  <c r="CI872" i="6" s="1"/>
  <c r="BH872" i="6" s="1"/>
  <c r="CH880" i="6"/>
  <c r="CI880" i="6" s="1"/>
  <c r="BH880" i="6" s="1"/>
  <c r="CH888" i="6"/>
  <c r="CI888" i="6" s="1"/>
  <c r="BH888" i="6" s="1"/>
  <c r="CH896" i="6"/>
  <c r="CI896" i="6" s="1"/>
  <c r="BH896" i="6" s="1"/>
  <c r="CH904" i="6"/>
  <c r="CI904" i="6" s="1"/>
  <c r="BH904" i="6" s="1"/>
  <c r="CH912" i="6"/>
  <c r="CH920" i="6"/>
  <c r="CI920" i="6" s="1"/>
  <c r="BH920" i="6" s="1"/>
  <c r="CH928" i="6"/>
  <c r="CI928" i="6" s="1"/>
  <c r="BH928" i="6" s="1"/>
  <c r="CH944" i="6"/>
  <c r="CI944" i="6" s="1"/>
  <c r="BH944" i="6" s="1"/>
  <c r="CH952" i="6"/>
  <c r="CI952" i="6" s="1"/>
  <c r="BH952" i="6" s="1"/>
  <c r="CH968" i="6"/>
  <c r="CI968" i="6" s="1"/>
  <c r="BH968" i="6" s="1"/>
  <c r="CH299" i="6"/>
  <c r="CI299" i="6" s="1"/>
  <c r="CH307" i="6"/>
  <c r="CI307" i="6" s="1"/>
  <c r="CH315" i="6"/>
  <c r="CH323" i="6"/>
  <c r="CI323" i="6" s="1"/>
  <c r="CH331" i="6"/>
  <c r="CI331" i="6" s="1"/>
  <c r="CH339" i="6"/>
  <c r="CI339" i="6" s="1"/>
  <c r="CH347" i="6"/>
  <c r="CI347" i="6" s="1"/>
  <c r="CH355" i="6"/>
  <c r="CI355" i="6" s="1"/>
  <c r="CH363" i="6"/>
  <c r="CI363" i="6" s="1"/>
  <c r="CH371" i="6"/>
  <c r="CI371" i="6" s="1"/>
  <c r="CH379" i="6"/>
  <c r="CI379" i="6" s="1"/>
  <c r="CH387" i="6"/>
  <c r="CI387" i="6" s="1"/>
  <c r="CH395" i="6"/>
  <c r="CI395" i="6" s="1"/>
  <c r="CH403" i="6"/>
  <c r="CI403" i="6" s="1"/>
  <c r="CH411" i="6"/>
  <c r="CI411" i="6" s="1"/>
  <c r="CH427" i="6"/>
  <c r="CI427" i="6" s="1"/>
  <c r="CH443" i="6"/>
  <c r="CI443" i="6" s="1"/>
  <c r="CH451" i="6"/>
  <c r="CI451" i="6" s="1"/>
  <c r="CH459" i="6"/>
  <c r="CH467" i="6"/>
  <c r="CI467" i="6" s="1"/>
  <c r="CH475" i="6"/>
  <c r="CI475" i="6" s="1"/>
  <c r="CH483" i="6"/>
  <c r="CI483" i="6" s="1"/>
  <c r="CH491" i="6"/>
  <c r="CI491" i="6" s="1"/>
  <c r="CH499" i="6"/>
  <c r="CI499" i="6" s="1"/>
  <c r="CH513" i="6"/>
  <c r="CI513" i="6" s="1"/>
  <c r="CH521" i="6"/>
  <c r="CI521" i="6" s="1"/>
  <c r="CH529" i="6"/>
  <c r="CH545" i="6"/>
  <c r="CI545" i="6" s="1"/>
  <c r="CH553" i="6"/>
  <c r="CH561" i="6"/>
  <c r="CI561" i="6" s="1"/>
  <c r="CH569" i="6"/>
  <c r="CI569" i="6" s="1"/>
  <c r="CH577" i="6"/>
  <c r="CI577" i="6" s="1"/>
  <c r="CH585" i="6"/>
  <c r="CI585" i="6" s="1"/>
  <c r="CH593" i="6"/>
  <c r="CI593" i="6" s="1"/>
  <c r="CH601" i="6"/>
  <c r="CH609" i="6"/>
  <c r="CI609" i="6" s="1"/>
  <c r="CH617" i="6"/>
  <c r="CI617" i="6" s="1"/>
  <c r="CH657" i="6"/>
  <c r="CI657" i="6" s="1"/>
  <c r="BH657" i="6" s="1"/>
  <c r="CH665" i="6"/>
  <c r="CI665" i="6" s="1"/>
  <c r="BH665" i="6" s="1"/>
  <c r="CH673" i="6"/>
  <c r="CI673" i="6" s="1"/>
  <c r="BH673" i="6" s="1"/>
  <c r="CH681" i="6"/>
  <c r="CI681" i="6" s="1"/>
  <c r="BH681" i="6" s="1"/>
  <c r="CH689" i="6"/>
  <c r="CI689" i="6" s="1"/>
  <c r="BH689" i="6" s="1"/>
  <c r="CH697" i="6"/>
  <c r="CH705" i="6"/>
  <c r="CI705" i="6" s="1"/>
  <c r="BH705" i="6" s="1"/>
  <c r="CH713" i="6"/>
  <c r="CI713" i="6" s="1"/>
  <c r="BH713" i="6" s="1"/>
  <c r="CH721" i="6"/>
  <c r="CI721" i="6" s="1"/>
  <c r="BH721" i="6" s="1"/>
  <c r="CH729" i="6"/>
  <c r="CI729" i="6" s="1"/>
  <c r="BH729" i="6" s="1"/>
  <c r="CH737" i="6"/>
  <c r="CI737" i="6" s="1"/>
  <c r="BH737" i="6" s="1"/>
  <c r="CH745" i="6"/>
  <c r="CI745" i="6" s="1"/>
  <c r="BH745" i="6" s="1"/>
  <c r="CH753" i="6"/>
  <c r="CI753" i="6" s="1"/>
  <c r="BH753" i="6" s="1"/>
  <c r="CH761" i="6"/>
  <c r="CI761" i="6" s="1"/>
  <c r="BH761" i="6" s="1"/>
  <c r="CH769" i="6"/>
  <c r="CI769" i="6" s="1"/>
  <c r="BH769" i="6" s="1"/>
  <c r="CH777" i="6"/>
  <c r="CI777" i="6" s="1"/>
  <c r="BH777" i="6" s="1"/>
  <c r="CH785" i="6"/>
  <c r="CI785" i="6" s="1"/>
  <c r="BH785" i="6" s="1"/>
  <c r="CH793" i="6"/>
  <c r="CI793" i="6" s="1"/>
  <c r="BH793" i="6" s="1"/>
  <c r="CH809" i="6"/>
  <c r="CI809" i="6" s="1"/>
  <c r="BH809" i="6" s="1"/>
  <c r="CH817" i="6"/>
  <c r="CI817" i="6" s="1"/>
  <c r="BH817" i="6" s="1"/>
  <c r="CH825" i="6"/>
  <c r="CI825" i="6" s="1"/>
  <c r="BH825" i="6" s="1"/>
  <c r="CH833" i="6"/>
  <c r="CH841" i="6"/>
  <c r="CI841" i="6" s="1"/>
  <c r="BH841" i="6" s="1"/>
  <c r="CH849" i="6"/>
  <c r="CI849" i="6" s="1"/>
  <c r="BH849" i="6" s="1"/>
  <c r="CH857" i="6"/>
  <c r="CI857" i="6" s="1"/>
  <c r="BH857" i="6" s="1"/>
  <c r="CH865" i="6"/>
  <c r="CI865" i="6" s="1"/>
  <c r="BH865" i="6" s="1"/>
  <c r="CH881" i="6"/>
  <c r="CI881" i="6" s="1"/>
  <c r="BH881" i="6" s="1"/>
  <c r="CH889" i="6"/>
  <c r="CI889" i="6" s="1"/>
  <c r="BH889" i="6" s="1"/>
  <c r="CH897" i="6"/>
  <c r="CI897" i="6" s="1"/>
  <c r="BH897" i="6" s="1"/>
  <c r="CH905" i="6"/>
  <c r="CI905" i="6" s="1"/>
  <c r="BH905" i="6" s="1"/>
  <c r="CH913" i="6"/>
  <c r="CI913" i="6" s="1"/>
  <c r="BH913" i="6" s="1"/>
  <c r="CH921" i="6"/>
  <c r="CI921" i="6" s="1"/>
  <c r="BH921" i="6" s="1"/>
  <c r="CH929" i="6"/>
  <c r="CI929" i="6" s="1"/>
  <c r="BH929" i="6" s="1"/>
  <c r="CH937" i="6"/>
  <c r="CI937" i="6" s="1"/>
  <c r="BH937" i="6" s="1"/>
  <c r="CH945" i="6"/>
  <c r="CI945" i="6" s="1"/>
  <c r="BH945" i="6" s="1"/>
  <c r="CH953" i="6"/>
  <c r="CI953" i="6" s="1"/>
  <c r="BH953" i="6" s="1"/>
  <c r="CH300" i="6"/>
  <c r="CI300" i="6" s="1"/>
  <c r="CH308" i="6"/>
  <c r="CI308" i="6" s="1"/>
  <c r="CH316" i="6"/>
  <c r="CI316" i="6" s="1"/>
  <c r="CH324" i="6"/>
  <c r="CH332" i="6"/>
  <c r="CI332" i="6" s="1"/>
  <c r="CH340" i="6"/>
  <c r="CI340" i="6" s="1"/>
  <c r="CH348" i="6"/>
  <c r="CI348" i="6" s="1"/>
  <c r="CH356" i="6"/>
  <c r="CI356" i="6" s="1"/>
  <c r="CH364" i="6"/>
  <c r="CI364" i="6" s="1"/>
  <c r="CH372" i="6"/>
  <c r="CH380" i="6"/>
  <c r="CI380" i="6" s="1"/>
  <c r="CH388" i="6"/>
  <c r="CI388" i="6" s="1"/>
  <c r="CH396" i="6"/>
  <c r="CI396" i="6" s="1"/>
  <c r="CH404" i="6"/>
  <c r="CI404" i="6" s="1"/>
  <c r="CH428" i="6"/>
  <c r="CI428" i="6" s="1"/>
  <c r="CH444" i="6"/>
  <c r="CI444" i="6" s="1"/>
  <c r="CH452" i="6"/>
  <c r="CI452" i="6" s="1"/>
  <c r="CH460" i="6"/>
  <c r="CH468" i="6"/>
  <c r="CI468" i="6" s="1"/>
  <c r="CH476" i="6"/>
  <c r="CH484" i="6"/>
  <c r="CI484" i="6" s="1"/>
  <c r="CH492" i="6"/>
  <c r="CI492" i="6" s="1"/>
  <c r="CH500" i="6"/>
  <c r="CI500" i="6" s="1"/>
  <c r="CH514" i="6"/>
  <c r="CI514" i="6" s="1"/>
  <c r="CH530" i="6"/>
  <c r="CI530" i="6" s="1"/>
  <c r="CH538" i="6"/>
  <c r="CH546" i="6"/>
  <c r="CI546" i="6" s="1"/>
  <c r="CH554" i="6"/>
  <c r="CI554" i="6" s="1"/>
  <c r="CH562" i="6"/>
  <c r="CI562" i="6" s="1"/>
  <c r="CH570" i="6"/>
  <c r="CI570" i="6" s="1"/>
  <c r="CH578" i="6"/>
  <c r="CI578" i="6" s="1"/>
  <c r="CH586" i="6"/>
  <c r="CI586" i="6" s="1"/>
  <c r="CH594" i="6"/>
  <c r="CI594" i="6" s="1"/>
  <c r="CH602" i="6"/>
  <c r="CH610" i="6"/>
  <c r="CI610" i="6" s="1"/>
  <c r="CH618" i="6"/>
  <c r="CI618" i="6" s="1"/>
  <c r="CH626" i="6"/>
  <c r="CI626" i="6" s="1"/>
  <c r="BH626" i="6" s="1"/>
  <c r="CH650" i="6"/>
  <c r="CI650" i="6" s="1"/>
  <c r="CH666" i="6"/>
  <c r="CI666" i="6" s="1"/>
  <c r="BH666" i="6" s="1"/>
  <c r="CH674" i="6"/>
  <c r="CI674" i="6" s="1"/>
  <c r="BH674" i="6" s="1"/>
  <c r="CH682" i="6"/>
  <c r="CI682" i="6" s="1"/>
  <c r="BH682" i="6" s="1"/>
  <c r="CH690" i="6"/>
  <c r="CI690" i="6" s="1"/>
  <c r="BH690" i="6" s="1"/>
  <c r="CH698" i="6"/>
  <c r="CI698" i="6" s="1"/>
  <c r="BH698" i="6" s="1"/>
  <c r="CH706" i="6"/>
  <c r="CI706" i="6" s="1"/>
  <c r="BH706" i="6" s="1"/>
  <c r="CH714" i="6"/>
  <c r="CI714" i="6" s="1"/>
  <c r="BH714" i="6" s="1"/>
  <c r="CH722" i="6"/>
  <c r="CI722" i="6" s="1"/>
  <c r="BH722" i="6" s="1"/>
  <c r="CH738" i="6"/>
  <c r="CI738" i="6" s="1"/>
  <c r="BH738" i="6" s="1"/>
  <c r="CH746" i="6"/>
  <c r="CI746" i="6" s="1"/>
  <c r="BH746" i="6" s="1"/>
  <c r="CH754" i="6"/>
  <c r="CI754" i="6" s="1"/>
  <c r="BH754" i="6" s="1"/>
  <c r="CH762" i="6"/>
  <c r="CH770" i="6"/>
  <c r="CI770" i="6" s="1"/>
  <c r="BH770" i="6" s="1"/>
  <c r="CH778" i="6"/>
  <c r="CI778" i="6" s="1"/>
  <c r="BH778" i="6" s="1"/>
  <c r="CH786" i="6"/>
  <c r="CI786" i="6" s="1"/>
  <c r="BH786" i="6" s="1"/>
  <c r="CH794" i="6"/>
  <c r="CI794" i="6" s="1"/>
  <c r="BH794" i="6" s="1"/>
  <c r="CH810" i="6"/>
  <c r="CI810" i="6" s="1"/>
  <c r="BH810" i="6" s="1"/>
  <c r="CH818" i="6"/>
  <c r="CI818" i="6" s="1"/>
  <c r="BH818" i="6" s="1"/>
  <c r="CH826" i="6"/>
  <c r="CI826" i="6" s="1"/>
  <c r="BH826" i="6" s="1"/>
  <c r="CH834" i="6"/>
  <c r="CI834" i="6" s="1"/>
  <c r="BH834" i="6" s="1"/>
  <c r="CH842" i="6"/>
  <c r="CI842" i="6" s="1"/>
  <c r="BH842" i="6" s="1"/>
  <c r="CH866" i="6"/>
  <c r="CI866" i="6" s="1"/>
  <c r="BH866" i="6" s="1"/>
  <c r="CH874" i="6"/>
  <c r="CI874" i="6" s="1"/>
  <c r="BH874" i="6" s="1"/>
  <c r="CH882" i="6"/>
  <c r="CI882" i="6" s="1"/>
  <c r="BH882" i="6" s="1"/>
  <c r="CH890" i="6"/>
  <c r="CI890" i="6" s="1"/>
  <c r="BH890" i="6" s="1"/>
  <c r="CH898" i="6"/>
  <c r="CI898" i="6" s="1"/>
  <c r="BH898" i="6" s="1"/>
  <c r="CH906" i="6"/>
  <c r="CI906" i="6" s="1"/>
  <c r="BH906" i="6" s="1"/>
  <c r="CH914" i="6"/>
  <c r="CI914" i="6" s="1"/>
  <c r="BH914" i="6" s="1"/>
  <c r="AR914" i="6" s="1"/>
  <c r="CH922" i="6"/>
  <c r="CI922" i="6" s="1"/>
  <c r="BH922" i="6" s="1"/>
  <c r="CH930" i="6"/>
  <c r="CI930" i="6" s="1"/>
  <c r="BH930" i="6" s="1"/>
  <c r="CH938" i="6"/>
  <c r="CI938" i="6" s="1"/>
  <c r="BH938" i="6" s="1"/>
  <c r="CH946" i="6"/>
  <c r="CI946" i="6" s="1"/>
  <c r="BH946" i="6" s="1"/>
  <c r="CH954" i="6"/>
  <c r="CI954" i="6" s="1"/>
  <c r="BH954" i="6" s="1"/>
  <c r="CH962" i="6"/>
  <c r="CI962" i="6" s="1"/>
  <c r="BH962" i="6" s="1"/>
  <c r="CH301" i="6"/>
  <c r="CI301" i="6" s="1"/>
  <c r="CH309" i="6"/>
  <c r="CI309" i="6" s="1"/>
  <c r="CH317" i="6"/>
  <c r="CI317" i="6" s="1"/>
  <c r="CH325" i="6"/>
  <c r="CI325" i="6" s="1"/>
  <c r="CH333" i="6"/>
  <c r="CI333" i="6" s="1"/>
  <c r="CH341" i="6"/>
  <c r="CI341" i="6" s="1"/>
  <c r="CH349" i="6"/>
  <c r="CI349" i="6" s="1"/>
  <c r="CH357" i="6"/>
  <c r="CI357" i="6" s="1"/>
  <c r="CH365" i="6"/>
  <c r="CI365" i="6" s="1"/>
  <c r="CH373" i="6"/>
  <c r="CI373" i="6" s="1"/>
  <c r="CH381" i="6"/>
  <c r="CI381" i="6" s="1"/>
  <c r="CH389" i="6"/>
  <c r="CI389" i="6" s="1"/>
  <c r="CH397" i="6"/>
  <c r="CI397" i="6" s="1"/>
  <c r="CH405" i="6"/>
  <c r="CI405" i="6" s="1"/>
  <c r="CH413" i="6"/>
  <c r="CI413" i="6" s="1"/>
  <c r="BH413" i="6" s="1"/>
  <c r="CH429" i="6"/>
  <c r="CI429" i="6" s="1"/>
  <c r="CH445" i="6"/>
  <c r="CI445" i="6" s="1"/>
  <c r="CH453" i="6"/>
  <c r="CH461" i="6"/>
  <c r="CI461" i="6" s="1"/>
  <c r="CH469" i="6"/>
  <c r="CI469" i="6" s="1"/>
  <c r="CH477" i="6"/>
  <c r="CI477" i="6" s="1"/>
  <c r="CH485" i="6"/>
  <c r="CI485" i="6" s="1"/>
  <c r="CH493" i="6"/>
  <c r="CI493" i="6" s="1"/>
  <c r="CH507" i="6"/>
  <c r="CI507" i="6" s="1"/>
  <c r="CH515" i="6"/>
  <c r="CI515" i="6" s="1"/>
  <c r="CH523" i="6"/>
  <c r="CI523" i="6" s="1"/>
  <c r="CH539" i="6"/>
  <c r="CI539" i="6" s="1"/>
  <c r="CH547" i="6"/>
  <c r="CI547" i="6" s="1"/>
  <c r="CH555" i="6"/>
  <c r="CI555" i="6" s="1"/>
  <c r="CH563" i="6"/>
  <c r="CI563" i="6" s="1"/>
  <c r="CH571" i="6"/>
  <c r="CI571" i="6" s="1"/>
  <c r="CH579" i="6"/>
  <c r="CI579" i="6" s="1"/>
  <c r="CH587" i="6"/>
  <c r="CI587" i="6" s="1"/>
  <c r="CH595" i="6"/>
  <c r="CI595" i="6" s="1"/>
  <c r="CH603" i="6"/>
  <c r="CI603" i="6" s="1"/>
  <c r="CH611" i="6"/>
  <c r="CI611" i="6" s="1"/>
  <c r="CH619" i="6"/>
  <c r="CI619" i="6" s="1"/>
  <c r="CH627" i="6"/>
  <c r="CI627" i="6" s="1"/>
  <c r="CH659" i="6"/>
  <c r="CI659" i="6" s="1"/>
  <c r="BH659" i="6" s="1"/>
  <c r="CH667" i="6"/>
  <c r="CI667" i="6" s="1"/>
  <c r="BH667" i="6" s="1"/>
  <c r="CH675" i="6"/>
  <c r="CI675" i="6" s="1"/>
  <c r="BH675" i="6" s="1"/>
  <c r="CH683" i="6"/>
  <c r="CH691" i="6"/>
  <c r="CI691" i="6" s="1"/>
  <c r="BH691" i="6" s="1"/>
  <c r="CH699" i="6"/>
  <c r="CH707" i="6"/>
  <c r="CI707" i="6" s="1"/>
  <c r="BH707" i="6" s="1"/>
  <c r="CH715" i="6"/>
  <c r="CI715" i="6" s="1"/>
  <c r="BH715" i="6" s="1"/>
  <c r="CH723" i="6"/>
  <c r="CI723" i="6" s="1"/>
  <c r="BH723" i="6" s="1"/>
  <c r="CH731" i="6"/>
  <c r="CI731" i="6" s="1"/>
  <c r="BH731" i="6" s="1"/>
  <c r="CH739" i="6"/>
  <c r="CI739" i="6" s="1"/>
  <c r="BH739" i="6" s="1"/>
  <c r="CH747" i="6"/>
  <c r="CI747" i="6" s="1"/>
  <c r="BH747" i="6" s="1"/>
  <c r="CH755" i="6"/>
  <c r="CI755" i="6" s="1"/>
  <c r="BH755" i="6" s="1"/>
  <c r="CH763" i="6"/>
  <c r="CH771" i="6"/>
  <c r="CI771" i="6" s="1"/>
  <c r="BH771" i="6" s="1"/>
  <c r="CH779" i="6"/>
  <c r="CI779" i="6" s="1"/>
  <c r="BH779" i="6" s="1"/>
  <c r="CH787" i="6"/>
  <c r="CI787" i="6" s="1"/>
  <c r="BH787" i="6" s="1"/>
  <c r="CH795" i="6"/>
  <c r="CI795" i="6" s="1"/>
  <c r="BH795" i="6" s="1"/>
  <c r="CH803" i="6"/>
  <c r="CI803" i="6" s="1"/>
  <c r="CH811" i="6"/>
  <c r="CI811" i="6" s="1"/>
  <c r="BH811" i="6" s="1"/>
  <c r="CH819" i="6"/>
  <c r="CI819" i="6" s="1"/>
  <c r="BH819" i="6" s="1"/>
  <c r="CH827" i="6"/>
  <c r="CI827" i="6" s="1"/>
  <c r="BH827" i="6" s="1"/>
  <c r="CH835" i="6"/>
  <c r="CI835" i="6" s="1"/>
  <c r="BH835" i="6" s="1"/>
  <c r="CH843" i="6"/>
  <c r="CI843" i="6" s="1"/>
  <c r="BH843" i="6" s="1"/>
  <c r="CH851" i="6"/>
  <c r="CI851" i="6" s="1"/>
  <c r="BH851" i="6" s="1"/>
  <c r="CH859" i="6"/>
  <c r="CI859" i="6" s="1"/>
  <c r="BH859" i="6" s="1"/>
  <c r="CH867" i="6"/>
  <c r="CI867" i="6" s="1"/>
  <c r="BH867" i="6" s="1"/>
  <c r="CH875" i="6"/>
  <c r="CI875" i="6" s="1"/>
  <c r="BH875" i="6" s="1"/>
  <c r="CH883" i="6"/>
  <c r="CI883" i="6" s="1"/>
  <c r="BH883" i="6" s="1"/>
  <c r="CH899" i="6"/>
  <c r="CI899" i="6" s="1"/>
  <c r="BH899" i="6" s="1"/>
  <c r="CH907" i="6"/>
  <c r="CI907" i="6" s="1"/>
  <c r="BH907" i="6" s="1"/>
  <c r="CH923" i="6"/>
  <c r="CI923" i="6" s="1"/>
  <c r="BH923" i="6" s="1"/>
  <c r="CH931" i="6"/>
  <c r="CI931" i="6" s="1"/>
  <c r="BH931" i="6" s="1"/>
  <c r="CH939" i="6"/>
  <c r="CI939" i="6" s="1"/>
  <c r="BH939" i="6" s="1"/>
  <c r="CH947" i="6"/>
  <c r="CI947" i="6" s="1"/>
  <c r="BH947" i="6" s="1"/>
  <c r="CH955" i="6"/>
  <c r="CI955" i="6" s="1"/>
  <c r="BH955" i="6" s="1"/>
  <c r="CH971" i="6"/>
  <c r="CI971" i="6" s="1"/>
  <c r="BH971" i="6" s="1"/>
  <c r="CH302" i="6"/>
  <c r="CI302" i="6" s="1"/>
  <c r="CH310" i="6"/>
  <c r="CI310" i="6" s="1"/>
  <c r="CH318" i="6"/>
  <c r="CI318" i="6" s="1"/>
  <c r="CH326" i="6"/>
  <c r="CI326" i="6" s="1"/>
  <c r="CH334" i="6"/>
  <c r="CI334" i="6" s="1"/>
  <c r="CH342" i="6"/>
  <c r="CI342" i="6" s="1"/>
  <c r="CH350" i="6"/>
  <c r="CI350" i="6" s="1"/>
  <c r="CH358" i="6"/>
  <c r="CI358" i="6" s="1"/>
  <c r="CH366" i="6"/>
  <c r="CI366" i="6" s="1"/>
  <c r="CH374" i="6"/>
  <c r="CI374" i="6" s="1"/>
  <c r="CH382" i="6"/>
  <c r="CI382" i="6" s="1"/>
  <c r="CH390" i="6"/>
  <c r="CI390" i="6" s="1"/>
  <c r="CH398" i="6"/>
  <c r="CI398" i="6" s="1"/>
  <c r="CH406" i="6"/>
  <c r="CI406" i="6" s="1"/>
  <c r="CH414" i="6"/>
  <c r="CI414" i="6" s="1"/>
  <c r="BH414" i="6" s="1"/>
  <c r="CH422" i="6"/>
  <c r="CI422" i="6" s="1"/>
  <c r="CH446" i="6"/>
  <c r="CI446" i="6" s="1"/>
  <c r="CH454" i="6"/>
  <c r="CI454" i="6" s="1"/>
  <c r="CH462" i="6"/>
  <c r="CI462" i="6" s="1"/>
  <c r="CH470" i="6"/>
  <c r="CI470" i="6" s="1"/>
  <c r="CH478" i="6"/>
  <c r="CI478" i="6" s="1"/>
  <c r="CH486" i="6"/>
  <c r="CI486" i="6" s="1"/>
  <c r="CH494" i="6"/>
  <c r="CH508" i="6"/>
  <c r="CI508" i="6" s="1"/>
  <c r="CH516" i="6"/>
  <c r="CI516" i="6" s="1"/>
  <c r="CH524" i="6"/>
  <c r="CI524" i="6" s="1"/>
  <c r="CH540" i="6"/>
  <c r="CI540" i="6" s="1"/>
  <c r="CH548" i="6"/>
  <c r="CI548" i="6" s="1"/>
  <c r="CH556" i="6"/>
  <c r="CI556" i="6" s="1"/>
  <c r="CH564" i="6"/>
  <c r="CI564" i="6" s="1"/>
  <c r="CH572" i="6"/>
  <c r="CH588" i="6"/>
  <c r="CI588" i="6" s="1"/>
  <c r="CH596" i="6"/>
  <c r="CI596" i="6" s="1"/>
  <c r="CH612" i="6"/>
  <c r="CI612" i="6" s="1"/>
  <c r="CH620" i="6"/>
  <c r="CI620" i="6" s="1"/>
  <c r="CH628" i="6"/>
  <c r="CI628" i="6" s="1"/>
  <c r="CH644" i="6"/>
  <c r="CI644" i="6" s="1"/>
  <c r="CH668" i="6"/>
  <c r="CI668" i="6" s="1"/>
  <c r="BH668" i="6" s="1"/>
  <c r="CH676" i="6"/>
  <c r="CI676" i="6" s="1"/>
  <c r="BH676" i="6" s="1"/>
  <c r="CH684" i="6"/>
  <c r="CI684" i="6" s="1"/>
  <c r="BH684" i="6" s="1"/>
  <c r="CH692" i="6"/>
  <c r="CI692" i="6" s="1"/>
  <c r="BH692" i="6" s="1"/>
  <c r="CH700" i="6"/>
  <c r="CI700" i="6" s="1"/>
  <c r="BH700" i="6" s="1"/>
  <c r="CH708" i="6"/>
  <c r="CI708" i="6" s="1"/>
  <c r="BH708" i="6" s="1"/>
  <c r="CH716" i="6"/>
  <c r="CI716" i="6" s="1"/>
  <c r="BH716" i="6" s="1"/>
  <c r="CH740" i="6"/>
  <c r="CI740" i="6" s="1"/>
  <c r="BH740" i="6" s="1"/>
  <c r="CH748" i="6"/>
  <c r="CI748" i="6" s="1"/>
  <c r="BH748" i="6" s="1"/>
  <c r="CH756" i="6"/>
  <c r="CI756" i="6" s="1"/>
  <c r="BH756" i="6" s="1"/>
  <c r="CH764" i="6"/>
  <c r="CI764" i="6" s="1"/>
  <c r="BH764" i="6" s="1"/>
  <c r="CH772" i="6"/>
  <c r="CI772" i="6" s="1"/>
  <c r="BH772" i="6" s="1"/>
  <c r="CH780" i="6"/>
  <c r="CI780" i="6" s="1"/>
  <c r="BH780" i="6" s="1"/>
  <c r="CH788" i="6"/>
  <c r="CI788" i="6" s="1"/>
  <c r="BH788" i="6" s="1"/>
  <c r="CH796" i="6"/>
  <c r="CI796" i="6" s="1"/>
  <c r="BH796" i="6" s="1"/>
  <c r="CH812" i="6"/>
  <c r="CI812" i="6" s="1"/>
  <c r="BH812" i="6" s="1"/>
  <c r="CH820" i="6"/>
  <c r="CI820" i="6" s="1"/>
  <c r="BH820" i="6" s="1"/>
  <c r="CH828" i="6"/>
  <c r="CI828" i="6" s="1"/>
  <c r="BH828" i="6" s="1"/>
  <c r="CH836" i="6"/>
  <c r="CI836" i="6" s="1"/>
  <c r="BH836" i="6" s="1"/>
  <c r="CH844" i="6"/>
  <c r="CI844" i="6" s="1"/>
  <c r="BH844" i="6" s="1"/>
  <c r="CH852" i="6"/>
  <c r="CI852" i="6" s="1"/>
  <c r="BH852" i="6" s="1"/>
  <c r="CH860" i="6"/>
  <c r="CI860" i="6" s="1"/>
  <c r="BH860" i="6" s="1"/>
  <c r="CH868" i="6"/>
  <c r="CI868" i="6" s="1"/>
  <c r="BH868" i="6" s="1"/>
  <c r="CH876" i="6"/>
  <c r="CI876" i="6" s="1"/>
  <c r="BH876" i="6" s="1"/>
  <c r="CH884" i="6"/>
  <c r="CI884" i="6" s="1"/>
  <c r="BH884" i="6" s="1"/>
  <c r="CH900" i="6"/>
  <c r="CI900" i="6" s="1"/>
  <c r="BH900" i="6" s="1"/>
  <c r="CH908" i="6"/>
  <c r="CI908" i="6" s="1"/>
  <c r="BH908" i="6" s="1"/>
  <c r="CH924" i="6"/>
  <c r="CI924" i="6" s="1"/>
  <c r="BH924" i="6" s="1"/>
  <c r="CH932" i="6"/>
  <c r="CI932" i="6" s="1"/>
  <c r="BH932" i="6" s="1"/>
  <c r="CH940" i="6"/>
  <c r="CI940" i="6" s="1"/>
  <c r="BH940" i="6" s="1"/>
  <c r="CH948" i="6"/>
  <c r="CI948" i="6" s="1"/>
  <c r="BH948" i="6" s="1"/>
  <c r="CH956" i="6"/>
  <c r="CI956" i="6" s="1"/>
  <c r="BH956" i="6" s="1"/>
  <c r="CH980" i="6"/>
  <c r="CI980" i="6" s="1"/>
  <c r="BH980" i="6" s="1"/>
  <c r="CH303" i="6"/>
  <c r="CI303" i="6" s="1"/>
  <c r="CH311" i="6"/>
  <c r="CI311" i="6" s="1"/>
  <c r="CH319" i="6"/>
  <c r="CH327" i="6"/>
  <c r="CI327" i="6" s="1"/>
  <c r="CH335" i="6"/>
  <c r="CI335" i="6" s="1"/>
  <c r="CH343" i="6"/>
  <c r="CI343" i="6" s="1"/>
  <c r="CH351" i="6"/>
  <c r="CI351" i="6" s="1"/>
  <c r="CH359" i="6"/>
  <c r="CI359" i="6" s="1"/>
  <c r="CH367" i="6"/>
  <c r="CI367" i="6" s="1"/>
  <c r="CH375" i="6"/>
  <c r="CI375" i="6" s="1"/>
  <c r="CH383" i="6"/>
  <c r="CI383" i="6" s="1"/>
  <c r="CH391" i="6"/>
  <c r="CI391" i="6" s="1"/>
  <c r="CH399" i="6"/>
  <c r="CI399" i="6" s="1"/>
  <c r="CH407" i="6"/>
  <c r="CI407" i="6" s="1"/>
  <c r="CH415" i="6"/>
  <c r="CI415" i="6" s="1"/>
  <c r="BH415" i="6" s="1"/>
  <c r="CH423" i="6"/>
  <c r="CI423" i="6" s="1"/>
  <c r="CH431" i="6"/>
  <c r="CI431" i="6" s="1"/>
  <c r="CH447" i="6"/>
  <c r="CI447" i="6" s="1"/>
  <c r="CH455" i="6"/>
  <c r="CI455" i="6" s="1"/>
  <c r="CH463" i="6"/>
  <c r="CI463" i="6" s="1"/>
  <c r="CH471" i="6"/>
  <c r="CI471" i="6" s="1"/>
  <c r="CH479" i="6"/>
  <c r="CI479" i="6" s="1"/>
  <c r="CH487" i="6"/>
  <c r="CI487" i="6" s="1"/>
  <c r="CH495" i="6"/>
  <c r="CI495" i="6" s="1"/>
  <c r="CH509" i="6"/>
  <c r="CI509" i="6" s="1"/>
  <c r="CH517" i="6"/>
  <c r="CI517" i="6" s="1"/>
  <c r="CH525" i="6"/>
  <c r="CI525" i="6" s="1"/>
  <c r="CH533" i="6"/>
  <c r="CI533" i="6" s="1"/>
  <c r="BH533" i="6" s="1"/>
  <c r="CH541" i="6"/>
  <c r="CI541" i="6" s="1"/>
  <c r="CH549" i="6"/>
  <c r="CI549" i="6" s="1"/>
  <c r="CH557" i="6"/>
  <c r="CI557" i="6" s="1"/>
  <c r="CH565" i="6"/>
  <c r="CI565" i="6" s="1"/>
  <c r="CH573" i="6"/>
  <c r="CI573" i="6" s="1"/>
  <c r="CH581" i="6"/>
  <c r="CI581" i="6" s="1"/>
  <c r="CH589" i="6"/>
  <c r="CI589" i="6" s="1"/>
  <c r="CH597" i="6"/>
  <c r="CI597" i="6" s="1"/>
  <c r="CH605" i="6"/>
  <c r="CI605" i="6" s="1"/>
  <c r="CH613" i="6"/>
  <c r="CI613" i="6" s="1"/>
  <c r="CH629" i="6"/>
  <c r="CI629" i="6" s="1"/>
  <c r="CH661" i="6"/>
  <c r="CI661" i="6" s="1"/>
  <c r="BH661" i="6" s="1"/>
  <c r="CH669" i="6"/>
  <c r="CI669" i="6" s="1"/>
  <c r="BH669" i="6" s="1"/>
  <c r="CH677" i="6"/>
  <c r="CI677" i="6" s="1"/>
  <c r="BH677" i="6" s="1"/>
  <c r="CH685" i="6"/>
  <c r="CH693" i="6"/>
  <c r="CI693" i="6" s="1"/>
  <c r="BH693" i="6" s="1"/>
  <c r="CH701" i="6"/>
  <c r="CI701" i="6" s="1"/>
  <c r="BH701" i="6" s="1"/>
  <c r="CH709" i="6"/>
  <c r="CI709" i="6" s="1"/>
  <c r="BH709" i="6" s="1"/>
  <c r="CH717" i="6"/>
  <c r="CI717" i="6" s="1"/>
  <c r="BH717" i="6" s="1"/>
  <c r="CH725" i="6"/>
  <c r="CI725" i="6" s="1"/>
  <c r="BH725" i="6" s="1"/>
  <c r="CH733" i="6"/>
  <c r="CI733" i="6" s="1"/>
  <c r="BH733" i="6" s="1"/>
  <c r="CH741" i="6"/>
  <c r="CI741" i="6" s="1"/>
  <c r="BH741" i="6" s="1"/>
  <c r="CH749" i="6"/>
  <c r="CI749" i="6" s="1"/>
  <c r="BH749" i="6" s="1"/>
  <c r="CH757" i="6"/>
  <c r="CI757" i="6" s="1"/>
  <c r="BH757" i="6" s="1"/>
  <c r="CH765" i="6"/>
  <c r="CI765" i="6" s="1"/>
  <c r="BH765" i="6" s="1"/>
  <c r="CH773" i="6"/>
  <c r="CI773" i="6" s="1"/>
  <c r="BH773" i="6" s="1"/>
  <c r="CH781" i="6"/>
  <c r="CI781" i="6" s="1"/>
  <c r="BH781" i="6" s="1"/>
  <c r="CH789" i="6"/>
  <c r="CI789" i="6" s="1"/>
  <c r="BH789" i="6" s="1"/>
  <c r="CH797" i="6"/>
  <c r="CI797" i="6" s="1"/>
  <c r="BH797" i="6" s="1"/>
  <c r="CH813" i="6"/>
  <c r="CI813" i="6" s="1"/>
  <c r="BH813" i="6" s="1"/>
  <c r="CH821" i="6"/>
  <c r="CI821" i="6" s="1"/>
  <c r="BH821" i="6" s="1"/>
  <c r="CH829" i="6"/>
  <c r="CI829" i="6" s="1"/>
  <c r="BH829" i="6" s="1"/>
  <c r="CH837" i="6"/>
  <c r="CI837" i="6" s="1"/>
  <c r="BH837" i="6" s="1"/>
  <c r="CH845" i="6"/>
  <c r="CI845" i="6" s="1"/>
  <c r="BH845" i="6" s="1"/>
  <c r="CH853" i="6"/>
  <c r="CI853" i="6" s="1"/>
  <c r="BH853" i="6" s="1"/>
  <c r="CH861" i="6"/>
  <c r="CI861" i="6" s="1"/>
  <c r="BH861" i="6" s="1"/>
  <c r="CH869" i="6"/>
  <c r="CI869" i="6" s="1"/>
  <c r="BH869" i="6" s="1"/>
  <c r="CH877" i="6"/>
  <c r="CI877" i="6" s="1"/>
  <c r="BH877" i="6" s="1"/>
  <c r="CH885" i="6"/>
  <c r="CI885" i="6" s="1"/>
  <c r="BH885" i="6" s="1"/>
  <c r="CH893" i="6"/>
  <c r="CI893" i="6" s="1"/>
  <c r="BH893" i="6" s="1"/>
  <c r="CH901" i="6"/>
  <c r="CI901" i="6" s="1"/>
  <c r="BH901" i="6" s="1"/>
  <c r="CH909" i="6"/>
  <c r="CI909" i="6" s="1"/>
  <c r="BH909" i="6" s="1"/>
  <c r="CH917" i="6"/>
  <c r="CI917" i="6" s="1"/>
  <c r="BH917" i="6" s="1"/>
  <c r="CH925" i="6"/>
  <c r="CI925" i="6" s="1"/>
  <c r="BH925" i="6" s="1"/>
  <c r="CH933" i="6"/>
  <c r="CI933" i="6" s="1"/>
  <c r="BH933" i="6" s="1"/>
  <c r="CH941" i="6"/>
  <c r="CI941" i="6" s="1"/>
  <c r="BH941" i="6" s="1"/>
  <c r="CH949" i="6"/>
  <c r="CI949" i="6" s="1"/>
  <c r="BH949" i="6" s="1"/>
  <c r="CH957" i="6"/>
  <c r="CI957" i="6" s="1"/>
  <c r="BH957" i="6" s="1"/>
  <c r="CH965" i="6"/>
  <c r="CI965" i="6" s="1"/>
  <c r="BH965" i="6" s="1"/>
  <c r="CH304" i="6"/>
  <c r="CI304" i="6" s="1"/>
  <c r="CH312" i="6"/>
  <c r="CI312" i="6" s="1"/>
  <c r="CH320" i="6"/>
  <c r="CI320" i="6" s="1"/>
  <c r="CH328" i="6"/>
  <c r="CI328" i="6" s="1"/>
  <c r="CH336" i="6"/>
  <c r="CI336" i="6" s="1"/>
  <c r="CH344" i="6"/>
  <c r="CI344" i="6" s="1"/>
  <c r="CH352" i="6"/>
  <c r="CI352" i="6" s="1"/>
  <c r="CH360" i="6"/>
  <c r="CI360" i="6" s="1"/>
  <c r="CH368" i="6"/>
  <c r="CI368" i="6" s="1"/>
  <c r="CH376" i="6"/>
  <c r="CI376" i="6" s="1"/>
  <c r="CH384" i="6"/>
  <c r="CI384" i="6" s="1"/>
  <c r="CH392" i="6"/>
  <c r="CI392" i="6" s="1"/>
  <c r="CH400" i="6"/>
  <c r="CI400" i="6" s="1"/>
  <c r="CH408" i="6"/>
  <c r="CI408" i="6" s="1"/>
  <c r="CH416" i="6"/>
  <c r="CI416" i="6" s="1"/>
  <c r="BH416" i="6" s="1"/>
  <c r="CH440" i="6"/>
  <c r="CI440" i="6" s="1"/>
  <c r="CH448" i="6"/>
  <c r="CI448" i="6" s="1"/>
  <c r="CH456" i="6"/>
  <c r="CI456" i="6" s="1"/>
  <c r="CH464" i="6"/>
  <c r="CI464" i="6" s="1"/>
  <c r="CH472" i="6"/>
  <c r="CI472" i="6" s="1"/>
  <c r="CH480" i="6"/>
  <c r="CI480" i="6" s="1"/>
  <c r="CH488" i="6"/>
  <c r="CI488" i="6" s="1"/>
  <c r="CH496" i="6"/>
  <c r="CI496" i="6" s="1"/>
  <c r="CH510" i="6"/>
  <c r="CI510" i="6" s="1"/>
  <c r="CH518" i="6"/>
  <c r="CI518" i="6" s="1"/>
  <c r="CH526" i="6"/>
  <c r="CI526" i="6" s="1"/>
  <c r="CH542" i="6"/>
  <c r="CI542" i="6" s="1"/>
  <c r="CH550" i="6"/>
  <c r="CI550" i="6" s="1"/>
  <c r="CH558" i="6"/>
  <c r="CI558" i="6" s="1"/>
  <c r="CH566" i="6"/>
  <c r="CI566" i="6" s="1"/>
  <c r="CH574" i="6"/>
  <c r="CI574" i="6" s="1"/>
  <c r="CH590" i="6"/>
  <c r="CI590" i="6" s="1"/>
  <c r="CH598" i="6"/>
  <c r="CI598" i="6" s="1"/>
  <c r="CH614" i="6"/>
  <c r="CI614" i="6" s="1"/>
  <c r="CH630" i="6"/>
  <c r="CI630" i="6" s="1"/>
  <c r="CH638" i="6"/>
  <c r="CI638" i="6" s="1"/>
  <c r="CH662" i="6"/>
  <c r="CI662" i="6" s="1"/>
  <c r="BH662" i="6" s="1"/>
  <c r="CH670" i="6"/>
  <c r="CI670" i="6" s="1"/>
  <c r="BH670" i="6" s="1"/>
  <c r="CH678" i="6"/>
  <c r="CI678" i="6" s="1"/>
  <c r="BH678" i="6" s="1"/>
  <c r="CH686" i="6"/>
  <c r="CI686" i="6" s="1"/>
  <c r="BH686" i="6" s="1"/>
  <c r="CH694" i="6"/>
  <c r="CI694" i="6" s="1"/>
  <c r="BH694" i="6" s="1"/>
  <c r="CH702" i="6"/>
  <c r="CI702" i="6" s="1"/>
  <c r="BH702" i="6" s="1"/>
  <c r="CH710" i="6"/>
  <c r="CI710" i="6" s="1"/>
  <c r="BH710" i="6" s="1"/>
  <c r="CH718" i="6"/>
  <c r="CI718" i="6" s="1"/>
  <c r="BH718" i="6" s="1"/>
  <c r="CH734" i="6"/>
  <c r="CI734" i="6" s="1"/>
  <c r="BH734" i="6" s="1"/>
  <c r="CH742" i="6"/>
  <c r="CI742" i="6" s="1"/>
  <c r="BH742" i="6" s="1"/>
  <c r="CH750" i="6"/>
  <c r="CI750" i="6" s="1"/>
  <c r="BH750" i="6" s="1"/>
  <c r="CH758" i="6"/>
  <c r="CI758" i="6" s="1"/>
  <c r="BH758" i="6" s="1"/>
  <c r="CH766" i="6"/>
  <c r="CI766" i="6" s="1"/>
  <c r="BH766" i="6" s="1"/>
  <c r="CH774" i="6"/>
  <c r="CI774" i="6" s="1"/>
  <c r="BH774" i="6" s="1"/>
  <c r="CH782" i="6"/>
  <c r="CI782" i="6" s="1"/>
  <c r="BH782" i="6" s="1"/>
  <c r="CH790" i="6"/>
  <c r="CI790" i="6" s="1"/>
  <c r="BH790" i="6" s="1"/>
  <c r="CH798" i="6"/>
  <c r="CI798" i="6" s="1"/>
  <c r="BH798" i="6" s="1"/>
  <c r="CH806" i="6"/>
  <c r="CI806" i="6" s="1"/>
  <c r="CH814" i="6"/>
  <c r="CI814" i="6" s="1"/>
  <c r="BH814" i="6" s="1"/>
  <c r="CH822" i="6"/>
  <c r="CI822" i="6" s="1"/>
  <c r="BH822" i="6" s="1"/>
  <c r="CH830" i="6"/>
  <c r="CI830" i="6" s="1"/>
  <c r="BH830" i="6" s="1"/>
  <c r="CH838" i="6"/>
  <c r="CI838" i="6" s="1"/>
  <c r="BH838" i="6" s="1"/>
  <c r="CH846" i="6"/>
  <c r="CI846" i="6" s="1"/>
  <c r="BH846" i="6" s="1"/>
  <c r="CH854" i="6"/>
  <c r="CI854" i="6" s="1"/>
  <c r="BH854" i="6" s="1"/>
  <c r="CH862" i="6"/>
  <c r="CI862" i="6" s="1"/>
  <c r="BH862" i="6" s="1"/>
  <c r="CH878" i="6"/>
  <c r="CI878" i="6" s="1"/>
  <c r="BH878" i="6" s="1"/>
  <c r="CH886" i="6"/>
  <c r="CI886" i="6" s="1"/>
  <c r="BH886" i="6" s="1"/>
  <c r="CH894" i="6"/>
  <c r="CI894" i="6" s="1"/>
  <c r="BH894" i="6" s="1"/>
  <c r="CH902" i="6"/>
  <c r="CI902" i="6" s="1"/>
  <c r="BH902" i="6" s="1"/>
  <c r="CH910" i="6"/>
  <c r="CI910" i="6" s="1"/>
  <c r="BH910" i="6" s="1"/>
  <c r="CH918" i="6"/>
  <c r="CI918" i="6" s="1"/>
  <c r="BH918" i="6" s="1"/>
  <c r="CH926" i="6"/>
  <c r="CI926" i="6" s="1"/>
  <c r="BH926" i="6" s="1"/>
  <c r="CH934" i="6"/>
  <c r="CI934" i="6" s="1"/>
  <c r="BH934" i="6" s="1"/>
  <c r="CH942" i="6"/>
  <c r="CI942" i="6" s="1"/>
  <c r="BH942" i="6" s="1"/>
  <c r="CH950" i="6"/>
  <c r="CI950" i="6" s="1"/>
  <c r="BH950" i="6" s="1"/>
  <c r="CH974" i="6"/>
  <c r="CI974" i="6" s="1"/>
  <c r="BH974" i="6" s="1"/>
  <c r="CH982" i="6"/>
  <c r="CI982" i="6" s="1"/>
  <c r="BH982" i="6" s="1"/>
  <c r="CH305" i="6"/>
  <c r="CI305" i="6" s="1"/>
  <c r="CH369" i="6"/>
  <c r="CI369" i="6" s="1"/>
  <c r="CH433" i="6"/>
  <c r="CI433" i="6" s="1"/>
  <c r="CH695" i="6"/>
  <c r="CI695" i="6" s="1"/>
  <c r="BH695" i="6" s="1"/>
  <c r="CH951" i="6"/>
  <c r="CI951" i="6" s="1"/>
  <c r="BH951" i="6" s="1"/>
  <c r="CH313" i="6"/>
  <c r="CI313" i="6" s="1"/>
  <c r="CH377" i="6"/>
  <c r="CI377" i="6" s="1"/>
  <c r="CH441" i="6"/>
  <c r="CI441" i="6" s="1"/>
  <c r="CH511" i="6"/>
  <c r="CI511" i="6" s="1"/>
  <c r="CH575" i="6"/>
  <c r="CI575" i="6" s="1"/>
  <c r="CH703" i="6"/>
  <c r="CI703" i="6" s="1"/>
  <c r="BH703" i="6" s="1"/>
  <c r="CH767" i="6"/>
  <c r="CI767" i="6" s="1"/>
  <c r="BH767" i="6" s="1"/>
  <c r="CH831" i="6"/>
  <c r="CI831" i="6" s="1"/>
  <c r="BH831" i="6" s="1"/>
  <c r="CH959" i="6"/>
  <c r="CI959" i="6" s="1"/>
  <c r="BH959" i="6" s="1"/>
  <c r="CH983" i="6"/>
  <c r="CI983" i="6" s="1"/>
  <c r="BH983" i="6" s="1"/>
  <c r="CH999" i="6"/>
  <c r="CI999" i="6" s="1"/>
  <c r="BH999" i="6" s="1"/>
  <c r="CH1007" i="6"/>
  <c r="CI1007" i="6" s="1"/>
  <c r="BH1007" i="6" s="1"/>
  <c r="CH984" i="6"/>
  <c r="CI984" i="6" s="1"/>
  <c r="BH984" i="6" s="1"/>
  <c r="CH1008" i="6"/>
  <c r="CI1008" i="6" s="1"/>
  <c r="BH1008" i="6" s="1"/>
  <c r="CH329" i="6"/>
  <c r="CI329" i="6" s="1"/>
  <c r="CH457" i="6"/>
  <c r="CI457" i="6" s="1"/>
  <c r="CH591" i="6"/>
  <c r="CI591" i="6" s="1"/>
  <c r="CH719" i="6"/>
  <c r="CI719" i="6" s="1"/>
  <c r="BH719" i="6" s="1"/>
  <c r="CH847" i="6"/>
  <c r="CI847" i="6" s="1"/>
  <c r="BH847" i="6" s="1"/>
  <c r="CH973" i="6"/>
  <c r="CI973" i="6" s="1"/>
  <c r="BH973" i="6" s="1"/>
  <c r="CH993" i="6"/>
  <c r="CI993" i="6" s="1"/>
  <c r="BH993" i="6" s="1"/>
  <c r="CH1009" i="6"/>
  <c r="CI1009" i="6" s="1"/>
  <c r="BH1009" i="6" s="1"/>
  <c r="CH401" i="6"/>
  <c r="CI401" i="6" s="1"/>
  <c r="CH663" i="6"/>
  <c r="CI663" i="6" s="1"/>
  <c r="BH663" i="6" s="1"/>
  <c r="CH791" i="6"/>
  <c r="CI791" i="6" s="1"/>
  <c r="BH791" i="6" s="1"/>
  <c r="CH919" i="6"/>
  <c r="CI919" i="6" s="1"/>
  <c r="BH919" i="6" s="1"/>
  <c r="CH986" i="6"/>
  <c r="CI986" i="6" s="1"/>
  <c r="BH986" i="6" s="1"/>
  <c r="CH1002" i="6"/>
  <c r="CI1002" i="6" s="1"/>
  <c r="BH1002" i="6" s="1"/>
  <c r="CH425" i="6"/>
  <c r="CI425" i="6" s="1"/>
  <c r="CH751" i="6"/>
  <c r="CI751" i="6" s="1"/>
  <c r="BH751" i="6" s="1"/>
  <c r="CH989" i="6"/>
  <c r="CI989" i="6" s="1"/>
  <c r="BH989" i="6" s="1"/>
  <c r="CH1005" i="6"/>
  <c r="CI1005" i="6" s="1"/>
  <c r="BH1005" i="6" s="1"/>
  <c r="CH631" i="6"/>
  <c r="CI631" i="6" s="1"/>
  <c r="CH823" i="6"/>
  <c r="CI823" i="6" s="1"/>
  <c r="BH823" i="6" s="1"/>
  <c r="CH998" i="6"/>
  <c r="CI998" i="6" s="1"/>
  <c r="BH998" i="6" s="1"/>
  <c r="CH321" i="6"/>
  <c r="CI321" i="6" s="1"/>
  <c r="CH385" i="6"/>
  <c r="CI385" i="6" s="1"/>
  <c r="CH449" i="6"/>
  <c r="CI449" i="6" s="1"/>
  <c r="CH519" i="6"/>
  <c r="CI519" i="6" s="1"/>
  <c r="CH711" i="6"/>
  <c r="CI711" i="6" s="1"/>
  <c r="BH711" i="6" s="1"/>
  <c r="CH775" i="6"/>
  <c r="CI775" i="6" s="1"/>
  <c r="BH775" i="6" s="1"/>
  <c r="CH839" i="6"/>
  <c r="CI839" i="6" s="1"/>
  <c r="BH839" i="6" s="1"/>
  <c r="CH903" i="6"/>
  <c r="CI903" i="6" s="1"/>
  <c r="BH903" i="6" s="1"/>
  <c r="CH992" i="6"/>
  <c r="CI992" i="6" s="1"/>
  <c r="BH992" i="6" s="1"/>
  <c r="CH1000" i="6"/>
  <c r="CI1000" i="6" s="1"/>
  <c r="BH1000" i="6" s="1"/>
  <c r="CH393" i="6"/>
  <c r="CI393" i="6" s="1"/>
  <c r="CH527" i="6"/>
  <c r="CI527" i="6" s="1"/>
  <c r="CH783" i="6"/>
  <c r="CI783" i="6" s="1"/>
  <c r="BH783" i="6" s="1"/>
  <c r="CH911" i="6"/>
  <c r="CI911" i="6" s="1"/>
  <c r="BH911" i="6" s="1"/>
  <c r="AR911" i="6" s="1"/>
  <c r="CH985" i="6"/>
  <c r="CI985" i="6" s="1"/>
  <c r="BH985" i="6" s="1"/>
  <c r="CH1001" i="6"/>
  <c r="CI1001" i="6" s="1"/>
  <c r="BH1001" i="6" s="1"/>
  <c r="CH337" i="6"/>
  <c r="CI337" i="6" s="1"/>
  <c r="CH465" i="6"/>
  <c r="CI465" i="6" s="1"/>
  <c r="CH599" i="6"/>
  <c r="CI599" i="6" s="1"/>
  <c r="CH855" i="6"/>
  <c r="CI855" i="6" s="1"/>
  <c r="BH855" i="6" s="1"/>
  <c r="CH994" i="6"/>
  <c r="CI994" i="6" s="1"/>
  <c r="BH994" i="6" s="1"/>
  <c r="CH489" i="6"/>
  <c r="CI489" i="6" s="1"/>
  <c r="CH687" i="6"/>
  <c r="CI687" i="6" s="1"/>
  <c r="BH687" i="6" s="1"/>
  <c r="CH879" i="6"/>
  <c r="CI879" i="6" s="1"/>
  <c r="BH879" i="6" s="1"/>
  <c r="CH997" i="6"/>
  <c r="CI997" i="6" s="1"/>
  <c r="BH997" i="6" s="1"/>
  <c r="CH567" i="6"/>
  <c r="CI567" i="6" s="1"/>
  <c r="CH887" i="6"/>
  <c r="CI887" i="6" s="1"/>
  <c r="BH887" i="6" s="1"/>
  <c r="CH1006" i="6"/>
  <c r="CI1006" i="6" s="1"/>
  <c r="BH1006" i="6" s="1"/>
  <c r="CH1010" i="6"/>
  <c r="CI1010" i="6" s="1"/>
  <c r="BH1010" i="6" s="1"/>
  <c r="CH943" i="6"/>
  <c r="CI943" i="6" s="1"/>
  <c r="BH943" i="6" s="1"/>
  <c r="CH981" i="6"/>
  <c r="CI981" i="6" s="1"/>
  <c r="BH981" i="6" s="1"/>
  <c r="CH345" i="6"/>
  <c r="CI345" i="6" s="1"/>
  <c r="CH409" i="6"/>
  <c r="CI409" i="6" s="1"/>
  <c r="CH473" i="6"/>
  <c r="CI473" i="6" s="1"/>
  <c r="CH543" i="6"/>
  <c r="CH607" i="6"/>
  <c r="CI607" i="6" s="1"/>
  <c r="CH671" i="6"/>
  <c r="CI671" i="6" s="1"/>
  <c r="BH671" i="6" s="1"/>
  <c r="CH735" i="6"/>
  <c r="CI735" i="6" s="1"/>
  <c r="BH735" i="6" s="1"/>
  <c r="CH799" i="6"/>
  <c r="CI799" i="6" s="1"/>
  <c r="BH799" i="6" s="1"/>
  <c r="CH863" i="6"/>
  <c r="CI863" i="6" s="1"/>
  <c r="BH863" i="6" s="1"/>
  <c r="CH927" i="6"/>
  <c r="CI927" i="6" s="1"/>
  <c r="BH927" i="6" s="1"/>
  <c r="CH995" i="6"/>
  <c r="CI995" i="6" s="1"/>
  <c r="BH995" i="6" s="1"/>
  <c r="CH1003" i="6"/>
  <c r="CI1003" i="6" s="1"/>
  <c r="BH1003" i="6" s="1"/>
  <c r="CH297" i="6"/>
  <c r="CI297" i="6" s="1"/>
  <c r="CH353" i="6"/>
  <c r="CI353" i="6" s="1"/>
  <c r="CH481" i="6"/>
  <c r="CI481" i="6" s="1"/>
  <c r="CH551" i="6"/>
  <c r="CI551" i="6" s="1"/>
  <c r="CH615" i="6"/>
  <c r="CI615" i="6" s="1"/>
  <c r="CH679" i="6"/>
  <c r="CI679" i="6" s="1"/>
  <c r="BH679" i="6" s="1"/>
  <c r="CH743" i="6"/>
  <c r="CI743" i="6" s="1"/>
  <c r="BH743" i="6" s="1"/>
  <c r="CH807" i="6"/>
  <c r="CI807" i="6" s="1"/>
  <c r="BH807" i="6" s="1"/>
  <c r="CH871" i="6"/>
  <c r="CI871" i="6" s="1"/>
  <c r="BH871" i="6" s="1"/>
  <c r="CH935" i="6"/>
  <c r="CI935" i="6" s="1"/>
  <c r="BH935" i="6" s="1"/>
  <c r="CH996" i="6"/>
  <c r="CI996" i="6" s="1"/>
  <c r="BH996" i="6" s="1"/>
  <c r="CH1004" i="6"/>
  <c r="CI1004" i="6" s="1"/>
  <c r="BH1004" i="6" s="1"/>
  <c r="CH361" i="6"/>
  <c r="CI361" i="6" s="1"/>
  <c r="CH559" i="6"/>
  <c r="CI559" i="6" s="1"/>
  <c r="CH815" i="6"/>
  <c r="CI815" i="6" s="1"/>
  <c r="BH815" i="6" s="1"/>
  <c r="CH497" i="6"/>
  <c r="CI497" i="6" s="1"/>
  <c r="CH759" i="6"/>
  <c r="CI759" i="6" s="1"/>
  <c r="BH759" i="6" s="1"/>
  <c r="CF292" i="6"/>
  <c r="CG292" i="6" s="1"/>
  <c r="CF294" i="6"/>
  <c r="CG294" i="6" s="1"/>
  <c r="CF296" i="6"/>
  <c r="CG296" i="6" s="1"/>
  <c r="CH296" i="6"/>
  <c r="CH20" i="6"/>
  <c r="CI20" i="6" s="1"/>
  <c r="BH20" i="6" s="1"/>
  <c r="CH44" i="6"/>
  <c r="CI44" i="6" s="1"/>
  <c r="BH44" i="6" s="1"/>
  <c r="CH52" i="6"/>
  <c r="CI52" i="6" s="1"/>
  <c r="BH52" i="6" s="1"/>
  <c r="CH60" i="6"/>
  <c r="CI60" i="6" s="1"/>
  <c r="BH60" i="6" s="1"/>
  <c r="CH68" i="6"/>
  <c r="CI68" i="6" s="1"/>
  <c r="BH68" i="6" s="1"/>
  <c r="CH76" i="6"/>
  <c r="CI76" i="6" s="1"/>
  <c r="BH76" i="6" s="1"/>
  <c r="CH84" i="6"/>
  <c r="CI84" i="6" s="1"/>
  <c r="BH84" i="6" s="1"/>
  <c r="CH92" i="6"/>
  <c r="CI92" i="6" s="1"/>
  <c r="BH92" i="6" s="1"/>
  <c r="CH100" i="6"/>
  <c r="CI100" i="6" s="1"/>
  <c r="BH100" i="6" s="1"/>
  <c r="CH108" i="6"/>
  <c r="CI108" i="6" s="1"/>
  <c r="BH108" i="6" s="1"/>
  <c r="CH116" i="6"/>
  <c r="CI116" i="6" s="1"/>
  <c r="BH116" i="6" s="1"/>
  <c r="CH124" i="6"/>
  <c r="CI124" i="6" s="1"/>
  <c r="BH124" i="6" s="1"/>
  <c r="CH132" i="6"/>
  <c r="CI132" i="6" s="1"/>
  <c r="BH132" i="6" s="1"/>
  <c r="CH140" i="6"/>
  <c r="CI140" i="6" s="1"/>
  <c r="BH140" i="6" s="1"/>
  <c r="CH148" i="6"/>
  <c r="CI148" i="6" s="1"/>
  <c r="BH148" i="6" s="1"/>
  <c r="CH156" i="6"/>
  <c r="CI156" i="6" s="1"/>
  <c r="BH156" i="6" s="1"/>
  <c r="CH164" i="6"/>
  <c r="CI164" i="6" s="1"/>
  <c r="BH164" i="6" s="1"/>
  <c r="CH172" i="6"/>
  <c r="CI172" i="6" s="1"/>
  <c r="BH172" i="6" s="1"/>
  <c r="CH180" i="6"/>
  <c r="CI180" i="6" s="1"/>
  <c r="BH180" i="6" s="1"/>
  <c r="CH188" i="6"/>
  <c r="CI188" i="6" s="1"/>
  <c r="BH188" i="6" s="1"/>
  <c r="CH196" i="6"/>
  <c r="CI196" i="6" s="1"/>
  <c r="BH196" i="6" s="1"/>
  <c r="CH204" i="6"/>
  <c r="CI204" i="6" s="1"/>
  <c r="BH204" i="6" s="1"/>
  <c r="CH212" i="6"/>
  <c r="CI212" i="6" s="1"/>
  <c r="BH212" i="6" s="1"/>
  <c r="CH220" i="6"/>
  <c r="CI220" i="6" s="1"/>
  <c r="BH220" i="6" s="1"/>
  <c r="CH228" i="6"/>
  <c r="CI228" i="6" s="1"/>
  <c r="BH228" i="6" s="1"/>
  <c r="CH236" i="6"/>
  <c r="CI236" i="6" s="1"/>
  <c r="BH236" i="6" s="1"/>
  <c r="CH244" i="6"/>
  <c r="CI244" i="6" s="1"/>
  <c r="BH244" i="6" s="1"/>
  <c r="CH252" i="6"/>
  <c r="CI252" i="6" s="1"/>
  <c r="BH252" i="6" s="1"/>
  <c r="CH260" i="6"/>
  <c r="CI260" i="6" s="1"/>
  <c r="BH260" i="6" s="1"/>
  <c r="CH268" i="6"/>
  <c r="CI268" i="6" s="1"/>
  <c r="BH268" i="6" s="1"/>
  <c r="CH276" i="6"/>
  <c r="CI276" i="6" s="1"/>
  <c r="CH284" i="6"/>
  <c r="CI284" i="6" s="1"/>
  <c r="CH1019" i="6"/>
  <c r="CI1019" i="6" s="1"/>
  <c r="BH1019" i="6" s="1"/>
  <c r="CH1027" i="6"/>
  <c r="CI1027" i="6" s="1"/>
  <c r="BH1027" i="6" s="1"/>
  <c r="AR1027" i="6" s="1"/>
  <c r="CH1035" i="6"/>
  <c r="CI1035" i="6" s="1"/>
  <c r="BH1035" i="6" s="1"/>
  <c r="CH1043" i="6"/>
  <c r="CI1043" i="6" s="1"/>
  <c r="BH1043" i="6" s="1"/>
  <c r="CH1051" i="6"/>
  <c r="CI1051" i="6" s="1"/>
  <c r="BH1051" i="6" s="1"/>
  <c r="CH1059" i="6"/>
  <c r="CI1059" i="6" s="1"/>
  <c r="BH1059" i="6" s="1"/>
  <c r="CH1067" i="6"/>
  <c r="CI1067" i="6" s="1"/>
  <c r="BH1067" i="6" s="1"/>
  <c r="CH1075" i="6"/>
  <c r="CI1075" i="6" s="1"/>
  <c r="BH1075" i="6" s="1"/>
  <c r="AR1075" i="6" s="1"/>
  <c r="CH1083" i="6"/>
  <c r="CI1083" i="6" s="1"/>
  <c r="BH1083" i="6" s="1"/>
  <c r="CH1091" i="6"/>
  <c r="CI1091" i="6" s="1"/>
  <c r="BH1091" i="6" s="1"/>
  <c r="CH1099" i="6"/>
  <c r="CI1099" i="6" s="1"/>
  <c r="BH1099" i="6" s="1"/>
  <c r="CH1107" i="6"/>
  <c r="CI1107" i="6" s="1"/>
  <c r="BH1107" i="6" s="1"/>
  <c r="CH292" i="6"/>
  <c r="CI292" i="6" s="1"/>
  <c r="CH21" i="6"/>
  <c r="CI21" i="6" s="1"/>
  <c r="BH21" i="6" s="1"/>
  <c r="CH29" i="6"/>
  <c r="CI29" i="6" s="1"/>
  <c r="BH29" i="6" s="1"/>
  <c r="CH45" i="6"/>
  <c r="CI45" i="6" s="1"/>
  <c r="BH45" i="6" s="1"/>
  <c r="CH53" i="6"/>
  <c r="CI53" i="6" s="1"/>
  <c r="BH53" i="6" s="1"/>
  <c r="CH61" i="6"/>
  <c r="CI61" i="6" s="1"/>
  <c r="BH61" i="6" s="1"/>
  <c r="CH69" i="6"/>
  <c r="CI69" i="6" s="1"/>
  <c r="BH69" i="6" s="1"/>
  <c r="CH77" i="6"/>
  <c r="CI77" i="6" s="1"/>
  <c r="BH77" i="6" s="1"/>
  <c r="CH85" i="6"/>
  <c r="CI85" i="6" s="1"/>
  <c r="BH85" i="6" s="1"/>
  <c r="CH93" i="6"/>
  <c r="CI93" i="6" s="1"/>
  <c r="BH93" i="6" s="1"/>
  <c r="CH101" i="6"/>
  <c r="CI101" i="6" s="1"/>
  <c r="BH101" i="6" s="1"/>
  <c r="CH109" i="6"/>
  <c r="CI109" i="6" s="1"/>
  <c r="BH109" i="6" s="1"/>
  <c r="CH117" i="6"/>
  <c r="CI117" i="6" s="1"/>
  <c r="BH117" i="6" s="1"/>
  <c r="CH125" i="6"/>
  <c r="CI125" i="6" s="1"/>
  <c r="BH125" i="6" s="1"/>
  <c r="CH133" i="6"/>
  <c r="CI133" i="6" s="1"/>
  <c r="BH133" i="6" s="1"/>
  <c r="CH141" i="6"/>
  <c r="CI141" i="6" s="1"/>
  <c r="BH141" i="6" s="1"/>
  <c r="CH149" i="6"/>
  <c r="CI149" i="6" s="1"/>
  <c r="BH149" i="6" s="1"/>
  <c r="CH157" i="6"/>
  <c r="CI157" i="6" s="1"/>
  <c r="BH157" i="6" s="1"/>
  <c r="CH165" i="6"/>
  <c r="CI165" i="6" s="1"/>
  <c r="BH165" i="6" s="1"/>
  <c r="CH173" i="6"/>
  <c r="CI173" i="6" s="1"/>
  <c r="BH173" i="6" s="1"/>
  <c r="CH181" i="6"/>
  <c r="CI181" i="6" s="1"/>
  <c r="BH181" i="6" s="1"/>
  <c r="CH189" i="6"/>
  <c r="CI189" i="6" s="1"/>
  <c r="BH189" i="6" s="1"/>
  <c r="CH197" i="6"/>
  <c r="CI197" i="6" s="1"/>
  <c r="BH197" i="6" s="1"/>
  <c r="CH205" i="6"/>
  <c r="CI205" i="6" s="1"/>
  <c r="BH205" i="6" s="1"/>
  <c r="CH221" i="6"/>
  <c r="CI221" i="6" s="1"/>
  <c r="BH221" i="6" s="1"/>
  <c r="CH229" i="6"/>
  <c r="CI229" i="6" s="1"/>
  <c r="BH229" i="6" s="1"/>
  <c r="CH237" i="6"/>
  <c r="CI237" i="6" s="1"/>
  <c r="BH237" i="6" s="1"/>
  <c r="CH245" i="6"/>
  <c r="CI245" i="6" s="1"/>
  <c r="BH245" i="6" s="1"/>
  <c r="CH253" i="6"/>
  <c r="CI253" i="6" s="1"/>
  <c r="BH253" i="6" s="1"/>
  <c r="CH261" i="6"/>
  <c r="CI261" i="6" s="1"/>
  <c r="BH261" i="6" s="1"/>
  <c r="CH269" i="6"/>
  <c r="CI269" i="6" s="1"/>
  <c r="BH269" i="6" s="1"/>
  <c r="CH277" i="6"/>
  <c r="CI277" i="6" s="1"/>
  <c r="CH285" i="6"/>
  <c r="CI285" i="6" s="1"/>
  <c r="CH1020" i="6"/>
  <c r="CI1020" i="6" s="1"/>
  <c r="BH1020" i="6" s="1"/>
  <c r="AR1020" i="6" s="1"/>
  <c r="CH1028" i="6"/>
  <c r="CI1028" i="6" s="1"/>
  <c r="BH1028" i="6" s="1"/>
  <c r="CH1036" i="6"/>
  <c r="CI1036" i="6" s="1"/>
  <c r="BH1036" i="6" s="1"/>
  <c r="AR1036" i="6" s="1"/>
  <c r="CH1044" i="6"/>
  <c r="CI1044" i="6" s="1"/>
  <c r="BH1044" i="6" s="1"/>
  <c r="CH1052" i="6"/>
  <c r="CI1052" i="6" s="1"/>
  <c r="BH1052" i="6" s="1"/>
  <c r="CH1060" i="6"/>
  <c r="CI1060" i="6" s="1"/>
  <c r="BH1060" i="6" s="1"/>
  <c r="AR1060" i="6" s="1"/>
  <c r="CH1068" i="6"/>
  <c r="CI1068" i="6" s="1"/>
  <c r="BH1068" i="6" s="1"/>
  <c r="AR1068" i="6" s="1"/>
  <c r="CH1076" i="6"/>
  <c r="CI1076" i="6" s="1"/>
  <c r="BH1076" i="6" s="1"/>
  <c r="CH1084" i="6"/>
  <c r="CI1084" i="6" s="1"/>
  <c r="BH1084" i="6" s="1"/>
  <c r="CH1092" i="6"/>
  <c r="CH1100" i="6"/>
  <c r="CI1100" i="6" s="1"/>
  <c r="BH1100" i="6" s="1"/>
  <c r="CH1108" i="6"/>
  <c r="CI1108" i="6" s="1"/>
  <c r="BH1108" i="6" s="1"/>
  <c r="AR1108" i="6" s="1"/>
  <c r="CH1116" i="6"/>
  <c r="CI1116" i="6" s="1"/>
  <c r="BH1116" i="6" s="1"/>
  <c r="CH1124" i="6"/>
  <c r="CI1124" i="6" s="1"/>
  <c r="BH1124" i="6" s="1"/>
  <c r="CH14" i="6"/>
  <c r="CI14" i="6" s="1"/>
  <c r="BH14" i="6" s="1"/>
  <c r="CH38" i="6"/>
  <c r="CI38" i="6" s="1"/>
  <c r="BH38" i="6" s="1"/>
  <c r="CH46" i="6"/>
  <c r="CI46" i="6" s="1"/>
  <c r="BH46" i="6" s="1"/>
  <c r="CH54" i="6"/>
  <c r="CI54" i="6" s="1"/>
  <c r="BH54" i="6" s="1"/>
  <c r="CH62" i="6"/>
  <c r="CI62" i="6" s="1"/>
  <c r="BH62" i="6" s="1"/>
  <c r="CH70" i="6"/>
  <c r="CI70" i="6" s="1"/>
  <c r="BH70" i="6" s="1"/>
  <c r="CH78" i="6"/>
  <c r="CI78" i="6" s="1"/>
  <c r="BH78" i="6" s="1"/>
  <c r="CH86" i="6"/>
  <c r="CI86" i="6" s="1"/>
  <c r="BH86" i="6" s="1"/>
  <c r="CH94" i="6"/>
  <c r="CI94" i="6" s="1"/>
  <c r="BH94" i="6" s="1"/>
  <c r="CH102" i="6"/>
  <c r="CI102" i="6" s="1"/>
  <c r="BH102" i="6" s="1"/>
  <c r="CH110" i="6"/>
  <c r="CI110" i="6" s="1"/>
  <c r="BH110" i="6" s="1"/>
  <c r="CH118" i="6"/>
  <c r="CI118" i="6" s="1"/>
  <c r="BH118" i="6" s="1"/>
  <c r="CH126" i="6"/>
  <c r="CI126" i="6" s="1"/>
  <c r="BH126" i="6" s="1"/>
  <c r="CH134" i="6"/>
  <c r="CI134" i="6" s="1"/>
  <c r="BH134" i="6" s="1"/>
  <c r="CH142" i="6"/>
  <c r="CI142" i="6" s="1"/>
  <c r="BH142" i="6" s="1"/>
  <c r="CH150" i="6"/>
  <c r="CI150" i="6" s="1"/>
  <c r="BH150" i="6" s="1"/>
  <c r="CH158" i="6"/>
  <c r="CI158" i="6" s="1"/>
  <c r="BH158" i="6" s="1"/>
  <c r="CH166" i="6"/>
  <c r="CI166" i="6" s="1"/>
  <c r="BH166" i="6" s="1"/>
  <c r="CH174" i="6"/>
  <c r="CI174" i="6" s="1"/>
  <c r="BH174" i="6" s="1"/>
  <c r="CH182" i="6"/>
  <c r="CI182" i="6" s="1"/>
  <c r="BH182" i="6" s="1"/>
  <c r="CH190" i="6"/>
  <c r="CI190" i="6" s="1"/>
  <c r="BH190" i="6" s="1"/>
  <c r="CH198" i="6"/>
  <c r="CI198" i="6" s="1"/>
  <c r="BH198" i="6" s="1"/>
  <c r="CH206" i="6"/>
  <c r="CI206" i="6" s="1"/>
  <c r="BH206" i="6" s="1"/>
  <c r="CH222" i="6"/>
  <c r="CI222" i="6" s="1"/>
  <c r="BH222" i="6" s="1"/>
  <c r="CH230" i="6"/>
  <c r="CI230" i="6" s="1"/>
  <c r="BH230" i="6" s="1"/>
  <c r="CH238" i="6"/>
  <c r="CI238" i="6" s="1"/>
  <c r="BH238" i="6" s="1"/>
  <c r="CH246" i="6"/>
  <c r="CI246" i="6" s="1"/>
  <c r="BH246" i="6" s="1"/>
  <c r="CH254" i="6"/>
  <c r="CI254" i="6" s="1"/>
  <c r="BH254" i="6" s="1"/>
  <c r="CH262" i="6"/>
  <c r="CI262" i="6" s="1"/>
  <c r="BH262" i="6" s="1"/>
  <c r="CH270" i="6"/>
  <c r="CI270" i="6" s="1"/>
  <c r="BH270" i="6" s="1"/>
  <c r="CH278" i="6"/>
  <c r="CI278" i="6" s="1"/>
  <c r="CH286" i="6"/>
  <c r="CI286" i="6" s="1"/>
  <c r="CH1021" i="6"/>
  <c r="CI1021" i="6" s="1"/>
  <c r="BH1021" i="6" s="1"/>
  <c r="CH1029" i="6"/>
  <c r="CI1029" i="6" s="1"/>
  <c r="BH1029" i="6" s="1"/>
  <c r="AR1029" i="6" s="1"/>
  <c r="CH1037" i="6"/>
  <c r="CI1037" i="6" s="1"/>
  <c r="BH1037" i="6" s="1"/>
  <c r="CH1045" i="6"/>
  <c r="CI1045" i="6" s="1"/>
  <c r="BH1045" i="6" s="1"/>
  <c r="AR1045" i="6" s="1"/>
  <c r="CH1053" i="6"/>
  <c r="CI1053" i="6" s="1"/>
  <c r="BH1053" i="6" s="1"/>
  <c r="AR1053" i="6" s="1"/>
  <c r="CH1061" i="6"/>
  <c r="CI1061" i="6" s="1"/>
  <c r="BH1061" i="6" s="1"/>
  <c r="CH1069" i="6"/>
  <c r="CI1069" i="6" s="1"/>
  <c r="BH1069" i="6" s="1"/>
  <c r="CH1077" i="6"/>
  <c r="CI1077" i="6" s="1"/>
  <c r="BH1077" i="6" s="1"/>
  <c r="AR1077" i="6" s="1"/>
  <c r="CH1085" i="6"/>
  <c r="CI1085" i="6" s="1"/>
  <c r="BH1085" i="6" s="1"/>
  <c r="CH1093" i="6"/>
  <c r="CI1093" i="6" s="1"/>
  <c r="BH1093" i="6" s="1"/>
  <c r="AR1093" i="6" s="1"/>
  <c r="CH1101" i="6"/>
  <c r="CI1101" i="6" s="1"/>
  <c r="BH1101" i="6" s="1"/>
  <c r="AR1101" i="6" s="1"/>
  <c r="CH1109" i="6"/>
  <c r="CI1109" i="6" s="1"/>
  <c r="BH1109" i="6" s="1"/>
  <c r="CH1117" i="6"/>
  <c r="CI1117" i="6" s="1"/>
  <c r="BH1117" i="6" s="1"/>
  <c r="CH1125" i="6"/>
  <c r="CI1125" i="6" s="1"/>
  <c r="BH1125" i="6" s="1"/>
  <c r="CH1133" i="6"/>
  <c r="CI1133" i="6" s="1"/>
  <c r="BH1133" i="6" s="1"/>
  <c r="CH1141" i="6"/>
  <c r="CI1141" i="6" s="1"/>
  <c r="BH1141" i="6" s="1"/>
  <c r="CH1171" i="6"/>
  <c r="CI1171" i="6" s="1"/>
  <c r="CH1162" i="6"/>
  <c r="CI1162" i="6" s="1"/>
  <c r="CH1155" i="6"/>
  <c r="CI1155" i="6" s="1"/>
  <c r="CH1173" i="6"/>
  <c r="CI1173" i="6" s="1"/>
  <c r="CH1181" i="6"/>
  <c r="CI1181" i="6" s="1"/>
  <c r="CH1189" i="6"/>
  <c r="CI1189" i="6" s="1"/>
  <c r="CH1197" i="6"/>
  <c r="CI1197" i="6" s="1"/>
  <c r="CH1205" i="6"/>
  <c r="CI1205" i="6" s="1"/>
  <c r="CH1213" i="6"/>
  <c r="CI1213" i="6" s="1"/>
  <c r="CH1221" i="6"/>
  <c r="CI1221" i="6" s="1"/>
  <c r="CH1229" i="6"/>
  <c r="CI1229" i="6" s="1"/>
  <c r="CH1237" i="6"/>
  <c r="CI1237" i="6" s="1"/>
  <c r="CH1245" i="6"/>
  <c r="CI1245" i="6" s="1"/>
  <c r="CH1253" i="6"/>
  <c r="CI1253" i="6" s="1"/>
  <c r="CH1261" i="6"/>
  <c r="CI1261" i="6" s="1"/>
  <c r="CH1017" i="6"/>
  <c r="CI1017" i="6" s="1"/>
  <c r="BH1017" i="6" s="1"/>
  <c r="AR1017" i="6" s="1"/>
  <c r="CF1046" i="6"/>
  <c r="CG1046" i="6" s="1"/>
  <c r="CF1054" i="6"/>
  <c r="CG1054" i="6" s="1"/>
  <c r="CF1062" i="6"/>
  <c r="CG1062" i="6" s="1"/>
  <c r="CF1070" i="6"/>
  <c r="CG1070" i="6" s="1"/>
  <c r="CF1086" i="6"/>
  <c r="CG1086" i="6" s="1"/>
  <c r="CF1094" i="6"/>
  <c r="CG1094" i="6" s="1"/>
  <c r="CF1102" i="6"/>
  <c r="CG1102" i="6" s="1"/>
  <c r="CF1110" i="6"/>
  <c r="CG1110" i="6" s="1"/>
  <c r="CF1118" i="6"/>
  <c r="CG1118" i="6" s="1"/>
  <c r="CF1126" i="6"/>
  <c r="CG1126" i="6" s="1"/>
  <c r="CF1134" i="6"/>
  <c r="CG1134" i="6" s="1"/>
  <c r="CF1142" i="6"/>
  <c r="CG1142" i="6" s="1"/>
  <c r="CH294" i="6"/>
  <c r="CH15" i="6"/>
  <c r="CI15" i="6" s="1"/>
  <c r="BH15" i="6" s="1"/>
  <c r="CH23" i="6"/>
  <c r="CI23" i="6" s="1"/>
  <c r="BH23" i="6" s="1"/>
  <c r="CH39" i="6"/>
  <c r="CI39" i="6" s="1"/>
  <c r="BH39" i="6" s="1"/>
  <c r="CH47" i="6"/>
  <c r="CI47" i="6" s="1"/>
  <c r="BH47" i="6" s="1"/>
  <c r="CH55" i="6"/>
  <c r="CI55" i="6" s="1"/>
  <c r="BH55" i="6" s="1"/>
  <c r="CH63" i="6"/>
  <c r="CI63" i="6" s="1"/>
  <c r="BH63" i="6" s="1"/>
  <c r="AR63" i="6" s="1"/>
  <c r="CH71" i="6"/>
  <c r="CI71" i="6" s="1"/>
  <c r="BH71" i="6" s="1"/>
  <c r="CH79" i="6"/>
  <c r="CI79" i="6" s="1"/>
  <c r="BH79" i="6" s="1"/>
  <c r="CH87" i="6"/>
  <c r="CI87" i="6" s="1"/>
  <c r="BH87" i="6" s="1"/>
  <c r="CH95" i="6"/>
  <c r="CI95" i="6" s="1"/>
  <c r="BH95" i="6" s="1"/>
  <c r="CH103" i="6"/>
  <c r="CI103" i="6" s="1"/>
  <c r="BH103" i="6" s="1"/>
  <c r="CH111" i="6"/>
  <c r="CI111" i="6" s="1"/>
  <c r="BH111" i="6" s="1"/>
  <c r="CH119" i="6"/>
  <c r="CI119" i="6" s="1"/>
  <c r="BH119" i="6" s="1"/>
  <c r="CH127" i="6"/>
  <c r="CI127" i="6" s="1"/>
  <c r="BH127" i="6" s="1"/>
  <c r="CH135" i="6"/>
  <c r="CI135" i="6" s="1"/>
  <c r="BH135" i="6" s="1"/>
  <c r="CH143" i="6"/>
  <c r="CI143" i="6" s="1"/>
  <c r="BH143" i="6" s="1"/>
  <c r="CH151" i="6"/>
  <c r="CI151" i="6" s="1"/>
  <c r="BH151" i="6" s="1"/>
  <c r="CH159" i="6"/>
  <c r="CI159" i="6" s="1"/>
  <c r="BH159" i="6" s="1"/>
  <c r="CH167" i="6"/>
  <c r="CI167" i="6" s="1"/>
  <c r="BH167" i="6" s="1"/>
  <c r="CH175" i="6"/>
  <c r="CI175" i="6" s="1"/>
  <c r="BH175" i="6" s="1"/>
  <c r="CH183" i="6"/>
  <c r="CI183" i="6" s="1"/>
  <c r="BH183" i="6" s="1"/>
  <c r="CH191" i="6"/>
  <c r="CI191" i="6" s="1"/>
  <c r="BH191" i="6" s="1"/>
  <c r="CH199" i="6"/>
  <c r="CI199" i="6" s="1"/>
  <c r="BH199" i="6" s="1"/>
  <c r="CH207" i="6"/>
  <c r="CI207" i="6" s="1"/>
  <c r="BH207" i="6" s="1"/>
  <c r="CH223" i="6"/>
  <c r="CI223" i="6" s="1"/>
  <c r="BH223" i="6" s="1"/>
  <c r="CH231" i="6"/>
  <c r="CI231" i="6" s="1"/>
  <c r="BH231" i="6" s="1"/>
  <c r="CH239" i="6"/>
  <c r="CI239" i="6" s="1"/>
  <c r="BH239" i="6" s="1"/>
  <c r="CH247" i="6"/>
  <c r="CI247" i="6" s="1"/>
  <c r="BH247" i="6" s="1"/>
  <c r="CH255" i="6"/>
  <c r="CI255" i="6" s="1"/>
  <c r="BH255" i="6" s="1"/>
  <c r="CH263" i="6"/>
  <c r="CI263" i="6" s="1"/>
  <c r="BH263" i="6" s="1"/>
  <c r="CH271" i="6"/>
  <c r="CI271" i="6" s="1"/>
  <c r="BH271" i="6" s="1"/>
  <c r="CH279" i="6"/>
  <c r="CI279" i="6" s="1"/>
  <c r="CH287" i="6"/>
  <c r="CI287" i="6" s="1"/>
  <c r="CH1022" i="6"/>
  <c r="CI1022" i="6" s="1"/>
  <c r="BH1022" i="6" s="1"/>
  <c r="CH1030" i="6"/>
  <c r="CI1030" i="6" s="1"/>
  <c r="BH1030" i="6" s="1"/>
  <c r="AR1030" i="6" s="1"/>
  <c r="CH1038" i="6"/>
  <c r="CI1038" i="6" s="1"/>
  <c r="BH1038" i="6" s="1"/>
  <c r="AR1038" i="6" s="1"/>
  <c r="CH1046" i="6"/>
  <c r="CI1046" i="6" s="1"/>
  <c r="BH1046" i="6" s="1"/>
  <c r="CH1054" i="6"/>
  <c r="CI1054" i="6" s="1"/>
  <c r="BH1054" i="6" s="1"/>
  <c r="AR1054" i="6" s="1"/>
  <c r="CH1062" i="6"/>
  <c r="CI1062" i="6" s="1"/>
  <c r="BH1062" i="6" s="1"/>
  <c r="CH1070" i="6"/>
  <c r="CI1070" i="6" s="1"/>
  <c r="BH1070" i="6" s="1"/>
  <c r="CH1078" i="6"/>
  <c r="CI1078" i="6" s="1"/>
  <c r="BH1078" i="6" s="1"/>
  <c r="AR1078" i="6" s="1"/>
  <c r="CH1086" i="6"/>
  <c r="CI1086" i="6" s="1"/>
  <c r="BH1086" i="6" s="1"/>
  <c r="AR1086" i="6" s="1"/>
  <c r="CH1094" i="6"/>
  <c r="CI1094" i="6" s="1"/>
  <c r="BH1094" i="6" s="1"/>
  <c r="CH1102" i="6"/>
  <c r="CI1102" i="6" s="1"/>
  <c r="BH1102" i="6" s="1"/>
  <c r="AR1102" i="6" s="1"/>
  <c r="CH1110" i="6"/>
  <c r="CI1110" i="6" s="1"/>
  <c r="BH1110" i="6" s="1"/>
  <c r="AR1110" i="6" s="1"/>
  <c r="CH1118" i="6"/>
  <c r="CI1118" i="6" s="1"/>
  <c r="BH1118" i="6" s="1"/>
  <c r="CH1126" i="6"/>
  <c r="CI1126" i="6" s="1"/>
  <c r="BH1126" i="6" s="1"/>
  <c r="CH1134" i="6"/>
  <c r="CI1134" i="6" s="1"/>
  <c r="BH1134" i="6" s="1"/>
  <c r="AR1134" i="6" s="1"/>
  <c r="CH1142" i="6"/>
  <c r="CI1142" i="6" s="1"/>
  <c r="BH1142" i="6" s="1"/>
  <c r="CH1170" i="6"/>
  <c r="CI1170" i="6" s="1"/>
  <c r="CH1163" i="6"/>
  <c r="CI1163" i="6" s="1"/>
  <c r="CH1160" i="6"/>
  <c r="CI1160" i="6" s="1"/>
  <c r="CH1174" i="6"/>
  <c r="CI1174" i="6" s="1"/>
  <c r="CH1182" i="6"/>
  <c r="CI1182" i="6" s="1"/>
  <c r="CH1190" i="6"/>
  <c r="CI1190" i="6" s="1"/>
  <c r="CH1198" i="6"/>
  <c r="CI1198" i="6" s="1"/>
  <c r="CH1206" i="6"/>
  <c r="CI1206" i="6" s="1"/>
  <c r="CH1214" i="6"/>
  <c r="CI1214" i="6" s="1"/>
  <c r="CH1222" i="6"/>
  <c r="CI1222" i="6" s="1"/>
  <c r="CH1230" i="6"/>
  <c r="CI1230" i="6" s="1"/>
  <c r="CH1238" i="6"/>
  <c r="CI1238" i="6" s="1"/>
  <c r="CH1246" i="6"/>
  <c r="CI1246" i="6" s="1"/>
  <c r="CH1254" i="6"/>
  <c r="CI1254" i="6" s="1"/>
  <c r="CH1262" i="6"/>
  <c r="CI1262" i="6" s="1"/>
  <c r="CF1031" i="6"/>
  <c r="CG1031" i="6" s="1"/>
  <c r="CF1047" i="6"/>
  <c r="CG1047" i="6" s="1"/>
  <c r="CF1055" i="6"/>
  <c r="CG1055" i="6" s="1"/>
  <c r="CF1079" i="6"/>
  <c r="CG1079" i="6" s="1"/>
  <c r="CF1087" i="6"/>
  <c r="CG1087" i="6" s="1"/>
  <c r="CH16" i="6"/>
  <c r="CI16" i="6" s="1"/>
  <c r="BH16" i="6" s="1"/>
  <c r="CH32" i="6"/>
  <c r="CI32" i="6" s="1"/>
  <c r="BH32" i="6" s="1"/>
  <c r="CH40" i="6"/>
  <c r="CI40" i="6" s="1"/>
  <c r="BH40" i="6" s="1"/>
  <c r="CH48" i="6"/>
  <c r="CI48" i="6" s="1"/>
  <c r="BH48" i="6" s="1"/>
  <c r="CH56" i="6"/>
  <c r="CI56" i="6" s="1"/>
  <c r="BH56" i="6" s="1"/>
  <c r="CH72" i="6"/>
  <c r="CI72" i="6" s="1"/>
  <c r="BH72" i="6" s="1"/>
  <c r="CH80" i="6"/>
  <c r="CI80" i="6" s="1"/>
  <c r="BH80" i="6" s="1"/>
  <c r="CH88" i="6"/>
  <c r="CI88" i="6" s="1"/>
  <c r="BH88" i="6" s="1"/>
  <c r="CH96" i="6"/>
  <c r="CI96" i="6" s="1"/>
  <c r="BH96" i="6" s="1"/>
  <c r="CH104" i="6"/>
  <c r="CI104" i="6" s="1"/>
  <c r="BH104" i="6" s="1"/>
  <c r="CH112" i="6"/>
  <c r="CI112" i="6" s="1"/>
  <c r="BH112" i="6" s="1"/>
  <c r="CH120" i="6"/>
  <c r="CI120" i="6" s="1"/>
  <c r="BH120" i="6" s="1"/>
  <c r="CH128" i="6"/>
  <c r="CI128" i="6" s="1"/>
  <c r="BH128" i="6" s="1"/>
  <c r="CH136" i="6"/>
  <c r="CI136" i="6" s="1"/>
  <c r="BH136" i="6" s="1"/>
  <c r="CH144" i="6"/>
  <c r="CI144" i="6" s="1"/>
  <c r="BH144" i="6" s="1"/>
  <c r="CH152" i="6"/>
  <c r="CI152" i="6" s="1"/>
  <c r="BH152" i="6" s="1"/>
  <c r="CH160" i="6"/>
  <c r="CI160" i="6" s="1"/>
  <c r="BH160" i="6" s="1"/>
  <c r="CH168" i="6"/>
  <c r="CI168" i="6" s="1"/>
  <c r="BH168" i="6" s="1"/>
  <c r="CH176" i="6"/>
  <c r="CI176" i="6" s="1"/>
  <c r="BH176" i="6" s="1"/>
  <c r="CH184" i="6"/>
  <c r="CI184" i="6" s="1"/>
  <c r="BH184" i="6" s="1"/>
  <c r="CH192" i="6"/>
  <c r="CI192" i="6" s="1"/>
  <c r="BH192" i="6" s="1"/>
  <c r="CH200" i="6"/>
  <c r="CI200" i="6" s="1"/>
  <c r="BH200" i="6" s="1"/>
  <c r="CH208" i="6"/>
  <c r="CI208" i="6" s="1"/>
  <c r="BH208" i="6" s="1"/>
  <c r="CH224" i="6"/>
  <c r="CI224" i="6" s="1"/>
  <c r="BH224" i="6" s="1"/>
  <c r="CH232" i="6"/>
  <c r="CI232" i="6" s="1"/>
  <c r="BH232" i="6" s="1"/>
  <c r="CH240" i="6"/>
  <c r="CI240" i="6" s="1"/>
  <c r="BH240" i="6" s="1"/>
  <c r="CH248" i="6"/>
  <c r="CI248" i="6" s="1"/>
  <c r="BH248" i="6" s="1"/>
  <c r="CH256" i="6"/>
  <c r="CI256" i="6" s="1"/>
  <c r="BH256" i="6" s="1"/>
  <c r="CH264" i="6"/>
  <c r="CI264" i="6" s="1"/>
  <c r="BH264" i="6" s="1"/>
  <c r="CH272" i="6"/>
  <c r="CI272" i="6" s="1"/>
  <c r="BH272" i="6" s="1"/>
  <c r="CH280" i="6"/>
  <c r="CI280" i="6" s="1"/>
  <c r="CH288" i="6"/>
  <c r="CI288" i="6" s="1"/>
  <c r="CH1023" i="6"/>
  <c r="CI1023" i="6" s="1"/>
  <c r="BH1023" i="6" s="1"/>
  <c r="AR1023" i="6" s="1"/>
  <c r="CH1031" i="6"/>
  <c r="CI1031" i="6" s="1"/>
  <c r="BH1031" i="6" s="1"/>
  <c r="CH1039" i="6"/>
  <c r="CI1039" i="6" s="1"/>
  <c r="BH1039" i="6" s="1"/>
  <c r="AR1039" i="6" s="1"/>
  <c r="CH1047" i="6"/>
  <c r="CI1047" i="6" s="1"/>
  <c r="BH1047" i="6" s="1"/>
  <c r="CH1055" i="6"/>
  <c r="CI1055" i="6" s="1"/>
  <c r="BH1055" i="6" s="1"/>
  <c r="CH1063" i="6"/>
  <c r="CI1063" i="6" s="1"/>
  <c r="BH1063" i="6" s="1"/>
  <c r="AR1063" i="6" s="1"/>
  <c r="CH1071" i="6"/>
  <c r="CI1071" i="6" s="1"/>
  <c r="BH1071" i="6" s="1"/>
  <c r="CH1079" i="6"/>
  <c r="CI1079" i="6" s="1"/>
  <c r="BH1079" i="6" s="1"/>
  <c r="CH1087" i="6"/>
  <c r="CI1087" i="6" s="1"/>
  <c r="BH1087" i="6" s="1"/>
  <c r="CH1095" i="6"/>
  <c r="CI1095" i="6" s="1"/>
  <c r="BH1095" i="6" s="1"/>
  <c r="CH1103" i="6"/>
  <c r="CI1103" i="6" s="1"/>
  <c r="BH1103" i="6" s="1"/>
  <c r="CH1111" i="6"/>
  <c r="CI1111" i="6" s="1"/>
  <c r="BH1111" i="6" s="1"/>
  <c r="CH1119" i="6"/>
  <c r="CI1119" i="6" s="1"/>
  <c r="BH1119" i="6" s="1"/>
  <c r="CH17" i="6"/>
  <c r="CI17" i="6" s="1"/>
  <c r="BH17" i="6" s="1"/>
  <c r="CH41" i="6"/>
  <c r="CI41" i="6" s="1"/>
  <c r="BH41" i="6" s="1"/>
  <c r="CH49" i="6"/>
  <c r="CI49" i="6" s="1"/>
  <c r="BH49" i="6" s="1"/>
  <c r="CH57" i="6"/>
  <c r="CI57" i="6" s="1"/>
  <c r="BH57" i="6" s="1"/>
  <c r="CH65" i="6"/>
  <c r="CI65" i="6" s="1"/>
  <c r="BH65" i="6" s="1"/>
  <c r="CH73" i="6"/>
  <c r="CI73" i="6" s="1"/>
  <c r="BH73" i="6" s="1"/>
  <c r="CH81" i="6"/>
  <c r="CI81" i="6" s="1"/>
  <c r="BH81" i="6" s="1"/>
  <c r="CH89" i="6"/>
  <c r="CI89" i="6" s="1"/>
  <c r="BH89" i="6" s="1"/>
  <c r="CH97" i="6"/>
  <c r="CI97" i="6" s="1"/>
  <c r="BH97" i="6" s="1"/>
  <c r="CH105" i="6"/>
  <c r="CI105" i="6" s="1"/>
  <c r="BH105" i="6" s="1"/>
  <c r="CH113" i="6"/>
  <c r="CI113" i="6" s="1"/>
  <c r="BH113" i="6" s="1"/>
  <c r="CH121" i="6"/>
  <c r="CI121" i="6" s="1"/>
  <c r="BH121" i="6" s="1"/>
  <c r="CH129" i="6"/>
  <c r="CI129" i="6" s="1"/>
  <c r="BH129" i="6" s="1"/>
  <c r="CH137" i="6"/>
  <c r="CI137" i="6" s="1"/>
  <c r="BH137" i="6" s="1"/>
  <c r="CH145" i="6"/>
  <c r="CI145" i="6" s="1"/>
  <c r="BH145" i="6" s="1"/>
  <c r="CH153" i="6"/>
  <c r="CI153" i="6" s="1"/>
  <c r="BH153" i="6" s="1"/>
  <c r="CH161" i="6"/>
  <c r="CI161" i="6" s="1"/>
  <c r="BH161" i="6" s="1"/>
  <c r="CH169" i="6"/>
  <c r="CI169" i="6" s="1"/>
  <c r="BH169" i="6" s="1"/>
  <c r="CH177" i="6"/>
  <c r="CI177" i="6" s="1"/>
  <c r="BH177" i="6" s="1"/>
  <c r="CH185" i="6"/>
  <c r="CI185" i="6" s="1"/>
  <c r="BH185" i="6" s="1"/>
  <c r="CH193" i="6"/>
  <c r="CI193" i="6" s="1"/>
  <c r="BH193" i="6" s="1"/>
  <c r="CH201" i="6"/>
  <c r="CI201" i="6" s="1"/>
  <c r="BH201" i="6" s="1"/>
  <c r="CH209" i="6"/>
  <c r="CI209" i="6" s="1"/>
  <c r="BH209" i="6" s="1"/>
  <c r="CH225" i="6"/>
  <c r="CI225" i="6" s="1"/>
  <c r="BH225" i="6" s="1"/>
  <c r="CH233" i="6"/>
  <c r="CI233" i="6" s="1"/>
  <c r="BH233" i="6" s="1"/>
  <c r="CH241" i="6"/>
  <c r="CI241" i="6" s="1"/>
  <c r="BH241" i="6" s="1"/>
  <c r="CH249" i="6"/>
  <c r="CI249" i="6" s="1"/>
  <c r="BH249" i="6" s="1"/>
  <c r="CH257" i="6"/>
  <c r="CI257" i="6" s="1"/>
  <c r="BH257" i="6" s="1"/>
  <c r="CH265" i="6"/>
  <c r="CI265" i="6" s="1"/>
  <c r="BH265" i="6" s="1"/>
  <c r="CH273" i="6"/>
  <c r="CI273" i="6" s="1"/>
  <c r="CH281" i="6"/>
  <c r="CI281" i="6" s="1"/>
  <c r="CH289" i="6"/>
  <c r="CI289" i="6" s="1"/>
  <c r="CH1024" i="6"/>
  <c r="CI1024" i="6" s="1"/>
  <c r="BH1024" i="6" s="1"/>
  <c r="AR1024" i="6" s="1"/>
  <c r="CH1032" i="6"/>
  <c r="CI1032" i="6" s="1"/>
  <c r="BH1032" i="6" s="1"/>
  <c r="AR1032" i="6" s="1"/>
  <c r="CH1040" i="6"/>
  <c r="CI1040" i="6" s="1"/>
  <c r="BH1040" i="6" s="1"/>
  <c r="CH1048" i="6"/>
  <c r="CI1048" i="6" s="1"/>
  <c r="BH1048" i="6" s="1"/>
  <c r="AR1048" i="6" s="1"/>
  <c r="CH1056" i="6"/>
  <c r="CI1056" i="6" s="1"/>
  <c r="BH1056" i="6" s="1"/>
  <c r="AR1056" i="6" s="1"/>
  <c r="CH1064" i="6"/>
  <c r="CI1064" i="6" s="1"/>
  <c r="BH1064" i="6" s="1"/>
  <c r="CH1072" i="6"/>
  <c r="CI1072" i="6" s="1"/>
  <c r="BH1072" i="6" s="1"/>
  <c r="AR1072" i="6" s="1"/>
  <c r="CH1080" i="6"/>
  <c r="CI1080" i="6" s="1"/>
  <c r="BH1080" i="6" s="1"/>
  <c r="AR1080" i="6" s="1"/>
  <c r="CH1088" i="6"/>
  <c r="CI1088" i="6" s="1"/>
  <c r="BH1088" i="6" s="1"/>
  <c r="CH1096" i="6"/>
  <c r="CI1096" i="6" s="1"/>
  <c r="BH1096" i="6" s="1"/>
  <c r="AR1096" i="6" s="1"/>
  <c r="CH1104" i="6"/>
  <c r="CI1104" i="6" s="1"/>
  <c r="BH1104" i="6" s="1"/>
  <c r="AR1104" i="6" s="1"/>
  <c r="CH1112" i="6"/>
  <c r="CI1112" i="6" s="1"/>
  <c r="BH1112" i="6" s="1"/>
  <c r="CH1120" i="6"/>
  <c r="CI1120" i="6" s="1"/>
  <c r="BH1120" i="6" s="1"/>
  <c r="CH18" i="6"/>
  <c r="CI18" i="6" s="1"/>
  <c r="BH18" i="6" s="1"/>
  <c r="CH26" i="6"/>
  <c r="CI26" i="6" s="1"/>
  <c r="BH26" i="6" s="1"/>
  <c r="CH42" i="6"/>
  <c r="CI42" i="6" s="1"/>
  <c r="BH42" i="6" s="1"/>
  <c r="CH50" i="6"/>
  <c r="CI50" i="6" s="1"/>
  <c r="BH50" i="6" s="1"/>
  <c r="CH58" i="6"/>
  <c r="CI58" i="6" s="1"/>
  <c r="BH58" i="6" s="1"/>
  <c r="CH74" i="6"/>
  <c r="CI74" i="6" s="1"/>
  <c r="BH74" i="6" s="1"/>
  <c r="CH82" i="6"/>
  <c r="CI82" i="6" s="1"/>
  <c r="BH82" i="6" s="1"/>
  <c r="CH90" i="6"/>
  <c r="CI90" i="6" s="1"/>
  <c r="BH90" i="6" s="1"/>
  <c r="CH98" i="6"/>
  <c r="CI98" i="6" s="1"/>
  <c r="BH98" i="6" s="1"/>
  <c r="CH106" i="6"/>
  <c r="CI106" i="6" s="1"/>
  <c r="BH106" i="6" s="1"/>
  <c r="CH114" i="6"/>
  <c r="CI114" i="6" s="1"/>
  <c r="BH114" i="6" s="1"/>
  <c r="CH122" i="6"/>
  <c r="CI122" i="6" s="1"/>
  <c r="BH122" i="6" s="1"/>
  <c r="CH130" i="6"/>
  <c r="CI130" i="6" s="1"/>
  <c r="BH130" i="6" s="1"/>
  <c r="CH138" i="6"/>
  <c r="CI138" i="6" s="1"/>
  <c r="BH138" i="6" s="1"/>
  <c r="CH146" i="6"/>
  <c r="CI146" i="6" s="1"/>
  <c r="BH146" i="6" s="1"/>
  <c r="CH154" i="6"/>
  <c r="CI154" i="6" s="1"/>
  <c r="BH154" i="6" s="1"/>
  <c r="CH162" i="6"/>
  <c r="CI162" i="6" s="1"/>
  <c r="BH162" i="6" s="1"/>
  <c r="CH170" i="6"/>
  <c r="CI170" i="6" s="1"/>
  <c r="BH170" i="6" s="1"/>
  <c r="CH178" i="6"/>
  <c r="CI178" i="6" s="1"/>
  <c r="BH178" i="6" s="1"/>
  <c r="CH186" i="6"/>
  <c r="CI186" i="6" s="1"/>
  <c r="BH186" i="6" s="1"/>
  <c r="CH194" i="6"/>
  <c r="CI194" i="6" s="1"/>
  <c r="BH194" i="6" s="1"/>
  <c r="CH202" i="6"/>
  <c r="CI202" i="6" s="1"/>
  <c r="BH202" i="6" s="1"/>
  <c r="CH210" i="6"/>
  <c r="CI210" i="6" s="1"/>
  <c r="BH210" i="6" s="1"/>
  <c r="CH218" i="6"/>
  <c r="CI218" i="6" s="1"/>
  <c r="BH218" i="6" s="1"/>
  <c r="CH226" i="6"/>
  <c r="CI226" i="6" s="1"/>
  <c r="BH226" i="6" s="1"/>
  <c r="CH234" i="6"/>
  <c r="CI234" i="6" s="1"/>
  <c r="BH234" i="6" s="1"/>
  <c r="CH242" i="6"/>
  <c r="CI242" i="6" s="1"/>
  <c r="BH242" i="6" s="1"/>
  <c r="CH250" i="6"/>
  <c r="CI250" i="6" s="1"/>
  <c r="BH250" i="6" s="1"/>
  <c r="CH258" i="6"/>
  <c r="CI258" i="6" s="1"/>
  <c r="BH258" i="6" s="1"/>
  <c r="CH266" i="6"/>
  <c r="CI266" i="6" s="1"/>
  <c r="BH266" i="6" s="1"/>
  <c r="CH282" i="6"/>
  <c r="CI282" i="6" s="1"/>
  <c r="CH290" i="6"/>
  <c r="CI290" i="6" s="1"/>
  <c r="CH1025" i="6"/>
  <c r="CI1025" i="6" s="1"/>
  <c r="BH1025" i="6" s="1"/>
  <c r="CH1033" i="6"/>
  <c r="CI1033" i="6" s="1"/>
  <c r="BH1033" i="6" s="1"/>
  <c r="CH1041" i="6"/>
  <c r="CI1041" i="6" s="1"/>
  <c r="BH1041" i="6" s="1"/>
  <c r="CH1049" i="6"/>
  <c r="CI1049" i="6" s="1"/>
  <c r="BH1049" i="6" s="1"/>
  <c r="CH1057" i="6"/>
  <c r="CI1057" i="6" s="1"/>
  <c r="BH1057" i="6" s="1"/>
  <c r="AR1057" i="6" s="1"/>
  <c r="CH1065" i="6"/>
  <c r="CI1065" i="6" s="1"/>
  <c r="BH1065" i="6" s="1"/>
  <c r="CH1073" i="6"/>
  <c r="CI1073" i="6" s="1"/>
  <c r="BH1073" i="6" s="1"/>
  <c r="CH1081" i="6"/>
  <c r="CI1081" i="6" s="1"/>
  <c r="BH1081" i="6" s="1"/>
  <c r="AR1081" i="6" s="1"/>
  <c r="CH1089" i="6"/>
  <c r="CI1089" i="6" s="1"/>
  <c r="BH1089" i="6" s="1"/>
  <c r="CH1097" i="6"/>
  <c r="CI1097" i="6" s="1"/>
  <c r="BH1097" i="6" s="1"/>
  <c r="CH1105" i="6"/>
  <c r="CI1105" i="6" s="1"/>
  <c r="BH1105" i="6" s="1"/>
  <c r="AR1105" i="6" s="1"/>
  <c r="CH1113" i="6"/>
  <c r="CI1113" i="6" s="1"/>
  <c r="BH1113" i="6" s="1"/>
  <c r="CH1121" i="6"/>
  <c r="CI1121" i="6" s="1"/>
  <c r="BH1121" i="6" s="1"/>
  <c r="CH1129" i="6"/>
  <c r="CI1129" i="6" s="1"/>
  <c r="BH1129" i="6" s="1"/>
  <c r="CH1137" i="6"/>
  <c r="CI1137" i="6" s="1"/>
  <c r="BH1137" i="6" s="1"/>
  <c r="AR1137" i="6" s="1"/>
  <c r="CH1145" i="6"/>
  <c r="CI1145" i="6" s="1"/>
  <c r="BH1145" i="6" s="1"/>
  <c r="CH1167" i="6"/>
  <c r="CI1167" i="6" s="1"/>
  <c r="CH1159" i="6"/>
  <c r="CI1159" i="6" s="1"/>
  <c r="CH1150" i="6"/>
  <c r="CI1150" i="6" s="1"/>
  <c r="CH1177" i="6"/>
  <c r="CI1177" i="6" s="1"/>
  <c r="CH1185" i="6"/>
  <c r="CI1185" i="6" s="1"/>
  <c r="CH1193" i="6"/>
  <c r="CI1193" i="6" s="1"/>
  <c r="CH1201" i="6"/>
  <c r="CI1201" i="6" s="1"/>
  <c r="CH1209" i="6"/>
  <c r="CI1209" i="6" s="1"/>
  <c r="CH1217" i="6"/>
  <c r="CI1217" i="6" s="1"/>
  <c r="CH1225" i="6"/>
  <c r="CI1225" i="6" s="1"/>
  <c r="CH1233" i="6"/>
  <c r="CI1233" i="6" s="1"/>
  <c r="CH1249" i="6"/>
  <c r="CI1249" i="6" s="1"/>
  <c r="CH1257" i="6"/>
  <c r="CI1257" i="6" s="1"/>
  <c r="CH1265" i="6"/>
  <c r="CI1265" i="6" s="1"/>
  <c r="CF1034" i="6"/>
  <c r="CG1034" i="6" s="1"/>
  <c r="CF1050" i="6"/>
  <c r="CG1050" i="6" s="1"/>
  <c r="CF1058" i="6"/>
  <c r="CG1058" i="6" s="1"/>
  <c r="CF1082" i="6"/>
  <c r="CG1082" i="6" s="1"/>
  <c r="CF1090" i="6"/>
  <c r="CG1090" i="6" s="1"/>
  <c r="CF1098" i="6"/>
  <c r="CG1098" i="6" s="1"/>
  <c r="CF1106" i="6"/>
  <c r="CG1106" i="6" s="1"/>
  <c r="CF1114" i="6"/>
  <c r="CG1114" i="6" s="1"/>
  <c r="CF1122" i="6"/>
  <c r="CG1122" i="6" s="1"/>
  <c r="CF1130" i="6"/>
  <c r="CG1130" i="6" s="1"/>
  <c r="CF1138" i="6"/>
  <c r="CG1138" i="6" s="1"/>
  <c r="CF1146" i="6"/>
  <c r="CG1146" i="6" s="1"/>
  <c r="CF1172" i="6"/>
  <c r="CG1172" i="6" s="1"/>
  <c r="CH11" i="6"/>
  <c r="CI11" i="6" s="1"/>
  <c r="BH11" i="6" s="1"/>
  <c r="CH75" i="6"/>
  <c r="CI75" i="6" s="1"/>
  <c r="BH75" i="6" s="1"/>
  <c r="CH139" i="6"/>
  <c r="CI139" i="6" s="1"/>
  <c r="BH139" i="6" s="1"/>
  <c r="CH203" i="6"/>
  <c r="CI203" i="6" s="1"/>
  <c r="BH203" i="6" s="1"/>
  <c r="CH267" i="6"/>
  <c r="CI267" i="6" s="1"/>
  <c r="BH267" i="6" s="1"/>
  <c r="CH1058" i="6"/>
  <c r="CI1058" i="6" s="1"/>
  <c r="BH1058" i="6" s="1"/>
  <c r="CH1115" i="6"/>
  <c r="CI1115" i="6" s="1"/>
  <c r="BH1115" i="6" s="1"/>
  <c r="CH1135" i="6"/>
  <c r="CI1135" i="6" s="1"/>
  <c r="BH1135" i="6" s="1"/>
  <c r="CH1147" i="6"/>
  <c r="CI1147" i="6" s="1"/>
  <c r="BH1147" i="6" s="1"/>
  <c r="CH1166" i="6"/>
  <c r="CI1166" i="6" s="1"/>
  <c r="CH1154" i="6"/>
  <c r="CI1154" i="6" s="1"/>
  <c r="CH1186" i="6"/>
  <c r="CI1186" i="6" s="1"/>
  <c r="CH1199" i="6"/>
  <c r="CI1199" i="6" s="1"/>
  <c r="CH1211" i="6"/>
  <c r="CI1211" i="6" s="1"/>
  <c r="CH1224" i="6"/>
  <c r="CI1224" i="6" s="1"/>
  <c r="CH1236" i="6"/>
  <c r="CI1236" i="6" s="1"/>
  <c r="CH1250" i="6"/>
  <c r="CI1250" i="6" s="1"/>
  <c r="CH1263" i="6"/>
  <c r="CI1263" i="6" s="1"/>
  <c r="CF1028" i="6"/>
  <c r="CG1028" i="6" s="1"/>
  <c r="CF1053" i="6"/>
  <c r="CG1053" i="6" s="1"/>
  <c r="CF1092" i="6"/>
  <c r="CG1092" i="6" s="1"/>
  <c r="CF1103" i="6"/>
  <c r="CG1103" i="6" s="1"/>
  <c r="CF1113" i="6"/>
  <c r="CG1113" i="6" s="1"/>
  <c r="CF1124" i="6"/>
  <c r="CG1124" i="6" s="1"/>
  <c r="CF1135" i="6"/>
  <c r="CG1135" i="6" s="1"/>
  <c r="CF1145" i="6"/>
  <c r="CG1145" i="6" s="1"/>
  <c r="CF1173" i="6"/>
  <c r="CG1173" i="6" s="1"/>
  <c r="CF1181" i="6"/>
  <c r="CG1181" i="6" s="1"/>
  <c r="CF1189" i="6"/>
  <c r="CG1189" i="6" s="1"/>
  <c r="CF1197" i="6"/>
  <c r="CG1197" i="6" s="1"/>
  <c r="CF1205" i="6"/>
  <c r="CG1205" i="6" s="1"/>
  <c r="CF1221" i="6"/>
  <c r="CG1221" i="6" s="1"/>
  <c r="CF1229" i="6"/>
  <c r="CG1229" i="6" s="1"/>
  <c r="CF1237" i="6"/>
  <c r="CG1237" i="6" s="1"/>
  <c r="CF1245" i="6"/>
  <c r="CG1245" i="6" s="1"/>
  <c r="CF1253" i="6"/>
  <c r="CG1253" i="6" s="1"/>
  <c r="CF1261" i="6"/>
  <c r="CG1261" i="6" s="1"/>
  <c r="CF300" i="6"/>
  <c r="CG300" i="6" s="1"/>
  <c r="CF308" i="6"/>
  <c r="CG308" i="6" s="1"/>
  <c r="CF316" i="6"/>
  <c r="CG316" i="6" s="1"/>
  <c r="CF324" i="6"/>
  <c r="CG324" i="6" s="1"/>
  <c r="CF332" i="6"/>
  <c r="CG332" i="6" s="1"/>
  <c r="CF340" i="6"/>
  <c r="CG340" i="6" s="1"/>
  <c r="CF348" i="6"/>
  <c r="CG348" i="6" s="1"/>
  <c r="CF356" i="6"/>
  <c r="CG356" i="6" s="1"/>
  <c r="CF364" i="6"/>
  <c r="CG364" i="6" s="1"/>
  <c r="CF372" i="6"/>
  <c r="CG372" i="6" s="1"/>
  <c r="CF380" i="6"/>
  <c r="CG380" i="6" s="1"/>
  <c r="CF388" i="6"/>
  <c r="CG388" i="6" s="1"/>
  <c r="CF396" i="6"/>
  <c r="CG396" i="6" s="1"/>
  <c r="CF404" i="6"/>
  <c r="CG404" i="6" s="1"/>
  <c r="CF428" i="6"/>
  <c r="CG428" i="6" s="1"/>
  <c r="CF444" i="6"/>
  <c r="CG444" i="6" s="1"/>
  <c r="CF452" i="6"/>
  <c r="CG452" i="6" s="1"/>
  <c r="CF460" i="6"/>
  <c r="CG460" i="6" s="1"/>
  <c r="CF468" i="6"/>
  <c r="CG468" i="6" s="1"/>
  <c r="CF476" i="6"/>
  <c r="CG476" i="6" s="1"/>
  <c r="CF484" i="6"/>
  <c r="CG484" i="6" s="1"/>
  <c r="CF492" i="6"/>
  <c r="CG492" i="6" s="1"/>
  <c r="CF500" i="6"/>
  <c r="CG500" i="6" s="1"/>
  <c r="CF514" i="6"/>
  <c r="CG514" i="6" s="1"/>
  <c r="CF530" i="6"/>
  <c r="CG530" i="6" s="1"/>
  <c r="CH19" i="6"/>
  <c r="CI19" i="6" s="1"/>
  <c r="BH19" i="6" s="1"/>
  <c r="CH83" i="6"/>
  <c r="CI83" i="6" s="1"/>
  <c r="BH83" i="6" s="1"/>
  <c r="CH147" i="6"/>
  <c r="CI147" i="6" s="1"/>
  <c r="BH147" i="6" s="1"/>
  <c r="CH211" i="6"/>
  <c r="CI211" i="6" s="1"/>
  <c r="BH211" i="6" s="1"/>
  <c r="CH275" i="6"/>
  <c r="CI275" i="6" s="1"/>
  <c r="CH1066" i="6"/>
  <c r="CI1066" i="6" s="1"/>
  <c r="BH1066" i="6" s="1"/>
  <c r="CH1122" i="6"/>
  <c r="CI1122" i="6" s="1"/>
  <c r="BH1122" i="6" s="1"/>
  <c r="CH1136" i="6"/>
  <c r="CI1136" i="6" s="1"/>
  <c r="BH1136" i="6" s="1"/>
  <c r="CH1148" i="6"/>
  <c r="CI1148" i="6" s="1"/>
  <c r="BH1148" i="6" s="1"/>
  <c r="CH1158" i="6"/>
  <c r="CI1158" i="6" s="1"/>
  <c r="CH1175" i="6"/>
  <c r="CI1175" i="6" s="1"/>
  <c r="CH1187" i="6"/>
  <c r="CI1187" i="6" s="1"/>
  <c r="CH1200" i="6"/>
  <c r="CI1200" i="6" s="1"/>
  <c r="CH1212" i="6"/>
  <c r="CI1212" i="6" s="1"/>
  <c r="BH1212" i="6" s="1"/>
  <c r="AR1212" i="6" s="1"/>
  <c r="CH1226" i="6"/>
  <c r="CI1226" i="6" s="1"/>
  <c r="CH1251" i="6"/>
  <c r="CI1251" i="6" s="1"/>
  <c r="CH1264" i="6"/>
  <c r="CI1264" i="6" s="1"/>
  <c r="CF1043" i="6"/>
  <c r="CG1043" i="6" s="1"/>
  <c r="CF1056" i="6"/>
  <c r="CG1056" i="6" s="1"/>
  <c r="CF1093" i="6"/>
  <c r="CG1093" i="6" s="1"/>
  <c r="CF1104" i="6"/>
  <c r="CG1104" i="6" s="1"/>
  <c r="CF1115" i="6"/>
  <c r="CG1115" i="6" s="1"/>
  <c r="CF1125" i="6"/>
  <c r="CG1125" i="6" s="1"/>
  <c r="CF1136" i="6"/>
  <c r="CG1136" i="6" s="1"/>
  <c r="CF1147" i="6"/>
  <c r="CG1147" i="6" s="1"/>
  <c r="CF1162" i="6"/>
  <c r="CG1162" i="6" s="1"/>
  <c r="CF1160" i="6"/>
  <c r="CG1160" i="6" s="1"/>
  <c r="CF1190" i="6"/>
  <c r="CG1190" i="6" s="1"/>
  <c r="CF1198" i="6"/>
  <c r="CG1198" i="6" s="1"/>
  <c r="CF1214" i="6"/>
  <c r="CG1214" i="6" s="1"/>
  <c r="CF1222" i="6"/>
  <c r="CG1222" i="6" s="1"/>
  <c r="CF1230" i="6"/>
  <c r="CG1230" i="6" s="1"/>
  <c r="CF1238" i="6"/>
  <c r="CG1238" i="6" s="1"/>
  <c r="CF1254" i="6"/>
  <c r="CG1254" i="6" s="1"/>
  <c r="CF1262" i="6"/>
  <c r="CG1262" i="6" s="1"/>
  <c r="CF301" i="6"/>
  <c r="CG301" i="6" s="1"/>
  <c r="CF309" i="6"/>
  <c r="CG309" i="6" s="1"/>
  <c r="CF317" i="6"/>
  <c r="CG317" i="6" s="1"/>
  <c r="CF325" i="6"/>
  <c r="CG325" i="6" s="1"/>
  <c r="CF333" i="6"/>
  <c r="CG333" i="6" s="1"/>
  <c r="CF341" i="6"/>
  <c r="CG341" i="6" s="1"/>
  <c r="CF349" i="6"/>
  <c r="CG349" i="6" s="1"/>
  <c r="CF357" i="6"/>
  <c r="CG357" i="6" s="1"/>
  <c r="CF365" i="6"/>
  <c r="CG365" i="6" s="1"/>
  <c r="CF373" i="6"/>
  <c r="CG373" i="6" s="1"/>
  <c r="CF381" i="6"/>
  <c r="CG381" i="6" s="1"/>
  <c r="CF389" i="6"/>
  <c r="CG389" i="6" s="1"/>
  <c r="CF397" i="6"/>
  <c r="CG397" i="6" s="1"/>
  <c r="CF405" i="6"/>
  <c r="CG405" i="6" s="1"/>
  <c r="CF413" i="6"/>
  <c r="CG413" i="6" s="1"/>
  <c r="CF429" i="6"/>
  <c r="CG429" i="6" s="1"/>
  <c r="CF445" i="6"/>
  <c r="CG445" i="6" s="1"/>
  <c r="CF453" i="6"/>
  <c r="CG453" i="6" s="1"/>
  <c r="CF461" i="6"/>
  <c r="CG461" i="6" s="1"/>
  <c r="CF469" i="6"/>
  <c r="CG469" i="6" s="1"/>
  <c r="CF477" i="6"/>
  <c r="CG477" i="6" s="1"/>
  <c r="CF485" i="6"/>
  <c r="CG485" i="6" s="1"/>
  <c r="CH91" i="6"/>
  <c r="CI91" i="6" s="1"/>
  <c r="BH91" i="6" s="1"/>
  <c r="CH155" i="6"/>
  <c r="CI155" i="6" s="1"/>
  <c r="BH155" i="6" s="1"/>
  <c r="CH219" i="6"/>
  <c r="CI219" i="6" s="1"/>
  <c r="BH219" i="6" s="1"/>
  <c r="CH283" i="6"/>
  <c r="CI283" i="6" s="1"/>
  <c r="CH1074" i="6"/>
  <c r="CI1074" i="6" s="1"/>
  <c r="BH1074" i="6" s="1"/>
  <c r="AR1074" i="6" s="1"/>
  <c r="CH1123" i="6"/>
  <c r="CI1123" i="6" s="1"/>
  <c r="BH1123" i="6" s="1"/>
  <c r="CH1138" i="6"/>
  <c r="CI1138" i="6" s="1"/>
  <c r="BH1138" i="6" s="1"/>
  <c r="AR1138" i="6" s="1"/>
  <c r="CH1168" i="6"/>
  <c r="CI1168" i="6" s="1"/>
  <c r="CH1156" i="6"/>
  <c r="CI1156" i="6" s="1"/>
  <c r="CH1176" i="6"/>
  <c r="CI1176" i="6" s="1"/>
  <c r="CH1188" i="6"/>
  <c r="CI1188" i="6" s="1"/>
  <c r="CH1202" i="6"/>
  <c r="CI1202" i="6" s="1"/>
  <c r="CH1215" i="6"/>
  <c r="CI1215" i="6" s="1"/>
  <c r="CH1227" i="6"/>
  <c r="CI1227" i="6" s="1"/>
  <c r="BH1227" i="6" s="1"/>
  <c r="CH1252" i="6"/>
  <c r="CI1252" i="6" s="1"/>
  <c r="CH1266" i="6"/>
  <c r="CI1266" i="6" s="1"/>
  <c r="CF1057" i="6"/>
  <c r="CG1057" i="6" s="1"/>
  <c r="CF1083" i="6"/>
  <c r="CG1083" i="6" s="1"/>
  <c r="CF1095" i="6"/>
  <c r="CG1095" i="6" s="1"/>
  <c r="CF1105" i="6"/>
  <c r="CG1105" i="6" s="1"/>
  <c r="CF1116" i="6"/>
  <c r="CG1116" i="6" s="1"/>
  <c r="CF1127" i="6"/>
  <c r="CG1127" i="6" s="1"/>
  <c r="CF1137" i="6"/>
  <c r="CG1137" i="6" s="1"/>
  <c r="CF1148" i="6"/>
  <c r="CG1148" i="6" s="1"/>
  <c r="CF1175" i="6"/>
  <c r="CG1175" i="6" s="1"/>
  <c r="CF1183" i="6"/>
  <c r="CG1183" i="6" s="1"/>
  <c r="CF1191" i="6"/>
  <c r="CG1191" i="6" s="1"/>
  <c r="CF1199" i="6"/>
  <c r="CG1199" i="6" s="1"/>
  <c r="CF1207" i="6"/>
  <c r="CG1207" i="6" s="1"/>
  <c r="CF1215" i="6"/>
  <c r="CG1215" i="6" s="1"/>
  <c r="CF1223" i="6"/>
  <c r="CG1223" i="6" s="1"/>
  <c r="CF1231" i="6"/>
  <c r="CG1231" i="6" s="1"/>
  <c r="CF1247" i="6"/>
  <c r="CG1247" i="6" s="1"/>
  <c r="CF1255" i="6"/>
  <c r="CG1255" i="6" s="1"/>
  <c r="CF1263" i="6"/>
  <c r="CG1263" i="6" s="1"/>
  <c r="CF302" i="6"/>
  <c r="CG302" i="6" s="1"/>
  <c r="CF310" i="6"/>
  <c r="CF318" i="6"/>
  <c r="CG318" i="6" s="1"/>
  <c r="CF326" i="6"/>
  <c r="CG326" i="6" s="1"/>
  <c r="CF334" i="6"/>
  <c r="CG334" i="6" s="1"/>
  <c r="CF342" i="6"/>
  <c r="CG342" i="6" s="1"/>
  <c r="CF350" i="6"/>
  <c r="CG350" i="6" s="1"/>
  <c r="CF358" i="6"/>
  <c r="CG358" i="6" s="1"/>
  <c r="CF366" i="6"/>
  <c r="CG366" i="6" s="1"/>
  <c r="CF374" i="6"/>
  <c r="CG374" i="6" s="1"/>
  <c r="CF382" i="6"/>
  <c r="CG382" i="6" s="1"/>
  <c r="CF390" i="6"/>
  <c r="CG390" i="6" s="1"/>
  <c r="CF398" i="6"/>
  <c r="CG398" i="6" s="1"/>
  <c r="CF406" i="6"/>
  <c r="CG406" i="6" s="1"/>
  <c r="CF414" i="6"/>
  <c r="CG414" i="6" s="1"/>
  <c r="CF422" i="6"/>
  <c r="CG422" i="6" s="1"/>
  <c r="CF446" i="6"/>
  <c r="CG446" i="6" s="1"/>
  <c r="CF454" i="6"/>
  <c r="CG454" i="6" s="1"/>
  <c r="CF462" i="6"/>
  <c r="CG462" i="6" s="1"/>
  <c r="CF470" i="6"/>
  <c r="CG470" i="6" s="1"/>
  <c r="CF478" i="6"/>
  <c r="CG478" i="6" s="1"/>
  <c r="CF486" i="6"/>
  <c r="CG486" i="6" s="1"/>
  <c r="CF494" i="6"/>
  <c r="CG494" i="6" s="1"/>
  <c r="CF508" i="6"/>
  <c r="CG508" i="6" s="1"/>
  <c r="CF516" i="6"/>
  <c r="CG516" i="6" s="1"/>
  <c r="CF524" i="6"/>
  <c r="CG524" i="6" s="1"/>
  <c r="CF540" i="6"/>
  <c r="CG540" i="6" s="1"/>
  <c r="CF548" i="6"/>
  <c r="CG548" i="6" s="1"/>
  <c r="CF556" i="6"/>
  <c r="CG556" i="6" s="1"/>
  <c r="CF564" i="6"/>
  <c r="CG564" i="6" s="1"/>
  <c r="CF572" i="6"/>
  <c r="CG572" i="6" s="1"/>
  <c r="CF588" i="6"/>
  <c r="CG588" i="6" s="1"/>
  <c r="CF596" i="6"/>
  <c r="CG596" i="6" s="1"/>
  <c r="CF612" i="6"/>
  <c r="CG612" i="6" s="1"/>
  <c r="CF620" i="6"/>
  <c r="CG620" i="6" s="1"/>
  <c r="CF628" i="6"/>
  <c r="CG628" i="6" s="1"/>
  <c r="CH99" i="6"/>
  <c r="CI99" i="6" s="1"/>
  <c r="BH99" i="6" s="1"/>
  <c r="CH163" i="6"/>
  <c r="CI163" i="6" s="1"/>
  <c r="BH163" i="6" s="1"/>
  <c r="CH227" i="6"/>
  <c r="CI227" i="6" s="1"/>
  <c r="BH227" i="6" s="1"/>
  <c r="CH1018" i="6"/>
  <c r="CI1018" i="6" s="1"/>
  <c r="BH1018" i="6" s="1"/>
  <c r="AR1018" i="6" s="1"/>
  <c r="CH1082" i="6"/>
  <c r="CI1082" i="6" s="1"/>
  <c r="BH1082" i="6" s="1"/>
  <c r="CH1127" i="6"/>
  <c r="CI1127" i="6" s="1"/>
  <c r="BH1127" i="6" s="1"/>
  <c r="CH1139" i="6"/>
  <c r="CI1139" i="6" s="1"/>
  <c r="BH1139" i="6" s="1"/>
  <c r="CH1169" i="6"/>
  <c r="CI1169" i="6" s="1"/>
  <c r="CH1157" i="6"/>
  <c r="CI1157" i="6" s="1"/>
  <c r="CH1178" i="6"/>
  <c r="CI1178" i="6" s="1"/>
  <c r="CH1191" i="6"/>
  <c r="CI1191" i="6" s="1"/>
  <c r="BH1191" i="6" s="1"/>
  <c r="CH1203" i="6"/>
  <c r="CI1203" i="6" s="1"/>
  <c r="CH1216" i="6"/>
  <c r="CI1216" i="6" s="1"/>
  <c r="CH1228" i="6"/>
  <c r="CI1228" i="6" s="1"/>
  <c r="CH1255" i="6"/>
  <c r="CI1255" i="6" s="1"/>
  <c r="CH1267" i="6"/>
  <c r="CI1267" i="6" s="1"/>
  <c r="CF1084" i="6"/>
  <c r="CG1084" i="6" s="1"/>
  <c r="CF1096" i="6"/>
  <c r="CG1096" i="6" s="1"/>
  <c r="CF1107" i="6"/>
  <c r="CG1107" i="6" s="1"/>
  <c r="CF1117" i="6"/>
  <c r="CG1117" i="6" s="1"/>
  <c r="CF1128" i="6"/>
  <c r="CG1128" i="6" s="1"/>
  <c r="CF1139" i="6"/>
  <c r="CG1139" i="6" s="1"/>
  <c r="CF1166" i="6"/>
  <c r="CG1166" i="6" s="1"/>
  <c r="CF1184" i="6"/>
  <c r="CG1184" i="6" s="1"/>
  <c r="CF1200" i="6"/>
  <c r="CG1200" i="6" s="1"/>
  <c r="CF1208" i="6"/>
  <c r="CG1208" i="6" s="1"/>
  <c r="CF1224" i="6"/>
  <c r="CG1224" i="6" s="1"/>
  <c r="CF1232" i="6"/>
  <c r="CG1232" i="6" s="1"/>
  <c r="CF1248" i="6"/>
  <c r="CG1248" i="6" s="1"/>
  <c r="CF1256" i="6"/>
  <c r="CG1256" i="6" s="1"/>
  <c r="CF1264" i="6"/>
  <c r="CG1264" i="6" s="1"/>
  <c r="CF303" i="6"/>
  <c r="CG303" i="6" s="1"/>
  <c r="CF311" i="6"/>
  <c r="CG311" i="6" s="1"/>
  <c r="CF319" i="6"/>
  <c r="CG319" i="6" s="1"/>
  <c r="CF327" i="6"/>
  <c r="CG327" i="6" s="1"/>
  <c r="CF335" i="6"/>
  <c r="CG335" i="6" s="1"/>
  <c r="CF343" i="6"/>
  <c r="CG343" i="6" s="1"/>
  <c r="CF351" i="6"/>
  <c r="CG351" i="6" s="1"/>
  <c r="CF359" i="6"/>
  <c r="CG359" i="6" s="1"/>
  <c r="CF367" i="6"/>
  <c r="CG367" i="6" s="1"/>
  <c r="CF375" i="6"/>
  <c r="CG375" i="6" s="1"/>
  <c r="CF383" i="6"/>
  <c r="CG383" i="6" s="1"/>
  <c r="CF391" i="6"/>
  <c r="CG391" i="6" s="1"/>
  <c r="CF399" i="6"/>
  <c r="CG399" i="6" s="1"/>
  <c r="CF407" i="6"/>
  <c r="CG407" i="6" s="1"/>
  <c r="CF415" i="6"/>
  <c r="CG415" i="6" s="1"/>
  <c r="CF423" i="6"/>
  <c r="CG423" i="6" s="1"/>
  <c r="CF431" i="6"/>
  <c r="CG431" i="6" s="1"/>
  <c r="CF447" i="6"/>
  <c r="CG447" i="6" s="1"/>
  <c r="CF455" i="6"/>
  <c r="CG455" i="6" s="1"/>
  <c r="CF463" i="6"/>
  <c r="CG463" i="6" s="1"/>
  <c r="CF471" i="6"/>
  <c r="CG471" i="6" s="1"/>
  <c r="CF479" i="6"/>
  <c r="CG479" i="6" s="1"/>
  <c r="CF487" i="6"/>
  <c r="CG487" i="6" s="1"/>
  <c r="CF495" i="6"/>
  <c r="CG495" i="6" s="1"/>
  <c r="CF509" i="6"/>
  <c r="CG509" i="6" s="1"/>
  <c r="CF517" i="6"/>
  <c r="CG517" i="6" s="1"/>
  <c r="CF525" i="6"/>
  <c r="CG525" i="6" s="1"/>
  <c r="CF533" i="6"/>
  <c r="CG533" i="6" s="1"/>
  <c r="CF541" i="6"/>
  <c r="CG541" i="6" s="1"/>
  <c r="CF549" i="6"/>
  <c r="CG549" i="6" s="1"/>
  <c r="CF557" i="6"/>
  <c r="CG557" i="6" s="1"/>
  <c r="CF565" i="6"/>
  <c r="CG565" i="6" s="1"/>
  <c r="CF573" i="6"/>
  <c r="CG573" i="6" s="1"/>
  <c r="CF581" i="6"/>
  <c r="CG581" i="6" s="1"/>
  <c r="CF589" i="6"/>
  <c r="CG589" i="6" s="1"/>
  <c r="CF597" i="6"/>
  <c r="CG597" i="6" s="1"/>
  <c r="CF605" i="6"/>
  <c r="CG605" i="6" s="1"/>
  <c r="CF613" i="6"/>
  <c r="CG613" i="6" s="1"/>
  <c r="CH43" i="6"/>
  <c r="CI43" i="6" s="1"/>
  <c r="BH43" i="6" s="1"/>
  <c r="CH107" i="6"/>
  <c r="CI107" i="6" s="1"/>
  <c r="BH107" i="6" s="1"/>
  <c r="CH171" i="6"/>
  <c r="CI171" i="6" s="1"/>
  <c r="BH171" i="6" s="1"/>
  <c r="CH235" i="6"/>
  <c r="CI235" i="6" s="1"/>
  <c r="BH235" i="6" s="1"/>
  <c r="CH1026" i="6"/>
  <c r="CI1026" i="6" s="1"/>
  <c r="BH1026" i="6" s="1"/>
  <c r="CH1090" i="6"/>
  <c r="CI1090" i="6" s="1"/>
  <c r="BH1090" i="6" s="1"/>
  <c r="AR1090" i="6" s="1"/>
  <c r="CH1128" i="6"/>
  <c r="CI1128" i="6" s="1"/>
  <c r="BH1128" i="6" s="1"/>
  <c r="CH1140" i="6"/>
  <c r="CI1140" i="6" s="1"/>
  <c r="BH1140" i="6" s="1"/>
  <c r="AR1140" i="6" s="1"/>
  <c r="CH1172" i="6"/>
  <c r="CI1172" i="6" s="1"/>
  <c r="CH1153" i="6"/>
  <c r="CI1153" i="6" s="1"/>
  <c r="CH1179" i="6"/>
  <c r="CI1179" i="6" s="1"/>
  <c r="BH1179" i="6" s="1"/>
  <c r="CH1192" i="6"/>
  <c r="CI1192" i="6" s="1"/>
  <c r="CH1204" i="6"/>
  <c r="CI1204" i="6" s="1"/>
  <c r="CH1218" i="6"/>
  <c r="CI1218" i="6" s="1"/>
  <c r="CH1231" i="6"/>
  <c r="CI1231" i="6" s="1"/>
  <c r="CH1256" i="6"/>
  <c r="CI1256" i="6" s="1"/>
  <c r="CH1268" i="6"/>
  <c r="CI1268" i="6" s="1"/>
  <c r="BH1268" i="6" s="1"/>
  <c r="CF1073" i="6"/>
  <c r="CG1073" i="6" s="1"/>
  <c r="CF1085" i="6"/>
  <c r="CG1085" i="6" s="1"/>
  <c r="CF1097" i="6"/>
  <c r="CG1097" i="6" s="1"/>
  <c r="CF1108" i="6"/>
  <c r="CG1108" i="6" s="1"/>
  <c r="CF1119" i="6"/>
  <c r="CG1119" i="6" s="1"/>
  <c r="CF1129" i="6"/>
  <c r="CG1129" i="6" s="1"/>
  <c r="CF1140" i="6"/>
  <c r="CG1140" i="6" s="1"/>
  <c r="CF1168" i="6"/>
  <c r="CG1168" i="6" s="1"/>
  <c r="CF1159" i="6"/>
  <c r="CG1159" i="6" s="1"/>
  <c r="CF1150" i="6"/>
  <c r="CG1150" i="6" s="1"/>
  <c r="CF1177" i="6"/>
  <c r="CG1177" i="6" s="1"/>
  <c r="CF1185" i="6"/>
  <c r="CG1185" i="6" s="1"/>
  <c r="CF1193" i="6"/>
  <c r="CG1193" i="6" s="1"/>
  <c r="CF1201" i="6"/>
  <c r="CG1201" i="6" s="1"/>
  <c r="CF1217" i="6"/>
  <c r="CG1217" i="6" s="1"/>
  <c r="CF1225" i="6"/>
  <c r="CG1225" i="6" s="1"/>
  <c r="CF1233" i="6"/>
  <c r="CG1233" i="6" s="1"/>
  <c r="CF1257" i="6"/>
  <c r="CG1257" i="6" s="1"/>
  <c r="CF1265" i="6"/>
  <c r="CG1265" i="6" s="1"/>
  <c r="CF1022" i="6"/>
  <c r="CG1022" i="6" s="1"/>
  <c r="CF304" i="6"/>
  <c r="CG304" i="6" s="1"/>
  <c r="CF312" i="6"/>
  <c r="CG312" i="6" s="1"/>
  <c r="CF320" i="6"/>
  <c r="CG320" i="6" s="1"/>
  <c r="CF328" i="6"/>
  <c r="CG328" i="6" s="1"/>
  <c r="CF336" i="6"/>
  <c r="CG336" i="6" s="1"/>
  <c r="CF344" i="6"/>
  <c r="CG344" i="6" s="1"/>
  <c r="CF352" i="6"/>
  <c r="CG352" i="6" s="1"/>
  <c r="CF360" i="6"/>
  <c r="CG360" i="6" s="1"/>
  <c r="CF368" i="6"/>
  <c r="CG368" i="6" s="1"/>
  <c r="CF376" i="6"/>
  <c r="CG376" i="6" s="1"/>
  <c r="CF384" i="6"/>
  <c r="CG384" i="6" s="1"/>
  <c r="CF392" i="6"/>
  <c r="CG392" i="6" s="1"/>
  <c r="CF400" i="6"/>
  <c r="CG400" i="6" s="1"/>
  <c r="CF408" i="6"/>
  <c r="CG408" i="6" s="1"/>
  <c r="CF416" i="6"/>
  <c r="CG416" i="6" s="1"/>
  <c r="CF440" i="6"/>
  <c r="CG440" i="6" s="1"/>
  <c r="CF448" i="6"/>
  <c r="CG448" i="6" s="1"/>
  <c r="CF456" i="6"/>
  <c r="CG456" i="6" s="1"/>
  <c r="CF464" i="6"/>
  <c r="CG464" i="6" s="1"/>
  <c r="CF472" i="6"/>
  <c r="CG472" i="6" s="1"/>
  <c r="CF480" i="6"/>
  <c r="CG480" i="6" s="1"/>
  <c r="CF488" i="6"/>
  <c r="CG488" i="6" s="1"/>
  <c r="CF496" i="6"/>
  <c r="CG496" i="6" s="1"/>
  <c r="CF510" i="6"/>
  <c r="CG510" i="6" s="1"/>
  <c r="CF518" i="6"/>
  <c r="CG518" i="6" s="1"/>
  <c r="CF526" i="6"/>
  <c r="CG526" i="6" s="1"/>
  <c r="CF542" i="6"/>
  <c r="CG542" i="6" s="1"/>
  <c r="CH51" i="6"/>
  <c r="CI51" i="6" s="1"/>
  <c r="BH51" i="6" s="1"/>
  <c r="CH115" i="6"/>
  <c r="CI115" i="6" s="1"/>
  <c r="BH115" i="6" s="1"/>
  <c r="CH179" i="6"/>
  <c r="CI179" i="6" s="1"/>
  <c r="BH179" i="6" s="1"/>
  <c r="CH243" i="6"/>
  <c r="CI243" i="6" s="1"/>
  <c r="BH243" i="6" s="1"/>
  <c r="CH1034" i="6"/>
  <c r="CI1034" i="6" s="1"/>
  <c r="BH1034" i="6" s="1"/>
  <c r="CH1098" i="6"/>
  <c r="CI1098" i="6" s="1"/>
  <c r="BH1098" i="6" s="1"/>
  <c r="AR1098" i="6" s="1"/>
  <c r="CH1130" i="6"/>
  <c r="CI1130" i="6" s="1"/>
  <c r="BH1130" i="6" s="1"/>
  <c r="CH1143" i="6"/>
  <c r="CI1143" i="6" s="1"/>
  <c r="BH1143" i="6" s="1"/>
  <c r="CH1165" i="6"/>
  <c r="CI1165" i="6" s="1"/>
  <c r="CH1152" i="6"/>
  <c r="CI1152" i="6" s="1"/>
  <c r="CH1180" i="6"/>
  <c r="CI1180" i="6" s="1"/>
  <c r="BH1180" i="6" s="1"/>
  <c r="AR1180" i="6" s="1"/>
  <c r="CH1194" i="6"/>
  <c r="CI1194" i="6" s="1"/>
  <c r="CH1207" i="6"/>
  <c r="CI1207" i="6" s="1"/>
  <c r="CH1219" i="6"/>
  <c r="CI1219" i="6" s="1"/>
  <c r="CH1232" i="6"/>
  <c r="CI1232" i="6" s="1"/>
  <c r="CH1244" i="6"/>
  <c r="CI1244" i="6" s="1"/>
  <c r="CH1258" i="6"/>
  <c r="CI1258" i="6" s="1"/>
  <c r="CF1049" i="6"/>
  <c r="CG1049" i="6" s="1"/>
  <c r="CF1061" i="6"/>
  <c r="CG1061" i="6" s="1"/>
  <c r="CF1088" i="6"/>
  <c r="CG1088" i="6" s="1"/>
  <c r="CF1099" i="6"/>
  <c r="CG1099" i="6" s="1"/>
  <c r="CF1109" i="6"/>
  <c r="CG1109" i="6" s="1"/>
  <c r="CF1120" i="6"/>
  <c r="CG1120" i="6" s="1"/>
  <c r="CF1131" i="6"/>
  <c r="CG1131" i="6" s="1"/>
  <c r="CF1141" i="6"/>
  <c r="CG1141" i="6" s="1"/>
  <c r="CF1178" i="6"/>
  <c r="CG1178" i="6" s="1"/>
  <c r="CF1202" i="6"/>
  <c r="CG1202" i="6" s="1"/>
  <c r="CF1226" i="6"/>
  <c r="CG1226" i="6" s="1"/>
  <c r="CF1234" i="6"/>
  <c r="CG1234" i="6" s="1"/>
  <c r="CF1250" i="6"/>
  <c r="CG1250" i="6" s="1"/>
  <c r="CF1258" i="6"/>
  <c r="CG1258" i="6" s="1"/>
  <c r="CF1266" i="6"/>
  <c r="CG1266" i="6" s="1"/>
  <c r="CF305" i="6"/>
  <c r="CG305" i="6" s="1"/>
  <c r="CF313" i="6"/>
  <c r="CG313" i="6" s="1"/>
  <c r="CF321" i="6"/>
  <c r="CG321" i="6" s="1"/>
  <c r="CF329" i="6"/>
  <c r="CG329" i="6" s="1"/>
  <c r="CF337" i="6"/>
  <c r="CG337" i="6" s="1"/>
  <c r="CF345" i="6"/>
  <c r="CG345" i="6" s="1"/>
  <c r="CF353" i="6"/>
  <c r="CG353" i="6" s="1"/>
  <c r="CF361" i="6"/>
  <c r="CG361" i="6" s="1"/>
  <c r="CF369" i="6"/>
  <c r="CG369" i="6" s="1"/>
  <c r="CF377" i="6"/>
  <c r="CG377" i="6" s="1"/>
  <c r="CF385" i="6"/>
  <c r="CG385" i="6" s="1"/>
  <c r="CF393" i="6"/>
  <c r="CG393" i="6" s="1"/>
  <c r="CF401" i="6"/>
  <c r="CG401" i="6" s="1"/>
  <c r="CF409" i="6"/>
  <c r="CG409" i="6" s="1"/>
  <c r="CF425" i="6"/>
  <c r="CG425" i="6" s="1"/>
  <c r="CF433" i="6"/>
  <c r="CG433" i="6" s="1"/>
  <c r="CF441" i="6"/>
  <c r="CG441" i="6" s="1"/>
  <c r="CF449" i="6"/>
  <c r="CG449" i="6" s="1"/>
  <c r="CF457" i="6"/>
  <c r="CG457" i="6" s="1"/>
  <c r="CF465" i="6"/>
  <c r="CG465" i="6" s="1"/>
  <c r="CF473" i="6"/>
  <c r="CG473" i="6" s="1"/>
  <c r="CF481" i="6"/>
  <c r="CG481" i="6" s="1"/>
  <c r="CF489" i="6"/>
  <c r="CG489" i="6" s="1"/>
  <c r="CF497" i="6"/>
  <c r="CG497" i="6" s="1"/>
  <c r="CF511" i="6"/>
  <c r="CG511" i="6" s="1"/>
  <c r="CF519" i="6"/>
  <c r="CG519" i="6" s="1"/>
  <c r="CF527" i="6"/>
  <c r="CG527" i="6" s="1"/>
  <c r="CF543" i="6"/>
  <c r="CG543" i="6" s="1"/>
  <c r="CF551" i="6"/>
  <c r="CG551" i="6" s="1"/>
  <c r="CF559" i="6"/>
  <c r="CG559" i="6" s="1"/>
  <c r="CF567" i="6"/>
  <c r="CG567" i="6" s="1"/>
  <c r="CF575" i="6"/>
  <c r="CG575" i="6" s="1"/>
  <c r="CF591" i="6"/>
  <c r="CG591" i="6" s="1"/>
  <c r="CF599" i="6"/>
  <c r="CG599" i="6" s="1"/>
  <c r="CF607" i="6"/>
  <c r="CG607" i="6" s="1"/>
  <c r="CF615" i="6"/>
  <c r="CG615" i="6" s="1"/>
  <c r="CF631" i="6"/>
  <c r="CG631" i="6" s="1"/>
  <c r="CH59" i="6"/>
  <c r="CI59" i="6" s="1"/>
  <c r="BH59" i="6" s="1"/>
  <c r="CH1042" i="6"/>
  <c r="CI1042" i="6" s="1"/>
  <c r="BH1042" i="6" s="1"/>
  <c r="AR1042" i="6" s="1"/>
  <c r="CH1164" i="6"/>
  <c r="CI1164" i="6" s="1"/>
  <c r="CH1208" i="6"/>
  <c r="CI1208" i="6" s="1"/>
  <c r="CH1259" i="6"/>
  <c r="CI1259" i="6" s="1"/>
  <c r="CF1064" i="6"/>
  <c r="CG1064" i="6" s="1"/>
  <c r="CF1111" i="6"/>
  <c r="CG1111" i="6" s="1"/>
  <c r="CF1187" i="6"/>
  <c r="CG1187" i="6" s="1"/>
  <c r="CF1251" i="6"/>
  <c r="CG1251" i="6" s="1"/>
  <c r="CF306" i="6"/>
  <c r="CG306" i="6" s="1"/>
  <c r="CF338" i="6"/>
  <c r="CG338" i="6" s="1"/>
  <c r="CF370" i="6"/>
  <c r="CG370" i="6" s="1"/>
  <c r="CF402" i="6"/>
  <c r="CG402" i="6" s="1"/>
  <c r="CF434" i="6"/>
  <c r="CG434" i="6" s="1"/>
  <c r="CF466" i="6"/>
  <c r="CG466" i="6" s="1"/>
  <c r="CF493" i="6"/>
  <c r="CG493" i="6" s="1"/>
  <c r="CF521" i="6"/>
  <c r="CG521" i="6" s="1"/>
  <c r="CF539" i="6"/>
  <c r="CG539" i="6" s="1"/>
  <c r="CF554" i="6"/>
  <c r="CG554" i="6" s="1"/>
  <c r="CF568" i="6"/>
  <c r="CG568" i="6" s="1"/>
  <c r="CF579" i="6"/>
  <c r="CG579" i="6" s="1"/>
  <c r="CF593" i="6"/>
  <c r="CG593" i="6" s="1"/>
  <c r="CF618" i="6"/>
  <c r="CG618" i="6" s="1"/>
  <c r="CF630" i="6"/>
  <c r="CG630" i="6" s="1"/>
  <c r="CF663" i="6"/>
  <c r="CG663" i="6" s="1"/>
  <c r="CF671" i="6"/>
  <c r="CG671" i="6" s="1"/>
  <c r="CF679" i="6"/>
  <c r="CG679" i="6" s="1"/>
  <c r="CF687" i="6"/>
  <c r="CG687" i="6" s="1"/>
  <c r="CF695" i="6"/>
  <c r="CG695" i="6" s="1"/>
  <c r="CF703" i="6"/>
  <c r="CG703" i="6" s="1"/>
  <c r="CF711" i="6"/>
  <c r="CG711" i="6" s="1"/>
  <c r="CF719" i="6"/>
  <c r="CG719" i="6" s="1"/>
  <c r="CF735" i="6"/>
  <c r="CG735" i="6" s="1"/>
  <c r="CF743" i="6"/>
  <c r="CG743" i="6" s="1"/>
  <c r="CF751" i="6"/>
  <c r="CG751" i="6" s="1"/>
  <c r="CF759" i="6"/>
  <c r="CG759" i="6" s="1"/>
  <c r="CF767" i="6"/>
  <c r="CG767" i="6" s="1"/>
  <c r="CF775" i="6"/>
  <c r="CG775" i="6" s="1"/>
  <c r="CF783" i="6"/>
  <c r="CG783" i="6" s="1"/>
  <c r="CF791" i="6"/>
  <c r="CG791" i="6" s="1"/>
  <c r="CF799" i="6"/>
  <c r="CG799" i="6" s="1"/>
  <c r="CF807" i="6"/>
  <c r="CG807" i="6" s="1"/>
  <c r="CF815" i="6"/>
  <c r="CG815" i="6" s="1"/>
  <c r="CF823" i="6"/>
  <c r="CG823" i="6" s="1"/>
  <c r="CF831" i="6"/>
  <c r="CG831" i="6" s="1"/>
  <c r="CF839" i="6"/>
  <c r="CG839" i="6" s="1"/>
  <c r="CF847" i="6"/>
  <c r="CG847" i="6" s="1"/>
  <c r="CF855" i="6"/>
  <c r="CG855" i="6" s="1"/>
  <c r="CF863" i="6"/>
  <c r="CG863" i="6" s="1"/>
  <c r="CF871" i="6"/>
  <c r="CG871" i="6" s="1"/>
  <c r="CF879" i="6"/>
  <c r="CG879" i="6" s="1"/>
  <c r="CF887" i="6"/>
  <c r="CG887" i="6" s="1"/>
  <c r="CF903" i="6"/>
  <c r="CG903" i="6" s="1"/>
  <c r="CF911" i="6"/>
  <c r="CG911" i="6" s="1"/>
  <c r="CF919" i="6"/>
  <c r="CG919" i="6" s="1"/>
  <c r="CF927" i="6"/>
  <c r="CG927" i="6" s="1"/>
  <c r="CF935" i="6"/>
  <c r="CG935" i="6" s="1"/>
  <c r="CF943" i="6"/>
  <c r="CG943" i="6" s="1"/>
  <c r="CF951" i="6"/>
  <c r="CG951" i="6" s="1"/>
  <c r="CF959" i="6"/>
  <c r="CG959" i="6" s="1"/>
  <c r="CF983" i="6"/>
  <c r="CG983" i="6" s="1"/>
  <c r="CF999" i="6"/>
  <c r="CG999" i="6" s="1"/>
  <c r="CF1007" i="6"/>
  <c r="CG1007" i="6" s="1"/>
  <c r="CF42" i="6"/>
  <c r="CG42" i="6" s="1"/>
  <c r="CF50" i="6"/>
  <c r="CG50" i="6" s="1"/>
  <c r="CF58" i="6"/>
  <c r="CG58" i="6" s="1"/>
  <c r="CF74" i="6"/>
  <c r="CG74" i="6" s="1"/>
  <c r="CF82" i="6"/>
  <c r="CG82" i="6" s="1"/>
  <c r="CF90" i="6"/>
  <c r="CG90" i="6" s="1"/>
  <c r="CF98" i="6"/>
  <c r="CG98" i="6" s="1"/>
  <c r="CF106" i="6"/>
  <c r="CG106" i="6" s="1"/>
  <c r="CF114" i="6"/>
  <c r="CG114" i="6" s="1"/>
  <c r="CH1050" i="6"/>
  <c r="CI1050" i="6" s="1"/>
  <c r="BH1050" i="6" s="1"/>
  <c r="CH1161" i="6"/>
  <c r="CI1161" i="6" s="1"/>
  <c r="CH1210" i="6"/>
  <c r="CI1210" i="6" s="1"/>
  <c r="CH1260" i="6"/>
  <c r="CI1260" i="6" s="1"/>
  <c r="CF1112" i="6"/>
  <c r="CG1112" i="6" s="1"/>
  <c r="CF1220" i="6"/>
  <c r="CG1220" i="6" s="1"/>
  <c r="CF1252" i="6"/>
  <c r="CG1252" i="6" s="1"/>
  <c r="CF307" i="6"/>
  <c r="CG307" i="6" s="1"/>
  <c r="CF339" i="6"/>
  <c r="CG339" i="6" s="1"/>
  <c r="CF371" i="6"/>
  <c r="CG371" i="6" s="1"/>
  <c r="CF403" i="6"/>
  <c r="CG403" i="6" s="1"/>
  <c r="CF467" i="6"/>
  <c r="CG467" i="6" s="1"/>
  <c r="CF498" i="6"/>
  <c r="CG498" i="6" s="1"/>
  <c r="CF523" i="6"/>
  <c r="CG523" i="6" s="1"/>
  <c r="CF544" i="6"/>
  <c r="CG544" i="6" s="1"/>
  <c r="CF555" i="6"/>
  <c r="CG555" i="6" s="1"/>
  <c r="CF569" i="6"/>
  <c r="CG569" i="6" s="1"/>
  <c r="CF594" i="6"/>
  <c r="CG594" i="6" s="1"/>
  <c r="CF608" i="6"/>
  <c r="CG608" i="6" s="1"/>
  <c r="CF619" i="6"/>
  <c r="CG619" i="6" s="1"/>
  <c r="CF632" i="6"/>
  <c r="CG632" i="6" s="1"/>
  <c r="CF656" i="6"/>
  <c r="CG656" i="6" s="1"/>
  <c r="CF664" i="6"/>
  <c r="CG664" i="6" s="1"/>
  <c r="CF672" i="6"/>
  <c r="CG672" i="6" s="1"/>
  <c r="CF680" i="6"/>
  <c r="CG680" i="6" s="1"/>
  <c r="CF688" i="6"/>
  <c r="CG688" i="6" s="1"/>
  <c r="CF696" i="6"/>
  <c r="CG696" i="6" s="1"/>
  <c r="CF704" i="6"/>
  <c r="CG704" i="6" s="1"/>
  <c r="CF712" i="6"/>
  <c r="CG712" i="6" s="1"/>
  <c r="CF720" i="6"/>
  <c r="CG720" i="6" s="1"/>
  <c r="CF728" i="6"/>
  <c r="CG728" i="6" s="1"/>
  <c r="CF736" i="6"/>
  <c r="CG736" i="6" s="1"/>
  <c r="CF744" i="6"/>
  <c r="CG744" i="6" s="1"/>
  <c r="CF752" i="6"/>
  <c r="CG752" i="6" s="1"/>
  <c r="CF760" i="6"/>
  <c r="CG760" i="6" s="1"/>
  <c r="CF768" i="6"/>
  <c r="CG768" i="6" s="1"/>
  <c r="CF776" i="6"/>
  <c r="CG776" i="6" s="1"/>
  <c r="CF784" i="6"/>
  <c r="CG784" i="6" s="1"/>
  <c r="CF792" i="6"/>
  <c r="CG792" i="6" s="1"/>
  <c r="CF800" i="6"/>
  <c r="CG800" i="6" s="1"/>
  <c r="CF808" i="6"/>
  <c r="CG808" i="6" s="1"/>
  <c r="CF816" i="6"/>
  <c r="CG816" i="6" s="1"/>
  <c r="CF824" i="6"/>
  <c r="CG824" i="6" s="1"/>
  <c r="CF832" i="6"/>
  <c r="CG832" i="6" s="1"/>
  <c r="CF840" i="6"/>
  <c r="CG840" i="6" s="1"/>
  <c r="CF848" i="6"/>
  <c r="CG848" i="6" s="1"/>
  <c r="CF856" i="6"/>
  <c r="CG856" i="6" s="1"/>
  <c r="CF864" i="6"/>
  <c r="CG864" i="6" s="1"/>
  <c r="CF872" i="6"/>
  <c r="CG872" i="6" s="1"/>
  <c r="CF880" i="6"/>
  <c r="CG880" i="6" s="1"/>
  <c r="CF888" i="6"/>
  <c r="CG888" i="6" s="1"/>
  <c r="CF896" i="6"/>
  <c r="CG896" i="6" s="1"/>
  <c r="CF904" i="6"/>
  <c r="CG904" i="6" s="1"/>
  <c r="CF912" i="6"/>
  <c r="CG912" i="6" s="1"/>
  <c r="CF920" i="6"/>
  <c r="CG920" i="6" s="1"/>
  <c r="CF928" i="6"/>
  <c r="CG928" i="6" s="1"/>
  <c r="CF944" i="6"/>
  <c r="CG944" i="6" s="1"/>
  <c r="CF952" i="6"/>
  <c r="CG952" i="6" s="1"/>
  <c r="CF968" i="6"/>
  <c r="CG968" i="6" s="1"/>
  <c r="CF984" i="6"/>
  <c r="CG984" i="6" s="1"/>
  <c r="CF992" i="6"/>
  <c r="CG992" i="6" s="1"/>
  <c r="CF1000" i="6"/>
  <c r="CG1000" i="6" s="1"/>
  <c r="CF1008" i="6"/>
  <c r="CG1008" i="6" s="1"/>
  <c r="CF43" i="6"/>
  <c r="CG43" i="6" s="1"/>
  <c r="CF51" i="6"/>
  <c r="CG51" i="6" s="1"/>
  <c r="CF59" i="6"/>
  <c r="CG59" i="6" s="1"/>
  <c r="CF75" i="6"/>
  <c r="CG75" i="6" s="1"/>
  <c r="CF83" i="6"/>
  <c r="CG83" i="6" s="1"/>
  <c r="CF91" i="6"/>
  <c r="CG91" i="6" s="1"/>
  <c r="CF99" i="6"/>
  <c r="CG99" i="6" s="1"/>
  <c r="CF107" i="6"/>
  <c r="CG107" i="6" s="1"/>
  <c r="CF115" i="6"/>
  <c r="CG115" i="6" s="1"/>
  <c r="CF123" i="6"/>
  <c r="CG123" i="6" s="1"/>
  <c r="CH123" i="6"/>
  <c r="CI123" i="6" s="1"/>
  <c r="BH123" i="6" s="1"/>
  <c r="CH1106" i="6"/>
  <c r="CI1106" i="6" s="1"/>
  <c r="BH1106" i="6" s="1"/>
  <c r="CH1151" i="6"/>
  <c r="CI1151" i="6" s="1"/>
  <c r="CH1220" i="6"/>
  <c r="CI1220" i="6" s="1"/>
  <c r="CF1025" i="6"/>
  <c r="CG1025" i="6" s="1"/>
  <c r="CF1076" i="6"/>
  <c r="CG1076" i="6" s="1"/>
  <c r="CF1121" i="6"/>
  <c r="CG1121" i="6" s="1"/>
  <c r="CF1156" i="6"/>
  <c r="CG1156" i="6" s="1"/>
  <c r="CF1227" i="6"/>
  <c r="CG1227" i="6" s="1"/>
  <c r="CF1259" i="6"/>
  <c r="CG1259" i="6" s="1"/>
  <c r="CF314" i="6"/>
  <c r="CG314" i="6" s="1"/>
  <c r="CF346" i="6"/>
  <c r="CG346" i="6" s="1"/>
  <c r="CF410" i="6"/>
  <c r="CG410" i="6" s="1"/>
  <c r="CF442" i="6"/>
  <c r="CG442" i="6" s="1"/>
  <c r="CF474" i="6"/>
  <c r="CG474" i="6" s="1"/>
  <c r="CF499" i="6"/>
  <c r="CG499" i="6" s="1"/>
  <c r="CF528" i="6"/>
  <c r="CG528" i="6" s="1"/>
  <c r="CF545" i="6"/>
  <c r="CG545" i="6" s="1"/>
  <c r="CF558" i="6"/>
  <c r="CG558" i="6" s="1"/>
  <c r="CF570" i="6"/>
  <c r="CG570" i="6" s="1"/>
  <c r="CF584" i="6"/>
  <c r="CG584" i="6" s="1"/>
  <c r="CF595" i="6"/>
  <c r="CG595" i="6" s="1"/>
  <c r="CF609" i="6"/>
  <c r="CG609" i="6" s="1"/>
  <c r="CF657" i="6"/>
  <c r="CG657" i="6" s="1"/>
  <c r="CF665" i="6"/>
  <c r="CG665" i="6" s="1"/>
  <c r="CF673" i="6"/>
  <c r="CG673" i="6" s="1"/>
  <c r="CF681" i="6"/>
  <c r="CG681" i="6" s="1"/>
  <c r="CF689" i="6"/>
  <c r="CG689" i="6" s="1"/>
  <c r="CF697" i="6"/>
  <c r="CG697" i="6" s="1"/>
  <c r="CF705" i="6"/>
  <c r="CG705" i="6" s="1"/>
  <c r="CF713" i="6"/>
  <c r="CG713" i="6" s="1"/>
  <c r="CF721" i="6"/>
  <c r="CG721" i="6" s="1"/>
  <c r="CF729" i="6"/>
  <c r="CG729" i="6" s="1"/>
  <c r="CF737" i="6"/>
  <c r="CG737" i="6" s="1"/>
  <c r="CF745" i="6"/>
  <c r="CG745" i="6" s="1"/>
  <c r="CF753" i="6"/>
  <c r="CG753" i="6" s="1"/>
  <c r="CF761" i="6"/>
  <c r="CG761" i="6" s="1"/>
  <c r="CF769" i="6"/>
  <c r="CG769" i="6" s="1"/>
  <c r="CF777" i="6"/>
  <c r="CG777" i="6" s="1"/>
  <c r="CF785" i="6"/>
  <c r="CG785" i="6" s="1"/>
  <c r="CF793" i="6"/>
  <c r="CG793" i="6" s="1"/>
  <c r="CF809" i="6"/>
  <c r="CG809" i="6" s="1"/>
  <c r="CF817" i="6"/>
  <c r="CG817" i="6" s="1"/>
  <c r="CF825" i="6"/>
  <c r="CG825" i="6" s="1"/>
  <c r="CF833" i="6"/>
  <c r="CG833" i="6" s="1"/>
  <c r="CF841" i="6"/>
  <c r="CG841" i="6" s="1"/>
  <c r="CF849" i="6"/>
  <c r="CG849" i="6" s="1"/>
  <c r="CF857" i="6"/>
  <c r="CG857" i="6" s="1"/>
  <c r="CF865" i="6"/>
  <c r="CG865" i="6" s="1"/>
  <c r="CF881" i="6"/>
  <c r="CG881" i="6" s="1"/>
  <c r="CF889" i="6"/>
  <c r="CG889" i="6" s="1"/>
  <c r="CF897" i="6"/>
  <c r="CG897" i="6" s="1"/>
  <c r="CF905" i="6"/>
  <c r="CG905" i="6" s="1"/>
  <c r="CF913" i="6"/>
  <c r="CG913" i="6" s="1"/>
  <c r="CF921" i="6"/>
  <c r="CG921" i="6" s="1"/>
  <c r="CF929" i="6"/>
  <c r="CG929" i="6" s="1"/>
  <c r="CF937" i="6"/>
  <c r="CG937" i="6" s="1"/>
  <c r="CF945" i="6"/>
  <c r="CG945" i="6" s="1"/>
  <c r="CF953" i="6"/>
  <c r="CG953" i="6" s="1"/>
  <c r="CF985" i="6"/>
  <c r="CG985" i="6" s="1"/>
  <c r="CF993" i="6"/>
  <c r="CG993" i="6" s="1"/>
  <c r="CF1001" i="6"/>
  <c r="CG1001" i="6" s="1"/>
  <c r="CF1009" i="6"/>
  <c r="CG1009" i="6" s="1"/>
  <c r="CF44" i="6"/>
  <c r="CG44" i="6" s="1"/>
  <c r="CF52" i="6"/>
  <c r="CG52" i="6" s="1"/>
  <c r="CF60" i="6"/>
  <c r="CG60" i="6" s="1"/>
  <c r="CF68" i="6"/>
  <c r="CG68" i="6" s="1"/>
  <c r="CF76" i="6"/>
  <c r="CG76" i="6" s="1"/>
  <c r="CF84" i="6"/>
  <c r="CG84" i="6" s="1"/>
  <c r="CF92" i="6"/>
  <c r="CG92" i="6" s="1"/>
  <c r="CF100" i="6"/>
  <c r="CG100" i="6" s="1"/>
  <c r="CF108" i="6"/>
  <c r="CG108" i="6" s="1"/>
  <c r="CH131" i="6"/>
  <c r="CI131" i="6" s="1"/>
  <c r="BH131" i="6" s="1"/>
  <c r="CH1114" i="6"/>
  <c r="CI1114" i="6" s="1"/>
  <c r="BH1114" i="6" s="1"/>
  <c r="CH1149" i="6"/>
  <c r="CI1149" i="6" s="1"/>
  <c r="CH1223" i="6"/>
  <c r="CI1223" i="6" s="1"/>
  <c r="CF1123" i="6"/>
  <c r="CG1123" i="6" s="1"/>
  <c r="CF1196" i="6"/>
  <c r="CG1196" i="6" s="1"/>
  <c r="CF1260" i="6"/>
  <c r="CG1260" i="6" s="1"/>
  <c r="CF315" i="6"/>
  <c r="CG315" i="6" s="1"/>
  <c r="CF347" i="6"/>
  <c r="CG347" i="6" s="1"/>
  <c r="CF379" i="6"/>
  <c r="CG379" i="6" s="1"/>
  <c r="CF411" i="6"/>
  <c r="CG411" i="6" s="1"/>
  <c r="CF443" i="6"/>
  <c r="CG443" i="6" s="1"/>
  <c r="CF475" i="6"/>
  <c r="CG475" i="6" s="1"/>
  <c r="CF507" i="6"/>
  <c r="CG507" i="6" s="1"/>
  <c r="CF529" i="6"/>
  <c r="CG529" i="6" s="1"/>
  <c r="CF546" i="6"/>
  <c r="CG546" i="6" s="1"/>
  <c r="CF560" i="6"/>
  <c r="CG560" i="6" s="1"/>
  <c r="CF571" i="6"/>
  <c r="CG571" i="6" s="1"/>
  <c r="CF585" i="6"/>
  <c r="CG585" i="6" s="1"/>
  <c r="CF598" i="6"/>
  <c r="CG598" i="6" s="1"/>
  <c r="CF610" i="6"/>
  <c r="CG610" i="6" s="1"/>
  <c r="CF650" i="6"/>
  <c r="CG650" i="6" s="1"/>
  <c r="CF666" i="6"/>
  <c r="CG666" i="6" s="1"/>
  <c r="CF674" i="6"/>
  <c r="CG674" i="6" s="1"/>
  <c r="CF682" i="6"/>
  <c r="CG682" i="6" s="1"/>
  <c r="CF690" i="6"/>
  <c r="CG690" i="6" s="1"/>
  <c r="CF698" i="6"/>
  <c r="CG698" i="6" s="1"/>
  <c r="CF706" i="6"/>
  <c r="CG706" i="6" s="1"/>
  <c r="CF714" i="6"/>
  <c r="CG714" i="6" s="1"/>
  <c r="CF722" i="6"/>
  <c r="CG722" i="6" s="1"/>
  <c r="CF738" i="6"/>
  <c r="CG738" i="6" s="1"/>
  <c r="CF746" i="6"/>
  <c r="CG746" i="6" s="1"/>
  <c r="CF754" i="6"/>
  <c r="CG754" i="6" s="1"/>
  <c r="CF762" i="6"/>
  <c r="CG762" i="6" s="1"/>
  <c r="CF770" i="6"/>
  <c r="CG770" i="6" s="1"/>
  <c r="CF778" i="6"/>
  <c r="CG778" i="6" s="1"/>
  <c r="CF786" i="6"/>
  <c r="CG786" i="6" s="1"/>
  <c r="CF794" i="6"/>
  <c r="CG794" i="6" s="1"/>
  <c r="CF810" i="6"/>
  <c r="CG810" i="6" s="1"/>
  <c r="CF818" i="6"/>
  <c r="CG818" i="6" s="1"/>
  <c r="CF826" i="6"/>
  <c r="CG826" i="6" s="1"/>
  <c r="CF834" i="6"/>
  <c r="CG834" i="6" s="1"/>
  <c r="CF842" i="6"/>
  <c r="CG842" i="6" s="1"/>
  <c r="CF866" i="6"/>
  <c r="CG866" i="6" s="1"/>
  <c r="CF874" i="6"/>
  <c r="CG874" i="6" s="1"/>
  <c r="CF882" i="6"/>
  <c r="CG882" i="6" s="1"/>
  <c r="CF890" i="6"/>
  <c r="CG890" i="6" s="1"/>
  <c r="CF898" i="6"/>
  <c r="CG898" i="6" s="1"/>
  <c r="CF906" i="6"/>
  <c r="CG906" i="6" s="1"/>
  <c r="CF914" i="6"/>
  <c r="CG914" i="6" s="1"/>
  <c r="CF922" i="6"/>
  <c r="CG922" i="6" s="1"/>
  <c r="CF930" i="6"/>
  <c r="CG930" i="6" s="1"/>
  <c r="CF938" i="6"/>
  <c r="CG938" i="6" s="1"/>
  <c r="CF946" i="6"/>
  <c r="CG946" i="6" s="1"/>
  <c r="CF954" i="6"/>
  <c r="CG954" i="6" s="1"/>
  <c r="CF962" i="6"/>
  <c r="CG962" i="6" s="1"/>
  <c r="CF986" i="6"/>
  <c r="CG986" i="6" s="1"/>
  <c r="CH187" i="6"/>
  <c r="CI187" i="6" s="1"/>
  <c r="BH187" i="6" s="1"/>
  <c r="CH1131" i="6"/>
  <c r="CI1131" i="6" s="1"/>
  <c r="BH1131" i="6" s="1"/>
  <c r="CH1183" i="6"/>
  <c r="CI1183" i="6" s="1"/>
  <c r="CH1234" i="6"/>
  <c r="CI1234" i="6" s="1"/>
  <c r="CF1037" i="6"/>
  <c r="CG1037" i="6" s="1"/>
  <c r="CF1089" i="6"/>
  <c r="CG1089" i="6" s="1"/>
  <c r="CF1132" i="6"/>
  <c r="CG1132" i="6" s="1"/>
  <c r="CF1235" i="6"/>
  <c r="CG1235" i="6" s="1"/>
  <c r="CF1267" i="6"/>
  <c r="CG1267" i="6" s="1"/>
  <c r="CF322" i="6"/>
  <c r="CG322" i="6" s="1"/>
  <c r="CF354" i="6"/>
  <c r="CG354" i="6" s="1"/>
  <c r="CF386" i="6"/>
  <c r="CG386" i="6" s="1"/>
  <c r="CF450" i="6"/>
  <c r="CG450" i="6" s="1"/>
  <c r="CF482" i="6"/>
  <c r="CG482" i="6" s="1"/>
  <c r="CF512" i="6"/>
  <c r="CG512" i="6" s="1"/>
  <c r="CF547" i="6"/>
  <c r="CG547" i="6" s="1"/>
  <c r="CF561" i="6"/>
  <c r="CG561" i="6" s="1"/>
  <c r="CF574" i="6"/>
  <c r="CG574" i="6" s="1"/>
  <c r="CF586" i="6"/>
  <c r="CG586" i="6" s="1"/>
  <c r="CF600" i="6"/>
  <c r="CG600" i="6" s="1"/>
  <c r="CF611" i="6"/>
  <c r="CG611" i="6" s="1"/>
  <c r="CF659" i="6"/>
  <c r="CG659" i="6" s="1"/>
  <c r="CF667" i="6"/>
  <c r="CG667" i="6" s="1"/>
  <c r="CF675" i="6"/>
  <c r="CG675" i="6" s="1"/>
  <c r="CF683" i="6"/>
  <c r="CG683" i="6" s="1"/>
  <c r="CF691" i="6"/>
  <c r="CG691" i="6" s="1"/>
  <c r="CF699" i="6"/>
  <c r="CG699" i="6" s="1"/>
  <c r="CF707" i="6"/>
  <c r="CG707" i="6" s="1"/>
  <c r="CF715" i="6"/>
  <c r="CG715" i="6" s="1"/>
  <c r="CF723" i="6"/>
  <c r="CG723" i="6" s="1"/>
  <c r="CF731" i="6"/>
  <c r="CG731" i="6" s="1"/>
  <c r="CF739" i="6"/>
  <c r="CG739" i="6" s="1"/>
  <c r="CF747" i="6"/>
  <c r="CG747" i="6" s="1"/>
  <c r="CF755" i="6"/>
  <c r="CG755" i="6" s="1"/>
  <c r="CF763" i="6"/>
  <c r="CG763" i="6" s="1"/>
  <c r="CF771" i="6"/>
  <c r="CG771" i="6" s="1"/>
  <c r="CF779" i="6"/>
  <c r="CG779" i="6" s="1"/>
  <c r="CF787" i="6"/>
  <c r="CG787" i="6" s="1"/>
  <c r="CF795" i="6"/>
  <c r="CG795" i="6" s="1"/>
  <c r="CF803" i="6"/>
  <c r="CG803" i="6" s="1"/>
  <c r="CF811" i="6"/>
  <c r="CG811" i="6" s="1"/>
  <c r="CF819" i="6"/>
  <c r="CG819" i="6" s="1"/>
  <c r="CF827" i="6"/>
  <c r="CG827" i="6" s="1"/>
  <c r="CF835" i="6"/>
  <c r="CG835" i="6" s="1"/>
  <c r="CF843" i="6"/>
  <c r="CG843" i="6" s="1"/>
  <c r="CF851" i="6"/>
  <c r="CG851" i="6" s="1"/>
  <c r="CF859" i="6"/>
  <c r="CG859" i="6" s="1"/>
  <c r="CF867" i="6"/>
  <c r="CG867" i="6" s="1"/>
  <c r="CF875" i="6"/>
  <c r="CG875" i="6" s="1"/>
  <c r="CF883" i="6"/>
  <c r="CG883" i="6" s="1"/>
  <c r="CF899" i="6"/>
  <c r="CG899" i="6" s="1"/>
  <c r="CF907" i="6"/>
  <c r="CG907" i="6" s="1"/>
  <c r="CF923" i="6"/>
  <c r="CG923" i="6" s="1"/>
  <c r="CF931" i="6"/>
  <c r="CG931" i="6" s="1"/>
  <c r="CF939" i="6"/>
  <c r="CG939" i="6" s="1"/>
  <c r="CF947" i="6"/>
  <c r="CG947" i="6" s="1"/>
  <c r="CF955" i="6"/>
  <c r="CG955" i="6" s="1"/>
  <c r="CF971" i="6"/>
  <c r="CG971" i="6" s="1"/>
  <c r="CF995" i="6"/>
  <c r="CG995" i="6" s="1"/>
  <c r="CF1003" i="6"/>
  <c r="CG1003" i="6" s="1"/>
  <c r="CF297" i="6"/>
  <c r="CG297" i="6" s="1"/>
  <c r="CF46" i="6"/>
  <c r="CG46" i="6" s="1"/>
  <c r="CF54" i="6"/>
  <c r="CG54" i="6" s="1"/>
  <c r="CF62" i="6"/>
  <c r="CG62" i="6" s="1"/>
  <c r="CH195" i="6"/>
  <c r="CI195" i="6" s="1"/>
  <c r="BH195" i="6" s="1"/>
  <c r="CH1132" i="6"/>
  <c r="CI1132" i="6" s="1"/>
  <c r="BH1132" i="6" s="1"/>
  <c r="AR1132" i="6" s="1"/>
  <c r="CH1184" i="6"/>
  <c r="CI1184" i="6" s="1"/>
  <c r="CH1235" i="6"/>
  <c r="CI1235" i="6" s="1"/>
  <c r="CF1040" i="6"/>
  <c r="CG1040" i="6" s="1"/>
  <c r="CF1091" i="6"/>
  <c r="CG1091" i="6" s="1"/>
  <c r="CF1133" i="6"/>
  <c r="CG1133" i="6" s="1"/>
  <c r="CF1154" i="6"/>
  <c r="CG1154" i="6" s="1"/>
  <c r="CF1236" i="6"/>
  <c r="CG1236" i="6" s="1"/>
  <c r="CF1268" i="6"/>
  <c r="CG1268" i="6" s="1"/>
  <c r="CF323" i="6"/>
  <c r="CG323" i="6" s="1"/>
  <c r="CF355" i="6"/>
  <c r="CG355" i="6" s="1"/>
  <c r="CF387" i="6"/>
  <c r="CG387" i="6" s="1"/>
  <c r="CF451" i="6"/>
  <c r="CG451" i="6" s="1"/>
  <c r="CF483" i="6"/>
  <c r="CG483" i="6" s="1"/>
  <c r="CF513" i="6"/>
  <c r="CG513" i="6" s="1"/>
  <c r="CF536" i="6"/>
  <c r="CG536" i="6" s="1"/>
  <c r="CF550" i="6"/>
  <c r="CG550" i="6" s="1"/>
  <c r="CF562" i="6"/>
  <c r="CG562" i="6" s="1"/>
  <c r="CF576" i="6"/>
  <c r="CG576" i="6" s="1"/>
  <c r="CF587" i="6"/>
  <c r="CG587" i="6" s="1"/>
  <c r="CF601" i="6"/>
  <c r="CG601" i="6" s="1"/>
  <c r="CF614" i="6"/>
  <c r="CG614" i="6" s="1"/>
  <c r="CF626" i="6"/>
  <c r="CG626" i="6" s="1"/>
  <c r="CF644" i="6"/>
  <c r="CG644" i="6" s="1"/>
  <c r="CF668" i="6"/>
  <c r="CG668" i="6" s="1"/>
  <c r="CF676" i="6"/>
  <c r="CG676" i="6" s="1"/>
  <c r="CF684" i="6"/>
  <c r="CG684" i="6" s="1"/>
  <c r="CF692" i="6"/>
  <c r="CG692" i="6" s="1"/>
  <c r="CF700" i="6"/>
  <c r="CG700" i="6" s="1"/>
  <c r="CF708" i="6"/>
  <c r="CG708" i="6" s="1"/>
  <c r="CF716" i="6"/>
  <c r="CG716" i="6" s="1"/>
  <c r="CF740" i="6"/>
  <c r="CG740" i="6" s="1"/>
  <c r="CF748" i="6"/>
  <c r="CG748" i="6" s="1"/>
  <c r="CF756" i="6"/>
  <c r="CG756" i="6" s="1"/>
  <c r="CF764" i="6"/>
  <c r="CG764" i="6" s="1"/>
  <c r="CF772" i="6"/>
  <c r="CG772" i="6" s="1"/>
  <c r="CF780" i="6"/>
  <c r="CG780" i="6" s="1"/>
  <c r="CF788" i="6"/>
  <c r="CG788" i="6" s="1"/>
  <c r="CF796" i="6"/>
  <c r="CG796" i="6" s="1"/>
  <c r="CF812" i="6"/>
  <c r="CG812" i="6" s="1"/>
  <c r="CF820" i="6"/>
  <c r="CG820" i="6" s="1"/>
  <c r="CF828" i="6"/>
  <c r="CG828" i="6" s="1"/>
  <c r="CF836" i="6"/>
  <c r="CG836" i="6" s="1"/>
  <c r="CF844" i="6"/>
  <c r="CG844" i="6" s="1"/>
  <c r="CF852" i="6"/>
  <c r="CG852" i="6" s="1"/>
  <c r="CF860" i="6"/>
  <c r="CG860" i="6" s="1"/>
  <c r="CF868" i="6"/>
  <c r="CG868" i="6" s="1"/>
  <c r="CF876" i="6"/>
  <c r="CG876" i="6" s="1"/>
  <c r="CF884" i="6"/>
  <c r="CG884" i="6" s="1"/>
  <c r="CF900" i="6"/>
  <c r="CG900" i="6" s="1"/>
  <c r="CF908" i="6"/>
  <c r="CG908" i="6" s="1"/>
  <c r="CF924" i="6"/>
  <c r="CG924" i="6" s="1"/>
  <c r="CF932" i="6"/>
  <c r="CG932" i="6" s="1"/>
  <c r="CF940" i="6"/>
  <c r="CG940" i="6" s="1"/>
  <c r="CF948" i="6"/>
  <c r="CG948" i="6" s="1"/>
  <c r="CF956" i="6"/>
  <c r="CG956" i="6" s="1"/>
  <c r="CF980" i="6"/>
  <c r="CG980" i="6" s="1"/>
  <c r="CF996" i="6"/>
  <c r="CG996" i="6" s="1"/>
  <c r="CF1004" i="6"/>
  <c r="CG1004" i="6" s="1"/>
  <c r="CF39" i="6"/>
  <c r="CG39" i="6" s="1"/>
  <c r="CF47" i="6"/>
  <c r="CG47" i="6" s="1"/>
  <c r="CF55" i="6"/>
  <c r="CG55" i="6" s="1"/>
  <c r="CF63" i="6"/>
  <c r="CG63" i="6" s="1"/>
  <c r="CF71" i="6"/>
  <c r="CG71" i="6" s="1"/>
  <c r="CF79" i="6"/>
  <c r="CG79" i="6" s="1"/>
  <c r="CF87" i="6"/>
  <c r="CG87" i="6" s="1"/>
  <c r="CF95" i="6"/>
  <c r="CG95" i="6" s="1"/>
  <c r="CF103" i="6"/>
  <c r="CG103" i="6" s="1"/>
  <c r="CF111" i="6"/>
  <c r="CG111" i="6" s="1"/>
  <c r="CF119" i="6"/>
  <c r="CG119" i="6" s="1"/>
  <c r="CH251" i="6"/>
  <c r="CI251" i="6" s="1"/>
  <c r="BH251" i="6" s="1"/>
  <c r="CF362" i="6"/>
  <c r="CG362" i="6" s="1"/>
  <c r="CF563" i="6"/>
  <c r="CG563" i="6" s="1"/>
  <c r="CF685" i="6"/>
  <c r="CG685" i="6" s="1"/>
  <c r="CF781" i="6"/>
  <c r="CG781" i="6" s="1"/>
  <c r="CF845" i="6"/>
  <c r="CG845" i="6" s="1"/>
  <c r="CF909" i="6"/>
  <c r="CG909" i="6" s="1"/>
  <c r="CF973" i="6"/>
  <c r="CG973" i="6" s="1"/>
  <c r="CF48" i="6"/>
  <c r="CG48" i="6" s="1"/>
  <c r="CF85" i="6"/>
  <c r="CG85" i="6" s="1"/>
  <c r="CF126" i="6"/>
  <c r="CG126" i="6" s="1"/>
  <c r="CF142" i="6"/>
  <c r="CG142" i="6" s="1"/>
  <c r="CF158" i="6"/>
  <c r="CG158" i="6" s="1"/>
  <c r="CF174" i="6"/>
  <c r="CG174" i="6" s="1"/>
  <c r="CF190" i="6"/>
  <c r="CG190" i="6" s="1"/>
  <c r="CF206" i="6"/>
  <c r="CG206" i="6" s="1"/>
  <c r="CF222" i="6"/>
  <c r="CG222" i="6" s="1"/>
  <c r="CF246" i="6"/>
  <c r="CG246" i="6" s="1"/>
  <c r="CF262" i="6"/>
  <c r="CG262" i="6" s="1"/>
  <c r="CF278" i="6"/>
  <c r="CG278" i="6" s="1"/>
  <c r="CF195" i="6"/>
  <c r="CG195" i="6" s="1"/>
  <c r="CF251" i="6"/>
  <c r="CG251" i="6" s="1"/>
  <c r="CH1247" i="6"/>
  <c r="CI1247" i="6" s="1"/>
  <c r="CF837" i="6"/>
  <c r="CG837" i="6" s="1"/>
  <c r="CF41" i="6"/>
  <c r="CG41" i="6" s="1"/>
  <c r="CF132" i="6"/>
  <c r="CG132" i="6" s="1"/>
  <c r="CF180" i="6"/>
  <c r="CG180" i="6" s="1"/>
  <c r="CF236" i="6"/>
  <c r="CG236" i="6" s="1"/>
  <c r="CH259" i="6"/>
  <c r="CI259" i="6" s="1"/>
  <c r="BH259" i="6" s="1"/>
  <c r="CF1052" i="6"/>
  <c r="CG1052" i="6" s="1"/>
  <c r="CF363" i="6"/>
  <c r="CG363" i="6" s="1"/>
  <c r="CF491" i="6"/>
  <c r="CG491" i="6" s="1"/>
  <c r="CF566" i="6"/>
  <c r="CG566" i="6" s="1"/>
  <c r="CF617" i="6"/>
  <c r="CG617" i="6" s="1"/>
  <c r="CF686" i="6"/>
  <c r="CG686" i="6" s="1"/>
  <c r="CF718" i="6"/>
  <c r="CG718" i="6" s="1"/>
  <c r="CF750" i="6"/>
  <c r="CG750" i="6" s="1"/>
  <c r="CF782" i="6"/>
  <c r="CG782" i="6" s="1"/>
  <c r="CF814" i="6"/>
  <c r="CG814" i="6" s="1"/>
  <c r="CF846" i="6"/>
  <c r="CG846" i="6" s="1"/>
  <c r="CF878" i="6"/>
  <c r="CG878" i="6" s="1"/>
  <c r="CF910" i="6"/>
  <c r="CG910" i="6" s="1"/>
  <c r="CF942" i="6"/>
  <c r="CG942" i="6" s="1"/>
  <c r="CF974" i="6"/>
  <c r="CG974" i="6" s="1"/>
  <c r="CF1002" i="6"/>
  <c r="CG1002" i="6" s="1"/>
  <c r="CF49" i="6"/>
  <c r="CG49" i="6" s="1"/>
  <c r="CF70" i="6"/>
  <c r="CG70" i="6" s="1"/>
  <c r="CF86" i="6"/>
  <c r="CG86" i="6" s="1"/>
  <c r="CF102" i="6"/>
  <c r="CG102" i="6" s="1"/>
  <c r="CF117" i="6"/>
  <c r="CG117" i="6" s="1"/>
  <c r="CF127" i="6"/>
  <c r="CG127" i="6" s="1"/>
  <c r="CF135" i="6"/>
  <c r="CG135" i="6" s="1"/>
  <c r="CF143" i="6"/>
  <c r="CG143" i="6" s="1"/>
  <c r="CF151" i="6"/>
  <c r="CG151" i="6" s="1"/>
  <c r="CF159" i="6"/>
  <c r="CG159" i="6" s="1"/>
  <c r="CF167" i="6"/>
  <c r="CG167" i="6" s="1"/>
  <c r="CF175" i="6"/>
  <c r="CG175" i="6" s="1"/>
  <c r="CF183" i="6"/>
  <c r="CG183" i="6" s="1"/>
  <c r="CF191" i="6"/>
  <c r="CG191" i="6" s="1"/>
  <c r="CF199" i="6"/>
  <c r="CG199" i="6" s="1"/>
  <c r="CF207" i="6"/>
  <c r="CG207" i="6" s="1"/>
  <c r="CF223" i="6"/>
  <c r="CG223" i="6" s="1"/>
  <c r="CF231" i="6"/>
  <c r="CG231" i="6" s="1"/>
  <c r="CF239" i="6"/>
  <c r="CG239" i="6" s="1"/>
  <c r="CF247" i="6"/>
  <c r="CG247" i="6" s="1"/>
  <c r="CF255" i="6"/>
  <c r="CG255" i="6" s="1"/>
  <c r="CF263" i="6"/>
  <c r="CG263" i="6" s="1"/>
  <c r="CF271" i="6"/>
  <c r="CG271" i="6" s="1"/>
  <c r="CF279" i="6"/>
  <c r="CG279" i="6" s="1"/>
  <c r="CF287" i="6"/>
  <c r="CG287" i="6" s="1"/>
  <c r="CF1143" i="6"/>
  <c r="CG1143" i="6" s="1"/>
  <c r="CF765" i="6"/>
  <c r="CG765" i="6" s="1"/>
  <c r="CF893" i="6"/>
  <c r="CG893" i="6" s="1"/>
  <c r="CF1010" i="6"/>
  <c r="CG1010" i="6" s="1"/>
  <c r="CF121" i="6"/>
  <c r="CG121" i="6" s="1"/>
  <c r="CF154" i="6"/>
  <c r="CG154" i="6" s="1"/>
  <c r="CF186" i="6"/>
  <c r="CG186" i="6" s="1"/>
  <c r="CF210" i="6"/>
  <c r="CG210" i="6" s="1"/>
  <c r="CF242" i="6"/>
  <c r="CG242" i="6" s="1"/>
  <c r="CF1144" i="6"/>
  <c r="CG1144" i="6" s="1"/>
  <c r="CF592" i="6"/>
  <c r="CG592" i="6" s="1"/>
  <c r="CF734" i="6"/>
  <c r="CG734" i="6" s="1"/>
  <c r="CF862" i="6"/>
  <c r="CG862" i="6" s="1"/>
  <c r="CF78" i="6"/>
  <c r="CG78" i="6" s="1"/>
  <c r="CF131" i="6"/>
  <c r="CG131" i="6" s="1"/>
  <c r="CF163" i="6"/>
  <c r="CG163" i="6" s="1"/>
  <c r="CF203" i="6"/>
  <c r="CG203" i="6" s="1"/>
  <c r="CF235" i="6"/>
  <c r="CG235" i="6" s="1"/>
  <c r="CF275" i="6"/>
  <c r="CG275" i="6" s="1"/>
  <c r="CF458" i="6"/>
  <c r="CG458" i="6" s="1"/>
  <c r="CF741" i="6"/>
  <c r="CG741" i="6" s="1"/>
  <c r="CF933" i="6"/>
  <c r="CG933" i="6" s="1"/>
  <c r="CF80" i="6"/>
  <c r="CG80" i="6" s="1"/>
  <c r="CF156" i="6"/>
  <c r="CG156" i="6" s="1"/>
  <c r="CF204" i="6"/>
  <c r="CG204" i="6" s="1"/>
  <c r="CF252" i="6"/>
  <c r="CG252" i="6" s="1"/>
  <c r="CH1144" i="6"/>
  <c r="CI1144" i="6" s="1"/>
  <c r="BH1144" i="6" s="1"/>
  <c r="AR1144" i="6" s="1"/>
  <c r="CF1100" i="6"/>
  <c r="CG1100" i="6" s="1"/>
  <c r="CF394" i="6"/>
  <c r="CG394" i="6" s="1"/>
  <c r="CF515" i="6"/>
  <c r="CG515" i="6" s="1"/>
  <c r="CF577" i="6"/>
  <c r="CG577" i="6" s="1"/>
  <c r="CF627" i="6"/>
  <c r="CG627" i="6" s="1"/>
  <c r="CF661" i="6"/>
  <c r="CG661" i="6" s="1"/>
  <c r="CF693" i="6"/>
  <c r="CG693" i="6" s="1"/>
  <c r="CF725" i="6"/>
  <c r="CG725" i="6" s="1"/>
  <c r="CF757" i="6"/>
  <c r="CG757" i="6" s="1"/>
  <c r="CF789" i="6"/>
  <c r="CG789" i="6" s="1"/>
  <c r="CF821" i="6"/>
  <c r="CG821" i="6" s="1"/>
  <c r="CF853" i="6"/>
  <c r="CG853" i="6" s="1"/>
  <c r="CF885" i="6"/>
  <c r="CG885" i="6" s="1"/>
  <c r="CF917" i="6"/>
  <c r="CG917" i="6" s="1"/>
  <c r="CF949" i="6"/>
  <c r="CG949" i="6" s="1"/>
  <c r="CF981" i="6"/>
  <c r="CG981" i="6" s="1"/>
  <c r="CF1005" i="6"/>
  <c r="CG1005" i="6" s="1"/>
  <c r="CF53" i="6"/>
  <c r="CG53" i="6" s="1"/>
  <c r="CF72" i="6"/>
  <c r="CG72" i="6" s="1"/>
  <c r="CF88" i="6"/>
  <c r="CG88" i="6" s="1"/>
  <c r="CF104" i="6"/>
  <c r="CG104" i="6" s="1"/>
  <c r="CF118" i="6"/>
  <c r="CG118" i="6" s="1"/>
  <c r="CF128" i="6"/>
  <c r="CG128" i="6" s="1"/>
  <c r="CF136" i="6"/>
  <c r="CG136" i="6" s="1"/>
  <c r="CF144" i="6"/>
  <c r="CG144" i="6" s="1"/>
  <c r="CF152" i="6"/>
  <c r="CG152" i="6" s="1"/>
  <c r="CF160" i="6"/>
  <c r="CG160" i="6" s="1"/>
  <c r="CF168" i="6"/>
  <c r="CG168" i="6" s="1"/>
  <c r="CF176" i="6"/>
  <c r="CG176" i="6" s="1"/>
  <c r="CF184" i="6"/>
  <c r="CG184" i="6" s="1"/>
  <c r="CF192" i="6"/>
  <c r="CG192" i="6" s="1"/>
  <c r="CF200" i="6"/>
  <c r="CG200" i="6" s="1"/>
  <c r="CF208" i="6"/>
  <c r="CG208" i="6" s="1"/>
  <c r="CF224" i="6"/>
  <c r="CG224" i="6" s="1"/>
  <c r="CF232" i="6"/>
  <c r="CG232" i="6" s="1"/>
  <c r="CF240" i="6"/>
  <c r="CG240" i="6" s="1"/>
  <c r="CF248" i="6"/>
  <c r="CG248" i="6" s="1"/>
  <c r="CF256" i="6"/>
  <c r="CG256" i="6" s="1"/>
  <c r="CF264" i="6"/>
  <c r="CG264" i="6" s="1"/>
  <c r="CF272" i="6"/>
  <c r="CG272" i="6" s="1"/>
  <c r="CF280" i="6"/>
  <c r="CG280" i="6" s="1"/>
  <c r="CF288" i="6"/>
  <c r="CG288" i="6" s="1"/>
  <c r="CF298" i="6"/>
  <c r="CG298" i="6" s="1"/>
  <c r="CF669" i="6"/>
  <c r="CG669" i="6" s="1"/>
  <c r="CF797" i="6"/>
  <c r="CG797" i="6" s="1"/>
  <c r="CF957" i="6"/>
  <c r="CG957" i="6" s="1"/>
  <c r="CF77" i="6"/>
  <c r="CG77" i="6" s="1"/>
  <c r="CF130" i="6"/>
  <c r="CG130" i="6" s="1"/>
  <c r="CF162" i="6"/>
  <c r="CG162" i="6" s="1"/>
  <c r="CF194" i="6"/>
  <c r="CG194" i="6" s="1"/>
  <c r="CF226" i="6"/>
  <c r="CG226" i="6" s="1"/>
  <c r="CF250" i="6"/>
  <c r="CG250" i="6" s="1"/>
  <c r="CH1196" i="6"/>
  <c r="CI1196" i="6" s="1"/>
  <c r="CF538" i="6"/>
  <c r="CG538" i="6" s="1"/>
  <c r="CF702" i="6"/>
  <c r="CG702" i="6" s="1"/>
  <c r="CF830" i="6"/>
  <c r="CG830" i="6" s="1"/>
  <c r="CF94" i="6"/>
  <c r="CG94" i="6" s="1"/>
  <c r="CF139" i="6"/>
  <c r="CG139" i="6" s="1"/>
  <c r="CF171" i="6"/>
  <c r="CG171" i="6" s="1"/>
  <c r="CF227" i="6"/>
  <c r="CG227" i="6" s="1"/>
  <c r="CF283" i="6"/>
  <c r="CG283" i="6" s="1"/>
  <c r="CF552" i="6"/>
  <c r="CG552" i="6" s="1"/>
  <c r="CF709" i="6"/>
  <c r="CG709" i="6" s="1"/>
  <c r="CF901" i="6"/>
  <c r="CG901" i="6" s="1"/>
  <c r="CF112" i="6"/>
  <c r="CG112" i="6" s="1"/>
  <c r="CF164" i="6"/>
  <c r="CG164" i="6" s="1"/>
  <c r="CF228" i="6"/>
  <c r="CG228" i="6" s="1"/>
  <c r="CF284" i="6"/>
  <c r="CG284" i="6" s="1"/>
  <c r="CH1146" i="6"/>
  <c r="CI1146" i="6" s="1"/>
  <c r="BH1146" i="6" s="1"/>
  <c r="AR1146" i="6" s="1"/>
  <c r="CF1101" i="6"/>
  <c r="CG1101" i="6" s="1"/>
  <c r="CF1244" i="6"/>
  <c r="CG1244" i="6" s="1"/>
  <c r="CF395" i="6"/>
  <c r="CG395" i="6" s="1"/>
  <c r="CF578" i="6"/>
  <c r="CG578" i="6" s="1"/>
  <c r="CF629" i="6"/>
  <c r="CG629" i="6" s="1"/>
  <c r="CF662" i="6"/>
  <c r="CG662" i="6" s="1"/>
  <c r="CF694" i="6"/>
  <c r="CG694" i="6" s="1"/>
  <c r="CF758" i="6"/>
  <c r="CG758" i="6" s="1"/>
  <c r="CF790" i="6"/>
  <c r="CG790" i="6" s="1"/>
  <c r="CF822" i="6"/>
  <c r="CG822" i="6" s="1"/>
  <c r="CF854" i="6"/>
  <c r="CG854" i="6" s="1"/>
  <c r="CF886" i="6"/>
  <c r="CG886" i="6" s="1"/>
  <c r="CF918" i="6"/>
  <c r="CG918" i="6" s="1"/>
  <c r="CF950" i="6"/>
  <c r="CG950" i="6" s="1"/>
  <c r="CF982" i="6"/>
  <c r="CG982" i="6" s="1"/>
  <c r="CF1006" i="6"/>
  <c r="CG1006" i="6" s="1"/>
  <c r="CF56" i="6"/>
  <c r="CG56" i="6" s="1"/>
  <c r="CF73" i="6"/>
  <c r="CG73" i="6" s="1"/>
  <c r="CF89" i="6"/>
  <c r="CG89" i="6" s="1"/>
  <c r="CF105" i="6"/>
  <c r="CG105" i="6" s="1"/>
  <c r="CF120" i="6"/>
  <c r="CG120" i="6" s="1"/>
  <c r="CF129" i="6"/>
  <c r="CG129" i="6" s="1"/>
  <c r="CF137" i="6"/>
  <c r="CG137" i="6" s="1"/>
  <c r="CF145" i="6"/>
  <c r="CG145" i="6" s="1"/>
  <c r="CF153" i="6"/>
  <c r="CG153" i="6" s="1"/>
  <c r="CF161" i="6"/>
  <c r="CG161" i="6" s="1"/>
  <c r="CF169" i="6"/>
  <c r="CG169" i="6" s="1"/>
  <c r="CF177" i="6"/>
  <c r="CG177" i="6" s="1"/>
  <c r="CF185" i="6"/>
  <c r="CG185" i="6" s="1"/>
  <c r="CF193" i="6"/>
  <c r="CG193" i="6" s="1"/>
  <c r="CF201" i="6"/>
  <c r="CG201" i="6" s="1"/>
  <c r="CF209" i="6"/>
  <c r="CG209" i="6" s="1"/>
  <c r="CF225" i="6"/>
  <c r="CG225" i="6" s="1"/>
  <c r="CF233" i="6"/>
  <c r="CG233" i="6" s="1"/>
  <c r="CF241" i="6"/>
  <c r="CG241" i="6" s="1"/>
  <c r="CF249" i="6"/>
  <c r="CG249" i="6" s="1"/>
  <c r="CF257" i="6"/>
  <c r="CG257" i="6" s="1"/>
  <c r="CF265" i="6"/>
  <c r="CG265" i="6" s="1"/>
  <c r="CF273" i="6"/>
  <c r="CG273" i="6" s="1"/>
  <c r="CF281" i="6"/>
  <c r="CG281" i="6" s="1"/>
  <c r="CF289" i="6"/>
  <c r="CG289" i="6" s="1"/>
  <c r="CF590" i="6"/>
  <c r="CG590" i="6" s="1"/>
  <c r="CF733" i="6"/>
  <c r="CG733" i="6" s="1"/>
  <c r="CF829" i="6"/>
  <c r="CG829" i="6" s="1"/>
  <c r="CF925" i="6"/>
  <c r="CG925" i="6" s="1"/>
  <c r="CF57" i="6"/>
  <c r="CG57" i="6" s="1"/>
  <c r="CF109" i="6"/>
  <c r="CG109" i="6" s="1"/>
  <c r="CF146" i="6"/>
  <c r="CG146" i="6" s="1"/>
  <c r="CF178" i="6"/>
  <c r="CG178" i="6" s="1"/>
  <c r="CF218" i="6"/>
  <c r="CG218" i="6" s="1"/>
  <c r="CF258" i="6"/>
  <c r="CG258" i="6" s="1"/>
  <c r="CF290" i="6"/>
  <c r="CG290" i="6" s="1"/>
  <c r="CF299" i="6"/>
  <c r="CG299" i="6" s="1"/>
  <c r="CF638" i="6"/>
  <c r="CG638" i="6" s="1"/>
  <c r="CF766" i="6"/>
  <c r="CG766" i="6" s="1"/>
  <c r="CF894" i="6"/>
  <c r="CG894" i="6" s="1"/>
  <c r="CF40" i="6"/>
  <c r="CG40" i="6" s="1"/>
  <c r="CF110" i="6"/>
  <c r="CG110" i="6" s="1"/>
  <c r="CF147" i="6"/>
  <c r="CG147" i="6" s="1"/>
  <c r="CF179" i="6"/>
  <c r="CG179" i="6" s="1"/>
  <c r="CF219" i="6"/>
  <c r="CG219" i="6" s="1"/>
  <c r="CF267" i="6"/>
  <c r="CG267" i="6" s="1"/>
  <c r="CF330" i="6"/>
  <c r="CG330" i="6" s="1"/>
  <c r="CF677" i="6"/>
  <c r="CG677" i="6" s="1"/>
  <c r="CF994" i="6"/>
  <c r="CG994" i="6" s="1"/>
  <c r="CF124" i="6"/>
  <c r="CG124" i="6" s="1"/>
  <c r="CF172" i="6"/>
  <c r="CG172" i="6" s="1"/>
  <c r="CF220" i="6"/>
  <c r="CG220" i="6" s="1"/>
  <c r="CF268" i="6"/>
  <c r="CG268" i="6" s="1"/>
  <c r="CH1195" i="6"/>
  <c r="CI1195" i="6" s="1"/>
  <c r="CF701" i="6"/>
  <c r="CG701" i="6" s="1"/>
  <c r="CF861" i="6"/>
  <c r="CG861" i="6" s="1"/>
  <c r="CF989" i="6"/>
  <c r="CG989" i="6" s="1"/>
  <c r="CF93" i="6"/>
  <c r="CG93" i="6" s="1"/>
  <c r="CF138" i="6"/>
  <c r="CG138" i="6" s="1"/>
  <c r="CF170" i="6"/>
  <c r="CG170" i="6" s="1"/>
  <c r="CF202" i="6"/>
  <c r="CG202" i="6" s="1"/>
  <c r="CF234" i="6"/>
  <c r="CG234" i="6" s="1"/>
  <c r="CF266" i="6"/>
  <c r="CG266" i="6" s="1"/>
  <c r="CF282" i="6"/>
  <c r="CG282" i="6" s="1"/>
  <c r="CF427" i="6"/>
  <c r="CG427" i="6" s="1"/>
  <c r="CF670" i="6"/>
  <c r="CG670" i="6" s="1"/>
  <c r="CF798" i="6"/>
  <c r="CG798" i="6" s="1"/>
  <c r="CF926" i="6"/>
  <c r="CG926" i="6" s="1"/>
  <c r="CF61" i="6"/>
  <c r="CG61" i="6" s="1"/>
  <c r="CF122" i="6"/>
  <c r="CG122" i="6" s="1"/>
  <c r="CF155" i="6"/>
  <c r="CG155" i="6" s="1"/>
  <c r="CF187" i="6"/>
  <c r="CG187" i="6" s="1"/>
  <c r="CF243" i="6"/>
  <c r="CG243" i="6" s="1"/>
  <c r="CF869" i="6"/>
  <c r="CG869" i="6" s="1"/>
  <c r="CF140" i="6"/>
  <c r="CG140" i="6" s="1"/>
  <c r="CF188" i="6"/>
  <c r="CG188" i="6" s="1"/>
  <c r="CF212" i="6"/>
  <c r="CG212" i="6" s="1"/>
  <c r="CF260" i="6"/>
  <c r="CG260" i="6" s="1"/>
  <c r="CH1248" i="6"/>
  <c r="CI1248" i="6" s="1"/>
  <c r="CF331" i="6"/>
  <c r="CG331" i="6" s="1"/>
  <c r="CF459" i="6"/>
  <c r="CG459" i="6" s="1"/>
  <c r="CF553" i="6"/>
  <c r="CG553" i="6" s="1"/>
  <c r="CF603" i="6"/>
  <c r="CG603" i="6" s="1"/>
  <c r="CF678" i="6"/>
  <c r="CG678" i="6" s="1"/>
  <c r="CF710" i="6"/>
  <c r="CG710" i="6" s="1"/>
  <c r="CF742" i="6"/>
  <c r="CG742" i="6" s="1"/>
  <c r="CF774" i="6"/>
  <c r="CG774" i="6" s="1"/>
  <c r="CF806" i="6"/>
  <c r="CG806" i="6" s="1"/>
  <c r="CF838" i="6"/>
  <c r="CG838" i="6" s="1"/>
  <c r="CF902" i="6"/>
  <c r="CG902" i="6" s="1"/>
  <c r="CF934" i="6"/>
  <c r="CG934" i="6" s="1"/>
  <c r="CF997" i="6"/>
  <c r="CG997" i="6" s="1"/>
  <c r="CF45" i="6"/>
  <c r="CG45" i="6" s="1"/>
  <c r="CF65" i="6"/>
  <c r="CG65" i="6" s="1"/>
  <c r="CF81" i="6"/>
  <c r="CG81" i="6" s="1"/>
  <c r="CF97" i="6"/>
  <c r="CG97" i="6" s="1"/>
  <c r="CF113" i="6"/>
  <c r="CG113" i="6" s="1"/>
  <c r="CF125" i="6"/>
  <c r="CG125" i="6" s="1"/>
  <c r="CF133" i="6"/>
  <c r="CG133" i="6" s="1"/>
  <c r="CF141" i="6"/>
  <c r="CG141" i="6" s="1"/>
  <c r="CF149" i="6"/>
  <c r="CG149" i="6" s="1"/>
  <c r="CF157" i="6"/>
  <c r="CG157" i="6" s="1"/>
  <c r="CF165" i="6"/>
  <c r="CG165" i="6" s="1"/>
  <c r="CF173" i="6"/>
  <c r="CG173" i="6" s="1"/>
  <c r="CF181" i="6"/>
  <c r="CG181" i="6" s="1"/>
  <c r="CF189" i="6"/>
  <c r="CG189" i="6" s="1"/>
  <c r="CF197" i="6"/>
  <c r="CG197" i="6" s="1"/>
  <c r="CF205" i="6"/>
  <c r="CG205" i="6" s="1"/>
  <c r="CF221" i="6"/>
  <c r="CG221" i="6" s="1"/>
  <c r="CF229" i="6"/>
  <c r="CG229" i="6" s="1"/>
  <c r="CF237" i="6"/>
  <c r="CG237" i="6" s="1"/>
  <c r="CF245" i="6"/>
  <c r="CG245" i="6" s="1"/>
  <c r="CF253" i="6"/>
  <c r="CG253" i="6" s="1"/>
  <c r="CF261" i="6"/>
  <c r="CG261" i="6" s="1"/>
  <c r="CF269" i="6"/>
  <c r="CG269" i="6" s="1"/>
  <c r="CF277" i="6"/>
  <c r="CG277" i="6" s="1"/>
  <c r="CF285" i="6"/>
  <c r="CG285" i="6" s="1"/>
  <c r="CF1211" i="6"/>
  <c r="CG1211" i="6" s="1"/>
  <c r="CF490" i="6"/>
  <c r="CG490" i="6" s="1"/>
  <c r="CF616" i="6"/>
  <c r="CG616" i="6" s="1"/>
  <c r="CF717" i="6"/>
  <c r="CG717" i="6" s="1"/>
  <c r="CF749" i="6"/>
  <c r="CG749" i="6" s="1"/>
  <c r="CF813" i="6"/>
  <c r="CG813" i="6" s="1"/>
  <c r="CF877" i="6"/>
  <c r="CG877" i="6" s="1"/>
  <c r="CF941" i="6"/>
  <c r="CG941" i="6" s="1"/>
  <c r="CF998" i="6"/>
  <c r="CG998" i="6" s="1"/>
  <c r="CF69" i="6"/>
  <c r="CG69" i="6" s="1"/>
  <c r="CF101" i="6"/>
  <c r="CG101" i="6" s="1"/>
  <c r="CF116" i="6"/>
  <c r="CG116" i="6" s="1"/>
  <c r="CF134" i="6"/>
  <c r="CG134" i="6" s="1"/>
  <c r="CF150" i="6"/>
  <c r="CG150" i="6" s="1"/>
  <c r="CF166" i="6"/>
  <c r="CG166" i="6" s="1"/>
  <c r="CF182" i="6"/>
  <c r="CG182" i="6" s="1"/>
  <c r="CF198" i="6"/>
  <c r="CG198" i="6" s="1"/>
  <c r="CF230" i="6"/>
  <c r="CG230" i="6" s="1"/>
  <c r="CF238" i="6"/>
  <c r="CG238" i="6" s="1"/>
  <c r="CF254" i="6"/>
  <c r="CG254" i="6" s="1"/>
  <c r="CF270" i="6"/>
  <c r="CG270" i="6" s="1"/>
  <c r="CF286" i="6"/>
  <c r="CG286" i="6" s="1"/>
  <c r="CF211" i="6"/>
  <c r="CG211" i="6" s="1"/>
  <c r="CF259" i="6"/>
  <c r="CG259" i="6" s="1"/>
  <c r="CF1179" i="6"/>
  <c r="CG1179" i="6" s="1"/>
  <c r="CF602" i="6"/>
  <c r="CG602" i="6" s="1"/>
  <c r="CF773" i="6"/>
  <c r="CG773" i="6" s="1"/>
  <c r="CF965" i="6"/>
  <c r="CG965" i="6" s="1"/>
  <c r="CF96" i="6"/>
  <c r="CG96" i="6" s="1"/>
  <c r="CF148" i="6"/>
  <c r="CG148" i="6" s="1"/>
  <c r="CF196" i="6"/>
  <c r="CG196" i="6" s="1"/>
  <c r="CF244" i="6"/>
  <c r="CG244" i="6" s="1"/>
  <c r="CF276" i="6"/>
  <c r="CG276" i="6" s="1"/>
  <c r="CF18" i="6"/>
  <c r="CG18" i="6" s="1"/>
  <c r="CF26" i="6"/>
  <c r="CG26" i="6" s="1"/>
  <c r="CF11" i="6"/>
  <c r="CG11" i="6" s="1"/>
  <c r="CF19" i="6"/>
  <c r="CG19" i="6" s="1"/>
  <c r="CF23" i="6"/>
  <c r="CG23" i="6" s="1"/>
  <c r="CF32" i="6"/>
  <c r="CG32" i="6" s="1"/>
  <c r="CF20" i="6"/>
  <c r="CG20" i="6" s="1"/>
  <c r="CH9" i="6"/>
  <c r="CI9" i="6" s="1"/>
  <c r="BH9" i="6" s="1"/>
  <c r="CF17" i="6"/>
  <c r="CG17" i="6" s="1"/>
  <c r="CF21" i="6"/>
  <c r="CG21" i="6" s="1"/>
  <c r="CF29" i="6"/>
  <c r="CG29" i="6" s="1"/>
  <c r="CF15" i="6"/>
  <c r="CG15" i="6" s="1"/>
  <c r="CF14" i="6"/>
  <c r="CG14" i="6" s="1"/>
  <c r="CF38" i="6"/>
  <c r="CG38" i="6" s="1"/>
  <c r="CF16" i="6"/>
  <c r="CG16" i="6" s="1"/>
  <c r="CF9" i="6"/>
  <c r="CG9" i="6" s="1"/>
  <c r="BC1162" i="6"/>
  <c r="AL1169" i="26"/>
  <c r="AL1164" i="26"/>
  <c r="AL1156" i="26"/>
  <c r="AL1152" i="26"/>
  <c r="AL1147" i="26"/>
  <c r="AL1135" i="26"/>
  <c r="AL1131" i="26"/>
  <c r="AL1125" i="26"/>
  <c r="AL1121" i="26"/>
  <c r="AL1119" i="26"/>
  <c r="AL1082" i="26"/>
  <c r="AL1050" i="26"/>
  <c r="AL1028" i="26"/>
  <c r="AL1020" i="26"/>
  <c r="AL994" i="26"/>
  <c r="AL990" i="26"/>
  <c r="AL947" i="26"/>
  <c r="AL937" i="26"/>
  <c r="AL907" i="26"/>
  <c r="AL878" i="26"/>
  <c r="AL868" i="26"/>
  <c r="AL1236" i="26"/>
  <c r="AL1221" i="26"/>
  <c r="AL1199" i="26"/>
  <c r="AL1193" i="26"/>
  <c r="AL1183" i="26"/>
  <c r="AL1159" i="26"/>
  <c r="AL1140" i="26"/>
  <c r="AL1106" i="26"/>
  <c r="AL1104" i="26"/>
  <c r="AL1072" i="26"/>
  <c r="AL1065" i="26"/>
  <c r="AL1038" i="26"/>
  <c r="AL1010" i="26"/>
  <c r="AL1006" i="26"/>
  <c r="AL981" i="26"/>
  <c r="AL959" i="26"/>
  <c r="AL922" i="26"/>
  <c r="AL912" i="26"/>
  <c r="AL905" i="26"/>
  <c r="AL880" i="26"/>
  <c r="AL855" i="26"/>
  <c r="AL1228" i="26"/>
  <c r="AL1219" i="26"/>
  <c r="AL1205" i="26"/>
  <c r="AL1203" i="26"/>
  <c r="AL1181" i="26"/>
  <c r="AL1177" i="26"/>
  <c r="AL1157" i="26"/>
  <c r="AL1155" i="26"/>
  <c r="AL1145" i="26"/>
  <c r="AL1122" i="26"/>
  <c r="AL1118" i="26"/>
  <c r="AL1111" i="26"/>
  <c r="AL1092" i="26"/>
  <c r="AL1069" i="26"/>
  <c r="AL1032" i="26"/>
  <c r="AL1018" i="26"/>
  <c r="AL997" i="26"/>
  <c r="AL987" i="26"/>
  <c r="AL914" i="26"/>
  <c r="AL898" i="26"/>
  <c r="AL885" i="26"/>
  <c r="AL883" i="26"/>
  <c r="AL846" i="26"/>
  <c r="AL805" i="26"/>
  <c r="AL629" i="26"/>
  <c r="AL1025" i="26"/>
  <c r="AL955" i="26"/>
  <c r="AL916" i="26"/>
  <c r="AL865" i="26"/>
  <c r="AL863" i="26"/>
  <c r="AL1235" i="26"/>
  <c r="AL1233" i="26"/>
  <c r="AL1214" i="26"/>
  <c r="AL1212" i="26"/>
  <c r="AL1210" i="26"/>
  <c r="AL1190" i="26"/>
  <c r="AL1188" i="26"/>
  <c r="AL1144" i="26"/>
  <c r="AL1134" i="26"/>
  <c r="AL1116" i="26"/>
  <c r="AL1103" i="26"/>
  <c r="AL1097" i="26"/>
  <c r="AL1088" i="26"/>
  <c r="AL1081" i="26"/>
  <c r="AL1077" i="26"/>
  <c r="AL1061" i="26"/>
  <c r="AL1055" i="26"/>
  <c r="AL991" i="26"/>
  <c r="AL978" i="26"/>
  <c r="AL956" i="26"/>
  <c r="AL948" i="26"/>
  <c r="AL942" i="26"/>
  <c r="AL935" i="26"/>
  <c r="AL927" i="26"/>
  <c r="AL900" i="26"/>
  <c r="AL873" i="26"/>
  <c r="AL825" i="26"/>
  <c r="AL807" i="26"/>
  <c r="AL1231" i="26"/>
  <c r="AL1229" i="26"/>
  <c r="AL1178" i="26"/>
  <c r="AL1171" i="26"/>
  <c r="AL1123" i="26"/>
  <c r="AL1107" i="26"/>
  <c r="AL1083" i="26"/>
  <c r="AL1029" i="26"/>
  <c r="AL1009" i="26"/>
  <c r="AL1007" i="26"/>
  <c r="AL973" i="26"/>
  <c r="AL958" i="26"/>
  <c r="AL941" i="26"/>
  <c r="AL931" i="26"/>
  <c r="AL925" i="26"/>
  <c r="AL913" i="26"/>
  <c r="AL881" i="26"/>
  <c r="AL853" i="26"/>
  <c r="AL845" i="26"/>
  <c r="AL837" i="26"/>
  <c r="AL1224" i="26"/>
  <c r="AL866" i="26"/>
  <c r="AL864" i="26"/>
  <c r="AL831" i="26"/>
  <c r="AL812" i="26"/>
  <c r="AL789" i="26"/>
  <c r="AL785" i="26"/>
  <c r="AL757" i="26"/>
  <c r="AL742" i="26"/>
  <c r="AL706" i="26"/>
  <c r="AL700" i="26"/>
  <c r="AL679" i="26"/>
  <c r="AL675" i="26"/>
  <c r="AL672" i="26"/>
  <c r="AL648" i="26"/>
  <c r="AL645" i="26"/>
  <c r="AL546" i="26"/>
  <c r="AL506" i="26"/>
  <c r="AL503" i="26"/>
  <c r="AL455" i="26"/>
  <c r="AL429" i="26"/>
  <c r="AL409" i="26"/>
  <c r="AL391" i="26"/>
  <c r="AL389" i="26"/>
  <c r="AL354" i="26"/>
  <c r="AL324" i="26"/>
  <c r="AL315" i="26"/>
  <c r="AL285" i="26"/>
  <c r="AL240" i="26"/>
  <c r="AL215" i="26"/>
  <c r="AL144" i="26"/>
  <c r="AL140" i="26"/>
  <c r="AL134" i="26"/>
  <c r="AL52" i="26"/>
  <c r="AL635" i="26"/>
  <c r="AL613" i="26"/>
  <c r="AL611" i="26"/>
  <c r="AL576" i="26"/>
  <c r="AL491" i="26"/>
  <c r="AL486" i="26"/>
  <c r="AL484" i="26"/>
  <c r="AL342" i="26"/>
  <c r="AL335" i="26"/>
  <c r="AL326" i="26"/>
  <c r="AL321" i="26"/>
  <c r="AL279" i="26"/>
  <c r="AL257" i="26"/>
  <c r="AL250" i="26"/>
  <c r="AL227" i="26"/>
  <c r="AL219" i="26"/>
  <c r="AL211" i="26"/>
  <c r="AL191" i="26"/>
  <c r="AL189" i="26"/>
  <c r="AL164" i="26"/>
  <c r="AL117" i="26"/>
  <c r="AL86" i="26"/>
  <c r="AL69" i="26"/>
  <c r="AL739" i="26"/>
  <c r="AL703" i="26"/>
  <c r="AL670" i="26"/>
  <c r="AL643" i="26"/>
  <c r="AL631" i="26"/>
  <c r="AL618" i="26"/>
  <c r="AL595" i="26"/>
  <c r="AL572" i="26"/>
  <c r="AL561" i="26"/>
  <c r="AL528" i="26"/>
  <c r="AL526" i="26"/>
  <c r="AL505" i="26"/>
  <c r="AL437" i="26"/>
  <c r="AL435" i="26"/>
  <c r="AL431" i="26"/>
  <c r="AL421" i="26"/>
  <c r="AL377" i="26"/>
  <c r="AL344" i="26"/>
  <c r="AL309" i="26"/>
  <c r="AL303" i="26"/>
  <c r="AL286" i="26"/>
  <c r="AL266" i="26"/>
  <c r="AL255" i="26"/>
  <c r="AL247" i="26"/>
  <c r="AL226" i="26"/>
  <c r="AT172" i="26"/>
  <c r="AW172" i="26" s="1"/>
  <c r="AL169" i="26"/>
  <c r="AL127" i="26"/>
  <c r="AL125" i="26"/>
  <c r="AL123" i="26"/>
  <c r="AL813" i="26"/>
  <c r="AL790" i="26"/>
  <c r="AL788" i="26"/>
  <c r="AL772" i="26"/>
  <c r="AL756" i="26"/>
  <c r="AL743" i="26"/>
  <c r="AL734" i="26"/>
  <c r="AL729" i="26"/>
  <c r="AL636" i="26"/>
  <c r="AL610" i="26"/>
  <c r="AL587" i="26"/>
  <c r="AL495" i="26"/>
  <c r="AL477" i="26"/>
  <c r="AL475" i="26"/>
  <c r="AL456" i="26"/>
  <c r="AL407" i="26"/>
  <c r="AL405" i="26"/>
  <c r="AL392" i="26"/>
  <c r="AL390" i="26"/>
  <c r="AL388" i="26"/>
  <c r="AL357" i="26"/>
  <c r="AL325" i="26"/>
  <c r="AL316" i="26"/>
  <c r="AL268" i="26"/>
  <c r="AL261" i="26"/>
  <c r="AL251" i="26"/>
  <c r="AL235" i="26"/>
  <c r="AL228" i="26"/>
  <c r="AL212" i="26"/>
  <c r="AL187" i="26"/>
  <c r="AL180" i="26"/>
  <c r="AL167" i="26"/>
  <c r="AL149" i="26"/>
  <c r="AL147" i="26"/>
  <c r="AL87" i="26"/>
  <c r="AL77" i="26"/>
  <c r="AL70" i="26"/>
  <c r="AL839" i="26"/>
  <c r="AL798" i="26"/>
  <c r="AL786" i="26"/>
  <c r="AL770" i="26"/>
  <c r="AL758" i="26"/>
  <c r="AL736" i="26"/>
  <c r="AL693" i="26"/>
  <c r="AL651" i="26"/>
  <c r="AL626" i="26"/>
  <c r="AL616" i="26"/>
  <c r="AL585" i="26"/>
  <c r="AL575" i="26"/>
  <c r="AL539" i="26"/>
  <c r="AL537" i="26"/>
  <c r="AL533" i="26"/>
  <c r="AL523" i="26"/>
  <c r="AL490" i="26"/>
  <c r="AL467" i="26"/>
  <c r="AL440" i="26"/>
  <c r="AL438" i="26"/>
  <c r="AL418" i="26"/>
  <c r="AL353" i="26"/>
  <c r="AL349" i="26"/>
  <c r="AL314" i="26"/>
  <c r="AL296" i="26"/>
  <c r="AL290" i="26"/>
  <c r="AL265" i="26"/>
  <c r="AL246" i="26"/>
  <c r="AL230" i="26"/>
  <c r="AL218" i="26"/>
  <c r="AL214" i="26"/>
  <c r="AL190" i="26"/>
  <c r="AL185" i="26"/>
  <c r="AL161" i="26"/>
  <c r="AL157" i="26"/>
  <c r="AL84" i="26"/>
  <c r="AL824" i="26"/>
  <c r="AL806" i="26"/>
  <c r="AL775" i="26"/>
  <c r="AL765" i="26"/>
  <c r="AL760" i="26"/>
  <c r="AL678" i="26"/>
  <c r="AL638" i="26"/>
  <c r="AL619" i="26"/>
  <c r="AL594" i="26"/>
  <c r="AL562" i="26"/>
  <c r="AL549" i="26"/>
  <c r="AL531" i="26"/>
  <c r="AL525" i="26"/>
  <c r="AL459" i="26"/>
  <c r="AL445" i="26"/>
  <c r="AL414" i="26"/>
  <c r="AL383" i="26"/>
  <c r="AL345" i="26"/>
  <c r="AL343" i="26"/>
  <c r="AL336" i="26"/>
  <c r="AL292" i="26"/>
  <c r="AL275" i="26"/>
  <c r="AL254" i="26"/>
  <c r="AL221" i="26"/>
  <c r="AN172" i="26"/>
  <c r="AL159" i="26"/>
  <c r="AL99" i="26"/>
  <c r="AL80" i="26"/>
  <c r="AL60" i="26"/>
  <c r="AL54" i="26"/>
  <c r="AL755" i="26"/>
  <c r="AL728" i="26"/>
  <c r="AL686" i="26"/>
  <c r="AL628" i="26"/>
  <c r="AL601" i="26"/>
  <c r="AL590" i="26"/>
  <c r="AL543" i="26"/>
  <c r="AL496" i="26"/>
  <c r="AL468" i="26"/>
  <c r="AL436" i="26"/>
  <c r="AL400" i="26"/>
  <c r="AL378" i="26"/>
  <c r="AL364" i="26"/>
  <c r="AL352" i="26"/>
  <c r="AL319" i="26"/>
  <c r="AL236" i="26"/>
  <c r="AL223" i="26"/>
  <c r="AL188" i="26"/>
  <c r="AL179" i="26"/>
  <c r="AL165" i="26"/>
  <c r="AL97" i="26"/>
  <c r="AL90" i="26"/>
  <c r="AL78" i="26"/>
  <c r="AL75" i="26"/>
  <c r="AL45" i="26"/>
  <c r="AL33" i="26"/>
  <c r="AL16" i="26"/>
  <c r="AL14" i="26"/>
  <c r="AN43" i="26"/>
  <c r="AL64" i="26"/>
  <c r="AL48" i="26"/>
  <c r="AL46" i="26"/>
  <c r="AL32" i="26"/>
  <c r="AL30" i="26"/>
  <c r="AL17" i="26"/>
  <c r="AL49" i="26"/>
  <c r="AU43" i="26"/>
  <c r="AL38" i="26"/>
  <c r="AL35" i="26"/>
  <c r="BE1153" i="6"/>
  <c r="BE801" i="6"/>
  <c r="BE622" i="6"/>
  <c r="BE642" i="6"/>
  <c r="BE640" i="6"/>
  <c r="BE418" i="6"/>
  <c r="BE534" i="6"/>
  <c r="BE532" i="6"/>
  <c r="BE215" i="6"/>
  <c r="BE1027" i="6"/>
  <c r="BE420" i="6"/>
  <c r="BE802" i="6"/>
  <c r="BE623" i="6"/>
  <c r="BE535" i="6"/>
  <c r="BE647" i="6"/>
  <c r="BE645" i="6"/>
  <c r="BE641" i="6"/>
  <c r="BE639" i="6"/>
  <c r="BE419" i="6"/>
  <c r="BE417" i="6"/>
  <c r="BE625" i="6"/>
  <c r="BN421" i="6"/>
  <c r="BE643" i="6"/>
  <c r="BE635" i="6"/>
  <c r="BM1159" i="6"/>
  <c r="AL1222" i="26"/>
  <c r="AL1208" i="26"/>
  <c r="AL1179" i="26"/>
  <c r="AL1170" i="26"/>
  <c r="AL1162" i="26"/>
  <c r="AL1136" i="26"/>
  <c r="AL1124" i="26"/>
  <c r="AL1093" i="26"/>
  <c r="AL1075" i="26"/>
  <c r="AL1056" i="26"/>
  <c r="AL1041" i="26"/>
  <c r="AL1033" i="26"/>
  <c r="AL1012" i="26"/>
  <c r="AL984" i="26"/>
  <c r="AL1209" i="26"/>
  <c r="AL1200" i="26"/>
  <c r="AL1196" i="26"/>
  <c r="AL1192" i="26"/>
  <c r="AL1186" i="26"/>
  <c r="AL1180" i="26"/>
  <c r="AL1166" i="26"/>
  <c r="AL1158" i="26"/>
  <c r="AL1154" i="26"/>
  <c r="AL1151" i="26"/>
  <c r="AL1148" i="26"/>
  <c r="AL1130" i="26"/>
  <c r="AL1099" i="26"/>
  <c r="AL1079" i="26"/>
  <c r="AL1057" i="26"/>
  <c r="AL1017" i="26"/>
  <c r="AL1015" i="26"/>
  <c r="AL1002" i="26"/>
  <c r="AL980" i="26"/>
  <c r="AL963" i="26"/>
  <c r="AL1220" i="26"/>
  <c r="AL1217" i="26"/>
  <c r="AL1206" i="26"/>
  <c r="AL1202" i="26"/>
  <c r="AL1198" i="26"/>
  <c r="AL1184" i="26"/>
  <c r="AL1175" i="26"/>
  <c r="AL1168" i="26"/>
  <c r="AL1161" i="26"/>
  <c r="AL1110" i="26"/>
  <c r="AL1039" i="26"/>
  <c r="AL1031" i="26"/>
  <c r="AL1013" i="26"/>
  <c r="AL1011" i="26"/>
  <c r="AL1004" i="26"/>
  <c r="AL952" i="26"/>
  <c r="AL936" i="26"/>
  <c r="AL908" i="26"/>
  <c r="AL1172" i="26"/>
  <c r="AL1165" i="26"/>
  <c r="AL1163" i="26"/>
  <c r="AL1115" i="26"/>
  <c r="AL1094" i="26"/>
  <c r="AL1051" i="26"/>
  <c r="AL999" i="26"/>
  <c r="AL930" i="26"/>
  <c r="AL920" i="26"/>
  <c r="AL917" i="26"/>
  <c r="AL1102" i="26"/>
  <c r="AL1074" i="26"/>
  <c r="AL1070" i="26"/>
  <c r="AL1063" i="26"/>
  <c r="AL1047" i="26"/>
  <c r="AL1045" i="26"/>
  <c r="AL1030" i="26"/>
  <c r="AL1185" i="26"/>
  <c r="AL1218" i="26"/>
  <c r="AL1201" i="26"/>
  <c r="AL1197" i="26"/>
  <c r="AL1191" i="26"/>
  <c r="AL1182" i="26"/>
  <c r="AL1176" i="26"/>
  <c r="AL1167" i="26"/>
  <c r="AL1153" i="26"/>
  <c r="AL1150" i="26"/>
  <c r="AL1132" i="26"/>
  <c r="AL1105" i="26"/>
  <c r="AL1100" i="26"/>
  <c r="AL1098" i="26"/>
  <c r="AL1095" i="26"/>
  <c r="AL1089" i="26"/>
  <c r="AL1067" i="26"/>
  <c r="AL1058" i="26"/>
  <c r="AL1022" i="26"/>
  <c r="AL995" i="26"/>
  <c r="AL986" i="26"/>
  <c r="AL970" i="26"/>
  <c r="AL962" i="26"/>
  <c r="AL1066" i="26"/>
  <c r="AL1052" i="26"/>
  <c r="AL1046" i="26"/>
  <c r="AL1034" i="26"/>
  <c r="AL1024" i="26"/>
  <c r="AL1021" i="26"/>
  <c r="AL998" i="26"/>
  <c r="AL977" i="26"/>
  <c r="AL923" i="26"/>
  <c r="AL879" i="26"/>
  <c r="AL870" i="26"/>
  <c r="AL857" i="26"/>
  <c r="AL851" i="26"/>
  <c r="AL826" i="26"/>
  <c r="AL776" i="26"/>
  <c r="AL630" i="26"/>
  <c r="AL926" i="26"/>
  <c r="AL921" i="26"/>
  <c r="AL919" i="26"/>
  <c r="AL910" i="26"/>
  <c r="AL899" i="26"/>
  <c r="AL841" i="26"/>
  <c r="AL1059" i="26"/>
  <c r="AL1053" i="26"/>
  <c r="AL993" i="26"/>
  <c r="AL985" i="26"/>
  <c r="AL964" i="26"/>
  <c r="AL961" i="26"/>
  <c r="AL924" i="26"/>
  <c r="AL888" i="26"/>
  <c r="AL886" i="26"/>
  <c r="AL849" i="26"/>
  <c r="AL843" i="26"/>
  <c r="AL799" i="26"/>
  <c r="AL815" i="26"/>
  <c r="AL752" i="26"/>
  <c r="AL983" i="26"/>
  <c r="AL974" i="26"/>
  <c r="AL971" i="26"/>
  <c r="AL966" i="26"/>
  <c r="AL954" i="26"/>
  <c r="AL939" i="26"/>
  <c r="AL928" i="26"/>
  <c r="AL896" i="26"/>
  <c r="AL850" i="26"/>
  <c r="AL823" i="26"/>
  <c r="AL809" i="26"/>
  <c r="AL641" i="26"/>
  <c r="AL957" i="26"/>
  <c r="AL949" i="26"/>
  <c r="AL944" i="26"/>
  <c r="AL934" i="26"/>
  <c r="AL915" i="26"/>
  <c r="AL904" i="26"/>
  <c r="AL828" i="26"/>
  <c r="AL793" i="26"/>
  <c r="AL754" i="26"/>
  <c r="AL741" i="26"/>
  <c r="AL761" i="26"/>
  <c r="AL723" i="26"/>
  <c r="AL714" i="26"/>
  <c r="AL704" i="26"/>
  <c r="AL627" i="26"/>
  <c r="AL612" i="26"/>
  <c r="AL840" i="26"/>
  <c r="AL832" i="26"/>
  <c r="AL819" i="26"/>
  <c r="AL811" i="26"/>
  <c r="AL800" i="26"/>
  <c r="AL774" i="26"/>
  <c r="AL771" i="26"/>
  <c r="AL749" i="26"/>
  <c r="AL745" i="26"/>
  <c r="AL730" i="26"/>
  <c r="AL727" i="26"/>
  <c r="AL689" i="26"/>
  <c r="AL683" i="26"/>
  <c r="AL663" i="26"/>
  <c r="AL650" i="26"/>
  <c r="AL647" i="26"/>
  <c r="AL637" i="26"/>
  <c r="AL625" i="26"/>
  <c r="AL600" i="26"/>
  <c r="AL586" i="26"/>
  <c r="AL564" i="26"/>
  <c r="AL535" i="26"/>
  <c r="AL713" i="26"/>
  <c r="AL711" i="26"/>
  <c r="AL694" i="26"/>
  <c r="AL691" i="26"/>
  <c r="AL657" i="26"/>
  <c r="AL623" i="26"/>
  <c r="AL602" i="26"/>
  <c r="AL902" i="26"/>
  <c r="AL897" i="26"/>
  <c r="AL869" i="26"/>
  <c r="AL856" i="26"/>
  <c r="AL848" i="26"/>
  <c r="AL836" i="26"/>
  <c r="AL830" i="26"/>
  <c r="AL810" i="26"/>
  <c r="AL801" i="26"/>
  <c r="AL782" i="26"/>
  <c r="AL769" i="26"/>
  <c r="AL762" i="26"/>
  <c r="AL750" i="26"/>
  <c r="AL738" i="26"/>
  <c r="AL719" i="26"/>
  <c r="AL707" i="26"/>
  <c r="AL688" i="26"/>
  <c r="AL665" i="26"/>
  <c r="AL661" i="26"/>
  <c r="AL593" i="26"/>
  <c r="AL558" i="26"/>
  <c r="AL796" i="26"/>
  <c r="AL773" i="26"/>
  <c r="AL748" i="26"/>
  <c r="AL717" i="26"/>
  <c r="AL712" i="26"/>
  <c r="AL690" i="26"/>
  <c r="AL681" i="26"/>
  <c r="AL656" i="26"/>
  <c r="AL582" i="26"/>
  <c r="AL867" i="26"/>
  <c r="AL859" i="26"/>
  <c r="AL854" i="26"/>
  <c r="AL834" i="26"/>
  <c r="AL827" i="26"/>
  <c r="AL821" i="26"/>
  <c r="AL802" i="26"/>
  <c r="AL792" i="26"/>
  <c r="AL759" i="26"/>
  <c r="AL744" i="26"/>
  <c r="AL731" i="26"/>
  <c r="AL720" i="26"/>
  <c r="AL701" i="26"/>
  <c r="AL692" i="26"/>
  <c r="AL682" i="26"/>
  <c r="AL668" i="26"/>
  <c r="AL658" i="26"/>
  <c r="AL653" i="26"/>
  <c r="AL646" i="26"/>
  <c r="AL617" i="26"/>
  <c r="AL563" i="26"/>
  <c r="AL548" i="26"/>
  <c r="AL538" i="26"/>
  <c r="AL449" i="26"/>
  <c r="AL416" i="26"/>
  <c r="AL382" i="26"/>
  <c r="AL522" i="26"/>
  <c r="AL520" i="26"/>
  <c r="AL408" i="26"/>
  <c r="AL605" i="26"/>
  <c r="AL580" i="26"/>
  <c r="AL567" i="26"/>
  <c r="AL559" i="26"/>
  <c r="AL551" i="26"/>
  <c r="AL541" i="26"/>
  <c r="AL517" i="26"/>
  <c r="AL513" i="26"/>
  <c r="AL511" i="26"/>
  <c r="AL480" i="26"/>
  <c r="AL458" i="26"/>
  <c r="AL398" i="26"/>
  <c r="AL597" i="26"/>
  <c r="AL560" i="26"/>
  <c r="AL534" i="26"/>
  <c r="AL501" i="26"/>
  <c r="AL479" i="26"/>
  <c r="AL466" i="26"/>
  <c r="AL441" i="26"/>
  <c r="AL411" i="26"/>
  <c r="AL330" i="26"/>
  <c r="AL715" i="26"/>
  <c r="AL695" i="26"/>
  <c r="AL671" i="26"/>
  <c r="AL667" i="26"/>
  <c r="AL655" i="26"/>
  <c r="AL640" i="26"/>
  <c r="AL633" i="26"/>
  <c r="AL624" i="26"/>
  <c r="AL620" i="26"/>
  <c r="AL603" i="26"/>
  <c r="AL599" i="26"/>
  <c r="AL552" i="26"/>
  <c r="AL524" i="26"/>
  <c r="AL516" i="26"/>
  <c r="AL514" i="26"/>
  <c r="AL427" i="26"/>
  <c r="AL519" i="26"/>
  <c r="AL510" i="26"/>
  <c r="AL499" i="26"/>
  <c r="AL472" i="26"/>
  <c r="AL470" i="26"/>
  <c r="AL288" i="26"/>
  <c r="AL508" i="26"/>
  <c r="AL474" i="26"/>
  <c r="AL465" i="26"/>
  <c r="AL457" i="26"/>
  <c r="AL446" i="26"/>
  <c r="AL439" i="26"/>
  <c r="AL393" i="26"/>
  <c r="AL373" i="26"/>
  <c r="AL359" i="26"/>
  <c r="AL350" i="26"/>
  <c r="AL302" i="26"/>
  <c r="AL238" i="26"/>
  <c r="AL387" i="26"/>
  <c r="AL381" i="26"/>
  <c r="AL367" i="26"/>
  <c r="AL329" i="26"/>
  <c r="AL317" i="26"/>
  <c r="AT127" i="26"/>
  <c r="AN127" i="26"/>
  <c r="AL571" i="26"/>
  <c r="AL536" i="26"/>
  <c r="AL518" i="26"/>
  <c r="AL504" i="26"/>
  <c r="AL500" i="26"/>
  <c r="AL497" i="26"/>
  <c r="AL494" i="26"/>
  <c r="AL482" i="26"/>
  <c r="AL473" i="26"/>
  <c r="AL471" i="26"/>
  <c r="AL399" i="26"/>
  <c r="AL376" i="26"/>
  <c r="AL348" i="26"/>
  <c r="AL339" i="26"/>
  <c r="AL307" i="26"/>
  <c r="AL300" i="26"/>
  <c r="AL289" i="26"/>
  <c r="AL273" i="26"/>
  <c r="AL450" i="26"/>
  <c r="AL444" i="26"/>
  <c r="AL442" i="26"/>
  <c r="AL430" i="26"/>
  <c r="AL426" i="26"/>
  <c r="AL420" i="26"/>
  <c r="AL419" i="26"/>
  <c r="AL483" i="26"/>
  <c r="AL478" i="26"/>
  <c r="AL464" i="26"/>
  <c r="AL460" i="26"/>
  <c r="AL453" i="26"/>
  <c r="AL451" i="26"/>
  <c r="AL406" i="26"/>
  <c r="AL402" i="26"/>
  <c r="AL386" i="26"/>
  <c r="AL380" i="26"/>
  <c r="AL372" i="26"/>
  <c r="AL356" i="26"/>
  <c r="AL334" i="26"/>
  <c r="AL313" i="26"/>
  <c r="AL301" i="26"/>
  <c r="AL374" i="26"/>
  <c r="AL366" i="26"/>
  <c r="AL358" i="26"/>
  <c r="AL355" i="26"/>
  <c r="AL340" i="26"/>
  <c r="AL299" i="26"/>
  <c r="AL259" i="26"/>
  <c r="AL217" i="26"/>
  <c r="AU208" i="26"/>
  <c r="AN208" i="26"/>
  <c r="AL412" i="26"/>
  <c r="AL410" i="26"/>
  <c r="AL404" i="26"/>
  <c r="AL401" i="26"/>
  <c r="AL370" i="26"/>
  <c r="AL363" i="26"/>
  <c r="AL360" i="26"/>
  <c r="AL351" i="26"/>
  <c r="AL341" i="26"/>
  <c r="AL322" i="26"/>
  <c r="AL297" i="26"/>
  <c r="AL269" i="26"/>
  <c r="AL262" i="26"/>
  <c r="AL258" i="26"/>
  <c r="AL252" i="26"/>
  <c r="AL244" i="26"/>
  <c r="AL233" i="26"/>
  <c r="AL208" i="26"/>
  <c r="AL196" i="26"/>
  <c r="AL160" i="26"/>
  <c r="AN160" i="26"/>
  <c r="AU160" i="26"/>
  <c r="AL98" i="26"/>
  <c r="AN154" i="26"/>
  <c r="AT154" i="26"/>
  <c r="AU154" i="26"/>
  <c r="AL229" i="26"/>
  <c r="AL170" i="26"/>
  <c r="AL119" i="26"/>
  <c r="AL232" i="26"/>
  <c r="AL222" i="26"/>
  <c r="AL199" i="26"/>
  <c r="AL93" i="26"/>
  <c r="AL369" i="26"/>
  <c r="AL365" i="26"/>
  <c r="AL362" i="26"/>
  <c r="AL323" i="26"/>
  <c r="AL305" i="26"/>
  <c r="AL295" i="26"/>
  <c r="AL293" i="26"/>
  <c r="AL284" i="26"/>
  <c r="AL253" i="26"/>
  <c r="AL243" i="26"/>
  <c r="AL237" i="26"/>
  <c r="AL225" i="26"/>
  <c r="AL220" i="26"/>
  <c r="AL207" i="26"/>
  <c r="AL203" i="26"/>
  <c r="AL192" i="26"/>
  <c r="AL136" i="26"/>
  <c r="AW43" i="26"/>
  <c r="AL256" i="26"/>
  <c r="AL245" i="26"/>
  <c r="AL231" i="26"/>
  <c r="AL213" i="26"/>
  <c r="AL206" i="26"/>
  <c r="AL200" i="26"/>
  <c r="AU178" i="26"/>
  <c r="AL143" i="26"/>
  <c r="AL141" i="26"/>
  <c r="AL139" i="26"/>
  <c r="AL130" i="26"/>
  <c r="AL106" i="26"/>
  <c r="AL103" i="26"/>
  <c r="AL95" i="26"/>
  <c r="AL88" i="26"/>
  <c r="AL59" i="26"/>
  <c r="AL53" i="26"/>
  <c r="AL43" i="26"/>
  <c r="AL26" i="26"/>
  <c r="AL11" i="26"/>
  <c r="AL204" i="26"/>
  <c r="AL201" i="26"/>
  <c r="AL198" i="26"/>
  <c r="AL186" i="26"/>
  <c r="AL178" i="26"/>
  <c r="AL137" i="26"/>
  <c r="AL113" i="26"/>
  <c r="AL111" i="26"/>
  <c r="AU109" i="26"/>
  <c r="AW109" i="26" s="1"/>
  <c r="AL108" i="26"/>
  <c r="AL100" i="26"/>
  <c r="AL83" i="26"/>
  <c r="AL71" i="26"/>
  <c r="AL57" i="26"/>
  <c r="AL39" i="26"/>
  <c r="AL36" i="26"/>
  <c r="AL19" i="26"/>
  <c r="AL122" i="26"/>
  <c r="AL118" i="26"/>
  <c r="AL112" i="26"/>
  <c r="AL109" i="26"/>
  <c r="AL94" i="26"/>
  <c r="AL89" i="26"/>
  <c r="AL62" i="26"/>
  <c r="AL51" i="26"/>
  <c r="AL50" i="26"/>
  <c r="AL44" i="26"/>
  <c r="AL42" i="26"/>
  <c r="AL40" i="26"/>
  <c r="AL31" i="26"/>
  <c r="AL205" i="26"/>
  <c r="AL183" i="26"/>
  <c r="AL153" i="26"/>
  <c r="AL107" i="26"/>
  <c r="AL101" i="26"/>
  <c r="AL96" i="26"/>
  <c r="AL34" i="26"/>
  <c r="AL28" i="26"/>
  <c r="AL110" i="26"/>
  <c r="AL63" i="26"/>
  <c r="AL58" i="26"/>
  <c r="AL55" i="26"/>
  <c r="AL47" i="26"/>
  <c r="AL22" i="26"/>
  <c r="AL184" i="26"/>
  <c r="AL142" i="26"/>
  <c r="AL131" i="26"/>
  <c r="AL79" i="26"/>
  <c r="AL74" i="26"/>
  <c r="AL25" i="26"/>
  <c r="AL23" i="26"/>
  <c r="AL18" i="26"/>
  <c r="AL10" i="26"/>
  <c r="AL9" i="26"/>
  <c r="BC274" i="6"/>
  <c r="B6943" i="22"/>
  <c r="BC430" i="6"/>
  <c r="BC914" i="6"/>
  <c r="BC912" i="6"/>
  <c r="BC910" i="6"/>
  <c r="BC896" i="6"/>
  <c r="BC891" i="6"/>
  <c r="BC463" i="6"/>
  <c r="BC461" i="6"/>
  <c r="BC459" i="6"/>
  <c r="BC803" i="6"/>
  <c r="BC801" i="6"/>
  <c r="BC1152" i="6"/>
  <c r="BC1150" i="6"/>
  <c r="BC431" i="6"/>
  <c r="BC429" i="6"/>
  <c r="BC394" i="6"/>
  <c r="BC462" i="6"/>
  <c r="BC460" i="6"/>
  <c r="BC1241" i="6"/>
  <c r="BC997" i="6"/>
  <c r="BC995" i="6"/>
  <c r="BC993" i="6"/>
  <c r="BC1151" i="6"/>
  <c r="BC1045" i="6"/>
  <c r="BC806" i="6"/>
  <c r="BC804" i="6"/>
  <c r="BC415" i="6"/>
  <c r="BC411" i="6"/>
  <c r="BC998" i="6"/>
  <c r="BC996" i="6"/>
  <c r="BC994" i="6"/>
  <c r="BC1044" i="6"/>
  <c r="BC805" i="6"/>
  <c r="BC893" i="6"/>
  <c r="BC222" i="6"/>
  <c r="BC412" i="6"/>
  <c r="BC397" i="6"/>
  <c r="BC377" i="6"/>
  <c r="BC375" i="6"/>
  <c r="BC1239" i="6"/>
  <c r="BC1163" i="6"/>
  <c r="BC414" i="6"/>
  <c r="BC437" i="6"/>
  <c r="BC435" i="6"/>
  <c r="BC379" i="6"/>
  <c r="BC433" i="6"/>
  <c r="BC434" i="6"/>
  <c r="BC913" i="6"/>
  <c r="BC911" i="6"/>
  <c r="BC894" i="6"/>
  <c r="BC398" i="6"/>
  <c r="BC395" i="6"/>
  <c r="BC393" i="6"/>
  <c r="BC1161" i="6"/>
  <c r="BC1149" i="6"/>
  <c r="BC1155" i="6"/>
  <c r="BC960" i="6"/>
  <c r="BC958" i="6"/>
  <c r="BC440" i="6"/>
  <c r="BC438" i="6"/>
  <c r="BC439" i="6"/>
  <c r="BC436" i="6"/>
  <c r="BC376" i="6"/>
  <c r="BC380" i="6"/>
  <c r="BC378" i="6"/>
  <c r="BC427" i="6"/>
  <c r="BC425" i="6"/>
  <c r="BC423" i="6"/>
  <c r="BC428" i="6"/>
  <c r="BC426" i="6"/>
  <c r="BC424" i="6"/>
  <c r="BC1166" i="6"/>
  <c r="BC1164" i="6"/>
  <c r="BC1160" i="6"/>
  <c r="BC1158" i="6"/>
  <c r="BC1156" i="6"/>
  <c r="BC1154" i="6"/>
  <c r="BC1165" i="6"/>
  <c r="BC1159" i="6"/>
  <c r="BC1157" i="6"/>
  <c r="BC1153" i="6"/>
  <c r="BC1042" i="6"/>
  <c r="BC1041" i="6"/>
  <c r="BC1038" i="6"/>
  <c r="BC1036" i="6"/>
  <c r="BC1039" i="6"/>
  <c r="BC1037" i="6"/>
  <c r="BC1035" i="6"/>
  <c r="BC802" i="6"/>
  <c r="BC413" i="6"/>
  <c r="BC416" i="6"/>
  <c r="CF1176" i="6"/>
  <c r="CG1176" i="6" s="1"/>
  <c r="CI412" i="6"/>
  <c r="CF1239" i="6"/>
  <c r="CG1239" i="6" s="1"/>
  <c r="CH1241" i="6"/>
  <c r="CI1241" i="6" s="1"/>
  <c r="BH1241" i="6" s="1"/>
  <c r="AR1241" i="6" s="1"/>
  <c r="CF633" i="6"/>
  <c r="BC1033" i="6"/>
  <c r="BN1027" i="6"/>
  <c r="BP1027" i="6" s="1"/>
  <c r="BC1019" i="6"/>
  <c r="BC1017" i="6"/>
  <c r="CG1023" i="6"/>
  <c r="CI1092" i="6"/>
  <c r="BH1092" i="6" s="1"/>
  <c r="AR1092" i="6" s="1"/>
  <c r="CI417" i="6"/>
  <c r="BH417" i="6" s="1"/>
  <c r="AR417" i="6" s="1"/>
  <c r="CG1038" i="6"/>
  <c r="BC635" i="6"/>
  <c r="BC422" i="6"/>
  <c r="BE646" i="6"/>
  <c r="CG1065" i="6"/>
  <c r="CI296" i="6"/>
  <c r="BC1027" i="6"/>
  <c r="BC642" i="6"/>
  <c r="BC623" i="6"/>
  <c r="BC213" i="6"/>
  <c r="BM1069" i="6"/>
  <c r="BP1069" i="6" s="1"/>
  <c r="BC418" i="6"/>
  <c r="CG1071" i="6"/>
  <c r="BE1069" i="6"/>
  <c r="CG724" i="6"/>
  <c r="BZ411" i="6"/>
  <c r="CA411" i="6" s="1"/>
  <c r="CI848" i="6"/>
  <c r="BH848" i="6" s="1"/>
  <c r="CG634" i="6"/>
  <c r="CG217" i="6"/>
  <c r="CI969" i="6"/>
  <c r="BH969" i="6" s="1"/>
  <c r="CG1045" i="6"/>
  <c r="CI319" i="6"/>
  <c r="CI655" i="6"/>
  <c r="CG1032" i="6"/>
  <c r="CG10" i="6"/>
  <c r="CI315" i="6"/>
  <c r="BC419" i="6"/>
  <c r="BC621" i="6"/>
  <c r="BC532" i="6"/>
  <c r="BC1052" i="6"/>
  <c r="BM1165" i="6"/>
  <c r="BP1165" i="6" s="1"/>
  <c r="BM1039" i="6"/>
  <c r="BC24" i="6"/>
  <c r="BE1058" i="6"/>
  <c r="CI958" i="6"/>
  <c r="BH958" i="6" s="1"/>
  <c r="AR958" i="6" s="1"/>
  <c r="BM1058" i="6"/>
  <c r="BC1048" i="6"/>
  <c r="BC536" i="6"/>
  <c r="BC535" i="6"/>
  <c r="BC605" i="6"/>
  <c r="BC603" i="6"/>
  <c r="BC409" i="6"/>
  <c r="BC407" i="6"/>
  <c r="BC405" i="6"/>
  <c r="BC487" i="6"/>
  <c r="BC485" i="6"/>
  <c r="BC962" i="6"/>
  <c r="BC644" i="6"/>
  <c r="BC867" i="6"/>
  <c r="BC859" i="6"/>
  <c r="BC857" i="6"/>
  <c r="BC855" i="6"/>
  <c r="BC833" i="6"/>
  <c r="BC831" i="6"/>
  <c r="BC667" i="6"/>
  <c r="BC665" i="6"/>
  <c r="BC663" i="6"/>
  <c r="BC661" i="6"/>
  <c r="BC659" i="6"/>
  <c r="BC657" i="6"/>
  <c r="BC523" i="6"/>
  <c r="BC1040" i="6"/>
  <c r="BC1026" i="6"/>
  <c r="BE1039" i="6"/>
  <c r="BC215" i="6"/>
  <c r="BK924" i="6"/>
  <c r="BD924" i="6" s="1"/>
  <c r="BL223" i="6"/>
  <c r="BK1051" i="6"/>
  <c r="BD1051" i="6" s="1"/>
  <c r="BK1240" i="6"/>
  <c r="BD1240" i="6" s="1"/>
  <c r="BL1033" i="6"/>
  <c r="BN1033" i="6" s="1"/>
  <c r="BL873" i="6"/>
  <c r="BE873" i="6" s="1"/>
  <c r="BK978" i="6"/>
  <c r="BD978" i="6" s="1"/>
  <c r="BW976" i="6"/>
  <c r="BC976" i="6" s="1"/>
  <c r="BV1059" i="6"/>
  <c r="BC1059" i="6" s="1"/>
  <c r="BV1242" i="6"/>
  <c r="BC1242" i="6" s="1"/>
  <c r="BW1170" i="6"/>
  <c r="BC1170" i="6" s="1"/>
  <c r="BL1021" i="6"/>
  <c r="BE1021" i="6" s="1"/>
  <c r="BL648" i="6"/>
  <c r="BS633" i="6"/>
  <c r="BL633" i="6"/>
  <c r="BL213" i="6"/>
  <c r="BK1021" i="6"/>
  <c r="BD1021" i="6" s="1"/>
  <c r="BK648" i="6"/>
  <c r="BD648" i="6" s="1"/>
  <c r="BK634" i="6"/>
  <c r="BD634" i="6" s="1"/>
  <c r="BK421" i="6"/>
  <c r="BD421" i="6" s="1"/>
  <c r="BK420" i="6"/>
  <c r="BD420" i="6" s="1"/>
  <c r="BK624" i="6"/>
  <c r="BD624" i="6" s="1"/>
  <c r="BK217" i="6"/>
  <c r="BD217" i="6" s="1"/>
  <c r="BL990" i="6"/>
  <c r="BE990" i="6" s="1"/>
  <c r="BV34" i="6"/>
  <c r="BC34" i="6" s="1"/>
  <c r="BL649" i="6"/>
  <c r="BL412" i="6"/>
  <c r="BE412" i="6" s="1"/>
  <c r="BK1212" i="6"/>
  <c r="BD1212" i="6" s="1"/>
  <c r="BL1240" i="6"/>
  <c r="BK649" i="6"/>
  <c r="BD649" i="6" s="1"/>
  <c r="BL621" i="6"/>
  <c r="BL216" i="6"/>
  <c r="BL924" i="6"/>
  <c r="BK892" i="6"/>
  <c r="BD892" i="6" s="1"/>
  <c r="BL1051" i="6"/>
  <c r="BL637" i="6"/>
  <c r="BX892" i="6"/>
  <c r="BC892" i="6" s="1"/>
  <c r="BL522" i="6"/>
  <c r="BE522" i="6" s="1"/>
  <c r="BK396" i="6"/>
  <c r="BD396" i="6" s="1"/>
  <c r="BL1047" i="6"/>
  <c r="BE1047" i="6" s="1"/>
  <c r="BK1045" i="6"/>
  <c r="BD1045" i="6" s="1"/>
  <c r="BK1044" i="6"/>
  <c r="BD1044" i="6" s="1"/>
  <c r="BL1035" i="6"/>
  <c r="BK643" i="6"/>
  <c r="BD643" i="6" s="1"/>
  <c r="BK636" i="6"/>
  <c r="BD636" i="6" s="1"/>
  <c r="BL217" i="6"/>
  <c r="BC279" i="6"/>
  <c r="BC22" i="6"/>
  <c r="BC1055" i="6"/>
  <c r="BC964" i="6"/>
  <c r="BC285" i="6"/>
  <c r="BC583" i="6"/>
  <c r="BC20" i="6"/>
  <c r="BC1021" i="6"/>
  <c r="BC534" i="6"/>
  <c r="BC218" i="6"/>
  <c r="BC277" i="6"/>
  <c r="CG27" i="6"/>
  <c r="BC649" i="6"/>
  <c r="CG35" i="6"/>
  <c r="BM1153" i="6"/>
  <c r="BP1153" i="6" s="1"/>
  <c r="CG1167" i="6"/>
  <c r="BC640" i="6"/>
  <c r="CI967" i="6"/>
  <c r="BH967" i="6" s="1"/>
  <c r="AR967" i="6" s="1"/>
  <c r="BC1183" i="6"/>
  <c r="BC1181" i="6"/>
  <c r="BC1179" i="6"/>
  <c r="BC979" i="6"/>
  <c r="CG1206" i="6"/>
  <c r="CI544" i="6"/>
  <c r="BC992" i="6"/>
  <c r="BC725" i="6"/>
  <c r="BC937" i="6"/>
  <c r="BC935" i="6"/>
  <c r="BC923" i="6"/>
  <c r="BC907" i="6"/>
  <c r="BC903" i="6"/>
  <c r="BC877" i="6"/>
  <c r="CG1195" i="6"/>
  <c r="CI975" i="6"/>
  <c r="BH975" i="6" s="1"/>
  <c r="AR975" i="6" s="1"/>
  <c r="BC975" i="6"/>
  <c r="BC966" i="6"/>
  <c r="BC581" i="6"/>
  <c r="BC579" i="6"/>
  <c r="BC1046" i="6"/>
  <c r="BC1023" i="6"/>
  <c r="BC637" i="6"/>
  <c r="BC636" i="6"/>
  <c r="BC287" i="6"/>
  <c r="BC319" i="6"/>
  <c r="BC1205" i="6"/>
  <c r="BC974" i="6"/>
  <c r="BC1245" i="6"/>
  <c r="BN1159" i="6"/>
  <c r="BC1132" i="6"/>
  <c r="BC1128" i="6"/>
  <c r="BC1094" i="6"/>
  <c r="BC985" i="6"/>
  <c r="BC729" i="6"/>
  <c r="CG1188" i="6"/>
  <c r="CG1151" i="6"/>
  <c r="BC265" i="6"/>
  <c r="CI418" i="6"/>
  <c r="BH418" i="6" s="1"/>
  <c r="AR418" i="6" s="1"/>
  <c r="BC873" i="6"/>
  <c r="CG1246" i="6"/>
  <c r="CG1180" i="6"/>
  <c r="BC313" i="6"/>
  <c r="BC1247" i="6"/>
  <c r="BC699" i="6"/>
  <c r="BC361" i="6"/>
  <c r="BC359" i="6"/>
  <c r="BC471" i="6"/>
  <c r="BC467" i="6"/>
  <c r="BC355" i="6"/>
  <c r="BC345" i="6"/>
  <c r="BC383" i="6"/>
  <c r="BC551" i="6"/>
  <c r="BC321" i="6"/>
  <c r="BC547" i="6"/>
  <c r="BC447" i="6"/>
  <c r="BC341" i="6"/>
  <c r="BC333" i="6"/>
  <c r="BC263" i="6"/>
  <c r="BC257" i="6"/>
  <c r="BC253" i="6"/>
  <c r="BC249" i="6"/>
  <c r="BC239" i="6"/>
  <c r="BC237" i="6"/>
  <c r="BC233" i="6"/>
  <c r="BC229" i="6"/>
  <c r="BC227" i="6"/>
  <c r="BC225" i="6"/>
  <c r="BE1165" i="6"/>
  <c r="BC541" i="6"/>
  <c r="CI601" i="6"/>
  <c r="CI685" i="6"/>
  <c r="BH685" i="6" s="1"/>
  <c r="BC1072" i="6"/>
  <c r="BC1068" i="6"/>
  <c r="BC521" i="6"/>
  <c r="BC519" i="6"/>
  <c r="BC607" i="6"/>
  <c r="BC311" i="6"/>
  <c r="BC537" i="6"/>
  <c r="BC307" i="6"/>
  <c r="BC104" i="6"/>
  <c r="BC100" i="6"/>
  <c r="BC88" i="6"/>
  <c r="BC54" i="6"/>
  <c r="BC126" i="6"/>
  <c r="BC120" i="6"/>
  <c r="BC108" i="6"/>
  <c r="BC1077" i="6"/>
  <c r="BC293" i="6"/>
  <c r="BC291" i="6"/>
  <c r="BC187" i="6"/>
  <c r="BC183" i="6"/>
  <c r="BC31" i="6"/>
  <c r="BC1244" i="6"/>
  <c r="BC865" i="6"/>
  <c r="BC597" i="6"/>
  <c r="CI963" i="6"/>
  <c r="BH963" i="6" s="1"/>
  <c r="CG1078" i="6"/>
  <c r="BN1243" i="6"/>
  <c r="BC1063" i="6"/>
  <c r="BC214" i="6"/>
  <c r="BC278" i="6"/>
  <c r="BC275" i="6"/>
  <c r="CI453" i="6"/>
  <c r="BM439" i="6"/>
  <c r="BC283" i="6"/>
  <c r="BC1066" i="6"/>
  <c r="CB411" i="6"/>
  <c r="CC411" i="6" s="1"/>
  <c r="BC1067" i="6"/>
  <c r="BC1049" i="6"/>
  <c r="BC25" i="6"/>
  <c r="BC1022" i="6"/>
  <c r="BC701" i="6"/>
  <c r="BC787" i="6"/>
  <c r="BC785" i="6"/>
  <c r="BC779" i="6"/>
  <c r="BC777" i="6"/>
  <c r="BC771" i="6"/>
  <c r="BC769" i="6"/>
  <c r="BC763" i="6"/>
  <c r="BC761" i="6"/>
  <c r="BC755" i="6"/>
  <c r="BC753" i="6"/>
  <c r="BC747" i="6"/>
  <c r="BC745" i="6"/>
  <c r="CG424" i="6"/>
  <c r="CG1219" i="6"/>
  <c r="BE1162" i="6"/>
  <c r="BN1057" i="6"/>
  <c r="BC33" i="6"/>
  <c r="BC356" i="6"/>
  <c r="BC1065" i="6"/>
  <c r="BC1030" i="6"/>
  <c r="BC1024" i="6"/>
  <c r="CG438" i="6"/>
  <c r="CI490" i="6"/>
  <c r="BC1231" i="6"/>
  <c r="BC941" i="6"/>
  <c r="BC931" i="6"/>
  <c r="BC929" i="6"/>
  <c r="BC899" i="6"/>
  <c r="BC611" i="6"/>
  <c r="BC609" i="6"/>
  <c r="BC369" i="6"/>
  <c r="BC559" i="6"/>
  <c r="BC1075" i="6"/>
  <c r="BC288" i="6"/>
  <c r="BC647" i="6"/>
  <c r="BC626" i="6"/>
  <c r="AR1014" i="6"/>
  <c r="BN439" i="6"/>
  <c r="BN1249" i="6"/>
  <c r="BC823" i="6"/>
  <c r="BC619" i="6"/>
  <c r="BC327" i="6"/>
  <c r="BC206" i="6"/>
  <c r="BC204" i="6"/>
  <c r="BC180" i="6"/>
  <c r="BC174" i="6"/>
  <c r="BC96" i="6"/>
  <c r="BC160" i="6"/>
  <c r="BC158" i="6"/>
  <c r="BC70" i="6"/>
  <c r="BC56" i="6"/>
  <c r="BC44" i="6"/>
  <c r="BC42" i="6"/>
  <c r="BC118" i="6"/>
  <c r="BC106" i="6"/>
  <c r="BC1210" i="6"/>
  <c r="BC317" i="6"/>
  <c r="BC315" i="6"/>
  <c r="BC309" i="6"/>
  <c r="BC539" i="6"/>
  <c r="BC305" i="6"/>
  <c r="BC303" i="6"/>
  <c r="BC301" i="6"/>
  <c r="BC299" i="6"/>
  <c r="BC295" i="6"/>
  <c r="BC18" i="6"/>
  <c r="BC16" i="6"/>
  <c r="BC14" i="6"/>
  <c r="BC1248" i="6"/>
  <c r="BC1246" i="6"/>
  <c r="CG916" i="6"/>
  <c r="CI720" i="6"/>
  <c r="BH720" i="6" s="1"/>
  <c r="CI338" i="6"/>
  <c r="BE424" i="6"/>
  <c r="BC728" i="6"/>
  <c r="BC392" i="6"/>
  <c r="BC390" i="6"/>
  <c r="BC388" i="6"/>
  <c r="BC242" i="6"/>
  <c r="BC240" i="6"/>
  <c r="BC238" i="6"/>
  <c r="BC973" i="6"/>
  <c r="BC1056" i="6"/>
  <c r="BC1047" i="6"/>
  <c r="BC961" i="6"/>
  <c r="BC27" i="6"/>
  <c r="BC1168" i="6"/>
  <c r="BC1028" i="6"/>
  <c r="BC645" i="6"/>
  <c r="BC643" i="6"/>
  <c r="BC634" i="6"/>
  <c r="BC217" i="6"/>
  <c r="BM421" i="6"/>
  <c r="BC276" i="6"/>
  <c r="CI646" i="6"/>
  <c r="BE421" i="6"/>
  <c r="CG1212" i="6"/>
  <c r="BM1057" i="6"/>
  <c r="CG310" i="6"/>
  <c r="CI622" i="6"/>
  <c r="CI538" i="6"/>
  <c r="BE1243" i="6"/>
  <c r="BE1249" i="6"/>
  <c r="BC1001" i="6"/>
  <c r="BC103" i="6"/>
  <c r="BC971" i="6"/>
  <c r="BC965" i="6"/>
  <c r="BC290" i="6"/>
  <c r="BC286" i="6"/>
  <c r="BC280" i="6"/>
  <c r="BC320" i="6"/>
  <c r="BC318" i="6"/>
  <c r="BC316" i="6"/>
  <c r="BC314" i="6"/>
  <c r="BC308" i="6"/>
  <c r="BC582" i="6"/>
  <c r="BC580" i="6"/>
  <c r="BC302" i="6"/>
  <c r="BC188" i="6"/>
  <c r="BC17" i="6"/>
  <c r="BC15" i="6"/>
  <c r="BC13" i="6"/>
  <c r="BC1034" i="6"/>
  <c r="BC1020" i="6"/>
  <c r="BC650" i="6"/>
  <c r="BC641" i="6"/>
  <c r="BC273" i="6"/>
  <c r="CG624" i="6"/>
  <c r="BC742" i="6"/>
  <c r="BC576" i="6"/>
  <c r="BC512" i="6"/>
  <c r="BC366" i="6"/>
  <c r="BC458" i="6"/>
  <c r="BC446" i="6"/>
  <c r="BC334" i="6"/>
  <c r="BC272" i="6"/>
  <c r="BC256" i="6"/>
  <c r="BC697" i="6"/>
  <c r="BC693" i="6"/>
  <c r="BC689" i="6"/>
  <c r="BC687" i="6"/>
  <c r="BC849" i="6"/>
  <c r="BC843" i="6"/>
  <c r="BC517" i="6"/>
  <c r="BC403" i="6"/>
  <c r="BC481" i="6"/>
  <c r="BC629" i="6"/>
  <c r="BC212" i="6"/>
  <c r="BC198" i="6"/>
  <c r="BC194" i="6"/>
  <c r="BC192" i="6"/>
  <c r="BC182" i="6"/>
  <c r="BC178" i="6"/>
  <c r="BC172" i="6"/>
  <c r="BC170" i="6"/>
  <c r="BC168" i="6"/>
  <c r="BC98" i="6"/>
  <c r="BC164" i="6"/>
  <c r="BC162" i="6"/>
  <c r="BC156" i="6"/>
  <c r="BC154" i="6"/>
  <c r="BC92" i="6"/>
  <c r="BC86" i="6"/>
  <c r="BC84" i="6"/>
  <c r="BC148" i="6"/>
  <c r="BC146" i="6"/>
  <c r="BC144" i="6"/>
  <c r="BC142" i="6"/>
  <c r="BC140" i="6"/>
  <c r="BC138" i="6"/>
  <c r="BC134" i="6"/>
  <c r="BC132" i="6"/>
  <c r="BC80" i="6"/>
  <c r="BC78" i="6"/>
  <c r="BC76" i="6"/>
  <c r="BC74" i="6"/>
  <c r="BC66" i="6"/>
  <c r="BC64" i="6"/>
  <c r="BC60" i="6"/>
  <c r="BC58" i="6"/>
  <c r="BC52" i="6"/>
  <c r="BC48" i="6"/>
  <c r="BC46" i="6"/>
  <c r="BC40" i="6"/>
  <c r="BC124" i="6"/>
  <c r="BC122" i="6"/>
  <c r="BC116" i="6"/>
  <c r="BC1224" i="6"/>
  <c r="BC1222" i="6"/>
  <c r="BC1218" i="6"/>
  <c r="BC1216" i="6"/>
  <c r="BC1197" i="6"/>
  <c r="BC1189" i="6"/>
  <c r="BC1173" i="6"/>
  <c r="BC977" i="6"/>
  <c r="BC1081" i="6"/>
  <c r="BC1079" i="6"/>
  <c r="BC1069" i="6"/>
  <c r="BC1060" i="6"/>
  <c r="BC1058" i="6"/>
  <c r="BC967" i="6"/>
  <c r="BC656" i="6"/>
  <c r="BC652" i="6"/>
  <c r="BN643" i="6"/>
  <c r="BC1086" i="6"/>
  <c r="CI961" i="6"/>
  <c r="BH961" i="6" s="1"/>
  <c r="AR961" i="6" s="1"/>
  <c r="CI784" i="6"/>
  <c r="BH784" i="6" s="1"/>
  <c r="BE1101" i="6"/>
  <c r="BE988" i="6"/>
  <c r="BE726" i="6"/>
  <c r="CI460" i="6"/>
  <c r="CI324" i="6"/>
  <c r="BC639" i="6"/>
  <c r="BC420" i="6"/>
  <c r="BC622" i="6"/>
  <c r="BC678" i="6"/>
  <c r="BM1014" i="6"/>
  <c r="BC332" i="6"/>
  <c r="BE1015" i="6"/>
  <c r="CG1165" i="6"/>
  <c r="BN1015" i="6"/>
  <c r="BC1125" i="6"/>
  <c r="BC938" i="6"/>
  <c r="BC790" i="6"/>
  <c r="BC786" i="6"/>
  <c r="BC782" i="6"/>
  <c r="BC778" i="6"/>
  <c r="BC774" i="6"/>
  <c r="BC770" i="6"/>
  <c r="BC766" i="6"/>
  <c r="BC762" i="6"/>
  <c r="BC758" i="6"/>
  <c r="BC754" i="6"/>
  <c r="BC750" i="6"/>
  <c r="BC746" i="6"/>
  <c r="BC860" i="6"/>
  <c r="BC844" i="6"/>
  <c r="BC842" i="6"/>
  <c r="BC832" i="6"/>
  <c r="BC820" i="6"/>
  <c r="BC818" i="6"/>
  <c r="BC620" i="6"/>
  <c r="BC618" i="6"/>
  <c r="BC578" i="6"/>
  <c r="BC570" i="6"/>
  <c r="BC612" i="6"/>
  <c r="BC374" i="6"/>
  <c r="BC516" i="6"/>
  <c r="BC508" i="6"/>
  <c r="BC488" i="6"/>
  <c r="BC592" i="6"/>
  <c r="BC360" i="6"/>
  <c r="BC472" i="6"/>
  <c r="BC468" i="6"/>
  <c r="BC346" i="6"/>
  <c r="BC386" i="6"/>
  <c r="BC382" i="6"/>
  <c r="BC554" i="6"/>
  <c r="BC550" i="6"/>
  <c r="BC326" i="6"/>
  <c r="BC456" i="6"/>
  <c r="BC546" i="6"/>
  <c r="BC448" i="6"/>
  <c r="BC444" i="6"/>
  <c r="BC344" i="6"/>
  <c r="BC342" i="6"/>
  <c r="BC336" i="6"/>
  <c r="BC270" i="6"/>
  <c r="BC264" i="6"/>
  <c r="BC254" i="6"/>
  <c r="BC248" i="6"/>
  <c r="BC246" i="6"/>
  <c r="BC244" i="6"/>
  <c r="BC232" i="6"/>
  <c r="BC230" i="6"/>
  <c r="BC209" i="6"/>
  <c r="BC205" i="6"/>
  <c r="BC193" i="6"/>
  <c r="BC189" i="6"/>
  <c r="BC169" i="6"/>
  <c r="BC91" i="6"/>
  <c r="BC83" i="6"/>
  <c r="BC73" i="6"/>
  <c r="BC71" i="6"/>
  <c r="BC61" i="6"/>
  <c r="BC59" i="6"/>
  <c r="BC51" i="6"/>
  <c r="BC39" i="6"/>
  <c r="BC123" i="6"/>
  <c r="BC1219" i="6"/>
  <c r="BC1217" i="6"/>
  <c r="BC1215" i="6"/>
  <c r="BC1202" i="6"/>
  <c r="BC1200" i="6"/>
  <c r="BC1194" i="6"/>
  <c r="BC1188" i="6"/>
  <c r="BC1184" i="6"/>
  <c r="BC1178" i="6"/>
  <c r="BC980" i="6"/>
  <c r="BC1076" i="6"/>
  <c r="BC969" i="6"/>
  <c r="BC1057" i="6"/>
  <c r="BC963" i="6"/>
  <c r="BC959" i="6"/>
  <c r="BC836" i="6"/>
  <c r="BC524" i="6"/>
  <c r="BC522" i="6"/>
  <c r="BC484" i="6"/>
  <c r="BC358" i="6"/>
  <c r="BC350" i="6"/>
  <c r="BC340" i="6"/>
  <c r="BC262" i="6"/>
  <c r="BC932" i="6"/>
  <c r="BC920" i="6"/>
  <c r="BC888" i="6"/>
  <c r="BC886" i="6"/>
  <c r="BC884" i="6"/>
  <c r="BC882" i="6"/>
  <c r="BC866" i="6"/>
  <c r="BC864" i="6"/>
  <c r="BC862" i="6"/>
  <c r="BC698" i="6"/>
  <c r="BC696" i="6"/>
  <c r="BC692" i="6"/>
  <c r="BC688" i="6"/>
  <c r="BC840" i="6"/>
  <c r="BC838" i="6"/>
  <c r="BC830" i="6"/>
  <c r="BC824" i="6"/>
  <c r="BC822" i="6"/>
  <c r="BC816" i="6"/>
  <c r="BC682" i="6"/>
  <c r="BC672" i="6"/>
  <c r="BC616" i="6"/>
  <c r="BC574" i="6"/>
  <c r="BC572" i="6"/>
  <c r="BC568" i="6"/>
  <c r="BC562" i="6"/>
  <c r="BC520" i="6"/>
  <c r="BC608" i="6"/>
  <c r="BC606" i="6"/>
  <c r="BC514" i="6"/>
  <c r="BC400" i="6"/>
  <c r="BC328" i="6"/>
  <c r="BC602" i="6"/>
  <c r="BC500" i="6"/>
  <c r="BC498" i="6"/>
  <c r="BC496" i="6"/>
  <c r="BC1176" i="6"/>
  <c r="BC1054" i="6"/>
  <c r="BC957" i="6"/>
  <c r="BC1043" i="6"/>
  <c r="BC475" i="6"/>
  <c r="BC337" i="6"/>
  <c r="BC235" i="6"/>
  <c r="BC97" i="6"/>
  <c r="BC107" i="6"/>
  <c r="BC651" i="6"/>
  <c r="BC863" i="6"/>
  <c r="BC695" i="6"/>
  <c r="BC691" i="6"/>
  <c r="BC853" i="6"/>
  <c r="BC851" i="6"/>
  <c r="BC847" i="6"/>
  <c r="BC845" i="6"/>
  <c r="BC841" i="6"/>
  <c r="BC839" i="6"/>
  <c r="BC829" i="6"/>
  <c r="BC825" i="6"/>
  <c r="BC821" i="6"/>
  <c r="BC819" i="6"/>
  <c r="BC817" i="6"/>
  <c r="BC815" i="6"/>
  <c r="BC813" i="6"/>
  <c r="BC685" i="6"/>
  <c r="BC679" i="6"/>
  <c r="BC677" i="6"/>
  <c r="BC675" i="6"/>
  <c r="BC673" i="6"/>
  <c r="BC671" i="6"/>
  <c r="BC811" i="6"/>
  <c r="BC809" i="6"/>
  <c r="BC807" i="6"/>
  <c r="BC617" i="6"/>
  <c r="BC615" i="6"/>
  <c r="BC577" i="6"/>
  <c r="BC575" i="6"/>
  <c r="BC573" i="6"/>
  <c r="BC571" i="6"/>
  <c r="BC569" i="6"/>
  <c r="BC567" i="6"/>
  <c r="BC565" i="6"/>
  <c r="BC563" i="6"/>
  <c r="BC561" i="6"/>
  <c r="BC529" i="6"/>
  <c r="BC527" i="6"/>
  <c r="BC525" i="6"/>
  <c r="BC515" i="6"/>
  <c r="BC513" i="6"/>
  <c r="BC401" i="6"/>
  <c r="BC399" i="6"/>
  <c r="BC511" i="6"/>
  <c r="BC509" i="6"/>
  <c r="BC507" i="6"/>
  <c r="BC331" i="6"/>
  <c r="BC329" i="6"/>
  <c r="BC601" i="6"/>
  <c r="BC599" i="6"/>
  <c r="BC367" i="6"/>
  <c r="BC365" i="6"/>
  <c r="BC363" i="6"/>
  <c r="BC499" i="6"/>
  <c r="BC497" i="6"/>
  <c r="BC495" i="6"/>
  <c r="BC493" i="6"/>
  <c r="BC491" i="6"/>
  <c r="BC489" i="6"/>
  <c r="CI476" i="6"/>
  <c r="BM1012" i="6"/>
  <c r="BM643" i="6"/>
  <c r="BC1013" i="6"/>
  <c r="BC720" i="6"/>
  <c r="BC808" i="6"/>
  <c r="BC510" i="6"/>
  <c r="BC598" i="6"/>
  <c r="BC558" i="6"/>
  <c r="BC99" i="6"/>
  <c r="BC173" i="6"/>
  <c r="BC165" i="6"/>
  <c r="BC93" i="6"/>
  <c r="BC81" i="6"/>
  <c r="BC147" i="6"/>
  <c r="BC141" i="6"/>
  <c r="BC139" i="6"/>
  <c r="BC135" i="6"/>
  <c r="BC133" i="6"/>
  <c r="BC55" i="6"/>
  <c r="BC43" i="6"/>
  <c r="BC41" i="6"/>
  <c r="BC127" i="6"/>
  <c r="BC125" i="6"/>
  <c r="BC119" i="6"/>
  <c r="BC109" i="6"/>
  <c r="BC1225" i="6"/>
  <c r="BC1209" i="6"/>
  <c r="BC968" i="6"/>
  <c r="BC653" i="6"/>
  <c r="BC310" i="6"/>
  <c r="BC306" i="6"/>
  <c r="BC304" i="6"/>
  <c r="BC36" i="6"/>
  <c r="BC32" i="6"/>
  <c r="BC28" i="6"/>
  <c r="BC26" i="6"/>
  <c r="BC473" i="6"/>
  <c r="BC391" i="6"/>
  <c r="BC389" i="6"/>
  <c r="CI683" i="6"/>
  <c r="BH683" i="6" s="1"/>
  <c r="BC1250" i="6"/>
  <c r="BC1258" i="6"/>
  <c r="BC722" i="6"/>
  <c r="BC714" i="6"/>
  <c r="BC694" i="6"/>
  <c r="BC676" i="6"/>
  <c r="BC364" i="6"/>
  <c r="CI762" i="6"/>
  <c r="BH762" i="6" s="1"/>
  <c r="BE1134" i="6"/>
  <c r="BC1232" i="6"/>
  <c r="BC1146" i="6"/>
  <c r="BC1142" i="6"/>
  <c r="BC1106" i="6"/>
  <c r="BE891" i="6"/>
  <c r="CI699" i="6"/>
  <c r="BH699" i="6" s="1"/>
  <c r="BE914" i="6"/>
  <c r="CI988" i="6"/>
  <c r="BH988" i="6" s="1"/>
  <c r="AR988" i="6" s="1"/>
  <c r="BM1045" i="6"/>
  <c r="BE1045" i="6"/>
  <c r="BE1090" i="6"/>
  <c r="CG1161" i="6"/>
  <c r="CI763" i="6"/>
  <c r="BH763" i="6" s="1"/>
  <c r="BC1252" i="6"/>
  <c r="BC1009" i="6"/>
  <c r="BC999" i="6"/>
  <c r="BC1088" i="6"/>
  <c r="BC555" i="6"/>
  <c r="BC486" i="6"/>
  <c r="BC452" i="6"/>
  <c r="BC250" i="6"/>
  <c r="BC228" i="6"/>
  <c r="BC202" i="6"/>
  <c r="BC200" i="6"/>
  <c r="BC190" i="6"/>
  <c r="BC102" i="6"/>
  <c r="BC176" i="6"/>
  <c r="BC94" i="6"/>
  <c r="BC90" i="6"/>
  <c r="BC82" i="6"/>
  <c r="BC150" i="6"/>
  <c r="BC136" i="6"/>
  <c r="BC130" i="6"/>
  <c r="BC72" i="6"/>
  <c r="BC68" i="6"/>
  <c r="BC62" i="6"/>
  <c r="BC50" i="6"/>
  <c r="BC114" i="6"/>
  <c r="BC110" i="6"/>
  <c r="BC1226" i="6"/>
  <c r="BC1220" i="6"/>
  <c r="BC1212" i="6"/>
  <c r="BC1073" i="6"/>
  <c r="BC1071" i="6"/>
  <c r="BC1053" i="6"/>
  <c r="BC654" i="6"/>
  <c r="BC1172" i="6"/>
  <c r="CG1249" i="6"/>
  <c r="CI372" i="6"/>
  <c r="CI602" i="6"/>
  <c r="CI494" i="6"/>
  <c r="BC224" i="6"/>
  <c r="BC944" i="6"/>
  <c r="BC718" i="6"/>
  <c r="BC952" i="6"/>
  <c r="BC798" i="6"/>
  <c r="BC948" i="6"/>
  <c r="BC708" i="6"/>
  <c r="BC890" i="6"/>
  <c r="BC868" i="6"/>
  <c r="BC494" i="6"/>
  <c r="BC474" i="6"/>
  <c r="BC352" i="6"/>
  <c r="BC384" i="6"/>
  <c r="BC322" i="6"/>
  <c r="BC544" i="6"/>
  <c r="BC258" i="6"/>
  <c r="BC252" i="6"/>
  <c r="BC226" i="6"/>
  <c r="BC201" i="6"/>
  <c r="BC191" i="6"/>
  <c r="BC85" i="6"/>
  <c r="BC149" i="6"/>
  <c r="BC129" i="6"/>
  <c r="BC79" i="6"/>
  <c r="BC67" i="6"/>
  <c r="BC113" i="6"/>
  <c r="BC111" i="6"/>
  <c r="BC1206" i="6"/>
  <c r="BC1182" i="6"/>
  <c r="BC312" i="6"/>
  <c r="BC542" i="6"/>
  <c r="BC540" i="6"/>
  <c r="BC538" i="6"/>
  <c r="BC584" i="6"/>
  <c r="BC300" i="6"/>
  <c r="BC298" i="6"/>
  <c r="BC186" i="6"/>
  <c r="BC21" i="6"/>
  <c r="BC19" i="6"/>
  <c r="BC531" i="6"/>
  <c r="BC325" i="6"/>
  <c r="BC543" i="6"/>
  <c r="BC449" i="6"/>
  <c r="BC443" i="6"/>
  <c r="BC339" i="6"/>
  <c r="CG1152" i="6"/>
  <c r="CI653" i="6"/>
  <c r="BC902" i="6"/>
  <c r="BC814" i="6"/>
  <c r="BC684" i="6"/>
  <c r="BC680" i="6"/>
  <c r="BC404" i="6"/>
  <c r="BC1015" i="6"/>
  <c r="BC1012" i="6"/>
  <c r="CI543" i="6"/>
  <c r="CG1072" i="6"/>
  <c r="BC387" i="6"/>
  <c r="BC247" i="6"/>
  <c r="BC245" i="6"/>
  <c r="BC243" i="6"/>
  <c r="BC241" i="6"/>
  <c r="BC231" i="6"/>
  <c r="BC730" i="6"/>
  <c r="CG1192" i="6"/>
  <c r="BC988" i="6"/>
  <c r="BC986" i="6"/>
  <c r="BC984" i="6"/>
  <c r="BC982" i="6"/>
  <c r="BC690" i="6"/>
  <c r="BC852" i="6"/>
  <c r="BC850" i="6"/>
  <c r="BC846" i="6"/>
  <c r="BC674" i="6"/>
  <c r="BC666" i="6"/>
  <c r="BC664" i="6"/>
  <c r="BC662" i="6"/>
  <c r="BC660" i="6"/>
  <c r="BC658" i="6"/>
  <c r="BC812" i="6"/>
  <c r="BC810" i="6"/>
  <c r="BC530" i="6"/>
  <c r="BC236" i="6"/>
  <c r="BC234" i="6"/>
  <c r="BC482" i="6"/>
  <c r="BC478" i="6"/>
  <c r="BC632" i="6"/>
  <c r="BC628" i="6"/>
  <c r="BC588" i="6"/>
  <c r="BC586" i="6"/>
  <c r="BC221" i="6"/>
  <c r="BC219" i="6"/>
  <c r="BC211" i="6"/>
  <c r="BC207" i="6"/>
  <c r="BC203" i="6"/>
  <c r="BC199" i="6"/>
  <c r="BC197" i="6"/>
  <c r="BC195" i="6"/>
  <c r="BC181" i="6"/>
  <c r="BC179" i="6"/>
  <c r="BC177" i="6"/>
  <c r="BC101" i="6"/>
  <c r="BC175" i="6"/>
  <c r="BC171" i="6"/>
  <c r="BC167" i="6"/>
  <c r="BC95" i="6"/>
  <c r="BC163" i="6"/>
  <c r="BC161" i="6"/>
  <c r="BC159" i="6"/>
  <c r="BC157" i="6"/>
  <c r="BC155" i="6"/>
  <c r="BC153" i="6"/>
  <c r="BC89" i="6"/>
  <c r="BC87" i="6"/>
  <c r="BC151" i="6"/>
  <c r="BC145" i="6"/>
  <c r="BC143" i="6"/>
  <c r="BC137" i="6"/>
  <c r="BC131" i="6"/>
  <c r="BC77" i="6"/>
  <c r="BC75" i="6"/>
  <c r="BC69" i="6"/>
  <c r="BC65" i="6"/>
  <c r="BC63" i="6"/>
  <c r="BC57" i="6"/>
  <c r="BC53" i="6"/>
  <c r="BC49" i="6"/>
  <c r="BC47" i="6"/>
  <c r="BC45" i="6"/>
  <c r="BC121" i="6"/>
  <c r="BC117" i="6"/>
  <c r="BC115" i="6"/>
  <c r="BC105" i="6"/>
  <c r="BC1223" i="6"/>
  <c r="BC1221" i="6"/>
  <c r="BC1213" i="6"/>
  <c r="BC1211" i="6"/>
  <c r="BC1198" i="6"/>
  <c r="BC1186" i="6"/>
  <c r="BC978" i="6"/>
  <c r="BC1080" i="6"/>
  <c r="BC1078" i="6"/>
  <c r="BC1061" i="6"/>
  <c r="BC655" i="6"/>
  <c r="BC614" i="6"/>
  <c r="BC610" i="6"/>
  <c r="BC370" i="6"/>
  <c r="BC560" i="6"/>
  <c r="BC556" i="6"/>
  <c r="BC1010" i="6"/>
  <c r="BC1008" i="6"/>
  <c r="BC1006" i="6"/>
  <c r="BC1000" i="6"/>
  <c r="BC1140" i="6"/>
  <c r="BC989" i="6"/>
  <c r="BC987" i="6"/>
  <c r="BC983" i="6"/>
  <c r="BC981" i="6"/>
  <c r="BC739" i="6"/>
  <c r="BC735" i="6"/>
  <c r="BC953" i="6"/>
  <c r="BC917" i="6"/>
  <c r="BC793" i="6"/>
  <c r="BC949" i="6"/>
  <c r="BC947" i="6"/>
  <c r="BC709" i="6"/>
  <c r="BC707" i="6"/>
  <c r="BC705" i="6"/>
  <c r="BC901" i="6"/>
  <c r="BC889" i="6"/>
  <c r="BC887" i="6"/>
  <c r="BC881" i="6"/>
  <c r="CI572" i="6"/>
  <c r="BC1014" i="6"/>
  <c r="BC1267" i="6"/>
  <c r="BC1233" i="6"/>
  <c r="BC1229" i="6"/>
  <c r="BC1147" i="6"/>
  <c r="BC1145" i="6"/>
  <c r="BC1143" i="6"/>
  <c r="BC1123" i="6"/>
  <c r="BC990" i="6"/>
  <c r="BC1254" i="6"/>
  <c r="BC1235" i="6"/>
  <c r="BC1104" i="6"/>
  <c r="BC1102" i="6"/>
  <c r="BC1136" i="6"/>
  <c r="BC1130" i="6"/>
  <c r="BC1092" i="6"/>
  <c r="BC1087" i="6"/>
  <c r="BC731" i="6"/>
  <c r="BC727" i="6"/>
  <c r="BC703" i="6"/>
  <c r="BC783" i="6"/>
  <c r="BC781" i="6"/>
  <c r="BC775" i="6"/>
  <c r="BC773" i="6"/>
  <c r="BC767" i="6"/>
  <c r="BC757" i="6"/>
  <c r="BC749" i="6"/>
  <c r="BC743" i="6"/>
  <c r="BC741" i="6"/>
  <c r="BC871" i="6"/>
  <c r="CI459" i="6"/>
  <c r="CI972" i="6"/>
  <c r="BH972" i="6" s="1"/>
  <c r="AR972" i="6" s="1"/>
  <c r="BM427" i="6"/>
  <c r="BN427" i="6"/>
  <c r="BE427" i="6"/>
  <c r="CI34" i="6"/>
  <c r="BH34" i="6" s="1"/>
  <c r="CI529" i="6"/>
  <c r="CI553" i="6"/>
  <c r="BC362" i="6"/>
  <c r="BC476" i="6"/>
  <c r="BC470" i="6"/>
  <c r="BC466" i="6"/>
  <c r="BC354" i="6"/>
  <c r="BC348" i="6"/>
  <c r="BC552" i="6"/>
  <c r="BC324" i="6"/>
  <c r="BC454" i="6"/>
  <c r="BC548" i="6"/>
  <c r="BC450" i="6"/>
  <c r="BC442" i="6"/>
  <c r="BC338" i="6"/>
  <c r="BC268" i="6"/>
  <c r="BC266" i="6"/>
  <c r="BC260" i="6"/>
  <c r="AR1012" i="6"/>
  <c r="BC1264" i="6"/>
  <c r="BC1260" i="6"/>
  <c r="BC1121" i="6"/>
  <c r="BC1119" i="6"/>
  <c r="BC1005" i="6"/>
  <c r="BC1117" i="6"/>
  <c r="BC1113" i="6"/>
  <c r="BC1111" i="6"/>
  <c r="BC1141" i="6"/>
  <c r="BC1103" i="6"/>
  <c r="BC1099" i="6"/>
  <c r="BC1091" i="6"/>
  <c r="BC704" i="6"/>
  <c r="BC788" i="6"/>
  <c r="BC784" i="6"/>
  <c r="BC772" i="6"/>
  <c r="BC764" i="6"/>
  <c r="BC744" i="6"/>
  <c r="BC870" i="6"/>
  <c r="BC373" i="6"/>
  <c r="BC371" i="6"/>
  <c r="BC483" i="6"/>
  <c r="BC479" i="6"/>
  <c r="BC477" i="6"/>
  <c r="BC631" i="6"/>
  <c r="BC627" i="6"/>
  <c r="BC595" i="6"/>
  <c r="BC593" i="6"/>
  <c r="BC591" i="6"/>
  <c r="BC585" i="6"/>
  <c r="BC357" i="6"/>
  <c r="BC469" i="6"/>
  <c r="BC465" i="6"/>
  <c r="BC353" i="6"/>
  <c r="BC351" i="6"/>
  <c r="BC349" i="6"/>
  <c r="BC347" i="6"/>
  <c r="BC385" i="6"/>
  <c r="BC381" i="6"/>
  <c r="BC553" i="6"/>
  <c r="BC549" i="6"/>
  <c r="BC323" i="6"/>
  <c r="BC457" i="6"/>
  <c r="BC455" i="6"/>
  <c r="BC453" i="6"/>
  <c r="BC545" i="6"/>
  <c r="BC451" i="6"/>
  <c r="BC445" i="6"/>
  <c r="BC441" i="6"/>
  <c r="BC343" i="6"/>
  <c r="BC335" i="6"/>
  <c r="BC271" i="6"/>
  <c r="BC269" i="6"/>
  <c r="BC267" i="6"/>
  <c r="BC261" i="6"/>
  <c r="BC259" i="6"/>
  <c r="BC255" i="6"/>
  <c r="BN1014" i="6"/>
  <c r="BC23" i="6"/>
  <c r="BC1018" i="6"/>
  <c r="BC421" i="6"/>
  <c r="BC624" i="6"/>
  <c r="BC533" i="6"/>
  <c r="BC1199" i="6"/>
  <c r="BC1195" i="6"/>
  <c r="BC1193" i="6"/>
  <c r="BC1191" i="6"/>
  <c r="BC1187" i="6"/>
  <c r="BC1185" i="6"/>
  <c r="BC1177" i="6"/>
  <c r="BC1175" i="6"/>
  <c r="BC1070" i="6"/>
  <c r="BC972" i="6"/>
  <c r="BC970" i="6"/>
  <c r="BC1064" i="6"/>
  <c r="BC1062" i="6"/>
  <c r="BC1050" i="6"/>
  <c r="BC289" i="6"/>
  <c r="BC281" i="6"/>
  <c r="BC296" i="6"/>
  <c r="BC294" i="6"/>
  <c r="BC292" i="6"/>
  <c r="BC184" i="6"/>
  <c r="BC30" i="6"/>
  <c r="BC11" i="6"/>
  <c r="BC1249" i="6"/>
  <c r="BC1171" i="6"/>
  <c r="BC1169" i="6"/>
  <c r="BC1167" i="6"/>
  <c r="BC1031" i="6"/>
  <c r="BC1029" i="6"/>
  <c r="BC1025" i="6"/>
  <c r="BC648" i="6"/>
  <c r="BC646" i="6"/>
  <c r="BN914" i="6"/>
  <c r="CI912" i="6"/>
  <c r="BH912" i="6" s="1"/>
  <c r="CI512" i="6"/>
  <c r="CG1017" i="6"/>
  <c r="CI410" i="6"/>
  <c r="BC9" i="6"/>
  <c r="BM1011" i="6"/>
  <c r="BC726" i="6"/>
  <c r="BC934" i="6"/>
  <c r="BC926" i="6"/>
  <c r="BC922" i="6"/>
  <c r="BC878" i="6"/>
  <c r="BC604" i="6"/>
  <c r="BC410" i="6"/>
  <c r="BC408" i="6"/>
  <c r="BC406" i="6"/>
  <c r="BC402" i="6"/>
  <c r="BC330" i="6"/>
  <c r="BC600" i="6"/>
  <c r="BC368" i="6"/>
  <c r="BC492" i="6"/>
  <c r="BC490" i="6"/>
  <c r="BC185" i="6"/>
  <c r="BC37" i="6"/>
  <c r="BC35" i="6"/>
  <c r="BC29" i="6"/>
  <c r="BC12" i="6"/>
  <c r="BC10" i="6"/>
  <c r="BC1032" i="6"/>
  <c r="BC638" i="6"/>
  <c r="BC633" i="6"/>
  <c r="BC625" i="6"/>
  <c r="BC216" i="6"/>
  <c r="BC630" i="6"/>
  <c r="BC596" i="6"/>
  <c r="BC594" i="6"/>
  <c r="BC590" i="6"/>
  <c r="BC1208" i="6"/>
  <c r="BC1204" i="6"/>
  <c r="BC1196" i="6"/>
  <c r="BC1192" i="6"/>
  <c r="BC1190" i="6"/>
  <c r="BC1180" i="6"/>
  <c r="BC1174" i="6"/>
  <c r="BC1082" i="6"/>
  <c r="BC284" i="6"/>
  <c r="BC282" i="6"/>
  <c r="BC297" i="6"/>
  <c r="BM911" i="6"/>
  <c r="BE912" i="6"/>
  <c r="BE910" i="6"/>
  <c r="BM910" i="6"/>
  <c r="CI697" i="6"/>
  <c r="BH697" i="6" s="1"/>
  <c r="CG895" i="6"/>
  <c r="CG1059" i="6"/>
  <c r="BE655" i="6"/>
  <c r="BM655" i="6"/>
  <c r="BP655" i="6" s="1"/>
  <c r="BE911" i="6"/>
  <c r="CI833" i="6"/>
  <c r="BH833" i="6" s="1"/>
  <c r="BC1207" i="6"/>
  <c r="BC1203" i="6"/>
  <c r="BC1201" i="6"/>
  <c r="BC1074" i="6"/>
  <c r="BC38" i="6"/>
  <c r="BC1266" i="6"/>
  <c r="BC1234" i="6"/>
  <c r="BC1230" i="6"/>
  <c r="BC1228" i="6"/>
  <c r="BC1148" i="6"/>
  <c r="BC1144" i="6"/>
  <c r="BC1124" i="6"/>
  <c r="BC1101" i="6"/>
  <c r="BC1095" i="6"/>
  <c r="BC1135" i="6"/>
  <c r="BC1131" i="6"/>
  <c r="BC1093" i="6"/>
  <c r="BC942" i="6"/>
  <c r="BC954" i="6"/>
  <c r="BC712" i="6"/>
  <c r="BC796" i="6"/>
  <c r="BC950" i="6"/>
  <c r="BC898" i="6"/>
  <c r="BC880" i="6"/>
  <c r="BC748" i="6"/>
  <c r="BC251" i="6"/>
  <c r="BC220" i="6"/>
  <c r="BC208" i="6"/>
  <c r="BC196" i="6"/>
  <c r="BC166" i="6"/>
  <c r="BC152" i="6"/>
  <c r="BC128" i="6"/>
  <c r="BC112" i="6"/>
  <c r="BC1214" i="6"/>
  <c r="BC1122" i="6"/>
  <c r="BC1108" i="6"/>
  <c r="BC1138" i="6"/>
  <c r="BE1012" i="6"/>
  <c r="BC1115" i="6"/>
  <c r="BC1109" i="6"/>
  <c r="BC1003" i="6"/>
  <c r="BC1262" i="6"/>
  <c r="BC700" i="6"/>
  <c r="BC760" i="6"/>
  <c r="BC756" i="6"/>
  <c r="BM1016" i="6"/>
  <c r="BE1016" i="6"/>
  <c r="BN1016" i="6"/>
  <c r="AR733" i="6"/>
  <c r="BE733" i="6"/>
  <c r="BC1237" i="6"/>
  <c r="CI656" i="6"/>
  <c r="BC940" i="6"/>
  <c r="BC930" i="6"/>
  <c r="BC928" i="6"/>
  <c r="BC800" i="6"/>
  <c r="BC794" i="6"/>
  <c r="CI641" i="6"/>
  <c r="CI643" i="6"/>
  <c r="CI520" i="6"/>
  <c r="CI652" i="6"/>
  <c r="BC1084" i="6"/>
  <c r="BC734" i="6"/>
  <c r="BC732" i="6"/>
  <c r="BC943" i="6"/>
  <c r="BC719" i="6"/>
  <c r="BC717" i="6"/>
  <c r="BC955" i="6"/>
  <c r="BC915" i="6"/>
  <c r="BC872" i="6"/>
  <c r="BE913" i="6"/>
  <c r="BC956" i="6"/>
  <c r="BC918" i="6"/>
  <c r="BC716" i="6"/>
  <c r="BC765" i="6"/>
  <c r="BC759" i="6"/>
  <c r="BC683" i="6"/>
  <c r="BC681" i="6"/>
  <c r="BC737" i="6"/>
  <c r="CG1216" i="6"/>
  <c r="CI850" i="6"/>
  <c r="BH850" i="6" s="1"/>
  <c r="AR850" i="6" s="1"/>
  <c r="BC589" i="6"/>
  <c r="BC587" i="6"/>
  <c r="BC210" i="6"/>
  <c r="BC927" i="6"/>
  <c r="BC925" i="6"/>
  <c r="BC921" i="6"/>
  <c r="BC951" i="6"/>
  <c r="BC795" i="6"/>
  <c r="BC876" i="6"/>
  <c r="BC874" i="6"/>
  <c r="BC854" i="6"/>
  <c r="BC834" i="6"/>
  <c r="BN1011" i="6"/>
  <c r="BN913" i="6"/>
  <c r="BC740" i="6"/>
  <c r="BC738" i="6"/>
  <c r="BC736" i="6"/>
  <c r="BC1257" i="6"/>
  <c r="BC715" i="6"/>
  <c r="BC713" i="6"/>
  <c r="AR1016" i="6"/>
  <c r="BC1114" i="6"/>
  <c r="BN910" i="6"/>
  <c r="BC733" i="6"/>
  <c r="CI568" i="6"/>
  <c r="AL894" i="26"/>
  <c r="AL892" i="26"/>
  <c r="AL887" i="26"/>
  <c r="AL875" i="26"/>
  <c r="AL835" i="26"/>
  <c r="AL817" i="26"/>
  <c r="AL718" i="26"/>
  <c r="AL677" i="26"/>
  <c r="AL660" i="26"/>
  <c r="AL951" i="26"/>
  <c r="AL943" i="26"/>
  <c r="AL895" i="26"/>
  <c r="AL1189" i="26"/>
  <c r="AL1112" i="26"/>
  <c r="AL1096" i="26"/>
  <c r="AL1084" i="26"/>
  <c r="AL1068" i="26"/>
  <c r="AL1054" i="26"/>
  <c r="AL1049" i="26"/>
  <c r="AL979" i="26"/>
  <c r="AL968" i="26"/>
  <c r="AL933" i="26"/>
  <c r="AL901" i="26"/>
  <c r="AL884" i="26"/>
  <c r="AL876" i="26"/>
  <c r="AL862" i="26"/>
  <c r="AL777" i="26"/>
  <c r="AL724" i="26"/>
  <c r="AL721" i="26"/>
  <c r="AL697" i="26"/>
  <c r="AL680" i="26"/>
  <c r="AN1177" i="26"/>
  <c r="AL753" i="26"/>
  <c r="AL696" i="26"/>
  <c r="AL659" i="26"/>
  <c r="AL1143" i="26"/>
  <c r="AL1137" i="26"/>
  <c r="AL1126" i="26"/>
  <c r="AL1117" i="26"/>
  <c r="AL1086" i="26"/>
  <c r="AL1085" i="26"/>
  <c r="AL1073" i="26"/>
  <c r="AL1044" i="26"/>
  <c r="AL903" i="26"/>
  <c r="AL877" i="26"/>
  <c r="AL844" i="26"/>
  <c r="AL803" i="26"/>
  <c r="AL763" i="26"/>
  <c r="AL1139" i="26"/>
  <c r="AL1138" i="26"/>
  <c r="AL1128" i="26"/>
  <c r="AL1127" i="26"/>
  <c r="AL1087" i="26"/>
  <c r="AL1076" i="26"/>
  <c r="AL1062" i="26"/>
  <c r="AN1060" i="26"/>
  <c r="AL1014" i="26"/>
  <c r="AL1003" i="26"/>
  <c r="AL1000" i="26"/>
  <c r="AL982" i="26"/>
  <c r="AN958" i="26"/>
  <c r="AL945" i="26"/>
  <c r="AL929" i="26"/>
  <c r="AL909" i="26"/>
  <c r="AL822" i="26"/>
  <c r="AL804" i="26"/>
  <c r="AL791" i="26"/>
  <c r="AL783" i="26"/>
  <c r="AL778" i="26"/>
  <c r="AL767" i="26"/>
  <c r="AL766" i="26"/>
  <c r="AL764" i="26"/>
  <c r="AL722" i="26"/>
  <c r="AL674" i="26"/>
  <c r="AL662" i="26"/>
  <c r="AU1177" i="26"/>
  <c r="AL1120" i="26"/>
  <c r="AL1101" i="26"/>
  <c r="AL1090" i="26"/>
  <c r="AL1023" i="26"/>
  <c r="AL972" i="26"/>
  <c r="AL946" i="26"/>
  <c r="AL938" i="26"/>
  <c r="AL911" i="26"/>
  <c r="AL891" i="26"/>
  <c r="AL874" i="26"/>
  <c r="AL852" i="26"/>
  <c r="AL838" i="26"/>
  <c r="AL816" i="26"/>
  <c r="AL784" i="26"/>
  <c r="AL676" i="26"/>
  <c r="AL669" i="26"/>
  <c r="AL664" i="26"/>
  <c r="AL476" i="26"/>
  <c r="AL448" i="26"/>
  <c r="AL415" i="26"/>
  <c r="AL740" i="26"/>
  <c r="AL716" i="26"/>
  <c r="AL673" i="26"/>
  <c r="AL596" i="26"/>
  <c r="AL591" i="26"/>
  <c r="AL568" i="26"/>
  <c r="AL542" i="26"/>
  <c r="AL493" i="26"/>
  <c r="AL454" i="26"/>
  <c r="AL434" i="26"/>
  <c r="AL394" i="26"/>
  <c r="AL1108" i="26"/>
  <c r="AL1043" i="26"/>
  <c r="AL797" i="26"/>
  <c r="AL733" i="26"/>
  <c r="AL708" i="26"/>
  <c r="AL632" i="26"/>
  <c r="AL622" i="26"/>
  <c r="AL598" i="26"/>
  <c r="AL592" i="26"/>
  <c r="AL569" i="26"/>
  <c r="AL550" i="26"/>
  <c r="AL545" i="26"/>
  <c r="AL544" i="26"/>
  <c r="AL507" i="26"/>
  <c r="AL413" i="26"/>
  <c r="AL818" i="26"/>
  <c r="AL787" i="26"/>
  <c r="AL709" i="26"/>
  <c r="AL702" i="26"/>
  <c r="AL639" i="26"/>
  <c r="AL604" i="26"/>
  <c r="AL577" i="26"/>
  <c r="AL570" i="26"/>
  <c r="AL554" i="26"/>
  <c r="AL432" i="26"/>
  <c r="AL781" i="26"/>
  <c r="AL780" i="26"/>
  <c r="AL606" i="26"/>
  <c r="AL521" i="26"/>
  <c r="AL447" i="26"/>
  <c r="AL1187" i="26"/>
  <c r="AL1142" i="26"/>
  <c r="AL1133" i="26"/>
  <c r="AL1078" i="26"/>
  <c r="AL1048" i="26"/>
  <c r="AL1037" i="26"/>
  <c r="AL1036" i="26"/>
  <c r="AL996" i="26"/>
  <c r="AL833" i="26"/>
  <c r="AL642" i="26"/>
  <c r="AL578" i="26"/>
  <c r="AL555" i="26"/>
  <c r="AL512" i="26"/>
  <c r="AL492" i="26"/>
  <c r="AL443" i="26"/>
  <c r="AL433" i="26"/>
  <c r="AL397" i="26"/>
  <c r="AL395" i="26"/>
  <c r="AL332" i="26"/>
  <c r="AL452" i="26"/>
  <c r="AL396" i="26"/>
  <c r="AL379" i="26"/>
  <c r="AL371" i="26"/>
  <c r="AL333" i="26"/>
  <c r="AL308" i="26"/>
  <c r="AL294" i="26"/>
  <c r="AL277" i="26"/>
  <c r="AL260" i="26"/>
  <c r="AL239" i="26"/>
  <c r="AN238" i="26"/>
  <c r="AL565" i="26"/>
  <c r="AL547" i="26"/>
  <c r="AL527" i="26"/>
  <c r="AL515" i="26"/>
  <c r="AL469" i="26"/>
  <c r="AL310" i="26"/>
  <c r="AL287" i="26"/>
  <c r="AL425" i="26"/>
  <c r="AL424" i="26"/>
  <c r="AL327" i="26"/>
  <c r="AL306" i="26"/>
  <c r="AL583" i="26"/>
  <c r="AL461" i="26"/>
  <c r="AL311" i="26"/>
  <c r="AL283" i="26"/>
  <c r="AL498" i="26"/>
  <c r="AL462" i="26"/>
  <c r="AL403" i="26"/>
  <c r="AL328" i="26"/>
  <c r="AL264" i="26"/>
  <c r="AL242" i="26"/>
  <c r="AL175" i="26"/>
  <c r="AT142" i="26"/>
  <c r="AW142" i="26" s="1"/>
  <c r="AN142" i="26"/>
  <c r="AL129" i="26"/>
  <c r="AL197" i="26"/>
  <c r="AL176" i="26"/>
  <c r="AL168" i="26"/>
  <c r="AW160" i="26"/>
  <c r="AL146" i="26"/>
  <c r="AN205" i="26"/>
  <c r="AL158" i="26"/>
  <c r="AL154" i="26"/>
  <c r="AW154" i="26"/>
  <c r="AL133" i="26"/>
  <c r="AL278" i="26"/>
  <c r="AT208" i="26"/>
  <c r="AW208" i="26" s="1"/>
  <c r="AL162" i="26"/>
  <c r="AL155" i="26"/>
  <c r="AN121" i="26"/>
  <c r="AT121" i="26"/>
  <c r="AW121" i="26" s="1"/>
  <c r="AL280" i="26"/>
  <c r="AL263" i="26"/>
  <c r="AL182" i="26"/>
  <c r="AL181" i="26"/>
  <c r="AL166" i="26"/>
  <c r="AN166" i="26"/>
  <c r="AU166" i="26"/>
  <c r="AW166" i="26" s="1"/>
  <c r="AL163" i="26"/>
  <c r="AL156" i="26"/>
  <c r="AL121" i="26"/>
  <c r="AL267" i="26"/>
  <c r="AL241" i="26"/>
  <c r="AL224" i="26"/>
  <c r="AL174" i="26"/>
  <c r="AL148" i="26"/>
  <c r="AL138" i="26"/>
  <c r="AL135" i="26"/>
  <c r="AL132" i="26"/>
  <c r="AL194" i="26"/>
  <c r="AL145" i="26"/>
  <c r="AL126" i="26"/>
  <c r="AU85" i="26"/>
  <c r="AT85" i="26"/>
  <c r="AL82" i="26"/>
  <c r="AL73" i="26"/>
  <c r="AU73" i="26"/>
  <c r="AW73" i="26" s="1"/>
  <c r="AN73" i="26"/>
  <c r="AN91" i="26"/>
  <c r="AU97" i="26"/>
  <c r="AU91" i="26"/>
  <c r="AW91" i="26" s="1"/>
  <c r="AL298" i="26"/>
  <c r="AT178" i="26"/>
  <c r="AL151" i="26"/>
  <c r="AT97" i="26"/>
  <c r="AL270" i="26"/>
  <c r="AU127" i="26"/>
  <c r="AW127" i="26" s="1"/>
  <c r="AL76" i="26"/>
  <c r="AL124" i="26"/>
  <c r="AL115" i="26"/>
  <c r="AN103" i="26"/>
  <c r="AN78" i="26"/>
  <c r="AL104" i="26"/>
  <c r="AL68" i="26"/>
  <c r="AN67" i="26"/>
  <c r="AU67" i="26"/>
  <c r="AW67" i="26" s="1"/>
  <c r="AN60" i="26"/>
  <c r="AL29" i="26"/>
  <c r="AL13" i="26"/>
  <c r="AR1015" i="6"/>
  <c r="BC780" i="6"/>
  <c r="BC776" i="6"/>
  <c r="BC768" i="6"/>
  <c r="BK432" i="6"/>
  <c r="BD432" i="6" s="1"/>
  <c r="BX432" i="6"/>
  <c r="BC432" i="6" s="1"/>
  <c r="BK909" i="6"/>
  <c r="BD909" i="6" s="1"/>
  <c r="BX909" i="6"/>
  <c r="BC909" i="6" s="1"/>
  <c r="AL85" i="26"/>
  <c r="AL65" i="26"/>
  <c r="AN55" i="26"/>
  <c r="AL37" i="26"/>
  <c r="AL27" i="26"/>
  <c r="AT79" i="26"/>
  <c r="AU79" i="26"/>
  <c r="AL66" i="26"/>
  <c r="AL61" i="26"/>
  <c r="AT61" i="26"/>
  <c r="AU61" i="26"/>
  <c r="AN57" i="26"/>
  <c r="AU55" i="26"/>
  <c r="AW55" i="26" s="1"/>
  <c r="AN49" i="26"/>
  <c r="AT49" i="26"/>
  <c r="AW49" i="26" s="1"/>
  <c r="BC1011" i="6"/>
  <c r="BW895" i="6"/>
  <c r="BC895" i="6" s="1"/>
  <c r="BK895" i="6"/>
  <c r="BD895" i="6" s="1"/>
  <c r="BL895" i="6"/>
  <c r="AL81" i="26"/>
  <c r="AL56" i="26"/>
  <c r="AL24" i="26"/>
  <c r="AL21" i="26"/>
  <c r="BC1268" i="6"/>
  <c r="BL909" i="6"/>
  <c r="BM909" i="6" s="1"/>
  <c r="BL978" i="6"/>
  <c r="BL1041" i="6"/>
  <c r="BC669" i="6"/>
  <c r="BL486" i="6"/>
  <c r="BE486" i="6" s="1"/>
  <c r="BV1051" i="6"/>
  <c r="BC1051" i="6" s="1"/>
  <c r="BL34" i="6"/>
  <c r="BE34" i="6" s="1"/>
  <c r="BV1243" i="6"/>
  <c r="BC1243" i="6" s="1"/>
  <c r="BV1240" i="6"/>
  <c r="BC1240" i="6" s="1"/>
  <c r="BL1026" i="6"/>
  <c r="BL624" i="6"/>
  <c r="BC1253" i="6"/>
  <c r="BC933" i="6"/>
  <c r="BC835" i="6"/>
  <c r="BC828" i="6"/>
  <c r="BC826" i="6"/>
  <c r="BC518" i="6"/>
  <c r="BL976" i="6"/>
  <c r="BL438" i="6"/>
  <c r="BL37" i="6"/>
  <c r="BE37" i="6" s="1"/>
  <c r="BL1170" i="6"/>
  <c r="BL1044" i="6"/>
  <c r="BL805" i="6"/>
  <c r="BL804" i="6"/>
  <c r="BC1255" i="6"/>
  <c r="BC1105" i="6"/>
  <c r="BC1089" i="6"/>
  <c r="BC724" i="6"/>
  <c r="BC939" i="6"/>
  <c r="BC721" i="6"/>
  <c r="BC908" i="6"/>
  <c r="BC906" i="6"/>
  <c r="BC904" i="6"/>
  <c r="BC945" i="6"/>
  <c r="BC557" i="6"/>
  <c r="BL222" i="6"/>
  <c r="BE222" i="6" s="1"/>
  <c r="BL218" i="6"/>
  <c r="BE218" i="6" s="1"/>
  <c r="BL214" i="6"/>
  <c r="BK412" i="6"/>
  <c r="BL396" i="6"/>
  <c r="BE396" i="6" s="1"/>
  <c r="BL1059" i="6"/>
  <c r="AR1059" i="6" s="1"/>
  <c r="BK439" i="6"/>
  <c r="BD439" i="6" s="1"/>
  <c r="BK378" i="6"/>
  <c r="BD378" i="6" s="1"/>
  <c r="BL1242" i="6"/>
  <c r="BL636" i="6"/>
  <c r="BL634" i="6"/>
  <c r="BL531" i="6"/>
  <c r="BC1004" i="6"/>
  <c r="BC1002" i="6"/>
  <c r="BC936" i="6"/>
  <c r="BC885" i="6"/>
  <c r="BK873" i="6"/>
  <c r="BD873" i="6" s="1"/>
  <c r="BL606" i="6"/>
  <c r="BC480" i="6"/>
  <c r="BX396" i="6"/>
  <c r="BC396" i="6" s="1"/>
  <c r="BK531" i="6"/>
  <c r="BD531" i="6" s="1"/>
  <c r="BC1096" i="6"/>
  <c r="BC1134" i="6"/>
  <c r="BC1126" i="6"/>
  <c r="BC1090" i="6"/>
  <c r="BC991" i="6"/>
  <c r="BC723" i="6"/>
  <c r="BC789" i="6"/>
  <c r="BC905" i="6"/>
  <c r="BC946" i="6"/>
  <c r="BC710" i="6"/>
  <c r="BC706" i="6"/>
  <c r="BC875" i="6"/>
  <c r="BC858" i="6"/>
  <c r="BC856" i="6"/>
  <c r="BC566" i="6"/>
  <c r="BC564" i="6"/>
  <c r="BC528" i="6"/>
  <c r="BC526" i="6"/>
  <c r="BC372" i="6"/>
  <c r="BW223" i="6"/>
  <c r="BC223" i="6" s="1"/>
  <c r="B6944" i="22"/>
  <c r="A6945" i="22"/>
  <c r="BC1127" i="6"/>
  <c r="BC711" i="6"/>
  <c r="BC613" i="6"/>
  <c r="BC1016" i="6"/>
  <c r="BC1133" i="6"/>
  <c r="BC1129" i="6"/>
  <c r="BC1085" i="6"/>
  <c r="BC1083" i="6"/>
  <c r="BC791" i="6"/>
  <c r="BC861" i="6"/>
  <c r="BC1120" i="6"/>
  <c r="BC1118" i="6"/>
  <c r="BC1116" i="6"/>
  <c r="BC1112" i="6"/>
  <c r="BC1110" i="6"/>
  <c r="BC1139" i="6"/>
  <c r="BC924" i="6"/>
  <c r="BC919" i="6"/>
  <c r="BC1265" i="6"/>
  <c r="BC1261" i="6"/>
  <c r="BC1259" i="6"/>
  <c r="BC1238" i="6"/>
  <c r="BC1227" i="6"/>
  <c r="BC1007" i="6"/>
  <c r="BC752" i="6"/>
  <c r="BC417" i="6"/>
  <c r="BC1251" i="6"/>
  <c r="BC1107" i="6"/>
  <c r="BC792" i="6"/>
  <c r="BC897" i="6"/>
  <c r="BC883" i="6"/>
  <c r="BC879" i="6"/>
  <c r="BC848" i="6"/>
  <c r="BC827" i="6"/>
  <c r="BC670" i="6"/>
  <c r="BC668" i="6"/>
  <c r="BN1013" i="6"/>
  <c r="BC1256" i="6"/>
  <c r="BC799" i="6"/>
  <c r="BC797" i="6"/>
  <c r="AR1013" i="6"/>
  <c r="BC916" i="6"/>
  <c r="BN912" i="6"/>
  <c r="BC900" i="6"/>
  <c r="BC837" i="6"/>
  <c r="CI801" i="6"/>
  <c r="BE1013" i="6"/>
  <c r="BC1263" i="6"/>
  <c r="BC1097" i="6"/>
  <c r="BC702" i="6"/>
  <c r="BC751" i="6"/>
  <c r="BC686" i="6"/>
  <c r="BC1236" i="6"/>
  <c r="BC1100" i="6"/>
  <c r="BC1098" i="6"/>
  <c r="BC869" i="6"/>
  <c r="BC1137" i="6"/>
  <c r="BN625" i="6"/>
  <c r="BP625" i="6" s="1"/>
  <c r="A10291" i="22" l="1"/>
  <c r="B10290" i="22"/>
  <c r="CH635" i="6"/>
  <c r="CI635" i="6" s="1"/>
  <c r="CH1243" i="6"/>
  <c r="CI1243" i="6" s="1"/>
  <c r="BH1243" i="6" s="1"/>
  <c r="AR1243" i="6" s="1"/>
  <c r="CH1239" i="6"/>
  <c r="CI1239" i="6" s="1"/>
  <c r="BH1239" i="6" s="1"/>
  <c r="CH1242" i="6"/>
  <c r="CI1242" i="6" s="1"/>
  <c r="BH1242" i="6" s="1"/>
  <c r="AR1242" i="6" s="1"/>
  <c r="CH637" i="6"/>
  <c r="CI637" i="6" s="1"/>
  <c r="BP1249" i="6"/>
  <c r="BE223" i="6"/>
  <c r="BH1158" i="6"/>
  <c r="AR1158" i="6" s="1"/>
  <c r="BH1156" i="6"/>
  <c r="AR1156" i="6" s="1"/>
  <c r="BE924" i="6"/>
  <c r="AR924" i="6"/>
  <c r="BP1243" i="6"/>
  <c r="BP1045" i="6"/>
  <c r="BP1039" i="6"/>
  <c r="CF1242" i="6"/>
  <c r="CG1242" i="6" s="1"/>
  <c r="CH633" i="6"/>
  <c r="CI633" i="6" s="1"/>
  <c r="CF1243" i="6"/>
  <c r="CG1243" i="6" s="1"/>
  <c r="CH1240" i="6"/>
  <c r="CI1240" i="6" s="1"/>
  <c r="BH1240" i="6" s="1"/>
  <c r="AR1240" i="6" s="1"/>
  <c r="AW178" i="26"/>
  <c r="CF637" i="6"/>
  <c r="CG637" i="6" s="1"/>
  <c r="CG633" i="6"/>
  <c r="CF1240" i="6"/>
  <c r="CG1240" i="6" s="1"/>
  <c r="CF635" i="6"/>
  <c r="CG635" i="6" s="1"/>
  <c r="CF1241" i="6"/>
  <c r="CG1241" i="6" s="1"/>
  <c r="CF1174" i="6"/>
  <c r="CG1174" i="6" s="1"/>
  <c r="AR213" i="6"/>
  <c r="BH373" i="6"/>
  <c r="BE1035" i="6"/>
  <c r="AR1035" i="6"/>
  <c r="BE1051" i="6"/>
  <c r="AR1051" i="6"/>
  <c r="BE1041" i="6"/>
  <c r="AR1041" i="6"/>
  <c r="BE1044" i="6"/>
  <c r="AR1044" i="6"/>
  <c r="BE1240" i="6"/>
  <c r="CF291" i="6"/>
  <c r="CG291" i="6" s="1"/>
  <c r="CF295" i="6"/>
  <c r="CG295" i="6" s="1"/>
  <c r="CF293" i="6"/>
  <c r="CG293" i="6" s="1"/>
  <c r="CH291" i="6"/>
  <c r="CI291" i="6" s="1"/>
  <c r="CH295" i="6"/>
  <c r="CI295" i="6" s="1"/>
  <c r="CH293" i="6"/>
  <c r="CI293" i="6" s="1"/>
  <c r="BH353" i="6"/>
  <c r="BH628" i="6"/>
  <c r="BH375" i="6"/>
  <c r="BH570" i="6"/>
  <c r="BH337" i="6"/>
  <c r="BH435" i="6"/>
  <c r="AR435" i="6" s="1"/>
  <c r="BH357" i="6"/>
  <c r="BH595" i="6"/>
  <c r="AR990" i="6"/>
  <c r="BH444" i="6"/>
  <c r="BH279" i="6"/>
  <c r="BH300" i="6"/>
  <c r="BH616" i="6"/>
  <c r="BH468" i="6"/>
  <c r="BH321" i="6"/>
  <c r="BH514" i="6"/>
  <c r="BH405" i="6"/>
  <c r="BH395" i="6"/>
  <c r="BH548" i="6"/>
  <c r="BH404" i="6"/>
  <c r="BH342" i="6"/>
  <c r="BH493" i="6"/>
  <c r="BH610" i="6"/>
  <c r="BH314" i="6"/>
  <c r="BH305" i="6"/>
  <c r="BH456" i="6"/>
  <c r="BH313" i="6"/>
  <c r="BH608" i="6"/>
  <c r="BH453" i="6"/>
  <c r="BH428" i="6"/>
  <c r="BH590" i="6"/>
  <c r="BH507" i="6"/>
  <c r="BH367" i="6"/>
  <c r="BH344" i="6"/>
  <c r="BH401" i="6"/>
  <c r="BH377" i="6"/>
  <c r="BH400" i="6"/>
  <c r="BH495" i="6"/>
  <c r="BH561" i="6"/>
  <c r="BH546" i="6"/>
  <c r="BH585" i="6"/>
  <c r="BH322" i="6"/>
  <c r="BH323" i="6"/>
  <c r="BH462" i="6"/>
  <c r="BH600" i="6"/>
  <c r="BH328" i="6"/>
  <c r="BH465" i="6"/>
  <c r="BH287" i="6"/>
  <c r="BH369" i="6"/>
  <c r="BH556" i="6"/>
  <c r="BH543" i="6"/>
  <c r="BH474" i="6"/>
  <c r="BH368" i="6"/>
  <c r="BH448" i="6"/>
  <c r="BH335" i="6"/>
  <c r="BH296" i="6"/>
  <c r="BH320" i="6"/>
  <c r="BH346" i="6"/>
  <c r="BH330" i="6"/>
  <c r="BH510" i="6"/>
  <c r="BH491" i="6"/>
  <c r="BH445" i="6"/>
  <c r="BH451" i="6"/>
  <c r="BH547" i="6"/>
  <c r="BH359" i="6"/>
  <c r="BH526" i="6"/>
  <c r="BH433" i="6"/>
  <c r="BH550" i="6"/>
  <c r="BH603" i="6"/>
  <c r="BH527" i="6"/>
  <c r="BH494" i="6"/>
  <c r="BH515" i="6"/>
  <c r="BH425" i="6"/>
  <c r="BH487" i="6"/>
  <c r="BH615" i="6"/>
  <c r="BH325" i="6"/>
  <c r="BH629" i="6"/>
  <c r="BH394" i="6"/>
  <c r="BH343" i="6"/>
  <c r="BH614" i="6"/>
  <c r="BH455" i="6"/>
  <c r="BH545" i="6"/>
  <c r="BH376" i="6"/>
  <c r="BH427" i="6"/>
  <c r="BH539" i="6"/>
  <c r="BH443" i="6"/>
  <c r="BH282" i="6"/>
  <c r="BH297" i="6"/>
  <c r="BH426" i="6"/>
  <c r="BH408" i="6"/>
  <c r="BH385" i="6"/>
  <c r="BH553" i="6"/>
  <c r="BH391" i="6"/>
  <c r="BH559" i="6"/>
  <c r="BH613" i="6"/>
  <c r="BH286" i="6"/>
  <c r="BH446" i="6"/>
  <c r="BH382" i="6"/>
  <c r="BH317" i="6"/>
  <c r="BH289" i="6"/>
  <c r="BH509" i="6"/>
  <c r="BH563" i="6"/>
  <c r="BH650" i="6"/>
  <c r="BH298" i="6"/>
  <c r="BH362" i="6"/>
  <c r="BH575" i="6"/>
  <c r="BH555" i="6"/>
  <c r="BH438" i="6"/>
  <c r="AR438" i="6" s="1"/>
  <c r="BH302" i="6"/>
  <c r="BH525" i="6"/>
  <c r="BH574" i="6"/>
  <c r="BH463" i="6"/>
  <c r="BH355" i="6"/>
  <c r="BH569" i="6"/>
  <c r="BH598" i="6"/>
  <c r="BH308" i="6"/>
  <c r="BH299" i="6"/>
  <c r="BH593" i="6"/>
  <c r="BH542" i="6"/>
  <c r="BH398" i="6"/>
  <c r="BH280" i="6"/>
  <c r="BH338" i="6"/>
  <c r="BH554" i="6"/>
  <c r="BH472" i="6"/>
  <c r="BH571" i="6"/>
  <c r="BH361" i="6"/>
  <c r="BH457" i="6"/>
  <c r="BH386" i="6"/>
  <c r="BH331" i="6"/>
  <c r="BH573" i="6"/>
  <c r="BH486" i="6"/>
  <c r="BH611" i="6"/>
  <c r="BH541" i="6"/>
  <c r="BH601" i="6"/>
  <c r="BH618" i="6"/>
  <c r="BH461" i="6"/>
  <c r="BH383" i="6"/>
  <c r="BH301" i="6"/>
  <c r="BH370" i="6"/>
  <c r="BH565" i="6"/>
  <c r="BH316" i="6"/>
  <c r="BH564" i="6"/>
  <c r="BH519" i="6"/>
  <c r="BH482" i="6"/>
  <c r="BH442" i="6"/>
  <c r="BH466" i="6"/>
  <c r="BH409" i="6"/>
  <c r="BH492" i="6"/>
  <c r="BH544" i="6"/>
  <c r="BH360" i="6"/>
  <c r="BH477" i="6"/>
  <c r="BH379" i="6"/>
  <c r="BH490" i="6"/>
  <c r="BH292" i="6"/>
  <c r="BH430" i="6"/>
  <c r="BH566" i="6"/>
  <c r="BH802" i="6"/>
  <c r="AR802" i="6" s="1"/>
  <c r="BH529" i="6"/>
  <c r="BH646" i="6"/>
  <c r="AR646" i="6" s="1"/>
  <c r="BH612" i="6"/>
  <c r="BH459" i="6"/>
  <c r="BH402" i="6"/>
  <c r="BH354" i="6"/>
  <c r="BH450" i="6"/>
  <c r="BH508" i="6"/>
  <c r="BH351" i="6"/>
  <c r="BH473" i="6"/>
  <c r="BH347" i="6"/>
  <c r="BH315" i="6"/>
  <c r="BH366" i="6"/>
  <c r="BH458" i="6"/>
  <c r="BH801" i="6"/>
  <c r="AR801" i="6" s="1"/>
  <c r="BH397" i="6"/>
  <c r="BH318" i="6"/>
  <c r="BH410" i="6"/>
  <c r="BH599" i="6"/>
  <c r="BH517" i="6"/>
  <c r="BH642" i="6"/>
  <c r="AR642" i="6" s="1"/>
  <c r="BH326" i="6"/>
  <c r="BH470" i="6"/>
  <c r="BH596" i="6"/>
  <c r="BH602" i="6"/>
  <c r="BH352" i="6"/>
  <c r="BH437" i="6"/>
  <c r="BH332" i="6"/>
  <c r="BH576" i="6"/>
  <c r="BH441" i="6"/>
  <c r="BH449" i="6"/>
  <c r="BH557" i="6"/>
  <c r="BH374" i="6"/>
  <c r="BH432" i="6"/>
  <c r="BH476" i="6"/>
  <c r="BH372" i="6"/>
  <c r="BH588" i="6"/>
  <c r="BH469" i="6"/>
  <c r="BH340" i="6"/>
  <c r="BH311" i="6"/>
  <c r="BH648" i="6"/>
  <c r="AR648" i="6" s="1"/>
  <c r="BH528" i="6"/>
  <c r="BH496" i="6"/>
  <c r="BH516" i="6"/>
  <c r="BH324" i="6"/>
  <c r="BH644" i="6"/>
  <c r="BH327" i="6"/>
  <c r="BH577" i="6"/>
  <c r="BH540" i="6"/>
  <c r="BH804" i="6"/>
  <c r="AR804" i="6" s="1"/>
  <c r="BH290" i="6"/>
  <c r="BH358" i="6"/>
  <c r="BH560" i="6"/>
  <c r="BH284" i="6"/>
  <c r="BH594" i="6"/>
  <c r="BH592" i="6"/>
  <c r="BH655" i="6"/>
  <c r="AR655" i="6" s="1"/>
  <c r="BH467" i="6"/>
  <c r="BH591" i="6"/>
  <c r="BH654" i="6"/>
  <c r="AR654" i="6" s="1"/>
  <c r="BH647" i="6"/>
  <c r="BH806" i="6"/>
  <c r="BH303" i="6"/>
  <c r="BH589" i="6"/>
  <c r="BH653" i="6"/>
  <c r="BH500" i="6"/>
  <c r="BH604" i="6"/>
  <c r="BH378" i="6"/>
  <c r="AR378" i="6" s="1"/>
  <c r="BH431" i="6"/>
  <c r="BH620" i="6"/>
  <c r="BH805" i="6"/>
  <c r="AR805" i="6" s="1"/>
  <c r="BH447" i="6"/>
  <c r="BH551" i="6"/>
  <c r="BH651" i="6"/>
  <c r="AR651" i="6" s="1"/>
  <c r="BH578" i="6"/>
  <c r="BH334" i="6"/>
  <c r="BH460" i="6"/>
  <c r="BH365" i="6"/>
  <c r="BH632" i="6"/>
  <c r="BH639" i="6"/>
  <c r="AR639" i="6" s="1"/>
  <c r="BH424" i="6"/>
  <c r="BH481" i="6"/>
  <c r="BH336" i="6"/>
  <c r="BH283" i="6"/>
  <c r="BH511" i="6"/>
  <c r="BH319" i="6"/>
  <c r="BH572" i="6"/>
  <c r="BH306" i="6"/>
  <c r="BH356" i="6"/>
  <c r="BH627" i="6"/>
  <c r="BH619" i="6"/>
  <c r="BH512" i="6"/>
  <c r="BH597" i="6"/>
  <c r="BH488" i="6"/>
  <c r="BH530" i="6"/>
  <c r="BH393" i="6"/>
  <c r="BH558" i="6"/>
  <c r="BH549" i="6"/>
  <c r="BH631" i="6"/>
  <c r="BH606" i="6"/>
  <c r="AR606" i="6" s="1"/>
  <c r="BH348" i="6"/>
  <c r="BH452" i="6"/>
  <c r="BH568" i="6"/>
  <c r="BH454" i="6"/>
  <c r="BH520" i="6"/>
  <c r="AR520" i="6" s="1"/>
  <c r="BH497" i="6"/>
  <c r="BH381" i="6"/>
  <c r="BH388" i="6"/>
  <c r="BH371" i="6"/>
  <c r="BH513" i="6"/>
  <c r="BH436" i="6"/>
  <c r="AR436" i="6" s="1"/>
  <c r="BH380" i="6"/>
  <c r="BH307" i="6"/>
  <c r="BH309" i="6"/>
  <c r="BH281" i="6"/>
  <c r="BH345" i="6"/>
  <c r="BH310" i="6"/>
  <c r="BH390" i="6"/>
  <c r="BH489" i="6"/>
  <c r="BH403" i="6"/>
  <c r="BH640" i="6"/>
  <c r="AR640" i="6" s="1"/>
  <c r="BH479" i="6"/>
  <c r="BH609" i="6"/>
  <c r="BH364" i="6"/>
  <c r="BH475" i="6"/>
  <c r="BH552" i="6"/>
  <c r="BH384" i="6"/>
  <c r="BH464" i="6"/>
  <c r="BH586" i="6"/>
  <c r="BH480" i="6"/>
  <c r="BH312" i="6"/>
  <c r="BH498" i="6"/>
  <c r="BH478" i="6"/>
  <c r="BH333" i="6"/>
  <c r="BH471" i="6"/>
  <c r="BH341" i="6"/>
  <c r="BH329" i="6"/>
  <c r="BH587" i="6"/>
  <c r="BH537" i="6"/>
  <c r="BH634" i="6"/>
  <c r="AR634" i="6" s="1"/>
  <c r="BH339" i="6"/>
  <c r="BH630" i="6"/>
  <c r="BH643" i="6"/>
  <c r="AR643" i="6" s="1"/>
  <c r="BH638" i="6"/>
  <c r="BH363" i="6"/>
  <c r="BH803" i="6"/>
  <c r="BH567" i="6"/>
  <c r="BH580" i="6"/>
  <c r="AR580" i="6" s="1"/>
  <c r="BH518" i="6"/>
  <c r="BH617" i="6"/>
  <c r="BH349" i="6"/>
  <c r="BH499" i="6"/>
  <c r="BH562" i="6"/>
  <c r="BH641" i="6"/>
  <c r="AR641" i="6" s="1"/>
  <c r="BH538" i="6"/>
  <c r="BH304" i="6"/>
  <c r="BH399" i="6"/>
  <c r="BH656" i="6"/>
  <c r="BH652" i="6"/>
  <c r="AR652" i="6" s="1"/>
  <c r="BH285" i="6"/>
  <c r="BH406" i="6"/>
  <c r="BH645" i="6"/>
  <c r="AR645" i="6" s="1"/>
  <c r="BH288" i="6"/>
  <c r="BH350" i="6"/>
  <c r="BH649" i="6"/>
  <c r="AR649" i="6" s="1"/>
  <c r="BP421" i="6"/>
  <c r="BP1159" i="6"/>
  <c r="BE621" i="6"/>
  <c r="AR621" i="6"/>
  <c r="BE633" i="6"/>
  <c r="AR214" i="6"/>
  <c r="AR217" i="6"/>
  <c r="BE648" i="6"/>
  <c r="BE637" i="6"/>
  <c r="BE624" i="6"/>
  <c r="BE649" i="6"/>
  <c r="BE804" i="6"/>
  <c r="BE216" i="6"/>
  <c r="AR216" i="6"/>
  <c r="BE213" i="6"/>
  <c r="AW61" i="26"/>
  <c r="AW97" i="26"/>
  <c r="AW79" i="26"/>
  <c r="BE1033" i="6"/>
  <c r="AR1033" i="6"/>
  <c r="BM1033" i="6"/>
  <c r="BP1033" i="6" s="1"/>
  <c r="BH1176" i="6"/>
  <c r="AR1176" i="6" s="1"/>
  <c r="BH1220" i="6"/>
  <c r="BH434" i="6"/>
  <c r="BH1213" i="6"/>
  <c r="AR1213" i="6" s="1"/>
  <c r="BH1206" i="6"/>
  <c r="AR1206" i="6" s="1"/>
  <c r="BH1177" i="6"/>
  <c r="AR1021" i="6"/>
  <c r="BH1173" i="6"/>
  <c r="CI294" i="6"/>
  <c r="BH636" i="6" s="1"/>
  <c r="AR636" i="6" s="1"/>
  <c r="BH1224" i="6"/>
  <c r="BH581" i="6"/>
  <c r="BH1210" i="6"/>
  <c r="AR1210" i="6" s="1"/>
  <c r="BH1151" i="6"/>
  <c r="AR873" i="6"/>
  <c r="BM649" i="6"/>
  <c r="BH1183" i="6"/>
  <c r="BN649" i="6"/>
  <c r="BM1021" i="6"/>
  <c r="BN1021" i="6"/>
  <c r="BM217" i="6"/>
  <c r="BN217" i="6"/>
  <c r="BE217" i="6"/>
  <c r="BN637" i="6"/>
  <c r="BM637" i="6"/>
  <c r="BH1203" i="6"/>
  <c r="AR1203" i="6" s="1"/>
  <c r="BP439" i="6"/>
  <c r="BH1233" i="6"/>
  <c r="BH1258" i="6"/>
  <c r="BH1223" i="6"/>
  <c r="BH1187" i="6"/>
  <c r="BH1215" i="6"/>
  <c r="BH1190" i="6"/>
  <c r="BH1252" i="6"/>
  <c r="BH1214" i="6"/>
  <c r="BH1232" i="6"/>
  <c r="BH1266" i="6"/>
  <c r="BH1197" i="6"/>
  <c r="BH1152" i="6"/>
  <c r="AR1152" i="6" s="1"/>
  <c r="BH1200" i="6"/>
  <c r="BH1244" i="6"/>
  <c r="BH1237" i="6"/>
  <c r="BH1236" i="6"/>
  <c r="AR1236" i="6" s="1"/>
  <c r="BH1189" i="6"/>
  <c r="BH1254" i="6"/>
  <c r="BH1238" i="6"/>
  <c r="BH1256" i="6"/>
  <c r="BH1263" i="6"/>
  <c r="BH1192" i="6"/>
  <c r="AR1192" i="6" s="1"/>
  <c r="BH1188" i="6"/>
  <c r="AR1188" i="6" s="1"/>
  <c r="BH1175" i="6"/>
  <c r="BH1202" i="6"/>
  <c r="BH1160" i="6"/>
  <c r="BH1250" i="6"/>
  <c r="BH1255" i="6"/>
  <c r="BH1168" i="6"/>
  <c r="AR1168" i="6" s="1"/>
  <c r="BH1201" i="6"/>
  <c r="BH1196" i="6"/>
  <c r="BH1253" i="6"/>
  <c r="BH1162" i="6"/>
  <c r="AR1162" i="6" s="1"/>
  <c r="BH1267" i="6"/>
  <c r="BH1218" i="6"/>
  <c r="AR1218" i="6" s="1"/>
  <c r="BH1251" i="6"/>
  <c r="BH1181" i="6"/>
  <c r="BH1231" i="6"/>
  <c r="BH1225" i="6"/>
  <c r="BH1174" i="6"/>
  <c r="AR1174" i="6" s="1"/>
  <c r="BH1153" i="6"/>
  <c r="AR1153" i="6" s="1"/>
  <c r="BH1209" i="6"/>
  <c r="AR1209" i="6" s="1"/>
  <c r="BH1226" i="6"/>
  <c r="BH1157" i="6"/>
  <c r="BH1182" i="6"/>
  <c r="AR1182" i="6" s="1"/>
  <c r="BH1186" i="6"/>
  <c r="AR1186" i="6" s="1"/>
  <c r="BH1150" i="6"/>
  <c r="AR1150" i="6" s="1"/>
  <c r="BH1207" i="6"/>
  <c r="BH1149" i="6"/>
  <c r="AR1149" i="6" s="1"/>
  <c r="BH1154" i="6"/>
  <c r="BH1261" i="6"/>
  <c r="BH1265" i="6"/>
  <c r="BH1184" i="6"/>
  <c r="BH1262" i="6"/>
  <c r="BH1228" i="6"/>
  <c r="AR1228" i="6" s="1"/>
  <c r="BH1165" i="6"/>
  <c r="AR1165" i="6" s="1"/>
  <c r="BH1199" i="6"/>
  <c r="BH1164" i="6"/>
  <c r="AR1164" i="6" s="1"/>
  <c r="BH1247" i="6"/>
  <c r="BH1170" i="6"/>
  <c r="AR1170" i="6" s="1"/>
  <c r="BH1249" i="6"/>
  <c r="AR1249" i="6" s="1"/>
  <c r="BH1167" i="6"/>
  <c r="AR1167" i="6" s="1"/>
  <c r="BH1248" i="6"/>
  <c r="BH1229" i="6"/>
  <c r="BH1259" i="6"/>
  <c r="BH1264" i="6"/>
  <c r="BH1246" i="6"/>
  <c r="AR1246" i="6" s="1"/>
  <c r="BH1169" i="6"/>
  <c r="BH1194" i="6"/>
  <c r="AR1194" i="6" s="1"/>
  <c r="BH1172" i="6"/>
  <c r="BH1166" i="6"/>
  <c r="BH1161" i="6"/>
  <c r="BH1222" i="6"/>
  <c r="BH1245" i="6"/>
  <c r="BH1178" i="6"/>
  <c r="BH1205" i="6"/>
  <c r="BH1216" i="6"/>
  <c r="AR1216" i="6" s="1"/>
  <c r="BH1257" i="6"/>
  <c r="BH1234" i="6"/>
  <c r="AR1234" i="6" s="1"/>
  <c r="BH1171" i="6"/>
  <c r="AR1171" i="6" s="1"/>
  <c r="BH1221" i="6"/>
  <c r="BH1217" i="6"/>
  <c r="BH1155" i="6"/>
  <c r="AR1155" i="6" s="1"/>
  <c r="BH1208" i="6"/>
  <c r="BH1260" i="6"/>
  <c r="BH1235" i="6"/>
  <c r="BH1211" i="6"/>
  <c r="BH1195" i="6"/>
  <c r="AR1195" i="6" s="1"/>
  <c r="BH1198" i="6"/>
  <c r="BH1204" i="6"/>
  <c r="AR1204" i="6" s="1"/>
  <c r="BH1193" i="6"/>
  <c r="BH1159" i="6"/>
  <c r="AR1159" i="6" s="1"/>
  <c r="BH1163" i="6"/>
  <c r="BH1230" i="6"/>
  <c r="AR1230" i="6" s="1"/>
  <c r="BH1219" i="6"/>
  <c r="AR1219" i="6" s="1"/>
  <c r="BH1185" i="6"/>
  <c r="BP643" i="6"/>
  <c r="BH523" i="6"/>
  <c r="BH483" i="6"/>
  <c r="BH579" i="6"/>
  <c r="AR579" i="6" s="1"/>
  <c r="BH623" i="6"/>
  <c r="BH407" i="6"/>
  <c r="BH392" i="6"/>
  <c r="BH412" i="6"/>
  <c r="AR412" i="6" s="1"/>
  <c r="BH625" i="6"/>
  <c r="AR625" i="6" s="1"/>
  <c r="BH429" i="6"/>
  <c r="BH584" i="6"/>
  <c r="BH624" i="6"/>
  <c r="AR624" i="6" s="1"/>
  <c r="BH484" i="6"/>
  <c r="BH534" i="6"/>
  <c r="AR534" i="6" s="1"/>
  <c r="BH531" i="6"/>
  <c r="AR531" i="6" s="1"/>
  <c r="BH607" i="6"/>
  <c r="BH605" i="6"/>
  <c r="BH387" i="6"/>
  <c r="BH622" i="6"/>
  <c r="AR622" i="6" s="1"/>
  <c r="BH439" i="6"/>
  <c r="AR439" i="6" s="1"/>
  <c r="BH440" i="6"/>
  <c r="BH423" i="6"/>
  <c r="BH583" i="6"/>
  <c r="AR583" i="6" s="1"/>
  <c r="BH524" i="6"/>
  <c r="BH582" i="6"/>
  <c r="AR582" i="6" s="1"/>
  <c r="BH485" i="6"/>
  <c r="BH521" i="6"/>
  <c r="BH522" i="6"/>
  <c r="AR522" i="6" s="1"/>
  <c r="BH422" i="6"/>
  <c r="BH396" i="6"/>
  <c r="BH389" i="6"/>
  <c r="BP427" i="6"/>
  <c r="BE909" i="6"/>
  <c r="BN909" i="6"/>
  <c r="AR34" i="6"/>
  <c r="BE976" i="6"/>
  <c r="B6945" i="22"/>
  <c r="A6946" i="22"/>
  <c r="BE1059" i="6"/>
  <c r="BE1026" i="6"/>
  <c r="AR976" i="6"/>
  <c r="BE531" i="6"/>
  <c r="BE634" i="6"/>
  <c r="BM805" i="6"/>
  <c r="BE805" i="6"/>
  <c r="BN805" i="6"/>
  <c r="BE978" i="6"/>
  <c r="AR978" i="6"/>
  <c r="BE606" i="6"/>
  <c r="BE214" i="6"/>
  <c r="AW85" i="26"/>
  <c r="AR909" i="6"/>
  <c r="AR37" i="6"/>
  <c r="BE636" i="6"/>
  <c r="BE1170" i="6"/>
  <c r="BE1242" i="6"/>
  <c r="BE895" i="6"/>
  <c r="AR1026" i="6"/>
  <c r="BE438" i="6"/>
  <c r="B10291" i="22" l="1"/>
  <c r="A10292" i="22"/>
  <c r="BH637" i="6"/>
  <c r="AR637" i="6" s="1"/>
  <c r="BH635" i="6"/>
  <c r="AR635" i="6" s="1"/>
  <c r="BH633" i="6"/>
  <c r="AR633" i="6" s="1"/>
  <c r="BH291" i="6"/>
  <c r="BH294" i="6"/>
  <c r="BH295" i="6"/>
  <c r="BH293" i="6"/>
  <c r="BP217" i="6"/>
  <c r="BP649" i="6"/>
  <c r="BP1021" i="6"/>
  <c r="BP637" i="6"/>
  <c r="BP805" i="6"/>
  <c r="A6947" i="22"/>
  <c r="B6946" i="22"/>
  <c r="B10292" i="22" l="1"/>
  <c r="A10293" i="22"/>
  <c r="B6947" i="22"/>
  <c r="A6948" i="22"/>
  <c r="B10293" i="22" l="1"/>
  <c r="A10294" i="22"/>
  <c r="B6948" i="22"/>
  <c r="A6949" i="22"/>
  <c r="A10295" i="22" l="1"/>
  <c r="B10294" i="22"/>
  <c r="A6950" i="22"/>
  <c r="B6949" i="22"/>
  <c r="B10295" i="22" l="1"/>
  <c r="A10296" i="22"/>
  <c r="A6951" i="22"/>
  <c r="B6950" i="22"/>
  <c r="B10296" i="22" l="1"/>
  <c r="A10297" i="22"/>
  <c r="A6952" i="22"/>
  <c r="B6951" i="22"/>
  <c r="B10297" i="22" l="1"/>
  <c r="A10298" i="22"/>
  <c r="B6952" i="22"/>
  <c r="A6953" i="22"/>
  <c r="A10299" i="22" l="1"/>
  <c r="B10298" i="22"/>
  <c r="B6953" i="22"/>
  <c r="A6954" i="22"/>
  <c r="B10299" i="22" l="1"/>
  <c r="A10300" i="22"/>
  <c r="A6955" i="22"/>
  <c r="B6954" i="22"/>
  <c r="B10300" i="22" l="1"/>
  <c r="A10301" i="22"/>
  <c r="B6955" i="22"/>
  <c r="A6956" i="22"/>
  <c r="B10301" i="22" l="1"/>
  <c r="A10302" i="22"/>
  <c r="B6956" i="22"/>
  <c r="A6957" i="22"/>
  <c r="A10303" i="22" l="1"/>
  <c r="B10302" i="22"/>
  <c r="A6958" i="22"/>
  <c r="B6957" i="22"/>
  <c r="B10303" i="22" l="1"/>
  <c r="A10304" i="22"/>
  <c r="A6959" i="22"/>
  <c r="B6958" i="22"/>
  <c r="B10304" i="22" l="1"/>
  <c r="A10305" i="22"/>
  <c r="B6959" i="22"/>
  <c r="A6960" i="22"/>
  <c r="B10305" i="22" l="1"/>
  <c r="A10306" i="22"/>
  <c r="B6960" i="22"/>
  <c r="A6961" i="22"/>
  <c r="A10307" i="22" l="1"/>
  <c r="B10306" i="22"/>
  <c r="A6962" i="22"/>
  <c r="B6961" i="22"/>
  <c r="B10307" i="22" l="1"/>
  <c r="A10308" i="22"/>
  <c r="A6963" i="22"/>
  <c r="B6962" i="22"/>
  <c r="B10308" i="22" l="1"/>
  <c r="A10309" i="22"/>
  <c r="B6963" i="22"/>
  <c r="A6964" i="22"/>
  <c r="B10309" i="22" l="1"/>
  <c r="A10310" i="22"/>
  <c r="B6964" i="22"/>
  <c r="A6965" i="22"/>
  <c r="A10311" i="22" l="1"/>
  <c r="B10310" i="22"/>
  <c r="A6966" i="22"/>
  <c r="B6965" i="22"/>
  <c r="B10311" i="22" l="1"/>
  <c r="A10312" i="22"/>
  <c r="A6967" i="22"/>
  <c r="B6966" i="22"/>
  <c r="B10312" i="22" l="1"/>
  <c r="A10313" i="22"/>
  <c r="A6968" i="22"/>
  <c r="B6967" i="22"/>
  <c r="B10313" i="22" l="1"/>
  <c r="A10314" i="22"/>
  <c r="B6968" i="22"/>
  <c r="A6969" i="22"/>
  <c r="A10315" i="22" l="1"/>
  <c r="B10314" i="22"/>
  <c r="A6970" i="22"/>
  <c r="B6969" i="22"/>
  <c r="B10315" i="22" l="1"/>
  <c r="A10316" i="22"/>
  <c r="A6971" i="22"/>
  <c r="B6970" i="22"/>
  <c r="B10316" i="22" l="1"/>
  <c r="A10317" i="22"/>
  <c r="B6971" i="22"/>
  <c r="A6972" i="22"/>
  <c r="B10317" i="22" l="1"/>
  <c r="A10318" i="22"/>
  <c r="B6972" i="22"/>
  <c r="A6973" i="22"/>
  <c r="A10319" i="22" l="1"/>
  <c r="B10318" i="22"/>
  <c r="A6974" i="22"/>
  <c r="B6973" i="22"/>
  <c r="B10319" i="22" l="1"/>
  <c r="A10320" i="22"/>
  <c r="A6975" i="22"/>
  <c r="B6974" i="22"/>
  <c r="B10320" i="22" l="1"/>
  <c r="A10321" i="22"/>
  <c r="A6976" i="22"/>
  <c r="B6975" i="22"/>
  <c r="B10321" i="22" l="1"/>
  <c r="A10322" i="22"/>
  <c r="B6976" i="22"/>
  <c r="A6977" i="22"/>
  <c r="A10323" i="22" l="1"/>
  <c r="B10322" i="22"/>
  <c r="B6977" i="22"/>
  <c r="A6978" i="22"/>
  <c r="B10323" i="22" l="1"/>
  <c r="A10324" i="22"/>
  <c r="A6979" i="22"/>
  <c r="B6978" i="22"/>
  <c r="B10324" i="22" l="1"/>
  <c r="A10325" i="22"/>
  <c r="B6979" i="22"/>
  <c r="A6980" i="22"/>
  <c r="B10325" i="22" l="1"/>
  <c r="A10326" i="22"/>
  <c r="B6980" i="22"/>
  <c r="A6981" i="22"/>
  <c r="A10327" i="22" l="1"/>
  <c r="B10326" i="22"/>
  <c r="A6982" i="22"/>
  <c r="B6981" i="22"/>
  <c r="B10327" i="22" l="1"/>
  <c r="A10328" i="22"/>
  <c r="A6983" i="22"/>
  <c r="B6982" i="22"/>
  <c r="B10328" i="22" l="1"/>
  <c r="A10329" i="22"/>
  <c r="A6984" i="22"/>
  <c r="B6983" i="22"/>
  <c r="B10329" i="22" l="1"/>
  <c r="A10330" i="22"/>
  <c r="B6984" i="22"/>
  <c r="A6985" i="22"/>
  <c r="A10331" i="22" l="1"/>
  <c r="B10330" i="22"/>
  <c r="B6985" i="22"/>
  <c r="A6986" i="22"/>
  <c r="B10331" i="22" l="1"/>
  <c r="A10332" i="22"/>
  <c r="A6987" i="22"/>
  <c r="B6986" i="22"/>
  <c r="B10332" i="22" l="1"/>
  <c r="A10333" i="22"/>
  <c r="B6987" i="22"/>
  <c r="A6988" i="22"/>
  <c r="B10333" i="22" l="1"/>
  <c r="A10334" i="22"/>
  <c r="B6988" i="22"/>
  <c r="A6989" i="22"/>
  <c r="A10335" i="22" l="1"/>
  <c r="B10334" i="22"/>
  <c r="A6990" i="22"/>
  <c r="B6989" i="22"/>
  <c r="B10335" i="22" l="1"/>
  <c r="A10336" i="22"/>
  <c r="A6991" i="22"/>
  <c r="B6990" i="22"/>
  <c r="B10336" i="22" l="1"/>
  <c r="A10337" i="22"/>
  <c r="B6991" i="22"/>
  <c r="A6992" i="22"/>
  <c r="B10337" i="22" l="1"/>
  <c r="A10338" i="22"/>
  <c r="B6992" i="22"/>
  <c r="A6993" i="22"/>
  <c r="A10339" i="22" l="1"/>
  <c r="B10338" i="22"/>
  <c r="B6993" i="22"/>
  <c r="A6994" i="22"/>
  <c r="B10339" i="22" l="1"/>
  <c r="A10340" i="22"/>
  <c r="A6995" i="22"/>
  <c r="B6994" i="22"/>
  <c r="B10340" i="22" l="1"/>
  <c r="A10341" i="22"/>
  <c r="B6995" i="22"/>
  <c r="A6996" i="22"/>
  <c r="B10341" i="22" l="1"/>
  <c r="A10342" i="22"/>
  <c r="B6996" i="22"/>
  <c r="A6997" i="22"/>
  <c r="A10343" i="22" l="1"/>
  <c r="B10342" i="22"/>
  <c r="A6998" i="22"/>
  <c r="B6997" i="22"/>
  <c r="B10343" i="22" l="1"/>
  <c r="A10344" i="22"/>
  <c r="A6999" i="22"/>
  <c r="B6998" i="22"/>
  <c r="B10344" i="22" l="1"/>
  <c r="A10345" i="22"/>
  <c r="B6999" i="22"/>
  <c r="A7000" i="22"/>
  <c r="B10345" i="22" l="1"/>
  <c r="A10346" i="22"/>
  <c r="B7000" i="22"/>
  <c r="A7001" i="22"/>
  <c r="A10347" i="22" l="1"/>
  <c r="B10346" i="22"/>
  <c r="A7002" i="22"/>
  <c r="B7001" i="22"/>
  <c r="B10347" i="22" l="1"/>
  <c r="A10348" i="22"/>
  <c r="A7003" i="22"/>
  <c r="B7002" i="22"/>
  <c r="B10348" i="22" l="1"/>
  <c r="A10349" i="22"/>
  <c r="B7003" i="22"/>
  <c r="A7004" i="22"/>
  <c r="B10349" i="22" l="1"/>
  <c r="A10350" i="22"/>
  <c r="B7004" i="22"/>
  <c r="A7005" i="22"/>
  <c r="A10351" i="22" l="1"/>
  <c r="B10350" i="22"/>
  <c r="A7006" i="22"/>
  <c r="B7005" i="22"/>
  <c r="B10351" i="22" l="1"/>
  <c r="A10352" i="22"/>
  <c r="A7007" i="22"/>
  <c r="B7006" i="22"/>
  <c r="B10352" i="22" l="1"/>
  <c r="A10353" i="22"/>
  <c r="A7008" i="22"/>
  <c r="B7007" i="22"/>
  <c r="B10353" i="22" l="1"/>
  <c r="A10354" i="22"/>
  <c r="B7008" i="22"/>
  <c r="A7009" i="22"/>
  <c r="A10355" i="22" l="1"/>
  <c r="B10354" i="22"/>
  <c r="B7009" i="22"/>
  <c r="A7010" i="22"/>
  <c r="B10355" i="22" l="1"/>
  <c r="A10356" i="22"/>
  <c r="A7011" i="22"/>
  <c r="B7010" i="22"/>
  <c r="B10356" i="22" l="1"/>
  <c r="A10357" i="22"/>
  <c r="B7011" i="22"/>
  <c r="A7012" i="22"/>
  <c r="B10357" i="22" l="1"/>
  <c r="A10358" i="22"/>
  <c r="B7012" i="22"/>
  <c r="A7013" i="22"/>
  <c r="A10359" i="22" l="1"/>
  <c r="B10358" i="22"/>
  <c r="A7014" i="22"/>
  <c r="B7013" i="22"/>
  <c r="B10359" i="22" l="1"/>
  <c r="A10360" i="22"/>
  <c r="A7015" i="22"/>
  <c r="B7014" i="22"/>
  <c r="B10360" i="22" l="1"/>
  <c r="A10361" i="22"/>
  <c r="A7016" i="22"/>
  <c r="B7015" i="22"/>
  <c r="B10361" i="22" l="1"/>
  <c r="A10362" i="22"/>
  <c r="B7016" i="22"/>
  <c r="A7017" i="22"/>
  <c r="A10363" i="22" l="1"/>
  <c r="B10362" i="22"/>
  <c r="A7018" i="22"/>
  <c r="B7017" i="22"/>
  <c r="B10363" i="22" l="1"/>
  <c r="A10364" i="22"/>
  <c r="A7019" i="22"/>
  <c r="B7018" i="22"/>
  <c r="B10364" i="22" l="1"/>
  <c r="A10365" i="22"/>
  <c r="B7019" i="22"/>
  <c r="A7020" i="22"/>
  <c r="B10365" i="22" l="1"/>
  <c r="A10366" i="22"/>
  <c r="B7020" i="22"/>
  <c r="A7021" i="22"/>
  <c r="A10367" i="22" l="1"/>
  <c r="B10366" i="22"/>
  <c r="A7022" i="22"/>
  <c r="B7021" i="22"/>
  <c r="B10367" i="22" l="1"/>
  <c r="A10368" i="22"/>
  <c r="A7023" i="22"/>
  <c r="B7022" i="22"/>
  <c r="B10368" i="22" l="1"/>
  <c r="A10369" i="22"/>
  <c r="B7023" i="22"/>
  <c r="A7024" i="22"/>
  <c r="B10369" i="22" l="1"/>
  <c r="A10370" i="22"/>
  <c r="B7024" i="22"/>
  <c r="A7025" i="22"/>
  <c r="A10371" i="22" l="1"/>
  <c r="B10370" i="22"/>
  <c r="B7025" i="22"/>
  <c r="A7026" i="22"/>
  <c r="B10371" i="22" l="1"/>
  <c r="A10372" i="22"/>
  <c r="A7027" i="22"/>
  <c r="B7026" i="22"/>
  <c r="B10372" i="22" l="1"/>
  <c r="A10373" i="22"/>
  <c r="B7027" i="22"/>
  <c r="A7028" i="22"/>
  <c r="B10373" i="22" l="1"/>
  <c r="A10374" i="22"/>
  <c r="B7028" i="22"/>
  <c r="A7029" i="22"/>
  <c r="A10375" i="22" l="1"/>
  <c r="B10374" i="22"/>
  <c r="A7030" i="22"/>
  <c r="B7029" i="22"/>
  <c r="B10375" i="22" l="1"/>
  <c r="A10376" i="22"/>
  <c r="A7031" i="22"/>
  <c r="B7030" i="22"/>
  <c r="B10376" i="22" l="1"/>
  <c r="A10377" i="22"/>
  <c r="B7031" i="22"/>
  <c r="A7032" i="22"/>
  <c r="B10377" i="22" l="1"/>
  <c r="A10378" i="22"/>
  <c r="B7032" i="22"/>
  <c r="A7033" i="22"/>
  <c r="A10379" i="22" l="1"/>
  <c r="B10378" i="22"/>
  <c r="A7034" i="22"/>
  <c r="B7033" i="22"/>
  <c r="B10379" i="22" l="1"/>
  <c r="A10380" i="22"/>
  <c r="A7035" i="22"/>
  <c r="B7034" i="22"/>
  <c r="B10380" i="22" l="1"/>
  <c r="A10381" i="22"/>
  <c r="B7035" i="22"/>
  <c r="A7036" i="22"/>
  <c r="B10381" i="22" l="1"/>
  <c r="A10382" i="22"/>
  <c r="B7036" i="22"/>
  <c r="A7037" i="22"/>
  <c r="A10383" i="22" l="1"/>
  <c r="B10382" i="22"/>
  <c r="A7038" i="22"/>
  <c r="B7037" i="22"/>
  <c r="B10383" i="22" l="1"/>
  <c r="A10384" i="22"/>
  <c r="A7039" i="22"/>
  <c r="B7038" i="22"/>
  <c r="B10384" i="22" l="1"/>
  <c r="A10385" i="22"/>
  <c r="B7039" i="22"/>
  <c r="A7040" i="22"/>
  <c r="B10385" i="22" l="1"/>
  <c r="A10386" i="22"/>
  <c r="B7040" i="22"/>
  <c r="A7041" i="22"/>
  <c r="A10387" i="22" l="1"/>
  <c r="B10386" i="22"/>
  <c r="B7041" i="22"/>
  <c r="A7042" i="22"/>
  <c r="B10387" i="22" l="1"/>
  <c r="A10388" i="22"/>
  <c r="A7043" i="22"/>
  <c r="B7042" i="22"/>
  <c r="B10388" i="22" l="1"/>
  <c r="A10389" i="22"/>
  <c r="B7043" i="22"/>
  <c r="A7044" i="22"/>
  <c r="B10389" i="22" l="1"/>
  <c r="A10390" i="22"/>
  <c r="B7044" i="22"/>
  <c r="A7045" i="22"/>
  <c r="A10391" i="22" l="1"/>
  <c r="B10390" i="22"/>
  <c r="A7046" i="22"/>
  <c r="B7045" i="22"/>
  <c r="B10391" i="22" l="1"/>
  <c r="A10392" i="22"/>
  <c r="A7047" i="22"/>
  <c r="B7046" i="22"/>
  <c r="B10392" i="22" l="1"/>
  <c r="A10393" i="22"/>
  <c r="A7048" i="22"/>
  <c r="B7047" i="22"/>
  <c r="B10393" i="22" l="1"/>
  <c r="A10394" i="22"/>
  <c r="B7048" i="22"/>
  <c r="A7049" i="22"/>
  <c r="A10395" i="22" l="1"/>
  <c r="B10394" i="22"/>
  <c r="B7049" i="22"/>
  <c r="A7050" i="22"/>
  <c r="B10395" i="22" l="1"/>
  <c r="A10396" i="22"/>
  <c r="A7051" i="22"/>
  <c r="B7050" i="22"/>
  <c r="B10396" i="22" l="1"/>
  <c r="A10397" i="22"/>
  <c r="B7051" i="22"/>
  <c r="A7052" i="22"/>
  <c r="B10397" i="22" l="1"/>
  <c r="A10398" i="22"/>
  <c r="B7052" i="22"/>
  <c r="A7053" i="22"/>
  <c r="A10399" i="22" l="1"/>
  <c r="B10398" i="22"/>
  <c r="A7054" i="22"/>
  <c r="B7053" i="22"/>
  <c r="B10399" i="22" l="1"/>
  <c r="A10400" i="22"/>
  <c r="A7055" i="22"/>
  <c r="B7054" i="22"/>
  <c r="B10400" i="22" l="1"/>
  <c r="A10401" i="22"/>
  <c r="B7055" i="22"/>
  <c r="A7056" i="22"/>
  <c r="B10401" i="22" l="1"/>
  <c r="A10402" i="22"/>
  <c r="B7056" i="22"/>
  <c r="A7057" i="22"/>
  <c r="A10403" i="22" l="1"/>
  <c r="B10402" i="22"/>
  <c r="A7058" i="22"/>
  <c r="B7057" i="22"/>
  <c r="B10403" i="22" l="1"/>
  <c r="A10404" i="22"/>
  <c r="A7059" i="22"/>
  <c r="B7058" i="22"/>
  <c r="B10404" i="22" l="1"/>
  <c r="A10405" i="22"/>
  <c r="B7059" i="22"/>
  <c r="A7060" i="22"/>
  <c r="B10405" i="22" l="1"/>
  <c r="A10406" i="22"/>
  <c r="B7060" i="22"/>
  <c r="A7061" i="22"/>
  <c r="A10407" i="22" l="1"/>
  <c r="B10406" i="22"/>
  <c r="A7062" i="22"/>
  <c r="B7061" i="22"/>
  <c r="B10407" i="22" l="1"/>
  <c r="A10408" i="22"/>
  <c r="A7063" i="22"/>
  <c r="B7062" i="22"/>
  <c r="B10408" i="22" l="1"/>
  <c r="A10409" i="22"/>
  <c r="B7063" i="22"/>
  <c r="A7064" i="22"/>
  <c r="B10409" i="22" l="1"/>
  <c r="A10410" i="22"/>
  <c r="B7064" i="22"/>
  <c r="A7065" i="22"/>
  <c r="A10411" i="22" l="1"/>
  <c r="B10410" i="22"/>
  <c r="A7066" i="22"/>
  <c r="B7065" i="22"/>
  <c r="B10411" i="22" l="1"/>
  <c r="A10412" i="22"/>
  <c r="A7067" i="22"/>
  <c r="B7066" i="22"/>
  <c r="B10412" i="22" l="1"/>
  <c r="A10413" i="22"/>
  <c r="B7067" i="22"/>
  <c r="A7068" i="22"/>
  <c r="B10413" i="22" l="1"/>
  <c r="A10414" i="22"/>
  <c r="B7068" i="22"/>
  <c r="A7069" i="22"/>
  <c r="A10415" i="22" l="1"/>
  <c r="B10414" i="22"/>
  <c r="A7070" i="22"/>
  <c r="B7069" i="22"/>
  <c r="B10415" i="22" l="1"/>
  <c r="A10416" i="22"/>
  <c r="A7071" i="22"/>
  <c r="B7070" i="22"/>
  <c r="B10416" i="22" l="1"/>
  <c r="A10417" i="22"/>
  <c r="B7071" i="22"/>
  <c r="A7072" i="22"/>
  <c r="B10417" i="22" l="1"/>
  <c r="A10418" i="22"/>
  <c r="B7072" i="22"/>
  <c r="A7073" i="22"/>
  <c r="A10419" i="22" l="1"/>
  <c r="B10418" i="22"/>
  <c r="B7073" i="22"/>
  <c r="A7074" i="22"/>
  <c r="B10419" i="22" l="1"/>
  <c r="A10420" i="22"/>
  <c r="A7075" i="22"/>
  <c r="B7074" i="22"/>
  <c r="B10420" i="22" l="1"/>
  <c r="A10421" i="22"/>
  <c r="B7075" i="22"/>
  <c r="A7076" i="22"/>
  <c r="B10421" i="22" l="1"/>
  <c r="A10422" i="22"/>
  <c r="B7076" i="22"/>
  <c r="A7077" i="22"/>
  <c r="A10423" i="22" l="1"/>
  <c r="B10422" i="22"/>
  <c r="A7078" i="22"/>
  <c r="B7077" i="22"/>
  <c r="B10423" i="22" l="1"/>
  <c r="A10424" i="22"/>
  <c r="A7079" i="22"/>
  <c r="B7078" i="22"/>
  <c r="B10424" i="22" l="1"/>
  <c r="A10425" i="22"/>
  <c r="A7080" i="22"/>
  <c r="B7079" i="22"/>
  <c r="B10425" i="22" l="1"/>
  <c r="A10426" i="22"/>
  <c r="B7080" i="22"/>
  <c r="A7081" i="22"/>
  <c r="A10427" i="22" l="1"/>
  <c r="B10426" i="22"/>
  <c r="A7082" i="22"/>
  <c r="B7081" i="22"/>
  <c r="B10427" i="22" l="1"/>
  <c r="A10428" i="22"/>
  <c r="A7083" i="22"/>
  <c r="B7082" i="22"/>
  <c r="B10428" i="22" l="1"/>
  <c r="A10429" i="22"/>
  <c r="B7083" i="22"/>
  <c r="A7084" i="22"/>
  <c r="B10429" i="22" l="1"/>
  <c r="A10430" i="22"/>
  <c r="B7084" i="22"/>
  <c r="A7085" i="22"/>
  <c r="A10431" i="22" l="1"/>
  <c r="B10430" i="22"/>
  <c r="A7086" i="22"/>
  <c r="B7085" i="22"/>
  <c r="B10431" i="22" l="1"/>
  <c r="A10432" i="22"/>
  <c r="A7087" i="22"/>
  <c r="B7086" i="22"/>
  <c r="B10432" i="22" l="1"/>
  <c r="A10433" i="22"/>
  <c r="B7087" i="22"/>
  <c r="A7088" i="22"/>
  <c r="B10433" i="22" l="1"/>
  <c r="A10434" i="22"/>
  <c r="B7088" i="22"/>
  <c r="A7089" i="22"/>
  <c r="A10435" i="22" l="1"/>
  <c r="B10434" i="22"/>
  <c r="B7089" i="22"/>
  <c r="A7090" i="22"/>
  <c r="B10435" i="22" l="1"/>
  <c r="A10436" i="22"/>
  <c r="A7091" i="22"/>
  <c r="B7090" i="22"/>
  <c r="B10436" i="22" l="1"/>
  <c r="A10437" i="22"/>
  <c r="B7091" i="22"/>
  <c r="A7092" i="22"/>
  <c r="B10437" i="22" l="1"/>
  <c r="A10438" i="22"/>
  <c r="B7092" i="22"/>
  <c r="A7093" i="22"/>
  <c r="A10439" i="22" l="1"/>
  <c r="B10438" i="22"/>
  <c r="A7094" i="22"/>
  <c r="B7093" i="22"/>
  <c r="B10439" i="22" l="1"/>
  <c r="A10440" i="22"/>
  <c r="A7095" i="22"/>
  <c r="B7094" i="22"/>
  <c r="B10440" i="22" l="1"/>
  <c r="A10441" i="22"/>
  <c r="B7095" i="22"/>
  <c r="A7096" i="22"/>
  <c r="B10441" i="22" l="1"/>
  <c r="A10442" i="22"/>
  <c r="B7096" i="22"/>
  <c r="A7097" i="22"/>
  <c r="A10443" i="22" l="1"/>
  <c r="B10442" i="22"/>
  <c r="A7098" i="22"/>
  <c r="B7097" i="22"/>
  <c r="B10443" i="22" l="1"/>
  <c r="A10444" i="22"/>
  <c r="A7099" i="22"/>
  <c r="B7098" i="22"/>
  <c r="B10444" i="22" l="1"/>
  <c r="A10445" i="22"/>
  <c r="B7099" i="22"/>
  <c r="A7100" i="22"/>
  <c r="B10445" i="22" l="1"/>
  <c r="A10446" i="22"/>
  <c r="B7100" i="22"/>
  <c r="A7101" i="22"/>
  <c r="A10447" i="22" l="1"/>
  <c r="B10446" i="22"/>
  <c r="B7101" i="22"/>
  <c r="A7102" i="22"/>
  <c r="B10447" i="22" l="1"/>
  <c r="A10448" i="22"/>
  <c r="A7103" i="22"/>
  <c r="B7102" i="22"/>
  <c r="B10448" i="22" l="1"/>
  <c r="A10449" i="22"/>
  <c r="A7104" i="22"/>
  <c r="B7103" i="22"/>
  <c r="B10449" i="22" l="1"/>
  <c r="A10450" i="22"/>
  <c r="B7104" i="22"/>
  <c r="A7105" i="22"/>
  <c r="A10451" i="22" l="1"/>
  <c r="B10450" i="22"/>
  <c r="B7105" i="22"/>
  <c r="A7106" i="22"/>
  <c r="B10451" i="22" l="1"/>
  <c r="A10452" i="22"/>
  <c r="A7107" i="22"/>
  <c r="B7106" i="22"/>
  <c r="B10452" i="22" l="1"/>
  <c r="A10453" i="22"/>
  <c r="B7107" i="22"/>
  <c r="A7108" i="22"/>
  <c r="B10453" i="22" l="1"/>
  <c r="A10454" i="22"/>
  <c r="B7108" i="22"/>
  <c r="A7109" i="22"/>
  <c r="A10455" i="22" l="1"/>
  <c r="B10454" i="22"/>
  <c r="A7110" i="22"/>
  <c r="B7109" i="22"/>
  <c r="B10455" i="22" l="1"/>
  <c r="A10456" i="22"/>
  <c r="A7111" i="22"/>
  <c r="B7110" i="22"/>
  <c r="B10456" i="22" l="1"/>
  <c r="A10457" i="22"/>
  <c r="B7111" i="22"/>
  <c r="A7112" i="22"/>
  <c r="B10457" i="22" l="1"/>
  <c r="A10458" i="22"/>
  <c r="B7112" i="22"/>
  <c r="A7113" i="22"/>
  <c r="A10459" i="22" l="1"/>
  <c r="B10458" i="22"/>
  <c r="B7113" i="22"/>
  <c r="A7114" i="22"/>
  <c r="B10459" i="22" l="1"/>
  <c r="A10460" i="22"/>
  <c r="A7115" i="22"/>
  <c r="B7114" i="22"/>
  <c r="B10460" i="22" l="1"/>
  <c r="A10461" i="22"/>
  <c r="B7115" i="22"/>
  <c r="A7116" i="22"/>
  <c r="B10461" i="22" l="1"/>
  <c r="A10462" i="22"/>
  <c r="B7116" i="22"/>
  <c r="A7117" i="22"/>
  <c r="A10463" i="22" l="1"/>
  <c r="B10462" i="22"/>
  <c r="B7117" i="22"/>
  <c r="A7118" i="22"/>
  <c r="B10463" i="22" l="1"/>
  <c r="A10464" i="22"/>
  <c r="A7119" i="22"/>
  <c r="B7118" i="22"/>
  <c r="B10464" i="22" l="1"/>
  <c r="A10465" i="22"/>
  <c r="B7119" i="22"/>
  <c r="A7120" i="22"/>
  <c r="B10465" i="22" l="1"/>
  <c r="A10466" i="22"/>
  <c r="B7120" i="22"/>
  <c r="A7121" i="22"/>
  <c r="A10467" i="22" l="1"/>
  <c r="B10466" i="22"/>
  <c r="A7122" i="22"/>
  <c r="B7121" i="22"/>
  <c r="B10467" i="22" l="1"/>
  <c r="A10468" i="22"/>
  <c r="A7123" i="22"/>
  <c r="B7122" i="22"/>
  <c r="B10468" i="22" l="1"/>
  <c r="A10469" i="22"/>
  <c r="B7123" i="22"/>
  <c r="A7124" i="22"/>
  <c r="B10469" i="22" l="1"/>
  <c r="A10470" i="22"/>
  <c r="B7124" i="22"/>
  <c r="A7125" i="22"/>
  <c r="A10471" i="22" l="1"/>
  <c r="B10470" i="22"/>
  <c r="A7126" i="22"/>
  <c r="B7125" i="22"/>
  <c r="B10471" i="22" l="1"/>
  <c r="A10472" i="22"/>
  <c r="A7127" i="22"/>
  <c r="B7126" i="22"/>
  <c r="B10472" i="22" l="1"/>
  <c r="A10473" i="22"/>
  <c r="A7128" i="22"/>
  <c r="B7127" i="22"/>
  <c r="B10473" i="22" l="1"/>
  <c r="A10474" i="22"/>
  <c r="B7128" i="22"/>
  <c r="A7129" i="22"/>
  <c r="A10475" i="22" l="1"/>
  <c r="B10474" i="22"/>
  <c r="B7129" i="22"/>
  <c r="A7130" i="22"/>
  <c r="B10475" i="22" l="1"/>
  <c r="A10476" i="22"/>
  <c r="A7131" i="22"/>
  <c r="B7130" i="22"/>
  <c r="B10476" i="22" l="1"/>
  <c r="A10477" i="22"/>
  <c r="B7131" i="22"/>
  <c r="A7132" i="22"/>
  <c r="B10477" i="22" l="1"/>
  <c r="A10478" i="22"/>
  <c r="B7132" i="22"/>
  <c r="A7133" i="22"/>
  <c r="A10479" i="22" l="1"/>
  <c r="B10478" i="22"/>
  <c r="B7133" i="22"/>
  <c r="A7134" i="22"/>
  <c r="B10479" i="22" l="1"/>
  <c r="A10480" i="22"/>
  <c r="A7135" i="22"/>
  <c r="B7134" i="22"/>
  <c r="B10480" i="22" l="1"/>
  <c r="A10481" i="22"/>
  <c r="B7135" i="22"/>
  <c r="A7136" i="22"/>
  <c r="B10481" i="22" l="1"/>
  <c r="A10482" i="22"/>
  <c r="B7136" i="22"/>
  <c r="A7137" i="22"/>
  <c r="A10483" i="22" l="1"/>
  <c r="B10482" i="22"/>
  <c r="A7138" i="22"/>
  <c r="B7137" i="22"/>
  <c r="B10483" i="22" l="1"/>
  <c r="A10484" i="22"/>
  <c r="A7139" i="22"/>
  <c r="B7138" i="22"/>
  <c r="B10484" i="22" l="1"/>
  <c r="A10485" i="22"/>
  <c r="B7139" i="22"/>
  <c r="A7140" i="22"/>
  <c r="B10485" i="22" l="1"/>
  <c r="A10486" i="22"/>
  <c r="B7140" i="22"/>
  <c r="A7141" i="22"/>
  <c r="A10487" i="22" l="1"/>
  <c r="B10486" i="22"/>
  <c r="A7142" i="22"/>
  <c r="B7141" i="22"/>
  <c r="B10487" i="22" l="1"/>
  <c r="A10488" i="22"/>
  <c r="A7143" i="22"/>
  <c r="B7142" i="22"/>
  <c r="B10488" i="22" l="1"/>
  <c r="A10489" i="22"/>
  <c r="A7144" i="22"/>
  <c r="B7143" i="22"/>
  <c r="B10489" i="22" l="1"/>
  <c r="A10490" i="22"/>
  <c r="B7144" i="22"/>
  <c r="A7145" i="22"/>
  <c r="A10491" i="22" l="1"/>
  <c r="B10490" i="22"/>
  <c r="B7145" i="22"/>
  <c r="A7146" i="22"/>
  <c r="B10491" i="22" l="1"/>
  <c r="A10492" i="22"/>
  <c r="A7147" i="22"/>
  <c r="B7146" i="22"/>
  <c r="B10492" i="22" l="1"/>
  <c r="A10493" i="22"/>
  <c r="B7147" i="22"/>
  <c r="A7148" i="22"/>
  <c r="B10493" i="22" l="1"/>
  <c r="A10494" i="22"/>
  <c r="B7148" i="22"/>
  <c r="A7149" i="22"/>
  <c r="A10495" i="22" l="1"/>
  <c r="B10494" i="22"/>
  <c r="A7150" i="22"/>
  <c r="B7149" i="22"/>
  <c r="B10495" i="22" l="1"/>
  <c r="A10496" i="22"/>
  <c r="A7151" i="22"/>
  <c r="B7150" i="22"/>
  <c r="B10496" i="22" l="1"/>
  <c r="A10497" i="22"/>
  <c r="A7152" i="22"/>
  <c r="B7151" i="22"/>
  <c r="B10497" i="22" l="1"/>
  <c r="A10498" i="22"/>
  <c r="B7152" i="22"/>
  <c r="A7153" i="22"/>
  <c r="A10499" i="22" l="1"/>
  <c r="B10498" i="22"/>
  <c r="B7153" i="22"/>
  <c r="A7154" i="22"/>
  <c r="B10499" i="22" l="1"/>
  <c r="A10500" i="22"/>
  <c r="A7155" i="22"/>
  <c r="B7154" i="22"/>
  <c r="B10500" i="22" l="1"/>
  <c r="A10501" i="22"/>
  <c r="A7156" i="22"/>
  <c r="B7155" i="22"/>
  <c r="B10501" i="22" l="1"/>
  <c r="A10502" i="22"/>
  <c r="B7156" i="22"/>
  <c r="A7157" i="22"/>
  <c r="A10503" i="22" l="1"/>
  <c r="B10502" i="22"/>
  <c r="A7158" i="22"/>
  <c r="B7157" i="22"/>
  <c r="B10503" i="22" l="1"/>
  <c r="A10504" i="22"/>
  <c r="A7159" i="22"/>
  <c r="B7158" i="22"/>
  <c r="B10504" i="22" l="1"/>
  <c r="A10505" i="22"/>
  <c r="B7159" i="22"/>
  <c r="A7160" i="22"/>
  <c r="B10505" i="22" l="1"/>
  <c r="A10506" i="22"/>
  <c r="B7160" i="22"/>
  <c r="A7161" i="22"/>
  <c r="A10507" i="22" l="1"/>
  <c r="B10506" i="22"/>
  <c r="A7162" i="22"/>
  <c r="B7161" i="22"/>
  <c r="B10507" i="22" l="1"/>
  <c r="A10508" i="22"/>
  <c r="A7163" i="22"/>
  <c r="B7162" i="22"/>
  <c r="B10508" i="22" l="1"/>
  <c r="A10509" i="22"/>
  <c r="B7163" i="22"/>
  <c r="A7164" i="22"/>
  <c r="B10509" i="22" l="1"/>
  <c r="A10510" i="22"/>
  <c r="B7164" i="22"/>
  <c r="A7165" i="22"/>
  <c r="A10511" i="22" l="1"/>
  <c r="B10510" i="22"/>
  <c r="B7165" i="22"/>
  <c r="A7166" i="22"/>
  <c r="B10511" i="22" l="1"/>
  <c r="A10512" i="22"/>
  <c r="A7167" i="22"/>
  <c r="B7166" i="22"/>
  <c r="B10512" i="22" l="1"/>
  <c r="A10513" i="22"/>
  <c r="A7168" i="22"/>
  <c r="B7167" i="22"/>
  <c r="B10513" i="22" l="1"/>
  <c r="A10514" i="22"/>
  <c r="B7168" i="22"/>
  <c r="A7169" i="22"/>
  <c r="A10515" i="22" l="1"/>
  <c r="B10514" i="22"/>
  <c r="B7169" i="22"/>
  <c r="A7170" i="22"/>
  <c r="B10515" i="22" l="1"/>
  <c r="A10516" i="22"/>
  <c r="A7171" i="22"/>
  <c r="B7170" i="22"/>
  <c r="B10516" i="22" l="1"/>
  <c r="A10517" i="22"/>
  <c r="B7171" i="22"/>
  <c r="A7172" i="22"/>
  <c r="B10517" i="22" l="1"/>
  <c r="A10518" i="22"/>
  <c r="B7172" i="22"/>
  <c r="A7173" i="22"/>
  <c r="A10519" i="22" l="1"/>
  <c r="B10518" i="22"/>
  <c r="B7173" i="22"/>
  <c r="A7174" i="22"/>
  <c r="B10519" i="22" l="1"/>
  <c r="A10520" i="22"/>
  <c r="A7175" i="22"/>
  <c r="B7174" i="22"/>
  <c r="B10520" i="22" l="1"/>
  <c r="A10521" i="22"/>
  <c r="A7176" i="22"/>
  <c r="B7175" i="22"/>
  <c r="B10521" i="22" l="1"/>
  <c r="A10522" i="22"/>
  <c r="B7176" i="22"/>
  <c r="A7177" i="22"/>
  <c r="A10523" i="22" l="1"/>
  <c r="B10522" i="22"/>
  <c r="A7178" i="22"/>
  <c r="B7177" i="22"/>
  <c r="B10523" i="22" l="1"/>
  <c r="A10524" i="22"/>
  <c r="A7179" i="22"/>
  <c r="B7178" i="22"/>
  <c r="B10524" i="22" l="1"/>
  <c r="A10525" i="22"/>
  <c r="B7179" i="22"/>
  <c r="A7180" i="22"/>
  <c r="B10525" i="22" l="1"/>
  <c r="A10526" i="22"/>
  <c r="B7180" i="22"/>
  <c r="A7181" i="22"/>
  <c r="A10527" i="22" l="1"/>
  <c r="B10526" i="22"/>
  <c r="B7181" i="22"/>
  <c r="A7182" i="22"/>
  <c r="B10527" i="22" l="1"/>
  <c r="A10528" i="22"/>
  <c r="A7183" i="22"/>
  <c r="B7182" i="22"/>
  <c r="B10528" i="22" l="1"/>
  <c r="A10529" i="22"/>
  <c r="A7184" i="22"/>
  <c r="B7183" i="22"/>
  <c r="B10529" i="22" l="1"/>
  <c r="A10530" i="22"/>
  <c r="B7184" i="22"/>
  <c r="A7185" i="22"/>
  <c r="A10531" i="22" l="1"/>
  <c r="B10530" i="22"/>
  <c r="A7186" i="22"/>
  <c r="B7185" i="22"/>
  <c r="B10531" i="22" l="1"/>
  <c r="A10532" i="22"/>
  <c r="A7187" i="22"/>
  <c r="B7186" i="22"/>
  <c r="B10532" i="22" l="1"/>
  <c r="A10533" i="22"/>
  <c r="B7187" i="22"/>
  <c r="A7188" i="22"/>
  <c r="B10533" i="22" l="1"/>
  <c r="A10534" i="22"/>
  <c r="A7189" i="22"/>
  <c r="B7188" i="22"/>
  <c r="A10535" i="22" l="1"/>
  <c r="B10534" i="22"/>
  <c r="B7189" i="22"/>
  <c r="A7190" i="22"/>
  <c r="B10535" i="22" l="1"/>
  <c r="A10536" i="22"/>
  <c r="A7191" i="22"/>
  <c r="B7190" i="22"/>
  <c r="B10536" i="22" l="1"/>
  <c r="A10537" i="22"/>
  <c r="A7192" i="22"/>
  <c r="B7191" i="22"/>
  <c r="B10537" i="22" l="1"/>
  <c r="A10538" i="22"/>
  <c r="B10538" i="22" s="1"/>
  <c r="B7192" i="22"/>
  <c r="A7193" i="22"/>
  <c r="B7193" i="22" l="1"/>
  <c r="A7194" i="22"/>
  <c r="A7195" i="22" l="1"/>
  <c r="B7194" i="22"/>
  <c r="B7195" i="22" l="1"/>
  <c r="A7196" i="22"/>
  <c r="B7196" i="22" l="1"/>
  <c r="A7197" i="22"/>
  <c r="B7197" i="22" l="1"/>
  <c r="A7198" i="22"/>
  <c r="A7199" i="22" l="1"/>
  <c r="B7198" i="22"/>
  <c r="A7200" i="22" l="1"/>
  <c r="B7199" i="22"/>
  <c r="A7201" i="22" l="1"/>
  <c r="B7200" i="22"/>
  <c r="B7201" i="22" l="1"/>
  <c r="A7202" i="22"/>
  <c r="A7203" i="22" l="1"/>
  <c r="B7202" i="22"/>
  <c r="B7203" i="22" l="1"/>
  <c r="A7204" i="22"/>
  <c r="A7205" i="22" l="1"/>
  <c r="B7204" i="22"/>
  <c r="B7205" i="22" l="1"/>
  <c r="A7206" i="22"/>
  <c r="A7207" i="22" l="1"/>
  <c r="B7206" i="22"/>
  <c r="A7208" i="22" l="1"/>
  <c r="B7207" i="22"/>
  <c r="B7208" i="22" l="1"/>
  <c r="A7209" i="22"/>
  <c r="A7210" i="22" l="1"/>
  <c r="B7209" i="22"/>
  <c r="A7211" i="22" l="1"/>
  <c r="B7210" i="22"/>
  <c r="A7212" i="22" l="1"/>
  <c r="B7211" i="22"/>
  <c r="A7213" i="22" l="1"/>
  <c r="B7212" i="22"/>
  <c r="B7213" i="22" l="1"/>
  <c r="A7214" i="22"/>
  <c r="A7215" i="22" l="1"/>
  <c r="B7214" i="22"/>
  <c r="A7216" i="22" l="1"/>
  <c r="B7215" i="22"/>
  <c r="B7216" i="22" l="1"/>
  <c r="A7217" i="22"/>
  <c r="A7218" i="22" l="1"/>
  <c r="B7217" i="22"/>
  <c r="A7219" i="22" l="1"/>
  <c r="B7218" i="22"/>
  <c r="B7219" i="22" l="1"/>
  <c r="A7220" i="22"/>
  <c r="A7221" i="22" l="1"/>
  <c r="B7220" i="22"/>
  <c r="A7222" i="22" l="1"/>
  <c r="B7221" i="22"/>
  <c r="A7223" i="22" l="1"/>
  <c r="B7222" i="22"/>
  <c r="A7224" i="22" l="1"/>
  <c r="B7223" i="22"/>
  <c r="B7224" i="22" l="1"/>
  <c r="A7225" i="22"/>
  <c r="A7226" i="22" l="1"/>
  <c r="B7225" i="22"/>
  <c r="A7227" i="22" l="1"/>
  <c r="B7226" i="22"/>
  <c r="A7228" i="22" l="1"/>
  <c r="B7227" i="22"/>
  <c r="B7228" i="22" l="1"/>
  <c r="A7229" i="22"/>
  <c r="B7229" i="22" l="1"/>
  <c r="A7230" i="22"/>
  <c r="A7231" i="22" l="1"/>
  <c r="B7230" i="22"/>
  <c r="B7231" i="22" l="1"/>
  <c r="A7232" i="22"/>
  <c r="A7233" i="22" l="1"/>
  <c r="B7232" i="22"/>
  <c r="A7234" i="22" l="1"/>
  <c r="B7233" i="22"/>
  <c r="A7235" i="22" l="1"/>
  <c r="B7234" i="22"/>
  <c r="B7235" i="22" l="1"/>
  <c r="A7236" i="22"/>
  <c r="B7236" i="22" l="1"/>
  <c r="A7237" i="22"/>
  <c r="B7237" i="22" l="1"/>
  <c r="A7238" i="22"/>
  <c r="A7239" i="22" l="1"/>
  <c r="B7238" i="22"/>
  <c r="B7239" i="22" l="1"/>
  <c r="A7240" i="22"/>
  <c r="A7241" i="22" l="1"/>
  <c r="B7240" i="22"/>
  <c r="A7242" i="22" l="1"/>
  <c r="B7241" i="22"/>
  <c r="A7243" i="22" l="1"/>
  <c r="B7242" i="22"/>
  <c r="B7243" i="22" l="1"/>
  <c r="A7244" i="22"/>
  <c r="B7244" i="22" l="1"/>
  <c r="A7245" i="22"/>
  <c r="A7246" i="22" l="1"/>
  <c r="B7245" i="22"/>
  <c r="A7247" i="22" l="1"/>
  <c r="B7246" i="22"/>
  <c r="B7247" i="22" l="1"/>
  <c r="A7248" i="22"/>
  <c r="B7248" i="22" l="1"/>
  <c r="A7249" i="22"/>
  <c r="B7249" i="22" l="1"/>
  <c r="A7250" i="22"/>
  <c r="A7251" i="22" l="1"/>
  <c r="B7250" i="22"/>
  <c r="B7251" i="22" l="1"/>
  <c r="A7252" i="22"/>
  <c r="B7252" i="22" l="1"/>
  <c r="A7253" i="22"/>
  <c r="B7253" i="22" l="1"/>
  <c r="A7254" i="22"/>
  <c r="A7255" i="22" l="1"/>
  <c r="B7254" i="22"/>
  <c r="A7256" i="22" l="1"/>
  <c r="B7255" i="22"/>
  <c r="B7256" i="22" l="1"/>
  <c r="A7257" i="22"/>
  <c r="B7257" i="22" l="1"/>
  <c r="A7258" i="22"/>
  <c r="A7259" i="22" l="1"/>
  <c r="B7258" i="22"/>
  <c r="A7260" i="22" l="1"/>
  <c r="B7259" i="22"/>
  <c r="B7260" i="22" l="1"/>
  <c r="A7261" i="22"/>
  <c r="B7261" i="22" l="1"/>
  <c r="A7262" i="22"/>
  <c r="A7263" i="22" l="1"/>
  <c r="B7262" i="22"/>
  <c r="A7264" i="22" l="1"/>
  <c r="B7263" i="22"/>
  <c r="A7265" i="22" l="1"/>
  <c r="B7264" i="22"/>
  <c r="B7265" i="22" l="1"/>
  <c r="A7266" i="22"/>
  <c r="A7267" i="22" l="1"/>
  <c r="B7266" i="22"/>
  <c r="A7268" i="22" l="1"/>
  <c r="B7267" i="22"/>
  <c r="B7268" i="22" l="1"/>
  <c r="A7269" i="22"/>
  <c r="B7269" i="22" l="1"/>
  <c r="A7270" i="22"/>
  <c r="A7271" i="22" l="1"/>
  <c r="B7270" i="22"/>
  <c r="B7271" i="22" l="1"/>
  <c r="A7272" i="22"/>
  <c r="A7273" i="22" l="1"/>
  <c r="B7272" i="22"/>
  <c r="A7274" i="22" l="1"/>
  <c r="B7273" i="22"/>
  <c r="A7275" i="22" l="1"/>
  <c r="B7274" i="22"/>
  <c r="A7276" i="22" l="1"/>
  <c r="B7275" i="22"/>
  <c r="B7276" i="22" l="1"/>
  <c r="A7277" i="22"/>
  <c r="A7278" i="22" l="1"/>
  <c r="B7277" i="22"/>
  <c r="B7278" i="22" l="1"/>
  <c r="A7279" i="22"/>
  <c r="A7280" i="22" l="1"/>
  <c r="B7279" i="22"/>
  <c r="B7280" i="22" l="1"/>
  <c r="A7281" i="22"/>
  <c r="B7281" i="22" l="1"/>
  <c r="A7282" i="22"/>
  <c r="B7282" i="22" l="1"/>
  <c r="A7283" i="22"/>
  <c r="A7284" i="22" l="1"/>
  <c r="B7283" i="22"/>
  <c r="A7285" i="22" l="1"/>
  <c r="B7284" i="22"/>
  <c r="B7285" i="22" l="1"/>
  <c r="A7286" i="22"/>
  <c r="B7286" i="22" l="1"/>
  <c r="A7287" i="22"/>
  <c r="B7287" i="22" l="1"/>
  <c r="A7288" i="22"/>
  <c r="A7289" i="22" l="1"/>
  <c r="B7288" i="22"/>
  <c r="B7289" i="22" l="1"/>
  <c r="A7290" i="22"/>
  <c r="B7290" i="22" l="1"/>
  <c r="A7291" i="22"/>
  <c r="A7292" i="22" l="1"/>
  <c r="B7291" i="22"/>
  <c r="A7293" i="22" l="1"/>
  <c r="B7292" i="22"/>
  <c r="A7294" i="22" l="1"/>
  <c r="B7293" i="22"/>
  <c r="B7294" i="22" l="1"/>
  <c r="A7295" i="22"/>
  <c r="B7295" i="22" l="1"/>
  <c r="A7296" i="22"/>
  <c r="B7296" i="22" l="1"/>
  <c r="A7297" i="22"/>
  <c r="A7298" i="22" l="1"/>
  <c r="B7297" i="22"/>
  <c r="B7298" i="22" l="1"/>
  <c r="A7299" i="22"/>
  <c r="B7299" i="22" l="1"/>
  <c r="A7300" i="22"/>
  <c r="A7301" i="22" l="1"/>
  <c r="B7300" i="22"/>
  <c r="A7302" i="22" l="1"/>
  <c r="B7301" i="22"/>
  <c r="B7302" i="22" l="1"/>
  <c r="A7303" i="22"/>
  <c r="B7303" i="22" l="1"/>
  <c r="A7304" i="22"/>
  <c r="A7305" i="22" l="1"/>
  <c r="B7304" i="22"/>
  <c r="B7305" i="22" l="1"/>
  <c r="A7306" i="22"/>
  <c r="B7306" i="22" l="1"/>
  <c r="A7307" i="22"/>
  <c r="A7308" i="22" l="1"/>
  <c r="B7307" i="22"/>
  <c r="A7309" i="22" l="1"/>
  <c r="B7308" i="22"/>
  <c r="B7309" i="22" l="1"/>
  <c r="A7310" i="22"/>
  <c r="A7311" i="22" l="1"/>
  <c r="B7310" i="22"/>
  <c r="A7312" i="22" l="1"/>
  <c r="B7311" i="22"/>
  <c r="B7312" i="22" l="1"/>
  <c r="A7313" i="22"/>
  <c r="A7314" i="22" l="1"/>
  <c r="B7313" i="22"/>
  <c r="B7314" i="22" l="1"/>
  <c r="A7315" i="22"/>
  <c r="B7315" i="22" l="1"/>
  <c r="A7316" i="22"/>
  <c r="A7317" i="22" l="1"/>
  <c r="B7316" i="22"/>
  <c r="B7317" i="22" l="1"/>
  <c r="A7318" i="22"/>
  <c r="B7318" i="22" l="1"/>
  <c r="A7319" i="22"/>
  <c r="A7320" i="22" l="1"/>
  <c r="B7319" i="22"/>
  <c r="B7320" i="22" l="1"/>
  <c r="A7321" i="22"/>
  <c r="B7321" i="22" l="1"/>
  <c r="A7322" i="22"/>
  <c r="A7323" i="22" l="1"/>
  <c r="B7322" i="22"/>
  <c r="B7323" i="22" l="1"/>
  <c r="A7324" i="22"/>
  <c r="B7324" i="22" l="1"/>
  <c r="A7325" i="22"/>
  <c r="B7325" i="22" l="1"/>
  <c r="A7326" i="22"/>
  <c r="B7326" i="22" l="1"/>
  <c r="A7327" i="22"/>
  <c r="A7328" i="22" l="1"/>
  <c r="B7327" i="22"/>
  <c r="A7329" i="22" l="1"/>
  <c r="B7328" i="22"/>
  <c r="B7329" i="22" l="1"/>
  <c r="A7330" i="22"/>
  <c r="B7330" i="22" l="1"/>
  <c r="A7331" i="22"/>
  <c r="A7332" i="22" l="1"/>
  <c r="B7331" i="22"/>
  <c r="B7332" i="22" l="1"/>
  <c r="A7333" i="22"/>
  <c r="B7333" i="22" l="1"/>
  <c r="A7334" i="22"/>
  <c r="A7335" i="22" l="1"/>
  <c r="B7334" i="22"/>
  <c r="A7336" i="22" l="1"/>
  <c r="B7335" i="22"/>
  <c r="B7336" i="22" l="1"/>
  <c r="A7337" i="22"/>
  <c r="A7338" i="22" l="1"/>
  <c r="B7337" i="22"/>
  <c r="B7338" i="22" l="1"/>
  <c r="A7339" i="22"/>
  <c r="B7339" i="22" l="1"/>
  <c r="A7340" i="22"/>
  <c r="A7341" i="22" l="1"/>
  <c r="B7340" i="22"/>
  <c r="A7342" i="22" l="1"/>
  <c r="B7341" i="22"/>
  <c r="A7343" i="22" l="1"/>
  <c r="B7342" i="22"/>
  <c r="B7343" i="22" l="1"/>
  <c r="A7344" i="22"/>
  <c r="A7345" i="22" l="1"/>
  <c r="B7344" i="22"/>
  <c r="A7346" i="22" l="1"/>
  <c r="B7345" i="22"/>
  <c r="B7346" i="22" l="1"/>
  <c r="A7347" i="22"/>
  <c r="B7347" i="22" l="1"/>
  <c r="A7348" i="22"/>
  <c r="A7349" i="22" l="1"/>
  <c r="B7348" i="22"/>
  <c r="A7350" i="22" l="1"/>
  <c r="B7349" i="22"/>
  <c r="B7350" i="22" l="1"/>
  <c r="A7351" i="22"/>
  <c r="B7351" i="22" l="1"/>
  <c r="A7352" i="22"/>
  <c r="B7352" i="22" l="1"/>
  <c r="A7353" i="22"/>
  <c r="A7354" i="22" l="1"/>
  <c r="B7353" i="22"/>
  <c r="B7354" i="22" l="1"/>
  <c r="A7355" i="22"/>
  <c r="B7355" i="22" l="1"/>
  <c r="A7356" i="22"/>
  <c r="A7357" i="22" l="1"/>
  <c r="B7356" i="22"/>
  <c r="A7358" i="22" l="1"/>
  <c r="B7357" i="22"/>
  <c r="B7358" i="22" l="1"/>
  <c r="A7359" i="22"/>
  <c r="B7359" i="22" l="1"/>
  <c r="A7360" i="22"/>
  <c r="A7361" i="22" l="1"/>
  <c r="B7360" i="22"/>
  <c r="A7362" i="22" l="1"/>
  <c r="B7361" i="22"/>
  <c r="B7362" i="22" l="1"/>
  <c r="A7363" i="22"/>
  <c r="B7363" i="22" l="1"/>
  <c r="A7364" i="22"/>
  <c r="A7365" i="22" l="1"/>
  <c r="B7364" i="22"/>
  <c r="A7366" i="22" l="1"/>
  <c r="B7365" i="22"/>
  <c r="A7367" i="22" l="1"/>
  <c r="B7366" i="22"/>
  <c r="B7367" i="22" l="1"/>
  <c r="A7368" i="22"/>
  <c r="B7368" i="22" l="1"/>
  <c r="A7369" i="22"/>
  <c r="A7370" i="22" l="1"/>
  <c r="B7369" i="22"/>
  <c r="B7370" i="22" l="1"/>
  <c r="A7371" i="22"/>
  <c r="B7371" i="22" l="1"/>
  <c r="A7372" i="22"/>
  <c r="A7373" i="22" l="1"/>
  <c r="B7372" i="22"/>
  <c r="A7374" i="22" l="1"/>
  <c r="B7373" i="22"/>
  <c r="B7374" i="22" l="1"/>
  <c r="A7375" i="22"/>
  <c r="B7375" i="22" l="1"/>
  <c r="A7376" i="22"/>
  <c r="B7376" i="22" l="1"/>
  <c r="A7377" i="22"/>
  <c r="A7378" i="22" l="1"/>
  <c r="B7377" i="22"/>
  <c r="A7379" i="22" l="1"/>
  <c r="B7378" i="22"/>
  <c r="B7379" i="22" l="1"/>
  <c r="A7380" i="22"/>
  <c r="A7381" i="22" l="1"/>
  <c r="B7380" i="22"/>
  <c r="A7382" i="22" l="1"/>
  <c r="B7381" i="22"/>
  <c r="A7383" i="22" l="1"/>
  <c r="B7382" i="22"/>
  <c r="A7384" i="22" l="1"/>
  <c r="B7383" i="22"/>
  <c r="A7385" i="22" l="1"/>
  <c r="B7384" i="22"/>
  <c r="A7386" i="22" l="1"/>
  <c r="B7385" i="22"/>
  <c r="A7387" i="22" l="1"/>
  <c r="B7386" i="22"/>
  <c r="B7387" i="22" l="1"/>
  <c r="A7388" i="22"/>
  <c r="B7388" i="22" l="1"/>
  <c r="A7389" i="22"/>
  <c r="A7390" i="22" l="1"/>
  <c r="B7389" i="22"/>
  <c r="B7390" i="22" l="1"/>
  <c r="A7391" i="22"/>
  <c r="B7391" i="22" l="1"/>
  <c r="A7392" i="22"/>
  <c r="B7392" i="22" l="1"/>
  <c r="A7393" i="22"/>
  <c r="B7393" i="22" l="1"/>
  <c r="A7394" i="22"/>
  <c r="A7395" i="22" l="1"/>
  <c r="B7394" i="22"/>
  <c r="B7395" i="22" l="1"/>
  <c r="A7396" i="22"/>
  <c r="B7396" i="22" l="1"/>
  <c r="A7397" i="22"/>
  <c r="A7398" i="22" l="1"/>
  <c r="B7397" i="22"/>
  <c r="B7398" i="22" l="1"/>
  <c r="A7399" i="22"/>
  <c r="B7399" i="22" l="1"/>
  <c r="A7400" i="22"/>
  <c r="A7401" i="22" l="1"/>
  <c r="B7400" i="22"/>
  <c r="A7402" i="22" l="1"/>
  <c r="B7401" i="22"/>
  <c r="B7402" i="22" l="1"/>
  <c r="A7403" i="22"/>
  <c r="B7403" i="22" l="1"/>
  <c r="A7404" i="22"/>
  <c r="B7404" i="22" l="1"/>
  <c r="A7405" i="22"/>
  <c r="B7405" i="22" l="1"/>
  <c r="A7406" i="22"/>
  <c r="B7406" i="22" l="1"/>
  <c r="A7407" i="22"/>
  <c r="A7408" i="22" l="1"/>
  <c r="B7407" i="22"/>
  <c r="B7408" i="22" l="1"/>
  <c r="A7409" i="22"/>
  <c r="B7409" i="22" l="1"/>
  <c r="A7410" i="22"/>
  <c r="A7411" i="22" l="1"/>
  <c r="B7410" i="22"/>
  <c r="A7412" i="22" l="1"/>
  <c r="B7411" i="22"/>
  <c r="A7413" i="22" l="1"/>
  <c r="B7412" i="22"/>
  <c r="B7413" i="22" l="1"/>
  <c r="A7414" i="22"/>
  <c r="B7414" i="22" l="1"/>
  <c r="A7415" i="22"/>
  <c r="A7416" i="22" l="1"/>
  <c r="B7415" i="22"/>
  <c r="B7416" i="22" l="1"/>
  <c r="A7417" i="22"/>
  <c r="B7417" i="22" l="1"/>
  <c r="A7418" i="22"/>
  <c r="B7418" i="22" l="1"/>
  <c r="A7419" i="22"/>
  <c r="A7420" i="22" l="1"/>
  <c r="B7419" i="22"/>
  <c r="B7420" i="22" l="1"/>
  <c r="A7421" i="22"/>
  <c r="B7421" i="22" l="1"/>
  <c r="A7422" i="22"/>
  <c r="B7422" i="22" l="1"/>
  <c r="A7423" i="22"/>
  <c r="A7424" i="22" l="1"/>
  <c r="B7423" i="22"/>
  <c r="A7425" i="22" l="1"/>
  <c r="B7424" i="22"/>
  <c r="B7425" i="22" l="1"/>
  <c r="A7426" i="22"/>
  <c r="B7426" i="22" l="1"/>
  <c r="A7427" i="22"/>
  <c r="A7428" i="22" l="1"/>
  <c r="B7427" i="22"/>
  <c r="A7429" i="22" l="1"/>
  <c r="B7428" i="22"/>
  <c r="B7429" i="22" l="1"/>
  <c r="A7430" i="22"/>
  <c r="A7431" i="22" l="1"/>
  <c r="B7430" i="22"/>
  <c r="A7432" i="22" l="1"/>
  <c r="B7431" i="22"/>
  <c r="B7432" i="22" l="1"/>
  <c r="A7433" i="22"/>
  <c r="B7433" i="22" l="1"/>
  <c r="A7434" i="22"/>
  <c r="B7434" i="22" l="1"/>
  <c r="A7435" i="22"/>
  <c r="A7436" i="22" l="1"/>
  <c r="B7435" i="22"/>
  <c r="B7436" i="22" l="1"/>
  <c r="A7437" i="22"/>
  <c r="B7437" i="22" l="1"/>
  <c r="A7438" i="22"/>
  <c r="A7439" i="22" l="1"/>
  <c r="B7438" i="22"/>
  <c r="A7440" i="22" l="1"/>
  <c r="B7439" i="22"/>
  <c r="B7440" i="22" l="1"/>
  <c r="A7441" i="22"/>
  <c r="B7441" i="22" l="1"/>
  <c r="A7442" i="22"/>
  <c r="A7443" i="22" l="1"/>
  <c r="B7442" i="22"/>
  <c r="A7444" i="22" l="1"/>
  <c r="B7443" i="22"/>
  <c r="A7445" i="22" l="1"/>
  <c r="B7444" i="22"/>
  <c r="B7445" i="22" l="1"/>
  <c r="A7446" i="22"/>
  <c r="B7446" i="22" l="1"/>
  <c r="A7447" i="22"/>
  <c r="A7448" i="22" l="1"/>
  <c r="B7447" i="22"/>
  <c r="B7448" i="22" l="1"/>
  <c r="A7449" i="22"/>
  <c r="B7449" i="22" l="1"/>
  <c r="A7450" i="22"/>
  <c r="B7450" i="22" l="1"/>
  <c r="A7451" i="22"/>
  <c r="A7452" i="22" l="1"/>
  <c r="B7451" i="22"/>
  <c r="B7452" i="22" l="1"/>
  <c r="A7453" i="22"/>
  <c r="B7453" i="22" l="1"/>
  <c r="A7454" i="22"/>
  <c r="B7454" i="22" l="1"/>
  <c r="A7455" i="22"/>
  <c r="A7456" i="22" l="1"/>
  <c r="B7455" i="22"/>
  <c r="A7457" i="22" l="1"/>
  <c r="B7456" i="22"/>
  <c r="B7457" i="22" l="1"/>
  <c r="A7458" i="22"/>
  <c r="B7458" i="22" l="1"/>
  <c r="A7459" i="22"/>
  <c r="A7460" i="22" l="1"/>
  <c r="B7459" i="22"/>
  <c r="A7461" i="22" l="1"/>
  <c r="B7460" i="22"/>
  <c r="B7461" i="22" l="1"/>
  <c r="A7462" i="22"/>
  <c r="A7463" i="22" l="1"/>
  <c r="B7462" i="22"/>
  <c r="A7464" i="22" l="1"/>
  <c r="B7463" i="22"/>
  <c r="B7464" i="22" l="1"/>
  <c r="A7465" i="22"/>
  <c r="B7465" i="22" l="1"/>
  <c r="A7466" i="22"/>
  <c r="B7466" i="22" l="1"/>
  <c r="A7467" i="22"/>
  <c r="A7468" i="22" l="1"/>
  <c r="B7467" i="22"/>
  <c r="B7468" i="22" l="1"/>
  <c r="A7469" i="22"/>
  <c r="B7469" i="22" l="1"/>
  <c r="A7470" i="22"/>
  <c r="A7471" i="22" l="1"/>
  <c r="B7470" i="22"/>
  <c r="A7472" i="22" l="1"/>
  <c r="B7471" i="22"/>
  <c r="A7473" i="22" l="1"/>
  <c r="B7472" i="22"/>
  <c r="B7473" i="22" l="1"/>
  <c r="A7474" i="22"/>
  <c r="A7475" i="22" l="1"/>
  <c r="B7474" i="22"/>
  <c r="A7476" i="22" l="1"/>
  <c r="B7475" i="22"/>
  <c r="A7477" i="22" l="1"/>
  <c r="B7476" i="22"/>
  <c r="B7477" i="22" l="1"/>
  <c r="A7478" i="22"/>
  <c r="B7478" i="22" l="1"/>
  <c r="A7479" i="22"/>
  <c r="A7480" i="22" l="1"/>
  <c r="B7479" i="22"/>
  <c r="B7480" i="22" l="1"/>
  <c r="A7481" i="22"/>
  <c r="B7481" i="22" l="1"/>
  <c r="A7482" i="22"/>
  <c r="B7482" i="22" l="1"/>
  <c r="A7483" i="22"/>
  <c r="A7484" i="22" l="1"/>
  <c r="B7483" i="22"/>
  <c r="B7484" i="22" l="1"/>
  <c r="A7485" i="22"/>
  <c r="B7485" i="22" l="1"/>
  <c r="A7486" i="22"/>
  <c r="B7486" i="22" l="1"/>
  <c r="A7487" i="22"/>
  <c r="A7488" i="22" l="1"/>
  <c r="B7487" i="22"/>
  <c r="A7489" i="22" l="1"/>
  <c r="B7488" i="22"/>
  <c r="B7489" i="22" l="1"/>
  <c r="A7490" i="22"/>
  <c r="B7490" i="22" l="1"/>
  <c r="A7491" i="22"/>
  <c r="A7492" i="22" l="1"/>
  <c r="B7491" i="22"/>
  <c r="A7493" i="22" l="1"/>
  <c r="B7492" i="22"/>
  <c r="B7493" i="22" l="1"/>
  <c r="A7494" i="22"/>
  <c r="A7495" i="22" l="1"/>
  <c r="B7494" i="22"/>
  <c r="A7496" i="22" l="1"/>
  <c r="B7495" i="22"/>
  <c r="B7496" i="22" l="1"/>
  <c r="A7497" i="22"/>
  <c r="B7497" i="22" l="1"/>
  <c r="A7498" i="22"/>
  <c r="B7498" i="22" l="1"/>
  <c r="A7499" i="22"/>
  <c r="A7500" i="22" l="1"/>
  <c r="B7499" i="22"/>
  <c r="B7500" i="22" l="1"/>
  <c r="A7501" i="22"/>
  <c r="B7501" i="22" l="1"/>
  <c r="A7502" i="22"/>
  <c r="B7502" i="22" l="1"/>
  <c r="A7503" i="22"/>
  <c r="A7504" i="22" l="1"/>
  <c r="B7503" i="22"/>
  <c r="B7504" i="22" l="1"/>
  <c r="A7505" i="22"/>
  <c r="B7505" i="22" l="1"/>
  <c r="A7506" i="22"/>
  <c r="A7507" i="22" l="1"/>
  <c r="B7506" i="22"/>
  <c r="A7508" i="22" l="1"/>
  <c r="B7507" i="22"/>
  <c r="B7508" i="22" l="1"/>
  <c r="A7509" i="22"/>
  <c r="A7510" i="22" l="1"/>
  <c r="B7509" i="22"/>
  <c r="A7511" i="22" l="1"/>
  <c r="B7510" i="22"/>
  <c r="B7511" i="22" l="1"/>
  <c r="A7512" i="22"/>
  <c r="A7513" i="22" l="1"/>
  <c r="B7512" i="22"/>
  <c r="B7513" i="22" l="1"/>
  <c r="A7514" i="22"/>
  <c r="A7515" i="22" l="1"/>
  <c r="B7514" i="22"/>
  <c r="A7516" i="22" l="1"/>
  <c r="B7515" i="22"/>
  <c r="B7516" i="22" l="1"/>
  <c r="A7517" i="22"/>
  <c r="A7518" i="22" l="1"/>
  <c r="B7517" i="22"/>
  <c r="A7519" i="22" l="1"/>
  <c r="B7518" i="22"/>
  <c r="B7519" i="22" l="1"/>
  <c r="A7520" i="22"/>
  <c r="B7520" i="22" l="1"/>
  <c r="A7521" i="22"/>
  <c r="B7521" i="22" l="1"/>
  <c r="A7522" i="22"/>
  <c r="B7522" i="22" l="1"/>
  <c r="A7523" i="22"/>
  <c r="A7524" i="22" l="1"/>
  <c r="B7523" i="22"/>
  <c r="B7524" i="22" l="1"/>
  <c r="A7525" i="22"/>
  <c r="B7525" i="22" l="1"/>
  <c r="A7526" i="22"/>
  <c r="A7527" i="22" l="1"/>
  <c r="B7526" i="22"/>
  <c r="B7527" i="22" l="1"/>
  <c r="A7528" i="22"/>
  <c r="B7528" i="22" l="1"/>
  <c r="A7529" i="22"/>
  <c r="B7529" i="22" l="1"/>
  <c r="A7530" i="22"/>
  <c r="B7530" i="22" l="1"/>
  <c r="A7531" i="22"/>
  <c r="A7532" i="22" l="1"/>
  <c r="B7531" i="22"/>
  <c r="A7533" i="22" l="1"/>
  <c r="B7532" i="22"/>
  <c r="A7534" i="22" l="1"/>
  <c r="B7533" i="22"/>
  <c r="B7534" i="22" l="1"/>
  <c r="A7535" i="22"/>
  <c r="A7536" i="22" l="1"/>
  <c r="B7535" i="22"/>
  <c r="A7537" i="22" l="1"/>
  <c r="B7536" i="22"/>
  <c r="B7537" i="22" l="1"/>
  <c r="A7538" i="22"/>
  <c r="A7539" i="22" l="1"/>
  <c r="B7538" i="22"/>
  <c r="A7540" i="22" l="1"/>
  <c r="B7539" i="22"/>
  <c r="A7541" i="22" l="1"/>
  <c r="B7540" i="22"/>
  <c r="A7542" i="22" l="1"/>
  <c r="B7541" i="22"/>
  <c r="B7542" i="22" l="1"/>
  <c r="A7543" i="22"/>
  <c r="B7543" i="22" l="1"/>
  <c r="A7544" i="22"/>
  <c r="A7545" i="22" l="1"/>
  <c r="B7544" i="22"/>
  <c r="B7545" i="22" l="1"/>
  <c r="A7546" i="22"/>
  <c r="B7546" i="22" l="1"/>
  <c r="A7547" i="22"/>
  <c r="A7548" i="22" l="1"/>
  <c r="B7547" i="22"/>
  <c r="B7548" i="22" l="1"/>
  <c r="A7549" i="22"/>
  <c r="A7550" i="22" l="1"/>
  <c r="B7549" i="22"/>
  <c r="B7550" i="22" l="1"/>
  <c r="A7551" i="22"/>
  <c r="B7551" i="22" l="1"/>
  <c r="A7552" i="22"/>
  <c r="A7553" i="22" l="1"/>
  <c r="B7552" i="22"/>
  <c r="B7553" i="22" l="1"/>
  <c r="A7554" i="22"/>
  <c r="B7554" i="22" l="1"/>
  <c r="A7555" i="22"/>
  <c r="A7556" i="22" l="1"/>
  <c r="B7555" i="22"/>
  <c r="A7557" i="22" l="1"/>
  <c r="B7556" i="22"/>
  <c r="B7557" i="22" l="1"/>
  <c r="A7558" i="22"/>
  <c r="A7559" i="22" l="1"/>
  <c r="B7558" i="22"/>
  <c r="B7559" i="22" l="1"/>
  <c r="A7560" i="22"/>
  <c r="B7560" i="22" l="1"/>
  <c r="A7561" i="22"/>
  <c r="B7561" i="22" l="1"/>
  <c r="A7562" i="22"/>
  <c r="A7563" i="22" l="1"/>
  <c r="B7562" i="22"/>
  <c r="A7564" i="22" l="1"/>
  <c r="B7563" i="22"/>
  <c r="A7565" i="22" l="1"/>
  <c r="B7564" i="22"/>
  <c r="B7565" i="22" l="1"/>
  <c r="A7566" i="22"/>
  <c r="B7566" i="22" l="1"/>
  <c r="A7567" i="22"/>
  <c r="A7568" i="22" l="1"/>
  <c r="B7567" i="22"/>
  <c r="A7569" i="22" l="1"/>
  <c r="B7568" i="22"/>
  <c r="B7569" i="22" l="1"/>
  <c r="A7570" i="22"/>
  <c r="A7571" i="22" l="1"/>
  <c r="B7570" i="22"/>
  <c r="A7572" i="22" l="1"/>
  <c r="B7571" i="22"/>
  <c r="B7572" i="22" l="1"/>
  <c r="A7573" i="22"/>
  <c r="A7574" i="22" l="1"/>
  <c r="B7573" i="22"/>
  <c r="A7575" i="22" l="1"/>
  <c r="B7574" i="22"/>
  <c r="A7576" i="22" l="1"/>
  <c r="B7575" i="22"/>
  <c r="A7577" i="22" l="1"/>
  <c r="B7576" i="22"/>
  <c r="B7577" i="22" l="1"/>
  <c r="A7578" i="22"/>
  <c r="A7579" i="22" l="1"/>
  <c r="B7578" i="22"/>
  <c r="A7580" i="22" l="1"/>
  <c r="B7579" i="22"/>
  <c r="B7580" i="22" l="1"/>
  <c r="A7581" i="22"/>
  <c r="B7581" i="22" l="1"/>
  <c r="A7582" i="22"/>
  <c r="A7583" i="22" l="1"/>
  <c r="B7582" i="22"/>
  <c r="B7583" i="22" l="1"/>
  <c r="A7584" i="22"/>
  <c r="A7585" i="22" l="1"/>
  <c r="B7584" i="22"/>
  <c r="B7585" i="22" l="1"/>
  <c r="A7586" i="22"/>
  <c r="B7586" i="22" l="1"/>
  <c r="A7587" i="22"/>
  <c r="A7588" i="22" l="1"/>
  <c r="B7587" i="22"/>
  <c r="B7588" i="22" l="1"/>
  <c r="A7589" i="22"/>
  <c r="B7589" i="22" l="1"/>
  <c r="A7590" i="22"/>
  <c r="A7591" i="22" l="1"/>
  <c r="B7590" i="22"/>
  <c r="B7591" i="22" l="1"/>
  <c r="A7592" i="22"/>
  <c r="B7592" i="22" l="1"/>
  <c r="A7593" i="22"/>
  <c r="B7593" i="22" l="1"/>
  <c r="A7594" i="22"/>
  <c r="A7595" i="22" l="1"/>
  <c r="B7594" i="22"/>
  <c r="A7596" i="22" l="1"/>
  <c r="B7595" i="22"/>
  <c r="A7597" i="22" l="1"/>
  <c r="B7596" i="22"/>
  <c r="A7598" i="22" l="1"/>
  <c r="B7597" i="22"/>
  <c r="B7598" i="22" l="1"/>
  <c r="A7599" i="22"/>
  <c r="A7600" i="22" l="1"/>
  <c r="B7599" i="22"/>
  <c r="B7600" i="22" l="1"/>
  <c r="A7601" i="22"/>
  <c r="B7601" i="22" l="1"/>
  <c r="A7602" i="22"/>
  <c r="A7603" i="22" l="1"/>
  <c r="B7602" i="22"/>
  <c r="A7604" i="22" l="1"/>
  <c r="B7603" i="22"/>
  <c r="B7604" i="22" l="1"/>
  <c r="A7605" i="22"/>
  <c r="A7606" i="22" l="1"/>
  <c r="B7605" i="22"/>
  <c r="B7606" i="22" l="1"/>
  <c r="A7607" i="22"/>
  <c r="B7607" i="22" l="1"/>
  <c r="A7608" i="22"/>
  <c r="A7609" i="22" l="1"/>
  <c r="B7608" i="22"/>
  <c r="B7609" i="22" l="1"/>
  <c r="A7610" i="22"/>
  <c r="A7611" i="22" l="1"/>
  <c r="B7610" i="22"/>
  <c r="A7612" i="22" l="1"/>
  <c r="B7611" i="22"/>
  <c r="B7612" i="22" l="1"/>
  <c r="A7613" i="22"/>
  <c r="A7614" i="22" l="1"/>
  <c r="B7613" i="22"/>
  <c r="B7614" i="22" l="1"/>
  <c r="A7615" i="22"/>
  <c r="B7615" i="22" l="1"/>
  <c r="A7616" i="22"/>
  <c r="B7616" i="22" l="1"/>
  <c r="A7617" i="22"/>
  <c r="B7617" i="22" l="1"/>
  <c r="A7618" i="22"/>
  <c r="B7618" i="22" l="1"/>
  <c r="A7619" i="22"/>
  <c r="A7620" i="22" l="1"/>
  <c r="B7619" i="22"/>
  <c r="A7621" i="22" l="1"/>
  <c r="B7620" i="22"/>
  <c r="B7621" i="22" l="1"/>
  <c r="A7622" i="22"/>
  <c r="A7623" i="22" l="1"/>
  <c r="B7622" i="22"/>
  <c r="B7623" i="22" l="1"/>
  <c r="A7624" i="22"/>
  <c r="B7624" i="22" l="1"/>
  <c r="A7625" i="22"/>
  <c r="B7625" i="22" l="1"/>
  <c r="A7626" i="22"/>
  <c r="B7626" i="22" l="1"/>
  <c r="A7627" i="22"/>
  <c r="A7628" i="22" l="1"/>
  <c r="B7627" i="22"/>
  <c r="A7629" i="22" l="1"/>
  <c r="B7628" i="22"/>
  <c r="B7629" i="22" l="1"/>
  <c r="A7630" i="22"/>
  <c r="B7630" i="22" l="1"/>
  <c r="A7631" i="22"/>
  <c r="A7632" i="22" l="1"/>
  <c r="B7631" i="22"/>
  <c r="B7632" i="22" l="1"/>
  <c r="A7633" i="22"/>
  <c r="B7633" i="22" l="1"/>
  <c r="A7634" i="22"/>
  <c r="A7635" i="22" l="1"/>
  <c r="B7634" i="22"/>
  <c r="A7636" i="22" l="1"/>
  <c r="B7635" i="22"/>
  <c r="A7637" i="22" l="1"/>
  <c r="B7636" i="22"/>
  <c r="A7638" i="22" l="1"/>
  <c r="B7637" i="22"/>
  <c r="B7638" i="22" l="1"/>
  <c r="A7639" i="22"/>
  <c r="A7640" i="22" l="1"/>
  <c r="B7639" i="22"/>
  <c r="A7641" i="22" l="1"/>
  <c r="B7640" i="22"/>
  <c r="B7641" i="22" l="1"/>
  <c r="A7642" i="22"/>
  <c r="B7642" i="22" l="1"/>
  <c r="A7643" i="22"/>
  <c r="A7644" i="22" l="1"/>
  <c r="B7643" i="22"/>
  <c r="B7644" i="22" l="1"/>
  <c r="A7645" i="22"/>
  <c r="B7645" i="22" l="1"/>
  <c r="A7646" i="22"/>
  <c r="B7646" i="22" l="1"/>
  <c r="A7647" i="22"/>
  <c r="B7647" i="22" l="1"/>
  <c r="A7648" i="22"/>
  <c r="A7649" i="22" l="1"/>
  <c r="B7648" i="22"/>
  <c r="B7649" i="22" l="1"/>
  <c r="A7650" i="22"/>
  <c r="B7650" i="22" l="1"/>
  <c r="A7651" i="22"/>
  <c r="A7652" i="22" l="1"/>
  <c r="B7651" i="22"/>
  <c r="A7653" i="22" l="1"/>
  <c r="B7652" i="22"/>
  <c r="B7653" i="22" l="1"/>
  <c r="A7654" i="22"/>
  <c r="A7655" i="22" l="1"/>
  <c r="B7654" i="22"/>
  <c r="A7656" i="22" l="1"/>
  <c r="B7655" i="22"/>
  <c r="B7656" i="22" l="1"/>
  <c r="A7657" i="22"/>
  <c r="B7657" i="22" l="1"/>
  <c r="A7658" i="22"/>
  <c r="B7658" i="22" l="1"/>
  <c r="A7659" i="22"/>
  <c r="A7660" i="22" l="1"/>
  <c r="B7659" i="22"/>
  <c r="A7661" i="22" l="1"/>
  <c r="B7660" i="22"/>
  <c r="B7661" i="22" l="1"/>
  <c r="A7662" i="22"/>
  <c r="B7662" i="22" l="1"/>
  <c r="A7663" i="22"/>
  <c r="A7664" i="22" l="1"/>
  <c r="B7663" i="22"/>
  <c r="B7664" i="22" l="1"/>
  <c r="A7665" i="22"/>
  <c r="B7665" i="22" l="1"/>
  <c r="A7666" i="22"/>
  <c r="A7667" i="22" l="1"/>
  <c r="B7666" i="22"/>
  <c r="A7668" i="22" l="1"/>
  <c r="B7667" i="22"/>
  <c r="B7668" i="22" l="1"/>
  <c r="A7669" i="22"/>
  <c r="A7670" i="22" l="1"/>
  <c r="B7669" i="22"/>
  <c r="A7671" i="22" l="1"/>
  <c r="B7670" i="22"/>
  <c r="B7671" i="22" l="1"/>
  <c r="A7672" i="22"/>
  <c r="A7673" i="22" l="1"/>
  <c r="B7672" i="22"/>
  <c r="B7673" i="22" l="1"/>
  <c r="A7674" i="22"/>
  <c r="A7675" i="22" l="1"/>
  <c r="B7674" i="22"/>
  <c r="A7676" i="22" l="1"/>
  <c r="B7675" i="22"/>
  <c r="B7676" i="22" l="1"/>
  <c r="A7677" i="22"/>
  <c r="B7677" i="22" l="1"/>
  <c r="A7678" i="22"/>
  <c r="A7679" i="22" l="1"/>
  <c r="B7678" i="22"/>
  <c r="B7679" i="22" l="1"/>
  <c r="A7680" i="22"/>
  <c r="B7680" i="22" l="1"/>
  <c r="A7681" i="22"/>
  <c r="B7681" i="22" l="1"/>
  <c r="A7682" i="22"/>
  <c r="B7682" i="22" l="1"/>
  <c r="A7683" i="22"/>
  <c r="A7684" i="22" l="1"/>
  <c r="B7683" i="22"/>
  <c r="A7685" i="22" l="1"/>
  <c r="B7684" i="22"/>
  <c r="B7685" i="22" l="1"/>
  <c r="A7686" i="22"/>
  <c r="A7687" i="22" l="1"/>
  <c r="B7686" i="22"/>
  <c r="B7687" i="22" l="1"/>
  <c r="A7688" i="22"/>
  <c r="B7688" i="22" l="1"/>
  <c r="A7689" i="22"/>
  <c r="B7689" i="22" l="1"/>
  <c r="A7690" i="22"/>
  <c r="A7691" i="22" l="1"/>
  <c r="B7690" i="22"/>
  <c r="B7691" i="22" l="1"/>
  <c r="A7692" i="22"/>
  <c r="B7692" i="22" l="1"/>
  <c r="A7693" i="22"/>
  <c r="A7694" i="22" l="1"/>
  <c r="B7693" i="22"/>
  <c r="B7694" i="22" l="1"/>
  <c r="A7695" i="22"/>
  <c r="B7695" i="22" l="1"/>
  <c r="A7696" i="22"/>
  <c r="B7696" i="22" l="1"/>
  <c r="A7697" i="22"/>
  <c r="A7698" i="22" l="1"/>
  <c r="B7697" i="22"/>
  <c r="B7698" i="22" l="1"/>
  <c r="A7699" i="22"/>
  <c r="B7699" i="22" l="1"/>
  <c r="A7700" i="22"/>
  <c r="B7700" i="22" l="1"/>
  <c r="A7701" i="22"/>
  <c r="A7702" i="22" l="1"/>
  <c r="B7701" i="22"/>
  <c r="A7703" i="22" l="1"/>
  <c r="B7702" i="22"/>
  <c r="B7703" i="22" l="1"/>
  <c r="A7704" i="22"/>
  <c r="B7704" i="22" l="1"/>
  <c r="A7705" i="22"/>
  <c r="A7706" i="22" l="1"/>
  <c r="B7705" i="22"/>
  <c r="A7707" i="22" l="1"/>
  <c r="B7706" i="22"/>
  <c r="B7707" i="22" l="1"/>
  <c r="A7708" i="22"/>
  <c r="A7709" i="22" l="1"/>
  <c r="B7708" i="22"/>
  <c r="A7710" i="22" l="1"/>
  <c r="B7709" i="22"/>
  <c r="B7710" i="22" l="1"/>
  <c r="A7711" i="22"/>
  <c r="B7711" i="22" l="1"/>
  <c r="A7712" i="22"/>
  <c r="B7712" i="22" l="1"/>
  <c r="A7713" i="22"/>
  <c r="A7714" i="22" l="1"/>
  <c r="B7713" i="22"/>
  <c r="B7714" i="22" l="1"/>
  <c r="A7715" i="22"/>
  <c r="B7715" i="22" l="1"/>
  <c r="A7716" i="22"/>
  <c r="B7716" i="22" l="1"/>
  <c r="A7717" i="22"/>
  <c r="A7718" i="22" l="1"/>
  <c r="B7717" i="22"/>
  <c r="B7718" i="22" l="1"/>
  <c r="A7719" i="22"/>
  <c r="B7719" i="22" l="1"/>
  <c r="A7720" i="22"/>
  <c r="A7721" i="22" l="1"/>
  <c r="B7720" i="22"/>
  <c r="A7722" i="22" l="1"/>
  <c r="B7721" i="22"/>
  <c r="A7723" i="22" l="1"/>
  <c r="B7722" i="22"/>
  <c r="B7723" i="22" l="1"/>
  <c r="A7724" i="22"/>
  <c r="B7724" i="22" l="1"/>
  <c r="A7725" i="22"/>
  <c r="A7726" i="22" l="1"/>
  <c r="B7725" i="22"/>
  <c r="B7726" i="22" l="1"/>
  <c r="A7727" i="22"/>
  <c r="B7727" i="22" l="1"/>
  <c r="A7728" i="22"/>
  <c r="B7728" i="22" l="1"/>
  <c r="A7729" i="22"/>
  <c r="A7730" i="22" l="1"/>
  <c r="B7729" i="22"/>
  <c r="B7730" i="22" l="1"/>
  <c r="A7731" i="22"/>
  <c r="B7731" i="22" l="1"/>
  <c r="A7732" i="22"/>
  <c r="B7732" i="22" l="1"/>
  <c r="A7733" i="22"/>
  <c r="A7734" i="22" l="1"/>
  <c r="B7733" i="22"/>
  <c r="A7735" i="22" l="1"/>
  <c r="B7734" i="22"/>
  <c r="B7735" i="22" l="1"/>
  <c r="A7736" i="22"/>
  <c r="B7736" i="22" l="1"/>
  <c r="A7737" i="22"/>
  <c r="A7738" i="22" l="1"/>
  <c r="B7737" i="22"/>
  <c r="A7739" i="22" l="1"/>
  <c r="B7738" i="22"/>
  <c r="B7739" i="22" l="1"/>
  <c r="A7740" i="22"/>
  <c r="A7741" i="22" l="1"/>
  <c r="B7740" i="22"/>
  <c r="A7742" i="22" l="1"/>
  <c r="B7741" i="22"/>
  <c r="B7742" i="22" l="1"/>
  <c r="A7743" i="22"/>
  <c r="B7743" i="22" l="1"/>
  <c r="A7744" i="22"/>
  <c r="B7744" i="22" l="1"/>
  <c r="A7745" i="22"/>
  <c r="A7746" i="22" l="1"/>
  <c r="B7745" i="22"/>
  <c r="B7746" i="22" l="1"/>
  <c r="A7747" i="22"/>
  <c r="B7747" i="22" l="1"/>
  <c r="A7748" i="22"/>
  <c r="A7749" i="22" l="1"/>
  <c r="B7748" i="22"/>
  <c r="A7750" i="22" l="1"/>
  <c r="B7749" i="22"/>
  <c r="B7750" i="22" l="1"/>
  <c r="A7751" i="22"/>
  <c r="B7751" i="22" l="1"/>
  <c r="A7752" i="22"/>
  <c r="A7753" i="22" l="1"/>
  <c r="B7752" i="22"/>
  <c r="A7754" i="22" l="1"/>
  <c r="B7753" i="22"/>
  <c r="A7755" i="22" l="1"/>
  <c r="B7754" i="22"/>
  <c r="B7755" i="22" l="1"/>
  <c r="A7756" i="22"/>
  <c r="B7756" i="22" l="1"/>
  <c r="A7757" i="22"/>
  <c r="A7758" i="22" l="1"/>
  <c r="B7757" i="22"/>
  <c r="B7758" i="22" l="1"/>
  <c r="A7759" i="22"/>
  <c r="B7759" i="22" l="1"/>
  <c r="A7760" i="22"/>
  <c r="B7760" i="22" l="1"/>
  <c r="A7761" i="22"/>
  <c r="A7762" i="22" l="1"/>
  <c r="B7761" i="22"/>
  <c r="B7762" i="22" l="1"/>
  <c r="A7763" i="22"/>
  <c r="B7763" i="22" l="1"/>
  <c r="A7764" i="22"/>
  <c r="B7764" i="22" l="1"/>
  <c r="A7765" i="22"/>
  <c r="A7766" i="22" l="1"/>
  <c r="B7765" i="22"/>
  <c r="B7766" i="22" l="1"/>
  <c r="A7767" i="22"/>
  <c r="B7767" i="22" l="1"/>
  <c r="A7768" i="22"/>
  <c r="B7768" i="22" l="1"/>
  <c r="A7769" i="22"/>
  <c r="A7770" i="22" l="1"/>
  <c r="B7769" i="22"/>
  <c r="B7770" i="22" l="1"/>
  <c r="A7771" i="22"/>
  <c r="B7771" i="22" l="1"/>
  <c r="A7772" i="22"/>
  <c r="A7773" i="22" l="1"/>
  <c r="B7772" i="22"/>
  <c r="A7774" i="22" l="1"/>
  <c r="B7773" i="22"/>
  <c r="B7774" i="22" l="1"/>
  <c r="A7775" i="22"/>
  <c r="B7775" i="22" l="1"/>
  <c r="A7776" i="22"/>
  <c r="B7776" i="22" l="1"/>
  <c r="A7777" i="22"/>
  <c r="A7778" i="22" l="1"/>
  <c r="B7777" i="22"/>
  <c r="B7778" i="22" l="1"/>
  <c r="A7779" i="22"/>
  <c r="B7779" i="22" l="1"/>
  <c r="A7780" i="22"/>
  <c r="B7780" i="22" l="1"/>
  <c r="A7781" i="22"/>
  <c r="A7782" i="22" l="1"/>
  <c r="B7781" i="22"/>
  <c r="B7782" i="22" l="1"/>
  <c r="A7783" i="22"/>
  <c r="B7783" i="22" l="1"/>
  <c r="A7784" i="22"/>
  <c r="B7784" i="22" l="1"/>
  <c r="A7785" i="22"/>
  <c r="B7785" i="22" l="1"/>
  <c r="A7786" i="22"/>
  <c r="B7786" i="22" l="1"/>
  <c r="A7787" i="22"/>
  <c r="B7787" i="22" l="1"/>
  <c r="A7788" i="22"/>
  <c r="B7788" i="22" l="1"/>
  <c r="A7789" i="22"/>
  <c r="A7790" i="22" l="1"/>
  <c r="B7789" i="22"/>
  <c r="A7791" i="22" l="1"/>
  <c r="B7790" i="22"/>
  <c r="B7791" i="22" l="1"/>
  <c r="A7792" i="22"/>
  <c r="B7792" i="22" l="1"/>
  <c r="A7793" i="22"/>
  <c r="A7794" i="22" l="1"/>
  <c r="B7793" i="22"/>
  <c r="A7795" i="22" l="1"/>
  <c r="B7794" i="22"/>
  <c r="A7796" i="22" l="1"/>
  <c r="B7795" i="22"/>
  <c r="A7797" i="22" l="1"/>
  <c r="B7796" i="22"/>
  <c r="B7797" i="22" l="1"/>
  <c r="A7798" i="22"/>
  <c r="A7799" i="22" l="1"/>
  <c r="B7798" i="22"/>
  <c r="A7800" i="22" l="1"/>
  <c r="B7799" i="22"/>
  <c r="B7800" i="22" l="1"/>
  <c r="A7801" i="22"/>
  <c r="A7802" i="22" l="1"/>
  <c r="B7801" i="22"/>
  <c r="A7803" i="22" l="1"/>
  <c r="B7802" i="22"/>
  <c r="B7803" i="22" l="1"/>
  <c r="A7804" i="22"/>
  <c r="A7805" i="22" l="1"/>
  <c r="B7804" i="22"/>
  <c r="A7806" i="22" l="1"/>
  <c r="B7805" i="22"/>
  <c r="B7806" i="22" l="1"/>
  <c r="A7807" i="22"/>
  <c r="A7808" i="22" l="1"/>
  <c r="B7807" i="22"/>
  <c r="B7808" i="22" l="1"/>
  <c r="A7809" i="22"/>
  <c r="B7809" i="22" l="1"/>
  <c r="A7810" i="22"/>
  <c r="A7811" i="22" l="1"/>
  <c r="B7810" i="22"/>
  <c r="B7811" i="22" l="1"/>
  <c r="A7812" i="22"/>
  <c r="B7812" i="22" l="1"/>
  <c r="A7813" i="22"/>
  <c r="B7813" i="22" l="1"/>
  <c r="A7814" i="22"/>
  <c r="B7814" i="22" l="1"/>
  <c r="A7815" i="22"/>
  <c r="B7815" i="22" l="1"/>
  <c r="A7816" i="22"/>
  <c r="B7816" i="22" l="1"/>
  <c r="A7817" i="22"/>
  <c r="B7817" i="22" l="1"/>
  <c r="A7818" i="22"/>
  <c r="A7819" i="22" l="1"/>
  <c r="B7818" i="22"/>
  <c r="B7819" i="22" l="1"/>
  <c r="A7820" i="22"/>
  <c r="B7820" i="22" l="1"/>
  <c r="A7821" i="22"/>
  <c r="B7821" i="22" l="1"/>
  <c r="A7822" i="22"/>
  <c r="B7822" i="22" l="1"/>
  <c r="A7823" i="22"/>
  <c r="B7823" i="22" l="1"/>
  <c r="A7824" i="22"/>
  <c r="B7824" i="22" l="1"/>
  <c r="A7825" i="22"/>
  <c r="B7825" i="22" l="1"/>
  <c r="A7826" i="22"/>
  <c r="A7827" i="22" l="1"/>
  <c r="B7826" i="22"/>
  <c r="A7828" i="22" l="1"/>
  <c r="B7827" i="22"/>
  <c r="B7828" i="22" l="1"/>
  <c r="A7829" i="22"/>
  <c r="B7829" i="22" l="1"/>
  <c r="A7830" i="22"/>
  <c r="A7831" i="22" l="1"/>
  <c r="B7830" i="22"/>
  <c r="B7831" i="22" l="1"/>
  <c r="A7832" i="22"/>
  <c r="B7832" i="22" l="1"/>
  <c r="A7833" i="22"/>
  <c r="A7834" i="22" l="1"/>
  <c r="B7833" i="22"/>
  <c r="A7835" i="22" l="1"/>
  <c r="B7834" i="22"/>
  <c r="B7835" i="22" l="1"/>
  <c r="A7836" i="22"/>
  <c r="A7837" i="22" l="1"/>
  <c r="B7836" i="22"/>
  <c r="B7837" i="22" l="1"/>
  <c r="A7838" i="22"/>
  <c r="B7838" i="22" l="1"/>
  <c r="A7839" i="22"/>
  <c r="A7840" i="22" l="1"/>
  <c r="B7839" i="22"/>
  <c r="B7840" i="22" l="1"/>
  <c r="A7841" i="22"/>
  <c r="B7841" i="22" l="1"/>
  <c r="A7842" i="22"/>
  <c r="A7843" i="22" l="1"/>
  <c r="B7842" i="22"/>
  <c r="B7843" i="22" l="1"/>
  <c r="A7844" i="22"/>
  <c r="B7844" i="22" l="1"/>
  <c r="A7845" i="22"/>
  <c r="A7846" i="22" l="1"/>
  <c r="B7845" i="22"/>
  <c r="B7846" i="22" l="1"/>
  <c r="A7847" i="22"/>
  <c r="B7847" i="22" l="1"/>
  <c r="A7848" i="22"/>
  <c r="B7848" i="22" l="1"/>
  <c r="A7849" i="22"/>
  <c r="B7849" i="22" l="1"/>
  <c r="A7850" i="22"/>
  <c r="A7851" i="22" l="1"/>
  <c r="B7850" i="22"/>
  <c r="A7852" i="22" l="1"/>
  <c r="B7851" i="22"/>
  <c r="B7852" i="22" l="1"/>
  <c r="A7853" i="22"/>
  <c r="A7854" i="22" l="1"/>
  <c r="B7853" i="22"/>
  <c r="A7855" i="22" l="1"/>
  <c r="B7854" i="22"/>
  <c r="B7855" i="22" l="1"/>
  <c r="A7856" i="22"/>
  <c r="B7856" i="22" l="1"/>
  <c r="A7857" i="22"/>
  <c r="A7858" i="22" l="1"/>
  <c r="B7857" i="22"/>
  <c r="B7858" i="22" l="1"/>
  <c r="A7859" i="22"/>
  <c r="B7859" i="22" l="1"/>
  <c r="A7860" i="22"/>
  <c r="A7861" i="22" l="1"/>
  <c r="B7860" i="22"/>
  <c r="B7861" i="22" l="1"/>
  <c r="A7862" i="22"/>
  <c r="B7862" i="22" l="1"/>
  <c r="A7863" i="22"/>
  <c r="B7863" i="22" l="1"/>
  <c r="A7864" i="22"/>
  <c r="A7865" i="22" l="1"/>
  <c r="B7864" i="22"/>
  <c r="A7866" i="22" l="1"/>
  <c r="B7865" i="22"/>
  <c r="B7866" i="22" l="1"/>
  <c r="A7867" i="22"/>
  <c r="B7867" i="22" l="1"/>
  <c r="A7868" i="22"/>
  <c r="A7869" i="22" l="1"/>
  <c r="B7868" i="22"/>
  <c r="B7869" i="22" l="1"/>
  <c r="A7870" i="22"/>
  <c r="B7870" i="22" l="1"/>
  <c r="A7871" i="22"/>
  <c r="B7871" i="22" l="1"/>
  <c r="A7872" i="22"/>
  <c r="A7873" i="22" l="1"/>
  <c r="B7872" i="22"/>
  <c r="A7874" i="22" l="1"/>
  <c r="B7873" i="22"/>
  <c r="B7874" i="22" l="1"/>
  <c r="A7875" i="22"/>
  <c r="B7875" i="22" l="1"/>
  <c r="A7876" i="22"/>
  <c r="A7877" i="22" l="1"/>
  <c r="B7876" i="22"/>
  <c r="B7877" i="22" l="1"/>
  <c r="A7878" i="22"/>
  <c r="B7878" i="22" l="1"/>
  <c r="A7879" i="22"/>
  <c r="B7879" i="22" l="1"/>
  <c r="A7880" i="22"/>
  <c r="A7881" i="22" l="1"/>
  <c r="B7880" i="22"/>
  <c r="A7882" i="22" l="1"/>
  <c r="B7881" i="22"/>
  <c r="B7882" i="22" l="1"/>
  <c r="A7883" i="22"/>
  <c r="B7883" i="22" l="1"/>
  <c r="A7884" i="22"/>
  <c r="A7885" i="22" l="1"/>
  <c r="B7884" i="22"/>
  <c r="B7885" i="22" l="1"/>
  <c r="A7886" i="22"/>
  <c r="B7886" i="22" l="1"/>
  <c r="A7887" i="22"/>
  <c r="B7887" i="22" l="1"/>
  <c r="A7888" i="22"/>
  <c r="A7889" i="22" l="1"/>
  <c r="B7888" i="22"/>
  <c r="A7890" i="22" l="1"/>
  <c r="B7889" i="22"/>
  <c r="B7890" i="22" l="1"/>
  <c r="A7891" i="22"/>
  <c r="B7891" i="22" l="1"/>
  <c r="A7892" i="22"/>
  <c r="A7893" i="22" l="1"/>
  <c r="B7892" i="22"/>
  <c r="B7893" i="22" l="1"/>
  <c r="A7894" i="22"/>
  <c r="B7894" i="22" l="1"/>
  <c r="A7895" i="22"/>
  <c r="B7895" i="22" l="1"/>
  <c r="A7896" i="22"/>
  <c r="A7897" i="22" l="1"/>
  <c r="B7896" i="22"/>
  <c r="A7898" i="22" l="1"/>
  <c r="B7897" i="22"/>
  <c r="B7898" i="22" l="1"/>
  <c r="A7899" i="22"/>
  <c r="B7899" i="22" l="1"/>
  <c r="A7900" i="22"/>
  <c r="A7901" i="22" l="1"/>
  <c r="B7900" i="22"/>
  <c r="B7901" i="22" l="1"/>
  <c r="A7902" i="22"/>
  <c r="B7902" i="22" l="1"/>
  <c r="A7903" i="22"/>
  <c r="B7903" i="22" l="1"/>
  <c r="A7904" i="22"/>
  <c r="B7904" i="22" l="1"/>
  <c r="A7905" i="22"/>
  <c r="A7906" i="22" l="1"/>
  <c r="B7905" i="22"/>
  <c r="B7906" i="22" l="1"/>
  <c r="A7907" i="22"/>
  <c r="A7908" i="22" l="1"/>
  <c r="B7907" i="22"/>
  <c r="A7909" i="22" l="1"/>
  <c r="B7908" i="22"/>
  <c r="B7909" i="22" l="1"/>
  <c r="A7910" i="22"/>
  <c r="A7911" i="22" l="1"/>
  <c r="B7910" i="22"/>
  <c r="B7911" i="22" l="1"/>
  <c r="A7912" i="22"/>
  <c r="A7913" i="22" l="1"/>
  <c r="B7912" i="22"/>
  <c r="A7914" i="22" l="1"/>
  <c r="B7913" i="22"/>
  <c r="B7914" i="22" l="1"/>
  <c r="A7915" i="22"/>
  <c r="B7915" i="22" l="1"/>
  <c r="A7916" i="22"/>
  <c r="A7917" i="22" l="1"/>
  <c r="B7916" i="22"/>
  <c r="B7917" i="22" l="1"/>
  <c r="A7918" i="22"/>
  <c r="A7919" i="22" l="1"/>
  <c r="B7918" i="22"/>
  <c r="B7919" i="22" l="1"/>
  <c r="A7920" i="22"/>
  <c r="A7921" i="22" l="1"/>
  <c r="B7920" i="22"/>
  <c r="A7922" i="22" l="1"/>
  <c r="B7921" i="22"/>
  <c r="B7922" i="22" l="1"/>
  <c r="A7923" i="22"/>
  <c r="B7923" i="22" l="1"/>
  <c r="A7924" i="22"/>
  <c r="A7925" i="22" l="1"/>
  <c r="B7924" i="22"/>
  <c r="B7925" i="22" l="1"/>
  <c r="A7926" i="22"/>
  <c r="B7926" i="22" l="1"/>
  <c r="A7927" i="22"/>
  <c r="B7927" i="22" l="1"/>
  <c r="A7928" i="22"/>
  <c r="B7928" i="22" l="1"/>
  <c r="A7929" i="22"/>
  <c r="A7930" i="22" l="1"/>
  <c r="B7929" i="22"/>
  <c r="B7930" i="22" l="1"/>
  <c r="A7931" i="22"/>
  <c r="A7932" i="22" l="1"/>
  <c r="B7931" i="22"/>
  <c r="A7933" i="22" l="1"/>
  <c r="B7932" i="22"/>
  <c r="B7933" i="22" l="1"/>
  <c r="A7934" i="22"/>
  <c r="B7934" i="22" l="1"/>
  <c r="A7935" i="22"/>
  <c r="B7935" i="22" l="1"/>
  <c r="A7936" i="22"/>
  <c r="A7937" i="22" l="1"/>
  <c r="B7936" i="22"/>
  <c r="A7938" i="22" l="1"/>
  <c r="B7937" i="22"/>
  <c r="B7938" i="22" l="1"/>
  <c r="A7939" i="22"/>
  <c r="B7939" i="22" l="1"/>
  <c r="A7940" i="22"/>
  <c r="A7941" i="22" l="1"/>
  <c r="B7940" i="22"/>
  <c r="B7941" i="22" l="1"/>
  <c r="A7942" i="22"/>
  <c r="B7942" i="22" l="1"/>
  <c r="A7943" i="22"/>
  <c r="B7943" i="22" l="1"/>
  <c r="A7944" i="22"/>
  <c r="A7945" i="22" l="1"/>
  <c r="B7944" i="22"/>
  <c r="A7946" i="22" l="1"/>
  <c r="B7945" i="22"/>
  <c r="B7946" i="22" l="1"/>
  <c r="A7947" i="22"/>
  <c r="B7947" i="22" l="1"/>
  <c r="A7948" i="22"/>
  <c r="A7949" i="22" l="1"/>
  <c r="B7948" i="22"/>
  <c r="B7949" i="22" l="1"/>
  <c r="A7950" i="22"/>
  <c r="A7951" i="22" l="1"/>
  <c r="B7950" i="22"/>
  <c r="B7951" i="22" l="1"/>
  <c r="A7952" i="22"/>
  <c r="B7952" i="22" l="1"/>
  <c r="A7953" i="22"/>
  <c r="A7954" i="22" l="1"/>
  <c r="B7953" i="22"/>
  <c r="B7954" i="22" l="1"/>
  <c r="A7955" i="22"/>
  <c r="B7955" i="22" l="1"/>
  <c r="A7956" i="22"/>
  <c r="A7957" i="22" l="1"/>
  <c r="B7956" i="22"/>
  <c r="B7957" i="22" l="1"/>
  <c r="A7958" i="22"/>
  <c r="A7959" i="22" l="1"/>
  <c r="B7958" i="22"/>
  <c r="B7959" i="22" l="1"/>
  <c r="A7960" i="22"/>
  <c r="B7960" i="22" l="1"/>
  <c r="A7961" i="22"/>
  <c r="A7962" i="22" l="1"/>
  <c r="B7961" i="22"/>
  <c r="B7962" i="22" l="1"/>
  <c r="A7963" i="22"/>
  <c r="A7964" i="22" l="1"/>
  <c r="B7963" i="22"/>
  <c r="A7965" i="22" l="1"/>
  <c r="B7964" i="22"/>
  <c r="B7965" i="22" l="1"/>
  <c r="A7966" i="22"/>
  <c r="B7966" i="22" l="1"/>
  <c r="A7967" i="22"/>
  <c r="B7967" i="22" l="1"/>
  <c r="A7968" i="22"/>
  <c r="B7968" i="22" l="1"/>
  <c r="A7969" i="22"/>
  <c r="A7970" i="22" l="1"/>
  <c r="B7969" i="22"/>
  <c r="B7970" i="22" l="1"/>
  <c r="A7971" i="22"/>
  <c r="A7972" i="22" l="1"/>
  <c r="B7971" i="22"/>
  <c r="A7973" i="22" l="1"/>
  <c r="B7972" i="22"/>
  <c r="B7973" i="22" l="1"/>
  <c r="A7974" i="22"/>
  <c r="B7974" i="22" l="1"/>
  <c r="A7975" i="22"/>
  <c r="B7975" i="22" l="1"/>
  <c r="A7976" i="22"/>
  <c r="A7977" i="22" l="1"/>
  <c r="B7976" i="22"/>
  <c r="A7978" i="22" l="1"/>
  <c r="B7977" i="22"/>
  <c r="B7978" i="22" l="1"/>
  <c r="A7979" i="22"/>
  <c r="B7979" i="22" l="1"/>
  <c r="A7980" i="22"/>
  <c r="A7981" i="22" l="1"/>
  <c r="B7980" i="22"/>
  <c r="B7981" i="22" l="1"/>
  <c r="A7982" i="22"/>
  <c r="A7983" i="22" l="1"/>
  <c r="B7982" i="22"/>
  <c r="B7983" i="22" l="1"/>
  <c r="A7984" i="22"/>
  <c r="A7985" i="22" l="1"/>
  <c r="B7984" i="22"/>
  <c r="A7986" i="22" l="1"/>
  <c r="B7985" i="22"/>
  <c r="B7986" i="22" l="1"/>
  <c r="A7987" i="22"/>
  <c r="A7988" i="22" l="1"/>
  <c r="B7987" i="22"/>
  <c r="A7989" i="22" l="1"/>
  <c r="B7988" i="22"/>
  <c r="B7989" i="22" l="1"/>
  <c r="A7990" i="22"/>
  <c r="B7990" i="22" l="1"/>
  <c r="A7991" i="22"/>
  <c r="B7991" i="22" l="1"/>
  <c r="A7992" i="22"/>
  <c r="B7992" i="22" l="1"/>
  <c r="A7993" i="22"/>
  <c r="A7994" i="22" l="1"/>
  <c r="B7993" i="22"/>
  <c r="B7994" i="22" l="1"/>
  <c r="A7995" i="22"/>
  <c r="A7996" i="22" l="1"/>
  <c r="B7995" i="22"/>
  <c r="A7997" i="22" l="1"/>
  <c r="B7996" i="22"/>
  <c r="B7997" i="22" l="1"/>
  <c r="A7998" i="22"/>
  <c r="B7998" i="22" l="1"/>
  <c r="A7999" i="22"/>
  <c r="B7999" i="22" l="1"/>
  <c r="A8000" i="22"/>
  <c r="B8000" i="22" l="1"/>
  <c r="A8001" i="22"/>
  <c r="A8002" i="22" l="1"/>
  <c r="B8001" i="22"/>
  <c r="B8002" i="22" l="1"/>
  <c r="A8003" i="22"/>
  <c r="B8003" i="22" l="1"/>
  <c r="A8004" i="22"/>
  <c r="A8005" i="22" l="1"/>
  <c r="B8004" i="22"/>
  <c r="B8005" i="22" l="1"/>
  <c r="A8006" i="22"/>
  <c r="B8006" i="22" l="1"/>
  <c r="A8007" i="22"/>
  <c r="B8007" i="22" l="1"/>
  <c r="A8008" i="22"/>
  <c r="A8009" i="22" l="1"/>
  <c r="B8008" i="22"/>
  <c r="A8010" i="22" l="1"/>
  <c r="B8009" i="22"/>
  <c r="B8010" i="22" l="1"/>
  <c r="A8011" i="22"/>
  <c r="B8011" i="22" l="1"/>
  <c r="A8012" i="22"/>
  <c r="A8013" i="22" l="1"/>
  <c r="B8012" i="22"/>
  <c r="B8013" i="22" l="1"/>
  <c r="A8014" i="22"/>
  <c r="A8015" i="22" l="1"/>
  <c r="B8014" i="22"/>
  <c r="B8015" i="22" l="1"/>
  <c r="A8016" i="22"/>
  <c r="B8016" i="22" l="1"/>
  <c r="A8017" i="22"/>
  <c r="A8018" i="22" l="1"/>
  <c r="B8017" i="22"/>
  <c r="B8018" i="22" l="1"/>
  <c r="A8019" i="22"/>
  <c r="B8019" i="22" l="1"/>
  <c r="A8020" i="22"/>
  <c r="A8021" i="22" l="1"/>
  <c r="B8020" i="22"/>
  <c r="B8021" i="22" l="1"/>
  <c r="A8022" i="22"/>
  <c r="A8023" i="22" l="1"/>
  <c r="B8022" i="22"/>
  <c r="B8023" i="22" l="1"/>
  <c r="A8024" i="22"/>
  <c r="B8024" i="22" l="1"/>
  <c r="A8025" i="22"/>
  <c r="A8026" i="22" l="1"/>
  <c r="B8025" i="22"/>
  <c r="B8026" i="22" l="1"/>
  <c r="A8027" i="22"/>
  <c r="A8028" i="22" l="1"/>
  <c r="B8027" i="22"/>
  <c r="A8029" i="22" l="1"/>
  <c r="B8028" i="22"/>
  <c r="B8029" i="22" l="1"/>
  <c r="A8030" i="22"/>
  <c r="B8030" i="22" l="1"/>
  <c r="A8031" i="22"/>
  <c r="B8031" i="22" l="1"/>
  <c r="A8032" i="22"/>
  <c r="B8032" i="22" l="1"/>
  <c r="A8033" i="22"/>
  <c r="A8034" i="22" l="1"/>
  <c r="B8033" i="22"/>
  <c r="B8034" i="22" l="1"/>
  <c r="A8035" i="22"/>
  <c r="A8036" i="22" l="1"/>
  <c r="B8035" i="22"/>
  <c r="A8037" i="22" l="1"/>
  <c r="B8036" i="22"/>
  <c r="B8037" i="22" l="1"/>
  <c r="A8038" i="22"/>
  <c r="A8039" i="22" l="1"/>
  <c r="B8038" i="22"/>
  <c r="A8040" i="22" l="1"/>
  <c r="B8039" i="22"/>
  <c r="B8040" i="22" l="1"/>
  <c r="A8041" i="22"/>
  <c r="A8042" i="22" l="1"/>
  <c r="B8041" i="22"/>
  <c r="B8042" i="22" l="1"/>
  <c r="A8043" i="22"/>
  <c r="A8044" i="22" l="1"/>
  <c r="B8043" i="22"/>
  <c r="B8044" i="22" l="1"/>
  <c r="A8045" i="22"/>
  <c r="A8046" i="22" l="1"/>
  <c r="B8045" i="22"/>
  <c r="A8047" i="22" l="1"/>
  <c r="B8046" i="22"/>
  <c r="A8048" i="22" l="1"/>
  <c r="B8047" i="22"/>
  <c r="B8048" i="22" l="1"/>
  <c r="A8049" i="22"/>
  <c r="B8049" i="22" l="1"/>
  <c r="A8050" i="22"/>
  <c r="B8050" i="22" l="1"/>
  <c r="A8051" i="22"/>
  <c r="A8052" i="22" l="1"/>
  <c r="B8051" i="22"/>
  <c r="B8052" i="22" l="1"/>
  <c r="A8053" i="22"/>
  <c r="B8053" i="22" l="1"/>
  <c r="A8054" i="22"/>
  <c r="B8054" i="22" l="1"/>
  <c r="A8055" i="22"/>
  <c r="A8056" i="22" l="1"/>
  <c r="B8055" i="22"/>
  <c r="B8056" i="22" l="1"/>
  <c r="A8057" i="22"/>
  <c r="B8057" i="22" l="1"/>
  <c r="A8058" i="22"/>
  <c r="B8058" i="22" l="1"/>
  <c r="A8059" i="22"/>
  <c r="A8060" i="22" l="1"/>
  <c r="B8059" i="22"/>
  <c r="B8060" i="22" l="1"/>
  <c r="A8061" i="22"/>
  <c r="B8061" i="22" l="1"/>
  <c r="A8062" i="22"/>
  <c r="B8062" i="22" l="1"/>
  <c r="A8063" i="22"/>
  <c r="A8064" i="22" l="1"/>
  <c r="B8063" i="22"/>
  <c r="B8064" i="22" l="1"/>
  <c r="A8065" i="22"/>
  <c r="B8065" i="22" l="1"/>
  <c r="A8066" i="22"/>
  <c r="A8067" i="22" l="1"/>
  <c r="B8066" i="22"/>
  <c r="A8068" i="22" l="1"/>
  <c r="B8067" i="22"/>
  <c r="B8068" i="22" l="1"/>
  <c r="A8069" i="22"/>
  <c r="B8069" i="22" l="1"/>
  <c r="A8070" i="22"/>
  <c r="A8071" i="22" l="1"/>
  <c r="B8070" i="22"/>
  <c r="A8072" i="22" l="1"/>
  <c r="B8071" i="22"/>
  <c r="B8072" i="22" l="1"/>
  <c r="A8073" i="22"/>
  <c r="A8074" i="22" l="1"/>
  <c r="B8073" i="22"/>
  <c r="B8074" i="22" l="1"/>
  <c r="A8075" i="22"/>
  <c r="A8076" i="22" l="1"/>
  <c r="B8075" i="22"/>
  <c r="B8076" i="22" l="1"/>
  <c r="A8077" i="22"/>
  <c r="A8078" i="22" l="1"/>
  <c r="B8077" i="22"/>
  <c r="B8078" i="22" l="1"/>
  <c r="A8079" i="22"/>
  <c r="A8080" i="22" l="1"/>
  <c r="B8079" i="22"/>
  <c r="B8080" i="22" l="1"/>
  <c r="A8081" i="22"/>
  <c r="B8081" i="22" l="1"/>
  <c r="A8082" i="22"/>
  <c r="B8082" i="22" l="1"/>
  <c r="A8083" i="22"/>
  <c r="A8084" i="22" l="1"/>
  <c r="B8083" i="22"/>
  <c r="B8084" i="22" l="1"/>
  <c r="A8085" i="22"/>
  <c r="A8086" i="22" l="1"/>
  <c r="B8085" i="22"/>
  <c r="B8086" i="22" l="1"/>
  <c r="A8087" i="22"/>
  <c r="A8088" i="22" l="1"/>
  <c r="B8087" i="22"/>
  <c r="B8088" i="22" l="1"/>
  <c r="A8089" i="22"/>
  <c r="B8089" i="22" l="1"/>
  <c r="A8090" i="22"/>
  <c r="B8090" i="22" l="1"/>
  <c r="A8091" i="22"/>
  <c r="A8092" i="22" l="1"/>
  <c r="B8091" i="22"/>
  <c r="B8092" i="22" l="1"/>
  <c r="A8093" i="22"/>
  <c r="B8093" i="22" l="1"/>
  <c r="A8094" i="22"/>
  <c r="B8094" i="22" l="1"/>
  <c r="A8095" i="22"/>
  <c r="A8096" i="22" l="1"/>
  <c r="B8095" i="22"/>
  <c r="B8096" i="22" l="1"/>
  <c r="A8097" i="22"/>
  <c r="B8097" i="22" l="1"/>
  <c r="A8098" i="22"/>
  <c r="A8099" i="22" l="1"/>
  <c r="B8098" i="22"/>
  <c r="A8100" i="22" l="1"/>
  <c r="B8099" i="22"/>
  <c r="B8100" i="22" l="1"/>
  <c r="A8101" i="22"/>
  <c r="B8101" i="22" l="1"/>
  <c r="A8102" i="22"/>
  <c r="A8103" i="22" l="1"/>
  <c r="B8102" i="22"/>
  <c r="A8104" i="22" l="1"/>
  <c r="B8103" i="22"/>
  <c r="B8104" i="22" l="1"/>
  <c r="A8105" i="22"/>
  <c r="A8106" i="22" l="1"/>
  <c r="B8105" i="22"/>
  <c r="B8106" i="22" l="1"/>
  <c r="A8107" i="22"/>
  <c r="A8108" i="22" l="1"/>
  <c r="B8107" i="22"/>
  <c r="B8108" i="22" l="1"/>
  <c r="A8109" i="22"/>
  <c r="A8110" i="22" l="1"/>
  <c r="B8109" i="22"/>
  <c r="B8110" i="22" l="1"/>
  <c r="A8111" i="22"/>
  <c r="A8112" i="22" l="1"/>
  <c r="B8111" i="22"/>
  <c r="B8112" i="22" l="1"/>
  <c r="A8113" i="22"/>
  <c r="B8113" i="22" l="1"/>
  <c r="A8114" i="22"/>
  <c r="B8114" i="22" l="1"/>
  <c r="A8115" i="22"/>
  <c r="A8116" i="22" l="1"/>
  <c r="B8115" i="22"/>
  <c r="B8116" i="22" l="1"/>
  <c r="A8117" i="22"/>
  <c r="B8117" i="22" l="1"/>
  <c r="A8118" i="22"/>
  <c r="B8118" i="22" l="1"/>
  <c r="A8119" i="22"/>
  <c r="A8120" i="22" l="1"/>
  <c r="B8119" i="22"/>
  <c r="B8120" i="22" l="1"/>
  <c r="A8121" i="22"/>
  <c r="B8121" i="22" l="1"/>
  <c r="A8122" i="22"/>
  <c r="A8123" i="22" l="1"/>
  <c r="B8122" i="22"/>
  <c r="A8124" i="22" l="1"/>
  <c r="B8123" i="22"/>
  <c r="B8124" i="22" l="1"/>
  <c r="A8125" i="22"/>
  <c r="B8125" i="22" l="1"/>
  <c r="A8126" i="22"/>
  <c r="B8126" i="22" l="1"/>
  <c r="A8127" i="22"/>
  <c r="A8128" i="22" l="1"/>
  <c r="B8127" i="22"/>
  <c r="A8129" i="22" l="1"/>
  <c r="B8128" i="22"/>
  <c r="B8129" i="22" l="1"/>
  <c r="A8130" i="22"/>
  <c r="B8130" i="22" l="1"/>
  <c r="A8131" i="22"/>
  <c r="A8132" i="22" l="1"/>
  <c r="B8131" i="22"/>
  <c r="A8133" i="22" l="1"/>
  <c r="B8132" i="22"/>
  <c r="B8133" i="22" l="1"/>
  <c r="A8134" i="22"/>
  <c r="B8134" i="22" l="1"/>
  <c r="A8135" i="22"/>
  <c r="A8136" i="22" l="1"/>
  <c r="B8135" i="22"/>
  <c r="A8137" i="22" l="1"/>
  <c r="B8136" i="22"/>
  <c r="B8137" i="22" l="1"/>
  <c r="A8138" i="22"/>
  <c r="B8138" i="22" l="1"/>
  <c r="A8139" i="22"/>
  <c r="A8140" i="22" l="1"/>
  <c r="B8139" i="22"/>
  <c r="A8141" i="22" l="1"/>
  <c r="B8140" i="22"/>
  <c r="B8141" i="22" l="1"/>
  <c r="A8142" i="22"/>
  <c r="B8142" i="22" l="1"/>
  <c r="A8143" i="22"/>
  <c r="A8144" i="22" l="1"/>
  <c r="B8143" i="22"/>
  <c r="A8145" i="22" l="1"/>
  <c r="B8144" i="22"/>
  <c r="A8146" i="22" l="1"/>
  <c r="B8145" i="22"/>
  <c r="B8146" i="22" l="1"/>
  <c r="A8147" i="22"/>
  <c r="A8148" i="22" l="1"/>
  <c r="B8147" i="22"/>
  <c r="A8149" i="22" l="1"/>
  <c r="B8148" i="22"/>
  <c r="A8150" i="22" l="1"/>
  <c r="B8149" i="22"/>
  <c r="B8150" i="22" l="1"/>
  <c r="A8151" i="22"/>
  <c r="A8152" i="22" l="1"/>
  <c r="B8151" i="22"/>
  <c r="A8153" i="22" l="1"/>
  <c r="B8152" i="22"/>
  <c r="B8153" i="22" l="1"/>
  <c r="A8154" i="22"/>
  <c r="A8155" i="22" l="1"/>
  <c r="B8154" i="22"/>
  <c r="A8156" i="22" l="1"/>
  <c r="B8155" i="22"/>
  <c r="A8157" i="22" l="1"/>
  <c r="B8156" i="22"/>
  <c r="B8157" i="22" l="1"/>
  <c r="A8158" i="22"/>
  <c r="B8158" i="22" l="1"/>
  <c r="A8159" i="22"/>
  <c r="A8160" i="22" l="1"/>
  <c r="B8159" i="22"/>
  <c r="A8161" i="22" l="1"/>
  <c r="B8160" i="22"/>
  <c r="B8161" i="22" l="1"/>
  <c r="A8162" i="22"/>
  <c r="B8162" i="22" l="1"/>
  <c r="A8163" i="22"/>
  <c r="B8163" i="22" l="1"/>
  <c r="A8164" i="22"/>
  <c r="B8164" i="22" l="1"/>
  <c r="A8165" i="22"/>
  <c r="B8165" i="22" l="1"/>
  <c r="A8166" i="22"/>
  <c r="B8166" i="22" l="1"/>
  <c r="A8167" i="22"/>
  <c r="B8167" i="22" l="1"/>
  <c r="A8168" i="22"/>
  <c r="B8168" i="22" l="1"/>
  <c r="A8169" i="22"/>
  <c r="B8169" i="22" l="1"/>
  <c r="A8170" i="22"/>
  <c r="B8170" i="22" l="1"/>
  <c r="A8171" i="22"/>
  <c r="B8171" i="22" l="1"/>
  <c r="A8172" i="22"/>
  <c r="B8172" i="22" l="1"/>
  <c r="A8173" i="22"/>
  <c r="B8173" i="22" l="1"/>
  <c r="A8174" i="22"/>
  <c r="B8174" i="22" l="1"/>
  <c r="A8175" i="22"/>
  <c r="B8175" i="22" l="1"/>
  <c r="A8176" i="22"/>
  <c r="B8176" i="22" l="1"/>
  <c r="A8177" i="22"/>
  <c r="A8178" i="22" l="1"/>
  <c r="B8177" i="22"/>
  <c r="B8178" i="22" l="1"/>
  <c r="A8179" i="22"/>
  <c r="B8179" i="22" l="1"/>
  <c r="A8180" i="22"/>
  <c r="B8180" i="22" l="1"/>
  <c r="A8181" i="22"/>
  <c r="A8182" i="22" l="1"/>
  <c r="B8181" i="22"/>
  <c r="B8182" i="22" l="1"/>
  <c r="A8183" i="22"/>
  <c r="B8183" i="22" l="1"/>
  <c r="A8184" i="22"/>
  <c r="A8185" i="22" l="1"/>
  <c r="B8184" i="22"/>
  <c r="B8185" i="22" l="1"/>
  <c r="A8186" i="22"/>
  <c r="B8186" i="22" l="1"/>
  <c r="A8187" i="22"/>
  <c r="B8187" i="22" l="1"/>
  <c r="A8188" i="22"/>
  <c r="A8189" i="22" l="1"/>
  <c r="B8188" i="22"/>
  <c r="B8189" i="22" l="1"/>
  <c r="A8190" i="22"/>
  <c r="B8190" i="22" l="1"/>
  <c r="A8191" i="22"/>
  <c r="B8191" i="22" l="1"/>
  <c r="A8192" i="22"/>
  <c r="B8192" i="22" l="1"/>
  <c r="A8193" i="22"/>
  <c r="B8193" i="22" l="1"/>
  <c r="A8194" i="22"/>
  <c r="B8194" i="22" l="1"/>
  <c r="A8195" i="22"/>
  <c r="B8195" i="22" l="1"/>
  <c r="A8196" i="22"/>
  <c r="B8196" i="22" l="1"/>
  <c r="A8197" i="22"/>
  <c r="B8197" i="22" l="1"/>
  <c r="A8198" i="22"/>
  <c r="B8198" i="22" l="1"/>
  <c r="A8199" i="22"/>
  <c r="B8199" i="22" l="1"/>
  <c r="A8200" i="22"/>
  <c r="B8200" i="22" l="1"/>
  <c r="A8201" i="22"/>
  <c r="B8201" i="22" l="1"/>
  <c r="A8202" i="22"/>
  <c r="B8202" i="22" l="1"/>
  <c r="A8203" i="22"/>
  <c r="B8203" i="22" l="1"/>
  <c r="A8204" i="22"/>
  <c r="B8204" i="22" l="1"/>
  <c r="A8205" i="22"/>
  <c r="B8205" i="22" l="1"/>
  <c r="A8206" i="22"/>
  <c r="B8206" i="22" l="1"/>
  <c r="A8207" i="22"/>
  <c r="B8207" i="22" l="1"/>
  <c r="A8208" i="22"/>
  <c r="B8208" i="22" l="1"/>
  <c r="A8209" i="22"/>
  <c r="A8210" i="22" l="1"/>
  <c r="B8209" i="22"/>
  <c r="B8210" i="22" l="1"/>
  <c r="A8211" i="22"/>
  <c r="B8211" i="22" l="1"/>
  <c r="A8212" i="22"/>
  <c r="B8212" i="22" l="1"/>
  <c r="A8213" i="22"/>
  <c r="A8214" i="22" l="1"/>
  <c r="B8213" i="22"/>
  <c r="B8214" i="22" l="1"/>
  <c r="A8215" i="22"/>
  <c r="B8215" i="22" l="1"/>
  <c r="A8216" i="22"/>
  <c r="A8217" i="22" l="1"/>
  <c r="B8216" i="22"/>
  <c r="B8217" i="22" l="1"/>
  <c r="A8218" i="22"/>
  <c r="B8218" i="22" l="1"/>
  <c r="A8219" i="22"/>
  <c r="B8219" i="22" l="1"/>
  <c r="A8220" i="22"/>
  <c r="A8221" i="22" l="1"/>
  <c r="B8220" i="22"/>
  <c r="B8221" i="22" l="1"/>
  <c r="A8222" i="22"/>
  <c r="B8222" i="22" l="1"/>
  <c r="A8223" i="22"/>
  <c r="B8223" i="22" l="1"/>
  <c r="A8224" i="22"/>
  <c r="B8224" i="22" l="1"/>
  <c r="A8225" i="22"/>
  <c r="B8225" i="22" l="1"/>
  <c r="A8226" i="22"/>
  <c r="B8226" i="22" l="1"/>
  <c r="A8227" i="22"/>
  <c r="B8227" i="22" l="1"/>
  <c r="A8228" i="22"/>
  <c r="B8228" i="22" l="1"/>
  <c r="A8229" i="22"/>
  <c r="B8229" i="22" l="1"/>
  <c r="A8230" i="22"/>
  <c r="B8230" i="22" l="1"/>
  <c r="A8231" i="22"/>
  <c r="B8231" i="22" l="1"/>
  <c r="A8232" i="22"/>
  <c r="B8232" i="22" l="1"/>
  <c r="A8233" i="22"/>
  <c r="B8233" i="22" l="1"/>
  <c r="A8234" i="22"/>
  <c r="B8234" i="22" l="1"/>
  <c r="A8235" i="22"/>
  <c r="B8235" i="22" l="1"/>
  <c r="A8236" i="22"/>
  <c r="B8236" i="22" l="1"/>
  <c r="A8237" i="22"/>
  <c r="B8237" i="22" l="1"/>
  <c r="A8238" i="22"/>
  <c r="B8238" i="22" l="1"/>
  <c r="A8239" i="22"/>
  <c r="B8239" i="22" l="1"/>
  <c r="A8240" i="22"/>
  <c r="B8240" i="22" l="1"/>
  <c r="A8241" i="22"/>
  <c r="A8242" i="22" l="1"/>
  <c r="B8241" i="22"/>
  <c r="B8242" i="22" l="1"/>
  <c r="A8243" i="22"/>
  <c r="B8243" i="22" l="1"/>
  <c r="A8244" i="22"/>
  <c r="B8244" i="22" l="1"/>
  <c r="A8245" i="22"/>
  <c r="A8246" i="22" l="1"/>
  <c r="B8245" i="22"/>
  <c r="B8246" i="22" l="1"/>
  <c r="A8247" i="22"/>
  <c r="B8247" i="22" l="1"/>
  <c r="A8248" i="22"/>
  <c r="A8249" i="22" l="1"/>
  <c r="B8248" i="22"/>
  <c r="B8249" i="22" l="1"/>
  <c r="A8250" i="22"/>
  <c r="B8250" i="22" l="1"/>
  <c r="A8251" i="22"/>
  <c r="B8251" i="22" l="1"/>
  <c r="A8252" i="22"/>
  <c r="A8253" i="22" l="1"/>
  <c r="B8252" i="22"/>
  <c r="B8253" i="22" l="1"/>
  <c r="A8254" i="22"/>
  <c r="B8254" i="22" l="1"/>
  <c r="A8255" i="22"/>
  <c r="B8255" i="22" l="1"/>
  <c r="A8256" i="22"/>
  <c r="B8256" i="22" l="1"/>
  <c r="A8257" i="22"/>
  <c r="B8257" i="22" l="1"/>
  <c r="A8258" i="22"/>
  <c r="B8258" i="22" l="1"/>
  <c r="A8259" i="22"/>
  <c r="B8259" i="22" l="1"/>
  <c r="A8260" i="22"/>
  <c r="B8260" i="22" l="1"/>
  <c r="A8261" i="22"/>
  <c r="B8261" i="22" l="1"/>
  <c r="A8262" i="22"/>
  <c r="B8262" i="22" l="1"/>
  <c r="A8263" i="22"/>
  <c r="B8263" i="22" l="1"/>
  <c r="A8264" i="22"/>
  <c r="B8264" i="22" l="1"/>
  <c r="A8265" i="22"/>
  <c r="B8265" i="22" l="1"/>
  <c r="A8266" i="22"/>
  <c r="B8266" i="22" l="1"/>
  <c r="A8267" i="22"/>
  <c r="B8267" i="22" l="1"/>
  <c r="A8268" i="22"/>
  <c r="B8268" i="22" l="1"/>
  <c r="A8269" i="22"/>
  <c r="B8269" i="22" l="1"/>
  <c r="A8270" i="22"/>
  <c r="B8270" i="22" l="1"/>
  <c r="A8271" i="22"/>
  <c r="B8271" i="22" l="1"/>
  <c r="A8272" i="22"/>
  <c r="B8272" i="22" l="1"/>
  <c r="A8273" i="22"/>
  <c r="A8274" i="22" l="1"/>
  <c r="B8273" i="22"/>
  <c r="B8274" i="22" l="1"/>
  <c r="A8275" i="22"/>
  <c r="B8275" i="22" l="1"/>
  <c r="A8276" i="22"/>
  <c r="B8276" i="22" l="1"/>
  <c r="A8277" i="22"/>
  <c r="A8278" i="22" l="1"/>
  <c r="B8277" i="22"/>
  <c r="B8278" i="22" l="1"/>
  <c r="A8279" i="22"/>
  <c r="B8279" i="22" l="1"/>
  <c r="A8280" i="22"/>
  <c r="A8281" i="22" l="1"/>
  <c r="B8280" i="22"/>
  <c r="B8281" i="22" l="1"/>
  <c r="A8282" i="22"/>
  <c r="B8282" i="22" l="1"/>
  <c r="A8283" i="22"/>
  <c r="B8283" i="22" l="1"/>
  <c r="A8284" i="22"/>
  <c r="A8285" i="22" l="1"/>
  <c r="B8284" i="22"/>
  <c r="B8285" i="22" l="1"/>
  <c r="A8286" i="22"/>
  <c r="B8286" i="22" l="1"/>
  <c r="A8287" i="22"/>
  <c r="B8287" i="22" l="1"/>
  <c r="A8288" i="22"/>
  <c r="B8288" i="22" l="1"/>
  <c r="A8289" i="22"/>
  <c r="B8289" i="22" l="1"/>
  <c r="A8290" i="22"/>
  <c r="B8290" i="22" l="1"/>
  <c r="A8291" i="22"/>
  <c r="B8291" i="22" l="1"/>
  <c r="A8292" i="22"/>
  <c r="B8292" i="22" l="1"/>
  <c r="A8293" i="22"/>
  <c r="B8293" i="22" l="1"/>
  <c r="A8294" i="22"/>
  <c r="B8294" i="22" l="1"/>
  <c r="A8295" i="22"/>
  <c r="B8295" i="22" l="1"/>
  <c r="A8296" i="22"/>
  <c r="B8296" i="22" l="1"/>
  <c r="A8297" i="22"/>
  <c r="B8297" i="22" l="1"/>
  <c r="A8298" i="22"/>
  <c r="B8298" i="22" l="1"/>
  <c r="A8299" i="22"/>
  <c r="B8299" i="22" l="1"/>
  <c r="A8300" i="22"/>
  <c r="B8300" i="22" l="1"/>
  <c r="A8301" i="22"/>
  <c r="B8301" i="22" l="1"/>
  <c r="A8302" i="22"/>
  <c r="B8302" i="22" l="1"/>
  <c r="A8303" i="22"/>
  <c r="B8303" i="22" l="1"/>
  <c r="A8304" i="22"/>
  <c r="B8304" i="22" l="1"/>
  <c r="A8305" i="22"/>
  <c r="A8306" i="22" l="1"/>
  <c r="B8305" i="22"/>
  <c r="B8306" i="22" l="1"/>
  <c r="A8307" i="22"/>
  <c r="B8307" i="22" l="1"/>
  <c r="A8308" i="22"/>
  <c r="B8308" i="22" l="1"/>
  <c r="A8309" i="22"/>
  <c r="A8310" i="22" l="1"/>
  <c r="B8309" i="22"/>
  <c r="B8310" i="22" l="1"/>
  <c r="A8311" i="22"/>
  <c r="B8311" i="22" l="1"/>
  <c r="A8312" i="22"/>
  <c r="A8313" i="22" l="1"/>
  <c r="B8312" i="22"/>
  <c r="B8313" i="22" l="1"/>
  <c r="A8314" i="22"/>
  <c r="B8314" i="22" l="1"/>
  <c r="A8315" i="22"/>
  <c r="B8315" i="22" l="1"/>
  <c r="A8316" i="22"/>
  <c r="A8317" i="22" l="1"/>
  <c r="B8316" i="22"/>
  <c r="B8317" i="22" l="1"/>
  <c r="A8318" i="22"/>
  <c r="B8318" i="22" l="1"/>
  <c r="A8319" i="22"/>
  <c r="B8319" i="22" l="1"/>
  <c r="A8320" i="22"/>
  <c r="B8320" i="22" l="1"/>
  <c r="A8321" i="22"/>
  <c r="B8321" i="22" l="1"/>
  <c r="A8322" i="22"/>
  <c r="B8322" i="22" l="1"/>
  <c r="A8323" i="22"/>
  <c r="B8323" i="22" l="1"/>
  <c r="A8324" i="22"/>
  <c r="B8324" i="22" l="1"/>
  <c r="A8325" i="22"/>
  <c r="B8325" i="22" l="1"/>
  <c r="A8326" i="22"/>
  <c r="B8326" i="22" l="1"/>
  <c r="A8327" i="22"/>
  <c r="B8327" i="22" l="1"/>
  <c r="A8328" i="22"/>
  <c r="B8328" i="22" l="1"/>
  <c r="A8329" i="22"/>
  <c r="B8329" i="22" l="1"/>
  <c r="A8330" i="22"/>
  <c r="B8330" i="22" l="1"/>
  <c r="A8331" i="22"/>
  <c r="B8331" i="22" l="1"/>
  <c r="A8332" i="22"/>
  <c r="B8332" i="22" l="1"/>
  <c r="A8333" i="22"/>
  <c r="B8333" i="22" l="1"/>
  <c r="A8334" i="22"/>
  <c r="B8334" i="22" l="1"/>
  <c r="A8335" i="22"/>
  <c r="B8335" i="22" l="1"/>
  <c r="A8336" i="22"/>
  <c r="B8336" i="22" l="1"/>
  <c r="A8337" i="22"/>
  <c r="A8338" i="22" l="1"/>
  <c r="B8337" i="22"/>
  <c r="B8338" i="22" l="1"/>
  <c r="A8339" i="22"/>
  <c r="B8339" i="22" l="1"/>
  <c r="A8340" i="22"/>
  <c r="B8340" i="22" l="1"/>
  <c r="A8341" i="22"/>
  <c r="A8342" i="22" l="1"/>
  <c r="B8341" i="22"/>
  <c r="B8342" i="22" l="1"/>
  <c r="A8343" i="22"/>
  <c r="B8343" i="22" l="1"/>
  <c r="A8344" i="22"/>
  <c r="A8345" i="22" l="1"/>
  <c r="B8344" i="22"/>
  <c r="B8345" i="22" l="1"/>
  <c r="A8346" i="22"/>
  <c r="B8346" i="22" l="1"/>
  <c r="A8347" i="22"/>
  <c r="B8347" i="22" l="1"/>
  <c r="A8348" i="22"/>
  <c r="A8349" i="22" l="1"/>
  <c r="B8348" i="22"/>
  <c r="B8349" i="22" l="1"/>
  <c r="A8350" i="22"/>
  <c r="B8350" i="22" l="1"/>
  <c r="A8351" i="22"/>
  <c r="B8351" i="22" l="1"/>
  <c r="A8352" i="22"/>
  <c r="B8352" i="22" l="1"/>
  <c r="A8353" i="22"/>
  <c r="B8353" i="22" l="1"/>
  <c r="A8354" i="22"/>
  <c r="B8354" i="22" l="1"/>
  <c r="A8355" i="22"/>
  <c r="B8355" i="22" l="1"/>
  <c r="A8356" i="22"/>
  <c r="B8356" i="22" l="1"/>
  <c r="A8357" i="22"/>
  <c r="B8357" i="22" l="1"/>
  <c r="A8358" i="22"/>
  <c r="B8358" i="22" l="1"/>
  <c r="A8359" i="22"/>
  <c r="B8359" i="22" l="1"/>
  <c r="A8360" i="22"/>
  <c r="B8360" i="22" l="1"/>
  <c r="A8361" i="22"/>
  <c r="B8361" i="22" l="1"/>
  <c r="A8362" i="22"/>
  <c r="B8362" i="22" l="1"/>
  <c r="A8363" i="22"/>
  <c r="B8363" i="22" l="1"/>
  <c r="A8364" i="22"/>
  <c r="B8364" i="22" l="1"/>
  <c r="A8365" i="22"/>
  <c r="B8365" i="22" l="1"/>
  <c r="A8366" i="22"/>
  <c r="B8366" i="22" l="1"/>
  <c r="A8367" i="22"/>
  <c r="B8367" i="22" l="1"/>
  <c r="A8368" i="22"/>
  <c r="B8368" i="22" l="1"/>
  <c r="A8369" i="22"/>
  <c r="B8369" i="22" l="1"/>
  <c r="A8370" i="22"/>
  <c r="B8370" i="22" l="1"/>
  <c r="A8371" i="22"/>
  <c r="B8371" i="22" l="1"/>
  <c r="A8372" i="22"/>
  <c r="B8372" i="22" l="1"/>
  <c r="A8373" i="22"/>
  <c r="A8374" i="22" l="1"/>
  <c r="B8373" i="22"/>
  <c r="B8374" i="22" l="1"/>
  <c r="A8375" i="22"/>
  <c r="B8375" i="22" l="1"/>
  <c r="A8376" i="22"/>
  <c r="A8377" i="22" l="1"/>
  <c r="B8376" i="22"/>
  <c r="B8377" i="22" l="1"/>
  <c r="A8378" i="22"/>
  <c r="B8378" i="22" l="1"/>
  <c r="A8379" i="22"/>
  <c r="B8379" i="22" l="1"/>
  <c r="A8380" i="22"/>
  <c r="A8381" i="22" l="1"/>
  <c r="B8380" i="22"/>
  <c r="A8382" i="22" l="1"/>
  <c r="B8381" i="22"/>
  <c r="B8382" i="22" l="1"/>
  <c r="A8383" i="22"/>
  <c r="B8383" i="22" l="1"/>
  <c r="A8384" i="22"/>
  <c r="B8384" i="22" l="1"/>
  <c r="A8385" i="22"/>
  <c r="B8385" i="22" l="1"/>
  <c r="A8386" i="22"/>
  <c r="B8386" i="22" l="1"/>
  <c r="A8387" i="22"/>
  <c r="B8387" i="22" l="1"/>
  <c r="A8388" i="22"/>
  <c r="B8388" i="22" l="1"/>
  <c r="A8389" i="22"/>
  <c r="A8390" i="22" l="1"/>
  <c r="B8389" i="22"/>
  <c r="B8390" i="22" l="1"/>
  <c r="A8391" i="22"/>
  <c r="B8391" i="22" l="1"/>
  <c r="A8392" i="22"/>
  <c r="B8392" i="22" l="1"/>
  <c r="A8393" i="22"/>
  <c r="B8393" i="22" l="1"/>
  <c r="A8394" i="22"/>
  <c r="B8394" i="22" l="1"/>
  <c r="A8395" i="22"/>
  <c r="B8395" i="22" l="1"/>
  <c r="A8396" i="22"/>
  <c r="A8397" i="22" l="1"/>
  <c r="B8396" i="22"/>
  <c r="B8397" i="22" l="1"/>
  <c r="A8398" i="22"/>
  <c r="B8398" i="22" l="1"/>
  <c r="A8399" i="22"/>
  <c r="B8399" i="22" l="1"/>
  <c r="A8400" i="22"/>
  <c r="B8400" i="22" l="1"/>
  <c r="A8401" i="22"/>
  <c r="A8402" i="22" l="1"/>
  <c r="B8401" i="22"/>
  <c r="B8402" i="22" l="1"/>
  <c r="A8403" i="22"/>
  <c r="B8403" i="22" l="1"/>
  <c r="A8404" i="22"/>
  <c r="B8404" i="22" l="1"/>
  <c r="A8405" i="22"/>
  <c r="A8406" i="22" l="1"/>
  <c r="B8405" i="22"/>
  <c r="B8406" i="22" l="1"/>
  <c r="A8407" i="22"/>
  <c r="B8407" i="22" l="1"/>
  <c r="A8408" i="22"/>
  <c r="B8408" i="22" l="1"/>
  <c r="A8409" i="22"/>
  <c r="B8409" i="22" l="1"/>
  <c r="A8410" i="22"/>
  <c r="B8410" i="22" l="1"/>
  <c r="A8411" i="22"/>
  <c r="B8411" i="22" l="1"/>
  <c r="A8412" i="22"/>
  <c r="A8413" i="22" l="1"/>
  <c r="B8412" i="22"/>
  <c r="B8413" i="22" l="1"/>
  <c r="A8414" i="22"/>
  <c r="B8414" i="22" l="1"/>
  <c r="A8415" i="22"/>
  <c r="B8415" i="22" l="1"/>
  <c r="A8416" i="22"/>
  <c r="B8416" i="22" l="1"/>
  <c r="A8417" i="22"/>
  <c r="B8417" i="22" l="1"/>
  <c r="A8418" i="22"/>
  <c r="B8418" i="22" l="1"/>
  <c r="A8419" i="22"/>
  <c r="B8419" i="22" l="1"/>
  <c r="A8420" i="22"/>
  <c r="B8420" i="22" l="1"/>
  <c r="A8421" i="22"/>
  <c r="A8422" i="22" l="1"/>
  <c r="B8421" i="22"/>
  <c r="B8422" i="22" l="1"/>
  <c r="A8423" i="22"/>
  <c r="B8423" i="22" l="1"/>
  <c r="A8424" i="22"/>
  <c r="B8424" i="22" l="1"/>
  <c r="A8425" i="22"/>
  <c r="A8426" i="22" l="1"/>
  <c r="B8425" i="22"/>
  <c r="B8426" i="22" l="1"/>
  <c r="A8427" i="22"/>
  <c r="B8427" i="22" l="1"/>
  <c r="A8428" i="22"/>
  <c r="A8429" i="22" l="1"/>
  <c r="B8428" i="22"/>
  <c r="B8429" i="22" l="1"/>
  <c r="A8430" i="22"/>
  <c r="B8430" i="22" l="1"/>
  <c r="A8431" i="22"/>
  <c r="B8431" i="22" l="1"/>
  <c r="A8432" i="22"/>
  <c r="B8432" i="22" l="1"/>
  <c r="A8433" i="22"/>
  <c r="B8433" i="22" l="1"/>
  <c r="A8434" i="22"/>
  <c r="B8434" i="22" l="1"/>
  <c r="A8435" i="22"/>
  <c r="B8435" i="22" l="1"/>
  <c r="A8436" i="22"/>
  <c r="B8436" i="22" l="1"/>
  <c r="A8437" i="22"/>
  <c r="B8437" i="22" l="1"/>
  <c r="A8438" i="22"/>
  <c r="B8438" i="22" l="1"/>
  <c r="A8439" i="22"/>
  <c r="B8439" i="22" l="1"/>
  <c r="A8440" i="22"/>
  <c r="B8440" i="22" l="1"/>
  <c r="A8441" i="22"/>
  <c r="B8441" i="22" l="1"/>
  <c r="A8442" i="22"/>
  <c r="B8442" i="22" l="1"/>
  <c r="A8443" i="22"/>
  <c r="B8443" i="22" l="1"/>
  <c r="A8444" i="22"/>
  <c r="A8445" i="22" l="1"/>
  <c r="B8444" i="22"/>
  <c r="A8446" i="22" l="1"/>
  <c r="B8445" i="22"/>
  <c r="B8446" i="22" l="1"/>
  <c r="A8447" i="22"/>
  <c r="B8447" i="22" l="1"/>
  <c r="A8448" i="22"/>
  <c r="B8448" i="22" l="1"/>
  <c r="A8449" i="22"/>
  <c r="B8449" i="22" l="1"/>
  <c r="A8450" i="22"/>
  <c r="B8450" i="22" l="1"/>
  <c r="A8451" i="22"/>
  <c r="B8451" i="22" l="1"/>
  <c r="A8452" i="22"/>
  <c r="B8452" i="22" l="1"/>
  <c r="A8453" i="22"/>
  <c r="A8454" i="22" l="1"/>
  <c r="B8453" i="22"/>
  <c r="B8454" i="22" l="1"/>
  <c r="A8455" i="22"/>
  <c r="B8455" i="22" l="1"/>
  <c r="A8456" i="22"/>
  <c r="B8456" i="22" l="1"/>
  <c r="A8457" i="22"/>
  <c r="B8457" i="22" l="1"/>
  <c r="A8458" i="22"/>
  <c r="B8458" i="22" l="1"/>
  <c r="A8459" i="22"/>
  <c r="B8459" i="22" l="1"/>
  <c r="A8460" i="22"/>
  <c r="A8461" i="22" l="1"/>
  <c r="B8460" i="22"/>
  <c r="B8461" i="22" l="1"/>
  <c r="A8462" i="22"/>
  <c r="A8463" i="22" l="1"/>
  <c r="B8462" i="22"/>
  <c r="B8463" i="22" l="1"/>
  <c r="A8464" i="22"/>
  <c r="B8464" i="22" l="1"/>
  <c r="A8465" i="22"/>
  <c r="A8466" i="22" l="1"/>
  <c r="B8465" i="22"/>
  <c r="A8467" i="22" l="1"/>
  <c r="B8466" i="22"/>
  <c r="B8467" i="22" l="1"/>
  <c r="A8468" i="22"/>
  <c r="A8469" i="22" l="1"/>
  <c r="B8468" i="22"/>
  <c r="B8469" i="22" l="1"/>
  <c r="A8470" i="22"/>
  <c r="A8471" i="22" l="1"/>
  <c r="B8470" i="22"/>
  <c r="B8471" i="22" l="1"/>
  <c r="A8472" i="22"/>
  <c r="B8472" i="22" l="1"/>
  <c r="A8473" i="22"/>
  <c r="B8473" i="22" l="1"/>
  <c r="A8474" i="22"/>
  <c r="A8475" i="22" l="1"/>
  <c r="B8474" i="22"/>
  <c r="B8475" i="22" l="1"/>
  <c r="A8476" i="22"/>
  <c r="B8476" i="22" l="1"/>
  <c r="A8477" i="22"/>
  <c r="B8477" i="22" l="1"/>
  <c r="A8478" i="22"/>
  <c r="A8479" i="22" l="1"/>
  <c r="B8478" i="22"/>
  <c r="A8480" i="22" l="1"/>
  <c r="B8479" i="22"/>
  <c r="B8480" i="22" l="1"/>
  <c r="A8481" i="22"/>
  <c r="B8481" i="22" l="1"/>
  <c r="A8482" i="22"/>
  <c r="A8483" i="22" l="1"/>
  <c r="B8482" i="22"/>
  <c r="B8483" i="22" l="1"/>
  <c r="A8484" i="22"/>
  <c r="B8484" i="22" l="1"/>
  <c r="A8485" i="22"/>
  <c r="B8485" i="22" l="1"/>
  <c r="A8486" i="22"/>
  <c r="A8487" i="22" l="1"/>
  <c r="B8486" i="22"/>
  <c r="A8488" i="22" l="1"/>
  <c r="B8487" i="22"/>
  <c r="A8489" i="22" l="1"/>
  <c r="B8488" i="22"/>
  <c r="B8489" i="22" l="1"/>
  <c r="A8490" i="22"/>
  <c r="A8491" i="22" l="1"/>
  <c r="B8490" i="22"/>
  <c r="B8491" i="22" l="1"/>
  <c r="A8492" i="22"/>
  <c r="A8493" i="22" l="1"/>
  <c r="B8492" i="22"/>
  <c r="B8493" i="22" l="1"/>
  <c r="A8494" i="22"/>
  <c r="A8495" i="22" l="1"/>
  <c r="B8494" i="22"/>
  <c r="B8495" i="22" l="1"/>
  <c r="A8496" i="22"/>
  <c r="A8497" i="22" l="1"/>
  <c r="B8496" i="22"/>
  <c r="A8498" i="22" l="1"/>
  <c r="B8497" i="22"/>
  <c r="A8499" i="22" l="1"/>
  <c r="B8498" i="22"/>
  <c r="B8499" i="22" l="1"/>
  <c r="A8500" i="22"/>
  <c r="A8501" i="22" l="1"/>
  <c r="B8500" i="22"/>
  <c r="B8501" i="22" l="1"/>
  <c r="A8502" i="22"/>
  <c r="A8503" i="22" l="1"/>
  <c r="B8502" i="22"/>
  <c r="A8504" i="22" l="1"/>
  <c r="B8503" i="22"/>
  <c r="B8504" i="22" l="1"/>
  <c r="A8505" i="22"/>
  <c r="B8505" i="22" l="1"/>
  <c r="A8506" i="22"/>
  <c r="A8507" i="22" l="1"/>
  <c r="B8506" i="22"/>
  <c r="B8507" i="22" l="1"/>
  <c r="A8508" i="22"/>
  <c r="B8508" i="22" l="1"/>
  <c r="A8509" i="22"/>
  <c r="B8509" i="22" l="1"/>
  <c r="A8510" i="22"/>
  <c r="A8511" i="22" l="1"/>
  <c r="B8510" i="22"/>
  <c r="A8512" i="22" l="1"/>
  <c r="B8511" i="22"/>
  <c r="A8513" i="22" l="1"/>
  <c r="B8512" i="22"/>
  <c r="B8513" i="22" l="1"/>
  <c r="A8514" i="22"/>
  <c r="A8515" i="22" l="1"/>
  <c r="B8514" i="22"/>
  <c r="B8515" i="22" l="1"/>
  <c r="A8516" i="22"/>
  <c r="B8516" i="22" l="1"/>
  <c r="A8517" i="22"/>
  <c r="B8517" i="22" l="1"/>
  <c r="A8518" i="22"/>
  <c r="A8519" i="22" l="1"/>
  <c r="B8518" i="22"/>
  <c r="B8519" i="22" l="1"/>
  <c r="A8520" i="22"/>
  <c r="A8521" i="22" l="1"/>
  <c r="B8520" i="22"/>
  <c r="A8522" i="22" l="1"/>
  <c r="B8521" i="22"/>
  <c r="A8523" i="22" l="1"/>
  <c r="B8522" i="22"/>
  <c r="A8524" i="22" l="1"/>
  <c r="B8523" i="22"/>
  <c r="A8525" i="22" l="1"/>
  <c r="B8524" i="22"/>
  <c r="B8525" i="22" l="1"/>
  <c r="A8526" i="22"/>
  <c r="A8527" i="22" l="1"/>
  <c r="B8526" i="22"/>
  <c r="A8528" i="22" l="1"/>
  <c r="B8527" i="22"/>
  <c r="B8528" i="22" l="1"/>
  <c r="A8529" i="22"/>
  <c r="A8530" i="22" l="1"/>
  <c r="B8529" i="22"/>
  <c r="A8531" i="22" l="1"/>
  <c r="B8530" i="22"/>
  <c r="B8531" i="22" l="1"/>
  <c r="A8532" i="22"/>
  <c r="B8532" i="22" l="1"/>
  <c r="A8533" i="22"/>
  <c r="B8533" i="22" l="1"/>
  <c r="A8534" i="22"/>
  <c r="A8535" i="22" l="1"/>
  <c r="B8534" i="22"/>
  <c r="A8536" i="22" l="1"/>
  <c r="B8535" i="22"/>
  <c r="B8536" i="22" l="1"/>
  <c r="A8537" i="22"/>
  <c r="B8537" i="22" l="1"/>
  <c r="A8538" i="22"/>
  <c r="A8539" i="22" l="1"/>
  <c r="B8538" i="22"/>
  <c r="B8539" i="22" l="1"/>
  <c r="A8540" i="22"/>
  <c r="B8540" i="22" l="1"/>
  <c r="A8541" i="22"/>
  <c r="A8542" i="22" l="1"/>
  <c r="B8541" i="22"/>
  <c r="A8543" i="22" l="1"/>
  <c r="B8542" i="22"/>
  <c r="A8544" i="22" l="1"/>
  <c r="B8543" i="22"/>
  <c r="A8545" i="22" l="1"/>
  <c r="B8544" i="22"/>
  <c r="A8546" i="22" l="1"/>
  <c r="B8545" i="22"/>
  <c r="A8547" i="22" l="1"/>
  <c r="B8546" i="22"/>
  <c r="A8548" i="22" l="1"/>
  <c r="B8547" i="22"/>
  <c r="B8548" i="22" l="1"/>
  <c r="A8549" i="22"/>
  <c r="B8549" i="22" l="1"/>
  <c r="A8550" i="22"/>
  <c r="A8551" i="22" l="1"/>
  <c r="B8550" i="22"/>
  <c r="A8552" i="22" l="1"/>
  <c r="B8551" i="22"/>
  <c r="A8553" i="22" l="1"/>
  <c r="B8552" i="22"/>
  <c r="A8554" i="22" l="1"/>
  <c r="B8553" i="22"/>
  <c r="A8555" i="22" l="1"/>
  <c r="B8554" i="22"/>
  <c r="A8556" i="22" l="1"/>
  <c r="B8555" i="22"/>
  <c r="B8556" i="22" l="1"/>
  <c r="A8557" i="22"/>
  <c r="B8557" i="22" l="1"/>
  <c r="A8558" i="22"/>
  <c r="A8559" i="22" l="1"/>
  <c r="B8558" i="22"/>
  <c r="B8559" i="22" l="1"/>
  <c r="A8560" i="22"/>
  <c r="B8560" i="22" l="1"/>
  <c r="A8561" i="22"/>
  <c r="A8562" i="22" l="1"/>
  <c r="B8561" i="22"/>
  <c r="A8563" i="22" l="1"/>
  <c r="B8562" i="22"/>
  <c r="B8563" i="22" l="1"/>
  <c r="A8564" i="22"/>
  <c r="B8564" i="22" l="1"/>
  <c r="A8565" i="22"/>
  <c r="A8566" i="22" l="1"/>
  <c r="B8565" i="22"/>
  <c r="A8567" i="22" l="1"/>
  <c r="B8566" i="22"/>
  <c r="A8568" i="22" l="1"/>
  <c r="B8567" i="22"/>
  <c r="B8568" i="22" l="1"/>
  <c r="A8569" i="22"/>
  <c r="A8570" i="22" l="1"/>
  <c r="B8569" i="22"/>
  <c r="A8571" i="22" l="1"/>
  <c r="B8570" i="22"/>
  <c r="B8571" i="22" l="1"/>
  <c r="A8572" i="22"/>
  <c r="B8572" i="22" l="1"/>
  <c r="A8573" i="22"/>
  <c r="A8574" i="22" l="1"/>
  <c r="B8573" i="22"/>
  <c r="A8575" i="22" l="1"/>
  <c r="B8574" i="22"/>
  <c r="A8576" i="22" l="1"/>
  <c r="B8575" i="22"/>
  <c r="A8577" i="22" l="1"/>
  <c r="B8576" i="22"/>
  <c r="B8577" i="22" l="1"/>
  <c r="A8578" i="22"/>
  <c r="A8579" i="22" l="1"/>
  <c r="B8578" i="22"/>
  <c r="A8580" i="22" l="1"/>
  <c r="B8579" i="22"/>
  <c r="B8580" i="22" l="1"/>
  <c r="A8581" i="22"/>
  <c r="B8581" i="22" l="1"/>
  <c r="A8582" i="22"/>
  <c r="A8583" i="22" l="1"/>
  <c r="B8582" i="22"/>
  <c r="B8583" i="22" l="1"/>
  <c r="A8584" i="22"/>
  <c r="A8585" i="22" l="1"/>
  <c r="B8584" i="22"/>
  <c r="A8586" i="22" l="1"/>
  <c r="B8585" i="22"/>
  <c r="A8587" i="22" l="1"/>
  <c r="B8586" i="22"/>
  <c r="B8587" i="22" l="1"/>
  <c r="A8588" i="22"/>
  <c r="B8588" i="22" l="1"/>
  <c r="A8589" i="22"/>
  <c r="B8589" i="22" l="1"/>
  <c r="A8590" i="22"/>
  <c r="A8591" i="22" l="1"/>
  <c r="B8590" i="22"/>
  <c r="B8591" i="22" l="1"/>
  <c r="A8592" i="22"/>
  <c r="B8592" i="22" l="1"/>
  <c r="A8593" i="22"/>
  <c r="A8594" i="22" l="1"/>
  <c r="B8593" i="22"/>
  <c r="A8595" i="22" l="1"/>
  <c r="B8594" i="22"/>
  <c r="B8595" i="22" l="1"/>
  <c r="A8596" i="22"/>
  <c r="A8597" i="22" l="1"/>
  <c r="B8596" i="22"/>
  <c r="A8598" i="22" l="1"/>
  <c r="B8597" i="22"/>
  <c r="A8599" i="22" l="1"/>
  <c r="B8598" i="22"/>
  <c r="A8600" i="22" l="1"/>
  <c r="B8599" i="22"/>
  <c r="A8601" i="22" l="1"/>
  <c r="B8600" i="22"/>
  <c r="B8601" i="22" l="1"/>
  <c r="A8602" i="22"/>
  <c r="A8603" i="22" l="1"/>
  <c r="B8602" i="22"/>
  <c r="B8603" i="22" l="1"/>
  <c r="A8604" i="22"/>
  <c r="B8604" i="22" l="1"/>
  <c r="A8605" i="22"/>
  <c r="B8605" i="22" l="1"/>
  <c r="A8606" i="22"/>
  <c r="A8607" i="22" l="1"/>
  <c r="B8606" i="22"/>
  <c r="A8608" i="22" l="1"/>
  <c r="B8607" i="22"/>
  <c r="A8609" i="22" l="1"/>
  <c r="B8608" i="22"/>
  <c r="B8609" i="22" l="1"/>
  <c r="A8610" i="22"/>
  <c r="A8611" i="22" l="1"/>
  <c r="B8610" i="22"/>
  <c r="B8611" i="22" l="1"/>
  <c r="A8612" i="22"/>
  <c r="B8612" i="22" l="1"/>
  <c r="A8613" i="22"/>
  <c r="B8613" i="22" l="1"/>
  <c r="A8614" i="22"/>
  <c r="A8615" i="22" l="1"/>
  <c r="B8614" i="22"/>
  <c r="B8615" i="22" l="1"/>
  <c r="A8616" i="22"/>
  <c r="A8617" i="22" l="1"/>
  <c r="B8616" i="22"/>
  <c r="A8618" i="22" l="1"/>
  <c r="B8617" i="22"/>
  <c r="A8619" i="22" l="1"/>
  <c r="B8618" i="22"/>
  <c r="B8619" i="22" l="1"/>
  <c r="A8620" i="22"/>
  <c r="A8621" i="22" l="1"/>
  <c r="B8620" i="22"/>
  <c r="B8621" i="22" l="1"/>
  <c r="A8622" i="22"/>
  <c r="A8623" i="22" l="1"/>
  <c r="B8622" i="22"/>
  <c r="B8623" i="22" l="1"/>
  <c r="A8624" i="22"/>
  <c r="A8625" i="22" l="1"/>
  <c r="B8624" i="22"/>
  <c r="A8626" i="22" l="1"/>
  <c r="B8625" i="22"/>
  <c r="A8627" i="22" l="1"/>
  <c r="B8626" i="22"/>
  <c r="B8627" i="22" l="1"/>
  <c r="A8628" i="22"/>
  <c r="A8629" i="22" l="1"/>
  <c r="B8628" i="22"/>
  <c r="B8629" i="22" l="1"/>
  <c r="A8630" i="22"/>
  <c r="B8630" i="22" l="1"/>
  <c r="A8631" i="22"/>
  <c r="B8631" i="22" l="1"/>
  <c r="A8632" i="22"/>
  <c r="A8633" i="22" l="1"/>
  <c r="B8632" i="22"/>
  <c r="A8634" i="22" l="1"/>
  <c r="B8633" i="22"/>
  <c r="B8634" i="22" l="1"/>
  <c r="A8635" i="22"/>
  <c r="B8635" i="22" l="1"/>
  <c r="A8636" i="22"/>
  <c r="B8636" i="22" l="1"/>
  <c r="A8637" i="22"/>
  <c r="A8638" i="22" l="1"/>
  <c r="B8637" i="22"/>
  <c r="B8638" i="22" l="1"/>
  <c r="A8639" i="22"/>
  <c r="B8639" i="22" l="1"/>
  <c r="A8640" i="22"/>
  <c r="B8640" i="22" l="1"/>
  <c r="A8641" i="22"/>
  <c r="B8641" i="22" l="1"/>
  <c r="A8642" i="22"/>
  <c r="B8642" i="22" l="1"/>
  <c r="A8643" i="22"/>
  <c r="B8643" i="22" l="1"/>
  <c r="A8644" i="22"/>
  <c r="A8645" i="22" l="1"/>
  <c r="B8644" i="22"/>
  <c r="B8645" i="22" l="1"/>
  <c r="A8646" i="22"/>
  <c r="B8646" i="22" l="1"/>
  <c r="A8647" i="22"/>
  <c r="B8647" i="22" l="1"/>
  <c r="A8648" i="22"/>
  <c r="A8649" i="22" l="1"/>
  <c r="B8648" i="22"/>
  <c r="A8650" i="22" l="1"/>
  <c r="B8649" i="22"/>
  <c r="B8650" i="22" l="1"/>
  <c r="A8651" i="22"/>
  <c r="B8651" i="22" l="1"/>
  <c r="A8652" i="22"/>
  <c r="B8652" i="22" l="1"/>
  <c r="A8653" i="22"/>
  <c r="A8654" i="22" l="1"/>
  <c r="B8653" i="22"/>
  <c r="B8654" i="22" l="1"/>
  <c r="A8655" i="22"/>
  <c r="B8655" i="22" l="1"/>
  <c r="A8656" i="22"/>
  <c r="B8656" i="22" l="1"/>
  <c r="A8657" i="22"/>
  <c r="B8657" i="22" l="1"/>
  <c r="A8658" i="22"/>
  <c r="B8658" i="22" l="1"/>
  <c r="A8659" i="22"/>
  <c r="B8659" i="22" l="1"/>
  <c r="A8660" i="22"/>
  <c r="A8661" i="22" l="1"/>
  <c r="B8660" i="22"/>
  <c r="B8661" i="22" l="1"/>
  <c r="A8662" i="22"/>
  <c r="B8662" i="22" l="1"/>
  <c r="A8663" i="22"/>
  <c r="B8663" i="22" l="1"/>
  <c r="A8664" i="22"/>
  <c r="A8665" i="22" l="1"/>
  <c r="B8664" i="22"/>
  <c r="A8666" i="22" l="1"/>
  <c r="B8665" i="22"/>
  <c r="B8666" i="22" l="1"/>
  <c r="A8667" i="22"/>
  <c r="B8667" i="22" l="1"/>
  <c r="A8668" i="22"/>
  <c r="B8668" i="22" l="1"/>
  <c r="A8669" i="22"/>
  <c r="A8670" i="22" l="1"/>
  <c r="B8669" i="22"/>
  <c r="B8670" i="22" l="1"/>
  <c r="A8671" i="22"/>
  <c r="B8671" i="22" l="1"/>
  <c r="A8672" i="22"/>
  <c r="B8672" i="22" l="1"/>
  <c r="A8673" i="22"/>
  <c r="B8673" i="22" l="1"/>
  <c r="A8674" i="22"/>
  <c r="B8674" i="22" l="1"/>
  <c r="A8675" i="22"/>
  <c r="B8675" i="22" l="1"/>
  <c r="A8676" i="22"/>
  <c r="A8677" i="22" l="1"/>
  <c r="B8676" i="22"/>
  <c r="B8677" i="22" l="1"/>
  <c r="A8678" i="22"/>
  <c r="B8678" i="22" l="1"/>
  <c r="A8679" i="22"/>
  <c r="B8679" i="22" l="1"/>
  <c r="A8680" i="22"/>
  <c r="A8681" i="22" l="1"/>
  <c r="B8680" i="22"/>
  <c r="A8682" i="22" l="1"/>
  <c r="B8681" i="22"/>
  <c r="B8682" i="22" l="1"/>
  <c r="A8683" i="22"/>
  <c r="B8683" i="22" l="1"/>
  <c r="A8684" i="22"/>
  <c r="B8684" i="22" l="1"/>
  <c r="A8685" i="22"/>
  <c r="A8686" i="22" l="1"/>
  <c r="B8685" i="22"/>
  <c r="B8686" i="22" l="1"/>
  <c r="A8687" i="22"/>
  <c r="B8687" i="22" l="1"/>
  <c r="A8688" i="22"/>
  <c r="B8688" i="22" l="1"/>
  <c r="A8689" i="22"/>
  <c r="B8689" i="22" l="1"/>
  <c r="A8690" i="22"/>
  <c r="B8690" i="22" l="1"/>
  <c r="A8691" i="22"/>
  <c r="B8691" i="22" l="1"/>
  <c r="A8692" i="22"/>
  <c r="A8693" i="22" l="1"/>
  <c r="B8692" i="22"/>
  <c r="B8693" i="22" l="1"/>
  <c r="A8694" i="22"/>
  <c r="B8694" i="22" l="1"/>
  <c r="A8695" i="22"/>
  <c r="B8695" i="22" l="1"/>
  <c r="A8696" i="22"/>
  <c r="A8697" i="22" l="1"/>
  <c r="B8696" i="22"/>
  <c r="A8698" i="22" l="1"/>
  <c r="B8697" i="22"/>
  <c r="B8698" i="22" l="1"/>
  <c r="A8699" i="22"/>
  <c r="B8699" i="22" l="1"/>
  <c r="A8700" i="22"/>
  <c r="B8700" i="22" l="1"/>
  <c r="A8701" i="22"/>
  <c r="A8702" i="22" l="1"/>
  <c r="B8701" i="22"/>
  <c r="B8702" i="22" l="1"/>
  <c r="A8703" i="22"/>
  <c r="B8703" i="22" l="1"/>
  <c r="A8704" i="22"/>
  <c r="B8704" i="22" l="1"/>
  <c r="A8705" i="22"/>
  <c r="B8705" i="22" l="1"/>
  <c r="A8706" i="22"/>
  <c r="B8706" i="22" l="1"/>
  <c r="A8707" i="22"/>
  <c r="B8707" i="22" l="1"/>
  <c r="A8708" i="22"/>
  <c r="A8709" i="22" l="1"/>
  <c r="B8708" i="22"/>
  <c r="B8709" i="22" l="1"/>
  <c r="A8710" i="22"/>
  <c r="B8710" i="22" l="1"/>
  <c r="A8711" i="22"/>
  <c r="B8711" i="22" l="1"/>
  <c r="A8712" i="22"/>
  <c r="A8713" i="22" l="1"/>
  <c r="B8712" i="22"/>
  <c r="A8714" i="22" l="1"/>
  <c r="B8713" i="22"/>
  <c r="B8714" i="22" l="1"/>
  <c r="A8715" i="22"/>
  <c r="B8715" i="22" l="1"/>
  <c r="A8716" i="22"/>
  <c r="B8716" i="22" l="1"/>
  <c r="A8717" i="22"/>
  <c r="A8718" i="22" l="1"/>
  <c r="B8717" i="22"/>
  <c r="B8718" i="22" l="1"/>
  <c r="A8719" i="22"/>
  <c r="B8719" i="22" l="1"/>
  <c r="A8720" i="22"/>
  <c r="B8720" i="22" l="1"/>
  <c r="A8721" i="22"/>
  <c r="B8721" i="22" l="1"/>
  <c r="A8722" i="22"/>
  <c r="B8722" i="22" l="1"/>
  <c r="A8723" i="22"/>
  <c r="B8723" i="22" l="1"/>
  <c r="A8724" i="22"/>
  <c r="A8725" i="22" l="1"/>
  <c r="B8724" i="22"/>
  <c r="B8725" i="22" l="1"/>
  <c r="A8726" i="22"/>
  <c r="B8726" i="22" l="1"/>
  <c r="A8727" i="22"/>
  <c r="B8727" i="22" l="1"/>
  <c r="A8728" i="22"/>
  <c r="A8729" i="22" l="1"/>
  <c r="B8728" i="22"/>
  <c r="A8730" i="22" l="1"/>
  <c r="B8729" i="22"/>
  <c r="B8730" i="22" l="1"/>
  <c r="A8731" i="22"/>
  <c r="B8731" i="22" l="1"/>
  <c r="A8732" i="22"/>
  <c r="B8732" i="22" l="1"/>
  <c r="A8733" i="22"/>
  <c r="A8734" i="22" l="1"/>
  <c r="B8733" i="22"/>
  <c r="B8734" i="22" l="1"/>
  <c r="A8735" i="22"/>
  <c r="B8735" i="22" l="1"/>
  <c r="A8736" i="22"/>
  <c r="B8736" i="22" l="1"/>
  <c r="A8737" i="22"/>
  <c r="B8737" i="22" l="1"/>
  <c r="A8738" i="22"/>
  <c r="B8738" i="22" l="1"/>
  <c r="A8739" i="22"/>
  <c r="B8739" i="22" l="1"/>
  <c r="A8740" i="22"/>
  <c r="A8741" i="22" l="1"/>
  <c r="B8740" i="22"/>
  <c r="B8741" i="22" l="1"/>
  <c r="A8742" i="22"/>
  <c r="B8742" i="22" l="1"/>
  <c r="A8743" i="22"/>
  <c r="B8743" i="22" l="1"/>
  <c r="A8744" i="22"/>
  <c r="A8745" i="22" l="1"/>
  <c r="B8744" i="22"/>
  <c r="A8746" i="22" l="1"/>
  <c r="B8745" i="22"/>
  <c r="B8746" i="22" l="1"/>
  <c r="A8747" i="22"/>
  <c r="B8747" i="22" l="1"/>
  <c r="A8748" i="22"/>
  <c r="B8748" i="22" l="1"/>
  <c r="A8749" i="22"/>
  <c r="A8750" i="22" l="1"/>
  <c r="B8749" i="22"/>
  <c r="B8750" i="22" l="1"/>
  <c r="A8751" i="22"/>
  <c r="B8751" i="22" l="1"/>
  <c r="A8752" i="22"/>
  <c r="B8752" i="22" l="1"/>
  <c r="A8753" i="22"/>
  <c r="B8753" i="22" l="1"/>
  <c r="A8754" i="22"/>
  <c r="B8754" i="22" l="1"/>
  <c r="A8755" i="22"/>
  <c r="B8755" i="22" l="1"/>
  <c r="A8756" i="22"/>
  <c r="A8757" i="22" l="1"/>
  <c r="B8756" i="22"/>
  <c r="B8757" i="22" l="1"/>
  <c r="A8758" i="22"/>
  <c r="B8758" i="22" l="1"/>
  <c r="A8759" i="22"/>
  <c r="B8759" i="22" l="1"/>
  <c r="A8760" i="22"/>
  <c r="A8761" i="22" l="1"/>
  <c r="B8760" i="22"/>
  <c r="A8762" i="22" l="1"/>
  <c r="B8761" i="22"/>
  <c r="B8762" i="22" l="1"/>
  <c r="A8763" i="22"/>
  <c r="B8763" i="22" l="1"/>
  <c r="A8764" i="22"/>
  <c r="B8764" i="22" l="1"/>
  <c r="A8765" i="22"/>
  <c r="A8766" i="22" l="1"/>
  <c r="B8765" i="22"/>
  <c r="B8766" i="22" l="1"/>
  <c r="A8767" i="22"/>
  <c r="B8767" i="22" l="1"/>
  <c r="A8768" i="22"/>
  <c r="B8768" i="22" l="1"/>
  <c r="A8769" i="22"/>
  <c r="B8769" i="22" l="1"/>
  <c r="A8770" i="22"/>
  <c r="B8770" i="22" l="1"/>
  <c r="A8771" i="22"/>
  <c r="B8771" i="22" l="1"/>
  <c r="A8772" i="22"/>
  <c r="A8773" i="22" l="1"/>
  <c r="B8772" i="22"/>
  <c r="B8773" i="22" l="1"/>
  <c r="A8774" i="22"/>
  <c r="B8774" i="22" l="1"/>
  <c r="A8775" i="22"/>
  <c r="B8775" i="22" l="1"/>
  <c r="A8776" i="22"/>
  <c r="A8777" i="22" l="1"/>
  <c r="B8776" i="22"/>
  <c r="A8778" i="22" l="1"/>
  <c r="B8777" i="22"/>
  <c r="B8778" i="22" l="1"/>
  <c r="A8779" i="22"/>
  <c r="B8779" i="22" l="1"/>
  <c r="A8780" i="22"/>
  <c r="B8780" i="22" l="1"/>
  <c r="A8781" i="22"/>
  <c r="A8782" i="22" l="1"/>
  <c r="B8781" i="22"/>
  <c r="B8782" i="22" l="1"/>
  <c r="A8783" i="22"/>
  <c r="B8783" i="22" l="1"/>
  <c r="A8784" i="22"/>
  <c r="B8784" i="22" l="1"/>
  <c r="A8785" i="22"/>
  <c r="B8785" i="22" l="1"/>
  <c r="A8786" i="22"/>
  <c r="B8786" i="22" l="1"/>
  <c r="A8787" i="22"/>
  <c r="B8787" i="22" l="1"/>
  <c r="A8788" i="22"/>
  <c r="A8789" i="22" l="1"/>
  <c r="B8788" i="22"/>
  <c r="B8789" i="22" l="1"/>
  <c r="A8790" i="22"/>
  <c r="B8790" i="22" l="1"/>
  <c r="A8791" i="22"/>
  <c r="B8791" i="22" l="1"/>
  <c r="A8792" i="22"/>
  <c r="A8793" i="22" l="1"/>
  <c r="B8792" i="22"/>
  <c r="A8794" i="22" l="1"/>
  <c r="B8793" i="22"/>
  <c r="B8794" i="22" l="1"/>
  <c r="A8795" i="22"/>
  <c r="B8795" i="22" l="1"/>
  <c r="A8796" i="22"/>
  <c r="A8797" i="22" l="1"/>
  <c r="B8796" i="22"/>
  <c r="A8798" i="22" l="1"/>
  <c r="B8797" i="22"/>
  <c r="B8798" i="22" l="1"/>
  <c r="A8799" i="22"/>
  <c r="B8799" i="22" l="1"/>
  <c r="A8800" i="22"/>
  <c r="A8801" i="22" l="1"/>
  <c r="B8800" i="22"/>
  <c r="A8802" i="22" l="1"/>
  <c r="B8801" i="22"/>
  <c r="B8802" i="22" l="1"/>
  <c r="A8803" i="22"/>
  <c r="B8803" i="22" l="1"/>
  <c r="A8804" i="22"/>
  <c r="A8805" i="22" l="1"/>
  <c r="B8804" i="22"/>
  <c r="A8806" i="22" l="1"/>
  <c r="B8805" i="22"/>
  <c r="B8806" i="22" l="1"/>
  <c r="A8807" i="22"/>
  <c r="B8807" i="22" l="1"/>
  <c r="A8808" i="22"/>
  <c r="A8809" i="22" l="1"/>
  <c r="B8808" i="22"/>
  <c r="A8810" i="22" l="1"/>
  <c r="B8809" i="22"/>
  <c r="B8810" i="22" l="1"/>
  <c r="A8811" i="22"/>
  <c r="B8811" i="22" l="1"/>
  <c r="A8812" i="22"/>
  <c r="B8812" i="22" l="1"/>
  <c r="A8813" i="22"/>
  <c r="B8813" i="22" l="1"/>
  <c r="A8814" i="22"/>
  <c r="B8814" i="22" l="1"/>
  <c r="A8815" i="22"/>
  <c r="B8815" i="22" l="1"/>
  <c r="A8816" i="22"/>
  <c r="A8817" i="22" l="1"/>
  <c r="B8816" i="22"/>
  <c r="A8818" i="22" l="1"/>
  <c r="B8817" i="22"/>
  <c r="A8819" i="22" l="1"/>
  <c r="B8818" i="22"/>
  <c r="B8819" i="22" l="1"/>
  <c r="A8820" i="22"/>
  <c r="A8821" i="22" l="1"/>
  <c r="B8820" i="22"/>
  <c r="B8821" i="22" l="1"/>
  <c r="A8822" i="22"/>
  <c r="B8822" i="22" l="1"/>
  <c r="A8823" i="22"/>
  <c r="B8823" i="22" l="1"/>
  <c r="A8824" i="22"/>
  <c r="B8824" i="22" l="1"/>
  <c r="A8825" i="22"/>
  <c r="B8825" i="22" l="1"/>
  <c r="A8826" i="22"/>
  <c r="B8826" i="22" l="1"/>
  <c r="A8827" i="22"/>
  <c r="B8827" i="22" l="1"/>
  <c r="A8828" i="22"/>
  <c r="B8828" i="22" l="1"/>
  <c r="A8829" i="22"/>
  <c r="B8829" i="22" l="1"/>
  <c r="A8830" i="22"/>
  <c r="B8830" i="22" l="1"/>
  <c r="A8831" i="22"/>
  <c r="B8831" i="22" l="1"/>
  <c r="A8832" i="22"/>
  <c r="B8832" i="22" l="1"/>
  <c r="A8833" i="22"/>
  <c r="B8833" i="22" l="1"/>
  <c r="A8834" i="22"/>
  <c r="B8834" i="22" l="1"/>
  <c r="A8835" i="22"/>
  <c r="B8835" i="22" l="1"/>
  <c r="A8836" i="22"/>
  <c r="B8836" i="22" l="1"/>
  <c r="A8837" i="22"/>
  <c r="B8837" i="22" l="1"/>
  <c r="A8838" i="22"/>
  <c r="B8838" i="22" l="1"/>
  <c r="A8839" i="22"/>
  <c r="B8839" i="22" l="1"/>
  <c r="A8840" i="22"/>
  <c r="B8840" i="22" l="1"/>
  <c r="A8841" i="22"/>
  <c r="B8841" i="22" l="1"/>
  <c r="A8842" i="22"/>
  <c r="B8842" i="22" l="1"/>
  <c r="A8843" i="22"/>
  <c r="B8843" i="22" l="1"/>
  <c r="A8844" i="22"/>
  <c r="B8844" i="22" l="1"/>
  <c r="A8845" i="22"/>
  <c r="B8845" i="22" l="1"/>
  <c r="A8846" i="22"/>
  <c r="B8846" i="22" l="1"/>
  <c r="A8847" i="22"/>
  <c r="B8847" i="22" l="1"/>
  <c r="A8848" i="22"/>
  <c r="A8849" i="22" l="1"/>
  <c r="B8848" i="22"/>
  <c r="B8849" i="22" l="1"/>
  <c r="A8850" i="22"/>
  <c r="B8850" i="22" l="1"/>
  <c r="A8851" i="22"/>
  <c r="B8851" i="22" l="1"/>
  <c r="A8852" i="22"/>
  <c r="A8853" i="22" l="1"/>
  <c r="B8852" i="22"/>
  <c r="B8853" i="22" l="1"/>
  <c r="A8854" i="22"/>
  <c r="B8854" i="22" l="1"/>
  <c r="A8855" i="22"/>
  <c r="B8855" i="22" l="1"/>
  <c r="A8856" i="22"/>
  <c r="B8856" i="22" l="1"/>
  <c r="A8857" i="22"/>
  <c r="B8857" i="22" l="1"/>
  <c r="A8858" i="22"/>
  <c r="B8858" i="22" l="1"/>
  <c r="A8859" i="22"/>
  <c r="B8859" i="22" l="1"/>
  <c r="A8860" i="22"/>
  <c r="B8860" i="22" l="1"/>
  <c r="A8861" i="22"/>
  <c r="B8861" i="22" l="1"/>
  <c r="A8862" i="22"/>
  <c r="B8862" i="22" l="1"/>
  <c r="A8863" i="22"/>
  <c r="B8863" i="22" l="1"/>
  <c r="A8864" i="22"/>
  <c r="B8864" i="22" l="1"/>
  <c r="A8865" i="22"/>
  <c r="B8865" i="22" l="1"/>
  <c r="A8866" i="22"/>
  <c r="B8866" i="22" l="1"/>
  <c r="A8867" i="22"/>
  <c r="B8867" i="22" l="1"/>
  <c r="A8868" i="22"/>
  <c r="B8868" i="22" l="1"/>
  <c r="A8869" i="22"/>
  <c r="B8869" i="22" l="1"/>
  <c r="A8870" i="22"/>
  <c r="B8870" i="22" l="1"/>
  <c r="A8871" i="22"/>
  <c r="B8871" i="22" l="1"/>
  <c r="A8872" i="22"/>
  <c r="B8872" i="22" l="1"/>
  <c r="A8873" i="22"/>
  <c r="B8873" i="22" l="1"/>
  <c r="A8874" i="22"/>
  <c r="B8874" i="22" l="1"/>
  <c r="A8875" i="22"/>
  <c r="B8875" i="22" l="1"/>
  <c r="A8876" i="22"/>
  <c r="B8876" i="22" l="1"/>
  <c r="A8877" i="22"/>
  <c r="A8878" i="22" l="1"/>
  <c r="B8877" i="22"/>
  <c r="B8878" i="22" l="1"/>
  <c r="A8879" i="22"/>
  <c r="A8880" i="22" l="1"/>
  <c r="B8879" i="22"/>
  <c r="B8880" i="22" l="1"/>
  <c r="A8881" i="22"/>
  <c r="B8881" i="22" l="1"/>
  <c r="A8882" i="22"/>
  <c r="B8882" i="22" l="1"/>
  <c r="A8883" i="22"/>
  <c r="B8883" i="22" l="1"/>
  <c r="A8884" i="22"/>
  <c r="B8884" i="22" l="1"/>
  <c r="A8885" i="22"/>
  <c r="B8885" i="22" l="1"/>
  <c r="A8886" i="22"/>
  <c r="A8887" i="22" l="1"/>
  <c r="B8886" i="22"/>
  <c r="B8887" i="22" l="1"/>
  <c r="A8888" i="22"/>
  <c r="B8888" i="22" l="1"/>
  <c r="A8889" i="22"/>
  <c r="B8889" i="22" l="1"/>
  <c r="A8890" i="22"/>
  <c r="A8891" i="22" l="1"/>
  <c r="B8890" i="22"/>
  <c r="B8891" i="22" l="1"/>
  <c r="A8892" i="22"/>
  <c r="B8892" i="22" l="1"/>
  <c r="A8893" i="22"/>
  <c r="B8893" i="22" l="1"/>
  <c r="A8894" i="22"/>
  <c r="A8895" i="22" l="1"/>
  <c r="B8894" i="22"/>
  <c r="B8895" i="22" l="1"/>
  <c r="A8896" i="22"/>
  <c r="B8896" i="22" l="1"/>
  <c r="A8897" i="22"/>
  <c r="B8897" i="22" l="1"/>
  <c r="A8898" i="22"/>
  <c r="A8899" i="22" l="1"/>
  <c r="B8898" i="22"/>
  <c r="B8899" i="22" l="1"/>
  <c r="A8900" i="22"/>
  <c r="B8900" i="22" l="1"/>
  <c r="A8901" i="22"/>
  <c r="B8901" i="22" l="1"/>
  <c r="A8902" i="22"/>
  <c r="A8903" i="22" l="1"/>
  <c r="B8902" i="22"/>
  <c r="B8903" i="22" l="1"/>
  <c r="A8904" i="22"/>
  <c r="B8904" i="22" l="1"/>
  <c r="A8905" i="22"/>
  <c r="B8905" i="22" l="1"/>
  <c r="A8906" i="22"/>
  <c r="A8907" i="22" l="1"/>
  <c r="B8906" i="22"/>
  <c r="B8907" i="22" l="1"/>
  <c r="A8908" i="22"/>
  <c r="B8908" i="22" l="1"/>
  <c r="A8909" i="22"/>
  <c r="B8909" i="22" l="1"/>
  <c r="A8910" i="22"/>
  <c r="A8911" i="22" l="1"/>
  <c r="B8910" i="22"/>
  <c r="B8911" i="22" l="1"/>
  <c r="A8912" i="22"/>
  <c r="B8912" i="22" l="1"/>
  <c r="A8913" i="22"/>
  <c r="B8913" i="22" l="1"/>
  <c r="A8914" i="22"/>
  <c r="A8915" i="22" l="1"/>
  <c r="B8914" i="22"/>
  <c r="B8915" i="22" l="1"/>
  <c r="A8916" i="22"/>
  <c r="B8916" i="22" l="1"/>
  <c r="A8917" i="22"/>
  <c r="B8917" i="22" l="1"/>
  <c r="A8918" i="22"/>
  <c r="A8919" i="22" l="1"/>
  <c r="B8918" i="22"/>
  <c r="B8919" i="22" l="1"/>
  <c r="A8920" i="22"/>
  <c r="B8920" i="22" l="1"/>
  <c r="A8921" i="22"/>
  <c r="B8921" i="22" l="1"/>
  <c r="A8922" i="22"/>
  <c r="A8923" i="22" l="1"/>
  <c r="B8922" i="22"/>
  <c r="B8923" i="22" l="1"/>
  <c r="A8924" i="22"/>
  <c r="B8924" i="22" l="1"/>
  <c r="A8925" i="22"/>
  <c r="B8925" i="22" l="1"/>
  <c r="A8926" i="22"/>
  <c r="A8927" i="22" l="1"/>
  <c r="B8926" i="22"/>
  <c r="B8927" i="22" l="1"/>
  <c r="A8928" i="22"/>
  <c r="B8928" i="22" l="1"/>
  <c r="A8929" i="22"/>
  <c r="B8929" i="22" l="1"/>
  <c r="A8930" i="22"/>
  <c r="A8931" i="22" l="1"/>
  <c r="B8930" i="22"/>
  <c r="B8931" i="22" l="1"/>
  <c r="A8932" i="22"/>
  <c r="B8932" i="22" l="1"/>
  <c r="A8933" i="22"/>
  <c r="B8933" i="22" l="1"/>
  <c r="A8934" i="22"/>
  <c r="A8935" i="22" l="1"/>
  <c r="B8934" i="22"/>
  <c r="B8935" i="22" l="1"/>
  <c r="A8936" i="22"/>
  <c r="B8936" i="22" l="1"/>
  <c r="A8937" i="22"/>
  <c r="B8937" i="22" l="1"/>
  <c r="A8938" i="22"/>
  <c r="A8939" i="22" l="1"/>
  <c r="B8938" i="22"/>
  <c r="B8939" i="22" l="1"/>
  <c r="A8940" i="22"/>
  <c r="B8940" i="22" l="1"/>
  <c r="A8941" i="22"/>
  <c r="B8941" i="22" l="1"/>
  <c r="A8942" i="22"/>
  <c r="A8943" i="22" l="1"/>
  <c r="B8942" i="22"/>
  <c r="B8943" i="22" l="1"/>
  <c r="A8944" i="22"/>
  <c r="B8944" i="22" l="1"/>
  <c r="A8945" i="22"/>
  <c r="B8945" i="22" l="1"/>
  <c r="A8946" i="22"/>
  <c r="A8947" i="22" l="1"/>
  <c r="B8946" i="22"/>
  <c r="B8947" i="22" l="1"/>
  <c r="A8948" i="22"/>
  <c r="B8948" i="22" l="1"/>
  <c r="A8949" i="22"/>
  <c r="B8949" i="22" l="1"/>
  <c r="A8950" i="22"/>
  <c r="A8951" i="22" l="1"/>
  <c r="B8950" i="22"/>
  <c r="B8951" i="22" l="1"/>
  <c r="A8952" i="22"/>
  <c r="B8952" i="22" l="1"/>
  <c r="A8953" i="22"/>
  <c r="B8953" i="22" l="1"/>
  <c r="A8954" i="22"/>
  <c r="A8955" i="22" l="1"/>
  <c r="B8954" i="22"/>
  <c r="B8955" i="22" l="1"/>
  <c r="A8956" i="22"/>
  <c r="B8956" i="22" l="1"/>
  <c r="A8957" i="22"/>
  <c r="B8957" i="22" l="1"/>
  <c r="A8958" i="22"/>
  <c r="A8959" i="22" l="1"/>
  <c r="B8958" i="22"/>
  <c r="B8959" i="22" l="1"/>
  <c r="A8960" i="22"/>
  <c r="B8960" i="22" l="1"/>
  <c r="A8961" i="22"/>
  <c r="B8961" i="22" l="1"/>
  <c r="A8962" i="22"/>
  <c r="A8963" i="22" l="1"/>
  <c r="B8962" i="22"/>
  <c r="B8963" i="22" l="1"/>
  <c r="A8964" i="22"/>
  <c r="B8964" i="22" l="1"/>
  <c r="A8965" i="22"/>
  <c r="B8965" i="22" l="1"/>
  <c r="A8966" i="22"/>
  <c r="A8967" i="22" l="1"/>
  <c r="B8966" i="22"/>
  <c r="B8967" i="22" l="1"/>
  <c r="A8968" i="22"/>
  <c r="B8968" i="22" l="1"/>
  <c r="A8969" i="22"/>
  <c r="B8969" i="22" l="1"/>
  <c r="A8970" i="22"/>
  <c r="A8971" i="22" l="1"/>
  <c r="B8970" i="22"/>
  <c r="B8971" i="22" l="1"/>
  <c r="A8972" i="22"/>
  <c r="B8972" i="22" l="1"/>
  <c r="A8973" i="22"/>
  <c r="B8973" i="22" l="1"/>
  <c r="A8974" i="22"/>
  <c r="A8975" i="22" l="1"/>
  <c r="B8974" i="22"/>
  <c r="B8975" i="22" l="1"/>
  <c r="A8976" i="22"/>
  <c r="B8976" i="22" l="1"/>
  <c r="A8977" i="22"/>
  <c r="B8977" i="22" l="1"/>
  <c r="A8978" i="22"/>
  <c r="A8979" i="22" l="1"/>
  <c r="B8978" i="22"/>
  <c r="B8979" i="22" l="1"/>
  <c r="A8980" i="22"/>
  <c r="B8980" i="22" l="1"/>
  <c r="A8981" i="22"/>
  <c r="B8981" i="22" l="1"/>
  <c r="A8982" i="22"/>
  <c r="A8983" i="22" l="1"/>
  <c r="B8982" i="22"/>
  <c r="B8983" i="22" l="1"/>
  <c r="A8984" i="22"/>
  <c r="B8984" i="22" l="1"/>
  <c r="A8985" i="22"/>
  <c r="B8985" i="22" l="1"/>
  <c r="A8986" i="22"/>
  <c r="A8987" i="22" l="1"/>
  <c r="B8986" i="22"/>
  <c r="B8987" i="22" l="1"/>
  <c r="A8988" i="22"/>
  <c r="B8988" i="22" l="1"/>
  <c r="A8989" i="22"/>
  <c r="B8989" i="22" l="1"/>
  <c r="A8990" i="22"/>
  <c r="A8991" i="22" l="1"/>
  <c r="B8990" i="22"/>
  <c r="B8991" i="22" l="1"/>
  <c r="A8992" i="22"/>
  <c r="B8992" i="22" l="1"/>
  <c r="A8993" i="22"/>
  <c r="B8993" i="22" l="1"/>
  <c r="A8994" i="22"/>
  <c r="A8995" i="22" l="1"/>
  <c r="B8994" i="22"/>
  <c r="B8995" i="22" l="1"/>
  <c r="A8996" i="22"/>
  <c r="B8996" i="22" l="1"/>
  <c r="A8997" i="22"/>
  <c r="B8997" i="22" l="1"/>
  <c r="A8998" i="22"/>
  <c r="A8999" i="22" l="1"/>
  <c r="B8998" i="22"/>
  <c r="B8999" i="22" l="1"/>
  <c r="A9000" i="22"/>
  <c r="B9000" i="22" l="1"/>
  <c r="A9001" i="22"/>
  <c r="B9001" i="22" l="1"/>
  <c r="A9002" i="22"/>
  <c r="A9003" i="22" l="1"/>
  <c r="B9002" i="22"/>
  <c r="B9003" i="22" l="1"/>
  <c r="A9004" i="22"/>
  <c r="B9004" i="22" l="1"/>
  <c r="A9005" i="22"/>
  <c r="B9005" i="22" l="1"/>
  <c r="A9006" i="22"/>
  <c r="A9007" i="22" l="1"/>
  <c r="B9006" i="22"/>
  <c r="B9007" i="22" l="1"/>
  <c r="A9008" i="22"/>
  <c r="B9008" i="22" l="1"/>
  <c r="A9009" i="22"/>
  <c r="B9009" i="22" l="1"/>
  <c r="A9010" i="22"/>
  <c r="A9011" i="22" l="1"/>
  <c r="B9010" i="22"/>
  <c r="B9011" i="22" l="1"/>
  <c r="A9012" i="22"/>
  <c r="B9012" i="22" l="1"/>
  <c r="A9013" i="22"/>
  <c r="B9013" i="22" l="1"/>
  <c r="A9014" i="22"/>
  <c r="A9015" i="22" l="1"/>
  <c r="B9014" i="22"/>
  <c r="B9015" i="22" l="1"/>
  <c r="A9016" i="22"/>
  <c r="B9016" i="22" l="1"/>
  <c r="A9017" i="22"/>
  <c r="B9017" i="22" l="1"/>
  <c r="A9018" i="22"/>
  <c r="A9019" i="22" l="1"/>
  <c r="B9018" i="22"/>
  <c r="B9019" i="22" l="1"/>
  <c r="A9020" i="22"/>
  <c r="B9020" i="22" l="1"/>
  <c r="A9021" i="22"/>
  <c r="B9021" i="22" l="1"/>
  <c r="A9022" i="22"/>
  <c r="A9023" i="22" l="1"/>
  <c r="B9022" i="22"/>
  <c r="B9023" i="22" l="1"/>
  <c r="A9024" i="22"/>
  <c r="B9024" i="22" l="1"/>
  <c r="A9025" i="22"/>
  <c r="B9025" i="22" l="1"/>
  <c r="A9026" i="22"/>
  <c r="A9027" i="22" l="1"/>
  <c r="B9026" i="22"/>
  <c r="B9027" i="22" l="1"/>
  <c r="A9028" i="22"/>
  <c r="B9028" i="22" l="1"/>
  <c r="A9029" i="22"/>
  <c r="B9029" i="22" l="1"/>
  <c r="A9030" i="22"/>
  <c r="A9031" i="22" l="1"/>
  <c r="B9030" i="22"/>
  <c r="B9031" i="22" l="1"/>
  <c r="A9032" i="22"/>
  <c r="B9032" i="22" l="1"/>
  <c r="A9033" i="22"/>
  <c r="B9033" i="22" l="1"/>
  <c r="A9034" i="22"/>
  <c r="A9035" i="22" l="1"/>
  <c r="B9034" i="22"/>
  <c r="B9035" i="22" l="1"/>
  <c r="A9036" i="22"/>
  <c r="B9036" i="22" l="1"/>
  <c r="A9037" i="22"/>
  <c r="B9037" i="22" l="1"/>
  <c r="A9038" i="22"/>
  <c r="A9039" i="22" l="1"/>
  <c r="B9038" i="22"/>
  <c r="B9039" i="22" l="1"/>
  <c r="A9040" i="22"/>
  <c r="B9040" i="22" l="1"/>
  <c r="A9041" i="22"/>
  <c r="B9041" i="22" l="1"/>
  <c r="A9042" i="22"/>
  <c r="A9043" i="22" l="1"/>
  <c r="B9042" i="22"/>
  <c r="B9043" i="22" l="1"/>
  <c r="A9044" i="22"/>
  <c r="B9044" i="22" l="1"/>
  <c r="A9045" i="22"/>
  <c r="B9045" i="22" l="1"/>
  <c r="A9046" i="22"/>
  <c r="A9047" i="22" l="1"/>
  <c r="B9046" i="22"/>
  <c r="B9047" i="22" l="1"/>
  <c r="A9048" i="22"/>
  <c r="B9048" i="22" l="1"/>
  <c r="A9049" i="22"/>
  <c r="B9049" i="22" l="1"/>
  <c r="A9050" i="22"/>
  <c r="A9051" i="22" l="1"/>
  <c r="B9050" i="22"/>
  <c r="B9051" i="22" l="1"/>
  <c r="A9052" i="22"/>
  <c r="A9053" i="22" l="1"/>
  <c r="B9052" i="22"/>
  <c r="B9053" i="22" l="1"/>
  <c r="A9054" i="22"/>
  <c r="A9055" i="22" l="1"/>
  <c r="B9054" i="22"/>
  <c r="B9055" i="22" l="1"/>
  <c r="A9056" i="22"/>
  <c r="A9057" i="22" l="1"/>
  <c r="B9056" i="22"/>
  <c r="B9057" i="22" l="1"/>
  <c r="A9058" i="22"/>
  <c r="A9059" i="22" l="1"/>
  <c r="B9058" i="22"/>
  <c r="B9059" i="22" l="1"/>
  <c r="A9060" i="22"/>
  <c r="A9061" i="22" l="1"/>
  <c r="B9060" i="22"/>
  <c r="B9061" i="22" l="1"/>
  <c r="A9062" i="22"/>
  <c r="A9063" i="22" l="1"/>
  <c r="B9062" i="22"/>
  <c r="B9063" i="22" l="1"/>
  <c r="A9064" i="22"/>
  <c r="A9065" i="22" l="1"/>
  <c r="B9064" i="22"/>
  <c r="B9065" i="22" l="1"/>
  <c r="A9066" i="22"/>
  <c r="A9067" i="22" l="1"/>
  <c r="B9066" i="22"/>
  <c r="B9067" i="22" l="1"/>
  <c r="A9068" i="22"/>
  <c r="A9069" i="22" l="1"/>
  <c r="B9068" i="22"/>
  <c r="B9069" i="22" l="1"/>
  <c r="A9070" i="22"/>
  <c r="A9071" i="22" l="1"/>
  <c r="B9070" i="22"/>
  <c r="B9071" i="22" l="1"/>
  <c r="A9072" i="22"/>
  <c r="A9073" i="22" l="1"/>
  <c r="B9072" i="22"/>
  <c r="B9073" i="22" l="1"/>
  <c r="A9074" i="22"/>
  <c r="A9075" i="22" l="1"/>
  <c r="B9074" i="22"/>
  <c r="B9075" i="22" l="1"/>
  <c r="A9076" i="22"/>
  <c r="A9077" i="22" l="1"/>
  <c r="B9076" i="22"/>
  <c r="B9077" i="22" l="1"/>
  <c r="A9078" i="22"/>
  <c r="A9079" i="22" l="1"/>
  <c r="B9078" i="22"/>
  <c r="B9079" i="22" l="1"/>
  <c r="A9080" i="22"/>
  <c r="A9081" i="22" l="1"/>
  <c r="B9080" i="22"/>
  <c r="B9081" i="22" l="1"/>
  <c r="A9082" i="22"/>
  <c r="A9083" i="22" l="1"/>
  <c r="B9082" i="22"/>
  <c r="B9083" i="22" l="1"/>
  <c r="A9084" i="22"/>
  <c r="A9085" i="22" l="1"/>
  <c r="B9084" i="22"/>
  <c r="B9085" i="22" l="1"/>
  <c r="A9086" i="22"/>
  <c r="A9087" i="22" l="1"/>
  <c r="B9086" i="22"/>
  <c r="B9087" i="22" l="1"/>
  <c r="A9088" i="22"/>
  <c r="A9089" i="22" l="1"/>
  <c r="B9088" i="22"/>
  <c r="B9089" i="22" l="1"/>
  <c r="A9090" i="22"/>
  <c r="A9091" i="22" l="1"/>
  <c r="B9090" i="22"/>
  <c r="B9091" i="22" l="1"/>
  <c r="A9092" i="22"/>
  <c r="A9093" i="22" l="1"/>
  <c r="B9092" i="22"/>
  <c r="B9093" i="22" l="1"/>
  <c r="A9094" i="22"/>
  <c r="A9095" i="22" l="1"/>
  <c r="B9094" i="22"/>
  <c r="B9095" i="22" l="1"/>
  <c r="A9096" i="22"/>
  <c r="A9097" i="22" l="1"/>
  <c r="B9096" i="22"/>
  <c r="B9097" i="22" l="1"/>
  <c r="A9098" i="22"/>
  <c r="A9099" i="22" l="1"/>
  <c r="B9098" i="22"/>
  <c r="B9099" i="22" l="1"/>
  <c r="A9100" i="22"/>
  <c r="A9101" i="22" l="1"/>
  <c r="B9100" i="22"/>
  <c r="B9101" i="22" l="1"/>
  <c r="A9102" i="22"/>
  <c r="A9103" i="22" l="1"/>
  <c r="B9102" i="22"/>
  <c r="B9103" i="22" l="1"/>
  <c r="A9104" i="22"/>
  <c r="A9105" i="22" l="1"/>
  <c r="B9104" i="22"/>
  <c r="B9105" i="22" l="1"/>
  <c r="A9106" i="22"/>
  <c r="A9107" i="22" l="1"/>
  <c r="B9106" i="22"/>
  <c r="B9107" i="22" l="1"/>
  <c r="A9108" i="22"/>
  <c r="A9109" i="22" l="1"/>
  <c r="B9108" i="22"/>
  <c r="B9109" i="22" l="1"/>
  <c r="A9110" i="22"/>
  <c r="A9111" i="22" l="1"/>
  <c r="B9110" i="22"/>
  <c r="A9112" i="22" l="1"/>
  <c r="B9111" i="22"/>
  <c r="B9112" i="22" l="1"/>
  <c r="A9113" i="22"/>
  <c r="B9113" i="22" l="1"/>
  <c r="A9114" i="22"/>
  <c r="A9115" i="22" l="1"/>
  <c r="B9114" i="22"/>
  <c r="A9116" i="22" l="1"/>
  <c r="B9115" i="22"/>
  <c r="B9116" i="22" l="1"/>
  <c r="A9117" i="22"/>
  <c r="B9117" i="22" l="1"/>
  <c r="A9118" i="22"/>
  <c r="A9119" i="22" l="1"/>
  <c r="B9118" i="22"/>
  <c r="B9119" i="22" l="1"/>
  <c r="A9120" i="22"/>
  <c r="B9120" i="22" l="1"/>
  <c r="A9121" i="22"/>
  <c r="B9121" i="22" l="1"/>
  <c r="A9122" i="22"/>
  <c r="A9123" i="22" l="1"/>
  <c r="B9122" i="22"/>
  <c r="B9123" i="22" l="1"/>
  <c r="A9124" i="22"/>
  <c r="B9124" i="22" l="1"/>
  <c r="A9125" i="22"/>
  <c r="B9125" i="22" l="1"/>
  <c r="A9126" i="22"/>
  <c r="A9127" i="22" l="1"/>
  <c r="B9126" i="22"/>
  <c r="B9127" i="22" l="1"/>
  <c r="A9128" i="22"/>
  <c r="B9128" i="22" l="1"/>
  <c r="A9129" i="22"/>
  <c r="B9129" i="22" l="1"/>
  <c r="A9130" i="22"/>
  <c r="A9131" i="22" l="1"/>
  <c r="B9130" i="22"/>
  <c r="B9131" i="22" l="1"/>
  <c r="A9132" i="22"/>
  <c r="B9132" i="22" l="1"/>
  <c r="A9133" i="22"/>
  <c r="B9133" i="22" l="1"/>
  <c r="A9134" i="22"/>
  <c r="A9135" i="22" l="1"/>
  <c r="B9134" i="22"/>
  <c r="B9135" i="22" l="1"/>
  <c r="A9136" i="22"/>
  <c r="A9137" i="22" l="1"/>
  <c r="B9136" i="22"/>
  <c r="B9137" i="22" l="1"/>
  <c r="A9138" i="22"/>
  <c r="A9139" i="22" l="1"/>
  <c r="B9138" i="22"/>
  <c r="B9139" i="22" l="1"/>
  <c r="A9140" i="22"/>
  <c r="A9141" i="22" l="1"/>
  <c r="B9140" i="22"/>
  <c r="B9141" i="22" l="1"/>
  <c r="A9142" i="22"/>
  <c r="A9143" i="22" l="1"/>
  <c r="B9142" i="22"/>
  <c r="A9144" i="22" l="1"/>
  <c r="B9143" i="22"/>
  <c r="B9144" i="22" l="1"/>
  <c r="A9145" i="22"/>
  <c r="B9145" i="22" l="1"/>
  <c r="A9146" i="22"/>
  <c r="A9147" i="22" l="1"/>
  <c r="B9146" i="22"/>
  <c r="A9148" i="22" l="1"/>
  <c r="B9147" i="22"/>
  <c r="B9148" i="22" l="1"/>
  <c r="A9149" i="22"/>
  <c r="B9149" i="22" l="1"/>
  <c r="A9150" i="22"/>
  <c r="A9151" i="22" l="1"/>
  <c r="B9150" i="22"/>
  <c r="B9151" i="22" l="1"/>
  <c r="A9152" i="22"/>
  <c r="B9152" i="22" l="1"/>
  <c r="A9153" i="22"/>
  <c r="B9153" i="22" l="1"/>
  <c r="A9154" i="22"/>
  <c r="A9155" i="22" l="1"/>
  <c r="B9154" i="22"/>
  <c r="B9155" i="22" l="1"/>
  <c r="A9156" i="22"/>
  <c r="B9156" i="22" l="1"/>
  <c r="A9157" i="22"/>
  <c r="B9157" i="22" l="1"/>
  <c r="A9158" i="22"/>
  <c r="A9159" i="22" l="1"/>
  <c r="B9158" i="22"/>
  <c r="B9159" i="22" l="1"/>
  <c r="A9160" i="22"/>
  <c r="B9160" i="22" l="1"/>
  <c r="A9161" i="22"/>
  <c r="B9161" i="22" l="1"/>
  <c r="A9162" i="22"/>
  <c r="A9163" i="22" l="1"/>
  <c r="B9162" i="22"/>
  <c r="B9163" i="22" l="1"/>
  <c r="A9164" i="22"/>
  <c r="B9164" i="22" l="1"/>
  <c r="A9165" i="22"/>
  <c r="A9166" i="22" l="1"/>
  <c r="B9165" i="22"/>
  <c r="A9167" i="22" l="1"/>
  <c r="B9166" i="22"/>
  <c r="B9167" i="22" l="1"/>
  <c r="A9168" i="22"/>
  <c r="B9168" i="22" l="1"/>
  <c r="A9169" i="22"/>
  <c r="A9170" i="22" l="1"/>
  <c r="B9169" i="22"/>
  <c r="A9171" i="22" l="1"/>
  <c r="B9170" i="22"/>
  <c r="A9172" i="22" l="1"/>
  <c r="B9171" i="22"/>
  <c r="B9172" i="22" l="1"/>
  <c r="A9173" i="22"/>
  <c r="A9174" i="22" l="1"/>
  <c r="B9173" i="22"/>
  <c r="A9175" i="22" l="1"/>
  <c r="B9174" i="22"/>
  <c r="B9175" i="22" l="1"/>
  <c r="A9176" i="22"/>
  <c r="A9177" i="22" l="1"/>
  <c r="B9176" i="22"/>
  <c r="A9178" i="22" l="1"/>
  <c r="B9177" i="22"/>
  <c r="A9179" i="22" l="1"/>
  <c r="B9178" i="22"/>
  <c r="B9179" i="22" l="1"/>
  <c r="A9180" i="22"/>
  <c r="B9180" i="22" l="1"/>
  <c r="A9181" i="22"/>
  <c r="A9182" i="22" l="1"/>
  <c r="B9181" i="22"/>
  <c r="A9183" i="22" l="1"/>
  <c r="B9182" i="22"/>
  <c r="B9183" i="22" l="1"/>
  <c r="A9184" i="22"/>
  <c r="B9184" i="22" l="1"/>
  <c r="A9185" i="22"/>
  <c r="A9186" i="22" l="1"/>
  <c r="B9185" i="22"/>
  <c r="A9187" i="22" l="1"/>
  <c r="B9186" i="22"/>
  <c r="A9188" i="22" l="1"/>
  <c r="B9187" i="22"/>
  <c r="B9188" i="22" l="1"/>
  <c r="A9189" i="22"/>
  <c r="A9190" i="22" l="1"/>
  <c r="B9189" i="22"/>
  <c r="A9191" i="22" l="1"/>
  <c r="B9190" i="22"/>
  <c r="B9191" i="22" l="1"/>
  <c r="A9192" i="22"/>
  <c r="A9193" i="22" l="1"/>
  <c r="B9192" i="22"/>
  <c r="A9194" i="22" l="1"/>
  <c r="B9193" i="22"/>
  <c r="A9195" i="22" l="1"/>
  <c r="B9194" i="22"/>
  <c r="B9195" i="22" l="1"/>
  <c r="A9196" i="22"/>
  <c r="B9196" i="22" l="1"/>
  <c r="A9197" i="22"/>
  <c r="A9198" i="22" l="1"/>
  <c r="B9197" i="22"/>
  <c r="A9199" i="22" l="1"/>
  <c r="B9198" i="22"/>
  <c r="B9199" i="22" l="1"/>
  <c r="A9200" i="22"/>
  <c r="B9200" i="22" l="1"/>
  <c r="A9201" i="22"/>
  <c r="A9202" i="22" l="1"/>
  <c r="B9201" i="22"/>
  <c r="A9203" i="22" l="1"/>
  <c r="B9202" i="22"/>
  <c r="A9204" i="22" l="1"/>
  <c r="B9203" i="22"/>
  <c r="B9204" i="22" l="1"/>
  <c r="A9205" i="22"/>
  <c r="A9206" i="22" l="1"/>
  <c r="B9205" i="22"/>
  <c r="A9207" i="22" l="1"/>
  <c r="B9206" i="22"/>
  <c r="B9207" i="22" l="1"/>
  <c r="A9208" i="22"/>
  <c r="A9209" i="22" l="1"/>
  <c r="B9208" i="22"/>
  <c r="A9210" i="22" l="1"/>
  <c r="B9209" i="22"/>
  <c r="A9211" i="22" l="1"/>
  <c r="B9210" i="22"/>
  <c r="B9211" i="22" l="1"/>
  <c r="A9212" i="22"/>
  <c r="B9212" i="22" l="1"/>
  <c r="A9213" i="22"/>
  <c r="A9214" i="22" l="1"/>
  <c r="B9213" i="22"/>
  <c r="A9215" i="22" l="1"/>
  <c r="B9214" i="22"/>
  <c r="B9215" i="22" l="1"/>
  <c r="A9216" i="22"/>
  <c r="B9216" i="22" l="1"/>
  <c r="A9217" i="22"/>
  <c r="A9218" i="22" l="1"/>
  <c r="B9217" i="22"/>
  <c r="A9219" i="22" l="1"/>
  <c r="B9218" i="22"/>
  <c r="A9220" i="22" l="1"/>
  <c r="B9219" i="22"/>
  <c r="B9220" i="22" l="1"/>
  <c r="A9221" i="22"/>
  <c r="A9222" i="22" l="1"/>
  <c r="B9221" i="22"/>
  <c r="A9223" i="22" l="1"/>
  <c r="B9222" i="22"/>
  <c r="B9223" i="22" l="1"/>
  <c r="A9224" i="22"/>
  <c r="A9225" i="22" l="1"/>
  <c r="B9224" i="22"/>
  <c r="A9226" i="22" l="1"/>
  <c r="B9225" i="22"/>
  <c r="A9227" i="22" l="1"/>
  <c r="B9226" i="22"/>
  <c r="B9227" i="22" l="1"/>
  <c r="A9228" i="22"/>
  <c r="B9228" i="22" l="1"/>
  <c r="A9229" i="22"/>
  <c r="A9230" i="22" l="1"/>
  <c r="B9229" i="22"/>
  <c r="A9231" i="22" l="1"/>
  <c r="B9230" i="22"/>
  <c r="B9231" i="22" l="1"/>
  <c r="A9232" i="22"/>
  <c r="B9232" i="22" l="1"/>
  <c r="A9233" i="22"/>
  <c r="A9234" i="22" l="1"/>
  <c r="B9233" i="22"/>
  <c r="A9235" i="22" l="1"/>
  <c r="B9234" i="22"/>
  <c r="A9236" i="22" l="1"/>
  <c r="B9235" i="22"/>
  <c r="B9236" i="22" l="1"/>
  <c r="A9237" i="22"/>
  <c r="A9238" i="22" l="1"/>
  <c r="B9237" i="22"/>
  <c r="A9239" i="22" l="1"/>
  <c r="B9238" i="22"/>
  <c r="B9239" i="22" l="1"/>
  <c r="A9240" i="22"/>
  <c r="A9241" i="22" l="1"/>
  <c r="B9240" i="22"/>
  <c r="A9242" i="22" l="1"/>
  <c r="B9241" i="22"/>
  <c r="A9243" i="22" l="1"/>
  <c r="B9242" i="22"/>
  <c r="B9243" i="22" l="1"/>
  <c r="A9244" i="22"/>
  <c r="B9244" i="22" l="1"/>
  <c r="A9245" i="22"/>
  <c r="A9246" i="22" l="1"/>
  <c r="B9245" i="22"/>
  <c r="A9247" i="22" l="1"/>
  <c r="B9246" i="22"/>
  <c r="B9247" i="22" l="1"/>
  <c r="A9248" i="22"/>
  <c r="B9248" i="22" l="1"/>
  <c r="A9249" i="22"/>
  <c r="A9250" i="22" l="1"/>
  <c r="B9249" i="22"/>
  <c r="A9251" i="22" l="1"/>
  <c r="B9250" i="22"/>
  <c r="A9252" i="22" l="1"/>
  <c r="B9251" i="22"/>
  <c r="B9252" i="22" l="1"/>
  <c r="A9253" i="22"/>
  <c r="A9254" i="22" l="1"/>
  <c r="B9253" i="22"/>
  <c r="A9255" i="22" l="1"/>
  <c r="B9254" i="22"/>
  <c r="B9255" i="22" l="1"/>
  <c r="A9256" i="22"/>
  <c r="A9257" i="22" l="1"/>
  <c r="B9256" i="22"/>
  <c r="A9258" i="22" l="1"/>
  <c r="B9257" i="22"/>
  <c r="A9259" i="22" l="1"/>
  <c r="B9258" i="22"/>
  <c r="B9259" i="22" l="1"/>
  <c r="A9260" i="22"/>
  <c r="B9260" i="22" l="1"/>
  <c r="A9261" i="22"/>
  <c r="A9262" i="22" l="1"/>
  <c r="B9261" i="22"/>
  <c r="A9263" i="22" l="1"/>
  <c r="B9262" i="22"/>
  <c r="B9263" i="22" l="1"/>
  <c r="A9264" i="22"/>
  <c r="B9264" i="22" l="1"/>
  <c r="A9265" i="22"/>
  <c r="A9266" i="22" l="1"/>
  <c r="B9265" i="22"/>
  <c r="A9267" i="22" l="1"/>
  <c r="B9266" i="22"/>
  <c r="A9268" i="22" l="1"/>
  <c r="B9267" i="22"/>
  <c r="B9268" i="22" l="1"/>
  <c r="A9269" i="22"/>
  <c r="A9270" i="22" l="1"/>
  <c r="B9269" i="22"/>
  <c r="A9271" i="22" l="1"/>
  <c r="B9270" i="22"/>
  <c r="B9271" i="22" l="1"/>
  <c r="A9272" i="22"/>
  <c r="A9273" i="22" l="1"/>
  <c r="B9272" i="22"/>
  <c r="A9274" i="22" l="1"/>
  <c r="B9273" i="22"/>
  <c r="A9275" i="22" l="1"/>
  <c r="B9274" i="22"/>
  <c r="B9275" i="22" l="1"/>
  <c r="A9276" i="22"/>
  <c r="B9276" i="22" l="1"/>
  <c r="A9277" i="22"/>
  <c r="A9278" i="22" l="1"/>
  <c r="B9277" i="22"/>
  <c r="A9279" i="22" l="1"/>
  <c r="B9278" i="22"/>
  <c r="B9279" i="22" l="1"/>
  <c r="A9280" i="22"/>
  <c r="B9280" i="22" l="1"/>
  <c r="A9281" i="22"/>
  <c r="A9282" i="22" l="1"/>
  <c r="B9281" i="22"/>
  <c r="A9283" i="22" l="1"/>
  <c r="B9282" i="22"/>
  <c r="A9284" i="22" l="1"/>
  <c r="B9283" i="22"/>
  <c r="B9284" i="22" l="1"/>
  <c r="A9285" i="22"/>
  <c r="A9286" i="22" l="1"/>
  <c r="B9285" i="22"/>
  <c r="A9287" i="22" l="1"/>
  <c r="B9286" i="22"/>
  <c r="B9287" i="22" l="1"/>
  <c r="A9288" i="22"/>
  <c r="A9289" i="22" l="1"/>
  <c r="B9288" i="22"/>
  <c r="A9290" i="22" l="1"/>
  <c r="B9289" i="22"/>
  <c r="A9291" i="22" l="1"/>
  <c r="B9290" i="22"/>
  <c r="B9291" i="22" l="1"/>
  <c r="A9292" i="22"/>
  <c r="B9292" i="22" l="1"/>
  <c r="A9293" i="22"/>
  <c r="A9294" i="22" l="1"/>
  <c r="B9293" i="22"/>
  <c r="A9295" i="22" l="1"/>
  <c r="B9294" i="22"/>
  <c r="B9295" i="22" l="1"/>
  <c r="A9296" i="22"/>
  <c r="B9296" i="22" l="1"/>
  <c r="A9297" i="22"/>
  <c r="A9298" i="22" l="1"/>
  <c r="B9297" i="22"/>
  <c r="A9299" i="22" l="1"/>
  <c r="B9298" i="22"/>
  <c r="A9300" i="22" l="1"/>
  <c r="B9299" i="22"/>
  <c r="B9300" i="22" l="1"/>
  <c r="A9301" i="22"/>
  <c r="A9302" i="22" l="1"/>
  <c r="B9301" i="22"/>
  <c r="A9303" i="22" l="1"/>
  <c r="B9302" i="22"/>
  <c r="B9303" i="22" l="1"/>
  <c r="A9304" i="22"/>
  <c r="A9305" i="22" l="1"/>
  <c r="B9304" i="22"/>
  <c r="A9306" i="22" l="1"/>
  <c r="B9305" i="22"/>
  <c r="A9307" i="22" l="1"/>
  <c r="B9306" i="22"/>
  <c r="B9307" i="22" l="1"/>
  <c r="A9308" i="22"/>
  <c r="B9308" i="22" l="1"/>
  <c r="A9309" i="22"/>
  <c r="A9310" i="22" l="1"/>
  <c r="B9309" i="22"/>
  <c r="A9311" i="22" l="1"/>
  <c r="B9310" i="22"/>
  <c r="B9311" i="22" l="1"/>
  <c r="A9312" i="22"/>
  <c r="B9312" i="22" l="1"/>
  <c r="A9313" i="22"/>
  <c r="A9314" i="22" l="1"/>
  <c r="B9313" i="22"/>
  <c r="A9315" i="22" l="1"/>
  <c r="B9314" i="22"/>
  <c r="A9316" i="22" l="1"/>
  <c r="B9315" i="22"/>
  <c r="B9316" i="22" l="1"/>
  <c r="A9317" i="22"/>
  <c r="A9318" i="22" l="1"/>
  <c r="B9317" i="22"/>
  <c r="A9319" i="22" l="1"/>
  <c r="B9318" i="22"/>
  <c r="B9319" i="22" l="1"/>
  <c r="A9320" i="22"/>
  <c r="A9321" i="22" l="1"/>
  <c r="B9320" i="22"/>
  <c r="A9322" i="22" l="1"/>
  <c r="B9321" i="22"/>
  <c r="A9323" i="22" l="1"/>
  <c r="B9322" i="22"/>
  <c r="B9323" i="22" l="1"/>
  <c r="A9324" i="22"/>
  <c r="B9324" i="22" l="1"/>
  <c r="A9325" i="22"/>
  <c r="A9326" i="22" l="1"/>
  <c r="B9325" i="22"/>
  <c r="A9327" i="22" l="1"/>
  <c r="B9326" i="22"/>
  <c r="B9327" i="22" l="1"/>
  <c r="A9328" i="22"/>
  <c r="B9328" i="22" l="1"/>
  <c r="A9329" i="22"/>
  <c r="A9330" i="22" l="1"/>
  <c r="B9329" i="22"/>
  <c r="A9331" i="22" l="1"/>
  <c r="B9330" i="22"/>
  <c r="A9332" i="22" l="1"/>
  <c r="B9331" i="22"/>
  <c r="B9332" i="22" l="1"/>
  <c r="A9333" i="22"/>
  <c r="A9334" i="22" l="1"/>
  <c r="B9333" i="22"/>
  <c r="A9335" i="22" l="1"/>
  <c r="B9334" i="22"/>
  <c r="B9335" i="22" l="1"/>
  <c r="A9336" i="22"/>
  <c r="A9337" i="22" l="1"/>
  <c r="B9336" i="22"/>
  <c r="A9338" i="22" l="1"/>
  <c r="B9337" i="22"/>
  <c r="A9339" i="22" l="1"/>
  <c r="B9338" i="22"/>
  <c r="B9339" i="22" l="1"/>
  <c r="A9340" i="22"/>
  <c r="B9340" i="22" l="1"/>
  <c r="A9341" i="22"/>
  <c r="A9342" i="22" l="1"/>
  <c r="B9341" i="22"/>
  <c r="A9343" i="22" l="1"/>
  <c r="B9342" i="22"/>
  <c r="B9343" i="22" l="1"/>
  <c r="A9344" i="22"/>
  <c r="B9344" i="22" l="1"/>
  <c r="A9345" i="22"/>
  <c r="A9346" i="22" l="1"/>
  <c r="B9345" i="22"/>
  <c r="A9347" i="22" l="1"/>
  <c r="B9346" i="22"/>
  <c r="A9348" i="22" l="1"/>
  <c r="B9347" i="22"/>
  <c r="B9348" i="22" l="1"/>
  <c r="A9349" i="22"/>
  <c r="A9350" i="22" l="1"/>
  <c r="B9349" i="22"/>
  <c r="A9351" i="22" l="1"/>
  <c r="B9350" i="22"/>
  <c r="B9351" i="22" l="1"/>
  <c r="A9352" i="22"/>
  <c r="A9353" i="22" l="1"/>
  <c r="B9352" i="22"/>
  <c r="A9354" i="22" l="1"/>
  <c r="B9353" i="22"/>
  <c r="A9355" i="22" l="1"/>
  <c r="B9354" i="22"/>
  <c r="B9355" i="22" l="1"/>
  <c r="A9356" i="22"/>
  <c r="B9356" i="22" l="1"/>
  <c r="A9357" i="22"/>
  <c r="A9358" i="22" l="1"/>
  <c r="B9357" i="22"/>
  <c r="A9359" i="22" l="1"/>
  <c r="B9358" i="22"/>
  <c r="B9359" i="22" l="1"/>
  <c r="A9360" i="22"/>
  <c r="B9360" i="22" l="1"/>
  <c r="A9361" i="22"/>
  <c r="A9362" i="22" l="1"/>
  <c r="B9361" i="22"/>
  <c r="A9363" i="22" l="1"/>
  <c r="B9362" i="22"/>
  <c r="A9364" i="22" l="1"/>
  <c r="B9363" i="22"/>
  <c r="B9364" i="22" l="1"/>
  <c r="A9365" i="22"/>
  <c r="A9366" i="22" l="1"/>
  <c r="B9365" i="22"/>
  <c r="A9367" i="22" l="1"/>
  <c r="B9366" i="22"/>
  <c r="B9367" i="22" l="1"/>
  <c r="A9368" i="22"/>
  <c r="A9369" i="22" l="1"/>
  <c r="B9368" i="22"/>
  <c r="A9370" i="22" l="1"/>
  <c r="B9369" i="22"/>
  <c r="A9371" i="22" l="1"/>
  <c r="B9370" i="22"/>
  <c r="B9371" i="22" l="1"/>
  <c r="A9372" i="22"/>
  <c r="B9372" i="22" l="1"/>
  <c r="A9373" i="22"/>
  <c r="A9374" i="22" l="1"/>
  <c r="B9373" i="22"/>
  <c r="A9375" i="22" l="1"/>
  <c r="B9374" i="22"/>
  <c r="B9375" i="22" l="1"/>
  <c r="A9376" i="22"/>
  <c r="B9376" i="22" l="1"/>
  <c r="A9377" i="22"/>
  <c r="A9378" i="22" l="1"/>
  <c r="B9377" i="22"/>
  <c r="A9379" i="22" l="1"/>
  <c r="B9378" i="22"/>
  <c r="A9380" i="22" l="1"/>
  <c r="B9379" i="22"/>
  <c r="B9380" i="22" l="1"/>
  <c r="A9381" i="22"/>
  <c r="B9381" i="22" l="1"/>
  <c r="A9382" i="22"/>
  <c r="B9382" i="22" l="1"/>
  <c r="A9383" i="22"/>
  <c r="A9384" i="22" l="1"/>
  <c r="B9383" i="22"/>
  <c r="B9384" i="22" l="1"/>
  <c r="A9385" i="22"/>
  <c r="B9385" i="22" l="1"/>
  <c r="A9386" i="22"/>
  <c r="B9386" i="22" l="1"/>
  <c r="A9387" i="22"/>
  <c r="A9388" i="22" l="1"/>
  <c r="B9387" i="22"/>
  <c r="B9388" i="22" l="1"/>
  <c r="A9389" i="22"/>
  <c r="B9389" i="22" l="1"/>
  <c r="A9390" i="22"/>
  <c r="B9390" i="22" l="1"/>
  <c r="A9391" i="22"/>
  <c r="A9392" i="22" l="1"/>
  <c r="B9391" i="22"/>
  <c r="B9392" i="22" l="1"/>
  <c r="A9393" i="22"/>
  <c r="B9393" i="22" l="1"/>
  <c r="A9394" i="22"/>
  <c r="B9394" i="22" l="1"/>
  <c r="A9395" i="22"/>
  <c r="A9396" i="22" l="1"/>
  <c r="B9395" i="22"/>
  <c r="B9396" i="22" l="1"/>
  <c r="A9397" i="22"/>
  <c r="B9397" i="22" l="1"/>
  <c r="A9398" i="22"/>
  <c r="B9398" i="22" l="1"/>
  <c r="A9399" i="22"/>
  <c r="A9400" i="22" l="1"/>
  <c r="B9399" i="22"/>
  <c r="B9400" i="22" l="1"/>
  <c r="A9401" i="22"/>
  <c r="B9401" i="22" l="1"/>
  <c r="A9402" i="22"/>
  <c r="B9402" i="22" l="1"/>
  <c r="A9403" i="22"/>
  <c r="A9404" i="22" l="1"/>
  <c r="B9403" i="22"/>
  <c r="B9404" i="22" l="1"/>
  <c r="A9405" i="22"/>
  <c r="B9405" i="22" l="1"/>
  <c r="A9406" i="22"/>
  <c r="B9406" i="22" l="1"/>
  <c r="A9407" i="22"/>
  <c r="A9408" i="22" l="1"/>
  <c r="B9407" i="22"/>
  <c r="B9408" i="22" l="1"/>
  <c r="A9409" i="22"/>
  <c r="B9409" i="22" l="1"/>
  <c r="A9410" i="22"/>
  <c r="B9410" i="22" l="1"/>
  <c r="A9411" i="22"/>
  <c r="A9412" i="22" l="1"/>
  <c r="B9411" i="22"/>
  <c r="B9412" i="22" l="1"/>
  <c r="A9413" i="22"/>
  <c r="B9413" i="22" l="1"/>
  <c r="A9414" i="22"/>
  <c r="B9414" i="22" l="1"/>
  <c r="A9415" i="22"/>
  <c r="A9416" i="22" l="1"/>
  <c r="B9415" i="22"/>
  <c r="B9416" i="22" l="1"/>
  <c r="A9417" i="22"/>
  <c r="B9417" i="22" l="1"/>
  <c r="A9418" i="22"/>
  <c r="B9418" i="22" l="1"/>
  <c r="A9419" i="22"/>
  <c r="A9420" i="22" l="1"/>
  <c r="B9419" i="22"/>
  <c r="B9420" i="22" l="1"/>
  <c r="A9421" i="22"/>
  <c r="B9421" i="22" l="1"/>
  <c r="A9422" i="22"/>
  <c r="B9422" i="22" l="1"/>
  <c r="A9423" i="22"/>
  <c r="A9424" i="22" l="1"/>
  <c r="B9423" i="22"/>
  <c r="B9424" i="22" l="1"/>
  <c r="A9425" i="22"/>
  <c r="B9425" i="22" l="1"/>
  <c r="A9426" i="22"/>
  <c r="B9426" i="22" l="1"/>
  <c r="A9427" i="22"/>
  <c r="A9428" i="22" l="1"/>
  <c r="B9427" i="22"/>
  <c r="B9428" i="22" l="1"/>
  <c r="A9429" i="22"/>
  <c r="B9429" i="22" l="1"/>
  <c r="A9430" i="22"/>
  <c r="B9430" i="22" l="1"/>
  <c r="A9431" i="22"/>
  <c r="A9432" i="22" l="1"/>
  <c r="B9431" i="22"/>
  <c r="B9432" i="22" l="1"/>
  <c r="A9433" i="22"/>
  <c r="B9433" i="22" l="1"/>
  <c r="A9434" i="22"/>
  <c r="B9434" i="22" l="1"/>
  <c r="A9435" i="22"/>
  <c r="A9436" i="22" l="1"/>
  <c r="B9435" i="22"/>
  <c r="B9436" i="22" l="1"/>
  <c r="A9437" i="22"/>
  <c r="B9437" i="22" l="1"/>
  <c r="A9438" i="22"/>
  <c r="B9438" i="22" l="1"/>
  <c r="A9439" i="22"/>
  <c r="A9440" i="22" l="1"/>
  <c r="B9439" i="22"/>
  <c r="B9440" i="22" l="1"/>
  <c r="A9441" i="22"/>
  <c r="B9441" i="22" l="1"/>
  <c r="A9442" i="22"/>
  <c r="B9442" i="22" l="1"/>
  <c r="A9443" i="22"/>
  <c r="A9444" i="22" l="1"/>
  <c r="B9443" i="22"/>
  <c r="B9444" i="22" l="1"/>
  <c r="A9445" i="22"/>
  <c r="B9445" i="22" l="1"/>
  <c r="A9446" i="22"/>
  <c r="B9446" i="22" l="1"/>
  <c r="A9447" i="22"/>
  <c r="A9448" i="22" l="1"/>
  <c r="B9447" i="22"/>
  <c r="B9448" i="22" l="1"/>
  <c r="A9449" i="22"/>
  <c r="B9449" i="22" l="1"/>
  <c r="A9450" i="22"/>
  <c r="B9450" i="22" l="1"/>
  <c r="A9451" i="22"/>
  <c r="A9452" i="22" l="1"/>
  <c r="B9451" i="22"/>
  <c r="B9452" i="22" l="1"/>
  <c r="A9453" i="22"/>
  <c r="B9453" i="22" l="1"/>
  <c r="A9454" i="22"/>
  <c r="B9454" i="22" l="1"/>
  <c r="A9455" i="22"/>
  <c r="A9456" i="22" l="1"/>
  <c r="B9455" i="22"/>
  <c r="B9456" i="22" l="1"/>
  <c r="A9457" i="22"/>
  <c r="B9457" i="22" l="1"/>
  <c r="A9458" i="22"/>
  <c r="B9458" i="22" l="1"/>
  <c r="A9459" i="22"/>
  <c r="A9460" i="22" l="1"/>
  <c r="B9459" i="22"/>
  <c r="B9460" i="22" l="1"/>
  <c r="A9461" i="22"/>
  <c r="B9461" i="22" l="1"/>
  <c r="A9462" i="22"/>
  <c r="B9462" i="22" l="1"/>
  <c r="A9463" i="22"/>
  <c r="A9464" i="22" l="1"/>
  <c r="B9463" i="22"/>
  <c r="B9464" i="22" l="1"/>
  <c r="A9465" i="22"/>
  <c r="B9465" i="22" l="1"/>
  <c r="A9466" i="22"/>
  <c r="B9466" i="22" l="1"/>
  <c r="A9467" i="22"/>
  <c r="A9468" i="22" l="1"/>
  <c r="B9467" i="22"/>
  <c r="B9468" i="22" l="1"/>
  <c r="A9469" i="22"/>
  <c r="B9469" i="22" l="1"/>
  <c r="A9470" i="22"/>
  <c r="B9470" i="22" l="1"/>
  <c r="A9471" i="22"/>
  <c r="A9472" i="22" l="1"/>
  <c r="B9471" i="22"/>
  <c r="B9472" i="22" l="1"/>
  <c r="A9473" i="22"/>
  <c r="B9473" i="22" l="1"/>
  <c r="A9474" i="22"/>
  <c r="B9474" i="22" l="1"/>
  <c r="A9475" i="22"/>
  <c r="A9476" i="22" l="1"/>
  <c r="B9475" i="22"/>
  <c r="B9476" i="22" l="1"/>
  <c r="A9477" i="22"/>
  <c r="B9477" i="22" l="1"/>
  <c r="A9478" i="22"/>
  <c r="B9478" i="22" l="1"/>
  <c r="A9479" i="22"/>
  <c r="A9480" i="22" l="1"/>
  <c r="B9479" i="22"/>
  <c r="B9480" i="22" l="1"/>
  <c r="A9481" i="22"/>
  <c r="B9481" i="22" l="1"/>
  <c r="A9482" i="22"/>
  <c r="B9482" i="22" l="1"/>
  <c r="A9483" i="22"/>
  <c r="A9484" i="22" l="1"/>
  <c r="B9483" i="22"/>
  <c r="B9484" i="22" l="1"/>
  <c r="A9485" i="22"/>
  <c r="B9485" i="22" l="1"/>
  <c r="A9486" i="22"/>
  <c r="B9486" i="22" l="1"/>
  <c r="A9487" i="22"/>
  <c r="A9488" i="22" l="1"/>
  <c r="B9487" i="22"/>
  <c r="B9488" i="22" l="1"/>
  <c r="A9489" i="22"/>
  <c r="B9489" i="22" l="1"/>
  <c r="A9490" i="22"/>
  <c r="B9490" i="22" l="1"/>
  <c r="A9491" i="22"/>
  <c r="A9492" i="22" l="1"/>
  <c r="B9491" i="22"/>
  <c r="B9492" i="22" l="1"/>
  <c r="A9493" i="22"/>
  <c r="B9493" i="22" l="1"/>
  <c r="A9494" i="22"/>
  <c r="B9494" i="22" l="1"/>
  <c r="A9495" i="22"/>
  <c r="A9496" i="22" l="1"/>
  <c r="B9495" i="22"/>
  <c r="B9496" i="22" l="1"/>
  <c r="A9497" i="22"/>
  <c r="B9497" i="22" l="1"/>
  <c r="A9498" i="22"/>
  <c r="B9498" i="22" l="1"/>
  <c r="A9499" i="22"/>
  <c r="A9500" i="22" l="1"/>
  <c r="B9499" i="22"/>
  <c r="B9500" i="22" l="1"/>
  <c r="A9501" i="22"/>
  <c r="B9501" i="22" l="1"/>
  <c r="A9502" i="22"/>
  <c r="B9502" i="22" l="1"/>
  <c r="A9503" i="22"/>
  <c r="A9504" i="22" l="1"/>
  <c r="B9503" i="22"/>
  <c r="B9504" i="22" l="1"/>
  <c r="A9505" i="22"/>
  <c r="B9505" i="22" l="1"/>
  <c r="A9506" i="22"/>
  <c r="B9506" i="22" l="1"/>
  <c r="A9507" i="22"/>
  <c r="A9508" i="22" l="1"/>
  <c r="B9507" i="22"/>
  <c r="B9508" i="22" l="1"/>
  <c r="A9509" i="22"/>
  <c r="B9509" i="22" l="1"/>
  <c r="A9510" i="22"/>
  <c r="B9510" i="22" l="1"/>
  <c r="A9511" i="22"/>
  <c r="A9512" i="22" l="1"/>
  <c r="B9511" i="22"/>
  <c r="B9512" i="22" l="1"/>
  <c r="A9513" i="22"/>
  <c r="B9513" i="22" l="1"/>
  <c r="A9514" i="22"/>
  <c r="B9514" i="22" l="1"/>
  <c r="A9515" i="22"/>
  <c r="A9516" i="22" l="1"/>
  <c r="B9515" i="22"/>
  <c r="B9516" i="22" l="1"/>
  <c r="A9517" i="22"/>
  <c r="B9517" i="22" l="1"/>
  <c r="A9518" i="22"/>
  <c r="B9518" i="22" l="1"/>
  <c r="A9519" i="22"/>
  <c r="A9520" i="22" l="1"/>
  <c r="B9519" i="22"/>
  <c r="B9520" i="22" l="1"/>
  <c r="A9521" i="22"/>
  <c r="B9521" i="22" l="1"/>
  <c r="A9522" i="22"/>
  <c r="B9522" i="22" l="1"/>
  <c r="A9523" i="22"/>
  <c r="A9524" i="22" l="1"/>
  <c r="B9523" i="22"/>
  <c r="B9524" i="22" l="1"/>
  <c r="A9525" i="22"/>
  <c r="B9525" i="22" l="1"/>
  <c r="A9526" i="22"/>
  <c r="B9526" i="22" l="1"/>
  <c r="A9527" i="22"/>
  <c r="A9528" i="22" l="1"/>
  <c r="B9527" i="22"/>
  <c r="B9528" i="22" l="1"/>
  <c r="A9529" i="22"/>
  <c r="B9529" i="22" l="1"/>
  <c r="A9530" i="22"/>
  <c r="B9530" i="22" l="1"/>
  <c r="A9531" i="22"/>
  <c r="A9532" i="22" l="1"/>
  <c r="B9531" i="22"/>
  <c r="B9532" i="22" l="1"/>
  <c r="A9533" i="22"/>
  <c r="B9533" i="22" l="1"/>
  <c r="A9534" i="22"/>
  <c r="B9534" i="22" l="1"/>
  <c r="A9535" i="22"/>
  <c r="A9536" i="22" l="1"/>
  <c r="B9535" i="22"/>
  <c r="B9536" i="22" l="1"/>
  <c r="A9537" i="22"/>
  <c r="B9537" i="22" l="1"/>
  <c r="A9538" i="22"/>
  <c r="B9538" i="22" l="1"/>
  <c r="A9539" i="22"/>
  <c r="A9540" i="22" l="1"/>
  <c r="B9539" i="22"/>
  <c r="B9540" i="22" l="1"/>
  <c r="A9541" i="22"/>
  <c r="B9541" i="22" l="1"/>
  <c r="A9542" i="22"/>
  <c r="B9542" i="22" l="1"/>
  <c r="A9543" i="22"/>
  <c r="A9544" i="22" l="1"/>
  <c r="B9543" i="22"/>
  <c r="B9544" i="22" l="1"/>
  <c r="A9545" i="22"/>
  <c r="B9545" i="22" l="1"/>
  <c r="A9546" i="22"/>
  <c r="B9546" i="22" l="1"/>
  <c r="A9547" i="22"/>
  <c r="A9548" i="22" l="1"/>
  <c r="B9547" i="22"/>
  <c r="B9548" i="22" l="1"/>
  <c r="A9549" i="22"/>
  <c r="B9549" i="22" l="1"/>
  <c r="A9550" i="22"/>
  <c r="B9550" i="22" l="1"/>
  <c r="A9551" i="22"/>
  <c r="A9552" i="22" l="1"/>
  <c r="B9551" i="22"/>
  <c r="B9552" i="22" l="1"/>
  <c r="A9553" i="22"/>
  <c r="B9553" i="22" l="1"/>
  <c r="A9554" i="22"/>
  <c r="B9554" i="22" l="1"/>
  <c r="A9555" i="22"/>
  <c r="A9556" i="22" l="1"/>
  <c r="B9555" i="22"/>
  <c r="B9556" i="22" l="1"/>
  <c r="A9557" i="22"/>
  <c r="B9557" i="22" l="1"/>
  <c r="A9558" i="22"/>
  <c r="B9558" i="22" l="1"/>
  <c r="A9559" i="22"/>
  <c r="A9560" i="22" l="1"/>
  <c r="B9559" i="22"/>
  <c r="B9560" i="22" l="1"/>
  <c r="A9561" i="22"/>
  <c r="B9561" i="22" l="1"/>
  <c r="A9562" i="22"/>
  <c r="B9562" i="22" l="1"/>
  <c r="A9563" i="22"/>
  <c r="A9564" i="22" l="1"/>
  <c r="B9563" i="22"/>
  <c r="B9564" i="22" l="1"/>
  <c r="A9565" i="22"/>
  <c r="B9565" i="22" l="1"/>
  <c r="A9566" i="22"/>
  <c r="B9566" i="22" l="1"/>
  <c r="A9567" i="22"/>
  <c r="A9568" i="22" l="1"/>
  <c r="B9567" i="22"/>
  <c r="B9568" i="22" l="1"/>
  <c r="A9569" i="22"/>
  <c r="B9569" i="22" l="1"/>
  <c r="A9570" i="22"/>
  <c r="B9570" i="22" l="1"/>
  <c r="A9571" i="22"/>
  <c r="A9572" i="22" l="1"/>
  <c r="B9571" i="22"/>
  <c r="B9572" i="22" l="1"/>
  <c r="A9573" i="22"/>
  <c r="B9573" i="22" l="1"/>
  <c r="A9574" i="22"/>
  <c r="B9574" i="22" l="1"/>
  <c r="A9575" i="22"/>
  <c r="A9576" i="22" l="1"/>
  <c r="B9575" i="22"/>
  <c r="B9576" i="22" l="1"/>
  <c r="A9577" i="22"/>
  <c r="B9577" i="22" l="1"/>
  <c r="A9578" i="22"/>
  <c r="B9578" i="22" l="1"/>
  <c r="A9579" i="22"/>
  <c r="A9580" i="22" l="1"/>
  <c r="B9579" i="22"/>
  <c r="B9580" i="22" l="1"/>
  <c r="A9581" i="22"/>
  <c r="B9581" i="22" l="1"/>
  <c r="A9582" i="22"/>
  <c r="B9582" i="22" l="1"/>
  <c r="A9583" i="22"/>
  <c r="A9584" i="22" l="1"/>
  <c r="B9583" i="22"/>
  <c r="B9584" i="22" l="1"/>
  <c r="A9585" i="22"/>
  <c r="B9585" i="22" l="1"/>
  <c r="A9586" i="22"/>
  <c r="B9586" i="22" l="1"/>
  <c r="A9587" i="22"/>
  <c r="A9588" i="22" l="1"/>
  <c r="B9587" i="22"/>
  <c r="B9588" i="22" l="1"/>
  <c r="A9589" i="22"/>
  <c r="B9589" i="22" l="1"/>
  <c r="A9590" i="22"/>
  <c r="B9590" i="22" l="1"/>
  <c r="A9591" i="22"/>
  <c r="A9592" i="22" l="1"/>
  <c r="B9591" i="22"/>
  <c r="B9592" i="22" l="1"/>
  <c r="A9593" i="22"/>
  <c r="B9593" i="22" l="1"/>
  <c r="A9594" i="22"/>
  <c r="B9594" i="22" l="1"/>
  <c r="A9595" i="22"/>
  <c r="A9596" i="22" l="1"/>
  <c r="B9595" i="22"/>
  <c r="B9596" i="22" l="1"/>
  <c r="A9597" i="22"/>
  <c r="B9597" i="22" l="1"/>
  <c r="A9598" i="22"/>
  <c r="B9598" i="22" l="1"/>
  <c r="A9599" i="22"/>
  <c r="A9600" i="22" l="1"/>
  <c r="B9599" i="22"/>
  <c r="B9600" i="22" l="1"/>
  <c r="A9601" i="22"/>
  <c r="B9601" i="22" l="1"/>
  <c r="A9602" i="22"/>
  <c r="B9602" i="22" l="1"/>
  <c r="A9603" i="22"/>
  <c r="A9604" i="22" l="1"/>
  <c r="B9603" i="22"/>
  <c r="B9604" i="22" l="1"/>
  <c r="A9605" i="22"/>
  <c r="B9605" i="22" l="1"/>
  <c r="A9606" i="22"/>
  <c r="B9606" i="22" l="1"/>
  <c r="A9607" i="22"/>
  <c r="A9608" i="22" l="1"/>
  <c r="B9607" i="22"/>
  <c r="B9608" i="22" l="1"/>
  <c r="A9609" i="22"/>
  <c r="B9609" i="22" l="1"/>
  <c r="A9610" i="22"/>
  <c r="B9610" i="22" l="1"/>
  <c r="A9611" i="22"/>
  <c r="A9612" i="22" l="1"/>
  <c r="B9611" i="22"/>
  <c r="B9612" i="22" l="1"/>
  <c r="A9613" i="22"/>
  <c r="B9613" i="22" l="1"/>
  <c r="A9614" i="22"/>
  <c r="B9614" i="22" l="1"/>
  <c r="A9615" i="22"/>
  <c r="A9616" i="22" l="1"/>
  <c r="B9615" i="22"/>
  <c r="B9616" i="22" l="1"/>
  <c r="A9617" i="22"/>
  <c r="B9617" i="22" l="1"/>
  <c r="A9618" i="22"/>
  <c r="B9618" i="22" l="1"/>
  <c r="A9619" i="22"/>
  <c r="A9620" i="22" l="1"/>
  <c r="B9619" i="22"/>
  <c r="B9620" i="22" l="1"/>
  <c r="A9621" i="22"/>
  <c r="B9621" i="22" l="1"/>
  <c r="A9622" i="22"/>
  <c r="B9622" i="22" l="1"/>
  <c r="A9623" i="22"/>
  <c r="A9624" i="22" l="1"/>
  <c r="B9623" i="22"/>
  <c r="B9624" i="22" l="1"/>
  <c r="A9625" i="22"/>
  <c r="B9625" i="22" l="1"/>
  <c r="A9626" i="22"/>
  <c r="B9626" i="22" l="1"/>
  <c r="A9627" i="22"/>
  <c r="A9628" i="22" l="1"/>
  <c r="B9627" i="22"/>
  <c r="B9628" i="22" l="1"/>
  <c r="A9629" i="22"/>
  <c r="B9629" i="22" l="1"/>
  <c r="A9630" i="22"/>
  <c r="B9630" i="22" l="1"/>
  <c r="A9631" i="22"/>
  <c r="A9632" i="22" l="1"/>
  <c r="B9631" i="22"/>
  <c r="B9632" i="22" l="1"/>
  <c r="A9633" i="22"/>
  <c r="B9633" i="22" l="1"/>
  <c r="A9634" i="22"/>
  <c r="B9634" i="22" l="1"/>
  <c r="A9635" i="22"/>
  <c r="A9636" i="22" l="1"/>
  <c r="B9635" i="22"/>
  <c r="B9636" i="22" l="1"/>
  <c r="A9637" i="22"/>
  <c r="B9637" i="22" l="1"/>
  <c r="A9638" i="22"/>
  <c r="B9638" i="22" l="1"/>
  <c r="A9639" i="22"/>
  <c r="A9640" i="22" l="1"/>
  <c r="B9639" i="22"/>
  <c r="B9640" i="22" l="1"/>
  <c r="A9641" i="22"/>
  <c r="B9641" i="22" l="1"/>
  <c r="A9642" i="22"/>
  <c r="B9642" i="22" l="1"/>
  <c r="A9643" i="22"/>
  <c r="A9644" i="22" l="1"/>
  <c r="B9643" i="22"/>
  <c r="B9644" i="22" l="1"/>
  <c r="A9645" i="22"/>
  <c r="B9645" i="22" l="1"/>
  <c r="A9646" i="22"/>
  <c r="B9646" i="22" l="1"/>
  <c r="A9647" i="22"/>
  <c r="A9648" i="22" l="1"/>
  <c r="B9647" i="22"/>
  <c r="B9648" i="22" l="1"/>
  <c r="A9649" i="22"/>
  <c r="B9649" i="22" l="1"/>
  <c r="A9650" i="22"/>
  <c r="B9650" i="22" l="1"/>
  <c r="A9651" i="22"/>
  <c r="A9652" i="22" l="1"/>
  <c r="B9651" i="22"/>
  <c r="B9652" i="22" l="1"/>
  <c r="A9653" i="22"/>
  <c r="B9653" i="22" l="1"/>
  <c r="A9654" i="22"/>
  <c r="B9654" i="22" l="1"/>
  <c r="A9655" i="22"/>
  <c r="A9656" i="22" l="1"/>
  <c r="B9655" i="22"/>
  <c r="B9656" i="22" l="1"/>
  <c r="A9657" i="22"/>
  <c r="B9657" i="22" l="1"/>
  <c r="A9658" i="22"/>
  <c r="B9658" i="22" l="1"/>
  <c r="A9659" i="22"/>
  <c r="A9660" i="22" l="1"/>
  <c r="B9659" i="22"/>
  <c r="B9660" i="22" l="1"/>
  <c r="A9661" i="22"/>
  <c r="B9661" i="22" l="1"/>
  <c r="A9662" i="22"/>
  <c r="B9662" i="22" l="1"/>
  <c r="A9663" i="22"/>
  <c r="A9664" i="22" l="1"/>
  <c r="B9663" i="22"/>
  <c r="B9664" i="22" l="1"/>
  <c r="A9665" i="22"/>
  <c r="B9665" i="22" l="1"/>
  <c r="A9666" i="22"/>
  <c r="B9666" i="22" l="1"/>
  <c r="A9667" i="22"/>
  <c r="A9668" i="22" l="1"/>
  <c r="B9667" i="22"/>
  <c r="B9668" i="22" l="1"/>
  <c r="A9669" i="22"/>
  <c r="B9669" i="22" l="1"/>
  <c r="A9670" i="22"/>
  <c r="B9670" i="22" l="1"/>
  <c r="A9671" i="22"/>
  <c r="A9672" i="22" l="1"/>
  <c r="B9671" i="22"/>
  <c r="B9672" i="22" l="1"/>
  <c r="A9673" i="22"/>
  <c r="B9673" i="22" l="1"/>
  <c r="A9674" i="22"/>
  <c r="B9674" i="22" l="1"/>
  <c r="A9675" i="22"/>
  <c r="A9676" i="22" l="1"/>
  <c r="B9675" i="22"/>
  <c r="B9676" i="22" l="1"/>
  <c r="A9677" i="22"/>
  <c r="B9677" i="22" l="1"/>
  <c r="A9678" i="22"/>
  <c r="B9678" i="22" l="1"/>
  <c r="A9679" i="22"/>
  <c r="A9680" i="22" l="1"/>
  <c r="B9679" i="22"/>
  <c r="B9680" i="22" l="1"/>
  <c r="A9681" i="22"/>
  <c r="B9681" i="22" l="1"/>
  <c r="A9682" i="22"/>
  <c r="B9682" i="22" l="1"/>
  <c r="A9683" i="22"/>
  <c r="A9684" i="22" l="1"/>
  <c r="B9683" i="22"/>
  <c r="B9684" i="22" l="1"/>
  <c r="A9685" i="22"/>
  <c r="B9685" i="22" l="1"/>
  <c r="A9686" i="22"/>
  <c r="B9686" i="22" l="1"/>
  <c r="A9687" i="22"/>
  <c r="A9688" i="22" l="1"/>
  <c r="B9687" i="22"/>
  <c r="B9688" i="22" l="1"/>
  <c r="A9689" i="22"/>
  <c r="B9689" i="22" l="1"/>
  <c r="A9690" i="22"/>
  <c r="B9690" i="22" l="1"/>
  <c r="A9691" i="22"/>
  <c r="A9692" i="22" l="1"/>
  <c r="B9691" i="22"/>
  <c r="B9692" i="22" l="1"/>
  <c r="A9693" i="22"/>
  <c r="B9693" i="22" l="1"/>
  <c r="A9694" i="22"/>
  <c r="B9694" i="22" l="1"/>
  <c r="A9695" i="22"/>
  <c r="A9696" i="22" l="1"/>
  <c r="B9695" i="22"/>
  <c r="B9696" i="22" l="1"/>
  <c r="A9697" i="22"/>
  <c r="B9697" i="22" l="1"/>
  <c r="A9698" i="22"/>
  <c r="B9698" i="22" l="1"/>
  <c r="A9699" i="22"/>
  <c r="A9700" i="22" l="1"/>
  <c r="B9699" i="22"/>
  <c r="B9700" i="22" l="1"/>
  <c r="A9701" i="22"/>
  <c r="B9701" i="22" l="1"/>
  <c r="A9702" i="22"/>
  <c r="B9702" i="22" l="1"/>
  <c r="A9703" i="22"/>
  <c r="A9704" i="22" l="1"/>
  <c r="B9703" i="22"/>
  <c r="B9704" i="22" l="1"/>
  <c r="A9705" i="22"/>
  <c r="B9705" i="22" l="1"/>
  <c r="A9706" i="22"/>
  <c r="B9706" i="22" l="1"/>
  <c r="A9707" i="22"/>
  <c r="A9708" i="22" l="1"/>
  <c r="B9707" i="22"/>
  <c r="B9708" i="22" l="1"/>
  <c r="A9709" i="22"/>
  <c r="B9709" i="22" l="1"/>
  <c r="A9710" i="22"/>
  <c r="B9710" i="22" l="1"/>
  <c r="A9711" i="22"/>
  <c r="A9712" i="22" l="1"/>
  <c r="B9711" i="22"/>
  <c r="B9712" i="22" l="1"/>
  <c r="A9713" i="22"/>
  <c r="B9713" i="22" l="1"/>
  <c r="A9714" i="22"/>
  <c r="B9714" i="22" l="1"/>
  <c r="A9715" i="22"/>
  <c r="A9716" i="22" l="1"/>
  <c r="B9715" i="22"/>
  <c r="B9716" i="22" l="1"/>
  <c r="A9717" i="22"/>
  <c r="B9717" i="22" l="1"/>
  <c r="A9718" i="22"/>
  <c r="B9718" i="22" l="1"/>
  <c r="A9719" i="22"/>
  <c r="A9720" i="22" l="1"/>
  <c r="B9719" i="22"/>
  <c r="B9720" i="22" l="1"/>
  <c r="A9721" i="22"/>
  <c r="B9721" i="22" l="1"/>
  <c r="A9722" i="22"/>
  <c r="B9722" i="22" l="1"/>
  <c r="A9723" i="22"/>
  <c r="A9724" i="22" l="1"/>
  <c r="B9723" i="22"/>
  <c r="B9724" i="22" l="1"/>
  <c r="A9725" i="22"/>
  <c r="B9725" i="22" l="1"/>
  <c r="A9726" i="22"/>
  <c r="B9726" i="22" l="1"/>
  <c r="A9727" i="22"/>
  <c r="A9728" i="22" l="1"/>
  <c r="B9727" i="22"/>
  <c r="B9728" i="22" l="1"/>
  <c r="A9729" i="22"/>
  <c r="B9729" i="22" l="1"/>
  <c r="A9730" i="22"/>
  <c r="B9730" i="22" l="1"/>
  <c r="A9731" i="22"/>
  <c r="A9732" i="22" l="1"/>
  <c r="B9731" i="22"/>
  <c r="B9732" i="22" l="1"/>
  <c r="A9733" i="22"/>
  <c r="B9733" i="22" l="1"/>
  <c r="A9734" i="22"/>
  <c r="B9734" i="22" l="1"/>
  <c r="A9735" i="22"/>
  <c r="A9736" i="22" l="1"/>
  <c r="B9735" i="22"/>
  <c r="B9736" i="22" l="1"/>
  <c r="A9737" i="22"/>
  <c r="B9737" i="22" l="1"/>
  <c r="A9738" i="22"/>
  <c r="B9738" i="22" l="1"/>
  <c r="A9739" i="22"/>
  <c r="A9740" i="22" l="1"/>
  <c r="B9739" i="22"/>
  <c r="B9740" i="22" l="1"/>
  <c r="A9741" i="22"/>
  <c r="B9741" i="22" l="1"/>
  <c r="A9742" i="22"/>
  <c r="B9742" i="22" l="1"/>
  <c r="A9743" i="22"/>
  <c r="A9744" i="22" l="1"/>
  <c r="B9743" i="22"/>
  <c r="B9744" i="22" l="1"/>
  <c r="A9745" i="22"/>
  <c r="B9745" i="22" l="1"/>
  <c r="A9746" i="22"/>
  <c r="B9746" i="22" l="1"/>
  <c r="A9747" i="22"/>
  <c r="A9748" i="22" l="1"/>
  <c r="B9747" i="22"/>
  <c r="B9748" i="22" l="1"/>
  <c r="A9749" i="22"/>
  <c r="A9750" i="22" l="1"/>
  <c r="B9749" i="22"/>
  <c r="B9750" i="22" l="1"/>
  <c r="A9751" i="22"/>
  <c r="A9752" i="22" l="1"/>
  <c r="B9751" i="22"/>
  <c r="B9752" i="22" l="1"/>
  <c r="A9753" i="22"/>
  <c r="A9754" i="22" l="1"/>
  <c r="B9753" i="22"/>
  <c r="B9754" i="22" l="1"/>
  <c r="A9755" i="22"/>
  <c r="A9756" i="22" l="1"/>
  <c r="B9755" i="22"/>
  <c r="B9756" i="22" l="1"/>
  <c r="A9757" i="22"/>
  <c r="A9758" i="22" l="1"/>
  <c r="B9757" i="22"/>
  <c r="B9758" i="22" l="1"/>
  <c r="A9759" i="22"/>
  <c r="A9760" i="22" l="1"/>
  <c r="B9759" i="22"/>
  <c r="B9760" i="22" l="1"/>
  <c r="A9761" i="22"/>
  <c r="A9762" i="22" l="1"/>
  <c r="B9761" i="22"/>
  <c r="B9762" i="22" l="1"/>
  <c r="A9763" i="22"/>
  <c r="A9764" i="22" l="1"/>
  <c r="B9763" i="22"/>
  <c r="B9764" i="22" l="1"/>
  <c r="A9765" i="22"/>
  <c r="A9766" i="22" l="1"/>
  <c r="B9765" i="22"/>
  <c r="B9766" i="22" l="1"/>
  <c r="A9767" i="22"/>
  <c r="A9768" i="22" l="1"/>
  <c r="B9767" i="22"/>
  <c r="B9768" i="22" l="1"/>
  <c r="A9769" i="22"/>
  <c r="A9770" i="22" l="1"/>
  <c r="B9769" i="22"/>
  <c r="B9770" i="22" l="1"/>
  <c r="A9771" i="22"/>
  <c r="A9772" i="22" l="1"/>
  <c r="B9771" i="22"/>
  <c r="B9772" i="22" l="1"/>
  <c r="A9773" i="22"/>
  <c r="A9774" i="22" l="1"/>
  <c r="B9773" i="22"/>
  <c r="B9774" i="22" l="1"/>
  <c r="A9775" i="22"/>
  <c r="A9776" i="22" l="1"/>
  <c r="B9775" i="22"/>
  <c r="B9776" i="22" l="1"/>
  <c r="A9777" i="22"/>
  <c r="A9778" i="22" l="1"/>
  <c r="B9777" i="22"/>
  <c r="B9778" i="22" l="1"/>
  <c r="A9779" i="22"/>
  <c r="A9780" i="22" l="1"/>
  <c r="B9779" i="22"/>
  <c r="B9780" i="22" l="1"/>
  <c r="A9781" i="22"/>
  <c r="A9782" i="22" l="1"/>
  <c r="B9781" i="22"/>
  <c r="B9782" i="22" l="1"/>
  <c r="A9783" i="22"/>
  <c r="A9784" i="22" l="1"/>
  <c r="B9783" i="22"/>
  <c r="B9784" i="22" l="1"/>
  <c r="A9785" i="22"/>
  <c r="A9786" i="22" l="1"/>
  <c r="B9785" i="22"/>
  <c r="B9786" i="22" l="1"/>
  <c r="A9787" i="22"/>
  <c r="A9788" i="22" l="1"/>
  <c r="B9787" i="22"/>
  <c r="B9788" i="22" l="1"/>
  <c r="A9789" i="22"/>
  <c r="A9790" i="22" l="1"/>
  <c r="B9789" i="22"/>
  <c r="B9790" i="22" l="1"/>
  <c r="A9791" i="22"/>
  <c r="A9792" i="22" l="1"/>
  <c r="B9791" i="22"/>
  <c r="B9792" i="22" l="1"/>
  <c r="A9793" i="22"/>
  <c r="A9794" i="22" l="1"/>
  <c r="B9793" i="22"/>
  <c r="B9794" i="22" l="1"/>
  <c r="A9795" i="22"/>
  <c r="A9796" i="22" l="1"/>
  <c r="B9795" i="22"/>
  <c r="B9796" i="22" l="1"/>
  <c r="A9797" i="22"/>
  <c r="A9798" i="22" l="1"/>
  <c r="B9797" i="22"/>
  <c r="B9798" i="22" l="1"/>
  <c r="A9799" i="22"/>
  <c r="A9800" i="22" l="1"/>
  <c r="B9799" i="22"/>
  <c r="B9800" i="22" l="1"/>
  <c r="A9801" i="22"/>
  <c r="A9802" i="22" l="1"/>
  <c r="B9801" i="22"/>
  <c r="B9802" i="22" l="1"/>
  <c r="A9803" i="22"/>
  <c r="A9804" i="22" l="1"/>
  <c r="B9803" i="22"/>
  <c r="B9804" i="22" l="1"/>
  <c r="A9805" i="22"/>
  <c r="A9806" i="22" l="1"/>
  <c r="B9805" i="22"/>
  <c r="B9806" i="22" l="1"/>
  <c r="A9807" i="22"/>
  <c r="A9808" i="22" l="1"/>
  <c r="B9807" i="22"/>
  <c r="B9808" i="22" l="1"/>
  <c r="A9809" i="22"/>
  <c r="A9810" i="22" l="1"/>
  <c r="B9809" i="22"/>
  <c r="B9810" i="22" l="1"/>
  <c r="A9811" i="22"/>
  <c r="A9812" i="22" l="1"/>
  <c r="B9811" i="22"/>
  <c r="B9812" i="22" l="1"/>
  <c r="A9813" i="22"/>
  <c r="A9814" i="22" l="1"/>
  <c r="B9813" i="22"/>
  <c r="B9814" i="22" l="1"/>
  <c r="A9815" i="22"/>
  <c r="A9816" i="22" l="1"/>
  <c r="B9815" i="22"/>
  <c r="B9816" i="22" l="1"/>
  <c r="A9817" i="22"/>
  <c r="A9818" i="22" l="1"/>
  <c r="B9817" i="22"/>
  <c r="B9818" i="22" l="1"/>
  <c r="A9819" i="22"/>
  <c r="A9820" i="22" l="1"/>
  <c r="B9819" i="22"/>
  <c r="B9820" i="22" l="1"/>
  <c r="A9821" i="22"/>
  <c r="A9822" i="22" l="1"/>
  <c r="B9821" i="22"/>
  <c r="B9822" i="22" l="1"/>
  <c r="A9823" i="22"/>
  <c r="A9824" i="22" l="1"/>
  <c r="B9823" i="22"/>
  <c r="B9824" i="22" l="1"/>
  <c r="A9825" i="22"/>
  <c r="A9826" i="22" l="1"/>
  <c r="B9825" i="22"/>
  <c r="B9826" i="22" l="1"/>
  <c r="A9827" i="22"/>
  <c r="A9828" i="22" l="1"/>
  <c r="B9827" i="22"/>
  <c r="B9828" i="22" l="1"/>
  <c r="A9829" i="22"/>
  <c r="A9830" i="22" l="1"/>
  <c r="B9829" i="22"/>
  <c r="A9831" i="22" l="1"/>
  <c r="B9830" i="22"/>
  <c r="A9832" i="22" l="1"/>
  <c r="B9831" i="22"/>
  <c r="B9832" i="22" l="1"/>
  <c r="A9833" i="22"/>
  <c r="A9834" i="22" l="1"/>
  <c r="B9833" i="22"/>
  <c r="A9835" i="22" l="1"/>
  <c r="B9834" i="22"/>
  <c r="A9836" i="22" l="1"/>
  <c r="B9835" i="22"/>
  <c r="B9836" i="22" l="1"/>
  <c r="A9837" i="22"/>
  <c r="A9838" i="22" l="1"/>
  <c r="B9837" i="22"/>
  <c r="A9839" i="22" l="1"/>
  <c r="B9838" i="22"/>
  <c r="A9840" i="22" l="1"/>
  <c r="B9839" i="22"/>
  <c r="B9840" i="22" l="1"/>
  <c r="A9841" i="22"/>
  <c r="A9842" i="22" l="1"/>
  <c r="B9841" i="22"/>
  <c r="A9843" i="22" l="1"/>
  <c r="B9842" i="22"/>
  <c r="A9844" i="22" l="1"/>
  <c r="B9843" i="22"/>
  <c r="B9844" i="22" l="1"/>
  <c r="A9845" i="22"/>
  <c r="A9846" i="22" l="1"/>
  <c r="B9845" i="22"/>
  <c r="A9847" i="22" l="1"/>
  <c r="B9846" i="22"/>
  <c r="A9848" i="22" l="1"/>
  <c r="B9847" i="22"/>
  <c r="B9848" i="22" l="1"/>
  <c r="A9849" i="22"/>
  <c r="A9850" i="22" l="1"/>
  <c r="B9849" i="22"/>
  <c r="A9851" i="22" l="1"/>
  <c r="B9850" i="22"/>
  <c r="A9852" i="22" l="1"/>
  <c r="B9851" i="22"/>
  <c r="B9852" i="22" l="1"/>
  <c r="A9853" i="22"/>
  <c r="A9854" i="22" l="1"/>
  <c r="B9853" i="22"/>
  <c r="A9855" i="22" l="1"/>
  <c r="B9854" i="22"/>
  <c r="A9856" i="22" l="1"/>
  <c r="B9855" i="22"/>
  <c r="B9856" i="22" l="1"/>
  <c r="A9857" i="22"/>
  <c r="A9858" i="22" l="1"/>
  <c r="B9857" i="22"/>
  <c r="A9859" i="22" l="1"/>
  <c r="B9858" i="22"/>
  <c r="A9860" i="22" l="1"/>
  <c r="B9859" i="22"/>
  <c r="B9860" i="22" l="1"/>
  <c r="A9861" i="22"/>
  <c r="A9862" i="22" l="1"/>
  <c r="B9861" i="22"/>
  <c r="A9863" i="22" l="1"/>
  <c r="B9862" i="22"/>
  <c r="A9864" i="22" l="1"/>
  <c r="B9863" i="22"/>
  <c r="B9864" i="22" l="1"/>
  <c r="A9865" i="22"/>
  <c r="A9866" i="22" l="1"/>
  <c r="B9865" i="22"/>
  <c r="A9867" i="22" l="1"/>
  <c r="B9866" i="22"/>
  <c r="A9868" i="22" l="1"/>
  <c r="B9867" i="22"/>
  <c r="B9868" i="22" l="1"/>
  <c r="A9869" i="22"/>
  <c r="B9869" i="22" l="1"/>
  <c r="A9870" i="22"/>
  <c r="A9871" i="22" l="1"/>
  <c r="B9870" i="22"/>
  <c r="A9872" i="22" l="1"/>
  <c r="B9871" i="22"/>
  <c r="B9872" i="22" l="1"/>
  <c r="A9873" i="22"/>
  <c r="A9874" i="22" l="1"/>
  <c r="B9873" i="22"/>
  <c r="B9874" i="22" l="1"/>
  <c r="A9875" i="22"/>
  <c r="A9876" i="22" l="1"/>
  <c r="B9875" i="22"/>
  <c r="B9876" i="22" l="1"/>
  <c r="A9877" i="22"/>
  <c r="A9878" i="22" l="1"/>
  <c r="B9877" i="22"/>
  <c r="A9879" i="22" l="1"/>
  <c r="B9878" i="22"/>
  <c r="B9879" i="22" l="1"/>
  <c r="A9880" i="22"/>
  <c r="B9880" i="22" l="1"/>
  <c r="A9881" i="22"/>
  <c r="A9882" i="22" l="1"/>
  <c r="B9881" i="22"/>
  <c r="A9883" i="22" l="1"/>
  <c r="B9882" i="22"/>
  <c r="A9884" i="22" l="1"/>
  <c r="B9883" i="22"/>
  <c r="A9885" i="22" l="1"/>
  <c r="B9884" i="22"/>
  <c r="A9886" i="22" l="1"/>
  <c r="B9885" i="22"/>
  <c r="A9887" i="22" l="1"/>
  <c r="B9886" i="22"/>
  <c r="B9887" i="22" l="1"/>
  <c r="A9888" i="22"/>
  <c r="B9888" i="22" l="1"/>
  <c r="A9889" i="22"/>
  <c r="A9890" i="22" l="1"/>
  <c r="B9889" i="22"/>
  <c r="B9890" i="22" l="1"/>
  <c r="A9891" i="22"/>
  <c r="B9891" i="22" l="1"/>
  <c r="A9892" i="22"/>
  <c r="A9893" i="22" l="1"/>
  <c r="B9892" i="22"/>
  <c r="A9894" i="22" l="1"/>
  <c r="B9893" i="22"/>
  <c r="B9894" i="22" l="1"/>
  <c r="A9895" i="22"/>
  <c r="A9896" i="22" l="1"/>
  <c r="B9895" i="22"/>
  <c r="B9896" i="22" l="1"/>
  <c r="A9897" i="22"/>
  <c r="A9898" i="22" l="1"/>
  <c r="B9897" i="22"/>
  <c r="B9898" i="22" l="1"/>
  <c r="A9899" i="22"/>
  <c r="A9900" i="22" l="1"/>
  <c r="B9899" i="22"/>
  <c r="A9901" i="22" l="1"/>
  <c r="B9900" i="22"/>
  <c r="A9902" i="22" l="1"/>
  <c r="B9901" i="22"/>
  <c r="B9902" i="22" l="1"/>
  <c r="A9903" i="22"/>
  <c r="A9904" i="22" l="1"/>
  <c r="B9903" i="22"/>
  <c r="A9905" i="22" l="1"/>
  <c r="B9904" i="22"/>
  <c r="A9906" i="22" l="1"/>
  <c r="B9905" i="22"/>
  <c r="B9906" i="22" l="1"/>
  <c r="A9907" i="22"/>
  <c r="B9907" i="22" l="1"/>
  <c r="A9908" i="22"/>
  <c r="B9908" i="22" l="1"/>
  <c r="A9909" i="22"/>
  <c r="A9910" i="22" l="1"/>
  <c r="B9909" i="22"/>
  <c r="B9910" i="22" l="1"/>
  <c r="A9911" i="22"/>
  <c r="B9911" i="22" l="1"/>
  <c r="A9912" i="22"/>
  <c r="B9912" i="22" l="1"/>
  <c r="A9913" i="22"/>
  <c r="A9914" i="22" l="1"/>
  <c r="B9913" i="22"/>
  <c r="A9915" i="22" l="1"/>
  <c r="B9914" i="22"/>
  <c r="B9915" i="22" l="1"/>
  <c r="A9916" i="22"/>
  <c r="B9916" i="22" l="1"/>
  <c r="A9917" i="22"/>
  <c r="A9918" i="22" l="1"/>
  <c r="B9917" i="22"/>
  <c r="B9918" i="22" l="1"/>
  <c r="A9919" i="22"/>
  <c r="B9919" i="22" l="1"/>
  <c r="A9920" i="22"/>
  <c r="B9920" i="22" l="1"/>
  <c r="A9921" i="22"/>
  <c r="A9922" i="22" l="1"/>
  <c r="B9921" i="22"/>
  <c r="B9922" i="22" l="1"/>
  <c r="A9923" i="22"/>
  <c r="B9923" i="22" l="1"/>
  <c r="A9924" i="22"/>
  <c r="A9925" i="22" l="1"/>
  <c r="B9924" i="22"/>
  <c r="A9926" i="22" l="1"/>
  <c r="B9925" i="22"/>
  <c r="A9927" i="22" l="1"/>
  <c r="B9926" i="22"/>
  <c r="A9928" i="22" l="1"/>
  <c r="B9927" i="22"/>
  <c r="B9928" i="22" l="1"/>
  <c r="A9929" i="22"/>
  <c r="A9930" i="22" l="1"/>
  <c r="B9929" i="22"/>
  <c r="B9930" i="22" l="1"/>
  <c r="A9931" i="22"/>
  <c r="A9932" i="22" l="1"/>
  <c r="B9931" i="22"/>
  <c r="A9933" i="22" l="1"/>
  <c r="B9932" i="22"/>
  <c r="A9934" i="22" l="1"/>
  <c r="B9933" i="22"/>
  <c r="A9935" i="22" l="1"/>
  <c r="B9934" i="22"/>
  <c r="B9935" i="22" l="1"/>
  <c r="A9936" i="22"/>
  <c r="A9937" i="22" l="1"/>
  <c r="B9936" i="22"/>
  <c r="A9938" i="22" l="1"/>
  <c r="B9937" i="22"/>
  <c r="A9939" i="22" l="1"/>
  <c r="B9938" i="22"/>
  <c r="B9939" i="22" l="1"/>
  <c r="A9940" i="22"/>
  <c r="B9940" i="22" l="1"/>
  <c r="A9941" i="22"/>
  <c r="B9941" i="22" l="1"/>
  <c r="A9942" i="22"/>
  <c r="B9942" i="22" l="1"/>
  <c r="A9943" i="22"/>
  <c r="B9943" i="22" l="1"/>
  <c r="A9944" i="22"/>
  <c r="B9944" i="22" l="1"/>
  <c r="A9945" i="22"/>
  <c r="A9946" i="22" l="1"/>
  <c r="B9945" i="22"/>
  <c r="B9946" i="22" l="1"/>
  <c r="A9947" i="22"/>
  <c r="B9947" i="22" l="1"/>
  <c r="A9948" i="22"/>
  <c r="A9949" i="22" l="1"/>
  <c r="B9948" i="22"/>
  <c r="A9950" i="22" l="1"/>
  <c r="B9949" i="22"/>
  <c r="B9950" i="22" l="1"/>
  <c r="A9951" i="22"/>
  <c r="A9952" i="22" l="1"/>
  <c r="B9951" i="22"/>
  <c r="B9952" i="22" l="1"/>
  <c r="A9953" i="22"/>
  <c r="A9954" i="22" l="1"/>
  <c r="B9953" i="22"/>
  <c r="B9954" i="22" l="1"/>
  <c r="A9955" i="22"/>
  <c r="B9955" i="22" l="1"/>
  <c r="A9956" i="22"/>
  <c r="B9956" i="22" l="1"/>
  <c r="A9957" i="22"/>
  <c r="A9958" i="22" l="1"/>
  <c r="B9957" i="22"/>
  <c r="A9959" i="22" l="1"/>
  <c r="B9958" i="22"/>
  <c r="A9960" i="22" l="1"/>
  <c r="B9959" i="22"/>
  <c r="B9960" i="22" l="1"/>
  <c r="A9961" i="22"/>
  <c r="A9962" i="22" l="1"/>
  <c r="B9961" i="22"/>
  <c r="A9963" i="22" l="1"/>
  <c r="B9962" i="22"/>
  <c r="B9963" i="22" l="1"/>
  <c r="A9964" i="22"/>
  <c r="B9964" i="22" l="1"/>
  <c r="A9965" i="22"/>
  <c r="B9965" i="22" l="1"/>
  <c r="A9966" i="22"/>
  <c r="A9967" i="22" l="1"/>
  <c r="B9966" i="22"/>
  <c r="B9967" i="22" l="1"/>
  <c r="A9968" i="22"/>
  <c r="B9968" i="22" l="1"/>
  <c r="A9969" i="22"/>
  <c r="A9970" i="22" l="1"/>
  <c r="B9969" i="22"/>
  <c r="A9971" i="22" l="1"/>
  <c r="B9970" i="22"/>
  <c r="A9972" i="22" l="1"/>
  <c r="B9971" i="22"/>
  <c r="B9972" i="22" l="1"/>
  <c r="A9973" i="22"/>
  <c r="A9974" i="22" l="1"/>
  <c r="B9973" i="22"/>
  <c r="B9974" i="22" l="1"/>
  <c r="A9975" i="22"/>
  <c r="B9975" i="22" l="1"/>
  <c r="A9976" i="22"/>
  <c r="B9976" i="22" l="1"/>
  <c r="A9977" i="22"/>
  <c r="A9978" i="22" l="1"/>
  <c r="B9977" i="22"/>
  <c r="A9979" i="22" l="1"/>
  <c r="B9978" i="22"/>
  <c r="A9980" i="22" l="1"/>
  <c r="B9979" i="22"/>
  <c r="B9980" i="22" l="1"/>
  <c r="A9981" i="22"/>
  <c r="A9982" i="22" l="1"/>
  <c r="B9981" i="22"/>
  <c r="B9982" i="22" l="1"/>
  <c r="A9983" i="22"/>
  <c r="A9984" i="22" l="1"/>
  <c r="B9983" i="22"/>
  <c r="B9984" i="22" l="1"/>
  <c r="A9985" i="22"/>
  <c r="A9986" i="22" l="1"/>
  <c r="B9985" i="22"/>
  <c r="A9987" i="22" l="1"/>
  <c r="B9986" i="22"/>
  <c r="B9987" i="22" l="1"/>
  <c r="A9988" i="22"/>
  <c r="B9988" i="22" l="1"/>
  <c r="A9989" i="22"/>
  <c r="B9989" i="22" l="1"/>
  <c r="A9990" i="22"/>
  <c r="A9991" i="22" l="1"/>
  <c r="B9990" i="22"/>
  <c r="B9991" i="22" l="1"/>
  <c r="A9992" i="22"/>
  <c r="B9992" i="22" l="1"/>
  <c r="A9993" i="22"/>
  <c r="A9994" i="22" l="1"/>
  <c r="B9993" i="22"/>
  <c r="B9994" i="22" l="1"/>
  <c r="A9995" i="22"/>
  <c r="B9995" i="22" l="1"/>
  <c r="A9996" i="22"/>
  <c r="B9996" i="22" l="1"/>
  <c r="A9997" i="22"/>
  <c r="A9998" i="22" l="1"/>
  <c r="B9997" i="22"/>
  <c r="A9999" i="22" l="1"/>
  <c r="B9998" i="22"/>
  <c r="B9999" i="22" l="1"/>
  <c r="A10000" i="22"/>
  <c r="B10000" i="22" l="1"/>
  <c r="A10001" i="22"/>
  <c r="A10002" i="22" l="1"/>
  <c r="B10001" i="22"/>
  <c r="A10003" i="22" l="1"/>
  <c r="B10002" i="22"/>
  <c r="B10003" i="22" l="1"/>
  <c r="A10004" i="22"/>
  <c r="B10004" i="22" l="1"/>
  <c r="A10005" i="22"/>
  <c r="A10006" i="22" l="1"/>
  <c r="B10005" i="22"/>
  <c r="A10007" i="22" l="1"/>
  <c r="B10006" i="22"/>
  <c r="B10007" i="22" l="1"/>
  <c r="A10008" i="22"/>
  <c r="B10008" i="22" l="1"/>
  <c r="A10009" i="22"/>
  <c r="A10010" i="22" l="1"/>
  <c r="B10009" i="22"/>
  <c r="B10010" i="22" l="1"/>
  <c r="A10011" i="22"/>
  <c r="B10011" i="22" l="1"/>
  <c r="A10012" i="22"/>
  <c r="B10012" i="22" l="1"/>
  <c r="A10013" i="22"/>
  <c r="A10014" i="22" l="1"/>
  <c r="B10013" i="22"/>
  <c r="A10015" i="22" l="1"/>
  <c r="B10014" i="22"/>
  <c r="B10015" i="22" l="1"/>
  <c r="A10016" i="22"/>
  <c r="A10017" i="22" l="1"/>
  <c r="B10016" i="22"/>
  <c r="B10017" i="22" l="1"/>
  <c r="A10018" i="22"/>
  <c r="B10018" i="22" l="1"/>
  <c r="A10019" i="22"/>
  <c r="A10020" i="22" l="1"/>
  <c r="B10019" i="22"/>
  <c r="B10020" i="22" l="1"/>
  <c r="A10021" i="22"/>
  <c r="B10021" i="22" l="1"/>
  <c r="A10022" i="22"/>
  <c r="B10022" i="22" l="1"/>
  <c r="A10023" i="22"/>
  <c r="A10024" i="22" l="1"/>
  <c r="B10023" i="22"/>
  <c r="B10024" i="22" l="1"/>
  <c r="A10025" i="22"/>
  <c r="B10025" i="22" l="1"/>
  <c r="A10026" i="22"/>
  <c r="B10026" i="22" l="1"/>
  <c r="A10027" i="22"/>
  <c r="B10027" i="22" l="1"/>
  <c r="A10028" i="22"/>
  <c r="B10028" i="22" l="1"/>
  <c r="A10029" i="22"/>
  <c r="B10029" i="22" l="1"/>
  <c r="A10030" i="22"/>
  <c r="B10030" i="22" l="1"/>
  <c r="A10031" i="22"/>
  <c r="B10031" i="22" l="1"/>
  <c r="A10032" i="22"/>
  <c r="B10032" i="22" l="1"/>
  <c r="A10033" i="22"/>
  <c r="B10033" i="22" l="1"/>
  <c r="A10034" i="22"/>
  <c r="B10034" i="22" l="1"/>
  <c r="A10035" i="22"/>
  <c r="A10036" i="22" l="1"/>
  <c r="B10035" i="22"/>
  <c r="B10036" i="22" l="1"/>
  <c r="A10037" i="22"/>
  <c r="B10037" i="22" l="1"/>
  <c r="A10038" i="22"/>
  <c r="A10039" i="22" l="1"/>
  <c r="B10038" i="22"/>
  <c r="A10040" i="22" l="1"/>
  <c r="B10039" i="22"/>
  <c r="B10040" i="22" l="1"/>
  <c r="A10041" i="22"/>
  <c r="A10042" i="22" l="1"/>
  <c r="B10041" i="22"/>
  <c r="A10043" i="22" l="1"/>
  <c r="B10042" i="22"/>
  <c r="A10044" i="22" l="1"/>
  <c r="B10043" i="22"/>
  <c r="A10045" i="22" l="1"/>
  <c r="B10044" i="22"/>
  <c r="B10045" i="22" l="1"/>
  <c r="A10046" i="22"/>
  <c r="B10046" i="22" l="1"/>
  <c r="A10047" i="22"/>
  <c r="A10048" i="22" l="1"/>
  <c r="B10047" i="22"/>
  <c r="B10048" i="22" l="1"/>
  <c r="A10049" i="22"/>
  <c r="B10049" i="22" l="1"/>
  <c r="A10050" i="22"/>
  <c r="B10050" i="22" l="1"/>
  <c r="A10051" i="22"/>
  <c r="A10052" i="22" l="1"/>
  <c r="B10051" i="22"/>
  <c r="B10052" i="22" l="1"/>
  <c r="A10053" i="22"/>
  <c r="B10053" i="22" l="1"/>
  <c r="A10054" i="22"/>
  <c r="B10054" i="22" l="1"/>
  <c r="A10055" i="22"/>
  <c r="A10056" i="22" l="1"/>
  <c r="B10055" i="22"/>
  <c r="A10057" i="22" l="1"/>
  <c r="B10056" i="22"/>
  <c r="B10057" i="22" l="1"/>
  <c r="A10058" i="22"/>
  <c r="B10058" i="22" l="1"/>
  <c r="A10059" i="22"/>
  <c r="B10059" i="22" l="1"/>
  <c r="A10060" i="22"/>
  <c r="A10061" i="22" l="1"/>
  <c r="B10060" i="22"/>
  <c r="B10061" i="22" l="1"/>
  <c r="A10062" i="22"/>
  <c r="B10062" i="22" l="1"/>
  <c r="A10063" i="22"/>
  <c r="A10064" i="22" l="1"/>
  <c r="B10063" i="22"/>
  <c r="A10065" i="22" l="1"/>
  <c r="B10064" i="22"/>
  <c r="B10065" i="22" l="1"/>
  <c r="A10066" i="22"/>
  <c r="B10066" i="22" l="1"/>
  <c r="A10067" i="22"/>
  <c r="A10068" i="22" l="1"/>
  <c r="B10067" i="22"/>
  <c r="A10069" i="22" l="1"/>
  <c r="B10068" i="22"/>
  <c r="B10069" i="22" l="1"/>
  <c r="A10070" i="22"/>
  <c r="B10070" i="22" l="1"/>
  <c r="A10071" i="22"/>
  <c r="A10072" i="22" l="1"/>
  <c r="B10071" i="22"/>
  <c r="A10073" i="22" l="1"/>
  <c r="B10072" i="22"/>
  <c r="B10073" i="22" l="1"/>
  <c r="A10074" i="22"/>
  <c r="B10074" i="22" l="1"/>
  <c r="A10075" i="22"/>
  <c r="A10076" i="22" l="1"/>
  <c r="B10075" i="22"/>
  <c r="B10076" i="22" l="1"/>
  <c r="A10077" i="22"/>
  <c r="B10077" i="22" l="1"/>
  <c r="A10078" i="22"/>
  <c r="B10078" i="22" l="1"/>
  <c r="A10079" i="22"/>
  <c r="A10080" i="22" l="1"/>
  <c r="B10079" i="22"/>
  <c r="B10080" i="22" l="1"/>
  <c r="A10081" i="22"/>
  <c r="B10081" i="22" l="1"/>
  <c r="A10082" i="22"/>
  <c r="B10082" i="22" l="1"/>
  <c r="A10083" i="22"/>
  <c r="A10084" i="22" l="1"/>
  <c r="B10083" i="22"/>
  <c r="B10084" i="22" l="1"/>
  <c r="A10085" i="22"/>
  <c r="B10085" i="22" l="1"/>
  <c r="A10086" i="22"/>
  <c r="B10086" i="22" l="1"/>
  <c r="A10087" i="22"/>
  <c r="A10088" i="22" l="1"/>
  <c r="B10087" i="22"/>
  <c r="B10088" i="22" l="1"/>
  <c r="A10089" i="22"/>
  <c r="B10089" i="22" l="1"/>
  <c r="A10090" i="22"/>
  <c r="B10090" i="22" l="1"/>
  <c r="A10091" i="22"/>
  <c r="A10092" i="22" l="1"/>
  <c r="B10091" i="22"/>
  <c r="A10093" i="22" l="1"/>
  <c r="B10092" i="22"/>
  <c r="B10093" i="22" l="1"/>
  <c r="A10094" i="22"/>
  <c r="B10094" i="22" l="1"/>
  <c r="A10095" i="22"/>
  <c r="A10096" i="22" l="1"/>
  <c r="B10095" i="22"/>
  <c r="A10097" i="22" l="1"/>
  <c r="B10096" i="22"/>
  <c r="B10097" i="22" l="1"/>
  <c r="A10098" i="22"/>
  <c r="B10098" i="22" l="1"/>
  <c r="A10099" i="22"/>
  <c r="A10100" i="22" l="1"/>
  <c r="B10099" i="22"/>
  <c r="A10101" i="22" l="1"/>
  <c r="B10100" i="22"/>
  <c r="B10101" i="22" l="1"/>
  <c r="A10102" i="22"/>
  <c r="B10102" i="22" l="1"/>
  <c r="A10103" i="22"/>
  <c r="A10104" i="22" l="1"/>
  <c r="B10103" i="22"/>
  <c r="A10105" i="22" l="1"/>
  <c r="B10104" i="22"/>
  <c r="B10105" i="22" l="1"/>
  <c r="A10106" i="22"/>
  <c r="B10106" i="22" l="1"/>
  <c r="A10107" i="22"/>
  <c r="A10108" i="22" l="1"/>
  <c r="B10107" i="22"/>
  <c r="B10108" i="22" l="1"/>
  <c r="A10109" i="22"/>
  <c r="B10109" i="22" l="1"/>
  <c r="A10110" i="22"/>
  <c r="B10110" i="22" l="1"/>
  <c r="A10111" i="22"/>
  <c r="A10112" i="22" l="1"/>
  <c r="B10111" i="22"/>
  <c r="A10113" i="22" l="1"/>
  <c r="B10112" i="22"/>
  <c r="B10113" i="22" l="1"/>
  <c r="A10114" i="22"/>
  <c r="B10114" i="22" l="1"/>
  <c r="A10115" i="22"/>
  <c r="A10116" i="22" l="1"/>
  <c r="B10115" i="22"/>
  <c r="A10117" i="22" l="1"/>
  <c r="B10116" i="22"/>
  <c r="B10117" i="22" l="1"/>
  <c r="A10118" i="22"/>
  <c r="B10118" i="22" l="1"/>
  <c r="A10119" i="22"/>
  <c r="A10120" i="22" l="1"/>
  <c r="B10119" i="22"/>
  <c r="A10121" i="22" l="1"/>
  <c r="B10120" i="22"/>
  <c r="B10121" i="22" l="1"/>
  <c r="A10122" i="22"/>
  <c r="B10122" i="22" l="1"/>
  <c r="A10123" i="22"/>
  <c r="A10124" i="22" l="1"/>
  <c r="B10123" i="22"/>
  <c r="A10125" i="22" l="1"/>
  <c r="B10124" i="22"/>
  <c r="B10125" i="22" l="1"/>
  <c r="A10126" i="22"/>
  <c r="B10126" i="22" l="1"/>
  <c r="A10127" i="22"/>
  <c r="A10128" i="22" l="1"/>
  <c r="B10127" i="22"/>
  <c r="B10128" i="22" l="1"/>
  <c r="A10129" i="22"/>
  <c r="B10129" i="22" l="1"/>
  <c r="A10130" i="22"/>
  <c r="B10130" i="22" l="1"/>
  <c r="A10131" i="22"/>
  <c r="A10132" i="22" l="1"/>
  <c r="B10131" i="22"/>
  <c r="A10133" i="22" l="1"/>
  <c r="B10132" i="22"/>
  <c r="B10133" i="22" l="1"/>
  <c r="A10134" i="22"/>
  <c r="B10134" i="22" l="1"/>
  <c r="A10135" i="22"/>
  <c r="A10136" i="22" l="1"/>
  <c r="B10135" i="22"/>
  <c r="A10137" i="22" l="1"/>
  <c r="B10136" i="22"/>
  <c r="B10137" i="22" l="1"/>
  <c r="A10138" i="22"/>
  <c r="B10138" i="22" l="1"/>
  <c r="A10139" i="22"/>
  <c r="A10140" i="22" l="1"/>
  <c r="B10139" i="22"/>
  <c r="A10141" i="22" l="1"/>
  <c r="B10140" i="22"/>
  <c r="B10141" i="22" l="1"/>
  <c r="A10142" i="22"/>
  <c r="B10142" i="22" l="1"/>
  <c r="A10143" i="22"/>
  <c r="A10144" i="22" l="1"/>
  <c r="B10143" i="22"/>
  <c r="A10145" i="22" l="1"/>
  <c r="B10144" i="22"/>
  <c r="B10145" i="22" l="1"/>
  <c r="A10146" i="22"/>
  <c r="B10146" i="22" l="1"/>
  <c r="A10147" i="22"/>
  <c r="A10148" i="22" l="1"/>
  <c r="B10147" i="22"/>
  <c r="A10149" i="22" l="1"/>
  <c r="B10148" i="22"/>
  <c r="B10149" i="22" l="1"/>
  <c r="A10150" i="22"/>
  <c r="A10151" i="22" l="1"/>
  <c r="B10150" i="22"/>
  <c r="A10152" i="22" l="1"/>
  <c r="B10151" i="22"/>
  <c r="B10152" i="22" l="1"/>
  <c r="A10153" i="22"/>
  <c r="B10153" i="22" l="1"/>
  <c r="A10154" i="22"/>
  <c r="A10155" i="22" l="1"/>
  <c r="B10154" i="22"/>
  <c r="B10155" i="22" l="1"/>
  <c r="A10156" i="22"/>
  <c r="A10157" i="22" l="1"/>
  <c r="B10156" i="22"/>
  <c r="B10157" i="22" l="1"/>
  <c r="A10158" i="22"/>
  <c r="A10159" i="22" l="1"/>
  <c r="B10158" i="22"/>
  <c r="A10160" i="22" l="1"/>
  <c r="B10159" i="22"/>
  <c r="B10160" i="22" l="1"/>
  <c r="A10161" i="22"/>
  <c r="A10162" i="22" l="1"/>
  <c r="B10161" i="22"/>
  <c r="A10163" i="22" l="1"/>
  <c r="B10162" i="22"/>
  <c r="B10163" i="22" l="1"/>
  <c r="A10164" i="22"/>
  <c r="B10164" i="22" l="1"/>
  <c r="A10165" i="22"/>
  <c r="B10165" i="22" l="1"/>
  <c r="A10166" i="22"/>
  <c r="A10167" i="22" l="1"/>
  <c r="B10166" i="22"/>
  <c r="A10168" i="22" l="1"/>
  <c r="B10167" i="22"/>
  <c r="B10168" i="22" l="1"/>
  <c r="A10169" i="22"/>
  <c r="B10169" i="22" l="1"/>
  <c r="A10170" i="22"/>
  <c r="A10171" i="22" l="1"/>
  <c r="B10170" i="22"/>
  <c r="A10172" i="22" l="1"/>
  <c r="B10171" i="22"/>
  <c r="B10172" i="22" l="1"/>
  <c r="A10173" i="22"/>
  <c r="A10174" i="22" l="1"/>
  <c r="B10173" i="22"/>
  <c r="B10174" i="22" l="1"/>
  <c r="A10175" i="22"/>
  <c r="A10176" i="22" l="1"/>
  <c r="B10175" i="22"/>
  <c r="B10176" i="22" l="1"/>
  <c r="A10177" i="22"/>
  <c r="B10177" i="22" l="1"/>
  <c r="A10178" i="22"/>
  <c r="A10179" i="22" l="1"/>
  <c r="B10178" i="22"/>
  <c r="B10179" i="22" l="1"/>
  <c r="A10180" i="22"/>
  <c r="B10180" i="22" l="1"/>
  <c r="A10181" i="22"/>
  <c r="B10181" i="22" l="1"/>
  <c r="A10182" i="22"/>
  <c r="A10183" i="22" l="1"/>
  <c r="B10182" i="22"/>
  <c r="B10183" i="22" l="1"/>
  <c r="A10184" i="22"/>
  <c r="B10184" i="22" l="1"/>
  <c r="A10185" i="22"/>
  <c r="A10186" i="22" l="1"/>
  <c r="B10185" i="22"/>
  <c r="A10187" i="22" l="1"/>
  <c r="B10186" i="22"/>
  <c r="A10188" i="22" l="1"/>
  <c r="B10187" i="22"/>
  <c r="B10188" i="22" l="1"/>
  <c r="A10189" i="22"/>
  <c r="B10189" i="22" l="1"/>
  <c r="A10190" i="22"/>
  <c r="A10191" i="22" l="1"/>
  <c r="B10190" i="22"/>
  <c r="B10191" i="22" l="1"/>
  <c r="A10192" i="22"/>
  <c r="A10193" i="22" l="1"/>
  <c r="B10192" i="22"/>
  <c r="B10193" i="22" l="1"/>
  <c r="A10194" i="22"/>
  <c r="A10195" i="22" l="1"/>
  <c r="B10194" i="22"/>
  <c r="B10195" i="22" l="1"/>
  <c r="A10196" i="22"/>
  <c r="A10197" i="22" l="1"/>
  <c r="B10196" i="22"/>
  <c r="B10197" i="22" l="1"/>
  <c r="A10198" i="22"/>
  <c r="A10199" i="22" l="1"/>
  <c r="B10198" i="22"/>
  <c r="B10199" i="22" l="1"/>
  <c r="A10200" i="22"/>
  <c r="B10200" i="22" l="1"/>
  <c r="A10201" i="22"/>
  <c r="B10201" i="22" l="1"/>
  <c r="A10202" i="22"/>
  <c r="A10203" i="22" l="1"/>
  <c r="B10202" i="22"/>
  <c r="B10203" i="22" l="1"/>
  <c r="A10204" i="22"/>
  <c r="A10205" i="22" l="1"/>
  <c r="B10204" i="22"/>
  <c r="B10205" i="22" l="1"/>
  <c r="A10206" i="22"/>
  <c r="A10207" i="22" l="1"/>
  <c r="B10206" i="22"/>
  <c r="B10207" i="22" l="1"/>
  <c r="A10208" i="22"/>
  <c r="B10208" i="22" l="1"/>
  <c r="A10209" i="22"/>
  <c r="B10209" i="22" l="1"/>
  <c r="A10210" i="22"/>
  <c r="A10211" i="22" l="1"/>
  <c r="B10210" i="22"/>
  <c r="B10211" i="22" l="1"/>
  <c r="A10212" i="22"/>
  <c r="A10213" i="22" l="1"/>
  <c r="B10212" i="22"/>
  <c r="B10213" i="22" l="1"/>
  <c r="A10214" i="22"/>
  <c r="A10215" i="22" l="1"/>
  <c r="B10214" i="22"/>
  <c r="B10215" i="22" l="1"/>
  <c r="A10216" i="22"/>
  <c r="B10216" i="22" l="1"/>
  <c r="A10217" i="22"/>
  <c r="A10218" i="22" l="1"/>
  <c r="B10217" i="22"/>
  <c r="B10218" i="22" l="1"/>
  <c r="A10219" i="22"/>
  <c r="B10219" i="22" l="1"/>
  <c r="A10220" i="22"/>
  <c r="A10221" i="22" l="1"/>
  <c r="B10220" i="22"/>
  <c r="A10222" i="22" l="1"/>
  <c r="B10221" i="22"/>
  <c r="A10223" i="22" l="1"/>
  <c r="B10222" i="22"/>
  <c r="B10223" i="22" l="1"/>
  <c r="A10224" i="22"/>
  <c r="A10225" i="22" l="1"/>
  <c r="B10224" i="22"/>
  <c r="A10226" i="22" l="1"/>
  <c r="B10225" i="22"/>
  <c r="B10226" i="22" l="1"/>
  <c r="A10227" i="22"/>
  <c r="B10227" i="22" l="1"/>
  <c r="A10228" i="22"/>
  <c r="A10229" i="22" l="1"/>
  <c r="B10228" i="22"/>
  <c r="B10229" i="22" l="1"/>
  <c r="A10230" i="22"/>
  <c r="B10230" i="22" l="1"/>
  <c r="A10231" i="22"/>
  <c r="B10231" i="22" l="1"/>
  <c r="A10232" i="22"/>
  <c r="A10233" i="22" l="1"/>
  <c r="B10232" i="22"/>
  <c r="A10234" i="22" l="1"/>
  <c r="B10233" i="22"/>
  <c r="B10234" i="22" l="1"/>
  <c r="A10235" i="22"/>
  <c r="A10236" i="22" l="1"/>
  <c r="B10235" i="22"/>
  <c r="A10237" i="22" l="1"/>
  <c r="B10236" i="22"/>
  <c r="A10238" i="22" l="1"/>
  <c r="B10237" i="22"/>
  <c r="B10238" i="22" l="1"/>
  <c r="A10239" i="22"/>
  <c r="A10240" i="22" l="1"/>
  <c r="B10239" i="22"/>
  <c r="B10240" i="22" l="1"/>
  <c r="A10241" i="22"/>
  <c r="A10242" i="22" l="1"/>
  <c r="B10241" i="22"/>
  <c r="A10243" i="22" l="1"/>
  <c r="B10242" i="22"/>
  <c r="B10243" i="22" l="1"/>
  <c r="A10244" i="22"/>
  <c r="A10245" i="22" l="1"/>
  <c r="B10244" i="22"/>
  <c r="A10246" i="22" l="1"/>
  <c r="B10245" i="22"/>
  <c r="B10246" i="22" l="1"/>
  <c r="A10247" i="22"/>
  <c r="A10248" i="22" l="1"/>
  <c r="B10247" i="22"/>
  <c r="B10248" i="22" l="1"/>
  <c r="A10249" i="22"/>
  <c r="B10249" i="22" l="1"/>
  <c r="A10250" i="22"/>
  <c r="A10251" i="22" l="1"/>
  <c r="B10250" i="22"/>
  <c r="A10252" i="22" l="1"/>
  <c r="B10251" i="22"/>
  <c r="A10253" i="22" l="1"/>
  <c r="B10252" i="22"/>
  <c r="A10254" i="22" l="1"/>
  <c r="B10253" i="22"/>
  <c r="B10254" i="22" l="1"/>
  <c r="A10255" i="22"/>
  <c r="B10255" i="22" l="1"/>
  <c r="A10256" i="22"/>
  <c r="A10257" i="22" l="1"/>
  <c r="B10256" i="22"/>
  <c r="A10258" i="22" l="1"/>
  <c r="B10257" i="22"/>
  <c r="B10258" i="22" l="1"/>
  <c r="A10259" i="22"/>
  <c r="A10260" i="22" l="1"/>
  <c r="B10259" i="22"/>
  <c r="B10260" i="22" l="1"/>
  <c r="A10261" i="22"/>
  <c r="A10262" i="22" l="1"/>
  <c r="B10261" i="22"/>
  <c r="B10262" i="22" l="1"/>
  <c r="A10263" i="22"/>
  <c r="A10264" i="22" l="1"/>
  <c r="B10263" i="22"/>
  <c r="B10264" i="22" l="1"/>
  <c r="A10265" i="22"/>
  <c r="B10265" i="22" l="1"/>
  <c r="A10266" i="22"/>
  <c r="B10266" i="22" l="1"/>
  <c r="A10267" i="22"/>
  <c r="B10267" i="22" l="1"/>
  <c r="A10268" i="22"/>
  <c r="B10268" i="22" l="1"/>
  <c r="A10269" i="22"/>
  <c r="A10270" i="22" l="1"/>
  <c r="B10270" i="22" s="1"/>
  <c r="B10269" i="22"/>
  <c r="BZ501" i="6" l="1"/>
  <c r="CA501" i="6" s="1"/>
  <c r="BG122" i="26"/>
  <c r="BH122" i="26" s="1"/>
  <c r="AO122" i="26" s="1"/>
  <c r="BG951" i="26"/>
  <c r="BH951" i="26" s="1"/>
  <c r="AO951" i="26" s="1"/>
  <c r="BI683" i="26"/>
  <c r="BJ683" i="26" s="1"/>
  <c r="BI980" i="26"/>
  <c r="BJ980" i="26" s="1"/>
  <c r="BI1145" i="26"/>
  <c r="BJ1145" i="26" s="1"/>
  <c r="BG1008" i="26"/>
  <c r="BH1008" i="26" s="1"/>
  <c r="AO1008" i="26" s="1"/>
  <c r="BG1212" i="26"/>
  <c r="BH1212" i="26" s="1"/>
  <c r="AO1212" i="26" s="1"/>
  <c r="BG862" i="26"/>
  <c r="BH862" i="26" s="1"/>
  <c r="AO862" i="26" s="1"/>
  <c r="BG1238" i="26"/>
  <c r="BH1238" i="26" s="1"/>
  <c r="AO1238" i="26" s="1"/>
  <c r="BI908" i="26"/>
  <c r="BJ908" i="26" s="1"/>
  <c r="BG1064" i="26"/>
  <c r="BH1064" i="26" s="1"/>
  <c r="AO1064" i="26" s="1"/>
  <c r="BG1228" i="26"/>
  <c r="BH1228" i="26" s="1"/>
  <c r="AO1228" i="26" s="1"/>
  <c r="BI1041" i="26"/>
  <c r="BJ1041" i="26" s="1"/>
  <c r="BG1170" i="26"/>
  <c r="BH1170" i="26" s="1"/>
  <c r="AO1170" i="26" s="1"/>
  <c r="BG881" i="26"/>
  <c r="BH881" i="26" s="1"/>
  <c r="AO881" i="26" s="1"/>
  <c r="BI1063" i="26"/>
  <c r="BJ1063" i="26" s="1"/>
  <c r="AP1063" i="26" s="1"/>
  <c r="BG1161" i="26"/>
  <c r="BH1161" i="26" s="1"/>
  <c r="AO1161" i="26" s="1"/>
  <c r="BI1032" i="26"/>
  <c r="BJ1032" i="26" s="1"/>
  <c r="BG612" i="26"/>
  <c r="BH612" i="26" s="1"/>
  <c r="AO612" i="26" s="1"/>
  <c r="BG873" i="26"/>
  <c r="BH873" i="26" s="1"/>
  <c r="AO873" i="26" s="1"/>
  <c r="BI922" i="26"/>
  <c r="BJ922" i="26" s="1"/>
  <c r="BI801" i="26"/>
  <c r="BJ801" i="26" s="1"/>
  <c r="BG1083" i="26"/>
  <c r="BH1083" i="26" s="1"/>
  <c r="AO1083" i="26" s="1"/>
  <c r="BG1178" i="26"/>
  <c r="BH1178" i="26" s="1"/>
  <c r="AO1178" i="26" s="1"/>
  <c r="BG931" i="26"/>
  <c r="BH931" i="26" s="1"/>
  <c r="AO931" i="26" s="1"/>
  <c r="BI1195" i="26"/>
  <c r="BJ1195" i="26" s="1"/>
  <c r="BG1123" i="26"/>
  <c r="BH1123" i="26" s="1"/>
  <c r="AO1123" i="26" s="1"/>
  <c r="BI797" i="26"/>
  <c r="BJ797" i="26" s="1"/>
  <c r="BI613" i="26"/>
  <c r="BJ613" i="26" s="1"/>
  <c r="BG411" i="26"/>
  <c r="BH411" i="26" s="1"/>
  <c r="AO411" i="26" s="1"/>
  <c r="BZ506" i="6"/>
  <c r="CA506" i="6" s="1"/>
  <c r="BI1201" i="26"/>
  <c r="BJ1201" i="26" s="1"/>
  <c r="BI876" i="26"/>
  <c r="BJ876" i="26" s="1"/>
  <c r="AP876" i="26" s="1"/>
  <c r="BG1074" i="26"/>
  <c r="BH1074" i="26" s="1"/>
  <c r="AO1074" i="26" s="1"/>
  <c r="BI1154" i="26"/>
  <c r="BJ1154" i="26" s="1"/>
  <c r="BG983" i="26"/>
  <c r="BH983" i="26" s="1"/>
  <c r="AO983" i="26" s="1"/>
  <c r="BI535" i="26"/>
  <c r="BJ535" i="26" s="1"/>
  <c r="BG863" i="26"/>
  <c r="BH863" i="26" s="1"/>
  <c r="AO863" i="26" s="1"/>
  <c r="BI253" i="26"/>
  <c r="BJ253" i="26" s="1"/>
  <c r="BI1222" i="26"/>
  <c r="BJ1222" i="26" s="1"/>
  <c r="AP1222" i="26" s="1"/>
  <c r="BI1090" i="26"/>
  <c r="BJ1090" i="26" s="1"/>
  <c r="AP1090" i="26" s="1"/>
  <c r="BI1181" i="26"/>
  <c r="BJ1181" i="26" s="1"/>
  <c r="BI923" i="26"/>
  <c r="BJ923" i="26" s="1"/>
  <c r="BI725" i="26"/>
  <c r="BJ725" i="26" s="1"/>
  <c r="BG972" i="26"/>
  <c r="BH972" i="26" s="1"/>
  <c r="AO972" i="26" s="1"/>
  <c r="BG692" i="26"/>
  <c r="BH692" i="26" s="1"/>
  <c r="AO692" i="26" s="1"/>
  <c r="BI1010" i="26"/>
  <c r="BJ1010" i="26" s="1"/>
  <c r="BI875" i="26"/>
  <c r="BJ875" i="26" s="1"/>
  <c r="BG1128" i="26"/>
  <c r="BH1128" i="26" s="1"/>
  <c r="AO1128" i="26" s="1"/>
  <c r="BG1095" i="26"/>
  <c r="BH1095" i="26" s="1"/>
  <c r="AO1095" i="26" s="1"/>
  <c r="BI830" i="26"/>
  <c r="BJ830" i="26" s="1"/>
  <c r="BG1069" i="26"/>
  <c r="BH1069" i="26" s="1"/>
  <c r="AO1069" i="26" s="1"/>
  <c r="BG1237" i="26"/>
  <c r="BH1237" i="26" s="1"/>
  <c r="AO1237" i="26" s="1"/>
  <c r="BG1145" i="26"/>
  <c r="BH1145" i="26" s="1"/>
  <c r="AO1145" i="26" s="1"/>
  <c r="BG1210" i="26"/>
  <c r="BH1210" i="26" s="1"/>
  <c r="AO1210" i="26" s="1"/>
  <c r="BI956" i="26"/>
  <c r="BJ956" i="26" s="1"/>
  <c r="BG674" i="26"/>
  <c r="BH674" i="26" s="1"/>
  <c r="AO674" i="26" s="1"/>
  <c r="BG1010" i="26"/>
  <c r="BH1010" i="26" s="1"/>
  <c r="AO1010" i="26" s="1"/>
  <c r="BG1059" i="26"/>
  <c r="BH1059" i="26" s="1"/>
  <c r="AO1059" i="26" s="1"/>
  <c r="BI710" i="26"/>
  <c r="BJ710" i="26" s="1"/>
  <c r="BI929" i="26"/>
  <c r="BJ929" i="26" s="1"/>
  <c r="BG780" i="26"/>
  <c r="BH780" i="26" s="1"/>
  <c r="AO780" i="26" s="1"/>
  <c r="BG1183" i="26"/>
  <c r="BH1183" i="26" s="1"/>
  <c r="AO1183" i="26" s="1"/>
  <c r="BI1049" i="26"/>
  <c r="BJ1049" i="26" s="1"/>
  <c r="BG796" i="26"/>
  <c r="BH796" i="26" s="1"/>
  <c r="AO796" i="26" s="1"/>
  <c r="BI1178" i="26"/>
  <c r="BJ1178" i="26" s="1"/>
  <c r="BI934" i="26"/>
  <c r="BJ934" i="26" s="1"/>
  <c r="BI844" i="26"/>
  <c r="BJ844" i="26" s="1"/>
  <c r="BI1099" i="26"/>
  <c r="BJ1099" i="26" s="1"/>
  <c r="AP1099" i="26" s="1"/>
  <c r="BG1211" i="26"/>
  <c r="BH1211" i="26" s="1"/>
  <c r="AO1211" i="26" s="1"/>
  <c r="BG973" i="26"/>
  <c r="BH973" i="26" s="1"/>
  <c r="AO973" i="26" s="1"/>
  <c r="BI1105" i="26"/>
  <c r="BJ1105" i="26" s="1"/>
  <c r="AP1105" i="26" s="1"/>
  <c r="BI1173" i="26"/>
  <c r="BJ1173" i="26" s="1"/>
  <c r="BG1078" i="26"/>
  <c r="BH1078" i="26" s="1"/>
  <c r="AO1078" i="26" s="1"/>
  <c r="BG666" i="26"/>
  <c r="BH666" i="26" s="1"/>
  <c r="AO666" i="26" s="1"/>
  <c r="BI450" i="26"/>
  <c r="BJ450" i="26" s="1"/>
  <c r="CB503" i="6"/>
  <c r="CC503" i="6" s="1"/>
  <c r="BI503" i="6" s="1"/>
  <c r="BZ531" i="6"/>
  <c r="CA531" i="6" s="1"/>
  <c r="BI912" i="26"/>
  <c r="BJ912" i="26" s="1"/>
  <c r="BI1116" i="26"/>
  <c r="BJ1116" i="26" s="1"/>
  <c r="AP1116" i="26" s="1"/>
  <c r="BG900" i="26"/>
  <c r="BH900" i="26" s="1"/>
  <c r="AO900" i="26" s="1"/>
  <c r="BI848" i="26"/>
  <c r="BJ848" i="26" s="1"/>
  <c r="BG945" i="26"/>
  <c r="BH945" i="26" s="1"/>
  <c r="AO945" i="26" s="1"/>
  <c r="BG1216" i="26"/>
  <c r="BH1216" i="26" s="1"/>
  <c r="AO1216" i="26" s="1"/>
  <c r="BG1189" i="26"/>
  <c r="BH1189" i="26" s="1"/>
  <c r="AO1189" i="26" s="1"/>
  <c r="BI1220" i="26"/>
  <c r="BJ1220" i="26" s="1"/>
  <c r="BG1089" i="26"/>
  <c r="BH1089" i="26" s="1"/>
  <c r="AO1089" i="26" s="1"/>
  <c r="BI326" i="26"/>
  <c r="BJ326" i="26" s="1"/>
  <c r="BI632" i="26"/>
  <c r="BJ632" i="26" s="1"/>
  <c r="CB502" i="6"/>
  <c r="CC502" i="6" s="1"/>
  <c r="BI502" i="6" s="1"/>
  <c r="BI1100" i="26"/>
  <c r="BJ1100" i="26" s="1"/>
  <c r="BG1144" i="26"/>
  <c r="BH1144" i="26" s="1"/>
  <c r="AO1144" i="26" s="1"/>
  <c r="BI846" i="26"/>
  <c r="BJ846" i="26" s="1"/>
  <c r="BI978" i="26"/>
  <c r="BJ978" i="26" s="1"/>
  <c r="AP978" i="26" s="1"/>
  <c r="BI1157" i="26"/>
  <c r="BJ1157" i="26" s="1"/>
  <c r="BG1116" i="26"/>
  <c r="BH1116" i="26" s="1"/>
  <c r="AO1116" i="26" s="1"/>
  <c r="BG921" i="26"/>
  <c r="BH921" i="26" s="1"/>
  <c r="AO921" i="26" s="1"/>
  <c r="BI1098" i="26"/>
  <c r="BJ1098" i="26" s="1"/>
  <c r="BI1136" i="26"/>
  <c r="BJ1136" i="26" s="1"/>
  <c r="BI1184" i="26"/>
  <c r="BJ1184" i="26" s="1"/>
  <c r="BI841" i="26"/>
  <c r="BJ841" i="26" s="1"/>
  <c r="BI940" i="26"/>
  <c r="BJ940" i="26" s="1"/>
  <c r="BG894" i="26"/>
  <c r="BH894" i="26" s="1"/>
  <c r="AO894" i="26" s="1"/>
  <c r="BI1005" i="26"/>
  <c r="BJ1005" i="26" s="1"/>
  <c r="BI1123" i="26"/>
  <c r="BJ1123" i="26" s="1"/>
  <c r="AP1123" i="26" s="1"/>
  <c r="BI602" i="26"/>
  <c r="BJ602" i="26" s="1"/>
  <c r="BG1172" i="26"/>
  <c r="BH1172" i="26" s="1"/>
  <c r="AO1172" i="26" s="1"/>
  <c r="BG813" i="26"/>
  <c r="BH813" i="26" s="1"/>
  <c r="AO813" i="26" s="1"/>
  <c r="BG950" i="26"/>
  <c r="BH950" i="26" s="1"/>
  <c r="AO950" i="26" s="1"/>
  <c r="BI1086" i="26"/>
  <c r="BJ1086" i="26" s="1"/>
  <c r="AP1086" i="26" s="1"/>
  <c r="BG938" i="26"/>
  <c r="BH938" i="26" s="1"/>
  <c r="AO938" i="26" s="1"/>
  <c r="BG883" i="26"/>
  <c r="BH883" i="26" s="1"/>
  <c r="AO883" i="26" s="1"/>
  <c r="BI1053" i="26"/>
  <c r="BJ1053" i="26" s="1"/>
  <c r="BG1139" i="26"/>
  <c r="BH1139" i="26" s="1"/>
  <c r="AO1139" i="26" s="1"/>
  <c r="BI1149" i="26"/>
  <c r="BJ1149" i="26" s="1"/>
  <c r="AP1149" i="26" s="1"/>
  <c r="BG885" i="26"/>
  <c r="BH885" i="26" s="1"/>
  <c r="AO885" i="26" s="1"/>
  <c r="BG965" i="26"/>
  <c r="BH965" i="26" s="1"/>
  <c r="AO965" i="26" s="1"/>
  <c r="BI1102" i="26"/>
  <c r="BJ1102" i="26" s="1"/>
  <c r="AP1102" i="26" s="1"/>
  <c r="BI916" i="26"/>
  <c r="BJ916" i="26" s="1"/>
  <c r="BI1165" i="26"/>
  <c r="BJ1165" i="26" s="1"/>
  <c r="BI729" i="26"/>
  <c r="BJ729" i="26" s="1"/>
  <c r="BI1103" i="26"/>
  <c r="BJ1103" i="26" s="1"/>
  <c r="BG855" i="26"/>
  <c r="BH855" i="26" s="1"/>
  <c r="AO855" i="26" s="1"/>
  <c r="BI1029" i="26"/>
  <c r="BJ1029" i="26" s="1"/>
  <c r="BG937" i="26"/>
  <c r="BH937" i="26" s="1"/>
  <c r="AO937" i="26" s="1"/>
  <c r="BG764" i="26"/>
  <c r="BH764" i="26" s="1"/>
  <c r="AO764" i="26" s="1"/>
  <c r="BI516" i="26"/>
  <c r="BJ516" i="26" s="1"/>
  <c r="BZ503" i="6"/>
  <c r="CA503" i="6" s="1"/>
  <c r="BG120" i="26"/>
  <c r="BH120" i="26" s="1"/>
  <c r="AO120" i="26" s="1"/>
  <c r="BG985" i="26"/>
  <c r="BH985" i="26" s="1"/>
  <c r="AO985" i="26" s="1"/>
  <c r="BI777" i="26"/>
  <c r="BJ777" i="26" s="1"/>
  <c r="BG1035" i="26"/>
  <c r="BH1035" i="26" s="1"/>
  <c r="AO1035" i="26" s="1"/>
  <c r="BI1166" i="26"/>
  <c r="BJ1166" i="26" s="1"/>
  <c r="BG1025" i="26"/>
  <c r="BH1025" i="26" s="1"/>
  <c r="AO1025" i="26" s="1"/>
  <c r="BG922" i="26"/>
  <c r="BH922" i="26" s="1"/>
  <c r="AO922" i="26" s="1"/>
  <c r="CB505" i="6"/>
  <c r="CC505" i="6" s="1"/>
  <c r="BI505" i="6" s="1"/>
  <c r="BI254" i="26"/>
  <c r="BJ254" i="26" s="1"/>
  <c r="BG1214" i="26"/>
  <c r="BH1214" i="26" s="1"/>
  <c r="AO1214" i="26" s="1"/>
  <c r="BI877" i="26"/>
  <c r="BJ877" i="26" s="1"/>
  <c r="BI1015" i="26"/>
  <c r="BJ1015" i="26" s="1"/>
  <c r="BG912" i="26"/>
  <c r="BH912" i="26" s="1"/>
  <c r="AO912" i="26" s="1"/>
  <c r="BG1153" i="26"/>
  <c r="BH1153" i="26" s="1"/>
  <c r="AO1153" i="26" s="1"/>
  <c r="BG980" i="26"/>
  <c r="BH980" i="26" s="1"/>
  <c r="AO980" i="26" s="1"/>
  <c r="BI1106" i="26"/>
  <c r="BJ1106" i="26" s="1"/>
  <c r="BI966" i="26"/>
  <c r="BJ966" i="26" s="1"/>
  <c r="BI1235" i="26"/>
  <c r="BJ1235" i="26" s="1"/>
  <c r="AP1235" i="26" s="1"/>
  <c r="BI881" i="26"/>
  <c r="BJ881" i="26" s="1"/>
  <c r="BI981" i="26"/>
  <c r="BJ981" i="26" s="1"/>
  <c r="BI815" i="26"/>
  <c r="BJ815" i="26" s="1"/>
  <c r="BI1085" i="26"/>
  <c r="BJ1085" i="26" s="1"/>
  <c r="BI1162" i="26"/>
  <c r="BJ1162" i="26" s="1"/>
  <c r="BG708" i="26"/>
  <c r="BH708" i="26" s="1"/>
  <c r="AO708" i="26" s="1"/>
  <c r="BI901" i="26"/>
  <c r="BJ901" i="26" s="1"/>
  <c r="BG852" i="26"/>
  <c r="BH852" i="26" s="1"/>
  <c r="AO852" i="26" s="1"/>
  <c r="BG1003" i="26"/>
  <c r="BH1003" i="26" s="1"/>
  <c r="AO1003" i="26" s="1"/>
  <c r="BI1150" i="26"/>
  <c r="BJ1150" i="26" s="1"/>
  <c r="AP1150" i="26" s="1"/>
  <c r="BI1224" i="26"/>
  <c r="BJ1224" i="26" s="1"/>
  <c r="AP1224" i="26" s="1"/>
  <c r="BI902" i="26"/>
  <c r="BJ902" i="26" s="1"/>
  <c r="BG1077" i="26"/>
  <c r="BH1077" i="26" s="1"/>
  <c r="AO1077" i="26" s="1"/>
  <c r="BI794" i="26"/>
  <c r="BJ794" i="26" s="1"/>
  <c r="BG1119" i="26"/>
  <c r="BH1119" i="26" s="1"/>
  <c r="AO1119" i="26" s="1"/>
  <c r="BG734" i="26"/>
  <c r="BH734" i="26" s="1"/>
  <c r="AO734" i="26" s="1"/>
  <c r="BI1169" i="26"/>
  <c r="BJ1169" i="26" s="1"/>
  <c r="BG1028" i="26"/>
  <c r="BH1028" i="26" s="1"/>
  <c r="AO1028" i="26" s="1"/>
  <c r="BG262" i="26"/>
  <c r="BH262" i="26" s="1"/>
  <c r="AO262" i="26" s="1"/>
  <c r="BI918" i="26"/>
  <c r="BJ918" i="26" s="1"/>
  <c r="BI1139" i="26"/>
  <c r="BJ1139" i="26" s="1"/>
  <c r="BG1104" i="26"/>
  <c r="BH1104" i="26" s="1"/>
  <c r="AO1104" i="26" s="1"/>
  <c r="BG1230" i="26"/>
  <c r="BH1230" i="26" s="1"/>
  <c r="AO1230" i="26" s="1"/>
  <c r="BG995" i="26"/>
  <c r="BH995" i="26" s="1"/>
  <c r="AO995" i="26" s="1"/>
  <c r="BG1053" i="26"/>
  <c r="BH1053" i="26" s="1"/>
  <c r="AO1053" i="26" s="1"/>
  <c r="BG901" i="26"/>
  <c r="BH901" i="26" s="1"/>
  <c r="AO901" i="26" s="1"/>
  <c r="BG1012" i="26"/>
  <c r="BH1012" i="26" s="1"/>
  <c r="AO1012" i="26" s="1"/>
  <c r="BI1241" i="26"/>
  <c r="BJ1241" i="26" s="1"/>
  <c r="BG925" i="26"/>
  <c r="BH925" i="26" s="1"/>
  <c r="AO925" i="26" s="1"/>
  <c r="BI903" i="26"/>
  <c r="BJ903" i="26" s="1"/>
  <c r="BI937" i="26"/>
  <c r="BJ937" i="26" s="1"/>
  <c r="BI1113" i="26"/>
  <c r="BJ1113" i="26" s="1"/>
  <c r="AP1113" i="26" s="1"/>
  <c r="BI1000" i="26"/>
  <c r="BJ1000" i="26" s="1"/>
  <c r="BI576" i="26"/>
  <c r="BJ576" i="26" s="1"/>
  <c r="AP576" i="26" s="1"/>
  <c r="BG591" i="26"/>
  <c r="BH591" i="26" s="1"/>
  <c r="AO591" i="26" s="1"/>
  <c r="BG984" i="26"/>
  <c r="BH984" i="26" s="1"/>
  <c r="AO984" i="26" s="1"/>
  <c r="BZ638" i="6"/>
  <c r="CA638" i="6" s="1"/>
  <c r="BG1072" i="26"/>
  <c r="BH1072" i="26" s="1"/>
  <c r="AO1072" i="26" s="1"/>
  <c r="BG936" i="26"/>
  <c r="BH936" i="26" s="1"/>
  <c r="AO936" i="26" s="1"/>
  <c r="BG1130" i="26"/>
  <c r="BH1130" i="26" s="1"/>
  <c r="AO1130" i="26" s="1"/>
  <c r="BG1234" i="26"/>
  <c r="BH1234" i="26" s="1"/>
  <c r="AO1234" i="26" s="1"/>
  <c r="BG1138" i="26"/>
  <c r="BH1138" i="26" s="1"/>
  <c r="AO1138" i="26" s="1"/>
  <c r="BG727" i="26"/>
  <c r="BH727" i="26" s="1"/>
  <c r="AO727" i="26" s="1"/>
  <c r="BG960" i="26"/>
  <c r="BH960" i="26" s="1"/>
  <c r="AO960" i="26" s="1"/>
  <c r="BI787" i="26"/>
  <c r="BJ787" i="26" s="1"/>
  <c r="BI1069" i="26"/>
  <c r="BJ1069" i="26" s="1"/>
  <c r="AP1069" i="26" s="1"/>
  <c r="BI976" i="26"/>
  <c r="BJ976" i="26" s="1"/>
  <c r="AP976" i="26" s="1"/>
  <c r="BG1048" i="26"/>
  <c r="BH1048" i="26" s="1"/>
  <c r="AO1048" i="26" s="1"/>
  <c r="BI1151" i="26"/>
  <c r="BJ1151" i="26" s="1"/>
  <c r="BG869" i="26"/>
  <c r="BH869" i="26" s="1"/>
  <c r="AO869" i="26" s="1"/>
  <c r="BI991" i="26"/>
  <c r="BJ991" i="26" s="1"/>
  <c r="BI1183" i="26"/>
  <c r="BJ1183" i="26" s="1"/>
  <c r="BI1059" i="26"/>
  <c r="BJ1059" i="26" s="1"/>
  <c r="BG710" i="26"/>
  <c r="BH710" i="26" s="1"/>
  <c r="AO710" i="26" s="1"/>
  <c r="BI1229" i="26"/>
  <c r="BJ1229" i="26" s="1"/>
  <c r="AP1229" i="26" s="1"/>
  <c r="BG1063" i="26"/>
  <c r="BH1063" i="26" s="1"/>
  <c r="AO1063" i="26" s="1"/>
  <c r="BG896" i="26"/>
  <c r="BH896" i="26" s="1"/>
  <c r="AO896" i="26" s="1"/>
  <c r="BI1134" i="26"/>
  <c r="BJ1134" i="26" s="1"/>
  <c r="AP1134" i="26" s="1"/>
  <c r="BG952" i="26"/>
  <c r="BH952" i="26" s="1"/>
  <c r="AO952" i="26" s="1"/>
  <c r="BI924" i="26"/>
  <c r="BJ924" i="26" s="1"/>
  <c r="BG1006" i="26"/>
  <c r="BH1006" i="26" s="1"/>
  <c r="AO1006" i="26" s="1"/>
  <c r="BG918" i="26"/>
  <c r="BH918" i="26" s="1"/>
  <c r="AO918" i="26" s="1"/>
  <c r="BI779" i="26"/>
  <c r="BJ779" i="26" s="1"/>
  <c r="BG1227" i="26"/>
  <c r="BH1227" i="26" s="1"/>
  <c r="AO1227" i="26" s="1"/>
  <c r="BG668" i="26"/>
  <c r="BH668" i="26" s="1"/>
  <c r="AO668" i="26" s="1"/>
  <c r="BI1018" i="26"/>
  <c r="BJ1018" i="26" s="1"/>
  <c r="BI962" i="26"/>
  <c r="BJ962" i="26" s="1"/>
  <c r="BI1013" i="26"/>
  <c r="BJ1013" i="26" s="1"/>
  <c r="BG1236" i="26"/>
  <c r="BH1236" i="26" s="1"/>
  <c r="AO1236" i="26" s="1"/>
  <c r="BI1028" i="26"/>
  <c r="BJ1028" i="26" s="1"/>
  <c r="BG1040" i="26"/>
  <c r="BH1040" i="26" s="1"/>
  <c r="AO1040" i="26" s="1"/>
  <c r="BG1127" i="26"/>
  <c r="BH1127" i="26" s="1"/>
  <c r="AO1127" i="26" s="1"/>
  <c r="BI443" i="26"/>
  <c r="BJ443" i="26" s="1"/>
  <c r="BI1143" i="26"/>
  <c r="BJ1143" i="26" s="1"/>
  <c r="BG948" i="26"/>
  <c r="BH948" i="26" s="1"/>
  <c r="AO948" i="26" s="1"/>
  <c r="BI612" i="26"/>
  <c r="BJ612" i="26" s="1"/>
  <c r="AP612" i="26" s="1"/>
  <c r="BG967" i="26"/>
  <c r="BH967" i="26" s="1"/>
  <c r="AO967" i="26" s="1"/>
  <c r="BG1226" i="26"/>
  <c r="BH1226" i="26" s="1"/>
  <c r="AO1226" i="26" s="1"/>
  <c r="BG1017" i="26"/>
  <c r="BH1017" i="26" s="1"/>
  <c r="AO1017" i="26" s="1"/>
  <c r="BI847" i="26"/>
  <c r="BJ847" i="26" s="1"/>
  <c r="BI647" i="26"/>
  <c r="BJ647" i="26" s="1"/>
  <c r="BG1146" i="26"/>
  <c r="BH1146" i="26" s="1"/>
  <c r="AO1146" i="26" s="1"/>
  <c r="BG117" i="26"/>
  <c r="BH117" i="26" s="1"/>
  <c r="AO117" i="26" s="1"/>
  <c r="BG888" i="26"/>
  <c r="BH888" i="26" s="1"/>
  <c r="AO888" i="26" s="1"/>
  <c r="BI955" i="26"/>
  <c r="BJ955" i="26" s="1"/>
  <c r="AP955" i="26" s="1"/>
  <c r="BI1160" i="26"/>
  <c r="BJ1160" i="26" s="1"/>
  <c r="BG1222" i="26"/>
  <c r="BH1222" i="26" s="1"/>
  <c r="AO1222" i="26" s="1"/>
  <c r="BI932" i="26"/>
  <c r="BJ932" i="26" s="1"/>
  <c r="BG805" i="26"/>
  <c r="BH805" i="26" s="1"/>
  <c r="AO805" i="26" s="1"/>
  <c r="BG978" i="26"/>
  <c r="BH978" i="26" s="1"/>
  <c r="AO978" i="26" s="1"/>
  <c r="BG840" i="26"/>
  <c r="BH840" i="26" s="1"/>
  <c r="AO840" i="26" s="1"/>
  <c r="BI832" i="26"/>
  <c r="BJ832" i="26" s="1"/>
  <c r="BI993" i="26"/>
  <c r="BJ993" i="26" s="1"/>
  <c r="BG1075" i="26"/>
  <c r="BH1075" i="26" s="1"/>
  <c r="AO1075" i="26" s="1"/>
  <c r="BI1215" i="26"/>
  <c r="BJ1215" i="26" s="1"/>
  <c r="BG1184" i="26"/>
  <c r="BH1184" i="26" s="1"/>
  <c r="AO1184" i="26" s="1"/>
  <c r="BG1029" i="26"/>
  <c r="BH1029" i="26" s="1"/>
  <c r="AO1029" i="26" s="1"/>
  <c r="BI1191" i="26"/>
  <c r="BJ1191" i="26" s="1"/>
  <c r="BG1049" i="26"/>
  <c r="BH1049" i="26" s="1"/>
  <c r="AO1049" i="26" s="1"/>
  <c r="BG964" i="26"/>
  <c r="BH964" i="26" s="1"/>
  <c r="AO964" i="26" s="1"/>
  <c r="BG904" i="26"/>
  <c r="BH904" i="26" s="1"/>
  <c r="AO904" i="26" s="1"/>
  <c r="BG986" i="26"/>
  <c r="BH986" i="26" s="1"/>
  <c r="AO986" i="26" s="1"/>
  <c r="BI1177" i="26"/>
  <c r="BJ1177" i="26" s="1"/>
  <c r="BI1118" i="26"/>
  <c r="BJ1118" i="26" s="1"/>
  <c r="BI1194" i="26"/>
  <c r="BJ1194" i="26" s="1"/>
  <c r="AP1194" i="26" s="1"/>
  <c r="BI1198" i="26"/>
  <c r="BJ1198" i="26" s="1"/>
  <c r="AP1198" i="26" s="1"/>
  <c r="BG1157" i="26"/>
  <c r="BH1157" i="26" s="1"/>
  <c r="AO1157" i="26" s="1"/>
  <c r="BI869" i="26"/>
  <c r="BJ869" i="26" s="1"/>
  <c r="BI1033" i="26"/>
  <c r="BJ1033" i="26" s="1"/>
  <c r="BG1185" i="26"/>
  <c r="BH1185" i="26" s="1"/>
  <c r="AO1185" i="26" s="1"/>
  <c r="BI992" i="26"/>
  <c r="BJ992" i="26" s="1"/>
  <c r="BG1235" i="26"/>
  <c r="BH1235" i="26" s="1"/>
  <c r="AO1235" i="26" s="1"/>
  <c r="BG781" i="26"/>
  <c r="BH781" i="26" s="1"/>
  <c r="AO781" i="26" s="1"/>
  <c r="BI1006" i="26"/>
  <c r="BJ1006" i="26" s="1"/>
  <c r="BG1094" i="26"/>
  <c r="BH1094" i="26" s="1"/>
  <c r="AO1094" i="26" s="1"/>
  <c r="BI987" i="26"/>
  <c r="BJ987" i="26" s="1"/>
  <c r="BG1092" i="26"/>
  <c r="BH1092" i="26" s="1"/>
  <c r="AO1092" i="26" s="1"/>
  <c r="BG751" i="26"/>
  <c r="BH751" i="26" s="1"/>
  <c r="AO751" i="26" s="1"/>
  <c r="BG861" i="26"/>
  <c r="BH861" i="26" s="1"/>
  <c r="AO861" i="26" s="1"/>
  <c r="BI1174" i="26"/>
  <c r="BJ1174" i="26" s="1"/>
  <c r="BI984" i="26"/>
  <c r="BJ984" i="26" s="1"/>
  <c r="BI1115" i="26"/>
  <c r="BJ1115" i="26" s="1"/>
  <c r="BG853" i="26"/>
  <c r="BH853" i="26" s="1"/>
  <c r="AO853" i="26" s="1"/>
  <c r="BI1127" i="26"/>
  <c r="BJ1127" i="26" s="1"/>
  <c r="BI931" i="26"/>
  <c r="BJ931" i="26" s="1"/>
  <c r="BG1105" i="26"/>
  <c r="BH1105" i="26" s="1"/>
  <c r="AO1105" i="26" s="1"/>
  <c r="BI530" i="26"/>
  <c r="BJ530" i="26" s="1"/>
  <c r="BG365" i="26"/>
  <c r="BH365" i="26" s="1"/>
  <c r="AO365" i="26" s="1"/>
  <c r="CB506" i="6"/>
  <c r="CC506" i="6" s="1"/>
  <c r="BI506" i="6" s="1"/>
  <c r="BI117" i="26"/>
  <c r="BJ117" i="26" s="1"/>
  <c r="AP117" i="26" s="1"/>
  <c r="BG794" i="26"/>
  <c r="BH794" i="26" s="1"/>
  <c r="AO794" i="26" s="1"/>
  <c r="BI1124" i="26"/>
  <c r="BJ1124" i="26" s="1"/>
  <c r="BG1073" i="26"/>
  <c r="BH1073" i="26" s="1"/>
  <c r="AO1073" i="26" s="1"/>
  <c r="BI985" i="26"/>
  <c r="BJ985" i="26" s="1"/>
  <c r="BG842" i="26"/>
  <c r="BH842" i="26" s="1"/>
  <c r="AO842" i="26" s="1"/>
  <c r="BI1064" i="26"/>
  <c r="BJ1064" i="26" s="1"/>
  <c r="BI1185" i="26"/>
  <c r="BJ1185" i="26" s="1"/>
  <c r="BI1199" i="26"/>
  <c r="BJ1199" i="26" s="1"/>
  <c r="BG1030" i="26"/>
  <c r="BH1030" i="26" s="1"/>
  <c r="AO1030" i="26" s="1"/>
  <c r="BI1237" i="26"/>
  <c r="BJ1237" i="26" s="1"/>
  <c r="AP1237" i="26" s="1"/>
  <c r="BI862" i="26"/>
  <c r="BJ862" i="26" s="1"/>
  <c r="BI1210" i="26"/>
  <c r="BJ1210" i="26" s="1"/>
  <c r="AP1210" i="26" s="1"/>
  <c r="BG898" i="26"/>
  <c r="BH898" i="26" s="1"/>
  <c r="AO898" i="26" s="1"/>
  <c r="BI1044" i="26"/>
  <c r="BJ1044" i="26" s="1"/>
  <c r="AP1044" i="26" s="1"/>
  <c r="BI928" i="26"/>
  <c r="BJ928" i="26" s="1"/>
  <c r="BG815" i="26"/>
  <c r="BH815" i="26" s="1"/>
  <c r="AO815" i="26" s="1"/>
  <c r="BG1088" i="26"/>
  <c r="BH1088" i="26" s="1"/>
  <c r="AO1088" i="26" s="1"/>
  <c r="BG1208" i="26"/>
  <c r="BH1208" i="26" s="1"/>
  <c r="AO1208" i="26" s="1"/>
  <c r="BI708" i="26"/>
  <c r="BJ708" i="26" s="1"/>
  <c r="BI997" i="26"/>
  <c r="BJ997" i="26" s="1"/>
  <c r="BI674" i="26"/>
  <c r="BJ674" i="26" s="1"/>
  <c r="BI933" i="26"/>
  <c r="BJ933" i="26" s="1"/>
  <c r="BG1151" i="26"/>
  <c r="BH1151" i="26" s="1"/>
  <c r="AO1151" i="26" s="1"/>
  <c r="BI1148" i="26"/>
  <c r="BJ1148" i="26" s="1"/>
  <c r="BI1021" i="26"/>
  <c r="BJ1021" i="26" s="1"/>
  <c r="BI1077" i="26"/>
  <c r="BJ1077" i="26" s="1"/>
  <c r="BI1232" i="26"/>
  <c r="BJ1232" i="26" s="1"/>
  <c r="AP1232" i="26" s="1"/>
  <c r="BG1032" i="26"/>
  <c r="BH1032" i="26" s="1"/>
  <c r="AO1032" i="26" s="1"/>
  <c r="BG841" i="26"/>
  <c r="BH841" i="26" s="1"/>
  <c r="AO841" i="26" s="1"/>
  <c r="BI1036" i="26"/>
  <c r="BJ1036" i="26" s="1"/>
  <c r="BI861" i="26"/>
  <c r="BJ861" i="26" s="1"/>
  <c r="BI1012" i="26"/>
  <c r="BJ1012" i="26" s="1"/>
  <c r="BG1155" i="26"/>
  <c r="BH1155" i="26" s="1"/>
  <c r="AO1155" i="26" s="1"/>
  <c r="BI823" i="26"/>
  <c r="BJ823" i="26" s="1"/>
  <c r="BG1207" i="26"/>
  <c r="BH1207" i="26" s="1"/>
  <c r="AO1207" i="26" s="1"/>
  <c r="BI685" i="26"/>
  <c r="BJ685" i="26" s="1"/>
  <c r="BI999" i="26"/>
  <c r="BJ999" i="26" s="1"/>
  <c r="BG1150" i="26"/>
  <c r="BH1150" i="26" s="1"/>
  <c r="AO1150" i="26" s="1"/>
  <c r="BI1068" i="26"/>
  <c r="BJ1068" i="26" s="1"/>
  <c r="AP1068" i="26" s="1"/>
  <c r="BI1135" i="26"/>
  <c r="BJ1135" i="26" s="1"/>
  <c r="AP1135" i="26" s="1"/>
  <c r="BI1011" i="26"/>
  <c r="BJ1011" i="26" s="1"/>
  <c r="BI1240" i="26"/>
  <c r="BJ1240" i="26" s="1"/>
  <c r="BI207" i="26"/>
  <c r="BJ207" i="26" s="1"/>
  <c r="AP207" i="26" s="1"/>
  <c r="BI386" i="26"/>
  <c r="BJ386" i="26" s="1"/>
  <c r="BZ505" i="6"/>
  <c r="CA505" i="6" s="1"/>
  <c r="BI121" i="26"/>
  <c r="BJ121" i="26" s="1"/>
  <c r="AP121" i="26" s="1"/>
  <c r="BI859" i="26"/>
  <c r="BJ859" i="26" s="1"/>
  <c r="BG1001" i="26"/>
  <c r="BH1001" i="26" s="1"/>
  <c r="AO1001" i="26" s="1"/>
  <c r="BI692" i="26"/>
  <c r="BJ692" i="26" s="1"/>
  <c r="BG1043" i="26"/>
  <c r="BH1043" i="26" s="1"/>
  <c r="AO1043" i="26" s="1"/>
  <c r="BG875" i="26"/>
  <c r="BH875" i="26" s="1"/>
  <c r="AO875" i="26" s="1"/>
  <c r="BI1128" i="26"/>
  <c r="BJ1128" i="26" s="1"/>
  <c r="AP1128" i="26" s="1"/>
  <c r="BI1197" i="26"/>
  <c r="BJ1197" i="26" s="1"/>
  <c r="BG1079" i="26"/>
  <c r="BH1079" i="26" s="1"/>
  <c r="AO1079" i="26" s="1"/>
  <c r="CB501" i="6"/>
  <c r="CC501" i="6" s="1"/>
  <c r="BI501" i="6" s="1"/>
  <c r="BG254" i="26"/>
  <c r="BH254" i="26" s="1"/>
  <c r="BI863" i="26"/>
  <c r="BJ863" i="26" s="1"/>
  <c r="BI727" i="26"/>
  <c r="BJ727" i="26" s="1"/>
  <c r="BI939" i="26"/>
  <c r="BJ939" i="26" s="1"/>
  <c r="BG787" i="26"/>
  <c r="BH787" i="26" s="1"/>
  <c r="AO787" i="26" s="1"/>
  <c r="BG1181" i="26"/>
  <c r="BH1181" i="26" s="1"/>
  <c r="AO1181" i="26" s="1"/>
  <c r="BI821" i="26"/>
  <c r="BJ821" i="26" s="1"/>
  <c r="BI1038" i="26"/>
  <c r="BJ1038" i="26" s="1"/>
  <c r="BI896" i="26"/>
  <c r="BJ896" i="26" s="1"/>
  <c r="BI858" i="26"/>
  <c r="BJ858" i="26" s="1"/>
  <c r="BI1231" i="26"/>
  <c r="BJ1231" i="26" s="1"/>
  <c r="AP1231" i="26" s="1"/>
  <c r="BG910" i="26"/>
  <c r="BH910" i="26" s="1"/>
  <c r="AO910" i="26" s="1"/>
  <c r="BG1136" i="26"/>
  <c r="BH1136" i="26" s="1"/>
  <c r="AO1136" i="26" s="1"/>
  <c r="BG969" i="26"/>
  <c r="BH969" i="26" s="1"/>
  <c r="AO969" i="26" s="1"/>
  <c r="BI1024" i="26"/>
  <c r="BJ1024" i="26" s="1"/>
  <c r="AP1024" i="26" s="1"/>
  <c r="BI1230" i="26"/>
  <c r="BJ1230" i="26" s="1"/>
  <c r="AP1230" i="26" s="1"/>
  <c r="BI739" i="26"/>
  <c r="BJ739" i="26" s="1"/>
  <c r="BI867" i="26"/>
  <c r="BJ867" i="26" s="1"/>
  <c r="AP867" i="26" s="1"/>
  <c r="BI879" i="26"/>
  <c r="BJ879" i="26" s="1"/>
  <c r="BG1013" i="26"/>
  <c r="BH1013" i="26" s="1"/>
  <c r="AO1013" i="26" s="1"/>
  <c r="BG1149" i="26"/>
  <c r="BH1149" i="26" s="1"/>
  <c r="AO1149" i="26" s="1"/>
  <c r="BI1146" i="26"/>
  <c r="BJ1146" i="26" s="1"/>
  <c r="AP1146" i="26" s="1"/>
  <c r="BI1019" i="26"/>
  <c r="BJ1019" i="26" s="1"/>
  <c r="BG690" i="26"/>
  <c r="BH690" i="26" s="1"/>
  <c r="AO690" i="26" s="1"/>
  <c r="BG1022" i="26"/>
  <c r="BH1022" i="26" s="1"/>
  <c r="AO1022" i="26" s="1"/>
  <c r="BG939" i="26"/>
  <c r="BH939" i="26" s="1"/>
  <c r="AO939" i="26" s="1"/>
  <c r="BI1091" i="26"/>
  <c r="BJ1091" i="26" s="1"/>
  <c r="AP1091" i="26" s="1"/>
  <c r="BG926" i="26"/>
  <c r="BH926" i="26" s="1"/>
  <c r="AO926" i="26" s="1"/>
  <c r="BI154" i="26"/>
  <c r="BJ154" i="26" s="1"/>
  <c r="BG1097" i="26"/>
  <c r="BH1097" i="26" s="1"/>
  <c r="AO1097" i="26" s="1"/>
  <c r="CB638" i="6"/>
  <c r="CC638" i="6" s="1"/>
  <c r="BI638" i="6" s="1"/>
  <c r="BG1024" i="26"/>
  <c r="BH1024" i="26" s="1"/>
  <c r="AO1024" i="26" s="1"/>
  <c r="BG701" i="26"/>
  <c r="BH701" i="26" s="1"/>
  <c r="AO701" i="26" s="1"/>
  <c r="BI1097" i="26"/>
  <c r="BJ1097" i="26" s="1"/>
  <c r="BG876" i="26"/>
  <c r="BH876" i="26" s="1"/>
  <c r="AO876" i="26" s="1"/>
  <c r="BG684" i="26"/>
  <c r="BH684" i="26" s="1"/>
  <c r="AO684" i="26" s="1"/>
  <c r="BG480" i="26"/>
  <c r="BH480" i="26" s="1"/>
  <c r="AO480" i="26" s="1"/>
  <c r="CB504" i="6"/>
  <c r="CC504" i="6" s="1"/>
  <c r="BI504" i="6" s="1"/>
  <c r="BI120" i="26"/>
  <c r="BJ120" i="26" s="1"/>
  <c r="AP120" i="26" s="1"/>
  <c r="BI930" i="26"/>
  <c r="BJ930" i="26" s="1"/>
  <c r="BI1153" i="26"/>
  <c r="BJ1153" i="26" s="1"/>
  <c r="AP1153" i="26" s="1"/>
  <c r="BI921" i="26"/>
  <c r="BJ921" i="26" s="1"/>
  <c r="BI880" i="26"/>
  <c r="BJ880" i="26" s="1"/>
  <c r="BG970" i="26"/>
  <c r="BH970" i="26" s="1"/>
  <c r="AO970" i="26" s="1"/>
  <c r="BG1192" i="26"/>
  <c r="BH1192" i="26" s="1"/>
  <c r="AO1192" i="26" s="1"/>
  <c r="BI807" i="26"/>
  <c r="BJ807" i="26" s="1"/>
  <c r="BG953" i="26"/>
  <c r="BH953" i="26" s="1"/>
  <c r="AO953" i="26" s="1"/>
  <c r="BI894" i="26"/>
  <c r="BJ894" i="26" s="1"/>
  <c r="BG1044" i="26"/>
  <c r="BH1044" i="26" s="1"/>
  <c r="AO1044" i="26" s="1"/>
  <c r="BG1197" i="26"/>
  <c r="BH1197" i="26" s="1"/>
  <c r="AO1197" i="26" s="1"/>
  <c r="BG695" i="26"/>
  <c r="BH695" i="26" s="1"/>
  <c r="AO695" i="26" s="1"/>
  <c r="BI1111" i="26"/>
  <c r="BJ1111" i="26" s="1"/>
  <c r="AP1111" i="26" s="1"/>
  <c r="BG860" i="26"/>
  <c r="BH860" i="26" s="1"/>
  <c r="AO860" i="26" s="1"/>
  <c r="BG1065" i="26"/>
  <c r="BH1065" i="26" s="1"/>
  <c r="AO1065" i="26" s="1"/>
  <c r="BG932" i="26"/>
  <c r="BH932" i="26" s="1"/>
  <c r="AO932" i="26" s="1"/>
  <c r="BI1158" i="26"/>
  <c r="BJ1158" i="26" s="1"/>
  <c r="AP1158" i="26" s="1"/>
  <c r="BI781" i="26"/>
  <c r="BJ781" i="26" s="1"/>
  <c r="BG928" i="26"/>
  <c r="BH928" i="26" s="1"/>
  <c r="AO928" i="26" s="1"/>
  <c r="BI670" i="26"/>
  <c r="BJ670" i="26" s="1"/>
  <c r="BG989" i="26"/>
  <c r="BH989" i="26" s="1"/>
  <c r="AO989" i="26" s="1"/>
  <c r="BI1066" i="26"/>
  <c r="BJ1066" i="26" s="1"/>
  <c r="AP1066" i="26" s="1"/>
  <c r="BG1171" i="26"/>
  <c r="BH1171" i="26" s="1"/>
  <c r="AO1171" i="26" s="1"/>
  <c r="BI828" i="26"/>
  <c r="BJ828" i="26" s="1"/>
  <c r="BI690" i="26"/>
  <c r="BJ690" i="26" s="1"/>
  <c r="BI906" i="26"/>
  <c r="BJ906" i="26" s="1"/>
  <c r="BI1062" i="26"/>
  <c r="BJ1062" i="26" s="1"/>
  <c r="AP1062" i="26" s="1"/>
  <c r="BI1168" i="26"/>
  <c r="BJ1168" i="26" s="1"/>
  <c r="AP1168" i="26" s="1"/>
  <c r="BI856" i="26"/>
  <c r="BJ856" i="26" s="1"/>
  <c r="BI1037" i="26"/>
  <c r="BJ1037" i="26" s="1"/>
  <c r="BI936" i="26"/>
  <c r="BJ936" i="26" s="1"/>
  <c r="BI1040" i="26"/>
  <c r="BJ1040" i="26" s="1"/>
  <c r="BG872" i="26"/>
  <c r="BH872" i="26" s="1"/>
  <c r="AO872" i="26" s="1"/>
  <c r="BI1119" i="26"/>
  <c r="BJ1119" i="26" s="1"/>
  <c r="AP1119" i="26" s="1"/>
  <c r="BG961" i="26"/>
  <c r="BH961" i="26" s="1"/>
  <c r="AO961" i="26" s="1"/>
  <c r="BI189" i="26"/>
  <c r="BJ189" i="26" s="1"/>
  <c r="AP189" i="26" s="1"/>
  <c r="BG606" i="26"/>
  <c r="BH606" i="26" s="1"/>
  <c r="AO606" i="26" s="1"/>
  <c r="BI119" i="26"/>
  <c r="BJ119" i="26" s="1"/>
  <c r="AP119" i="26" s="1"/>
  <c r="BI1234" i="26"/>
  <c r="BJ1234" i="26" s="1"/>
  <c r="AP1234" i="26" s="1"/>
  <c r="BG1045" i="26"/>
  <c r="BH1045" i="26" s="1"/>
  <c r="AO1045" i="26" s="1"/>
  <c r="BG1027" i="26"/>
  <c r="BH1027" i="26" s="1"/>
  <c r="AO1027" i="26" s="1"/>
  <c r="BG887" i="26"/>
  <c r="BH887" i="26" s="1"/>
  <c r="AO887" i="26" s="1"/>
  <c r="BG610" i="26"/>
  <c r="BH610" i="26" s="1"/>
  <c r="AO610" i="26" s="1"/>
  <c r="BG914" i="26"/>
  <c r="BH914" i="26" s="1"/>
  <c r="AO914" i="26" s="1"/>
  <c r="BI887" i="26"/>
  <c r="BJ887" i="26" s="1"/>
  <c r="BI812" i="26"/>
  <c r="BJ812" i="26" s="1"/>
  <c r="BI1035" i="26"/>
  <c r="BJ1035" i="26" s="1"/>
  <c r="BI1089" i="26"/>
  <c r="BJ1089" i="26" s="1"/>
  <c r="AP1089" i="26" s="1"/>
  <c r="BG779" i="26"/>
  <c r="BH779" i="26" s="1"/>
  <c r="AO779" i="26" s="1"/>
  <c r="BI967" i="26"/>
  <c r="BJ967" i="26" s="1"/>
  <c r="BI825" i="26"/>
  <c r="BJ825" i="26" s="1"/>
  <c r="BG1177" i="26"/>
  <c r="BH1177" i="26" s="1"/>
  <c r="AO1177" i="26" s="1"/>
  <c r="BG929" i="26"/>
  <c r="BH929" i="26" s="1"/>
  <c r="AO929" i="26" s="1"/>
  <c r="BI118" i="26"/>
  <c r="BJ118" i="26" s="1"/>
  <c r="AP118" i="26" s="1"/>
  <c r="BI1023" i="26"/>
  <c r="BJ1023" i="26" s="1"/>
  <c r="AP1023" i="26" s="1"/>
  <c r="BI842" i="26"/>
  <c r="BJ842" i="26" s="1"/>
  <c r="BG1081" i="26"/>
  <c r="BH1081" i="26" s="1"/>
  <c r="AO1081" i="26" s="1"/>
  <c r="BG1187" i="26"/>
  <c r="BH1187" i="26" s="1"/>
  <c r="AO1187" i="26" s="1"/>
  <c r="BI1045" i="26"/>
  <c r="BJ1045" i="26" s="1"/>
  <c r="BG1124" i="26"/>
  <c r="BH1124" i="26" s="1"/>
  <c r="AO1124" i="26" s="1"/>
  <c r="BG919" i="26"/>
  <c r="BH919" i="26" s="1"/>
  <c r="AO919" i="26" s="1"/>
  <c r="BI610" i="26"/>
  <c r="BJ610" i="26" s="1"/>
  <c r="BG997" i="26"/>
  <c r="BH997" i="26" s="1"/>
  <c r="AO997" i="26" s="1"/>
  <c r="BG821" i="26"/>
  <c r="BH821" i="26" s="1"/>
  <c r="AO821" i="26" s="1"/>
  <c r="BI952" i="26"/>
  <c r="BJ952" i="26" s="1"/>
  <c r="AP952" i="26" s="1"/>
  <c r="BI1079" i="26"/>
  <c r="BJ1079" i="26" s="1"/>
  <c r="BI803" i="26"/>
  <c r="BJ803" i="26" s="1"/>
  <c r="BG958" i="26"/>
  <c r="BH958" i="26" s="1"/>
  <c r="AO958" i="26" s="1"/>
  <c r="BI1104" i="26"/>
  <c r="BJ1104" i="26" s="1"/>
  <c r="AP1104" i="26" s="1"/>
  <c r="BG1191" i="26"/>
  <c r="BH1191" i="26" s="1"/>
  <c r="AO1191" i="26" s="1"/>
  <c r="BG1076" i="26"/>
  <c r="BH1076" i="26" s="1"/>
  <c r="AO1076" i="26" s="1"/>
  <c r="BI819" i="26"/>
  <c r="BJ819" i="26" s="1"/>
  <c r="BI925" i="26"/>
  <c r="BJ925" i="26" s="1"/>
  <c r="BG959" i="26"/>
  <c r="BH959" i="26" s="1"/>
  <c r="AO959" i="26" s="1"/>
  <c r="BG865" i="26"/>
  <c r="BH865" i="26" s="1"/>
  <c r="AO865" i="26" s="1"/>
  <c r="BG1132" i="26"/>
  <c r="BH1132" i="26" s="1"/>
  <c r="AO1132" i="26" s="1"/>
  <c r="BG1239" i="26"/>
  <c r="BH1239" i="26" s="1"/>
  <c r="BG924" i="26"/>
  <c r="BH924" i="26" s="1"/>
  <c r="AO924" i="26" s="1"/>
  <c r="BI865" i="26"/>
  <c r="BJ865" i="26" s="1"/>
  <c r="BG1061" i="26"/>
  <c r="BH1061" i="26" s="1"/>
  <c r="AO1061" i="26" s="1"/>
  <c r="BI1211" i="26"/>
  <c r="BJ1211" i="26" s="1"/>
  <c r="BG1148" i="26"/>
  <c r="BH1148" i="26" s="1"/>
  <c r="AO1148" i="26" s="1"/>
  <c r="BI942" i="26"/>
  <c r="BJ942" i="26" s="1"/>
  <c r="BI749" i="26"/>
  <c r="BJ749" i="26" s="1"/>
  <c r="BI1217" i="26"/>
  <c r="BJ1217" i="26" s="1"/>
  <c r="BG1156" i="26"/>
  <c r="BH1156" i="26" s="1"/>
  <c r="AO1156" i="26" s="1"/>
  <c r="BG934" i="26"/>
  <c r="BH934" i="26" s="1"/>
  <c r="AO934" i="26" s="1"/>
  <c r="BI1204" i="26"/>
  <c r="BJ1204" i="26" s="1"/>
  <c r="AP1204" i="26" s="1"/>
  <c r="BG732" i="26"/>
  <c r="BH732" i="26" s="1"/>
  <c r="AO732" i="26" s="1"/>
  <c r="BG305" i="26"/>
  <c r="BH305" i="26" s="1"/>
  <c r="AO305" i="26" s="1"/>
  <c r="BG992" i="26"/>
  <c r="BH992" i="26" s="1"/>
  <c r="AO992" i="26" s="1"/>
  <c r="BZ504" i="6"/>
  <c r="CA504" i="6" s="1"/>
  <c r="BI56" i="26"/>
  <c r="BJ56" i="26" s="1"/>
  <c r="AP56" i="26" s="1"/>
  <c r="BG1201" i="26"/>
  <c r="BH1201" i="26" s="1"/>
  <c r="AO1201" i="26" s="1"/>
  <c r="BI805" i="26"/>
  <c r="BJ805" i="26" s="1"/>
  <c r="BI960" i="26"/>
  <c r="BJ960" i="26" s="1"/>
  <c r="AP960" i="26" s="1"/>
  <c r="BI840" i="26"/>
  <c r="BJ840" i="26" s="1"/>
  <c r="BG1051" i="26"/>
  <c r="BH1051" i="26" s="1"/>
  <c r="AO1051" i="26" s="1"/>
  <c r="BG749" i="26"/>
  <c r="BH749" i="26" s="1"/>
  <c r="AO749" i="26" s="1"/>
  <c r="BI122" i="26"/>
  <c r="BJ122" i="26" s="1"/>
  <c r="AP122" i="26" s="1"/>
  <c r="BI1043" i="26"/>
  <c r="BJ1043" i="26" s="1"/>
  <c r="BI972" i="26"/>
  <c r="BJ972" i="26" s="1"/>
  <c r="BG1113" i="26"/>
  <c r="BH1113" i="26" s="1"/>
  <c r="AO1113" i="26" s="1"/>
  <c r="BG1199" i="26"/>
  <c r="BH1199" i="26" s="1"/>
  <c r="AO1199" i="26" s="1"/>
  <c r="BG1090" i="26"/>
  <c r="BH1090" i="26" s="1"/>
  <c r="AO1090" i="26" s="1"/>
  <c r="BI1088" i="26"/>
  <c r="BJ1088" i="26" s="1"/>
  <c r="BG935" i="26"/>
  <c r="BH935" i="26" s="1"/>
  <c r="AO935" i="26" s="1"/>
  <c r="BG725" i="26"/>
  <c r="BH725" i="26" s="1"/>
  <c r="AO725" i="26" s="1"/>
  <c r="BI1039" i="26"/>
  <c r="BJ1039" i="26" s="1"/>
  <c r="BI958" i="26"/>
  <c r="BJ958" i="26" s="1"/>
  <c r="AP958" i="26" s="1"/>
  <c r="BI1009" i="26"/>
  <c r="BJ1009" i="26" s="1"/>
  <c r="BG1122" i="26"/>
  <c r="BH1122" i="26" s="1"/>
  <c r="AO1122" i="26" s="1"/>
  <c r="BG832" i="26"/>
  <c r="BH832" i="26" s="1"/>
  <c r="AO832" i="26" s="1"/>
  <c r="BG1229" i="26"/>
  <c r="BH1229" i="26" s="1"/>
  <c r="AO1229" i="26" s="1"/>
  <c r="BI1161" i="26"/>
  <c r="BJ1161" i="26" s="1"/>
  <c r="BG1221" i="26"/>
  <c r="BH1221" i="26" s="1"/>
  <c r="AO1221" i="26" s="1"/>
  <c r="BG1108" i="26"/>
  <c r="BH1108" i="26" s="1"/>
  <c r="AO1108" i="26" s="1"/>
  <c r="BG1101" i="26"/>
  <c r="BH1101" i="26" s="1"/>
  <c r="AO1101" i="26" s="1"/>
  <c r="BI948" i="26"/>
  <c r="BJ948" i="26" s="1"/>
  <c r="BG1054" i="26"/>
  <c r="BH1054" i="26" s="1"/>
  <c r="AO1054" i="26" s="1"/>
  <c r="BI890" i="26"/>
  <c r="BJ890" i="26" s="1"/>
  <c r="BI870" i="26"/>
  <c r="BJ870" i="26" s="1"/>
  <c r="BG1103" i="26"/>
  <c r="BH1103" i="26" s="1"/>
  <c r="AO1103" i="26" s="1"/>
  <c r="BG1180" i="26"/>
  <c r="BH1180" i="26" s="1"/>
  <c r="AO1180" i="26" s="1"/>
  <c r="BG809" i="26"/>
  <c r="BH809" i="26" s="1"/>
  <c r="AO809" i="26" s="1"/>
  <c r="BI649" i="26"/>
  <c r="BJ649" i="26" s="1"/>
  <c r="BI905" i="26"/>
  <c r="BJ905" i="26" s="1"/>
  <c r="BG713" i="26"/>
  <c r="BH713" i="26" s="1"/>
  <c r="AO713" i="26" s="1"/>
  <c r="BI499" i="26"/>
  <c r="BJ499" i="26" s="1"/>
  <c r="BG823" i="26"/>
  <c r="BH823" i="26" s="1"/>
  <c r="AO823" i="26" s="1"/>
  <c r="BG940" i="26"/>
  <c r="BH940" i="26" s="1"/>
  <c r="AO940" i="26" s="1"/>
  <c r="BG1036" i="26"/>
  <c r="BH1036" i="26" s="1"/>
  <c r="AO1036" i="26" s="1"/>
  <c r="BI938" i="26"/>
  <c r="BJ938" i="26" s="1"/>
  <c r="BI1132" i="26"/>
  <c r="BJ1132" i="26" s="1"/>
  <c r="AP1132" i="26" s="1"/>
  <c r="BG1093" i="26"/>
  <c r="BH1093" i="26" s="1"/>
  <c r="AO1093" i="26" s="1"/>
  <c r="BG739" i="26"/>
  <c r="BH739" i="26" s="1"/>
  <c r="AO739" i="26" s="1"/>
  <c r="BI1057" i="26"/>
  <c r="BJ1057" i="26" s="1"/>
  <c r="AP1057" i="26" s="1"/>
  <c r="BG906" i="26"/>
  <c r="BH906" i="26" s="1"/>
  <c r="AO906" i="26" s="1"/>
  <c r="BG1062" i="26"/>
  <c r="BH1062" i="26" s="1"/>
  <c r="AO1062" i="26" s="1"/>
  <c r="BG1163" i="26"/>
  <c r="BH1163" i="26" s="1"/>
  <c r="AO1163" i="26" s="1"/>
  <c r="BI1078" i="26"/>
  <c r="BJ1078" i="26" s="1"/>
  <c r="AP1078" i="26" s="1"/>
  <c r="BG783" i="26"/>
  <c r="BH783" i="26" s="1"/>
  <c r="AO783" i="26" s="1"/>
  <c r="BG1135" i="26"/>
  <c r="BH1135" i="26" s="1"/>
  <c r="AO1135" i="26" s="1"/>
  <c r="BG484" i="26"/>
  <c r="BH484" i="26" s="1"/>
  <c r="AO484" i="26" s="1"/>
  <c r="BG1023" i="26"/>
  <c r="BH1023" i="26" s="1"/>
  <c r="AO1023" i="26" s="1"/>
  <c r="BG253" i="26"/>
  <c r="BH253" i="26" s="1"/>
  <c r="BG56" i="26"/>
  <c r="BH56" i="26" s="1"/>
  <c r="AO56" i="26" s="1"/>
  <c r="BG632" i="26"/>
  <c r="BH632" i="26" s="1"/>
  <c r="AO632" i="26" s="1"/>
  <c r="BI898" i="26"/>
  <c r="BJ898" i="26" s="1"/>
  <c r="BG807" i="26"/>
  <c r="BH807" i="26" s="1"/>
  <c r="AO807" i="26" s="1"/>
  <c r="BG930" i="26"/>
  <c r="BH930" i="26" s="1"/>
  <c r="AO930" i="26" s="1"/>
  <c r="BG683" i="26"/>
  <c r="BH683" i="26" s="1"/>
  <c r="AO683" i="26" s="1"/>
  <c r="BG993" i="26"/>
  <c r="BH993" i="26" s="1"/>
  <c r="AO993" i="26" s="1"/>
  <c r="BI910" i="26"/>
  <c r="BJ910" i="26" s="1"/>
  <c r="BI1025" i="26"/>
  <c r="BJ1025" i="26" s="1"/>
  <c r="BG1111" i="26"/>
  <c r="BH1111" i="26" s="1"/>
  <c r="AO1111" i="26" s="1"/>
  <c r="BI919" i="26"/>
  <c r="BJ919" i="26" s="1"/>
  <c r="BG602" i="26"/>
  <c r="BH602" i="26" s="1"/>
  <c r="AO602" i="26" s="1"/>
  <c r="BG854" i="26"/>
  <c r="BH854" i="26" s="1"/>
  <c r="AO854" i="26" s="1"/>
  <c r="BG1109" i="26"/>
  <c r="BH1109" i="26" s="1"/>
  <c r="AO1109" i="26" s="1"/>
  <c r="BI1180" i="26"/>
  <c r="BJ1180" i="26" s="1"/>
  <c r="AP1180" i="26" s="1"/>
  <c r="BG880" i="26"/>
  <c r="BH880" i="26" s="1"/>
  <c r="AO880" i="26" s="1"/>
  <c r="BG670" i="26"/>
  <c r="BH670" i="26" s="1"/>
  <c r="AO670" i="26" s="1"/>
  <c r="BG1005" i="26"/>
  <c r="BH1005" i="26" s="1"/>
  <c r="AO1005" i="26" s="1"/>
  <c r="BG1167" i="26"/>
  <c r="BH1167" i="26" s="1"/>
  <c r="AO1167" i="26" s="1"/>
  <c r="BI1171" i="26"/>
  <c r="BJ1171" i="26" s="1"/>
  <c r="AP1171" i="26" s="1"/>
  <c r="BG908" i="26"/>
  <c r="BH908" i="26" s="1"/>
  <c r="AO908" i="26" s="1"/>
  <c r="BI1042" i="26"/>
  <c r="BJ1042" i="26" s="1"/>
  <c r="BI1221" i="26"/>
  <c r="BJ1221" i="26" s="1"/>
  <c r="BI1076" i="26"/>
  <c r="BJ1076" i="26" s="1"/>
  <c r="BI1207" i="26"/>
  <c r="BJ1207" i="26" s="1"/>
  <c r="BG946" i="26"/>
  <c r="BH946" i="26" s="1"/>
  <c r="AO946" i="26" s="1"/>
  <c r="BG1037" i="26"/>
  <c r="BH1037" i="26" s="1"/>
  <c r="AO1037" i="26" s="1"/>
  <c r="BI1189" i="26"/>
  <c r="BJ1189" i="26" s="1"/>
  <c r="BG987" i="26"/>
  <c r="BH987" i="26" s="1"/>
  <c r="AO987" i="26" s="1"/>
  <c r="BG1217" i="26"/>
  <c r="BH1217" i="26" s="1"/>
  <c r="AO1217" i="26" s="1"/>
  <c r="BI889" i="26"/>
  <c r="BJ889" i="26" s="1"/>
  <c r="BI989" i="26"/>
  <c r="BJ989" i="26" s="1"/>
  <c r="BG909" i="26"/>
  <c r="BH909" i="26" s="1"/>
  <c r="AO909" i="26" s="1"/>
  <c r="BI1061" i="26"/>
  <c r="BJ1061" i="26" s="1"/>
  <c r="BI988" i="26"/>
  <c r="BJ988" i="26" s="1"/>
  <c r="BG838" i="26"/>
  <c r="BH838" i="26" s="1"/>
  <c r="AO838" i="26" s="1"/>
  <c r="BI557" i="26"/>
  <c r="BJ557" i="26" s="1"/>
  <c r="BG927" i="26"/>
  <c r="BH927" i="26" s="1"/>
  <c r="AO927" i="26" s="1"/>
  <c r="BG1086" i="26"/>
  <c r="BH1086" i="26" s="1"/>
  <c r="AO1086" i="26" s="1"/>
  <c r="BG664" i="26"/>
  <c r="BH664" i="26" s="1"/>
  <c r="AO664" i="26" s="1"/>
  <c r="BG685" i="26"/>
  <c r="BH685" i="26" s="1"/>
  <c r="AO685" i="26" s="1"/>
  <c r="BI845" i="26"/>
  <c r="BJ845" i="26" s="1"/>
  <c r="BG1195" i="26"/>
  <c r="BH1195" i="26" s="1"/>
  <c r="AO1195" i="26" s="1"/>
  <c r="BG501" i="26"/>
  <c r="BH501" i="26" s="1"/>
  <c r="AO501" i="26" s="1"/>
  <c r="BI995" i="26"/>
  <c r="BJ995" i="26" s="1"/>
  <c r="BZ502" i="6"/>
  <c r="CA502" i="6" s="1"/>
  <c r="BG121" i="26"/>
  <c r="BH121" i="26" s="1"/>
  <c r="AO121" i="26" s="1"/>
  <c r="BI734" i="26"/>
  <c r="BJ734" i="26" s="1"/>
  <c r="BI914" i="26"/>
  <c r="BJ914" i="26" s="1"/>
  <c r="BG1046" i="26"/>
  <c r="BH1046" i="26" s="1"/>
  <c r="AO1046" i="26" s="1"/>
  <c r="BI951" i="26"/>
  <c r="BJ951" i="26" s="1"/>
  <c r="AP951" i="26" s="1"/>
  <c r="BG777" i="26"/>
  <c r="BH777" i="26" s="1"/>
  <c r="AO777" i="26" s="1"/>
  <c r="BG1071" i="26"/>
  <c r="BH1071" i="26" s="1"/>
  <c r="AO1071" i="26" s="1"/>
  <c r="BG1166" i="26"/>
  <c r="BH1166" i="26" s="1"/>
  <c r="AO1166" i="26" s="1"/>
  <c r="BG1041" i="26"/>
  <c r="BH1041" i="26" s="1"/>
  <c r="AO1041" i="26" s="1"/>
  <c r="BI1170" i="26"/>
  <c r="BJ1170" i="26" s="1"/>
  <c r="AP1170" i="26" s="1"/>
  <c r="BI935" i="26"/>
  <c r="BJ935" i="26" s="1"/>
  <c r="BG1038" i="26"/>
  <c r="BH1038" i="26" s="1"/>
  <c r="AO1038" i="26" s="1"/>
  <c r="BI872" i="26"/>
  <c r="BJ872" i="26" s="1"/>
  <c r="BI1126" i="26"/>
  <c r="BJ1126" i="26" s="1"/>
  <c r="AP1126" i="26" s="1"/>
  <c r="BI1206" i="26"/>
  <c r="BJ1206" i="26" s="1"/>
  <c r="AP1206" i="26" s="1"/>
  <c r="BG830" i="26"/>
  <c r="BH830" i="26" s="1"/>
  <c r="AO830" i="26" s="1"/>
  <c r="BG968" i="26"/>
  <c r="BH968" i="26" s="1"/>
  <c r="AO968" i="26" s="1"/>
  <c r="BG892" i="26"/>
  <c r="BH892" i="26" s="1"/>
  <c r="AO892" i="26" s="1"/>
  <c r="BI1083" i="26"/>
  <c r="BJ1083" i="26" s="1"/>
  <c r="BI1202" i="26"/>
  <c r="BJ1202" i="26" s="1"/>
  <c r="BG1179" i="26"/>
  <c r="BH1179" i="26" s="1"/>
  <c r="AO1179" i="26" s="1"/>
  <c r="BI974" i="26"/>
  <c r="BJ974" i="26" s="1"/>
  <c r="BI1108" i="26"/>
  <c r="BJ1108" i="26" s="1"/>
  <c r="AP1108" i="26" s="1"/>
  <c r="BG981" i="26"/>
  <c r="BH981" i="26" s="1"/>
  <c r="AO981" i="26" s="1"/>
  <c r="BI854" i="26"/>
  <c r="BJ854" i="26" s="1"/>
  <c r="BI1109" i="26"/>
  <c r="BJ1109" i="26" s="1"/>
  <c r="BG1198" i="26"/>
  <c r="BH1198" i="26" s="1"/>
  <c r="AO1198" i="26" s="1"/>
  <c r="BI780" i="26"/>
  <c r="BJ780" i="26" s="1"/>
  <c r="BG1039" i="26"/>
  <c r="BH1039" i="26" s="1"/>
  <c r="AO1039" i="26" s="1"/>
  <c r="BG858" i="26"/>
  <c r="BH858" i="26" s="1"/>
  <c r="AO858" i="26" s="1"/>
  <c r="BI1094" i="26"/>
  <c r="BJ1094" i="26" s="1"/>
  <c r="BI1172" i="26"/>
  <c r="BJ1172" i="26" s="1"/>
  <c r="BI1179" i="26"/>
  <c r="BJ1179" i="26" s="1"/>
  <c r="BG1067" i="26"/>
  <c r="BH1067" i="26" s="1"/>
  <c r="AO1067" i="26" s="1"/>
  <c r="BI895" i="26"/>
  <c r="BJ895" i="26" s="1"/>
  <c r="BI1205" i="26"/>
  <c r="BJ1205" i="26" s="1"/>
  <c r="BI1047" i="26"/>
  <c r="BJ1047" i="26" s="1"/>
  <c r="AP1047" i="26" s="1"/>
  <c r="BI1226" i="26"/>
  <c r="BJ1226" i="26" s="1"/>
  <c r="AP1226" i="26" s="1"/>
  <c r="BG1202" i="26"/>
  <c r="BH1202" i="26" s="1"/>
  <c r="AO1202" i="26" s="1"/>
  <c r="BI885" i="26"/>
  <c r="BJ885" i="26" s="1"/>
  <c r="BG994" i="26"/>
  <c r="BH994" i="26" s="1"/>
  <c r="AO994" i="26" s="1"/>
  <c r="BI883" i="26"/>
  <c r="BJ883" i="26" s="1"/>
  <c r="BI855" i="26"/>
  <c r="BJ855" i="26" s="1"/>
  <c r="BG868" i="26"/>
  <c r="BH868" i="26" s="1"/>
  <c r="AO868" i="26" s="1"/>
  <c r="BG76" i="26"/>
  <c r="BH76" i="26" s="1"/>
  <c r="AO76" i="26" s="1"/>
  <c r="BI1155" i="26"/>
  <c r="BJ1155" i="26" s="1"/>
  <c r="BG119" i="26"/>
  <c r="BH119" i="26" s="1"/>
  <c r="AO119" i="26" s="1"/>
  <c r="BI1114" i="26"/>
  <c r="BJ1114" i="26" s="1"/>
  <c r="AP1114" i="26" s="1"/>
  <c r="BI970" i="26"/>
  <c r="BJ970" i="26" s="1"/>
  <c r="BI1192" i="26"/>
  <c r="BJ1192" i="26" s="1"/>
  <c r="AP1192" i="26" s="1"/>
  <c r="BI712" i="26"/>
  <c r="BJ712" i="26" s="1"/>
  <c r="AP712" i="26" s="1"/>
  <c r="BI1219" i="26"/>
  <c r="BJ1219" i="26" s="1"/>
  <c r="AP1219" i="26" s="1"/>
  <c r="BG846" i="26"/>
  <c r="BH846" i="26" s="1"/>
  <c r="AO846" i="26" s="1"/>
  <c r="BG1015" i="26"/>
  <c r="BH1015" i="26" s="1"/>
  <c r="AO1015" i="26" s="1"/>
  <c r="CB531" i="6"/>
  <c r="CC531" i="6" s="1"/>
  <c r="BI531" i="6" s="1"/>
  <c r="BI1138" i="26"/>
  <c r="BJ1138" i="26" s="1"/>
  <c r="AP1138" i="26" s="1"/>
  <c r="BI1051" i="26"/>
  <c r="BJ1051" i="26" s="1"/>
  <c r="AP1051" i="26" s="1"/>
  <c r="BI860" i="26"/>
  <c r="BJ860" i="26" s="1"/>
  <c r="BI1065" i="26"/>
  <c r="BJ1065" i="26" s="1"/>
  <c r="BI1001" i="26"/>
  <c r="BJ1001" i="26" s="1"/>
  <c r="BI1141" i="26"/>
  <c r="BJ1141" i="26" s="1"/>
  <c r="BI1228" i="26"/>
  <c r="BJ1228" i="26" s="1"/>
  <c r="AP1228" i="26" s="1"/>
  <c r="BI1122" i="26"/>
  <c r="BJ1122" i="26" s="1"/>
  <c r="AP1122" i="26" s="1"/>
  <c r="BG1141" i="26"/>
  <c r="BH1141" i="26" s="1"/>
  <c r="AO1141" i="26" s="1"/>
  <c r="BG991" i="26"/>
  <c r="BH991" i="26" s="1"/>
  <c r="AO991" i="26" s="1"/>
  <c r="BG1106" i="26"/>
  <c r="BH1106" i="26" s="1"/>
  <c r="AO1106" i="26" s="1"/>
  <c r="BG966" i="26"/>
  <c r="BH966" i="26" s="1"/>
  <c r="AO966" i="26" s="1"/>
  <c r="BG976" i="26"/>
  <c r="BH976" i="26" s="1"/>
  <c r="AO976" i="26" s="1"/>
  <c r="BG1231" i="26"/>
  <c r="BH1231" i="26" s="1"/>
  <c r="AO1231" i="26" s="1"/>
  <c r="BI968" i="26"/>
  <c r="BJ968" i="26" s="1"/>
  <c r="BI1054" i="26"/>
  <c r="BJ1054" i="26" s="1"/>
  <c r="AP1054" i="26" s="1"/>
  <c r="BI606" i="26"/>
  <c r="BJ606" i="26" s="1"/>
  <c r="BG1196" i="26"/>
  <c r="BH1196" i="26" s="1"/>
  <c r="AO1196" i="26" s="1"/>
  <c r="BG1190" i="26"/>
  <c r="BH1190" i="26" s="1"/>
  <c r="AO1190" i="26" s="1"/>
  <c r="BG828" i="26"/>
  <c r="BH828" i="26" s="1"/>
  <c r="AO828" i="26" s="1"/>
  <c r="BG911" i="26"/>
  <c r="BH911" i="26" s="1"/>
  <c r="AO911" i="26" s="1"/>
  <c r="BI1007" i="26"/>
  <c r="BJ1007" i="26" s="1"/>
  <c r="BG1215" i="26"/>
  <c r="BH1215" i="26" s="1"/>
  <c r="AO1215" i="26" s="1"/>
  <c r="BI668" i="26"/>
  <c r="BJ668" i="26" s="1"/>
  <c r="BG1120" i="26"/>
  <c r="BH1120" i="26" s="1"/>
  <c r="AO1120" i="26" s="1"/>
  <c r="BG850" i="26"/>
  <c r="BH850" i="26" s="1"/>
  <c r="AO850" i="26" s="1"/>
  <c r="BI945" i="26"/>
  <c r="BJ945" i="26" s="1"/>
  <c r="BI1074" i="26"/>
  <c r="BJ1074" i="26" s="1"/>
  <c r="AP1074" i="26" s="1"/>
  <c r="BI774" i="26"/>
  <c r="BJ774" i="26" s="1"/>
  <c r="AP774" i="26" s="1"/>
  <c r="BI982" i="26"/>
  <c r="BJ982" i="26" s="1"/>
  <c r="BG1021" i="26"/>
  <c r="BH1021" i="26" s="1"/>
  <c r="AO1021" i="26" s="1"/>
  <c r="BG1002" i="26"/>
  <c r="BH1002" i="26" s="1"/>
  <c r="AO1002" i="26" s="1"/>
  <c r="BG1018" i="26"/>
  <c r="BH1018" i="26" s="1"/>
  <c r="AO1018" i="26" s="1"/>
  <c r="BG1068" i="26"/>
  <c r="BH1068" i="26" s="1"/>
  <c r="AO1068" i="26" s="1"/>
  <c r="BG886" i="26"/>
  <c r="BH886" i="26" s="1"/>
  <c r="AO886" i="26" s="1"/>
  <c r="BG104" i="26"/>
  <c r="BH104" i="26" s="1"/>
  <c r="AO104" i="26" s="1"/>
  <c r="BG867" i="26"/>
  <c r="BH867" i="26" s="1"/>
  <c r="AO867" i="26" s="1"/>
  <c r="BG118" i="26"/>
  <c r="BH118" i="26" s="1"/>
  <c r="AO118" i="26" s="1"/>
  <c r="BI1187" i="26"/>
  <c r="BJ1187" i="26" s="1"/>
  <c r="BI1008" i="26"/>
  <c r="BJ1008" i="26" s="1"/>
  <c r="BI1212" i="26"/>
  <c r="BJ1212" i="26" s="1"/>
  <c r="AP1212" i="26" s="1"/>
  <c r="BG1114" i="26"/>
  <c r="BH1114" i="26" s="1"/>
  <c r="AO1114" i="26" s="1"/>
  <c r="BI969" i="26"/>
  <c r="BJ969" i="26" s="1"/>
  <c r="BG1158" i="26"/>
  <c r="BH1158" i="26" s="1"/>
  <c r="AO1158" i="26" s="1"/>
  <c r="BG774" i="26"/>
  <c r="BH774" i="26" s="1"/>
  <c r="AO774" i="26" s="1"/>
  <c r="BG527" i="26"/>
  <c r="BH527" i="26" s="1"/>
  <c r="AO527" i="26" s="1"/>
  <c r="BI1188" i="26"/>
  <c r="BJ1188" i="26" s="1"/>
  <c r="AP1188" i="26" s="1"/>
  <c r="BI151" i="26"/>
  <c r="BJ151" i="26" s="1"/>
  <c r="AP151" i="26" s="1"/>
  <c r="BI1026" i="26"/>
  <c r="BJ1026" i="26" s="1"/>
  <c r="BI782" i="26"/>
  <c r="BJ782" i="26" s="1"/>
  <c r="BG153" i="26"/>
  <c r="BH153" i="26" s="1"/>
  <c r="AO153" i="26" s="1"/>
  <c r="BI813" i="26"/>
  <c r="BJ813" i="26" s="1"/>
  <c r="BI755" i="26"/>
  <c r="BJ755" i="26" s="1"/>
  <c r="BI1209" i="26"/>
  <c r="BJ1209" i="26" s="1"/>
  <c r="BI817" i="26"/>
  <c r="BJ817" i="26" s="1"/>
  <c r="BZ1092" i="6"/>
  <c r="CA1092" i="6" s="1"/>
  <c r="BI744" i="26"/>
  <c r="BJ744" i="26" s="1"/>
  <c r="AP744" i="26" s="1"/>
  <c r="BI438" i="26"/>
  <c r="BJ438" i="26" s="1"/>
  <c r="BG257" i="26"/>
  <c r="BH257" i="26" s="1"/>
  <c r="AO257" i="26" s="1"/>
  <c r="BG167" i="26"/>
  <c r="BH167" i="26" s="1"/>
  <c r="AO167" i="26" s="1"/>
  <c r="BG654" i="26"/>
  <c r="BH654" i="26" s="1"/>
  <c r="AO654" i="26" s="1"/>
  <c r="BI359" i="26"/>
  <c r="BJ359" i="26" s="1"/>
  <c r="BG418" i="26"/>
  <c r="BH418" i="26" s="1"/>
  <c r="AO418" i="26" s="1"/>
  <c r="BG208" i="26"/>
  <c r="BH208" i="26" s="1"/>
  <c r="AO208" i="26" s="1"/>
  <c r="CB734" i="6"/>
  <c r="CC734" i="6" s="1"/>
  <c r="BG641" i="26"/>
  <c r="BH641" i="26" s="1"/>
  <c r="AO641" i="26" s="1"/>
  <c r="BI834" i="26"/>
  <c r="BJ834" i="26" s="1"/>
  <c r="BI986" i="26"/>
  <c r="BJ986" i="26" s="1"/>
  <c r="BI975" i="26"/>
  <c r="BJ975" i="26" s="1"/>
  <c r="AP975" i="26" s="1"/>
  <c r="BI941" i="26"/>
  <c r="BJ941" i="26" s="1"/>
  <c r="BG1102" i="26"/>
  <c r="BH1102" i="26" s="1"/>
  <c r="AO1102" i="26" s="1"/>
  <c r="BG124" i="26"/>
  <c r="BH124" i="26" s="1"/>
  <c r="AO124" i="26" s="1"/>
  <c r="BG1213" i="26"/>
  <c r="BH1213" i="26" s="1"/>
  <c r="AO1213" i="26" s="1"/>
  <c r="BG583" i="26"/>
  <c r="BH583" i="26" s="1"/>
  <c r="AO583" i="26" s="1"/>
  <c r="BI665" i="26"/>
  <c r="BJ665" i="26" s="1"/>
  <c r="BG848" i="26"/>
  <c r="BH848" i="26" s="1"/>
  <c r="AO848" i="26" s="1"/>
  <c r="BI242" i="26"/>
  <c r="BJ242" i="26" s="1"/>
  <c r="BI256" i="26"/>
  <c r="BJ256" i="26" s="1"/>
  <c r="BI886" i="26"/>
  <c r="BJ886" i="26" s="1"/>
  <c r="AP886" i="26" s="1"/>
  <c r="BG190" i="26"/>
  <c r="BH190" i="26" s="1"/>
  <c r="AO190" i="26" s="1"/>
  <c r="BI76" i="26"/>
  <c r="BJ76" i="26" s="1"/>
  <c r="AP76" i="26" s="1"/>
  <c r="BG640" i="26"/>
  <c r="BH640" i="26" s="1"/>
  <c r="AO640" i="26" s="1"/>
  <c r="BG789" i="26"/>
  <c r="BH789" i="26" s="1"/>
  <c r="AO789" i="26" s="1"/>
  <c r="BZ1094" i="6"/>
  <c r="CA1094" i="6" s="1"/>
  <c r="BG91" i="26"/>
  <c r="BH91" i="26" s="1"/>
  <c r="AO91" i="26" s="1"/>
  <c r="BG127" i="26"/>
  <c r="BH127" i="26" s="1"/>
  <c r="AO127" i="26" s="1"/>
  <c r="BG214" i="26"/>
  <c r="BH214" i="26" s="1"/>
  <c r="AO214" i="26" s="1"/>
  <c r="BI1082" i="26"/>
  <c r="BJ1082" i="26" s="1"/>
  <c r="BG651" i="26"/>
  <c r="BH651" i="26" s="1"/>
  <c r="AO651" i="26" s="1"/>
  <c r="BI182" i="26"/>
  <c r="BJ182" i="26" s="1"/>
  <c r="BG222" i="26"/>
  <c r="BH222" i="26" s="1"/>
  <c r="AO222" i="26" s="1"/>
  <c r="BI528" i="26"/>
  <c r="BJ528" i="26" s="1"/>
  <c r="BZ1128" i="6"/>
  <c r="CA1128" i="6" s="1"/>
  <c r="BG1164" i="26"/>
  <c r="BH1164" i="26" s="1"/>
  <c r="AO1164" i="26" s="1"/>
  <c r="BI850" i="26"/>
  <c r="BJ850" i="26" s="1"/>
  <c r="BI648" i="26"/>
  <c r="BJ648" i="26" s="1"/>
  <c r="BG949" i="26"/>
  <c r="BH949" i="26" s="1"/>
  <c r="AO949" i="26" s="1"/>
  <c r="BG334" i="26"/>
  <c r="BH334" i="26" s="1"/>
  <c r="AO334" i="26" s="1"/>
  <c r="BG782" i="26"/>
  <c r="BH782" i="26" s="1"/>
  <c r="AO782" i="26" s="1"/>
  <c r="BI431" i="26"/>
  <c r="BJ431" i="26" s="1"/>
  <c r="BG524" i="26"/>
  <c r="BH524" i="26" s="1"/>
  <c r="AO524" i="26" s="1"/>
  <c r="BI994" i="26"/>
  <c r="BJ994" i="26" s="1"/>
  <c r="BG130" i="26"/>
  <c r="BH130" i="26" s="1"/>
  <c r="BI204" i="26"/>
  <c r="BJ204" i="26" s="1"/>
  <c r="AP204" i="26" s="1"/>
  <c r="BG266" i="26"/>
  <c r="BH266" i="26" s="1"/>
  <c r="AO266" i="26" s="1"/>
  <c r="BG427" i="26"/>
  <c r="BH427" i="26" s="1"/>
  <c r="AO427" i="26" s="1"/>
  <c r="BI517" i="26"/>
  <c r="BJ517" i="26" s="1"/>
  <c r="BG864" i="26"/>
  <c r="BH864" i="26" s="1"/>
  <c r="AO864" i="26" s="1"/>
  <c r="BG1233" i="26"/>
  <c r="BH1233" i="26" s="1"/>
  <c r="AO1233" i="26" s="1"/>
  <c r="BG278" i="26"/>
  <c r="BH278" i="26" s="1"/>
  <c r="AO278" i="26" s="1"/>
  <c r="BG756" i="26"/>
  <c r="BH756" i="26" s="1"/>
  <c r="AO756" i="26" s="1"/>
  <c r="BG802" i="26"/>
  <c r="BH802" i="26" s="1"/>
  <c r="AO802" i="26" s="1"/>
  <c r="BI502" i="26"/>
  <c r="BJ502" i="26" s="1"/>
  <c r="BG506" i="26"/>
  <c r="BH506" i="26" s="1"/>
  <c r="AO506" i="26" s="1"/>
  <c r="CB996" i="6"/>
  <c r="CC996" i="6" s="1"/>
  <c r="BI996" i="6" s="1"/>
  <c r="BI693" i="26"/>
  <c r="BJ693" i="26" s="1"/>
  <c r="BI84" i="26"/>
  <c r="BJ84" i="26" s="1"/>
  <c r="AP84" i="26" s="1"/>
  <c r="BG1087" i="26"/>
  <c r="BH1087" i="26" s="1"/>
  <c r="AO1087" i="26" s="1"/>
  <c r="BG963" i="26"/>
  <c r="BH963" i="26" s="1"/>
  <c r="AO963" i="26" s="1"/>
  <c r="BI131" i="26"/>
  <c r="BJ131" i="26" s="1"/>
  <c r="BI643" i="26"/>
  <c r="BJ643" i="26" s="1"/>
  <c r="BI927" i="26"/>
  <c r="BJ927" i="26" s="1"/>
  <c r="BG473" i="26"/>
  <c r="BH473" i="26" s="1"/>
  <c r="AO473" i="26" s="1"/>
  <c r="BI1107" i="26"/>
  <c r="BJ1107" i="26" s="1"/>
  <c r="AP1107" i="26" s="1"/>
  <c r="BG183" i="26"/>
  <c r="BH183" i="26" s="1"/>
  <c r="AO183" i="26" s="1"/>
  <c r="BG895" i="26"/>
  <c r="BH895" i="26" s="1"/>
  <c r="AO895" i="26" s="1"/>
  <c r="BI1238" i="26"/>
  <c r="BJ1238" i="26" s="1"/>
  <c r="AP1238" i="26" s="1"/>
  <c r="BG1186" i="26"/>
  <c r="BH1186" i="26" s="1"/>
  <c r="AO1186" i="26" s="1"/>
  <c r="BG1055" i="26"/>
  <c r="BH1055" i="26" s="1"/>
  <c r="AO1055" i="26" s="1"/>
  <c r="BG1147" i="26"/>
  <c r="BH1147" i="26" s="1"/>
  <c r="AO1147" i="26" s="1"/>
  <c r="BG738" i="26"/>
  <c r="BH738" i="26" s="1"/>
  <c r="AO738" i="26" s="1"/>
  <c r="BG189" i="26"/>
  <c r="BH189" i="26" s="1"/>
  <c r="AO189" i="26" s="1"/>
  <c r="BG1110" i="26"/>
  <c r="BH1110" i="26" s="1"/>
  <c r="AO1110" i="26" s="1"/>
  <c r="BG557" i="26"/>
  <c r="BH557" i="26" s="1"/>
  <c r="AO557" i="26" s="1"/>
  <c r="BG530" i="26"/>
  <c r="BH530" i="26" s="1"/>
  <c r="AO530" i="26" s="1"/>
  <c r="BI1164" i="26"/>
  <c r="BJ1164" i="26" s="1"/>
  <c r="BG920" i="26"/>
  <c r="BH920" i="26" s="1"/>
  <c r="AO920" i="26" s="1"/>
  <c r="BZ1134" i="6"/>
  <c r="CA1134" i="6" s="1"/>
  <c r="BI1144" i="26"/>
  <c r="BJ1144" i="26" s="1"/>
  <c r="AP1144" i="26" s="1"/>
  <c r="BI129" i="26"/>
  <c r="BJ129" i="26" s="1"/>
  <c r="BZ996" i="6"/>
  <c r="CA996" i="6" s="1"/>
  <c r="BG526" i="26"/>
  <c r="BH526" i="26" s="1"/>
  <c r="AO526" i="26" s="1"/>
  <c r="BI1046" i="26"/>
  <c r="BJ1046" i="26" s="1"/>
  <c r="BI959" i="26"/>
  <c r="BJ959" i="26" s="1"/>
  <c r="BG676" i="26"/>
  <c r="BH676" i="26" s="1"/>
  <c r="AO676" i="26" s="1"/>
  <c r="BG699" i="26"/>
  <c r="BH699" i="26" s="1"/>
  <c r="AO699" i="26" s="1"/>
  <c r="BG657" i="26"/>
  <c r="BH657" i="26" s="1"/>
  <c r="AO657" i="26" s="1"/>
  <c r="BI704" i="26"/>
  <c r="BJ704" i="26" s="1"/>
  <c r="BI686" i="26"/>
  <c r="BJ686" i="26" s="1"/>
  <c r="BI761" i="26"/>
  <c r="BJ761" i="26" s="1"/>
  <c r="BG1152" i="26"/>
  <c r="BH1152" i="26" s="1"/>
  <c r="AO1152" i="26" s="1"/>
  <c r="BG306" i="26"/>
  <c r="BH306" i="26" s="1"/>
  <c r="AO306" i="26" s="1"/>
  <c r="BG1011" i="26"/>
  <c r="BH1011" i="26" s="1"/>
  <c r="AO1011" i="26" s="1"/>
  <c r="BI723" i="26"/>
  <c r="BJ723" i="26" s="1"/>
  <c r="BG1154" i="26"/>
  <c r="BH1154" i="26" s="1"/>
  <c r="AO1154" i="26" s="1"/>
  <c r="BG426" i="26"/>
  <c r="BH426" i="26" s="1"/>
  <c r="AO426" i="26" s="1"/>
  <c r="BG212" i="26"/>
  <c r="BH212" i="26" s="1"/>
  <c r="AO212" i="26" s="1"/>
  <c r="BI363" i="26"/>
  <c r="BJ363" i="26" s="1"/>
  <c r="BG371" i="26"/>
  <c r="BH371" i="26" s="1"/>
  <c r="AO371" i="26" s="1"/>
  <c r="BI893" i="26"/>
  <c r="BJ893" i="26" s="1"/>
  <c r="BI682" i="26"/>
  <c r="BJ682" i="26" s="1"/>
  <c r="AP682" i="26" s="1"/>
  <c r="BI247" i="26"/>
  <c r="BJ247" i="26" s="1"/>
  <c r="BG607" i="26"/>
  <c r="BH607" i="26" s="1"/>
  <c r="AO607" i="26" s="1"/>
  <c r="BI907" i="26"/>
  <c r="BJ907" i="26" s="1"/>
  <c r="BG571" i="26"/>
  <c r="BH571" i="26" s="1"/>
  <c r="AO571" i="26" s="1"/>
  <c r="BG720" i="26"/>
  <c r="BH720" i="26" s="1"/>
  <c r="AO720" i="26" s="1"/>
  <c r="BG366" i="26"/>
  <c r="BH366" i="26" s="1"/>
  <c r="AO366" i="26" s="1"/>
  <c r="BI796" i="26"/>
  <c r="BJ796" i="26" s="1"/>
  <c r="AP796" i="26" s="1"/>
  <c r="BI1070" i="26"/>
  <c r="BJ1070" i="26" s="1"/>
  <c r="BG461" i="26"/>
  <c r="BH461" i="26" s="1"/>
  <c r="AO461" i="26" s="1"/>
  <c r="BI335" i="26"/>
  <c r="BJ335" i="26" s="1"/>
  <c r="BI346" i="26"/>
  <c r="BJ346" i="26" s="1"/>
  <c r="BI852" i="26"/>
  <c r="BJ852" i="26" s="1"/>
  <c r="BG634" i="26"/>
  <c r="BH634" i="26" s="1"/>
  <c r="AO634" i="26" s="1"/>
  <c r="BI664" i="26"/>
  <c r="BJ664" i="26" s="1"/>
  <c r="AP664" i="26" s="1"/>
  <c r="BI573" i="26"/>
  <c r="BJ573" i="26" s="1"/>
  <c r="BI680" i="26"/>
  <c r="BJ680" i="26" s="1"/>
  <c r="BI403" i="26"/>
  <c r="BJ403" i="26" s="1"/>
  <c r="BG905" i="26"/>
  <c r="BH905" i="26" s="1"/>
  <c r="AO905" i="26" s="1"/>
  <c r="BI218" i="26"/>
  <c r="BJ218" i="26" s="1"/>
  <c r="BG1042" i="26"/>
  <c r="BH1042" i="26" s="1"/>
  <c r="AO1042" i="26" s="1"/>
  <c r="BI1101" i="26"/>
  <c r="BJ1101" i="26" s="1"/>
  <c r="AP1101" i="26" s="1"/>
  <c r="BG611" i="26"/>
  <c r="BH611" i="26" s="1"/>
  <c r="AO611" i="26" s="1"/>
  <c r="BG139" i="26"/>
  <c r="BH139" i="26" s="1"/>
  <c r="AO139" i="26" s="1"/>
  <c r="BG893" i="26"/>
  <c r="BH893" i="26" s="1"/>
  <c r="AO893" i="26" s="1"/>
  <c r="BG831" i="26"/>
  <c r="BH831" i="26" s="1"/>
  <c r="AO831" i="26" s="1"/>
  <c r="BG942" i="26"/>
  <c r="BH942" i="26" s="1"/>
  <c r="AO942" i="26" s="1"/>
  <c r="BI498" i="26"/>
  <c r="BJ498" i="26" s="1"/>
  <c r="BZ740" i="6"/>
  <c r="CA740" i="6" s="1"/>
  <c r="BG382" i="26"/>
  <c r="BH382" i="26" s="1"/>
  <c r="AO382" i="26" s="1"/>
  <c r="BI806" i="26"/>
  <c r="BJ806" i="26" s="1"/>
  <c r="BG889" i="26"/>
  <c r="BH889" i="26" s="1"/>
  <c r="AO889" i="26" s="1"/>
  <c r="BI864" i="26"/>
  <c r="BJ864" i="26" s="1"/>
  <c r="BG270" i="26"/>
  <c r="BH270" i="26" s="1"/>
  <c r="AO270" i="26" s="1"/>
  <c r="BG474" i="26"/>
  <c r="BH474" i="26" s="1"/>
  <c r="AO474" i="26" s="1"/>
  <c r="BG743" i="26"/>
  <c r="BH743" i="26" s="1"/>
  <c r="AO743" i="26" s="1"/>
  <c r="BG374" i="26"/>
  <c r="BH374" i="26" s="1"/>
  <c r="AO374" i="26" s="1"/>
  <c r="BG420" i="26"/>
  <c r="BH420" i="26" s="1"/>
  <c r="AO420" i="26" s="1"/>
  <c r="BI128" i="26"/>
  <c r="BJ128" i="26" s="1"/>
  <c r="AP128" i="26" s="1"/>
  <c r="BI1072" i="26"/>
  <c r="BJ1072" i="26" s="1"/>
  <c r="BI505" i="26"/>
  <c r="BJ505" i="26" s="1"/>
  <c r="BI490" i="26"/>
  <c r="BJ490" i="26" s="1"/>
  <c r="BG129" i="26"/>
  <c r="BH129" i="26" s="1"/>
  <c r="BG819" i="26"/>
  <c r="BH819" i="26" s="1"/>
  <c r="AO819" i="26" s="1"/>
  <c r="BG1225" i="26"/>
  <c r="BH1225" i="26" s="1"/>
  <c r="AO1225" i="26" s="1"/>
  <c r="BI1147" i="26"/>
  <c r="BJ1147" i="26" s="1"/>
  <c r="BG131" i="26"/>
  <c r="BH131" i="26" s="1"/>
  <c r="BG903" i="26"/>
  <c r="BH903" i="26" s="1"/>
  <c r="AO903" i="26" s="1"/>
  <c r="BG1220" i="26"/>
  <c r="BH1220" i="26" s="1"/>
  <c r="AO1220" i="26" s="1"/>
  <c r="BG788" i="26"/>
  <c r="BH788" i="26" s="1"/>
  <c r="AO788" i="26" s="1"/>
  <c r="BG576" i="26"/>
  <c r="BH576" i="26" s="1"/>
  <c r="AO576" i="26" s="1"/>
  <c r="BI1236" i="26"/>
  <c r="BJ1236" i="26" s="1"/>
  <c r="AP1236" i="26" s="1"/>
  <c r="BG877" i="26"/>
  <c r="BH877" i="26" s="1"/>
  <c r="AO877" i="26" s="1"/>
  <c r="BG1098" i="26"/>
  <c r="BH1098" i="26" s="1"/>
  <c r="AO1098" i="26" s="1"/>
  <c r="BG1160" i="26"/>
  <c r="BH1160" i="26" s="1"/>
  <c r="AO1160" i="26" s="1"/>
  <c r="BI1214" i="26"/>
  <c r="BJ1214" i="26" s="1"/>
  <c r="BG318" i="26"/>
  <c r="BH318" i="26" s="1"/>
  <c r="AO318" i="26" s="1"/>
  <c r="BG843" i="26"/>
  <c r="BH843" i="26" s="1"/>
  <c r="AO843" i="26" s="1"/>
  <c r="BI833" i="26"/>
  <c r="BJ833" i="26" s="1"/>
  <c r="BG1209" i="26"/>
  <c r="BH1209" i="26" s="1"/>
  <c r="AO1209" i="26" s="1"/>
  <c r="BI562" i="26"/>
  <c r="BJ562" i="26" s="1"/>
  <c r="BI589" i="26"/>
  <c r="BJ589" i="26" s="1"/>
  <c r="BI390" i="26"/>
  <c r="BJ390" i="26" s="1"/>
  <c r="BI328" i="26"/>
  <c r="BJ328" i="26" s="1"/>
  <c r="BG1142" i="26"/>
  <c r="BH1142" i="26" s="1"/>
  <c r="AO1142" i="26" s="1"/>
  <c r="BG1126" i="26"/>
  <c r="BH1126" i="26" s="1"/>
  <c r="AO1126" i="26" s="1"/>
  <c r="BI1050" i="26"/>
  <c r="BJ1050" i="26" s="1"/>
  <c r="AP1050" i="26" s="1"/>
  <c r="BG874" i="26"/>
  <c r="BH874" i="26" s="1"/>
  <c r="AO874" i="26" s="1"/>
  <c r="BG662" i="26"/>
  <c r="BH662" i="26" s="1"/>
  <c r="AO662" i="26" s="1"/>
  <c r="BI1087" i="26"/>
  <c r="BJ1087" i="26" s="1"/>
  <c r="BI384" i="26"/>
  <c r="BJ384" i="26" s="1"/>
  <c r="BI788" i="26"/>
  <c r="BJ788" i="26" s="1"/>
  <c r="BI1239" i="26"/>
  <c r="BJ1239" i="26" s="1"/>
  <c r="BG753" i="26"/>
  <c r="BH753" i="26" s="1"/>
  <c r="AO753" i="26" s="1"/>
  <c r="BI64" i="26"/>
  <c r="BJ64" i="26" s="1"/>
  <c r="AP64" i="26" s="1"/>
  <c r="BI996" i="26"/>
  <c r="BJ996" i="26" s="1"/>
  <c r="BI874" i="26"/>
  <c r="BJ874" i="26" s="1"/>
  <c r="BI185" i="26"/>
  <c r="BJ185" i="26" s="1"/>
  <c r="BG102" i="26"/>
  <c r="BH102" i="26" s="1"/>
  <c r="AO102" i="26" s="1"/>
  <c r="BG345" i="26"/>
  <c r="BH345" i="26" s="1"/>
  <c r="AO345" i="26" s="1"/>
  <c r="BI636" i="26"/>
  <c r="BJ636" i="26" s="1"/>
  <c r="AP636" i="26" s="1"/>
  <c r="BG99" i="26"/>
  <c r="BH99" i="26" s="1"/>
  <c r="AO99" i="26" s="1"/>
  <c r="BG133" i="26"/>
  <c r="BH133" i="26" s="1"/>
  <c r="AO133" i="26" s="1"/>
  <c r="BI550" i="26"/>
  <c r="BJ550" i="26" s="1"/>
  <c r="AP550" i="26" s="1"/>
  <c r="BI265" i="26"/>
  <c r="BJ265" i="26" s="1"/>
  <c r="BI368" i="26"/>
  <c r="BJ368" i="26" s="1"/>
  <c r="BG147" i="26"/>
  <c r="BH147" i="26" s="1"/>
  <c r="AO147" i="26" s="1"/>
  <c r="BI342" i="26"/>
  <c r="BJ342" i="26" s="1"/>
  <c r="BG775" i="26"/>
  <c r="BH775" i="26" s="1"/>
  <c r="AO775" i="26" s="1"/>
  <c r="BI1027" i="26"/>
  <c r="BJ1027" i="26" s="1"/>
  <c r="AP1027" i="26" s="1"/>
  <c r="BI784" i="26"/>
  <c r="BJ784" i="26" s="1"/>
  <c r="BI1167" i="26"/>
  <c r="BJ1167" i="26" s="1"/>
  <c r="AP1167" i="26" s="1"/>
  <c r="BG553" i="26"/>
  <c r="BH553" i="26" s="1"/>
  <c r="AO553" i="26" s="1"/>
  <c r="BG703" i="26"/>
  <c r="BH703" i="26" s="1"/>
  <c r="AO703" i="26" s="1"/>
  <c r="BI69" i="26"/>
  <c r="BJ69" i="26" s="1"/>
  <c r="AP69" i="26" s="1"/>
  <c r="BG396" i="26"/>
  <c r="BH396" i="26" s="1"/>
  <c r="AO396" i="26" s="1"/>
  <c r="BI816" i="26"/>
  <c r="BJ816" i="26" s="1"/>
  <c r="BZ1084" i="6"/>
  <c r="CA1084" i="6" s="1"/>
  <c r="BG799" i="26"/>
  <c r="BH799" i="26" s="1"/>
  <c r="AO799" i="26" s="1"/>
  <c r="BG316" i="26"/>
  <c r="BH316" i="26" s="1"/>
  <c r="AO316" i="26" s="1"/>
  <c r="BI1213" i="26"/>
  <c r="BJ1213" i="26" s="1"/>
  <c r="AP1213" i="26" s="1"/>
  <c r="BG87" i="26"/>
  <c r="BH87" i="26" s="1"/>
  <c r="AO87" i="26" s="1"/>
  <c r="BG652" i="26"/>
  <c r="BH652" i="26" s="1"/>
  <c r="AO652" i="26" s="1"/>
  <c r="BG663" i="26"/>
  <c r="BH663" i="26" s="1"/>
  <c r="AO663" i="26" s="1"/>
  <c r="BG307" i="26"/>
  <c r="BH307" i="26" s="1"/>
  <c r="AO307" i="26" s="1"/>
  <c r="BI900" i="26"/>
  <c r="BJ900" i="26" s="1"/>
  <c r="AP900" i="26" s="1"/>
  <c r="CB1134" i="6"/>
  <c r="CC1134" i="6" s="1"/>
  <c r="BI1134" i="6" s="1"/>
  <c r="AQ1134" i="6" s="1"/>
  <c r="BG505" i="26"/>
  <c r="BH505" i="26" s="1"/>
  <c r="AO505" i="26" s="1"/>
  <c r="BG729" i="26"/>
  <c r="BH729" i="26" s="1"/>
  <c r="AO729" i="26" s="1"/>
  <c r="BI270" i="26"/>
  <c r="BJ270" i="26" s="1"/>
  <c r="BI1056" i="26"/>
  <c r="BJ1056" i="26" s="1"/>
  <c r="AP1056" i="26" s="1"/>
  <c r="BG381" i="26"/>
  <c r="BH381" i="26" s="1"/>
  <c r="AO381" i="26" s="1"/>
  <c r="BI836" i="26"/>
  <c r="BJ836" i="26" s="1"/>
  <c r="BG145" i="26"/>
  <c r="BH145" i="26" s="1"/>
  <c r="AO145" i="26" s="1"/>
  <c r="BG593" i="26"/>
  <c r="BH593" i="26" s="1"/>
  <c r="AO593" i="26" s="1"/>
  <c r="BI1200" i="26"/>
  <c r="BJ1200" i="26" s="1"/>
  <c r="AP1200" i="26" s="1"/>
  <c r="BG276" i="26"/>
  <c r="BH276" i="26" s="1"/>
  <c r="AO276" i="26" s="1"/>
  <c r="BI611" i="26"/>
  <c r="BJ611" i="26" s="1"/>
  <c r="BI497" i="26"/>
  <c r="BJ497" i="26" s="1"/>
  <c r="BI214" i="26"/>
  <c r="BJ214" i="26" s="1"/>
  <c r="AP214" i="26" s="1"/>
  <c r="BI646" i="26"/>
  <c r="BJ646" i="26" s="1"/>
  <c r="BG595" i="26"/>
  <c r="BH595" i="26" s="1"/>
  <c r="AO595" i="26" s="1"/>
  <c r="BI534" i="26"/>
  <c r="BJ534" i="26" s="1"/>
  <c r="BG373" i="26"/>
  <c r="BH373" i="26" s="1"/>
  <c r="AO373" i="26" s="1"/>
  <c r="BG271" i="26"/>
  <c r="BH271" i="26" s="1"/>
  <c r="AO271" i="26" s="1"/>
  <c r="BG1004" i="26"/>
  <c r="BH1004" i="26" s="1"/>
  <c r="AO1004" i="26" s="1"/>
  <c r="BG752" i="26"/>
  <c r="BH752" i="26" s="1"/>
  <c r="AO752" i="26" s="1"/>
  <c r="BG290" i="26"/>
  <c r="BH290" i="26" s="1"/>
  <c r="AO290" i="26" s="1"/>
  <c r="BI1121" i="26"/>
  <c r="BJ1121" i="26" s="1"/>
  <c r="BG540" i="26"/>
  <c r="BH540" i="26" s="1"/>
  <c r="AO540" i="26" s="1"/>
  <c r="BG197" i="26"/>
  <c r="BH197" i="26" s="1"/>
  <c r="AO197" i="26" s="1"/>
  <c r="BI882" i="26"/>
  <c r="BJ882" i="26" s="1"/>
  <c r="BI199" i="26"/>
  <c r="BJ199" i="26" s="1"/>
  <c r="AP199" i="26" s="1"/>
  <c r="BI305" i="26"/>
  <c r="BJ305" i="26" s="1"/>
  <c r="AP305" i="26" s="1"/>
  <c r="BI741" i="26"/>
  <c r="BJ741" i="26" s="1"/>
  <c r="BI511" i="26"/>
  <c r="BJ511" i="26" s="1"/>
  <c r="BZ1267" i="6"/>
  <c r="CA1267" i="6" s="1"/>
  <c r="CB732" i="6"/>
  <c r="CC732" i="6" s="1"/>
  <c r="BI732" i="6" s="1"/>
  <c r="BG1033" i="26"/>
  <c r="BH1033" i="26" s="1"/>
  <c r="AO1033" i="26" s="1"/>
  <c r="BI1016" i="26"/>
  <c r="BJ1016" i="26" s="1"/>
  <c r="BI1095" i="26"/>
  <c r="BJ1095" i="26" s="1"/>
  <c r="BI491" i="26"/>
  <c r="BJ491" i="26" s="1"/>
  <c r="BG206" i="26"/>
  <c r="BH206" i="26" s="1"/>
  <c r="AO206" i="26" s="1"/>
  <c r="BI743" i="26"/>
  <c r="BJ743" i="26" s="1"/>
  <c r="CB736" i="6"/>
  <c r="CC736" i="6" s="1"/>
  <c r="BG1137" i="26"/>
  <c r="BH1137" i="26" s="1"/>
  <c r="AO1137" i="26" s="1"/>
  <c r="BI644" i="26"/>
  <c r="BJ644" i="26" s="1"/>
  <c r="BI482" i="26"/>
  <c r="BJ482" i="26" s="1"/>
  <c r="BG341" i="26"/>
  <c r="BH341" i="26" s="1"/>
  <c r="AO341" i="26" s="1"/>
  <c r="BG542" i="26"/>
  <c r="BH542" i="26" s="1"/>
  <c r="AO542" i="26" s="1"/>
  <c r="BG61" i="26"/>
  <c r="BH61" i="26" s="1"/>
  <c r="AO61" i="26" s="1"/>
  <c r="BG836" i="26"/>
  <c r="BH836" i="26" s="1"/>
  <c r="AO836" i="26" s="1"/>
  <c r="BG182" i="26"/>
  <c r="BH182" i="26" s="1"/>
  <c r="AO182" i="26" s="1"/>
  <c r="BI349" i="26"/>
  <c r="BJ349" i="26" s="1"/>
  <c r="BG108" i="26"/>
  <c r="BH108" i="26" s="1"/>
  <c r="AO108" i="26" s="1"/>
  <c r="BG100" i="26"/>
  <c r="BH100" i="26" s="1"/>
  <c r="AO100" i="26" s="1"/>
  <c r="BZ984" i="6"/>
  <c r="CA984" i="6" s="1"/>
  <c r="BG707" i="26"/>
  <c r="BH707" i="26" s="1"/>
  <c r="AO707" i="26" s="1"/>
  <c r="BG845" i="26"/>
  <c r="BH845" i="26" s="1"/>
  <c r="AO845" i="26" s="1"/>
  <c r="BI123" i="26"/>
  <c r="BJ123" i="26" s="1"/>
  <c r="AP123" i="26" s="1"/>
  <c r="BG682" i="26"/>
  <c r="BH682" i="26" s="1"/>
  <c r="AO682" i="26" s="1"/>
  <c r="BG516" i="26"/>
  <c r="BH516" i="26" s="1"/>
  <c r="AO516" i="26" s="1"/>
  <c r="BI282" i="26"/>
  <c r="BJ282" i="26" s="1"/>
  <c r="BG1129" i="26"/>
  <c r="BH1129" i="26" s="1"/>
  <c r="AO1129" i="26" s="1"/>
  <c r="BI311" i="26"/>
  <c r="BJ311" i="26" s="1"/>
  <c r="BG376" i="26"/>
  <c r="BH376" i="26" s="1"/>
  <c r="AO376" i="26" s="1"/>
  <c r="BI593" i="26"/>
  <c r="BJ593" i="26" s="1"/>
  <c r="BI829" i="26"/>
  <c r="BJ829" i="26" s="1"/>
  <c r="BI193" i="26"/>
  <c r="BJ193" i="26" s="1"/>
  <c r="AP193" i="26" s="1"/>
  <c r="BI652" i="26"/>
  <c r="BJ652" i="26" s="1"/>
  <c r="AP652" i="26" s="1"/>
  <c r="BI472" i="26"/>
  <c r="BJ472" i="26" s="1"/>
  <c r="AP472" i="26" s="1"/>
  <c r="BG282" i="26"/>
  <c r="BH282" i="26" s="1"/>
  <c r="AO282" i="26" s="1"/>
  <c r="BG974" i="26"/>
  <c r="BH974" i="26" s="1"/>
  <c r="AO974" i="26" s="1"/>
  <c r="BI1225" i="26"/>
  <c r="BJ1225" i="26" s="1"/>
  <c r="AP1225" i="26" s="1"/>
  <c r="BG268" i="26"/>
  <c r="BH268" i="26" s="1"/>
  <c r="AO268" i="26" s="1"/>
  <c r="BG450" i="26"/>
  <c r="BH450" i="26" s="1"/>
  <c r="AO450" i="26" s="1"/>
  <c r="BI681" i="26"/>
  <c r="BJ681" i="26" s="1"/>
  <c r="BI169" i="26"/>
  <c r="BJ169" i="26" s="1"/>
  <c r="AP169" i="26" s="1"/>
  <c r="BG451" i="26"/>
  <c r="BH451" i="26" s="1"/>
  <c r="AO451" i="26" s="1"/>
  <c r="BI298" i="26"/>
  <c r="BJ298" i="26" s="1"/>
  <c r="BI1022" i="26"/>
  <c r="BJ1022" i="26" s="1"/>
  <c r="BI533" i="26"/>
  <c r="BJ533" i="26" s="1"/>
  <c r="BG1091" i="26"/>
  <c r="BH1091" i="26" s="1"/>
  <c r="AO1091" i="26" s="1"/>
  <c r="BG1016" i="26"/>
  <c r="BH1016" i="26" s="1"/>
  <c r="AO1016" i="26" s="1"/>
  <c r="BG469" i="26"/>
  <c r="BH469" i="26" s="1"/>
  <c r="AO469" i="26" s="1"/>
  <c r="BG712" i="26"/>
  <c r="BH712" i="26" s="1"/>
  <c r="AO712" i="26" s="1"/>
  <c r="BI763" i="26"/>
  <c r="BJ763" i="26" s="1"/>
  <c r="BI1223" i="26"/>
  <c r="BJ1223" i="26" s="1"/>
  <c r="BI990" i="26"/>
  <c r="BJ990" i="26" s="1"/>
  <c r="BI581" i="26"/>
  <c r="BJ581" i="26" s="1"/>
  <c r="BI371" i="26"/>
  <c r="BJ371" i="26" s="1"/>
  <c r="BI590" i="26"/>
  <c r="BJ590" i="26" s="1"/>
  <c r="CB1265" i="6"/>
  <c r="CC1265" i="6" s="1"/>
  <c r="BI1265" i="6" s="1"/>
  <c r="BI563" i="26"/>
  <c r="BJ563" i="26" s="1"/>
  <c r="BG518" i="26"/>
  <c r="BH518" i="26" s="1"/>
  <c r="AO518" i="26" s="1"/>
  <c r="BG103" i="26"/>
  <c r="BH103" i="26" s="1"/>
  <c r="AO103" i="26" s="1"/>
  <c r="BI100" i="26"/>
  <c r="BJ100" i="26" s="1"/>
  <c r="AP100" i="26" s="1"/>
  <c r="BG559" i="26"/>
  <c r="BH559" i="26" s="1"/>
  <c r="AO559" i="26" s="1"/>
  <c r="BG298" i="26"/>
  <c r="BH298" i="26" s="1"/>
  <c r="AO298" i="26" s="1"/>
  <c r="BI325" i="26"/>
  <c r="BJ325" i="26" s="1"/>
  <c r="BI434" i="26"/>
  <c r="BJ434" i="26" s="1"/>
  <c r="BI705" i="26"/>
  <c r="BJ705" i="26" s="1"/>
  <c r="BI198" i="26"/>
  <c r="BJ198" i="26" s="1"/>
  <c r="CB1267" i="6"/>
  <c r="CC1267" i="6" s="1"/>
  <c r="BI1267" i="6" s="1"/>
  <c r="BI177" i="26"/>
  <c r="BJ177" i="26" s="1"/>
  <c r="AP177" i="26" s="1"/>
  <c r="BI1067" i="26"/>
  <c r="BJ1067" i="26" s="1"/>
  <c r="BG1019" i="26"/>
  <c r="BH1019" i="26" s="1"/>
  <c r="AO1019" i="26" s="1"/>
  <c r="BG975" i="26"/>
  <c r="BH975" i="26" s="1"/>
  <c r="AO975" i="26" s="1"/>
  <c r="BG1009" i="26"/>
  <c r="BH1009" i="26" s="1"/>
  <c r="AO1009" i="26" s="1"/>
  <c r="BG1175" i="26"/>
  <c r="BH1175" i="26" s="1"/>
  <c r="AO1175" i="26" s="1"/>
  <c r="BI210" i="26"/>
  <c r="BJ210" i="26" s="1"/>
  <c r="AP210" i="26" s="1"/>
  <c r="BG600" i="26"/>
  <c r="BH600" i="26" s="1"/>
  <c r="AO600" i="26" s="1"/>
  <c r="BG786" i="26"/>
  <c r="BH786" i="26" s="1"/>
  <c r="AO786" i="26" s="1"/>
  <c r="BI114" i="26"/>
  <c r="BJ114" i="26" s="1"/>
  <c r="AP114" i="26" s="1"/>
  <c r="BG1241" i="26"/>
  <c r="BH1241" i="26" s="1"/>
  <c r="BI332" i="26"/>
  <c r="BJ332" i="26" s="1"/>
  <c r="BI658" i="26"/>
  <c r="BJ658" i="26" s="1"/>
  <c r="BI1142" i="26"/>
  <c r="BJ1142" i="26" s="1"/>
  <c r="BI527" i="26"/>
  <c r="BJ527" i="26" s="1"/>
  <c r="BG899" i="26"/>
  <c r="BH899" i="26" s="1"/>
  <c r="AO899" i="26" s="1"/>
  <c r="BI176" i="26"/>
  <c r="BJ176" i="26" s="1"/>
  <c r="AP176" i="26" s="1"/>
  <c r="BG111" i="26"/>
  <c r="BH111" i="26" s="1"/>
  <c r="AO111" i="26" s="1"/>
  <c r="BI309" i="26"/>
  <c r="BJ309" i="26" s="1"/>
  <c r="BG1219" i="26"/>
  <c r="BH1219" i="26" s="1"/>
  <c r="AO1219" i="26" s="1"/>
  <c r="BG1100" i="26"/>
  <c r="BH1100" i="26" s="1"/>
  <c r="AO1100" i="26" s="1"/>
  <c r="BG106" i="26"/>
  <c r="BH106" i="26" s="1"/>
  <c r="AO106" i="26" s="1"/>
  <c r="BG582" i="26"/>
  <c r="BH582" i="26" s="1"/>
  <c r="AO582" i="26" s="1"/>
  <c r="BI1055" i="26"/>
  <c r="BJ1055" i="26" s="1"/>
  <c r="BG943" i="26"/>
  <c r="BH943" i="26" s="1"/>
  <c r="AO943" i="26" s="1"/>
  <c r="BG816" i="26"/>
  <c r="BH816" i="26" s="1"/>
  <c r="AO816" i="26" s="1"/>
  <c r="BG1121" i="26"/>
  <c r="BH1121" i="26" s="1"/>
  <c r="AO1121" i="26" s="1"/>
  <c r="BI689" i="26"/>
  <c r="BJ689" i="26" s="1"/>
  <c r="BG471" i="26"/>
  <c r="BH471" i="26" s="1"/>
  <c r="AO471" i="26" s="1"/>
  <c r="BI831" i="26"/>
  <c r="BJ831" i="26" s="1"/>
  <c r="BG463" i="26"/>
  <c r="BH463" i="26" s="1"/>
  <c r="AO463" i="26" s="1"/>
  <c r="BI849" i="26"/>
  <c r="BJ849" i="26" s="1"/>
  <c r="BG261" i="26"/>
  <c r="BH261" i="26" s="1"/>
  <c r="AO261" i="26" s="1"/>
  <c r="CB1086" i="6"/>
  <c r="CC1086" i="6" s="1"/>
  <c r="BI1086" i="6" s="1"/>
  <c r="AQ1086" i="6" s="1"/>
  <c r="BI272" i="26"/>
  <c r="BJ272" i="26" s="1"/>
  <c r="BI483" i="26"/>
  <c r="BJ483" i="26" s="1"/>
  <c r="BI570" i="26"/>
  <c r="BJ570" i="26" s="1"/>
  <c r="AP570" i="26" s="1"/>
  <c r="BG242" i="26"/>
  <c r="BH242" i="26" s="1"/>
  <c r="AO242" i="26" s="1"/>
  <c r="BI835" i="26"/>
  <c r="BJ835" i="26" s="1"/>
  <c r="BI790" i="26"/>
  <c r="BJ790" i="26" s="1"/>
  <c r="BI578" i="26"/>
  <c r="BJ578" i="26" s="1"/>
  <c r="BI147" i="26"/>
  <c r="BJ147" i="26" s="1"/>
  <c r="BI961" i="26"/>
  <c r="BJ961" i="26" s="1"/>
  <c r="BG902" i="26"/>
  <c r="BH902" i="26" s="1"/>
  <c r="AO902" i="26" s="1"/>
  <c r="BG808" i="26"/>
  <c r="BH808" i="26" s="1"/>
  <c r="AO808" i="26" s="1"/>
  <c r="BG766" i="26"/>
  <c r="BH766" i="26" s="1"/>
  <c r="AO766" i="26" s="1"/>
  <c r="BG714" i="26"/>
  <c r="BH714" i="26" s="1"/>
  <c r="AO714" i="26" s="1"/>
  <c r="BI1080" i="26"/>
  <c r="BJ1080" i="26" s="1"/>
  <c r="AP1080" i="26" s="1"/>
  <c r="BG494" i="26"/>
  <c r="BH494" i="26" s="1"/>
  <c r="AO494" i="26" s="1"/>
  <c r="BG1112" i="26"/>
  <c r="BH1112" i="26" s="1"/>
  <c r="AO1112" i="26" s="1"/>
  <c r="BG857" i="26"/>
  <c r="BH857" i="26" s="1"/>
  <c r="AO857" i="26" s="1"/>
  <c r="BG529" i="26"/>
  <c r="BH529" i="26" s="1"/>
  <c r="AO529" i="26" s="1"/>
  <c r="BI1030" i="26"/>
  <c r="BJ1030" i="26" s="1"/>
  <c r="BI289" i="26"/>
  <c r="BJ289" i="26" s="1"/>
  <c r="BG677" i="26"/>
  <c r="BH677" i="26" s="1"/>
  <c r="AO677" i="26" s="1"/>
  <c r="BI654" i="26"/>
  <c r="BJ654" i="26" s="1"/>
  <c r="AP654" i="26" s="1"/>
  <c r="BI514" i="26"/>
  <c r="BJ514" i="26" s="1"/>
  <c r="BG1176" i="26"/>
  <c r="BH1176" i="26" s="1"/>
  <c r="AO1176" i="26" s="1"/>
  <c r="BG187" i="26"/>
  <c r="BH187" i="26" s="1"/>
  <c r="AO187" i="26" s="1"/>
  <c r="BI554" i="26"/>
  <c r="BJ554" i="26" s="1"/>
  <c r="BG263" i="26"/>
  <c r="BH263" i="26" s="1"/>
  <c r="AO263" i="26" s="1"/>
  <c r="BG249" i="26"/>
  <c r="BH249" i="26" s="1"/>
  <c r="AO249" i="26" s="1"/>
  <c r="BI621" i="26"/>
  <c r="BJ621" i="26" s="1"/>
  <c r="BG502" i="26"/>
  <c r="BH502" i="26" s="1"/>
  <c r="AO502" i="26" s="1"/>
  <c r="BG996" i="26"/>
  <c r="BH996" i="26" s="1"/>
  <c r="AO996" i="26" s="1"/>
  <c r="BG724" i="26"/>
  <c r="BH724" i="26" s="1"/>
  <c r="AO724" i="26" s="1"/>
  <c r="BG550" i="26"/>
  <c r="BH550" i="26" s="1"/>
  <c r="AO550" i="26" s="1"/>
  <c r="BG482" i="26"/>
  <c r="BH482" i="26" s="1"/>
  <c r="AO482" i="26" s="1"/>
  <c r="BG291" i="26"/>
  <c r="BH291" i="26" s="1"/>
  <c r="AO291" i="26" s="1"/>
  <c r="BG155" i="26"/>
  <c r="BH155" i="26" s="1"/>
  <c r="AO155" i="26" s="1"/>
  <c r="BI412" i="26"/>
  <c r="BJ412" i="26" s="1"/>
  <c r="BI851" i="26"/>
  <c r="BJ851" i="26" s="1"/>
  <c r="BG248" i="26"/>
  <c r="BH248" i="26" s="1"/>
  <c r="AO248" i="26" s="1"/>
  <c r="BG891" i="26"/>
  <c r="BH891" i="26" s="1"/>
  <c r="AO891" i="26" s="1"/>
  <c r="BI657" i="26"/>
  <c r="BJ657" i="26" s="1"/>
  <c r="CB1104" i="6"/>
  <c r="CC1104" i="6" s="1"/>
  <c r="BI1104" i="6" s="1"/>
  <c r="AQ1104" i="6" s="1"/>
  <c r="BI263" i="26"/>
  <c r="BJ263" i="26" s="1"/>
  <c r="BI983" i="26"/>
  <c r="BJ983" i="26" s="1"/>
  <c r="BG520" i="26"/>
  <c r="BH520" i="26" s="1"/>
  <c r="AO520" i="26" s="1"/>
  <c r="BI375" i="26"/>
  <c r="BJ375" i="26" s="1"/>
  <c r="BG768" i="26"/>
  <c r="BH768" i="26" s="1"/>
  <c r="AO768" i="26" s="1"/>
  <c r="BG375" i="26"/>
  <c r="BH375" i="26" s="1"/>
  <c r="AO375" i="26" s="1"/>
  <c r="BG687" i="26"/>
  <c r="BH687" i="26" s="1"/>
  <c r="AO687" i="26" s="1"/>
  <c r="BI331" i="26"/>
  <c r="BJ331" i="26" s="1"/>
  <c r="BZ1258" i="6"/>
  <c r="CA1258" i="6" s="1"/>
  <c r="BI1152" i="26"/>
  <c r="BJ1152" i="26" s="1"/>
  <c r="AP1152" i="26" s="1"/>
  <c r="BG884" i="26"/>
  <c r="BH884" i="26" s="1"/>
  <c r="AO884" i="26" s="1"/>
  <c r="BG332" i="26"/>
  <c r="BH332" i="26" s="1"/>
  <c r="AO332" i="26" s="1"/>
  <c r="BI428" i="26"/>
  <c r="BJ428" i="26" s="1"/>
  <c r="BI79" i="26"/>
  <c r="BJ79" i="26" s="1"/>
  <c r="AP79" i="26" s="1"/>
  <c r="BI222" i="26"/>
  <c r="BJ222" i="26" s="1"/>
  <c r="AP222" i="26" s="1"/>
  <c r="BG639" i="26"/>
  <c r="BH639" i="26" s="1"/>
  <c r="AO639" i="26" s="1"/>
  <c r="BI949" i="26"/>
  <c r="BJ949" i="26" s="1"/>
  <c r="BI200" i="26"/>
  <c r="BJ200" i="26" s="1"/>
  <c r="BI754" i="26"/>
  <c r="BJ754" i="26" s="1"/>
  <c r="AP754" i="26" s="1"/>
  <c r="BI759" i="26"/>
  <c r="BJ759" i="26" s="1"/>
  <c r="BI622" i="26"/>
  <c r="BJ622" i="26" s="1"/>
  <c r="AP622" i="26" s="1"/>
  <c r="BG665" i="26"/>
  <c r="BH665" i="26" s="1"/>
  <c r="AO665" i="26" s="1"/>
  <c r="BG1168" i="26"/>
  <c r="BH1168" i="26" s="1"/>
  <c r="AO1168" i="26" s="1"/>
  <c r="BI529" i="26"/>
  <c r="BJ529" i="26" s="1"/>
  <c r="BG1194" i="26"/>
  <c r="BH1194" i="26" s="1"/>
  <c r="AO1194" i="26" s="1"/>
  <c r="BG294" i="26"/>
  <c r="BH294" i="26" s="1"/>
  <c r="AO294" i="26" s="1"/>
  <c r="BG327" i="26"/>
  <c r="BH327" i="26" s="1"/>
  <c r="AO327" i="26" s="1"/>
  <c r="BI1182" i="26"/>
  <c r="BJ1182" i="26" s="1"/>
  <c r="AP1182" i="26" s="1"/>
  <c r="BI149" i="26"/>
  <c r="BJ149" i="26" s="1"/>
  <c r="BI695" i="26"/>
  <c r="BJ695" i="26" s="1"/>
  <c r="BI944" i="26"/>
  <c r="BJ944" i="26" s="1"/>
  <c r="BG1080" i="26"/>
  <c r="BH1080" i="26" s="1"/>
  <c r="AO1080" i="26" s="1"/>
  <c r="BG792" i="26"/>
  <c r="BH792" i="26" s="1"/>
  <c r="AO792" i="26" s="1"/>
  <c r="BI666" i="26"/>
  <c r="BJ666" i="26" s="1"/>
  <c r="AP666" i="26" s="1"/>
  <c r="BG499" i="26"/>
  <c r="BH499" i="26" s="1"/>
  <c r="AO499" i="26" s="1"/>
  <c r="BI291" i="26"/>
  <c r="BJ291" i="26" s="1"/>
  <c r="BG1174" i="26"/>
  <c r="BH1174" i="26" s="1"/>
  <c r="AO1174" i="26" s="1"/>
  <c r="BI255" i="26"/>
  <c r="BJ255" i="26" s="1"/>
  <c r="BI778" i="26"/>
  <c r="BJ778" i="26" s="1"/>
  <c r="BI68" i="26"/>
  <c r="BJ68" i="26" s="1"/>
  <c r="BG532" i="26"/>
  <c r="BH532" i="26" s="1"/>
  <c r="AO532" i="26" s="1"/>
  <c r="BG1099" i="26"/>
  <c r="BH1099" i="26" s="1"/>
  <c r="AO1099" i="26" s="1"/>
  <c r="BG237" i="26"/>
  <c r="BH237" i="26" s="1"/>
  <c r="AO237" i="26" s="1"/>
  <c r="BI180" i="26"/>
  <c r="BJ180" i="26" s="1"/>
  <c r="AP180" i="26" s="1"/>
  <c r="BG955" i="26"/>
  <c r="BH955" i="26" s="1"/>
  <c r="AO955" i="26" s="1"/>
  <c r="BI520" i="26"/>
  <c r="BJ520" i="26" s="1"/>
  <c r="BG999" i="26"/>
  <c r="BH999" i="26" s="1"/>
  <c r="AO999" i="26" s="1"/>
  <c r="BG255" i="26"/>
  <c r="BH255" i="26" s="1"/>
  <c r="AO255" i="26" s="1"/>
  <c r="BI738" i="26"/>
  <c r="BJ738" i="26" s="1"/>
  <c r="BG177" i="26"/>
  <c r="BH177" i="26" s="1"/>
  <c r="AO177" i="26" s="1"/>
  <c r="BI607" i="26"/>
  <c r="BJ607" i="26" s="1"/>
  <c r="BG407" i="26"/>
  <c r="BH407" i="26" s="1"/>
  <c r="AO407" i="26" s="1"/>
  <c r="BG1070" i="26"/>
  <c r="BH1070" i="26" s="1"/>
  <c r="AO1070" i="26" s="1"/>
  <c r="BG778" i="26"/>
  <c r="BH778" i="26" s="1"/>
  <c r="AO778" i="26" s="1"/>
  <c r="BG221" i="26"/>
  <c r="BH221" i="26" s="1"/>
  <c r="AO221" i="26" s="1"/>
  <c r="BI1060" i="26"/>
  <c r="BJ1060" i="26" s="1"/>
  <c r="AP1060" i="26" s="1"/>
  <c r="BI587" i="26"/>
  <c r="BJ587" i="26" s="1"/>
  <c r="BG1240" i="26"/>
  <c r="BH1240" i="26" s="1"/>
  <c r="BI347" i="26"/>
  <c r="BJ347" i="26" s="1"/>
  <c r="BI629" i="26"/>
  <c r="BJ629" i="26" s="1"/>
  <c r="BG879" i="26"/>
  <c r="BH879" i="26" s="1"/>
  <c r="AO879" i="26" s="1"/>
  <c r="BG746" i="26"/>
  <c r="BH746" i="26" s="1"/>
  <c r="AO746" i="26" s="1"/>
  <c r="BG1020" i="26"/>
  <c r="BH1020" i="26" s="1"/>
  <c r="AO1020" i="26" s="1"/>
  <c r="BG311" i="26"/>
  <c r="BH311" i="26" s="1"/>
  <c r="AO311" i="26" s="1"/>
  <c r="BG597" i="26"/>
  <c r="BH597" i="26" s="1"/>
  <c r="AO597" i="26" s="1"/>
  <c r="BG866" i="26"/>
  <c r="BH866" i="26" s="1"/>
  <c r="AO866" i="26" s="1"/>
  <c r="BG622" i="26"/>
  <c r="BH622" i="26" s="1"/>
  <c r="AO622" i="26" s="1"/>
  <c r="BG1014" i="26"/>
  <c r="BH1014" i="26" s="1"/>
  <c r="AO1014" i="26" s="1"/>
  <c r="BI195" i="26"/>
  <c r="BJ195" i="26" s="1"/>
  <c r="BI747" i="26"/>
  <c r="BJ747" i="26" s="1"/>
  <c r="BG913" i="26"/>
  <c r="BH913" i="26" s="1"/>
  <c r="AO913" i="26" s="1"/>
  <c r="BG216" i="26"/>
  <c r="BH216" i="26" s="1"/>
  <c r="AO216" i="26" s="1"/>
  <c r="BI549" i="26"/>
  <c r="BJ549" i="26" s="1"/>
  <c r="BG544" i="26"/>
  <c r="BH544" i="26" s="1"/>
  <c r="AO544" i="26" s="1"/>
  <c r="BG577" i="26"/>
  <c r="BH577" i="26" s="1"/>
  <c r="AO577" i="26" s="1"/>
  <c r="BG697" i="26"/>
  <c r="BH697" i="26" s="1"/>
  <c r="AO697" i="26" s="1"/>
  <c r="BZ1104" i="6"/>
  <c r="CA1104" i="6" s="1"/>
  <c r="BI638" i="26"/>
  <c r="BJ638" i="26" s="1"/>
  <c r="BI843" i="26"/>
  <c r="BJ843" i="26" s="1"/>
  <c r="BI470" i="26"/>
  <c r="BJ470" i="26" s="1"/>
  <c r="BG226" i="26"/>
  <c r="BH226" i="26" s="1"/>
  <c r="AO226" i="26" s="1"/>
  <c r="BG979" i="26"/>
  <c r="BH979" i="26" s="1"/>
  <c r="AO979" i="26" s="1"/>
  <c r="BG137" i="26"/>
  <c r="BH137" i="26" s="1"/>
  <c r="AO137" i="26" s="1"/>
  <c r="BI437" i="26"/>
  <c r="BJ437" i="26" s="1"/>
  <c r="BI1075" i="26"/>
  <c r="BJ1075" i="26" s="1"/>
  <c r="BI233" i="26"/>
  <c r="BJ233" i="26" s="1"/>
  <c r="BG357" i="26"/>
  <c r="BH357" i="26" s="1"/>
  <c r="AO357" i="26" s="1"/>
  <c r="BI1130" i="26"/>
  <c r="BJ1130" i="26" s="1"/>
  <c r="BG733" i="26"/>
  <c r="BH733" i="26" s="1"/>
  <c r="AO733" i="26" s="1"/>
  <c r="BG941" i="26"/>
  <c r="BH941" i="26" s="1"/>
  <c r="AO941" i="26" s="1"/>
  <c r="BG321" i="26"/>
  <c r="BH321" i="26" s="1"/>
  <c r="AO321" i="26" s="1"/>
  <c r="BG834" i="26"/>
  <c r="BH834" i="26" s="1"/>
  <c r="AO834" i="26" s="1"/>
  <c r="BI544" i="26"/>
  <c r="BJ544" i="26" s="1"/>
  <c r="BI494" i="26"/>
  <c r="BJ494" i="26" s="1"/>
  <c r="BG1159" i="26"/>
  <c r="BH1159" i="26" s="1"/>
  <c r="AO1159" i="26" s="1"/>
  <c r="BI559" i="26"/>
  <c r="BJ559" i="26" s="1"/>
  <c r="BI334" i="26"/>
  <c r="BJ334" i="26" s="1"/>
  <c r="BI361" i="26"/>
  <c r="BJ361" i="26" s="1"/>
  <c r="BG337" i="26"/>
  <c r="BH337" i="26" s="1"/>
  <c r="AO337" i="26" s="1"/>
  <c r="BG81" i="26"/>
  <c r="BH81" i="26" s="1"/>
  <c r="AO81" i="26" s="1"/>
  <c r="BI143" i="26"/>
  <c r="BJ143" i="26" s="1"/>
  <c r="BI588" i="26"/>
  <c r="BJ588" i="26" s="1"/>
  <c r="BG827" i="26"/>
  <c r="BH827" i="26" s="1"/>
  <c r="AO827" i="26" s="1"/>
  <c r="BG562" i="26"/>
  <c r="BH562" i="26" s="1"/>
  <c r="AO562" i="26" s="1"/>
  <c r="BI374" i="26"/>
  <c r="BJ374" i="26" s="1"/>
  <c r="BI228" i="26"/>
  <c r="BJ228" i="26" s="1"/>
  <c r="BG1206" i="26"/>
  <c r="BH1206" i="26" s="1"/>
  <c r="AO1206" i="26" s="1"/>
  <c r="BI230" i="26"/>
  <c r="BJ230" i="26" s="1"/>
  <c r="BG1034" i="26"/>
  <c r="BH1034" i="26" s="1"/>
  <c r="AO1034" i="26" s="1"/>
  <c r="BG653" i="26"/>
  <c r="BH653" i="26" s="1"/>
  <c r="AO653" i="26" s="1"/>
  <c r="BG326" i="26"/>
  <c r="BH326" i="26" s="1"/>
  <c r="AO326" i="26" s="1"/>
  <c r="BI435" i="26"/>
  <c r="BJ435" i="26" s="1"/>
  <c r="BI884" i="26"/>
  <c r="BJ884" i="26" s="1"/>
  <c r="BI98" i="26"/>
  <c r="BJ98" i="26" s="1"/>
  <c r="BG803" i="26"/>
  <c r="BH803" i="26" s="1"/>
  <c r="AO803" i="26" s="1"/>
  <c r="BG956" i="26"/>
  <c r="BH956" i="26" s="1"/>
  <c r="AO956" i="26" s="1"/>
  <c r="BI600" i="26"/>
  <c r="BJ600" i="26" s="1"/>
  <c r="BG528" i="26"/>
  <c r="BH528" i="26" s="1"/>
  <c r="AO528" i="26" s="1"/>
  <c r="BI108" i="26"/>
  <c r="BJ108" i="26" s="1"/>
  <c r="AP108" i="26" s="1"/>
  <c r="BG878" i="26"/>
  <c r="BH878" i="26" s="1"/>
  <c r="AO878" i="26" s="1"/>
  <c r="CB984" i="6"/>
  <c r="CC984" i="6" s="1"/>
  <c r="BI984" i="6" s="1"/>
  <c r="BG342" i="26"/>
  <c r="BH342" i="26" s="1"/>
  <c r="AO342" i="26" s="1"/>
  <c r="BI165" i="26"/>
  <c r="BJ165" i="26" s="1"/>
  <c r="AP165" i="26" s="1"/>
  <c r="BI280" i="26"/>
  <c r="BJ280" i="26" s="1"/>
  <c r="BI547" i="26"/>
  <c r="BJ547" i="26" s="1"/>
  <c r="BG661" i="26"/>
  <c r="BH661" i="26" s="1"/>
  <c r="AO661" i="26" s="1"/>
  <c r="BI191" i="26"/>
  <c r="BJ191" i="26" s="1"/>
  <c r="BI871" i="26"/>
  <c r="BJ871" i="26" s="1"/>
  <c r="BG89" i="26"/>
  <c r="BH89" i="26" s="1"/>
  <c r="AO89" i="26" s="1"/>
  <c r="BI979" i="26"/>
  <c r="BJ979" i="26" s="1"/>
  <c r="AP979" i="26" s="1"/>
  <c r="BZ1263" i="6"/>
  <c r="CA1263" i="6" s="1"/>
  <c r="BG731" i="26"/>
  <c r="BH731" i="26" s="1"/>
  <c r="AO731" i="26" s="1"/>
  <c r="BZ730" i="6"/>
  <c r="CA730" i="6" s="1"/>
  <c r="BI946" i="26"/>
  <c r="BJ946" i="26" s="1"/>
  <c r="BG1200" i="26"/>
  <c r="BH1200" i="26" s="1"/>
  <c r="AO1200" i="26" s="1"/>
  <c r="BI645" i="26"/>
  <c r="BJ645" i="26" s="1"/>
  <c r="BI1203" i="26"/>
  <c r="BJ1203" i="26" s="1"/>
  <c r="BG1204" i="26"/>
  <c r="BH1204" i="26" s="1"/>
  <c r="AO1204" i="26" s="1"/>
  <c r="BI957" i="26"/>
  <c r="BJ957" i="26" s="1"/>
  <c r="AP957" i="26" s="1"/>
  <c r="BG96" i="26"/>
  <c r="BH96" i="26" s="1"/>
  <c r="AO96" i="26" s="1"/>
  <c r="BI467" i="26"/>
  <c r="BJ467" i="26" s="1"/>
  <c r="BG292" i="26"/>
  <c r="BH292" i="26" s="1"/>
  <c r="AO292" i="26" s="1"/>
  <c r="BG252" i="26"/>
  <c r="BH252" i="26" s="1"/>
  <c r="BI802" i="26"/>
  <c r="BJ802" i="26" s="1"/>
  <c r="AP802" i="26" s="1"/>
  <c r="BI873" i="26"/>
  <c r="BJ873" i="26" s="1"/>
  <c r="BG359" i="26"/>
  <c r="BH359" i="26" s="1"/>
  <c r="AO359" i="26" s="1"/>
  <c r="BI623" i="26"/>
  <c r="BJ623" i="26" s="1"/>
  <c r="BG477" i="26"/>
  <c r="BH477" i="26" s="1"/>
  <c r="AO477" i="26" s="1"/>
  <c r="BI799" i="26"/>
  <c r="BJ799" i="26" s="1"/>
  <c r="BG105" i="26"/>
  <c r="BH105" i="26" s="1"/>
  <c r="AO105" i="26" s="1"/>
  <c r="BI407" i="26"/>
  <c r="BJ407" i="26" s="1"/>
  <c r="BG158" i="26"/>
  <c r="BH158" i="26" s="1"/>
  <c r="AO158" i="26" s="1"/>
  <c r="BG1143" i="26"/>
  <c r="BH1143" i="26" s="1"/>
  <c r="AO1143" i="26" s="1"/>
  <c r="BG659" i="26"/>
  <c r="BH659" i="26" s="1"/>
  <c r="AO659" i="26" s="1"/>
  <c r="BI396" i="26"/>
  <c r="BJ396" i="26" s="1"/>
  <c r="AP396" i="26" s="1"/>
  <c r="BG493" i="26"/>
  <c r="BH493" i="26" s="1"/>
  <c r="AO493" i="26" s="1"/>
  <c r="BG259" i="26"/>
  <c r="BH259" i="26" s="1"/>
  <c r="AO259" i="26" s="1"/>
  <c r="BI1073" i="26"/>
  <c r="BJ1073" i="26" s="1"/>
  <c r="BG998" i="26"/>
  <c r="BH998" i="26" s="1"/>
  <c r="AO998" i="26" s="1"/>
  <c r="BI868" i="26"/>
  <c r="BJ868" i="26" s="1"/>
  <c r="AP868" i="26" s="1"/>
  <c r="BG165" i="26"/>
  <c r="BH165" i="26" s="1"/>
  <c r="AO165" i="26" s="1"/>
  <c r="BZ1098" i="6"/>
  <c r="CA1098" i="6" s="1"/>
  <c r="BZ1265" i="6"/>
  <c r="CA1265" i="6" s="1"/>
  <c r="BG1050" i="26"/>
  <c r="BH1050" i="26" s="1"/>
  <c r="AO1050" i="26" s="1"/>
  <c r="BG736" i="26"/>
  <c r="BH736" i="26" s="1"/>
  <c r="AO736" i="26" s="1"/>
  <c r="BG726" i="26"/>
  <c r="BH726" i="26" s="1"/>
  <c r="AO726" i="26" s="1"/>
  <c r="BI477" i="26"/>
  <c r="BJ477" i="26" s="1"/>
  <c r="BI524" i="26"/>
  <c r="BJ524" i="26" s="1"/>
  <c r="BI827" i="26"/>
  <c r="BJ827" i="26" s="1"/>
  <c r="BG844" i="26"/>
  <c r="BH844" i="26" s="1"/>
  <c r="AO844" i="26" s="1"/>
  <c r="BI1159" i="26"/>
  <c r="BJ1159" i="26" s="1"/>
  <c r="BG1000" i="26"/>
  <c r="BH1000" i="26" s="1"/>
  <c r="AO1000" i="26" s="1"/>
  <c r="BI731" i="26"/>
  <c r="BJ731" i="26" s="1"/>
  <c r="BI1133" i="26"/>
  <c r="BJ1133" i="26" s="1"/>
  <c r="BI460" i="26"/>
  <c r="BJ460" i="26" s="1"/>
  <c r="AP460" i="26" s="1"/>
  <c r="BG1232" i="26"/>
  <c r="BH1232" i="26" s="1"/>
  <c r="AO1232" i="26" s="1"/>
  <c r="BG812" i="26"/>
  <c r="BH812" i="26" s="1"/>
  <c r="AO812" i="26" s="1"/>
  <c r="BG355" i="26"/>
  <c r="BH355" i="26" s="1"/>
  <c r="AO355" i="26" s="1"/>
  <c r="BI155" i="26"/>
  <c r="BJ155" i="26" s="1"/>
  <c r="BG201" i="26"/>
  <c r="BH201" i="26" s="1"/>
  <c r="AO201" i="26" s="1"/>
  <c r="BI458" i="26"/>
  <c r="BJ458" i="26" s="1"/>
  <c r="BI745" i="26"/>
  <c r="BJ745" i="26" s="1"/>
  <c r="BG491" i="26"/>
  <c r="BH491" i="26" s="1"/>
  <c r="AO491" i="26" s="1"/>
  <c r="BG645" i="26"/>
  <c r="BH645" i="26" s="1"/>
  <c r="AO645" i="26" s="1"/>
  <c r="BI61" i="26"/>
  <c r="BJ61" i="26" s="1"/>
  <c r="AP61" i="26" s="1"/>
  <c r="BI336" i="26"/>
  <c r="BJ336" i="26" s="1"/>
  <c r="BG615" i="26"/>
  <c r="BH615" i="26" s="1"/>
  <c r="AO615" i="26" s="1"/>
  <c r="BI1096" i="26"/>
  <c r="BJ1096" i="26" s="1"/>
  <c r="AP1096" i="26" s="1"/>
  <c r="BG669" i="26"/>
  <c r="BH669" i="26" s="1"/>
  <c r="AO669" i="26" s="1"/>
  <c r="BI469" i="26"/>
  <c r="BJ469" i="26" s="1"/>
  <c r="BI86" i="26"/>
  <c r="BJ86" i="26" s="1"/>
  <c r="BI783" i="26"/>
  <c r="BJ783" i="26" s="1"/>
  <c r="BI89" i="26"/>
  <c r="BJ89" i="26" s="1"/>
  <c r="AP89" i="26" s="1"/>
  <c r="BI618" i="26"/>
  <c r="BJ618" i="26" s="1"/>
  <c r="BI539" i="26"/>
  <c r="BJ539" i="26" s="1"/>
  <c r="BI266" i="26"/>
  <c r="BJ266" i="26" s="1"/>
  <c r="BI188" i="26"/>
  <c r="BJ188" i="26" s="1"/>
  <c r="BG390" i="26"/>
  <c r="BH390" i="26" s="1"/>
  <c r="AO390" i="26" s="1"/>
  <c r="BG798" i="26"/>
  <c r="BH798" i="26" s="1"/>
  <c r="AO798" i="26" s="1"/>
  <c r="BI673" i="26"/>
  <c r="BJ673" i="26" s="1"/>
  <c r="BI1071" i="26"/>
  <c r="BJ1071" i="26" s="1"/>
  <c r="BI953" i="26"/>
  <c r="BJ953" i="26" s="1"/>
  <c r="BI1048" i="26"/>
  <c r="BJ1048" i="26" s="1"/>
  <c r="AP1048" i="26" s="1"/>
  <c r="BG416" i="26"/>
  <c r="BH416" i="26" s="1"/>
  <c r="AO416" i="26" s="1"/>
  <c r="BG363" i="26"/>
  <c r="BH363" i="26" s="1"/>
  <c r="AO363" i="26" s="1"/>
  <c r="CB1136" i="6"/>
  <c r="CC1136" i="6" s="1"/>
  <c r="BG72" i="26"/>
  <c r="BH72" i="26" s="1"/>
  <c r="AO72" i="26" s="1"/>
  <c r="BI717" i="26"/>
  <c r="BJ717" i="26" s="1"/>
  <c r="BG765" i="26"/>
  <c r="BH765" i="26" s="1"/>
  <c r="AO765" i="26" s="1"/>
  <c r="BI224" i="26"/>
  <c r="BJ224" i="26" s="1"/>
  <c r="AP224" i="26" s="1"/>
  <c r="BI679" i="26"/>
  <c r="BJ679" i="26" s="1"/>
  <c r="BI963" i="26"/>
  <c r="BJ963" i="26" s="1"/>
  <c r="BG231" i="26"/>
  <c r="BH231" i="26" s="1"/>
  <c r="AO231" i="26" s="1"/>
  <c r="BG460" i="26"/>
  <c r="BH460" i="26" s="1"/>
  <c r="AO460" i="26" s="1"/>
  <c r="BG220" i="26"/>
  <c r="BH220" i="26" s="1"/>
  <c r="AO220" i="26" s="1"/>
  <c r="BG444" i="26"/>
  <c r="BH444" i="26" s="1"/>
  <c r="AO444" i="26" s="1"/>
  <c r="BI495" i="26"/>
  <c r="BJ495" i="26" s="1"/>
  <c r="BG202" i="26"/>
  <c r="BH202" i="26" s="1"/>
  <c r="AO202" i="26" s="1"/>
  <c r="BI251" i="26"/>
  <c r="BJ251" i="26" s="1"/>
  <c r="BG635" i="26"/>
  <c r="BH635" i="26" s="1"/>
  <c r="AO635" i="26" s="1"/>
  <c r="BI1017" i="26"/>
  <c r="BJ1017" i="26" s="1"/>
  <c r="BG495" i="26"/>
  <c r="BH495" i="26" s="1"/>
  <c r="AO495" i="26" s="1"/>
  <c r="BG207" i="26"/>
  <c r="BH207" i="26" s="1"/>
  <c r="AO207" i="26" s="1"/>
  <c r="BG715" i="26"/>
  <c r="BH715" i="26" s="1"/>
  <c r="AO715" i="26" s="1"/>
  <c r="BI444" i="26"/>
  <c r="BJ444" i="26" s="1"/>
  <c r="AP444" i="26" s="1"/>
  <c r="BG718" i="26"/>
  <c r="BH718" i="26" s="1"/>
  <c r="AO718" i="26" s="1"/>
  <c r="BI526" i="26"/>
  <c r="BJ526" i="26" s="1"/>
  <c r="BI423" i="26"/>
  <c r="BJ423" i="26" s="1"/>
  <c r="BI1081" i="26"/>
  <c r="BJ1081" i="26" s="1"/>
  <c r="AP1081" i="26" s="1"/>
  <c r="BG755" i="26"/>
  <c r="BH755" i="26" s="1"/>
  <c r="AO755" i="26" s="1"/>
  <c r="BG579" i="26"/>
  <c r="BH579" i="26" s="1"/>
  <c r="AO579" i="26" s="1"/>
  <c r="BG549" i="26"/>
  <c r="BH549" i="26" s="1"/>
  <c r="AO549" i="26" s="1"/>
  <c r="BG513" i="26"/>
  <c r="BH513" i="26" s="1"/>
  <c r="AO513" i="26" s="1"/>
  <c r="BI454" i="26"/>
  <c r="BJ454" i="26" s="1"/>
  <c r="BI1093" i="26"/>
  <c r="BJ1093" i="26" s="1"/>
  <c r="AP1093" i="26" s="1"/>
  <c r="BG347" i="26"/>
  <c r="BH347" i="26" s="1"/>
  <c r="AO347" i="26" s="1"/>
  <c r="BG748" i="26"/>
  <c r="BH748" i="26" s="1"/>
  <c r="AO748" i="26" s="1"/>
  <c r="BG771" i="26"/>
  <c r="BH771" i="26" s="1"/>
  <c r="AO771" i="26" s="1"/>
  <c r="BG59" i="26"/>
  <c r="BH59" i="26" s="1"/>
  <c r="AO59" i="26" s="1"/>
  <c r="BI525" i="26"/>
  <c r="BJ525" i="26" s="1"/>
  <c r="BG601" i="26"/>
  <c r="BH601" i="26" s="1"/>
  <c r="AO601" i="26" s="1"/>
  <c r="BZ1130" i="6"/>
  <c r="CA1130" i="6" s="1"/>
  <c r="BG833" i="26"/>
  <c r="BH833" i="26" s="1"/>
  <c r="AO833" i="26" s="1"/>
  <c r="BG1173" i="26"/>
  <c r="BH1173" i="26" s="1"/>
  <c r="AO1173" i="26" s="1"/>
  <c r="BI1175" i="26"/>
  <c r="BJ1175" i="26" s="1"/>
  <c r="BI748" i="26"/>
  <c r="BJ748" i="26" s="1"/>
  <c r="BG717" i="26"/>
  <c r="BH717" i="26" s="1"/>
  <c r="AO717" i="26" s="1"/>
  <c r="BG1140" i="26"/>
  <c r="BH1140" i="26" s="1"/>
  <c r="AO1140" i="26" s="1"/>
  <c r="BG149" i="26"/>
  <c r="BH149" i="26" s="1"/>
  <c r="AO149" i="26" s="1"/>
  <c r="BI943" i="26"/>
  <c r="BJ943" i="26" s="1"/>
  <c r="CB1098" i="6"/>
  <c r="CC1098" i="6" s="1"/>
  <c r="BI1098" i="6" s="1"/>
  <c r="AQ1098" i="6" s="1"/>
  <c r="BI59" i="26"/>
  <c r="BJ59" i="26" s="1"/>
  <c r="BG849" i="26"/>
  <c r="BH849" i="26" s="1"/>
  <c r="AO849" i="26" s="1"/>
  <c r="BG464" i="26"/>
  <c r="BH464" i="26" s="1"/>
  <c r="AO464" i="26" s="1"/>
  <c r="BI977" i="26"/>
  <c r="BJ977" i="26" s="1"/>
  <c r="BG811" i="26"/>
  <c r="BH811" i="26" s="1"/>
  <c r="AO811" i="26" s="1"/>
  <c r="BG69" i="26"/>
  <c r="BH69" i="26" s="1"/>
  <c r="AO69" i="26" s="1"/>
  <c r="BG351" i="26"/>
  <c r="BH351" i="26" s="1"/>
  <c r="AO351" i="26" s="1"/>
  <c r="BI202" i="26"/>
  <c r="BJ202" i="26" s="1"/>
  <c r="BG172" i="26"/>
  <c r="BH172" i="26" s="1"/>
  <c r="AO172" i="26" s="1"/>
  <c r="CB1130" i="6"/>
  <c r="CC1130" i="6" s="1"/>
  <c r="BI103" i="26"/>
  <c r="BJ103" i="26" s="1"/>
  <c r="AP103" i="26" s="1"/>
  <c r="BI259" i="26"/>
  <c r="BJ259" i="26" s="1"/>
  <c r="BI310" i="26"/>
  <c r="BJ310" i="26" s="1"/>
  <c r="AP310" i="26" s="1"/>
  <c r="BI344" i="26"/>
  <c r="BJ344" i="26" s="1"/>
  <c r="BI793" i="26"/>
  <c r="BJ793" i="26" s="1"/>
  <c r="BG435" i="26"/>
  <c r="BH435" i="26" s="1"/>
  <c r="AO435" i="26" s="1"/>
  <c r="BI808" i="26"/>
  <c r="BJ808" i="26" s="1"/>
  <c r="BI766" i="26"/>
  <c r="BJ766" i="26" s="1"/>
  <c r="BI112" i="26"/>
  <c r="BJ112" i="26" s="1"/>
  <c r="AP112" i="26" s="1"/>
  <c r="BG1060" i="26"/>
  <c r="BH1060" i="26" s="1"/>
  <c r="AO1060" i="26" s="1"/>
  <c r="BI304" i="26"/>
  <c r="BJ304" i="26" s="1"/>
  <c r="AP304" i="26" s="1"/>
  <c r="BG446" i="26"/>
  <c r="BH446" i="26" s="1"/>
  <c r="AO446" i="26" s="1"/>
  <c r="BI964" i="26"/>
  <c r="BJ964" i="26" s="1"/>
  <c r="BG656" i="26"/>
  <c r="BH656" i="26" s="1"/>
  <c r="AO656" i="26" s="1"/>
  <c r="BI917" i="26"/>
  <c r="BJ917" i="26" s="1"/>
  <c r="BG871" i="26"/>
  <c r="BH871" i="26" s="1"/>
  <c r="AO871" i="26" s="1"/>
  <c r="BI772" i="26"/>
  <c r="BJ772" i="26" s="1"/>
  <c r="AP772" i="26" s="1"/>
  <c r="BI541" i="26"/>
  <c r="BJ541" i="26" s="1"/>
  <c r="BI785" i="26"/>
  <c r="BJ785" i="26" s="1"/>
  <c r="BG410" i="26"/>
  <c r="BH410" i="26" s="1"/>
  <c r="AO410" i="26" s="1"/>
  <c r="BI540" i="26"/>
  <c r="BJ540" i="26" s="1"/>
  <c r="BI73" i="26"/>
  <c r="BJ73" i="26" s="1"/>
  <c r="AP73" i="26" s="1"/>
  <c r="BI662" i="26"/>
  <c r="BJ662" i="26" s="1"/>
  <c r="BI687" i="26"/>
  <c r="BJ687" i="26" s="1"/>
  <c r="BI353" i="26"/>
  <c r="BJ353" i="26" s="1"/>
  <c r="BI510" i="26"/>
  <c r="BJ510" i="26" s="1"/>
  <c r="BG1205" i="26"/>
  <c r="BH1205" i="26" s="1"/>
  <c r="AO1205" i="26" s="1"/>
  <c r="CB994" i="6"/>
  <c r="CC994" i="6" s="1"/>
  <c r="BI994" i="6" s="1"/>
  <c r="BG423" i="26"/>
  <c r="BH423" i="26" s="1"/>
  <c r="AO423" i="26" s="1"/>
  <c r="BG188" i="26"/>
  <c r="BH188" i="26" s="1"/>
  <c r="AO188" i="26" s="1"/>
  <c r="BI330" i="26"/>
  <c r="BJ330" i="26" s="1"/>
  <c r="BI72" i="26"/>
  <c r="BJ72" i="26" s="1"/>
  <c r="AP72" i="26" s="1"/>
  <c r="BG673" i="26"/>
  <c r="BH673" i="26" s="1"/>
  <c r="AO673" i="26" s="1"/>
  <c r="BI264" i="26"/>
  <c r="BJ264" i="26" s="1"/>
  <c r="BI373" i="26"/>
  <c r="BJ373" i="26" s="1"/>
  <c r="BI408" i="26"/>
  <c r="BJ408" i="26" s="1"/>
  <c r="CB237" i="6"/>
  <c r="CC237" i="6" s="1"/>
  <c r="BI237" i="6" s="1"/>
  <c r="AR237" i="6" s="1"/>
  <c r="BZ68" i="6"/>
  <c r="CA68" i="6" s="1"/>
  <c r="BI203" i="26"/>
  <c r="BJ203" i="26" s="1"/>
  <c r="BG22" i="26"/>
  <c r="BH22" i="26" s="1"/>
  <c r="AO22" i="26" s="1"/>
  <c r="CB333" i="6"/>
  <c r="CC333" i="6" s="1"/>
  <c r="BI333" i="6" s="1"/>
  <c r="BI138" i="26"/>
  <c r="BJ138" i="26" s="1"/>
  <c r="AP138" i="26" s="1"/>
  <c r="CB720" i="6"/>
  <c r="CC720" i="6" s="1"/>
  <c r="BI720" i="6" s="1"/>
  <c r="BG452" i="26"/>
  <c r="BH452" i="26" s="1"/>
  <c r="AO452" i="26" s="1"/>
  <c r="BG285" i="26"/>
  <c r="BH285" i="26" s="1"/>
  <c r="AO285" i="26" s="1"/>
  <c r="CB66" i="6"/>
  <c r="CC66" i="6" s="1"/>
  <c r="BI66" i="6" s="1"/>
  <c r="CB514" i="6"/>
  <c r="CC514" i="6" s="1"/>
  <c r="BI514" i="6" s="1"/>
  <c r="CB490" i="6"/>
  <c r="CC490" i="6" s="1"/>
  <c r="BI490" i="6" s="1"/>
  <c r="BI322" i="26"/>
  <c r="BJ322" i="26" s="1"/>
  <c r="BI814" i="26"/>
  <c r="BJ814" i="26" s="1"/>
  <c r="BI770" i="26"/>
  <c r="BJ770" i="26" s="1"/>
  <c r="BG694" i="26"/>
  <c r="BH694" i="26" s="1"/>
  <c r="AO694" i="26" s="1"/>
  <c r="BG512" i="26"/>
  <c r="BH512" i="26" s="1"/>
  <c r="AO512" i="26" s="1"/>
  <c r="BG132" i="26"/>
  <c r="BH132" i="26" s="1"/>
  <c r="AO132" i="26" s="1"/>
  <c r="BI776" i="26"/>
  <c r="BJ776" i="26" s="1"/>
  <c r="BG678" i="26"/>
  <c r="BH678" i="26" s="1"/>
  <c r="AO678" i="26" s="1"/>
  <c r="BG704" i="26"/>
  <c r="BH704" i="26" s="1"/>
  <c r="AO704" i="26" s="1"/>
  <c r="BG301" i="26"/>
  <c r="BH301" i="26" s="1"/>
  <c r="AO301" i="26" s="1"/>
  <c r="BZ70" i="6"/>
  <c r="CA70" i="6" s="1"/>
  <c r="BG156" i="26"/>
  <c r="BH156" i="26" s="1"/>
  <c r="AO156" i="26" s="1"/>
  <c r="BZ912" i="6"/>
  <c r="CA912" i="6" s="1"/>
  <c r="BG148" i="26"/>
  <c r="BH148" i="26" s="1"/>
  <c r="AO148" i="26" s="1"/>
  <c r="BG517" i="26"/>
  <c r="BH517" i="26" s="1"/>
  <c r="AO517" i="26" s="1"/>
  <c r="BZ38" i="6"/>
  <c r="CA38" i="6" s="1"/>
  <c r="BZ300" i="6"/>
  <c r="CA300" i="6" s="1"/>
  <c r="BZ323" i="6"/>
  <c r="CA323" i="6" s="1"/>
  <c r="BZ172" i="6"/>
  <c r="CA172" i="6" s="1"/>
  <c r="BI24" i="26"/>
  <c r="BJ24" i="26" s="1"/>
  <c r="AP24" i="26" s="1"/>
  <c r="CB1142" i="6"/>
  <c r="CC1142" i="6" s="1"/>
  <c r="BI74" i="26"/>
  <c r="BJ74" i="26" s="1"/>
  <c r="BG797" i="26"/>
  <c r="BH797" i="26" s="1"/>
  <c r="AO797" i="26" s="1"/>
  <c r="BI355" i="26"/>
  <c r="BJ355" i="26" s="1"/>
  <c r="AP355" i="26" s="1"/>
  <c r="BG647" i="26"/>
  <c r="BH647" i="26" s="1"/>
  <c r="AO647" i="26" s="1"/>
  <c r="BI950" i="26"/>
  <c r="BJ950" i="26" s="1"/>
  <c r="BI768" i="26"/>
  <c r="BJ768" i="26" s="1"/>
  <c r="AP768" i="26" s="1"/>
  <c r="BG1056" i="26"/>
  <c r="BH1056" i="26" s="1"/>
  <c r="AO1056" i="26" s="1"/>
  <c r="BZ1088" i="6"/>
  <c r="CA1088" i="6" s="1"/>
  <c r="BI312" i="26"/>
  <c r="BJ312" i="26" s="1"/>
  <c r="AP312" i="26" s="1"/>
  <c r="BZ1122" i="6"/>
  <c r="CA1122" i="6" s="1"/>
  <c r="BZ215" i="6"/>
  <c r="CA215" i="6" s="1"/>
  <c r="BG442" i="26"/>
  <c r="BH442" i="26" s="1"/>
  <c r="AO442" i="26" s="1"/>
  <c r="BI181" i="26"/>
  <c r="BJ181" i="26" s="1"/>
  <c r="AP181" i="26" s="1"/>
  <c r="CB287" i="6"/>
  <c r="CC287" i="6" s="1"/>
  <c r="BI287" i="6" s="1"/>
  <c r="CB56" i="6"/>
  <c r="CC56" i="6" s="1"/>
  <c r="BI56" i="6" s="1"/>
  <c r="CB1220" i="6"/>
  <c r="CC1220" i="6" s="1"/>
  <c r="BI1220" i="6" s="1"/>
  <c r="CB846" i="6"/>
  <c r="CC846" i="6" s="1"/>
  <c r="CB198" i="6"/>
  <c r="CC198" i="6" s="1"/>
  <c r="BI198" i="6" s="1"/>
  <c r="CB752" i="6"/>
  <c r="CC752" i="6" s="1"/>
  <c r="BI302" i="26"/>
  <c r="BJ302" i="26" s="1"/>
  <c r="BI317" i="26"/>
  <c r="BJ317" i="26" s="1"/>
  <c r="BI116" i="26"/>
  <c r="BJ116" i="26" s="1"/>
  <c r="AP116" i="26" s="1"/>
  <c r="BG166" i="26"/>
  <c r="BH166" i="26" s="1"/>
  <c r="AO166" i="26" s="1"/>
  <c r="BG658" i="26"/>
  <c r="BH658" i="26" s="1"/>
  <c r="AO658" i="26" s="1"/>
  <c r="BG829" i="26"/>
  <c r="BH829" i="26" s="1"/>
  <c r="AO829" i="26" s="1"/>
  <c r="BZ1132" i="6"/>
  <c r="CA1132" i="6" s="1"/>
  <c r="BI133" i="26"/>
  <c r="BJ133" i="26" s="1"/>
  <c r="AP133" i="26" s="1"/>
  <c r="BG169" i="26"/>
  <c r="BH169" i="26" s="1"/>
  <c r="AO169" i="26" s="1"/>
  <c r="BG224" i="26"/>
  <c r="BH224" i="26" s="1"/>
  <c r="AO224" i="26" s="1"/>
  <c r="BG745" i="26"/>
  <c r="BH745" i="26" s="1"/>
  <c r="AO745" i="26" s="1"/>
  <c r="BG297" i="26"/>
  <c r="BH297" i="26" s="1"/>
  <c r="AO297" i="26" s="1"/>
  <c r="BI50" i="26"/>
  <c r="BJ50" i="26" s="1"/>
  <c r="AP50" i="26" s="1"/>
  <c r="CB692" i="6"/>
  <c r="CC692" i="6" s="1"/>
  <c r="BZ441" i="6"/>
  <c r="CA441" i="6" s="1"/>
  <c r="CB608" i="6"/>
  <c r="CC608" i="6" s="1"/>
  <c r="BI608" i="6" s="1"/>
  <c r="BI765" i="26"/>
  <c r="BJ765" i="26" s="1"/>
  <c r="BI175" i="26"/>
  <c r="BJ175" i="26" s="1"/>
  <c r="AP175" i="26" s="1"/>
  <c r="BI67" i="26"/>
  <c r="BJ67" i="26" s="1"/>
  <c r="AP67" i="26" s="1"/>
  <c r="BG580" i="26"/>
  <c r="BH580" i="26" s="1"/>
  <c r="AO580" i="26" s="1"/>
  <c r="BG415" i="26"/>
  <c r="BH415" i="26" s="1"/>
  <c r="AO415" i="26" s="1"/>
  <c r="BG617" i="26"/>
  <c r="BH617" i="26" s="1"/>
  <c r="AO617" i="26" s="1"/>
  <c r="BZ494" i="6"/>
  <c r="CA494" i="6" s="1"/>
  <c r="BZ132" i="6"/>
  <c r="CA132" i="6" s="1"/>
  <c r="BI321" i="26"/>
  <c r="BJ321" i="26" s="1"/>
  <c r="BI1120" i="26"/>
  <c r="BJ1120" i="26" s="1"/>
  <c r="AP1120" i="26" s="1"/>
  <c r="BG614" i="26"/>
  <c r="BH614" i="26" s="1"/>
  <c r="AO614" i="26" s="1"/>
  <c r="BI866" i="26"/>
  <c r="BJ866" i="26" s="1"/>
  <c r="BG818" i="26"/>
  <c r="BH818" i="26" s="1"/>
  <c r="AO818" i="26" s="1"/>
  <c r="BG304" i="26"/>
  <c r="BH304" i="26" s="1"/>
  <c r="AO304" i="26" s="1"/>
  <c r="BG680" i="26"/>
  <c r="BH680" i="26" s="1"/>
  <c r="AO680" i="26" s="1"/>
  <c r="BI294" i="26"/>
  <c r="BJ294" i="26" s="1"/>
  <c r="BI318" i="26"/>
  <c r="BJ318" i="26" s="1"/>
  <c r="BI324" i="26"/>
  <c r="BJ324" i="26" s="1"/>
  <c r="BZ1233" i="6"/>
  <c r="CA1233" i="6" s="1"/>
  <c r="BZ144" i="6"/>
  <c r="CA144" i="6" s="1"/>
  <c r="BZ48" i="6"/>
  <c r="CA48" i="6" s="1"/>
  <c r="CB766" i="6"/>
  <c r="CC766" i="6" s="1"/>
  <c r="BI675" i="26"/>
  <c r="BJ675" i="26" s="1"/>
  <c r="BI150" i="26"/>
  <c r="BJ150" i="26" s="1"/>
  <c r="BG225" i="26"/>
  <c r="BH225" i="26" s="1"/>
  <c r="AO225" i="26" s="1"/>
  <c r="BI39" i="26"/>
  <c r="BJ39" i="26" s="1"/>
  <c r="AP39" i="26" s="1"/>
  <c r="BZ788" i="6"/>
  <c r="CA788" i="6" s="1"/>
  <c r="BI584" i="26"/>
  <c r="BJ584" i="26" s="1"/>
  <c r="BZ134" i="6"/>
  <c r="CA134" i="6" s="1"/>
  <c r="BI853" i="26"/>
  <c r="BJ853" i="26" s="1"/>
  <c r="BI187" i="26"/>
  <c r="BJ187" i="26" s="1"/>
  <c r="AP187" i="26" s="1"/>
  <c r="BI288" i="26"/>
  <c r="BJ288" i="26" s="1"/>
  <c r="BG309" i="26"/>
  <c r="BH309" i="26" s="1"/>
  <c r="AO309" i="26" s="1"/>
  <c r="BG457" i="26"/>
  <c r="BH457" i="26" s="1"/>
  <c r="AO457" i="26" s="1"/>
  <c r="BI543" i="26"/>
  <c r="BJ543" i="26" s="1"/>
  <c r="BI971" i="26"/>
  <c r="BJ971" i="26" s="1"/>
  <c r="BZ1136" i="6"/>
  <c r="CA1136" i="6" s="1"/>
  <c r="BG280" i="26"/>
  <c r="BH280" i="26" s="1"/>
  <c r="AO280" i="26" s="1"/>
  <c r="BZ453" i="6"/>
  <c r="CA453" i="6" s="1"/>
  <c r="BZ372" i="6"/>
  <c r="CA372" i="6" s="1"/>
  <c r="BG12" i="26"/>
  <c r="BH12" i="26" s="1"/>
  <c r="AO12" i="26" s="1"/>
  <c r="CB922" i="6"/>
  <c r="CC922" i="6" s="1"/>
  <c r="CB676" i="6"/>
  <c r="CC676" i="6" s="1"/>
  <c r="CB1082" i="6"/>
  <c r="CC1082" i="6" s="1"/>
  <c r="BI1082" i="6" s="1"/>
  <c r="AQ1082" i="6" s="1"/>
  <c r="CB160" i="6"/>
  <c r="CC160" i="6" s="1"/>
  <c r="BI160" i="6" s="1"/>
  <c r="BG586" i="26"/>
  <c r="BH586" i="26" s="1"/>
  <c r="AO586" i="26" s="1"/>
  <c r="BZ269" i="6"/>
  <c r="CA269" i="6" s="1"/>
  <c r="CB263" i="6"/>
  <c r="CC263" i="6" s="1"/>
  <c r="BI263" i="6" s="1"/>
  <c r="BG354" i="26"/>
  <c r="BH354" i="26" s="1"/>
  <c r="AO354" i="26" s="1"/>
  <c r="BG152" i="26"/>
  <c r="BH152" i="26" s="1"/>
  <c r="AO152" i="26" s="1"/>
  <c r="BG344" i="26"/>
  <c r="BH344" i="26" s="1"/>
  <c r="AO344" i="26" s="1"/>
  <c r="BI249" i="26"/>
  <c r="BJ249" i="26" s="1"/>
  <c r="BG990" i="26"/>
  <c r="BH990" i="26" s="1"/>
  <c r="AO990" i="26" s="1"/>
  <c r="BI1052" i="26"/>
  <c r="BJ1052" i="26" s="1"/>
  <c r="BG643" i="26"/>
  <c r="BH643" i="26" s="1"/>
  <c r="AO643" i="26" s="1"/>
  <c r="BG770" i="26"/>
  <c r="BH770" i="26" s="1"/>
  <c r="AO770" i="26" s="1"/>
  <c r="BG825" i="26"/>
  <c r="BH825" i="26" s="1"/>
  <c r="AO825" i="26" s="1"/>
  <c r="BG325" i="26"/>
  <c r="BH325" i="26" s="1"/>
  <c r="AO325" i="26" s="1"/>
  <c r="BG288" i="26"/>
  <c r="BH288" i="26" s="1"/>
  <c r="AO288" i="26" s="1"/>
  <c r="BG620" i="26"/>
  <c r="BH620" i="26" s="1"/>
  <c r="AO620" i="26" s="1"/>
  <c r="BZ883" i="6"/>
  <c r="CA883" i="6" s="1"/>
  <c r="BG227" i="26"/>
  <c r="BH227" i="26" s="1"/>
  <c r="AO227" i="26" s="1"/>
  <c r="BI762" i="26"/>
  <c r="BJ762" i="26" s="1"/>
  <c r="AP762" i="26" s="1"/>
  <c r="CB1078" i="6"/>
  <c r="CC1078" i="6" s="1"/>
  <c r="BI1078" i="6" s="1"/>
  <c r="CB404" i="6"/>
  <c r="CC404" i="6" s="1"/>
  <c r="BI404" i="6" s="1"/>
  <c r="CB572" i="6"/>
  <c r="CC572" i="6" s="1"/>
  <c r="BG554" i="26"/>
  <c r="BH554" i="26" s="1"/>
  <c r="AO554" i="26" s="1"/>
  <c r="BZ1112" i="6"/>
  <c r="CA1112" i="6" s="1"/>
  <c r="BZ247" i="6"/>
  <c r="CA247" i="6" s="1"/>
  <c r="BI162" i="26"/>
  <c r="BJ162" i="26" s="1"/>
  <c r="AP162" i="26" s="1"/>
  <c r="BZ900" i="6"/>
  <c r="CA900" i="6" s="1"/>
  <c r="CB982" i="6"/>
  <c r="CC982" i="6" s="1"/>
  <c r="BI982" i="6" s="1"/>
  <c r="BG605" i="26"/>
  <c r="BH605" i="26" s="1"/>
  <c r="AO605" i="26" s="1"/>
  <c r="BI105" i="26"/>
  <c r="BJ105" i="26" s="1"/>
  <c r="AP105" i="26" s="1"/>
  <c r="BI764" i="26"/>
  <c r="BJ764" i="26" s="1"/>
  <c r="BG721" i="26"/>
  <c r="BH721" i="26" s="1"/>
  <c r="AO721" i="26" s="1"/>
  <c r="BI839" i="26"/>
  <c r="BJ839" i="26" s="1"/>
  <c r="BG776" i="26"/>
  <c r="BH776" i="26" s="1"/>
  <c r="AO776" i="26" s="1"/>
  <c r="BI208" i="26"/>
  <c r="BJ208" i="26" s="1"/>
  <c r="AP208" i="26" s="1"/>
  <c r="BG377" i="26"/>
  <c r="BH377" i="26" s="1"/>
  <c r="AO377" i="26" s="1"/>
  <c r="BI546" i="26"/>
  <c r="BJ546" i="26" s="1"/>
  <c r="BG548" i="26"/>
  <c r="BH548" i="26" s="1"/>
  <c r="AO548" i="26" s="1"/>
  <c r="CB1258" i="6"/>
  <c r="CC1258" i="6" s="1"/>
  <c r="BI1258" i="6" s="1"/>
  <c r="BG508" i="26"/>
  <c r="BH508" i="26" s="1"/>
  <c r="AO508" i="26" s="1"/>
  <c r="CB98" i="6"/>
  <c r="CC98" i="6" s="1"/>
  <c r="BI98" i="6" s="1"/>
  <c r="CB714" i="6"/>
  <c r="CC714" i="6" s="1"/>
  <c r="CB885" i="6"/>
  <c r="CC885" i="6" s="1"/>
  <c r="BI620" i="26"/>
  <c r="BJ620" i="26" s="1"/>
  <c r="BI425" i="26"/>
  <c r="BJ425" i="26" s="1"/>
  <c r="BZ834" i="6"/>
  <c r="CA834" i="6" s="1"/>
  <c r="BG454" i="26"/>
  <c r="BH454" i="26" s="1"/>
  <c r="AO454" i="26" s="1"/>
  <c r="BG897" i="26"/>
  <c r="BH897" i="26" s="1"/>
  <c r="AO897" i="26" s="1"/>
  <c r="BG448" i="26"/>
  <c r="BH448" i="26" s="1"/>
  <c r="AO448" i="26" s="1"/>
  <c r="BG83" i="26"/>
  <c r="BH83" i="26" s="1"/>
  <c r="AO83" i="26" s="1"/>
  <c r="BG441" i="26"/>
  <c r="BH441" i="26" s="1"/>
  <c r="AO441" i="26" s="1"/>
  <c r="BI422" i="26"/>
  <c r="BJ422" i="26" s="1"/>
  <c r="BI252" i="26"/>
  <c r="BJ252" i="26" s="1"/>
  <c r="BG462" i="26"/>
  <c r="BH462" i="26" s="1"/>
  <c r="AO462" i="26" s="1"/>
  <c r="BI178" i="26"/>
  <c r="BJ178" i="26" s="1"/>
  <c r="AP178" i="26" s="1"/>
  <c r="BG247" i="26"/>
  <c r="BH247" i="26" s="1"/>
  <c r="AO247" i="26" s="1"/>
  <c r="BG88" i="26"/>
  <c r="BH88" i="26" s="1"/>
  <c r="AO88" i="26" s="1"/>
  <c r="BI333" i="26"/>
  <c r="BJ333" i="26" s="1"/>
  <c r="BI146" i="26"/>
  <c r="BJ146" i="26" s="1"/>
  <c r="BZ1208" i="6"/>
  <c r="CA1208" i="6" s="1"/>
  <c r="CB408" i="6"/>
  <c r="CC408" i="6" s="1"/>
  <c r="BI408" i="6" s="1"/>
  <c r="CB455" i="6"/>
  <c r="CC455" i="6" s="1"/>
  <c r="BI455" i="6" s="1"/>
  <c r="CB349" i="6"/>
  <c r="CC349" i="6" s="1"/>
  <c r="BI349" i="6" s="1"/>
  <c r="BI236" i="26"/>
  <c r="BJ236" i="26" s="1"/>
  <c r="CB652" i="6"/>
  <c r="CC652" i="6" s="1"/>
  <c r="BI652" i="6" s="1"/>
  <c r="BG338" i="26"/>
  <c r="BH338" i="26" s="1"/>
  <c r="AO338" i="26" s="1"/>
  <c r="BG362" i="26"/>
  <c r="BH362" i="26" s="1"/>
  <c r="AO362" i="26" s="1"/>
  <c r="CB148" i="6"/>
  <c r="CC148" i="6" s="1"/>
  <c r="BI148" i="6" s="1"/>
  <c r="BZ1142" i="6"/>
  <c r="CA1142" i="6" s="1"/>
  <c r="CB801" i="6"/>
  <c r="CC801" i="6" s="1"/>
  <c r="BI801" i="6" s="1"/>
  <c r="BG1125" i="26"/>
  <c r="BH1125" i="26" s="1"/>
  <c r="AO1125" i="26" s="1"/>
  <c r="BI441" i="26"/>
  <c r="BJ441" i="26" s="1"/>
  <c r="AP441" i="26" s="1"/>
  <c r="BG125" i="26"/>
  <c r="BH125" i="26" s="1"/>
  <c r="AO125" i="26" s="1"/>
  <c r="BI751" i="26"/>
  <c r="BJ751" i="26" s="1"/>
  <c r="BG767" i="26"/>
  <c r="BH767" i="26" s="1"/>
  <c r="AO767" i="26" s="1"/>
  <c r="BG82" i="26"/>
  <c r="BH82" i="26" s="1"/>
  <c r="AO82" i="26" s="1"/>
  <c r="BI1004" i="26"/>
  <c r="BJ1004" i="26" s="1"/>
  <c r="BG68" i="26"/>
  <c r="BH68" i="26" s="1"/>
  <c r="AO68" i="26" s="1"/>
  <c r="BI709" i="26"/>
  <c r="BJ709" i="26" s="1"/>
  <c r="CB114" i="6"/>
  <c r="CC114" i="6" s="1"/>
  <c r="BI114" i="6" s="1"/>
  <c r="BZ810" i="6"/>
  <c r="CA810" i="6" s="1"/>
  <c r="CB267" i="6"/>
  <c r="CC267" i="6" s="1"/>
  <c r="CB310" i="6"/>
  <c r="CC310" i="6" s="1"/>
  <c r="BI310" i="6" s="1"/>
  <c r="CB707" i="6"/>
  <c r="CC707" i="6" s="1"/>
  <c r="BI592" i="26"/>
  <c r="BJ592" i="26" s="1"/>
  <c r="CB938" i="6"/>
  <c r="CC938" i="6" s="1"/>
  <c r="BG619" i="26"/>
  <c r="BH619" i="26" s="1"/>
  <c r="AO619" i="26" s="1"/>
  <c r="BZ1220" i="6"/>
  <c r="CA1220" i="6" s="1"/>
  <c r="BZ570" i="6"/>
  <c r="CA570" i="6" s="1"/>
  <c r="BG352" i="26"/>
  <c r="BH352" i="26" s="1"/>
  <c r="AO352" i="26" s="1"/>
  <c r="BG223" i="26"/>
  <c r="BH223" i="26" s="1"/>
  <c r="AO223" i="26" s="1"/>
  <c r="BI726" i="26"/>
  <c r="BJ726" i="26" s="1"/>
  <c r="BG272" i="26"/>
  <c r="BH272" i="26" s="1"/>
  <c r="AO272" i="26" s="1"/>
  <c r="BI46" i="26"/>
  <c r="BJ46" i="26" s="1"/>
  <c r="AP46" i="26" s="1"/>
  <c r="BG890" i="26"/>
  <c r="BH890" i="26" s="1"/>
  <c r="AO890" i="26" s="1"/>
  <c r="BG386" i="26"/>
  <c r="BH386" i="26" s="1"/>
  <c r="AO386" i="26" s="1"/>
  <c r="BI653" i="26"/>
  <c r="BJ653" i="26" s="1"/>
  <c r="BG565" i="26"/>
  <c r="BH565" i="26" s="1"/>
  <c r="AO565" i="26" s="1"/>
  <c r="BG438" i="26"/>
  <c r="BH438" i="26" s="1"/>
  <c r="AO438" i="26" s="1"/>
  <c r="BI508" i="26"/>
  <c r="BJ508" i="26" s="1"/>
  <c r="BI279" i="26"/>
  <c r="BJ279" i="26" s="1"/>
  <c r="CB347" i="6"/>
  <c r="CC347" i="6" s="1"/>
  <c r="BI347" i="6" s="1"/>
  <c r="BI278" i="26"/>
  <c r="BJ278" i="26" s="1"/>
  <c r="CB580" i="6"/>
  <c r="CC580" i="6" s="1"/>
  <c r="BI580" i="6" s="1"/>
  <c r="BZ1216" i="6"/>
  <c r="CA1216" i="6" s="1"/>
  <c r="BZ1261" i="6"/>
  <c r="CA1261" i="6" s="1"/>
  <c r="BZ918" i="6"/>
  <c r="CA918" i="6" s="1"/>
  <c r="BZ302" i="6"/>
  <c r="CA302" i="6" s="1"/>
  <c r="BI633" i="26"/>
  <c r="BJ633" i="26" s="1"/>
  <c r="CB391" i="6"/>
  <c r="CC391" i="6" s="1"/>
  <c r="BI391" i="6" s="1"/>
  <c r="BI1190" i="26"/>
  <c r="BJ1190" i="26" s="1"/>
  <c r="BI85" i="26"/>
  <c r="BJ85" i="26" s="1"/>
  <c r="AP85" i="26" s="1"/>
  <c r="BI18" i="26"/>
  <c r="BJ18" i="26" s="1"/>
  <c r="AP18" i="26" s="1"/>
  <c r="BI752" i="26"/>
  <c r="BJ752" i="26" s="1"/>
  <c r="BG73" i="26"/>
  <c r="BH73" i="26" s="1"/>
  <c r="AO73" i="26" s="1"/>
  <c r="BG64" i="26"/>
  <c r="BH64" i="26" s="1"/>
  <c r="AO64" i="26" s="1"/>
  <c r="BI1110" i="26"/>
  <c r="BJ1110" i="26" s="1"/>
  <c r="AP1110" i="26" s="1"/>
  <c r="BG110" i="26"/>
  <c r="BH110" i="26" s="1"/>
  <c r="AO110" i="26" s="1"/>
  <c r="BI382" i="26"/>
  <c r="BJ382" i="26" s="1"/>
  <c r="BG962" i="26"/>
  <c r="BH962" i="26" s="1"/>
  <c r="AO962" i="26" s="1"/>
  <c r="BG728" i="26"/>
  <c r="BH728" i="26" s="1"/>
  <c r="AO728" i="26" s="1"/>
  <c r="BG335" i="26"/>
  <c r="BH335" i="26" s="1"/>
  <c r="AO335" i="26" s="1"/>
  <c r="CB459" i="6"/>
  <c r="CC459" i="6" s="1"/>
  <c r="CB395" i="6"/>
  <c r="CC395" i="6" s="1"/>
  <c r="BI671" i="26"/>
  <c r="BJ671" i="26" s="1"/>
  <c r="BZ1218" i="6"/>
  <c r="CA1218" i="6" s="1"/>
  <c r="BZ1118" i="6"/>
  <c r="CA1118" i="6" s="1"/>
  <c r="BZ798" i="6"/>
  <c r="CA798" i="6" s="1"/>
  <c r="BZ406" i="6"/>
  <c r="CA406" i="6" s="1"/>
  <c r="BG358" i="26"/>
  <c r="BH358" i="26" s="1"/>
  <c r="AO358" i="26" s="1"/>
  <c r="CB800" i="6"/>
  <c r="CC800" i="6" s="1"/>
  <c r="CB1114" i="6"/>
  <c r="CC1114" i="6" s="1"/>
  <c r="BI656" i="26"/>
  <c r="BJ656" i="26" s="1"/>
  <c r="BG401" i="26"/>
  <c r="BH401" i="26" s="1"/>
  <c r="AO401" i="26" s="1"/>
  <c r="BZ734" i="6"/>
  <c r="CA734" i="6" s="1"/>
  <c r="BI720" i="26"/>
  <c r="BJ720" i="26" s="1"/>
  <c r="AP720" i="26" s="1"/>
  <c r="BI235" i="26"/>
  <c r="BJ235" i="26" s="1"/>
  <c r="AP235" i="26" s="1"/>
  <c r="BI1020" i="26"/>
  <c r="BJ1020" i="26" s="1"/>
  <c r="BG171" i="26"/>
  <c r="BH171" i="26" s="1"/>
  <c r="AO171" i="26" s="1"/>
  <c r="BI473" i="26"/>
  <c r="BJ473" i="26" s="1"/>
  <c r="BG1115" i="26"/>
  <c r="BH1115" i="26" s="1"/>
  <c r="AO1115" i="26" s="1"/>
  <c r="BI487" i="26"/>
  <c r="BJ487" i="26" s="1"/>
  <c r="BG439" i="26"/>
  <c r="BH439" i="26" s="1"/>
  <c r="AO439" i="26" s="1"/>
  <c r="BI269" i="26"/>
  <c r="BJ269" i="26" s="1"/>
  <c r="CB58" i="6"/>
  <c r="CC58" i="6" s="1"/>
  <c r="BI58" i="6" s="1"/>
  <c r="BZ792" i="6"/>
  <c r="CA792" i="6" s="1"/>
  <c r="BZ846" i="6"/>
  <c r="CA846" i="6" s="1"/>
  <c r="BZ982" i="6"/>
  <c r="CA982" i="6" s="1"/>
  <c r="CB916" i="6"/>
  <c r="CC916" i="6" s="1"/>
  <c r="BI916" i="6" s="1"/>
  <c r="BG9" i="26"/>
  <c r="BH9" i="26" s="1"/>
  <c r="CB584" i="6"/>
  <c r="CC584" i="6" s="1"/>
  <c r="BI584" i="6" s="1"/>
  <c r="BI655" i="26"/>
  <c r="BJ655" i="26" s="1"/>
  <c r="CB1198" i="6"/>
  <c r="CC1198" i="6" s="1"/>
  <c r="BI1198" i="6" s="1"/>
  <c r="CB152" i="6"/>
  <c r="CC152" i="6" s="1"/>
  <c r="BI152" i="6" s="1"/>
  <c r="BZ670" i="6"/>
  <c r="CA670" i="6" s="1"/>
  <c r="BG1118" i="26"/>
  <c r="BH1118" i="26" s="1"/>
  <c r="AO1118" i="26" s="1"/>
  <c r="BI1140" i="26"/>
  <c r="BJ1140" i="26" s="1"/>
  <c r="AP1140" i="26" s="1"/>
  <c r="BI475" i="26"/>
  <c r="BJ475" i="26" s="1"/>
  <c r="BI448" i="26"/>
  <c r="BJ448" i="26" s="1"/>
  <c r="BI586" i="26"/>
  <c r="BJ586" i="26" s="1"/>
  <c r="BG590" i="26"/>
  <c r="BH590" i="26" s="1"/>
  <c r="AO590" i="26" s="1"/>
  <c r="BI891" i="26"/>
  <c r="BJ891" i="26" s="1"/>
  <c r="CB1094" i="6"/>
  <c r="CC1094" i="6" s="1"/>
  <c r="BI545" i="26"/>
  <c r="BJ545" i="26" s="1"/>
  <c r="BZ1210" i="6"/>
  <c r="CA1210" i="6" s="1"/>
  <c r="BZ830" i="6"/>
  <c r="CA830" i="6" s="1"/>
  <c r="BG592" i="26"/>
  <c r="BH592" i="26" s="1"/>
  <c r="AO592" i="26" s="1"/>
  <c r="CB227" i="6"/>
  <c r="CC227" i="6" s="1"/>
  <c r="BI227" i="6" s="1"/>
  <c r="BZ255" i="6"/>
  <c r="CA255" i="6" s="1"/>
  <c r="BI66" i="26"/>
  <c r="BJ66" i="26" s="1"/>
  <c r="AP66" i="26" s="1"/>
  <c r="BZ805" i="6"/>
  <c r="CA805" i="6" s="1"/>
  <c r="BG168" i="26"/>
  <c r="BH168" i="26" s="1"/>
  <c r="AO168" i="26" s="1"/>
  <c r="BI414" i="26"/>
  <c r="BJ414" i="26" s="1"/>
  <c r="BZ54" i="6"/>
  <c r="CA54" i="6" s="1"/>
  <c r="BI113" i="26"/>
  <c r="BJ113" i="26" s="1"/>
  <c r="AP113" i="26" s="1"/>
  <c r="BZ469" i="6"/>
  <c r="CA469" i="6" s="1"/>
  <c r="BI106" i="26"/>
  <c r="BJ106" i="26" s="1"/>
  <c r="AP106" i="26" s="1"/>
  <c r="BI172" i="26"/>
  <c r="BJ172" i="26" s="1"/>
  <c r="AP172" i="26" s="1"/>
  <c r="BG608" i="26"/>
  <c r="BH608" i="26" s="1"/>
  <c r="AO608" i="26" s="1"/>
  <c r="BI792" i="26"/>
  <c r="BJ792" i="26" s="1"/>
  <c r="BI575" i="26"/>
  <c r="BJ575" i="26" s="1"/>
  <c r="BI451" i="26"/>
  <c r="BJ451" i="26" s="1"/>
  <c r="BI261" i="26"/>
  <c r="BJ261" i="26" s="1"/>
  <c r="BG388" i="26"/>
  <c r="BH388" i="26" s="1"/>
  <c r="AO388" i="26" s="1"/>
  <c r="BZ998" i="6"/>
  <c r="CA998" i="6" s="1"/>
  <c r="CB706" i="6"/>
  <c r="CC706" i="6" s="1"/>
  <c r="BI142" i="26"/>
  <c r="BJ142" i="26" s="1"/>
  <c r="AP142" i="26" s="1"/>
  <c r="BI287" i="26"/>
  <c r="BJ287" i="26" s="1"/>
  <c r="BG146" i="26"/>
  <c r="BH146" i="26" s="1"/>
  <c r="AO146" i="26" s="1"/>
  <c r="CB118" i="6"/>
  <c r="CC118" i="6" s="1"/>
  <c r="BI118" i="6" s="1"/>
  <c r="BZ922" i="6"/>
  <c r="CA922" i="6" s="1"/>
  <c r="BZ213" i="6"/>
  <c r="CA213" i="6" s="1"/>
  <c r="BI492" i="26"/>
  <c r="BJ492" i="26" s="1"/>
  <c r="BI12" i="26"/>
  <c r="BJ12" i="26" s="1"/>
  <c r="AP12" i="26" s="1"/>
  <c r="CB604" i="6"/>
  <c r="CC604" i="6" s="1"/>
  <c r="BI604" i="6" s="1"/>
  <c r="BG616" i="26"/>
  <c r="BH616" i="26" s="1"/>
  <c r="AO616" i="26" s="1"/>
  <c r="BG159" i="26"/>
  <c r="BH159" i="26" s="1"/>
  <c r="AO159" i="26" s="1"/>
  <c r="CB1100" i="6"/>
  <c r="CC1100" i="6" s="1"/>
  <c r="BG1162" i="26"/>
  <c r="BH1162" i="26" s="1"/>
  <c r="AO1162" i="26" s="1"/>
  <c r="BI196" i="26"/>
  <c r="BJ196" i="26" s="1"/>
  <c r="AP196" i="26" s="1"/>
  <c r="BG982" i="26"/>
  <c r="BH982" i="26" s="1"/>
  <c r="AO982" i="26" s="1"/>
  <c r="BG917" i="26"/>
  <c r="BH917" i="26" s="1"/>
  <c r="AO917" i="26" s="1"/>
  <c r="BZ988" i="6"/>
  <c r="CA988" i="6" s="1"/>
  <c r="BI641" i="26"/>
  <c r="BJ641" i="26" s="1"/>
  <c r="BG322" i="26"/>
  <c r="BH322" i="26" s="1"/>
  <c r="AO322" i="26" s="1"/>
  <c r="BI591" i="26"/>
  <c r="BJ591" i="26" s="1"/>
  <c r="BZ904" i="6"/>
  <c r="CA904" i="6" s="1"/>
  <c r="BZ797" i="6"/>
  <c r="CA797" i="6" s="1"/>
  <c r="BG488" i="26"/>
  <c r="BH488" i="26" s="1"/>
  <c r="AO488" i="26" s="1"/>
  <c r="BI500" i="26"/>
  <c r="BJ500" i="26" s="1"/>
  <c r="CB562" i="6"/>
  <c r="CC562" i="6" s="1"/>
  <c r="BI562" i="6" s="1"/>
  <c r="BG340" i="26"/>
  <c r="BH340" i="26" s="1"/>
  <c r="AO340" i="26" s="1"/>
  <c r="CB218" i="6"/>
  <c r="CC218" i="6" s="1"/>
  <c r="BI218" i="6" s="1"/>
  <c r="CB1170" i="6"/>
  <c r="CC1170" i="6" s="1"/>
  <c r="BI1170" i="6" s="1"/>
  <c r="CB1128" i="6"/>
  <c r="CC1128" i="6" s="1"/>
  <c r="BI1128" i="6" s="1"/>
  <c r="AQ1128" i="6" s="1"/>
  <c r="BZ875" i="6"/>
  <c r="CA875" i="6" s="1"/>
  <c r="BI1131" i="26"/>
  <c r="BJ1131" i="26" s="1"/>
  <c r="AP1131" i="26" s="1"/>
  <c r="BG772" i="26"/>
  <c r="BH772" i="26" s="1"/>
  <c r="AO772" i="26" s="1"/>
  <c r="BI558" i="26"/>
  <c r="BJ558" i="26" s="1"/>
  <c r="BG1058" i="26"/>
  <c r="BH1058" i="26" s="1"/>
  <c r="AO1058" i="26" s="1"/>
  <c r="BG822" i="26"/>
  <c r="BH822" i="26" s="1"/>
  <c r="AO822" i="26" s="1"/>
  <c r="BG196" i="26"/>
  <c r="BH196" i="26" s="1"/>
  <c r="AO196" i="26" s="1"/>
  <c r="BI892" i="26"/>
  <c r="BJ892" i="26" s="1"/>
  <c r="BI791" i="26"/>
  <c r="BJ791" i="26" s="1"/>
  <c r="BI1176" i="26"/>
  <c r="BJ1176" i="26" s="1"/>
  <c r="BG486" i="26"/>
  <c r="BH486" i="26" s="1"/>
  <c r="AO486" i="26" s="1"/>
  <c r="BG806" i="26"/>
  <c r="BH806" i="26" s="1"/>
  <c r="AO806" i="26" s="1"/>
  <c r="BG198" i="26"/>
  <c r="BH198" i="26" s="1"/>
  <c r="AO198" i="26" s="1"/>
  <c r="BG820" i="26"/>
  <c r="BH820" i="26" s="1"/>
  <c r="AO820" i="26" s="1"/>
  <c r="BZ780" i="6"/>
  <c r="CA780" i="6" s="1"/>
  <c r="BI757" i="26"/>
  <c r="BJ757" i="26" s="1"/>
  <c r="AP757" i="26" s="1"/>
  <c r="CB172" i="6"/>
  <c r="CC172" i="6" s="1"/>
  <c r="BI172" i="6" s="1"/>
  <c r="BG472" i="26"/>
  <c r="BH472" i="26" s="1"/>
  <c r="AO472" i="26" s="1"/>
  <c r="BI478" i="26"/>
  <c r="BJ478" i="26" s="1"/>
  <c r="CB864" i="6"/>
  <c r="CC864" i="6" s="1"/>
  <c r="BG97" i="26"/>
  <c r="BH97" i="26" s="1"/>
  <c r="AO97" i="26" s="1"/>
  <c r="BG650" i="26"/>
  <c r="BH650" i="26" s="1"/>
  <c r="AO650" i="26" s="1"/>
  <c r="CB780" i="6"/>
  <c r="CC780" i="6" s="1"/>
  <c r="CB887" i="6"/>
  <c r="CC887" i="6" s="1"/>
  <c r="BZ218" i="6"/>
  <c r="CA218" i="6" s="1"/>
  <c r="BI139" i="26"/>
  <c r="BJ139" i="26" s="1"/>
  <c r="AP139" i="26" s="1"/>
  <c r="BZ994" i="6"/>
  <c r="CA994" i="6" s="1"/>
  <c r="BG730" i="26"/>
  <c r="BH730" i="26" s="1"/>
  <c r="AO730" i="26" s="1"/>
  <c r="BI897" i="26"/>
  <c r="BJ897" i="26" s="1"/>
  <c r="BI659" i="26"/>
  <c r="BJ659" i="26" s="1"/>
  <c r="BI442" i="26"/>
  <c r="BJ442" i="26" s="1"/>
  <c r="AP442" i="26" s="1"/>
  <c r="BG535" i="26"/>
  <c r="BH535" i="26" s="1"/>
  <c r="AO535" i="26" s="1"/>
  <c r="BG264" i="26"/>
  <c r="BH264" i="26" s="1"/>
  <c r="AO264" i="26" s="1"/>
  <c r="BG244" i="26"/>
  <c r="BH244" i="26" s="1"/>
  <c r="AO244" i="26" s="1"/>
  <c r="BZ1140" i="6"/>
  <c r="CA1140" i="6" s="1"/>
  <c r="CB314" i="6"/>
  <c r="CC314" i="6" s="1"/>
  <c r="BI314" i="6" s="1"/>
  <c r="BG203" i="26"/>
  <c r="BH203" i="26" s="1"/>
  <c r="AO203" i="26" s="1"/>
  <c r="BG29" i="26"/>
  <c r="BH29" i="26" s="1"/>
  <c r="AO29" i="26" s="1"/>
  <c r="BZ690" i="6"/>
  <c r="CA690" i="6" s="1"/>
  <c r="BZ341" i="6"/>
  <c r="CA341" i="6" s="1"/>
  <c r="BZ477" i="6"/>
  <c r="CA477" i="6" s="1"/>
  <c r="BI556" i="26"/>
  <c r="BJ556" i="26" s="1"/>
  <c r="BZ389" i="6"/>
  <c r="CA389" i="6" s="1"/>
  <c r="CB682" i="6"/>
  <c r="CC682" i="6" s="1"/>
  <c r="CB304" i="6"/>
  <c r="CC304" i="6" s="1"/>
  <c r="BI304" i="6" s="1"/>
  <c r="CB558" i="6"/>
  <c r="CC558" i="6" s="1"/>
  <c r="BI558" i="6" s="1"/>
  <c r="BI88" i="26"/>
  <c r="BJ88" i="26" s="1"/>
  <c r="AP88" i="26" s="1"/>
  <c r="BG1165" i="26"/>
  <c r="BH1165" i="26" s="1"/>
  <c r="AO1165" i="26" s="1"/>
  <c r="BI789" i="26"/>
  <c r="BJ789" i="26" s="1"/>
  <c r="BI597" i="26"/>
  <c r="BJ597" i="26" s="1"/>
  <c r="BI471" i="26"/>
  <c r="BJ471" i="26" s="1"/>
  <c r="AP471" i="26" s="1"/>
  <c r="BI773" i="26"/>
  <c r="BJ773" i="26" s="1"/>
  <c r="BG485" i="26"/>
  <c r="BH485" i="26" s="1"/>
  <c r="AO485" i="26" s="1"/>
  <c r="BI83" i="26"/>
  <c r="BJ83" i="26" s="1"/>
  <c r="AP83" i="26" s="1"/>
  <c r="BG793" i="26"/>
  <c r="BH793" i="26" s="1"/>
  <c r="AO793" i="26" s="1"/>
  <c r="BZ952" i="6"/>
  <c r="CA952" i="6" s="1"/>
  <c r="BZ383" i="6"/>
  <c r="CA383" i="6" s="1"/>
  <c r="BI97" i="26"/>
  <c r="BJ97" i="26" s="1"/>
  <c r="AP97" i="26" s="1"/>
  <c r="BI603" i="26"/>
  <c r="BJ603" i="26" s="1"/>
  <c r="BZ640" i="6"/>
  <c r="CA640" i="6" s="1"/>
  <c r="BZ471" i="6"/>
  <c r="CA471" i="6" s="1"/>
  <c r="CB318" i="6"/>
  <c r="CC318" i="6" s="1"/>
  <c r="BI318" i="6" s="1"/>
  <c r="CB225" i="6"/>
  <c r="CC225" i="6" s="1"/>
  <c r="BI225" i="6" s="1"/>
  <c r="CB948" i="6"/>
  <c r="CC948" i="6" s="1"/>
  <c r="CB912" i="6"/>
  <c r="CC912" i="6" s="1"/>
  <c r="BG333" i="26"/>
  <c r="BH333" i="26" s="1"/>
  <c r="AO333" i="26" s="1"/>
  <c r="BG186" i="26"/>
  <c r="BH186" i="26" s="1"/>
  <c r="AO186" i="26" s="1"/>
  <c r="BI274" i="26"/>
  <c r="BJ274" i="26" s="1"/>
  <c r="AP274" i="26" s="1"/>
  <c r="BI1208" i="26"/>
  <c r="BJ1208" i="26" s="1"/>
  <c r="BG587" i="26"/>
  <c r="BH587" i="26" s="1"/>
  <c r="AO587" i="26" s="1"/>
  <c r="BI811" i="26"/>
  <c r="BJ811" i="26" s="1"/>
  <c r="BG98" i="26"/>
  <c r="BH98" i="26" s="1"/>
  <c r="AO98" i="26" s="1"/>
  <c r="BI485" i="26"/>
  <c r="BJ485" i="26" s="1"/>
  <c r="BI915" i="26"/>
  <c r="BJ915" i="26" s="1"/>
  <c r="BG534" i="26"/>
  <c r="BH534" i="26" s="1"/>
  <c r="AO534" i="26" s="1"/>
  <c r="BG628" i="26"/>
  <c r="BH628" i="26" s="1"/>
  <c r="AO628" i="26" s="1"/>
  <c r="BZ368" i="6"/>
  <c r="CA368" i="6" s="1"/>
  <c r="BZ888" i="6"/>
  <c r="CA888" i="6" s="1"/>
  <c r="BI93" i="26"/>
  <c r="BJ93" i="26" s="1"/>
  <c r="AP93" i="26" s="1"/>
  <c r="CB24" i="6"/>
  <c r="CC24" i="6" s="1"/>
  <c r="BI24" i="6" s="1"/>
  <c r="BZ1056" i="6"/>
  <c r="CA1056" i="6" s="1"/>
  <c r="BZ28" i="6"/>
  <c r="CA28" i="6" s="1"/>
  <c r="BZ220" i="6"/>
  <c r="CA220" i="6" s="1"/>
  <c r="CB601" i="6"/>
  <c r="CC601" i="6" s="1"/>
  <c r="BI601" i="6" s="1"/>
  <c r="CB473" i="6"/>
  <c r="CC473" i="6" s="1"/>
  <c r="BI473" i="6" s="1"/>
  <c r="CB603" i="6"/>
  <c r="CC603" i="6" s="1"/>
  <c r="BG360" i="26"/>
  <c r="BH360" i="26" s="1"/>
  <c r="AO360" i="26" s="1"/>
  <c r="BG525" i="26"/>
  <c r="BH525" i="26" s="1"/>
  <c r="AO525" i="26" s="1"/>
  <c r="BI746" i="26"/>
  <c r="BJ746" i="26" s="1"/>
  <c r="BG814" i="26"/>
  <c r="BH814" i="26" s="1"/>
  <c r="AO814" i="26" s="1"/>
  <c r="BI758" i="26"/>
  <c r="BJ758" i="26" s="1"/>
  <c r="BI760" i="26"/>
  <c r="BJ760" i="26" s="1"/>
  <c r="AP760" i="26" s="1"/>
  <c r="BI565" i="26"/>
  <c r="BJ565" i="26" s="1"/>
  <c r="BG384" i="26"/>
  <c r="BH384" i="26" s="1"/>
  <c r="AO384" i="26" s="1"/>
  <c r="BG785" i="26"/>
  <c r="BH785" i="26" s="1"/>
  <c r="AO785" i="26" s="1"/>
  <c r="BI125" i="26"/>
  <c r="BJ125" i="26" s="1"/>
  <c r="AP125" i="26" s="1"/>
  <c r="BI393" i="26"/>
  <c r="BJ393" i="26" s="1"/>
  <c r="AP393" i="26" s="1"/>
  <c r="BI248" i="26"/>
  <c r="BJ248" i="26" s="1"/>
  <c r="BI348" i="26"/>
  <c r="BJ348" i="26" s="1"/>
  <c r="CB140" i="6"/>
  <c r="CC140" i="6" s="1"/>
  <c r="BI140" i="6" s="1"/>
  <c r="BI36" i="26"/>
  <c r="BJ36" i="26" s="1"/>
  <c r="AP36" i="26" s="1"/>
  <c r="CB223" i="6"/>
  <c r="CC223" i="6" s="1"/>
  <c r="BI223" i="6" s="1"/>
  <c r="BG434" i="26"/>
  <c r="BH434" i="26" s="1"/>
  <c r="AO434" i="26" s="1"/>
  <c r="BI433" i="26"/>
  <c r="BJ433" i="26" s="1"/>
  <c r="BZ646" i="6"/>
  <c r="CA646" i="6" s="1"/>
  <c r="BZ436" i="6"/>
  <c r="CA436" i="6" s="1"/>
  <c r="BG239" i="26"/>
  <c r="BH239" i="26" s="1"/>
  <c r="AO239" i="26" s="1"/>
  <c r="BZ652" i="6"/>
  <c r="CA652" i="6" s="1"/>
  <c r="BG413" i="26"/>
  <c r="BH413" i="26" s="1"/>
  <c r="AO413" i="26" s="1"/>
  <c r="BI137" i="26"/>
  <c r="BJ137" i="26" s="1"/>
  <c r="BI703" i="26"/>
  <c r="BJ703" i="26" s="1"/>
  <c r="BG161" i="26"/>
  <c r="BH161" i="26" s="1"/>
  <c r="AO161" i="26" s="1"/>
  <c r="BI639" i="26"/>
  <c r="BJ639" i="26" s="1"/>
  <c r="BI585" i="26"/>
  <c r="BJ585" i="26" s="1"/>
  <c r="BI323" i="26"/>
  <c r="BJ323" i="26" s="1"/>
  <c r="BI635" i="26"/>
  <c r="BJ635" i="26" s="1"/>
  <c r="BG514" i="26"/>
  <c r="BH514" i="26" s="1"/>
  <c r="AO514" i="26" s="1"/>
  <c r="BZ992" i="6"/>
  <c r="CA992" i="6" s="1"/>
  <c r="BZ393" i="6"/>
  <c r="CA393" i="6" s="1"/>
  <c r="BZ381" i="6"/>
  <c r="CA381" i="6" s="1"/>
  <c r="CB670" i="6"/>
  <c r="CC670" i="6" s="1"/>
  <c r="BZ271" i="6"/>
  <c r="CA271" i="6" s="1"/>
  <c r="CB497" i="6"/>
  <c r="CC497" i="6" s="1"/>
  <c r="BI497" i="6" s="1"/>
  <c r="BG837" i="26"/>
  <c r="BH837" i="26" s="1"/>
  <c r="AO837" i="26" s="1"/>
  <c r="BZ942" i="6"/>
  <c r="CA942" i="6" s="1"/>
  <c r="BZ1253" i="6"/>
  <c r="CA1253" i="6" s="1"/>
  <c r="CB1076" i="6"/>
  <c r="CC1076" i="6" s="1"/>
  <c r="BI1076" i="6" s="1"/>
  <c r="CB1017" i="6"/>
  <c r="CC1017" i="6" s="1"/>
  <c r="BI1017" i="6" s="1"/>
  <c r="BZ572" i="6"/>
  <c r="CA572" i="6" s="1"/>
  <c r="BZ243" i="6"/>
  <c r="CA243" i="6" s="1"/>
  <c r="CB358" i="6"/>
  <c r="CC358" i="6" s="1"/>
  <c r="BI358" i="6" s="1"/>
  <c r="BI94" i="26"/>
  <c r="BJ94" i="26" s="1"/>
  <c r="AP94" i="26" s="1"/>
  <c r="BI904" i="26"/>
  <c r="BJ904" i="26" s="1"/>
  <c r="BG686" i="26"/>
  <c r="BH686" i="26" s="1"/>
  <c r="AO686" i="26" s="1"/>
  <c r="BI1129" i="26"/>
  <c r="BJ1129" i="26" s="1"/>
  <c r="BI447" i="26"/>
  <c r="BJ447" i="26" s="1"/>
  <c r="BI457" i="26"/>
  <c r="BJ457" i="26" s="1"/>
  <c r="AP457" i="26" s="1"/>
  <c r="BI166" i="26"/>
  <c r="BJ166" i="26" s="1"/>
  <c r="AP166" i="26" s="1"/>
  <c r="BI519" i="26"/>
  <c r="BJ519" i="26" s="1"/>
  <c r="BI194" i="26"/>
  <c r="BJ194" i="26" s="1"/>
  <c r="BI688" i="26"/>
  <c r="BJ688" i="26" s="1"/>
  <c r="BZ584" i="6"/>
  <c r="CA584" i="6" s="1"/>
  <c r="BI78" i="26"/>
  <c r="BJ78" i="26" s="1"/>
  <c r="AP78" i="26" s="1"/>
  <c r="BZ836" i="6"/>
  <c r="CA836" i="6" s="1"/>
  <c r="BZ852" i="6"/>
  <c r="CA852" i="6" s="1"/>
  <c r="BZ488" i="6"/>
  <c r="CA488" i="6" s="1"/>
  <c r="BZ614" i="6"/>
  <c r="CA614" i="6" s="1"/>
  <c r="CB950" i="6"/>
  <c r="CC950" i="6" s="1"/>
  <c r="BZ410" i="6"/>
  <c r="CA410" i="6" s="1"/>
  <c r="BZ447" i="6"/>
  <c r="CA447" i="6" s="1"/>
  <c r="BG735" i="26"/>
  <c r="BH735" i="26" s="1"/>
  <c r="AO735" i="26" s="1"/>
  <c r="CB762" i="6"/>
  <c r="CC762" i="6" s="1"/>
  <c r="BG191" i="26"/>
  <c r="BH191" i="26" s="1"/>
  <c r="AO191" i="26" s="1"/>
  <c r="BG649" i="26"/>
  <c r="BH649" i="26" s="1"/>
  <c r="AO649" i="26" s="1"/>
  <c r="BG74" i="26"/>
  <c r="BH74" i="26" s="1"/>
  <c r="AO74" i="26" s="1"/>
  <c r="BG613" i="26"/>
  <c r="BH613" i="26" s="1"/>
  <c r="AO613" i="26" s="1"/>
  <c r="BI973" i="26"/>
  <c r="BJ973" i="26" s="1"/>
  <c r="BG235" i="26"/>
  <c r="BH235" i="26" s="1"/>
  <c r="AO235" i="26" s="1"/>
  <c r="BG1031" i="26"/>
  <c r="BH1031" i="26" s="1"/>
  <c r="AO1031" i="26" s="1"/>
  <c r="BI91" i="26"/>
  <c r="BJ91" i="26" s="1"/>
  <c r="AP91" i="26" s="1"/>
  <c r="BI728" i="26"/>
  <c r="BJ728" i="26" s="1"/>
  <c r="BI617" i="26"/>
  <c r="BJ617" i="26" s="1"/>
  <c r="CB934" i="6"/>
  <c r="CC934" i="6" s="1"/>
  <c r="BZ455" i="6"/>
  <c r="CA455" i="6" s="1"/>
  <c r="BZ257" i="6"/>
  <c r="CA257" i="6" s="1"/>
  <c r="CB976" i="6"/>
  <c r="CC976" i="6" s="1"/>
  <c r="BI976" i="6" s="1"/>
  <c r="CB28" i="6"/>
  <c r="CC28" i="6" s="1"/>
  <c r="BI28" i="6" s="1"/>
  <c r="BZ178" i="6"/>
  <c r="CA178" i="6" s="1"/>
  <c r="BG804" i="26"/>
  <c r="BH804" i="26" s="1"/>
  <c r="AO804" i="26" s="1"/>
  <c r="CB475" i="6"/>
  <c r="CC475" i="6" s="1"/>
  <c r="BI475" i="6" s="1"/>
  <c r="BZ915" i="6"/>
  <c r="CA915" i="6" s="1"/>
  <c r="BI798" i="26"/>
  <c r="BJ798" i="26" s="1"/>
  <c r="BG761" i="26"/>
  <c r="BH761" i="26" s="1"/>
  <c r="AO761" i="26" s="1"/>
  <c r="BZ738" i="6"/>
  <c r="CA738" i="6" s="1"/>
  <c r="BI577" i="26"/>
  <c r="BJ577" i="26" s="1"/>
  <c r="BG431" i="26"/>
  <c r="BH431" i="26" s="1"/>
  <c r="AO431" i="26" s="1"/>
  <c r="BI388" i="26"/>
  <c r="BJ388" i="26" s="1"/>
  <c r="BG957" i="26"/>
  <c r="BH957" i="26" s="1"/>
  <c r="AO957" i="26" s="1"/>
  <c r="BZ1100" i="6"/>
  <c r="CA1100" i="6" s="1"/>
  <c r="BI888" i="26"/>
  <c r="BJ888" i="26" s="1"/>
  <c r="AP888" i="26" s="1"/>
  <c r="BG1066" i="26"/>
  <c r="BH1066" i="26" s="1"/>
  <c r="AO1066" i="26" s="1"/>
  <c r="BG157" i="26"/>
  <c r="BH157" i="26" s="1"/>
  <c r="AO157" i="26" s="1"/>
  <c r="CB30" i="6"/>
  <c r="CC30" i="6" s="1"/>
  <c r="BI30" i="6" s="1"/>
  <c r="BG574" i="26"/>
  <c r="BH574" i="26" s="1"/>
  <c r="AO574" i="26" s="1"/>
  <c r="CB1190" i="6"/>
  <c r="CC1190" i="6" s="1"/>
  <c r="CB190" i="6"/>
  <c r="CC190" i="6" s="1"/>
  <c r="BI190" i="6" s="1"/>
  <c r="BZ872" i="6"/>
  <c r="CA872" i="6" s="1"/>
  <c r="BI416" i="26"/>
  <c r="BJ416" i="26" s="1"/>
  <c r="BZ879" i="6"/>
  <c r="CA879" i="6" s="1"/>
  <c r="BZ1163" i="6"/>
  <c r="CA1163" i="6" s="1"/>
  <c r="BG572" i="26"/>
  <c r="BH572" i="26" s="1"/>
  <c r="AO572" i="26" s="1"/>
  <c r="BG92" i="26"/>
  <c r="BH92" i="26" s="1"/>
  <c r="AO92" i="26" s="1"/>
  <c r="BZ1064" i="6"/>
  <c r="CA1064" i="6" s="1"/>
  <c r="BZ174" i="6"/>
  <c r="CA174" i="6" s="1"/>
  <c r="BG116" i="26"/>
  <c r="BH116" i="26" s="1"/>
  <c r="AO116" i="26" s="1"/>
  <c r="BI110" i="26"/>
  <c r="BJ110" i="26" s="1"/>
  <c r="BZ986" i="6"/>
  <c r="CA986" i="6" s="1"/>
  <c r="BI341" i="26"/>
  <c r="BJ341" i="26" s="1"/>
  <c r="BI81" i="26"/>
  <c r="BJ81" i="26" s="1"/>
  <c r="AP81" i="26" s="1"/>
  <c r="BG331" i="26"/>
  <c r="BH331" i="26" s="1"/>
  <c r="AO331" i="26" s="1"/>
  <c r="BG79" i="26"/>
  <c r="BH79" i="26" s="1"/>
  <c r="AO79" i="26" s="1"/>
  <c r="BG1082" i="26"/>
  <c r="BH1082" i="26" s="1"/>
  <c r="AO1082" i="26" s="1"/>
  <c r="BG539" i="26"/>
  <c r="BH539" i="26" s="1"/>
  <c r="AO539" i="26" s="1"/>
  <c r="BZ321" i="6"/>
  <c r="CA321" i="6" s="1"/>
  <c r="BZ261" i="6"/>
  <c r="CA261" i="6" s="1"/>
  <c r="BZ251" i="6"/>
  <c r="CA251" i="6" s="1"/>
  <c r="BG561" i="26"/>
  <c r="BH561" i="26" s="1"/>
  <c r="AO561" i="26" s="1"/>
  <c r="CB794" i="6"/>
  <c r="CC794" i="6" s="1"/>
  <c r="CB1110" i="6"/>
  <c r="CC1110" i="6" s="1"/>
  <c r="BI1110" i="6" s="1"/>
  <c r="AQ1110" i="6" s="1"/>
  <c r="CB321" i="6"/>
  <c r="CC321" i="6" s="1"/>
  <c r="BI321" i="6" s="1"/>
  <c r="BZ76" i="6"/>
  <c r="CA76" i="6" s="1"/>
  <c r="BZ332" i="6"/>
  <c r="CA332" i="6" s="1"/>
  <c r="CB471" i="6"/>
  <c r="CC471" i="6" s="1"/>
  <c r="BI471" i="6" s="1"/>
  <c r="BZ608" i="6"/>
  <c r="CA608" i="6" s="1"/>
  <c r="BI217" i="26"/>
  <c r="BJ217" i="26" s="1"/>
  <c r="AP217" i="26" s="1"/>
  <c r="CB792" i="6"/>
  <c r="CC792" i="6" s="1"/>
  <c r="BG1007" i="26"/>
  <c r="BH1007" i="26" s="1"/>
  <c r="AO1007" i="26" s="1"/>
  <c r="BI1233" i="26"/>
  <c r="BJ1233" i="26" s="1"/>
  <c r="AP1233" i="26" s="1"/>
  <c r="BG192" i="26"/>
  <c r="BH192" i="26" s="1"/>
  <c r="AO192" i="26" s="1"/>
  <c r="BG763" i="26"/>
  <c r="BH763" i="26" s="1"/>
  <c r="AO763" i="26" s="1"/>
  <c r="BI614" i="26"/>
  <c r="BJ614" i="26" s="1"/>
  <c r="BI714" i="26"/>
  <c r="BJ714" i="26" s="1"/>
  <c r="AP714" i="26" s="1"/>
  <c r="BI911" i="26"/>
  <c r="BJ911" i="26" s="1"/>
  <c r="BI496" i="26"/>
  <c r="BJ496" i="26" s="1"/>
  <c r="BZ1126" i="6"/>
  <c r="CA1126" i="6" s="1"/>
  <c r="BZ374" i="6"/>
  <c r="CA374" i="6" s="1"/>
  <c r="BG211" i="26"/>
  <c r="BH211" i="26" s="1"/>
  <c r="AO211" i="26" s="1"/>
  <c r="BG769" i="26"/>
  <c r="BH769" i="26" s="1"/>
  <c r="AO769" i="26" s="1"/>
  <c r="BG536" i="26"/>
  <c r="BH536" i="26" s="1"/>
  <c r="AO536" i="26" s="1"/>
  <c r="BI716" i="26"/>
  <c r="BJ716" i="26" s="1"/>
  <c r="BI569" i="26"/>
  <c r="BJ569" i="26" s="1"/>
  <c r="CB78" i="6"/>
  <c r="CC78" i="6" s="1"/>
  <c r="BI78" i="6" s="1"/>
  <c r="BI775" i="26"/>
  <c r="BJ775" i="26" s="1"/>
  <c r="BG702" i="26"/>
  <c r="BH702" i="26" s="1"/>
  <c r="AO702" i="26" s="1"/>
  <c r="BZ310" i="6"/>
  <c r="CA310" i="6" s="1"/>
  <c r="BG584" i="26"/>
  <c r="BH584" i="26" s="1"/>
  <c r="AO584" i="26" s="1"/>
  <c r="BG417" i="26"/>
  <c r="BH417" i="26" s="1"/>
  <c r="AO417" i="26" s="1"/>
  <c r="BG599" i="26"/>
  <c r="BH599" i="26" s="1"/>
  <c r="AO599" i="26" s="1"/>
  <c r="BG199" i="26"/>
  <c r="BH199" i="26" s="1"/>
  <c r="AO199" i="26" s="1"/>
  <c r="BI481" i="26"/>
  <c r="BJ481" i="26" s="1"/>
  <c r="BI314" i="26"/>
  <c r="BJ314" i="26" s="1"/>
  <c r="BI1156" i="26"/>
  <c r="BJ1156" i="26" s="1"/>
  <c r="BI560" i="26"/>
  <c r="BJ560" i="26" s="1"/>
  <c r="BI1117" i="26"/>
  <c r="BJ1117" i="26" s="1"/>
  <c r="BG408" i="26"/>
  <c r="BH408" i="26" s="1"/>
  <c r="AO408" i="26" s="1"/>
  <c r="BG178" i="26"/>
  <c r="BH178" i="26" s="1"/>
  <c r="AO178" i="26" s="1"/>
  <c r="BG403" i="26"/>
  <c r="BH403" i="26" s="1"/>
  <c r="AO403" i="26" s="1"/>
  <c r="BG543" i="26"/>
  <c r="BH543" i="26" s="1"/>
  <c r="AO543" i="26" s="1"/>
  <c r="BG265" i="26"/>
  <c r="BH265" i="26" s="1"/>
  <c r="AO265" i="26" s="1"/>
  <c r="BG547" i="26"/>
  <c r="BH547" i="26" s="1"/>
  <c r="AO547" i="26" s="1"/>
  <c r="CB560" i="6"/>
  <c r="CC560" i="6" s="1"/>
  <c r="BI560" i="6" s="1"/>
  <c r="CB914" i="6"/>
  <c r="CC914" i="6" s="1"/>
  <c r="BZ954" i="6"/>
  <c r="CA954" i="6" s="1"/>
  <c r="BZ674" i="6"/>
  <c r="CA674" i="6" s="1"/>
  <c r="BG633" i="26"/>
  <c r="BH633" i="26" s="1"/>
  <c r="AO633" i="26" s="1"/>
  <c r="BZ752" i="6"/>
  <c r="CA752" i="6" s="1"/>
  <c r="BG558" i="26"/>
  <c r="BH558" i="26" s="1"/>
  <c r="AO558" i="26" s="1"/>
  <c r="BZ265" i="6"/>
  <c r="CA265" i="6" s="1"/>
  <c r="BI197" i="26"/>
  <c r="BJ197" i="26" s="1"/>
  <c r="BG971" i="26"/>
  <c r="BH971" i="26" s="1"/>
  <c r="AO971" i="26" s="1"/>
  <c r="BG689" i="26"/>
  <c r="BH689" i="26" s="1"/>
  <c r="AO689" i="26" s="1"/>
  <c r="BG747" i="26"/>
  <c r="BH747" i="26" s="1"/>
  <c r="AO747" i="26" s="1"/>
  <c r="BI899" i="26"/>
  <c r="BJ899" i="26" s="1"/>
  <c r="BG496" i="26"/>
  <c r="BH496" i="26" s="1"/>
  <c r="AO496" i="26" s="1"/>
  <c r="BG1096" i="26"/>
  <c r="BH1096" i="26" s="1"/>
  <c r="AO1096" i="26" s="1"/>
  <c r="BI127" i="26"/>
  <c r="BJ127" i="26" s="1"/>
  <c r="AP127" i="26" s="1"/>
  <c r="BI531" i="26"/>
  <c r="BJ531" i="26" s="1"/>
  <c r="BG350" i="26"/>
  <c r="BH350" i="26" s="1"/>
  <c r="AO350" i="26" s="1"/>
  <c r="CB756" i="6"/>
  <c r="CC756" i="6" s="1"/>
  <c r="CB772" i="6"/>
  <c r="CC772" i="6" s="1"/>
  <c r="CB879" i="6"/>
  <c r="CC879" i="6" s="1"/>
  <c r="CB1050" i="6"/>
  <c r="CC1050" i="6" s="1"/>
  <c r="BI561" i="26"/>
  <c r="BJ561" i="26" s="1"/>
  <c r="BG389" i="26"/>
  <c r="BH389" i="26" s="1"/>
  <c r="AO389" i="26" s="1"/>
  <c r="CB704" i="6"/>
  <c r="CC704" i="6" s="1"/>
  <c r="BI260" i="26"/>
  <c r="BJ260" i="26" s="1"/>
  <c r="CB724" i="6"/>
  <c r="CC724" i="6" s="1"/>
  <c r="BI724" i="6" s="1"/>
  <c r="BG44" i="26"/>
  <c r="BH44" i="26" s="1"/>
  <c r="AO44" i="26" s="1"/>
  <c r="CB332" i="6"/>
  <c r="CC332" i="6" s="1"/>
  <c r="BI332" i="6" s="1"/>
  <c r="BI820" i="26"/>
  <c r="BJ820" i="26" s="1"/>
  <c r="BG314" i="26"/>
  <c r="BH314" i="26" s="1"/>
  <c r="AO314" i="26" s="1"/>
  <c r="BG440" i="26"/>
  <c r="BH440" i="26" s="1"/>
  <c r="AO440" i="26" s="1"/>
  <c r="BG470" i="26"/>
  <c r="BH470" i="26" s="1"/>
  <c r="AO470" i="26" s="1"/>
  <c r="BG741" i="26"/>
  <c r="BH741" i="26" s="1"/>
  <c r="AO741" i="26" s="1"/>
  <c r="BI225" i="26"/>
  <c r="BJ225" i="26" s="1"/>
  <c r="AP225" i="26" s="1"/>
  <c r="BI77" i="26"/>
  <c r="BJ77" i="26" s="1"/>
  <c r="AP77" i="26" s="1"/>
  <c r="BI486" i="26"/>
  <c r="BJ486" i="26" s="1"/>
  <c r="BG385" i="26"/>
  <c r="BH385" i="26" s="1"/>
  <c r="AO385" i="26" s="1"/>
  <c r="BZ600" i="6"/>
  <c r="CA600" i="6" s="1"/>
  <c r="CB355" i="6"/>
  <c r="CC355" i="6" s="1"/>
  <c r="BI355" i="6" s="1"/>
  <c r="BZ210" i="6"/>
  <c r="CA210" i="6" s="1"/>
  <c r="BI406" i="26"/>
  <c r="BJ406" i="26" s="1"/>
  <c r="BI168" i="26"/>
  <c r="BJ168" i="26" s="1"/>
  <c r="AP168" i="26" s="1"/>
  <c r="BI771" i="26"/>
  <c r="BJ771" i="26" s="1"/>
  <c r="BI221" i="26"/>
  <c r="BJ221" i="26" s="1"/>
  <c r="CB94" i="6"/>
  <c r="CC94" i="6" s="1"/>
  <c r="BI94" i="6" s="1"/>
  <c r="BZ794" i="6"/>
  <c r="CA794" i="6" s="1"/>
  <c r="BI87" i="26"/>
  <c r="BJ87" i="26" s="1"/>
  <c r="AP87" i="26" s="1"/>
  <c r="CB208" i="6"/>
  <c r="CC208" i="6" s="1"/>
  <c r="BI208" i="6" s="1"/>
  <c r="BI419" i="26"/>
  <c r="BJ419" i="26" s="1"/>
  <c r="BI551" i="26"/>
  <c r="BJ551" i="26" s="1"/>
  <c r="BG1117" i="26"/>
  <c r="BH1117" i="26" s="1"/>
  <c r="AO1117" i="26" s="1"/>
  <c r="BI320" i="26"/>
  <c r="BJ320" i="26" s="1"/>
  <c r="BI1002" i="26"/>
  <c r="BJ1002" i="26" s="1"/>
  <c r="BG1047" i="26"/>
  <c r="BH1047" i="26" s="1"/>
  <c r="AO1047" i="26" s="1"/>
  <c r="BG671" i="26"/>
  <c r="BH671" i="26" s="1"/>
  <c r="AO671" i="26" s="1"/>
  <c r="BG954" i="26"/>
  <c r="BH954" i="26" s="1"/>
  <c r="AO954" i="26" s="1"/>
  <c r="BI913" i="26"/>
  <c r="BJ913" i="26" s="1"/>
  <c r="BG784" i="26"/>
  <c r="BH784" i="26" s="1"/>
  <c r="AO784" i="26" s="1"/>
  <c r="CB220" i="6"/>
  <c r="CC220" i="6" s="1"/>
  <c r="BI220" i="6" s="1"/>
  <c r="CB166" i="6"/>
  <c r="CC166" i="6" s="1"/>
  <c r="BI166" i="6" s="1"/>
  <c r="CB790" i="6"/>
  <c r="CC790" i="6" s="1"/>
  <c r="BG489" i="26"/>
  <c r="BH489" i="26" s="1"/>
  <c r="AO489" i="26" s="1"/>
  <c r="CB431" i="6"/>
  <c r="CC431" i="6" s="1"/>
  <c r="CB740" i="6"/>
  <c r="CC740" i="6" s="1"/>
  <c r="BZ72" i="6"/>
  <c r="CA72" i="6" s="1"/>
  <c r="CB844" i="6"/>
  <c r="CC844" i="6" s="1"/>
  <c r="BZ198" i="6"/>
  <c r="CA198" i="6" s="1"/>
  <c r="BZ156" i="6"/>
  <c r="CA156" i="6" s="1"/>
  <c r="BZ391" i="6"/>
  <c r="CA391" i="6" s="1"/>
  <c r="BG126" i="26"/>
  <c r="BH126" i="26" s="1"/>
  <c r="AO126" i="26" s="1"/>
  <c r="BG205" i="26"/>
  <c r="BH205" i="26" s="1"/>
  <c r="AO205" i="26" s="1"/>
  <c r="BI501" i="26"/>
  <c r="BJ501" i="26" s="1"/>
  <c r="BI756" i="26"/>
  <c r="BJ756" i="26" s="1"/>
  <c r="AP756" i="26" s="1"/>
  <c r="BG531" i="26"/>
  <c r="BH531" i="26" s="1"/>
  <c r="AO531" i="26" s="1"/>
  <c r="BG77" i="26"/>
  <c r="BH77" i="26" s="1"/>
  <c r="AO77" i="26" s="1"/>
  <c r="CB1088" i="6"/>
  <c r="CC1088" i="6" s="1"/>
  <c r="BI141" i="26"/>
  <c r="BJ141" i="26" s="1"/>
  <c r="AP141" i="26" s="1"/>
  <c r="BG467" i="26"/>
  <c r="BH467" i="26" s="1"/>
  <c r="AO467" i="26" s="1"/>
  <c r="BI769" i="26"/>
  <c r="BJ769" i="26" s="1"/>
  <c r="BG648" i="26"/>
  <c r="BH648" i="26" s="1"/>
  <c r="AO648" i="26" s="1"/>
  <c r="BI672" i="26"/>
  <c r="BJ672" i="26" s="1"/>
  <c r="CB298" i="6"/>
  <c r="CC298" i="6" s="1"/>
  <c r="BI298" i="6" s="1"/>
  <c r="CB345" i="6"/>
  <c r="CC345" i="6" s="1"/>
  <c r="BI345" i="6" s="1"/>
  <c r="CB441" i="6"/>
  <c r="CC441" i="6" s="1"/>
  <c r="BZ92" i="6"/>
  <c r="CA92" i="6" s="1"/>
  <c r="BG181" i="26"/>
  <c r="BH181" i="26" s="1"/>
  <c r="AO181" i="26" s="1"/>
  <c r="CB902" i="6"/>
  <c r="CC902" i="6" s="1"/>
  <c r="BG679" i="26"/>
  <c r="BH679" i="26" s="1"/>
  <c r="AO679" i="26" s="1"/>
  <c r="BI356" i="26"/>
  <c r="BJ356" i="26" s="1"/>
  <c r="BZ926" i="6"/>
  <c r="CA926" i="6" s="1"/>
  <c r="BI651" i="26"/>
  <c r="BJ651" i="26" s="1"/>
  <c r="BG627" i="26"/>
  <c r="BH627" i="26" s="1"/>
  <c r="AO627" i="26" s="1"/>
  <c r="BG320" i="26"/>
  <c r="BH320" i="26" s="1"/>
  <c r="AO320" i="26" s="1"/>
  <c r="BG933" i="26"/>
  <c r="BH933" i="26" s="1"/>
  <c r="AO933" i="26" s="1"/>
  <c r="BI385" i="26"/>
  <c r="BJ385" i="26" s="1"/>
  <c r="BI329" i="26"/>
  <c r="BJ329" i="26" s="1"/>
  <c r="BG405" i="26"/>
  <c r="BH405" i="26" s="1"/>
  <c r="AO405" i="26" s="1"/>
  <c r="BI379" i="26"/>
  <c r="BJ379" i="26" s="1"/>
  <c r="BI1163" i="26"/>
  <c r="BJ1163" i="26" s="1"/>
  <c r="BI595" i="26"/>
  <c r="BJ595" i="26" s="1"/>
  <c r="BG465" i="26"/>
  <c r="BH465" i="26" s="1"/>
  <c r="AO465" i="26" s="1"/>
  <c r="CB261" i="6"/>
  <c r="CC261" i="6" s="1"/>
  <c r="BI261" i="6" s="1"/>
  <c r="BZ36" i="6"/>
  <c r="CA36" i="6" s="1"/>
  <c r="BI461" i="26"/>
  <c r="BJ461" i="26" s="1"/>
  <c r="BI397" i="26"/>
  <c r="BJ397" i="26" s="1"/>
  <c r="AP397" i="26" s="1"/>
  <c r="CB549" i="6"/>
  <c r="CC549" i="6" s="1"/>
  <c r="BI549" i="6" s="1"/>
  <c r="BG706" i="26"/>
  <c r="BH706" i="26" s="1"/>
  <c r="AO706" i="26" s="1"/>
  <c r="BI572" i="26"/>
  <c r="BJ572" i="26" s="1"/>
  <c r="CB626" i="6"/>
  <c r="CC626" i="6" s="1"/>
  <c r="BI626" i="6" s="1"/>
  <c r="BG380" i="26"/>
  <c r="BH380" i="26" s="1"/>
  <c r="AO380" i="26" s="1"/>
  <c r="CB34" i="6"/>
  <c r="CC34" i="6" s="1"/>
  <c r="BI34" i="6" s="1"/>
  <c r="BI234" i="26"/>
  <c r="BJ234" i="26" s="1"/>
  <c r="AP234" i="26" s="1"/>
  <c r="CB710" i="6"/>
  <c r="CC710" i="6" s="1"/>
  <c r="BI427" i="26"/>
  <c r="BJ427" i="26" s="1"/>
  <c r="BG1085" i="26"/>
  <c r="BH1085" i="26" s="1"/>
  <c r="AO1085" i="26" s="1"/>
  <c r="BG437" i="26"/>
  <c r="BH437" i="26" s="1"/>
  <c r="AO437" i="26" s="1"/>
  <c r="BG839" i="26"/>
  <c r="BH839" i="26" s="1"/>
  <c r="AO839" i="26" s="1"/>
  <c r="BG195" i="26"/>
  <c r="BH195" i="26" s="1"/>
  <c r="AO195" i="26" s="1"/>
  <c r="BI640" i="26"/>
  <c r="BJ640" i="26" s="1"/>
  <c r="BI480" i="26"/>
  <c r="BJ480" i="26" s="1"/>
  <c r="BI1216" i="26"/>
  <c r="BJ1216" i="26" s="1"/>
  <c r="AP1216" i="26" s="1"/>
  <c r="BI626" i="26"/>
  <c r="BJ626" i="26" s="1"/>
  <c r="BI156" i="26"/>
  <c r="BJ156" i="26" s="1"/>
  <c r="BG232" i="26"/>
  <c r="BH232" i="26" s="1"/>
  <c r="AO232" i="26" s="1"/>
  <c r="CB46" i="6"/>
  <c r="CC46" i="6" s="1"/>
  <c r="BI46" i="6" s="1"/>
  <c r="BI315" i="26"/>
  <c r="BJ315" i="26" s="1"/>
  <c r="CB946" i="6"/>
  <c r="CC946" i="6" s="1"/>
  <c r="BI296" i="26"/>
  <c r="BJ296" i="26" s="1"/>
  <c r="BI387" i="26"/>
  <c r="BJ387" i="26" s="1"/>
  <c r="CB70" i="6"/>
  <c r="CC70" i="6" s="1"/>
  <c r="BI70" i="6" s="1"/>
  <c r="BG323" i="26"/>
  <c r="BH323" i="26" s="1"/>
  <c r="AO323" i="26" s="1"/>
  <c r="BG39" i="26"/>
  <c r="BH39" i="26" s="1"/>
  <c r="AO39" i="26" s="1"/>
  <c r="CB154" i="6"/>
  <c r="CC154" i="6" s="1"/>
  <c r="BI154" i="6" s="1"/>
  <c r="BG213" i="26"/>
  <c r="BH213" i="26" s="1"/>
  <c r="AO213" i="26" s="1"/>
  <c r="BG287" i="26"/>
  <c r="BH287" i="26" s="1"/>
  <c r="AO287" i="26" s="1"/>
  <c r="BG1169" i="26"/>
  <c r="BH1169" i="26" s="1"/>
  <c r="AO1169" i="26" s="1"/>
  <c r="BI920" i="26"/>
  <c r="BJ920" i="26" s="1"/>
  <c r="BG545" i="26"/>
  <c r="BH545" i="26" s="1"/>
  <c r="AO545" i="26" s="1"/>
  <c r="BI377" i="26"/>
  <c r="BJ377" i="26" s="1"/>
  <c r="BG123" i="26"/>
  <c r="BH123" i="26" s="1"/>
  <c r="AO123" i="26" s="1"/>
  <c r="BG185" i="26"/>
  <c r="BH185" i="26" s="1"/>
  <c r="AO185" i="26" s="1"/>
  <c r="BG711" i="26"/>
  <c r="BH711" i="26" s="1"/>
  <c r="AO711" i="26" s="1"/>
  <c r="BG835" i="26"/>
  <c r="BH835" i="26" s="1"/>
  <c r="AO835" i="26" s="1"/>
  <c r="CB988" i="6"/>
  <c r="CC988" i="6" s="1"/>
  <c r="BI988" i="6" s="1"/>
  <c r="BZ1002" i="6"/>
  <c r="CA1002" i="6" s="1"/>
  <c r="BZ816" i="6"/>
  <c r="CA816" i="6" s="1"/>
  <c r="BG57" i="26"/>
  <c r="BH57" i="26" s="1"/>
  <c r="AO57" i="26" s="1"/>
  <c r="BZ881" i="6"/>
  <c r="CA881" i="6" s="1"/>
  <c r="BZ10" i="6"/>
  <c r="CA10" i="6" s="1"/>
  <c r="CB144" i="6"/>
  <c r="CC144" i="6" s="1"/>
  <c r="BI144" i="6" s="1"/>
  <c r="BZ662" i="6"/>
  <c r="CA662" i="6" s="1"/>
  <c r="BG646" i="26"/>
  <c r="BH646" i="26" s="1"/>
  <c r="AO646" i="26" s="1"/>
  <c r="CB174" i="6"/>
  <c r="CC174" i="6" s="1"/>
  <c r="BI174" i="6" s="1"/>
  <c r="BZ472" i="6"/>
  <c r="CA472" i="6" s="1"/>
  <c r="CB1140" i="6"/>
  <c r="CC1140" i="6" s="1"/>
  <c r="BI1140" i="6" s="1"/>
  <c r="AQ1140" i="6" s="1"/>
  <c r="CB508" i="6"/>
  <c r="CC508" i="6" s="1"/>
  <c r="BI508" i="6" s="1"/>
  <c r="BZ1090" i="6"/>
  <c r="CA1090" i="6" s="1"/>
  <c r="BI231" i="26"/>
  <c r="BJ231" i="26" s="1"/>
  <c r="BG578" i="26"/>
  <c r="BH578" i="26" s="1"/>
  <c r="AO578" i="26" s="1"/>
  <c r="BG300" i="26"/>
  <c r="BH300" i="26" s="1"/>
  <c r="AO300" i="26" s="1"/>
  <c r="BI1084" i="26"/>
  <c r="BJ1084" i="26" s="1"/>
  <c r="AP1084" i="26" s="1"/>
  <c r="BZ736" i="6"/>
  <c r="CA736" i="6" s="1"/>
  <c r="BG537" i="26"/>
  <c r="BH537" i="26" s="1"/>
  <c r="AO537" i="26" s="1"/>
  <c r="BI75" i="26"/>
  <c r="BJ75" i="26" s="1"/>
  <c r="AP75" i="26" s="1"/>
  <c r="BG570" i="26"/>
  <c r="BH570" i="26" s="1"/>
  <c r="AO570" i="26" s="1"/>
  <c r="BI415" i="26"/>
  <c r="BJ415" i="26" s="1"/>
  <c r="CB746" i="6"/>
  <c r="CC746" i="6" s="1"/>
  <c r="BZ245" i="6"/>
  <c r="CA245" i="6" s="1"/>
  <c r="CB316" i="6"/>
  <c r="CC316" i="6" s="1"/>
  <c r="BI316" i="6" s="1"/>
  <c r="CB1158" i="6"/>
  <c r="CC1158" i="6" s="1"/>
  <c r="BI1158" i="6" s="1"/>
  <c r="BI313" i="26"/>
  <c r="BJ313" i="26" s="1"/>
  <c r="AP313" i="26" s="1"/>
  <c r="CB465" i="6"/>
  <c r="CC465" i="6" s="1"/>
  <c r="BI465" i="6" s="1"/>
  <c r="CB496" i="6"/>
  <c r="CC496" i="6" s="1"/>
  <c r="BI496" i="6" s="1"/>
  <c r="BG700" i="26"/>
  <c r="BH700" i="26" s="1"/>
  <c r="AO700" i="26" s="1"/>
  <c r="BG138" i="26"/>
  <c r="BH138" i="26" s="1"/>
  <c r="AO138" i="26" s="1"/>
  <c r="CB461" i="6"/>
  <c r="CC461" i="6" s="1"/>
  <c r="CB449" i="6"/>
  <c r="CC449" i="6" s="1"/>
  <c r="BI449" i="6" s="1"/>
  <c r="BG791" i="26"/>
  <c r="BH791" i="26" s="1"/>
  <c r="AO791" i="26" s="1"/>
  <c r="BI555" i="26"/>
  <c r="BJ555" i="26" s="1"/>
  <c r="BZ1102" i="6"/>
  <c r="CA1102" i="6" s="1"/>
  <c r="BG1193" i="26"/>
  <c r="BH1193" i="26" s="1"/>
  <c r="AO1193" i="26" s="1"/>
  <c r="BI1003" i="26"/>
  <c r="BJ1003" i="26" s="1"/>
  <c r="BG691" i="26"/>
  <c r="BH691" i="26" s="1"/>
  <c r="AO691" i="26" s="1"/>
  <c r="BG977" i="26"/>
  <c r="BH977" i="26" s="1"/>
  <c r="AO977" i="26" s="1"/>
  <c r="BG412" i="26"/>
  <c r="BH412" i="26" s="1"/>
  <c r="AO412" i="26" s="1"/>
  <c r="BG459" i="26"/>
  <c r="BH459" i="26" s="1"/>
  <c r="AO459" i="26" s="1"/>
  <c r="BI818" i="26"/>
  <c r="BJ818" i="26" s="1"/>
  <c r="BZ279" i="6"/>
  <c r="CA279" i="6" s="1"/>
  <c r="BI1186" i="26"/>
  <c r="BJ1186" i="26" s="1"/>
  <c r="AP1186" i="26" s="1"/>
  <c r="BZ166" i="6"/>
  <c r="CA166" i="6" s="1"/>
  <c r="BZ1152" i="6"/>
  <c r="CA1152" i="6" s="1"/>
  <c r="BI474" i="26"/>
  <c r="BJ474" i="26" s="1"/>
  <c r="AP474" i="26" s="1"/>
  <c r="BG560" i="26"/>
  <c r="BH560" i="26" s="1"/>
  <c r="AO560" i="26" s="1"/>
  <c r="CB1118" i="6"/>
  <c r="CC1118" i="6" s="1"/>
  <c r="BG343" i="26"/>
  <c r="BH343" i="26" s="1"/>
  <c r="AO343" i="26" s="1"/>
  <c r="BG573" i="26"/>
  <c r="BH573" i="26" s="1"/>
  <c r="AO573" i="26" s="1"/>
  <c r="BG944" i="26"/>
  <c r="BH944" i="26" s="1"/>
  <c r="AO944" i="26" s="1"/>
  <c r="BG509" i="26"/>
  <c r="BH509" i="26" s="1"/>
  <c r="AO509" i="26" s="1"/>
  <c r="BI170" i="26"/>
  <c r="BJ170" i="26" s="1"/>
  <c r="AP170" i="26" s="1"/>
  <c r="BI446" i="26"/>
  <c r="BJ446" i="26" s="1"/>
  <c r="BI96" i="26"/>
  <c r="BJ96" i="26" s="1"/>
  <c r="AP96" i="26" s="1"/>
  <c r="BG568" i="26"/>
  <c r="BH568" i="26" s="1"/>
  <c r="AO568" i="26" s="1"/>
  <c r="BI715" i="26"/>
  <c r="BJ715" i="26" s="1"/>
  <c r="BI345" i="26"/>
  <c r="BJ345" i="26" s="1"/>
  <c r="BG18" i="26"/>
  <c r="BH18" i="26" s="1"/>
  <c r="AO18" i="26" s="1"/>
  <c r="BI582" i="26"/>
  <c r="BJ582" i="26" s="1"/>
  <c r="BG644" i="26"/>
  <c r="BH644" i="26" s="1"/>
  <c r="AO644" i="26" s="1"/>
  <c r="BZ387" i="6"/>
  <c r="CA387" i="6" s="1"/>
  <c r="BZ142" i="6"/>
  <c r="CA142" i="6" s="1"/>
  <c r="BZ86" i="6"/>
  <c r="CA86" i="6" s="1"/>
  <c r="BI164" i="26"/>
  <c r="BJ164" i="26" s="1"/>
  <c r="AP164" i="26" s="1"/>
  <c r="BZ826" i="6"/>
  <c r="CA826" i="6" s="1"/>
  <c r="CB306" i="6"/>
  <c r="CC306" i="6" s="1"/>
  <c r="BI306" i="6" s="1"/>
  <c r="BI566" i="26"/>
  <c r="BJ566" i="26" s="1"/>
  <c r="CB194" i="6"/>
  <c r="CC194" i="6" s="1"/>
  <c r="BI194" i="6" s="1"/>
  <c r="BZ449" i="6"/>
  <c r="CA449" i="6" s="1"/>
  <c r="BZ370" i="6"/>
  <c r="CA370" i="6" s="1"/>
  <c r="CB213" i="6"/>
  <c r="CC213" i="6" s="1"/>
  <c r="BI213" i="6" s="1"/>
  <c r="BI503" i="26"/>
  <c r="BJ503" i="26" s="1"/>
  <c r="BI542" i="26"/>
  <c r="BJ542" i="26" s="1"/>
  <c r="BI532" i="26"/>
  <c r="BJ532" i="26" s="1"/>
  <c r="BI536" i="26"/>
  <c r="BJ536" i="26" s="1"/>
  <c r="CB1132" i="6"/>
  <c r="CC1132" i="6" s="1"/>
  <c r="BI1132" i="6" s="1"/>
  <c r="AQ1132" i="6" s="1"/>
  <c r="BI947" i="26"/>
  <c r="BJ947" i="26" s="1"/>
  <c r="BG141" i="26"/>
  <c r="BH141" i="26" s="1"/>
  <c r="AO141" i="26" s="1"/>
  <c r="BI1125" i="26"/>
  <c r="BJ1125" i="26" s="1"/>
  <c r="BG443" i="26"/>
  <c r="BH443" i="26" s="1"/>
  <c r="AO443" i="26" s="1"/>
  <c r="BG801" i="26"/>
  <c r="BH801" i="26" s="1"/>
  <c r="AO801" i="26" s="1"/>
  <c r="BG466" i="26"/>
  <c r="BH466" i="26" s="1"/>
  <c r="AO466" i="26" s="1"/>
  <c r="BI273" i="26"/>
  <c r="BJ273" i="26" s="1"/>
  <c r="CB598" i="6"/>
  <c r="CC598" i="6" s="1"/>
  <c r="BI598" i="6" s="1"/>
  <c r="BG356" i="26"/>
  <c r="BH356" i="26" s="1"/>
  <c r="AO356" i="26" s="1"/>
  <c r="CB1152" i="6"/>
  <c r="CC1152" i="6" s="1"/>
  <c r="BI1152" i="6" s="1"/>
  <c r="BG810" i="26"/>
  <c r="BH810" i="26" s="1"/>
  <c r="AO810" i="26" s="1"/>
  <c r="CB368" i="6"/>
  <c r="CC368" i="6" s="1"/>
  <c r="BI368" i="6" s="1"/>
  <c r="BZ770" i="6"/>
  <c r="CA770" i="6" s="1"/>
  <c r="BZ800" i="6"/>
  <c r="CA800" i="6" s="1"/>
  <c r="CB881" i="6"/>
  <c r="CC881" i="6" s="1"/>
  <c r="BZ146" i="6"/>
  <c r="CA146" i="6" s="1"/>
  <c r="BG269" i="26"/>
  <c r="BH269" i="26" s="1"/>
  <c r="AO269" i="26" s="1"/>
  <c r="BG27" i="26"/>
  <c r="BH27" i="26" s="1"/>
  <c r="AO27" i="26" s="1"/>
  <c r="BG947" i="26"/>
  <c r="BH947" i="26" s="1"/>
  <c r="AO947" i="26" s="1"/>
  <c r="BG86" i="26"/>
  <c r="BH86" i="26" s="1"/>
  <c r="AO86" i="26" s="1"/>
  <c r="BI513" i="26"/>
  <c r="BJ513" i="26" s="1"/>
  <c r="BG339" i="26"/>
  <c r="BH339" i="26" s="1"/>
  <c r="AO339" i="26" s="1"/>
  <c r="CB1090" i="6"/>
  <c r="CC1090" i="6" s="1"/>
  <c r="BI1090" i="6" s="1"/>
  <c r="AQ1090" i="6" s="1"/>
  <c r="BI290" i="26"/>
  <c r="BJ290" i="26" s="1"/>
  <c r="BG379" i="26"/>
  <c r="BH379" i="26" s="1"/>
  <c r="AO379" i="26" s="1"/>
  <c r="BI99" i="26"/>
  <c r="BJ99" i="26" s="1"/>
  <c r="AP99" i="26" s="1"/>
  <c r="BG404" i="26"/>
  <c r="BH404" i="26" s="1"/>
  <c r="AO404" i="26" s="1"/>
  <c r="BI213" i="26"/>
  <c r="BJ213" i="26" s="1"/>
  <c r="AP213" i="26" s="1"/>
  <c r="BZ678" i="6"/>
  <c r="CA678" i="6" s="1"/>
  <c r="BI401" i="26"/>
  <c r="BJ401" i="26" s="1"/>
  <c r="BZ120" i="6"/>
  <c r="CA120" i="6" s="1"/>
  <c r="BZ46" i="6"/>
  <c r="CA46" i="6" s="1"/>
  <c r="CB1116" i="6"/>
  <c r="CC1116" i="6" s="1"/>
  <c r="BI1116" i="6" s="1"/>
  <c r="AQ1116" i="6" s="1"/>
  <c r="BI223" i="26"/>
  <c r="BJ223" i="26" s="1"/>
  <c r="AP223" i="26" s="1"/>
  <c r="BG315" i="26"/>
  <c r="BH315" i="26" s="1"/>
  <c r="AO315" i="26" s="1"/>
  <c r="BI140" i="26"/>
  <c r="BJ140" i="26" s="1"/>
  <c r="AP140" i="26" s="1"/>
  <c r="CB862" i="6"/>
  <c r="CC862" i="6" s="1"/>
  <c r="BI220" i="26"/>
  <c r="BJ220" i="26" s="1"/>
  <c r="AP220" i="26" s="1"/>
  <c r="BI998" i="26"/>
  <c r="BJ998" i="26" s="1"/>
  <c r="BG510" i="26"/>
  <c r="BH510" i="26" s="1"/>
  <c r="AO510" i="26" s="1"/>
  <c r="BI1227" i="26"/>
  <c r="BJ1227" i="26" s="1"/>
  <c r="AP1227" i="26" s="1"/>
  <c r="BI663" i="26"/>
  <c r="BJ663" i="26" s="1"/>
  <c r="BI537" i="26"/>
  <c r="BJ537" i="26" s="1"/>
  <c r="BG392" i="26"/>
  <c r="BH392" i="26" s="1"/>
  <c r="AO392" i="26" s="1"/>
  <c r="BG94" i="26"/>
  <c r="BH94" i="26" s="1"/>
  <c r="AO94" i="26" s="1"/>
  <c r="BI209" i="26"/>
  <c r="BJ209" i="26" s="1"/>
  <c r="BI241" i="26"/>
  <c r="BJ241" i="26" s="1"/>
  <c r="AP241" i="26" s="1"/>
  <c r="BG170" i="26"/>
  <c r="BH170" i="26" s="1"/>
  <c r="AO170" i="26" s="1"/>
  <c r="BI453" i="26"/>
  <c r="BJ453" i="26" s="1"/>
  <c r="BZ22" i="6"/>
  <c r="CA22" i="6" s="1"/>
  <c r="CB728" i="6"/>
  <c r="CC728" i="6" s="1"/>
  <c r="CB600" i="6"/>
  <c r="CC600" i="6" s="1"/>
  <c r="BI600" i="6" s="1"/>
  <c r="CB1112" i="6"/>
  <c r="CC1112" i="6" s="1"/>
  <c r="BG90" i="26"/>
  <c r="BH90" i="26" s="1"/>
  <c r="AO90" i="26" s="1"/>
  <c r="BG625" i="26"/>
  <c r="BH625" i="26" s="1"/>
  <c r="AO625" i="26" s="1"/>
  <c r="CB36" i="6"/>
  <c r="CC36" i="6" s="1"/>
  <c r="BI36" i="6" s="1"/>
  <c r="CB730" i="6"/>
  <c r="CC730" i="6" s="1"/>
  <c r="BI730" i="6" s="1"/>
  <c r="CB60" i="6"/>
  <c r="CC60" i="6" s="1"/>
  <c r="BI60" i="6" s="1"/>
  <c r="BI701" i="26"/>
  <c r="BJ701" i="26" s="1"/>
  <c r="BZ714" i="6"/>
  <c r="CA714" i="6" s="1"/>
  <c r="BI515" i="26"/>
  <c r="BJ515" i="26" s="1"/>
  <c r="BG759" i="26"/>
  <c r="BH759" i="26" s="1"/>
  <c r="AO759" i="26" s="1"/>
  <c r="BI339" i="26"/>
  <c r="BJ339" i="26" s="1"/>
  <c r="BG824" i="26"/>
  <c r="BH824" i="26" s="1"/>
  <c r="AO824" i="26" s="1"/>
  <c r="BG585" i="26"/>
  <c r="BH585" i="26" s="1"/>
  <c r="AO585" i="26" s="1"/>
  <c r="BG667" i="26"/>
  <c r="BH667" i="26" s="1"/>
  <c r="AO667" i="26" s="1"/>
  <c r="BI676" i="26"/>
  <c r="BJ676" i="26" s="1"/>
  <c r="BG1084" i="26"/>
  <c r="BH1084" i="26" s="1"/>
  <c r="AO1084" i="26" s="1"/>
  <c r="BI669" i="26"/>
  <c r="BJ669" i="26" s="1"/>
  <c r="CB438" i="6"/>
  <c r="CC438" i="6" s="1"/>
  <c r="BI438" i="6" s="1"/>
  <c r="CB642" i="6"/>
  <c r="CC642" i="6" s="1"/>
  <c r="BI642" i="6" s="1"/>
  <c r="BZ564" i="6"/>
  <c r="CA564" i="6" s="1"/>
  <c r="CB463" i="6"/>
  <c r="CC463" i="6" s="1"/>
  <c r="CB409" i="6"/>
  <c r="CC409" i="6" s="1"/>
  <c r="BI409" i="6" s="1"/>
  <c r="BI445" i="26"/>
  <c r="BJ445" i="26" s="1"/>
  <c r="AP445" i="26" s="1"/>
  <c r="BI275" i="26"/>
  <c r="BJ275" i="26" s="1"/>
  <c r="BZ534" i="6"/>
  <c r="CA534" i="6" s="1"/>
  <c r="BZ184" i="6"/>
  <c r="CA184" i="6" s="1"/>
  <c r="BZ294" i="6"/>
  <c r="CA294" i="6" s="1"/>
  <c r="CB1206" i="6"/>
  <c r="CC1206" i="6" s="1"/>
  <c r="BI1206" i="6" s="1"/>
  <c r="BI360" i="26"/>
  <c r="BJ360" i="26" s="1"/>
  <c r="BI102" i="26"/>
  <c r="BJ102" i="26" s="1"/>
  <c r="AP102" i="26" s="1"/>
  <c r="BI677" i="26"/>
  <c r="BJ677" i="26" s="1"/>
  <c r="BI405" i="26"/>
  <c r="BJ405" i="26" s="1"/>
  <c r="BI293" i="26"/>
  <c r="BJ293" i="26" s="1"/>
  <c r="BI684" i="26"/>
  <c r="BJ684" i="26" s="1"/>
  <c r="AP684" i="26" s="1"/>
  <c r="BG760" i="26"/>
  <c r="BH760" i="26" s="1"/>
  <c r="AO760" i="26" s="1"/>
  <c r="BG46" i="26"/>
  <c r="BH46" i="26" s="1"/>
  <c r="AO46" i="26" s="1"/>
  <c r="BG163" i="26"/>
  <c r="BH163" i="26" s="1"/>
  <c r="AO163" i="26" s="1"/>
  <c r="BI167" i="26"/>
  <c r="BJ167" i="26" s="1"/>
  <c r="BG140" i="26"/>
  <c r="BH140" i="26" s="1"/>
  <c r="AO140" i="26" s="1"/>
  <c r="CB910" i="6"/>
  <c r="CC910" i="6" s="1"/>
  <c r="CB402" i="6"/>
  <c r="CC402" i="6" s="1"/>
  <c r="BI402" i="6" s="1"/>
  <c r="BZ316" i="6"/>
  <c r="CA316" i="6" s="1"/>
  <c r="BZ944" i="6"/>
  <c r="CA944" i="6" s="1"/>
  <c r="BI822" i="26"/>
  <c r="BJ822" i="26" s="1"/>
  <c r="BG150" i="26"/>
  <c r="BH150" i="26" s="1"/>
  <c r="AO150" i="26" s="1"/>
  <c r="BZ958" i="6"/>
  <c r="CA958" i="6" s="1"/>
  <c r="BG522" i="26"/>
  <c r="BH522" i="26" s="1"/>
  <c r="AO522" i="26" s="1"/>
  <c r="BI303" i="26"/>
  <c r="BJ303" i="26" s="1"/>
  <c r="AP303" i="26" s="1"/>
  <c r="BZ512" i="6"/>
  <c r="CA512" i="6" s="1"/>
  <c r="BI179" i="26"/>
  <c r="BJ179" i="26" s="1"/>
  <c r="CB944" i="6"/>
  <c r="CC944" i="6" s="1"/>
  <c r="BG1052" i="26"/>
  <c r="BH1052" i="26" s="1"/>
  <c r="AO1052" i="26" s="1"/>
  <c r="BG289" i="26"/>
  <c r="BH289" i="26" s="1"/>
  <c r="AO289" i="26" s="1"/>
  <c r="BI767" i="26"/>
  <c r="BJ767" i="26" s="1"/>
  <c r="BI1137" i="26"/>
  <c r="BJ1137" i="26" s="1"/>
  <c r="AP1137" i="26" s="1"/>
  <c r="BG302" i="26"/>
  <c r="BH302" i="26" s="1"/>
  <c r="AO302" i="26" s="1"/>
  <c r="BI568" i="26"/>
  <c r="BJ568" i="26" s="1"/>
  <c r="AP568" i="26" s="1"/>
  <c r="BG567" i="26"/>
  <c r="BH567" i="26" s="1"/>
  <c r="AO567" i="26" s="1"/>
  <c r="BG336" i="26"/>
  <c r="BH336" i="26" s="1"/>
  <c r="AO336" i="26" s="1"/>
  <c r="BI111" i="26"/>
  <c r="BJ111" i="26" s="1"/>
  <c r="AP111" i="26" s="1"/>
  <c r="BI786" i="26"/>
  <c r="BJ786" i="26" s="1"/>
  <c r="BG36" i="26"/>
  <c r="BH36" i="26" s="1"/>
  <c r="AO36" i="26" s="1"/>
  <c r="BG719" i="26"/>
  <c r="BH719" i="26" s="1"/>
  <c r="AO719" i="26" s="1"/>
  <c r="BI432" i="26"/>
  <c r="BJ432" i="26" s="1"/>
  <c r="CB300" i="6"/>
  <c r="CC300" i="6" s="1"/>
  <c r="BI300" i="6" s="1"/>
  <c r="AR300" i="6" s="1"/>
  <c r="BG67" i="26"/>
  <c r="BH67" i="26" s="1"/>
  <c r="AO67" i="26" s="1"/>
  <c r="BZ459" i="6"/>
  <c r="CA459" i="6" s="1"/>
  <c r="BG773" i="26"/>
  <c r="BH773" i="26" s="1"/>
  <c r="AO773" i="26" s="1"/>
  <c r="BI240" i="26"/>
  <c r="BJ240" i="26" s="1"/>
  <c r="AP240" i="26" s="1"/>
  <c r="BZ686" i="6"/>
  <c r="CA686" i="6" s="1"/>
  <c r="BG596" i="26"/>
  <c r="BH596" i="26" s="1"/>
  <c r="AO596" i="26" s="1"/>
  <c r="BI350" i="26"/>
  <c r="BJ350" i="26" s="1"/>
  <c r="BG312" i="26"/>
  <c r="BH312" i="26" s="1"/>
  <c r="AO312" i="26" s="1"/>
  <c r="BI732" i="26"/>
  <c r="BJ732" i="26" s="1"/>
  <c r="AP732" i="26" s="1"/>
  <c r="BG414" i="26"/>
  <c r="BH414" i="26" s="1"/>
  <c r="AO414" i="26" s="1"/>
  <c r="BG988" i="26"/>
  <c r="BH988" i="26" s="1"/>
  <c r="AO988" i="26" s="1"/>
  <c r="BI711" i="26"/>
  <c r="BJ711" i="26" s="1"/>
  <c r="BG251" i="26"/>
  <c r="BH251" i="26" s="1"/>
  <c r="AO251" i="26" s="1"/>
  <c r="BI1196" i="26"/>
  <c r="BJ1196" i="26" s="1"/>
  <c r="BG624" i="26"/>
  <c r="BH624" i="26" s="1"/>
  <c r="AO624" i="26" s="1"/>
  <c r="BI357" i="26"/>
  <c r="BJ357" i="26" s="1"/>
  <c r="BI619" i="26"/>
  <c r="BJ619" i="26" s="1"/>
  <c r="CB108" i="6"/>
  <c r="CC108" i="6" s="1"/>
  <c r="BI108" i="6" s="1"/>
  <c r="BI237" i="26"/>
  <c r="BJ237" i="26" s="1"/>
  <c r="AP237" i="26" s="1"/>
  <c r="CB900" i="6"/>
  <c r="CC900" i="6" s="1"/>
  <c r="BZ1156" i="6"/>
  <c r="CA1156" i="6" s="1"/>
  <c r="BZ510" i="6"/>
  <c r="CA510" i="6" s="1"/>
  <c r="CB325" i="6"/>
  <c r="CC325" i="6" s="1"/>
  <c r="BI325" i="6" s="1"/>
  <c r="CB1117" i="6"/>
  <c r="CC1117" i="6" s="1"/>
  <c r="CB1059" i="6"/>
  <c r="CC1059" i="6" s="1"/>
  <c r="BI1059" i="6" s="1"/>
  <c r="CB961" i="6"/>
  <c r="CC961" i="6" s="1"/>
  <c r="BI961" i="6" s="1"/>
  <c r="BI838" i="26"/>
  <c r="BJ838" i="26" s="1"/>
  <c r="CB80" i="6"/>
  <c r="CC80" i="6" s="1"/>
  <c r="BI80" i="6" s="1"/>
  <c r="BG556" i="26"/>
  <c r="BH556" i="26" s="1"/>
  <c r="AO556" i="26" s="1"/>
  <c r="BG1107" i="26"/>
  <c r="BH1107" i="26" s="1"/>
  <c r="AO1107" i="26" s="1"/>
  <c r="BG1057" i="26"/>
  <c r="BH1057" i="26" s="1"/>
  <c r="AO1057" i="26" s="1"/>
  <c r="BG693" i="26"/>
  <c r="BH693" i="26" s="1"/>
  <c r="AO693" i="26" s="1"/>
  <c r="BI567" i="26"/>
  <c r="BJ567" i="26" s="1"/>
  <c r="BG515" i="26"/>
  <c r="BH515" i="26" s="1"/>
  <c r="AO515" i="26" s="1"/>
  <c r="BG1182" i="26"/>
  <c r="BH1182" i="26" s="1"/>
  <c r="AO1182" i="26" s="1"/>
  <c r="BI145" i="26"/>
  <c r="BJ145" i="26" s="1"/>
  <c r="BG246" i="26"/>
  <c r="BH246" i="26" s="1"/>
  <c r="AO246" i="26" s="1"/>
  <c r="BZ114" i="6"/>
  <c r="CA114" i="6" s="1"/>
  <c r="CB1054" i="6"/>
  <c r="CC1054" i="6" s="1"/>
  <c r="BI381" i="26"/>
  <c r="BJ381" i="26" s="1"/>
  <c r="BI455" i="26"/>
  <c r="BJ455" i="26" s="1"/>
  <c r="CB406" i="6"/>
  <c r="CC406" i="6" s="1"/>
  <c r="BI406" i="6" s="1"/>
  <c r="BI364" i="26"/>
  <c r="BJ364" i="26" s="1"/>
  <c r="BG194" i="26"/>
  <c r="BH194" i="26" s="1"/>
  <c r="AO194" i="26" s="1"/>
  <c r="BI44" i="26"/>
  <c r="BJ44" i="26" s="1"/>
  <c r="AP44" i="26" s="1"/>
  <c r="BG317" i="26"/>
  <c r="BH317" i="26" s="1"/>
  <c r="AO317" i="26" s="1"/>
  <c r="CB1226" i="6"/>
  <c r="CC1226" i="6" s="1"/>
  <c r="BI1226" i="6" s="1"/>
  <c r="BI722" i="26"/>
  <c r="BJ722" i="26" s="1"/>
  <c r="BG26" i="26"/>
  <c r="BH26" i="26" s="1"/>
  <c r="AO26" i="26" s="1"/>
  <c r="BI206" i="26"/>
  <c r="BJ206" i="26" s="1"/>
  <c r="AP206" i="26" s="1"/>
  <c r="BG433" i="26"/>
  <c r="BH433" i="26" s="1"/>
  <c r="AO433" i="26" s="1"/>
  <c r="BG722" i="26"/>
  <c r="BH722" i="26" s="1"/>
  <c r="AO722" i="26" s="1"/>
  <c r="BI284" i="26"/>
  <c r="BJ284" i="26" s="1"/>
  <c r="BG563" i="26"/>
  <c r="BH563" i="26" s="1"/>
  <c r="AO563" i="26" s="1"/>
  <c r="BI523" i="26"/>
  <c r="BJ523" i="26" s="1"/>
  <c r="BG143" i="26"/>
  <c r="BH143" i="26" s="1"/>
  <c r="AO143" i="26" s="1"/>
  <c r="CB1092" i="6"/>
  <c r="CC1092" i="6" s="1"/>
  <c r="BI1092" i="6" s="1"/>
  <c r="AQ1092" i="6" s="1"/>
  <c r="CB1263" i="6"/>
  <c r="CC1263" i="6" s="1"/>
  <c r="BI1263" i="6" s="1"/>
  <c r="CB796" i="6"/>
  <c r="CC796" i="6" s="1"/>
  <c r="BZ873" i="6"/>
  <c r="CA873" i="6" s="1"/>
  <c r="BZ710" i="6"/>
  <c r="CA710" i="6" s="1"/>
  <c r="BG453" i="26"/>
  <c r="BH453" i="26" s="1"/>
  <c r="AO453" i="26" s="1"/>
  <c r="CB52" i="6"/>
  <c r="CC52" i="6" s="1"/>
  <c r="BI52" i="6" s="1"/>
  <c r="BZ948" i="6"/>
  <c r="CA948" i="6" s="1"/>
  <c r="BZ408" i="6"/>
  <c r="CA408" i="6" s="1"/>
  <c r="BZ538" i="6"/>
  <c r="CA538" i="6" s="1"/>
  <c r="BG50" i="26"/>
  <c r="BH50" i="26" s="1"/>
  <c r="AO50" i="26" s="1"/>
  <c r="CB235" i="6"/>
  <c r="CC235" i="6" s="1"/>
  <c r="BI235" i="6" s="1"/>
  <c r="BZ263" i="6"/>
  <c r="CA263" i="6" s="1"/>
  <c r="BZ306" i="6"/>
  <c r="CA306" i="6" s="1"/>
  <c r="BI212" i="26"/>
  <c r="BJ212" i="26" s="1"/>
  <c r="AP212" i="26" s="1"/>
  <c r="BI1092" i="26"/>
  <c r="BJ1092" i="26" s="1"/>
  <c r="AP1092" i="26" s="1"/>
  <c r="BI370" i="26"/>
  <c r="BJ370" i="26" s="1"/>
  <c r="AP370" i="26" s="1"/>
  <c r="BI338" i="26"/>
  <c r="BJ338" i="26" s="1"/>
  <c r="BG1223" i="26"/>
  <c r="BH1223" i="26" s="1"/>
  <c r="AO1223" i="26" s="1"/>
  <c r="BI216" i="26"/>
  <c r="BJ216" i="26" s="1"/>
  <c r="AP216" i="26" s="1"/>
  <c r="BI605" i="26"/>
  <c r="BJ605" i="26" s="1"/>
  <c r="BG361" i="26"/>
  <c r="BH361" i="26" s="1"/>
  <c r="AO361" i="26" s="1"/>
  <c r="BI132" i="26"/>
  <c r="BJ132" i="26" s="1"/>
  <c r="AP132" i="26" s="1"/>
  <c r="CB366" i="6"/>
  <c r="CC366" i="6" s="1"/>
  <c r="BI366" i="6" s="1"/>
  <c r="CB451" i="6"/>
  <c r="CC451" i="6" s="1"/>
  <c r="BI451" i="6" s="1"/>
  <c r="CB1107" i="6"/>
  <c r="CC1107" i="6" s="1"/>
  <c r="BI1107" i="6" s="1"/>
  <c r="BZ24" i="6"/>
  <c r="CA24" i="6" s="1"/>
  <c r="BZ1150" i="6"/>
  <c r="CA1150" i="6" s="1"/>
  <c r="CB738" i="6"/>
  <c r="CC738" i="6" s="1"/>
  <c r="BI738" i="6" s="1"/>
  <c r="BI267" i="26"/>
  <c r="BJ267" i="26" s="1"/>
  <c r="CB447" i="6"/>
  <c r="CC447" i="6" s="1"/>
  <c r="BI447" i="6" s="1"/>
  <c r="BG370" i="26"/>
  <c r="BH370" i="26" s="1"/>
  <c r="AO370" i="26" s="1"/>
  <c r="BI395" i="26"/>
  <c r="BJ395" i="26" s="1"/>
  <c r="CB500" i="6"/>
  <c r="CC500" i="6" s="1"/>
  <c r="BI500" i="6" s="1"/>
  <c r="BI800" i="26"/>
  <c r="BJ800" i="26" s="1"/>
  <c r="BG456" i="26"/>
  <c r="BH456" i="26" s="1"/>
  <c r="AO456" i="26" s="1"/>
  <c r="BI464" i="26"/>
  <c r="BJ464" i="26" s="1"/>
  <c r="BG1131" i="26"/>
  <c r="BH1131" i="26" s="1"/>
  <c r="AO1131" i="26" s="1"/>
  <c r="BI724" i="26"/>
  <c r="BJ724" i="26" s="1"/>
  <c r="BI512" i="26"/>
  <c r="BJ512" i="26" s="1"/>
  <c r="BI965" i="26"/>
  <c r="BJ965" i="26" s="1"/>
  <c r="BI713" i="26"/>
  <c r="BJ713" i="26" s="1"/>
  <c r="BI878" i="26"/>
  <c r="BJ878" i="26" s="1"/>
  <c r="BI153" i="26"/>
  <c r="BJ153" i="26" s="1"/>
  <c r="AP153" i="26" s="1"/>
  <c r="BI80" i="26"/>
  <c r="BJ80" i="26" s="1"/>
  <c r="BG329" i="26"/>
  <c r="BH329" i="26" s="1"/>
  <c r="AO329" i="26" s="1"/>
  <c r="CB930" i="6"/>
  <c r="CC930" i="6" s="1"/>
  <c r="BG631" i="26"/>
  <c r="BH631" i="26" s="1"/>
  <c r="AO631" i="26" s="1"/>
  <c r="BG478" i="26"/>
  <c r="BH478" i="26" s="1"/>
  <c r="AO478" i="26" s="1"/>
  <c r="CB212" i="6"/>
  <c r="CC212" i="6" s="1"/>
  <c r="BI212" i="6" s="1"/>
  <c r="BG569" i="26"/>
  <c r="BH569" i="26" s="1"/>
  <c r="AO569" i="26" s="1"/>
  <c r="BI706" i="26"/>
  <c r="BJ706" i="26" s="1"/>
  <c r="BI352" i="26"/>
  <c r="BJ352" i="26" s="1"/>
  <c r="AP352" i="26" s="1"/>
  <c r="BI281" i="26"/>
  <c r="BJ281" i="26" s="1"/>
  <c r="BZ930" i="6"/>
  <c r="CA930" i="6" s="1"/>
  <c r="BZ508" i="6"/>
  <c r="CA508" i="6" s="1"/>
  <c r="BZ473" i="6"/>
  <c r="CA473" i="6" s="1"/>
  <c r="BI624" i="26"/>
  <c r="BJ624" i="26" s="1"/>
  <c r="AP624" i="26" s="1"/>
  <c r="BG228" i="26"/>
  <c r="BH228" i="26" s="1"/>
  <c r="AO228" i="26" s="1"/>
  <c r="BZ732" i="6"/>
  <c r="CA732" i="6" s="1"/>
  <c r="BI232" i="26"/>
  <c r="BJ232" i="26" s="1"/>
  <c r="BI1031" i="26"/>
  <c r="BJ1031" i="26" s="1"/>
  <c r="BI553" i="26"/>
  <c r="BJ553" i="26" s="1"/>
  <c r="BI262" i="26"/>
  <c r="BJ262" i="26" s="1"/>
  <c r="BI718" i="26"/>
  <c r="BJ718" i="26" s="1"/>
  <c r="BG723" i="26"/>
  <c r="BH723" i="26" s="1"/>
  <c r="AO723" i="26" s="1"/>
  <c r="BZ1008" i="6"/>
  <c r="CA1008" i="6" s="1"/>
  <c r="CB178" i="6"/>
  <c r="CC178" i="6" s="1"/>
  <c r="BI178" i="6" s="1"/>
  <c r="BI857" i="26"/>
  <c r="BJ857" i="26" s="1"/>
  <c r="BI409" i="26"/>
  <c r="BJ409" i="26" s="1"/>
  <c r="BZ744" i="6"/>
  <c r="CA744" i="6" s="1"/>
  <c r="BZ241" i="6"/>
  <c r="CA241" i="6" s="1"/>
  <c r="CB312" i="6"/>
  <c r="CC312" i="6" s="1"/>
  <c r="BI312" i="6" s="1"/>
  <c r="BZ1013" i="6"/>
  <c r="CA1013" i="6" s="1"/>
  <c r="BZ467" i="6"/>
  <c r="CA467" i="6" s="1"/>
  <c r="CB1167" i="6"/>
  <c r="CC1167" i="6" s="1"/>
  <c r="BI1167" i="6" s="1"/>
  <c r="BI365" i="26"/>
  <c r="BJ365" i="26" s="1"/>
  <c r="CB243" i="6"/>
  <c r="CC243" i="6" s="1"/>
  <c r="BG241" i="26"/>
  <c r="BH241" i="26" s="1"/>
  <c r="AO241" i="26" s="1"/>
  <c r="BG618" i="26"/>
  <c r="BH618" i="26" s="1"/>
  <c r="AO618" i="26" s="1"/>
  <c r="BG62" i="26"/>
  <c r="BH62" i="26" s="1"/>
  <c r="AO62" i="26" s="1"/>
  <c r="BG349" i="26"/>
  <c r="BH349" i="26" s="1"/>
  <c r="AO349" i="26" s="1"/>
  <c r="BG847" i="26"/>
  <c r="BH847" i="26" s="1"/>
  <c r="AO847" i="26" s="1"/>
  <c r="BG490" i="26"/>
  <c r="BH490" i="26" s="1"/>
  <c r="AO490" i="26" s="1"/>
  <c r="BI307" i="26"/>
  <c r="BJ307" i="26" s="1"/>
  <c r="AP307" i="26" s="1"/>
  <c r="BG151" i="26"/>
  <c r="BH151" i="26" s="1"/>
  <c r="AO151" i="26" s="1"/>
  <c r="BG519" i="26"/>
  <c r="BH519" i="26" s="1"/>
  <c r="AO519" i="26" s="1"/>
  <c r="CB708" i="6"/>
  <c r="CC708" i="6" s="1"/>
  <c r="BZ402" i="6"/>
  <c r="CA402" i="6" s="1"/>
  <c r="BZ339" i="6"/>
  <c r="CA339" i="6" s="1"/>
  <c r="BG238" i="26"/>
  <c r="BH238" i="26" s="1"/>
  <c r="AO238" i="26" s="1"/>
  <c r="CB722" i="6"/>
  <c r="CC722" i="6" s="1"/>
  <c r="BI583" i="26"/>
  <c r="BJ583" i="26" s="1"/>
  <c r="BZ345" i="6"/>
  <c r="CA345" i="6" s="1"/>
  <c r="BZ498" i="6"/>
  <c r="CA498" i="6" s="1"/>
  <c r="CB518" i="6"/>
  <c r="CC518" i="6" s="1"/>
  <c r="BI518" i="6" s="1"/>
  <c r="CB494" i="6"/>
  <c r="CC494" i="6" s="1"/>
  <c r="BI494" i="6" s="1"/>
  <c r="CB798" i="6"/>
  <c r="CC798" i="6" s="1"/>
  <c r="BG498" i="26"/>
  <c r="BH498" i="26" s="1"/>
  <c r="AO498" i="26" s="1"/>
  <c r="CB1080" i="6"/>
  <c r="CC1080" i="6" s="1"/>
  <c r="BI1080" i="6" s="1"/>
  <c r="BG856" i="26"/>
  <c r="BH856" i="26" s="1"/>
  <c r="AO856" i="26" s="1"/>
  <c r="BI1193" i="26"/>
  <c r="BJ1193" i="26" s="1"/>
  <c r="BI244" i="26"/>
  <c r="BJ244" i="26" s="1"/>
  <c r="AP244" i="26" s="1"/>
  <c r="BI518" i="26"/>
  <c r="BJ518" i="26" s="1"/>
  <c r="BG368" i="26"/>
  <c r="BH368" i="26" s="1"/>
  <c r="AO368" i="26" s="1"/>
  <c r="BI571" i="26"/>
  <c r="BJ571" i="26" s="1"/>
  <c r="BI1058" i="26"/>
  <c r="BJ1058" i="26" s="1"/>
  <c r="BI459" i="26"/>
  <c r="BJ459" i="26" s="1"/>
  <c r="AP459" i="26" s="1"/>
  <c r="BG353" i="26"/>
  <c r="BH353" i="26" s="1"/>
  <c r="AO353" i="26" s="1"/>
  <c r="CB351" i="6"/>
  <c r="CC351" i="6" s="1"/>
  <c r="BI351" i="6" s="1"/>
  <c r="CB911" i="6"/>
  <c r="CC911" i="6" s="1"/>
  <c r="BI48" i="26"/>
  <c r="BJ48" i="26" s="1"/>
  <c r="AP48" i="26" s="1"/>
  <c r="BZ924" i="6"/>
  <c r="CA924" i="6" s="1"/>
  <c r="CB1031" i="6"/>
  <c r="CC1031" i="6" s="1"/>
  <c r="BI1031" i="6" s="1"/>
  <c r="AQ1031" i="6" s="1"/>
  <c r="BZ231" i="6"/>
  <c r="CA231" i="6" s="1"/>
  <c r="CB470" i="6"/>
  <c r="CC470" i="6" s="1"/>
  <c r="BI470" i="6" s="1"/>
  <c r="BG128" i="26"/>
  <c r="BH128" i="26" s="1"/>
  <c r="AO128" i="26" s="1"/>
  <c r="CB323" i="6"/>
  <c r="CC323" i="6" s="1"/>
  <c r="BI323" i="6" s="1"/>
  <c r="CB1115" i="6"/>
  <c r="CC1115" i="6" s="1"/>
  <c r="BG623" i="26"/>
  <c r="BH623" i="26" s="1"/>
  <c r="AO623" i="26" s="1"/>
  <c r="CB940" i="6"/>
  <c r="CC940" i="6" s="1"/>
  <c r="BI940" i="6" s="1"/>
  <c r="BI337" i="26"/>
  <c r="BJ337" i="26" s="1"/>
  <c r="BI694" i="26"/>
  <c r="BJ694" i="26" s="1"/>
  <c r="AP694" i="26" s="1"/>
  <c r="BI678" i="26"/>
  <c r="BJ678" i="26" s="1"/>
  <c r="AP678" i="26" s="1"/>
  <c r="BG330" i="26"/>
  <c r="BH330" i="26" s="1"/>
  <c r="AO330" i="26" s="1"/>
  <c r="BI163" i="26"/>
  <c r="BJ163" i="26" s="1"/>
  <c r="AP163" i="26" s="1"/>
  <c r="BG180" i="26"/>
  <c r="BH180" i="26" s="1"/>
  <c r="AO180" i="26" s="1"/>
  <c r="BG555" i="26"/>
  <c r="BH555" i="26" s="1"/>
  <c r="AO555" i="26" s="1"/>
  <c r="BG511" i="26"/>
  <c r="BH511" i="26" s="1"/>
  <c r="AO511" i="26" s="1"/>
  <c r="BI564" i="26"/>
  <c r="BJ564" i="26" s="1"/>
  <c r="BG744" i="26"/>
  <c r="BH744" i="26" s="1"/>
  <c r="AO744" i="26" s="1"/>
  <c r="CB92" i="6"/>
  <c r="CC92" i="6" s="1"/>
  <c r="BI92" i="6" s="1"/>
  <c r="BZ1116" i="6"/>
  <c r="CA1116" i="6" s="1"/>
  <c r="BZ796" i="6"/>
  <c r="CA796" i="6" s="1"/>
  <c r="CB443" i="6"/>
  <c r="CC443" i="6" s="1"/>
  <c r="BI479" i="26"/>
  <c r="BJ479" i="26" s="1"/>
  <c r="BI124" i="26"/>
  <c r="BJ124" i="26" s="1"/>
  <c r="AP124" i="26" s="1"/>
  <c r="BG200" i="26"/>
  <c r="BH200" i="26" s="1"/>
  <c r="AO200" i="26" s="1"/>
  <c r="CB245" i="6"/>
  <c r="CC245" i="6" s="1"/>
  <c r="BI245" i="6" s="1"/>
  <c r="BZ1224" i="6"/>
  <c r="CA1224" i="6" s="1"/>
  <c r="BG229" i="26"/>
  <c r="BH229" i="26" s="1"/>
  <c r="AO229" i="26" s="1"/>
  <c r="BG34" i="26"/>
  <c r="BH34" i="26" s="1"/>
  <c r="AO34" i="26" s="1"/>
  <c r="BI521" i="26"/>
  <c r="BJ521" i="26" s="1"/>
  <c r="BI493" i="26"/>
  <c r="BJ493" i="26" s="1"/>
  <c r="BI70" i="26"/>
  <c r="BJ70" i="26" s="1"/>
  <c r="AP70" i="26" s="1"/>
  <c r="BG923" i="26"/>
  <c r="BH923" i="26" s="1"/>
  <c r="AO923" i="26" s="1"/>
  <c r="BI954" i="26"/>
  <c r="BJ954" i="26" s="1"/>
  <c r="AP954" i="26" s="1"/>
  <c r="BI440" i="26"/>
  <c r="BJ440" i="26" s="1"/>
  <c r="BI257" i="26"/>
  <c r="BJ257" i="26" s="1"/>
  <c r="BG70" i="26"/>
  <c r="BH70" i="26" s="1"/>
  <c r="AO70" i="26" s="1"/>
  <c r="BG398" i="26"/>
  <c r="BH398" i="26" s="1"/>
  <c r="AO398" i="26" s="1"/>
  <c r="CB510" i="6"/>
  <c r="CC510" i="6" s="1"/>
  <c r="BI510" i="6" s="1"/>
  <c r="CB564" i="6"/>
  <c r="CC564" i="6" s="1"/>
  <c r="BI564" i="6" s="1"/>
  <c r="BG210" i="26"/>
  <c r="BH210" i="26" s="1"/>
  <c r="AO210" i="26" s="1"/>
  <c r="CB231" i="6"/>
  <c r="CC231" i="6" s="1"/>
  <c r="BZ799" i="6"/>
  <c r="CA799" i="6" s="1"/>
  <c r="BI327" i="26"/>
  <c r="BJ327" i="26" s="1"/>
  <c r="BI90" i="26"/>
  <c r="BJ90" i="26" s="1"/>
  <c r="AP90" i="26" s="1"/>
  <c r="CB485" i="6"/>
  <c r="CC485" i="6" s="1"/>
  <c r="CB122" i="6"/>
  <c r="CC122" i="6" s="1"/>
  <c r="BI122" i="6" s="1"/>
  <c r="BZ1068" i="6"/>
  <c r="CA1068" i="6" s="1"/>
  <c r="CB998" i="6"/>
  <c r="CC998" i="6" s="1"/>
  <c r="CB380" i="6"/>
  <c r="CC380" i="6" s="1"/>
  <c r="BI380" i="6" s="1"/>
  <c r="BG422" i="26"/>
  <c r="BH422" i="26" s="1"/>
  <c r="AO422" i="26" s="1"/>
  <c r="BG399" i="26"/>
  <c r="BH399" i="26" s="1"/>
  <c r="AO399" i="26" s="1"/>
  <c r="BI306" i="26"/>
  <c r="BJ306" i="26" s="1"/>
  <c r="AP306" i="26" s="1"/>
  <c r="BG1026" i="26"/>
  <c r="BH1026" i="26" s="1"/>
  <c r="AO1026" i="26" s="1"/>
  <c r="BG630" i="26"/>
  <c r="BH630" i="26" s="1"/>
  <c r="AO630" i="26" s="1"/>
  <c r="BI366" i="26"/>
  <c r="BJ366" i="26" s="1"/>
  <c r="BI909" i="26"/>
  <c r="BJ909" i="26" s="1"/>
  <c r="BI411" i="26"/>
  <c r="BJ411" i="26" s="1"/>
  <c r="BG758" i="26"/>
  <c r="BH758" i="26" s="1"/>
  <c r="AO758" i="26" s="1"/>
  <c r="BI299" i="26"/>
  <c r="BJ299" i="26" s="1"/>
  <c r="CB614" i="6"/>
  <c r="CC614" i="6" s="1"/>
  <c r="BI614" i="6" s="1"/>
  <c r="BI452" i="26"/>
  <c r="BJ452" i="26" s="1"/>
  <c r="BI702" i="26"/>
  <c r="BJ702" i="26" s="1"/>
  <c r="BZ893" i="6"/>
  <c r="CA893" i="6" s="1"/>
  <c r="BZ347" i="6"/>
  <c r="CA347" i="6" s="1"/>
  <c r="BI226" i="26"/>
  <c r="BJ226" i="26" s="1"/>
  <c r="AP226" i="26" s="1"/>
  <c r="BZ212" i="6"/>
  <c r="CA212" i="6" s="1"/>
  <c r="BZ1106" i="6"/>
  <c r="CA1106" i="6" s="1"/>
  <c r="BZ227" i="6"/>
  <c r="CA227" i="6" s="1"/>
  <c r="BG475" i="26"/>
  <c r="BH475" i="26" s="1"/>
  <c r="AO475" i="26" s="1"/>
  <c r="BI625" i="26"/>
  <c r="BJ625" i="26" s="1"/>
  <c r="BI615" i="26"/>
  <c r="BJ615" i="26" s="1"/>
  <c r="BI484" i="26"/>
  <c r="BJ484" i="26" s="1"/>
  <c r="BI158" i="26"/>
  <c r="BJ158" i="26" s="1"/>
  <c r="BI268" i="26"/>
  <c r="BJ268" i="26" s="1"/>
  <c r="BG154" i="26"/>
  <c r="BH154" i="26" s="1"/>
  <c r="AO154" i="26" s="1"/>
  <c r="BI809" i="26"/>
  <c r="BJ809" i="26" s="1"/>
  <c r="BG915" i="26"/>
  <c r="BH915" i="26" s="1"/>
  <c r="AO915" i="26" s="1"/>
  <c r="BG1133" i="26"/>
  <c r="BH1133" i="26" s="1"/>
  <c r="AO1133" i="26" s="1"/>
  <c r="BI174" i="26"/>
  <c r="BJ174" i="26" s="1"/>
  <c r="AP174" i="26" s="1"/>
  <c r="BI489" i="26"/>
  <c r="BJ489" i="26" s="1"/>
  <c r="BG303" i="26"/>
  <c r="BH303" i="26" s="1"/>
  <c r="AO303" i="26" s="1"/>
  <c r="BZ784" i="6"/>
  <c r="CA784" i="6" s="1"/>
  <c r="BZ351" i="6"/>
  <c r="CA351" i="6" s="1"/>
  <c r="BZ1031" i="6"/>
  <c r="CA1031" i="6" s="1"/>
  <c r="BI190" i="26"/>
  <c r="BJ190" i="26" s="1"/>
  <c r="AP190" i="26" s="1"/>
  <c r="CB520" i="6"/>
  <c r="CC520" i="6" s="1"/>
  <c r="BI520" i="6" s="1"/>
  <c r="BZ513" i="6"/>
  <c r="CA513" i="6" s="1"/>
  <c r="BZ343" i="6"/>
  <c r="CA343" i="6" s="1"/>
  <c r="BZ656" i="6"/>
  <c r="CA656" i="6" s="1"/>
  <c r="CB903" i="6"/>
  <c r="CC903" i="6" s="1"/>
  <c r="BI399" i="26"/>
  <c r="BJ399" i="26" s="1"/>
  <c r="BI351" i="26"/>
  <c r="BJ351" i="26" s="1"/>
  <c r="BG346" i="26"/>
  <c r="BH346" i="26" s="1"/>
  <c r="AO346" i="26" s="1"/>
  <c r="BG916" i="26"/>
  <c r="BH916" i="26" s="1"/>
  <c r="AO916" i="26" s="1"/>
  <c r="BG286" i="26"/>
  <c r="BH286" i="26" s="1"/>
  <c r="AO286" i="26" s="1"/>
  <c r="BG851" i="26"/>
  <c r="BH851" i="26" s="1"/>
  <c r="AO851" i="26" s="1"/>
  <c r="BG93" i="26"/>
  <c r="BH93" i="26" s="1"/>
  <c r="AO93" i="26" s="1"/>
  <c r="BG705" i="26"/>
  <c r="BH705" i="26" s="1"/>
  <c r="AO705" i="26" s="1"/>
  <c r="BG1134" i="26"/>
  <c r="BH1134" i="26" s="1"/>
  <c r="AO1134" i="26" s="1"/>
  <c r="BI504" i="26"/>
  <c r="BJ504" i="26" s="1"/>
  <c r="BG80" i="26"/>
  <c r="BH80" i="26" s="1"/>
  <c r="AO80" i="26" s="1"/>
  <c r="CB958" i="6"/>
  <c r="CC958" i="6" s="1"/>
  <c r="BI958" i="6" s="1"/>
  <c r="BZ595" i="6"/>
  <c r="CA595" i="6" s="1"/>
  <c r="CB156" i="6"/>
  <c r="CC156" i="6" s="1"/>
  <c r="BI156" i="6" s="1"/>
  <c r="CB72" i="6"/>
  <c r="CC72" i="6" s="1"/>
  <c r="BI72" i="6" s="1"/>
  <c r="BZ416" i="6"/>
  <c r="CA416" i="6" s="1"/>
  <c r="CB716" i="6"/>
  <c r="CC716" i="6" s="1"/>
  <c r="BZ715" i="6"/>
  <c r="CA715" i="6" s="1"/>
  <c r="BG293" i="26"/>
  <c r="BH293" i="26" s="1"/>
  <c r="AO293" i="26" s="1"/>
  <c r="BG378" i="26"/>
  <c r="BH378" i="26" s="1"/>
  <c r="AO378" i="26" s="1"/>
  <c r="BZ1190" i="6"/>
  <c r="CA1190" i="6" s="1"/>
  <c r="BZ152" i="6"/>
  <c r="CA152" i="6" s="1"/>
  <c r="BZ56" i="6"/>
  <c r="CA56" i="6" s="1"/>
  <c r="BG310" i="26"/>
  <c r="BH310" i="26" s="1"/>
  <c r="AO310" i="26" s="1"/>
  <c r="BG204" i="26"/>
  <c r="BH204" i="26" s="1"/>
  <c r="AO204" i="26" s="1"/>
  <c r="BG754" i="26"/>
  <c r="BH754" i="26" s="1"/>
  <c r="AO754" i="26" s="1"/>
  <c r="BI394" i="26"/>
  <c r="BJ394" i="26" s="1"/>
  <c r="AP394" i="26" s="1"/>
  <c r="BI456" i="26"/>
  <c r="BJ456" i="26" s="1"/>
  <c r="AP456" i="26" s="1"/>
  <c r="BI258" i="26"/>
  <c r="BJ258" i="26" s="1"/>
  <c r="CB1084" i="6"/>
  <c r="CC1084" i="6" s="1"/>
  <c r="BI1084" i="6" s="1"/>
  <c r="BI599" i="26"/>
  <c r="BJ599" i="26" s="1"/>
  <c r="BI594" i="26"/>
  <c r="BJ594" i="26" s="1"/>
  <c r="BZ355" i="6"/>
  <c r="CA355" i="6" s="1"/>
  <c r="BZ540" i="6"/>
  <c r="CA540" i="6" s="1"/>
  <c r="BI300" i="26"/>
  <c r="BJ300" i="26" s="1"/>
  <c r="BG476" i="26"/>
  <c r="BH476" i="26" s="1"/>
  <c r="AO476" i="26" s="1"/>
  <c r="BG762" i="26"/>
  <c r="BH762" i="26" s="1"/>
  <c r="AO762" i="26" s="1"/>
  <c r="CB269" i="6"/>
  <c r="CC269" i="6" s="1"/>
  <c r="BI269" i="6" s="1"/>
  <c r="BZ1082" i="6"/>
  <c r="CA1082" i="6" s="1"/>
  <c r="BZ52" i="6"/>
  <c r="CA52" i="6" s="1"/>
  <c r="BZ885" i="6"/>
  <c r="CA885" i="6" s="1"/>
  <c r="BZ100" i="6"/>
  <c r="CA100" i="6" s="1"/>
  <c r="BG233" i="26"/>
  <c r="BH233" i="26" s="1"/>
  <c r="AO233" i="26" s="1"/>
  <c r="BG107" i="26"/>
  <c r="BH107" i="26" s="1"/>
  <c r="AO107" i="26" s="1"/>
  <c r="BI398" i="26"/>
  <c r="BJ398" i="26" s="1"/>
  <c r="BI1112" i="26"/>
  <c r="BJ1112" i="26" s="1"/>
  <c r="BI271" i="26"/>
  <c r="BJ271" i="26" s="1"/>
  <c r="BG428" i="26"/>
  <c r="BH428" i="26" s="1"/>
  <c r="AO428" i="26" s="1"/>
  <c r="BG882" i="26"/>
  <c r="BH882" i="26" s="1"/>
  <c r="AO882" i="26" s="1"/>
  <c r="BG551" i="26"/>
  <c r="BH551" i="26" s="1"/>
  <c r="AO551" i="26" s="1"/>
  <c r="BG1224" i="26"/>
  <c r="BH1224" i="26" s="1"/>
  <c r="AO1224" i="26" s="1"/>
  <c r="BG1203" i="26"/>
  <c r="BH1203" i="26" s="1"/>
  <c r="AO1203" i="26" s="1"/>
  <c r="BI579" i="26"/>
  <c r="BJ579" i="26" s="1"/>
  <c r="BZ190" i="6"/>
  <c r="CA190" i="6" s="1"/>
  <c r="BZ88" i="6"/>
  <c r="CA88" i="6" s="1"/>
  <c r="CB1061" i="6"/>
  <c r="CC1061" i="6" s="1"/>
  <c r="BG95" i="26"/>
  <c r="BH95" i="26" s="1"/>
  <c r="AO95" i="26" s="1"/>
  <c r="BI362" i="26"/>
  <c r="BJ362" i="26" s="1"/>
  <c r="BI417" i="26"/>
  <c r="BJ417" i="26" s="1"/>
  <c r="BG215" i="26"/>
  <c r="BH215" i="26" s="1"/>
  <c r="AO215" i="26" s="1"/>
  <c r="BZ154" i="6"/>
  <c r="CA154" i="6" s="1"/>
  <c r="BG78" i="26"/>
  <c r="BH78" i="26" s="1"/>
  <c r="AO78" i="26" s="1"/>
  <c r="CB102" i="6"/>
  <c r="CC102" i="6" s="1"/>
  <c r="BI102" i="6" s="1"/>
  <c r="CB196" i="6"/>
  <c r="CC196" i="6" s="1"/>
  <c r="BI196" i="6" s="1"/>
  <c r="BI735" i="26"/>
  <c r="BJ735" i="26" s="1"/>
  <c r="BG859" i="26"/>
  <c r="BH859" i="26" s="1"/>
  <c r="AO859" i="26" s="1"/>
  <c r="BG209" i="26"/>
  <c r="BH209" i="26" s="1"/>
  <c r="AO209" i="26" s="1"/>
  <c r="BG636" i="26"/>
  <c r="BH636" i="26" s="1"/>
  <c r="AO636" i="26" s="1"/>
  <c r="BI95" i="26"/>
  <c r="BJ95" i="26" s="1"/>
  <c r="BZ1096" i="6"/>
  <c r="CA1096" i="6" s="1"/>
  <c r="BI616" i="26"/>
  <c r="BJ616" i="26" s="1"/>
  <c r="BI719" i="26"/>
  <c r="BJ719" i="26" s="1"/>
  <c r="BI1218" i="26"/>
  <c r="BJ1218" i="26" s="1"/>
  <c r="AP1218" i="26" s="1"/>
  <c r="BG328" i="26"/>
  <c r="BH328" i="26" s="1"/>
  <c r="AO328" i="26" s="1"/>
  <c r="BG675" i="26"/>
  <c r="BH675" i="26" s="1"/>
  <c r="AO675" i="26" s="1"/>
  <c r="BG324" i="26"/>
  <c r="BH324" i="26" s="1"/>
  <c r="AO324" i="26" s="1"/>
  <c r="CB702" i="6"/>
  <c r="CC702" i="6" s="1"/>
  <c r="BI702" i="6" s="1"/>
  <c r="BZ906" i="6"/>
  <c r="CA906" i="6" s="1"/>
  <c r="CB138" i="6"/>
  <c r="CC138" i="6" s="1"/>
  <c r="BI138" i="6" s="1"/>
  <c r="CB986" i="6"/>
  <c r="CC986" i="6" s="1"/>
  <c r="BI148" i="26"/>
  <c r="BJ148" i="26" s="1"/>
  <c r="BZ824" i="6"/>
  <c r="CA824" i="6" s="1"/>
  <c r="BI522" i="26"/>
  <c r="BJ522" i="26" s="1"/>
  <c r="AP522" i="26" s="1"/>
  <c r="BI367" i="26"/>
  <c r="BJ367" i="26" s="1"/>
  <c r="BZ702" i="6"/>
  <c r="CA702" i="6" s="1"/>
  <c r="BZ445" i="6"/>
  <c r="CA445" i="6" s="1"/>
  <c r="BZ485" i="6"/>
  <c r="CA485" i="6" s="1"/>
  <c r="BG1188" i="26"/>
  <c r="BH1188" i="26" s="1"/>
  <c r="AO1188" i="26" s="1"/>
  <c r="BI1034" i="26"/>
  <c r="BJ1034" i="26" s="1"/>
  <c r="BG626" i="26"/>
  <c r="BH626" i="26" s="1"/>
  <c r="AO626" i="26" s="1"/>
  <c r="BG394" i="26"/>
  <c r="BH394" i="26" s="1"/>
  <c r="AO394" i="26" s="1"/>
  <c r="BI608" i="26"/>
  <c r="BJ608" i="26" s="1"/>
  <c r="BG135" i="26"/>
  <c r="BH135" i="26" s="1"/>
  <c r="AO135" i="26" s="1"/>
  <c r="BI627" i="26"/>
  <c r="BJ627" i="26" s="1"/>
  <c r="BG176" i="26"/>
  <c r="BH176" i="26" s="1"/>
  <c r="AO176" i="26" s="1"/>
  <c r="BI62" i="26"/>
  <c r="BJ62" i="26" s="1"/>
  <c r="BG267" i="26"/>
  <c r="BH267" i="26" s="1"/>
  <c r="AO267" i="26" s="1"/>
  <c r="CB640" i="6"/>
  <c r="CC640" i="6" s="1"/>
  <c r="BI640" i="6" s="1"/>
  <c r="BZ602" i="6"/>
  <c r="CA602" i="6" s="1"/>
  <c r="BZ465" i="6"/>
  <c r="CA465" i="6" s="1"/>
  <c r="CB582" i="6"/>
  <c r="CC582" i="6" s="1"/>
  <c r="BI582" i="6" s="1"/>
  <c r="BI700" i="26"/>
  <c r="BJ700" i="26" s="1"/>
  <c r="CB754" i="6"/>
  <c r="CC754" i="6" s="1"/>
  <c r="BI276" i="26"/>
  <c r="BJ276" i="26" s="1"/>
  <c r="BI186" i="26"/>
  <c r="BJ186" i="26" s="1"/>
  <c r="AP186" i="26" s="1"/>
  <c r="CB1218" i="6"/>
  <c r="CC1218" i="6" s="1"/>
  <c r="BI1218" i="6" s="1"/>
  <c r="BZ359" i="6"/>
  <c r="CA359" i="6" s="1"/>
  <c r="BZ551" i="6"/>
  <c r="CA551" i="6" s="1"/>
  <c r="BI740" i="26"/>
  <c r="BJ740" i="26" s="1"/>
  <c r="CB1096" i="6"/>
  <c r="CC1096" i="6" s="1"/>
  <c r="BI1096" i="6" s="1"/>
  <c r="AQ1096" i="6" s="1"/>
  <c r="BG174" i="26"/>
  <c r="BH174" i="26" s="1"/>
  <c r="AO174" i="26" s="1"/>
  <c r="BG295" i="26"/>
  <c r="BH295" i="26" s="1"/>
  <c r="AO295" i="26" s="1"/>
  <c r="BI418" i="26"/>
  <c r="BJ418" i="26" s="1"/>
  <c r="BI642" i="26"/>
  <c r="BJ642" i="26" s="1"/>
  <c r="BG826" i="26"/>
  <c r="BH826" i="26" s="1"/>
  <c r="AO826" i="26" s="1"/>
  <c r="BG430" i="26"/>
  <c r="BH430" i="26" s="1"/>
  <c r="AO430" i="26" s="1"/>
  <c r="BG800" i="26"/>
  <c r="BH800" i="26" s="1"/>
  <c r="AO800" i="26" s="1"/>
  <c r="BZ877" i="6"/>
  <c r="CA877" i="6" s="1"/>
  <c r="BZ612" i="6"/>
  <c r="CA612" i="6" s="1"/>
  <c r="BI250" i="26"/>
  <c r="BJ250" i="26" s="1"/>
  <c r="BG85" i="26"/>
  <c r="BH85" i="26" s="1"/>
  <c r="AO85" i="26" s="1"/>
  <c r="BG217" i="26"/>
  <c r="BH217" i="26" s="1"/>
  <c r="AO217" i="26" s="1"/>
  <c r="BG84" i="26"/>
  <c r="BH84" i="26" s="1"/>
  <c r="AO84" i="26" s="1"/>
  <c r="CB116" i="6"/>
  <c r="CC116" i="6" s="1"/>
  <c r="BI116" i="6" s="1"/>
  <c r="BI449" i="26"/>
  <c r="BJ449" i="26" s="1"/>
  <c r="BZ1004" i="6"/>
  <c r="CA1004" i="6" s="1"/>
  <c r="CB610" i="6"/>
  <c r="CC610" i="6" s="1"/>
  <c r="BI610" i="6" s="1"/>
  <c r="BG273" i="26"/>
  <c r="BH273" i="26" s="1"/>
  <c r="AO273" i="26" s="1"/>
  <c r="BI63" i="26"/>
  <c r="BJ63" i="26" s="1"/>
  <c r="AP63" i="26" s="1"/>
  <c r="BG479" i="26"/>
  <c r="BH479" i="26" s="1"/>
  <c r="AO479" i="26" s="1"/>
  <c r="BG1218" i="26"/>
  <c r="BH1218" i="26" s="1"/>
  <c r="AO1218" i="26" s="1"/>
  <c r="BI239" i="26"/>
  <c r="BJ239" i="26" s="1"/>
  <c r="BG629" i="26"/>
  <c r="BH629" i="26" s="1"/>
  <c r="AO629" i="26" s="1"/>
  <c r="BG870" i="26"/>
  <c r="BH870" i="26" s="1"/>
  <c r="AO870" i="26" s="1"/>
  <c r="BI424" i="26"/>
  <c r="BJ424" i="26" s="1"/>
  <c r="BG817" i="26"/>
  <c r="BH817" i="26" s="1"/>
  <c r="AO817" i="26" s="1"/>
  <c r="BG468" i="26"/>
  <c r="BH468" i="26" s="1"/>
  <c r="AO468" i="26" s="1"/>
  <c r="BZ728" i="6"/>
  <c r="CA728" i="6" s="1"/>
  <c r="CB1154" i="6"/>
  <c r="CC1154" i="6" s="1"/>
  <c r="BI1154" i="6" s="1"/>
  <c r="BZ138" i="6"/>
  <c r="CA138" i="6" s="1"/>
  <c r="BG604" i="26"/>
  <c r="BH604" i="26" s="1"/>
  <c r="AO604" i="26" s="1"/>
  <c r="BI215" i="26"/>
  <c r="BJ215" i="26" s="1"/>
  <c r="BZ1182" i="6"/>
  <c r="CA1182" i="6" s="1"/>
  <c r="BZ122" i="6"/>
  <c r="CA122" i="6" s="1"/>
  <c r="BZ438" i="6"/>
  <c r="CA438" i="6" s="1"/>
  <c r="BZ680" i="6"/>
  <c r="CA680" i="6" s="1"/>
  <c r="BZ520" i="6"/>
  <c r="CA520" i="6" s="1"/>
  <c r="BZ108" i="6"/>
  <c r="CA108" i="6" s="1"/>
  <c r="BG795" i="26"/>
  <c r="BH795" i="26" s="1"/>
  <c r="AO795" i="26" s="1"/>
  <c r="BG564" i="26"/>
  <c r="BH564" i="26" s="1"/>
  <c r="AO564" i="26" s="1"/>
  <c r="BG575" i="26"/>
  <c r="BH575" i="26" s="1"/>
  <c r="AO575" i="26" s="1"/>
  <c r="BI295" i="26"/>
  <c r="BJ295" i="26" s="1"/>
  <c r="BG594" i="26"/>
  <c r="BH594" i="26" s="1"/>
  <c r="AO594" i="26" s="1"/>
  <c r="BG642" i="26"/>
  <c r="BH642" i="26" s="1"/>
  <c r="AO642" i="26" s="1"/>
  <c r="BI826" i="26"/>
  <c r="BJ826" i="26" s="1"/>
  <c r="BI707" i="26"/>
  <c r="BJ707" i="26" s="1"/>
  <c r="BG790" i="26"/>
  <c r="BH790" i="26" s="1"/>
  <c r="AO790" i="26" s="1"/>
  <c r="BG193" i="26"/>
  <c r="BH193" i="26" s="1"/>
  <c r="AO193" i="26" s="1"/>
  <c r="BG497" i="26"/>
  <c r="BH497" i="26" s="1"/>
  <c r="AO497" i="26" s="1"/>
  <c r="BG71" i="26"/>
  <c r="BH71" i="26" s="1"/>
  <c r="AO71" i="26" s="1"/>
  <c r="BI245" i="26"/>
  <c r="BJ245" i="26" s="1"/>
  <c r="BI538" i="26"/>
  <c r="BJ538" i="26" s="1"/>
  <c r="BZ486" i="6"/>
  <c r="CA486" i="6" s="1"/>
  <c r="BZ170" i="6"/>
  <c r="CA170" i="6" s="1"/>
  <c r="BG716" i="26"/>
  <c r="BH716" i="26" s="1"/>
  <c r="AO716" i="26" s="1"/>
  <c r="BI574" i="26"/>
  <c r="BJ574" i="26" s="1"/>
  <c r="BI22" i="26"/>
  <c r="BJ22" i="26" s="1"/>
  <c r="AP22" i="26" s="1"/>
  <c r="BI439" i="26"/>
  <c r="BJ439" i="26" s="1"/>
  <c r="BI354" i="26"/>
  <c r="BJ354" i="26" s="1"/>
  <c r="AP354" i="26" s="1"/>
  <c r="BG383" i="26"/>
  <c r="BH383" i="26" s="1"/>
  <c r="AO383" i="26" s="1"/>
  <c r="BI465" i="26"/>
  <c r="BJ465" i="26" s="1"/>
  <c r="CB436" i="6"/>
  <c r="CC436" i="6" s="1"/>
  <c r="BI436" i="6" s="1"/>
  <c r="BI343" i="26"/>
  <c r="BJ343" i="26" s="1"/>
  <c r="BG369" i="26"/>
  <c r="BH369" i="26" s="1"/>
  <c r="AO369" i="26" s="1"/>
  <c r="BZ516" i="6"/>
  <c r="CA516" i="6" s="1"/>
  <c r="BI696" i="26"/>
  <c r="BJ696" i="26" s="1"/>
  <c r="AP696" i="26" s="1"/>
  <c r="BI548" i="26"/>
  <c r="BJ548" i="26" s="1"/>
  <c r="CB416" i="6"/>
  <c r="CC416" i="6" s="1"/>
  <c r="BI416" i="6" s="1"/>
  <c r="BZ483" i="6"/>
  <c r="CA483" i="6" s="1"/>
  <c r="BZ1054" i="6"/>
  <c r="CA1054" i="6" s="1"/>
  <c r="BZ325" i="6"/>
  <c r="CA325" i="6" s="1"/>
  <c r="CB816" i="6"/>
  <c r="CC816" i="6" s="1"/>
  <c r="CB1221" i="6"/>
  <c r="CC1221" i="6" s="1"/>
  <c r="BI1221" i="6" s="1"/>
  <c r="CB120" i="6"/>
  <c r="CC120" i="6" s="1"/>
  <c r="BI120" i="6" s="1"/>
  <c r="BI750" i="26"/>
  <c r="BJ750" i="26" s="1"/>
  <c r="BI637" i="26"/>
  <c r="BJ637" i="26" s="1"/>
  <c r="BZ1069" i="6"/>
  <c r="CA1069" i="6" s="1"/>
  <c r="CB111" i="6"/>
  <c r="CC111" i="6" s="1"/>
  <c r="BI111" i="6" s="1"/>
  <c r="CB495" i="6"/>
  <c r="CC495" i="6" s="1"/>
  <c r="BI495" i="6" s="1"/>
  <c r="BZ763" i="6"/>
  <c r="CA763" i="6" s="1"/>
  <c r="CB371" i="6"/>
  <c r="CC371" i="6" s="1"/>
  <c r="BI371" i="6" s="1"/>
  <c r="CB631" i="6"/>
  <c r="CC631" i="6" s="1"/>
  <c r="BI631" i="6" s="1"/>
  <c r="BZ626" i="6"/>
  <c r="CA626" i="6" s="1"/>
  <c r="BZ515" i="6"/>
  <c r="CA515" i="6" s="1"/>
  <c r="BG750" i="26"/>
  <c r="BH750" i="26" s="1"/>
  <c r="AO750" i="26" s="1"/>
  <c r="BG175" i="26"/>
  <c r="BH175" i="26" s="1"/>
  <c r="AO175" i="26" s="1"/>
  <c r="BG258" i="26"/>
  <c r="BH258" i="26" s="1"/>
  <c r="AO258" i="26" s="1"/>
  <c r="CB547" i="6"/>
  <c r="CC547" i="6" s="1"/>
  <c r="BI547" i="6" s="1"/>
  <c r="BZ96" i="6"/>
  <c r="CA96" i="6" s="1"/>
  <c r="CB1074" i="6"/>
  <c r="CC1074" i="6" s="1"/>
  <c r="BI1074" i="6" s="1"/>
  <c r="BZ1228" i="6"/>
  <c r="CA1228" i="6" s="1"/>
  <c r="BZ647" i="6"/>
  <c r="CA647" i="6" s="1"/>
  <c r="BZ588" i="6"/>
  <c r="CA588" i="6" s="1"/>
  <c r="BZ571" i="6"/>
  <c r="CA571" i="6" s="1"/>
  <c r="CB896" i="6"/>
  <c r="CC896" i="6" s="1"/>
  <c r="BZ669" i="6"/>
  <c r="CA669" i="6" s="1"/>
  <c r="CB133" i="6"/>
  <c r="CC133" i="6" s="1"/>
  <c r="BI133" i="6" s="1"/>
  <c r="CB544" i="6"/>
  <c r="CC544" i="6" s="1"/>
  <c r="BI544" i="6" s="1"/>
  <c r="CB1026" i="6"/>
  <c r="CC1026" i="6" s="1"/>
  <c r="BI1026" i="6" s="1"/>
  <c r="BI308" i="26"/>
  <c r="BJ308" i="26" s="1"/>
  <c r="CB280" i="6"/>
  <c r="CC280" i="6" s="1"/>
  <c r="BI280" i="6" s="1"/>
  <c r="BZ751" i="6"/>
  <c r="CA751" i="6" s="1"/>
  <c r="BZ526" i="6"/>
  <c r="CA526" i="6" s="1"/>
  <c r="BG38" i="26"/>
  <c r="BH38" i="26" s="1"/>
  <c r="AO38" i="26" s="1"/>
  <c r="BZ284" i="6"/>
  <c r="CA284" i="6" s="1"/>
  <c r="BI71" i="26"/>
  <c r="BJ71" i="26" s="1"/>
  <c r="BI580" i="26"/>
  <c r="BJ580" i="26" s="1"/>
  <c r="BZ532" i="6"/>
  <c r="CA532" i="6" s="1"/>
  <c r="CB400" i="6"/>
  <c r="CC400" i="6" s="1"/>
  <c r="BI400" i="6" s="1"/>
  <c r="CB445" i="6"/>
  <c r="CC445" i="6" s="1"/>
  <c r="BI667" i="26"/>
  <c r="BJ667" i="26" s="1"/>
  <c r="CB1081" i="6"/>
  <c r="CC1081" i="6" s="1"/>
  <c r="BI1081" i="6" s="1"/>
  <c r="BZ482" i="6"/>
  <c r="CA482" i="6" s="1"/>
  <c r="CB327" i="6"/>
  <c r="CC327" i="6" s="1"/>
  <c r="BI327" i="6" s="1"/>
  <c r="BZ1192" i="6"/>
  <c r="CA1192" i="6" s="1"/>
  <c r="BZ815" i="6"/>
  <c r="CA815" i="6" s="1"/>
  <c r="BZ367" i="6"/>
  <c r="CA367" i="6" s="1"/>
  <c r="CB1175" i="6"/>
  <c r="CC1175" i="6" s="1"/>
  <c r="CB296" i="6"/>
  <c r="CC296" i="6" s="1"/>
  <c r="BI296" i="6" s="1"/>
  <c r="BZ1244" i="6"/>
  <c r="CA1244" i="6" s="1"/>
  <c r="CB284" i="6"/>
  <c r="CC284" i="6" s="1"/>
  <c r="BI284" i="6" s="1"/>
  <c r="CB1268" i="6"/>
  <c r="CC1268" i="6" s="1"/>
  <c r="BI1268" i="6" s="1"/>
  <c r="BZ268" i="6"/>
  <c r="CA268" i="6" s="1"/>
  <c r="BZ461" i="6"/>
  <c r="CA461" i="6" s="1"/>
  <c r="CB1018" i="6"/>
  <c r="CC1018" i="6" s="1"/>
  <c r="BI1018" i="6" s="1"/>
  <c r="BZ1264" i="6"/>
  <c r="CA1264" i="6" s="1"/>
  <c r="BI604" i="26"/>
  <c r="BJ604" i="26" s="1"/>
  <c r="BG533" i="26"/>
  <c r="BH533" i="26" s="1"/>
  <c r="AO533" i="26" s="1"/>
  <c r="CB62" i="6"/>
  <c r="CC62" i="6" s="1"/>
  <c r="BI62" i="6" s="1"/>
  <c r="BZ1110" i="6"/>
  <c r="CA1110" i="6" s="1"/>
  <c r="BZ790" i="6"/>
  <c r="CA790" i="6" s="1"/>
  <c r="BZ330" i="6"/>
  <c r="CA330" i="6" s="1"/>
  <c r="CB117" i="6"/>
  <c r="CC117" i="6" s="1"/>
  <c r="BI117" i="6" s="1"/>
  <c r="CB201" i="6"/>
  <c r="CC201" i="6" s="1"/>
  <c r="BI201" i="6" s="1"/>
  <c r="AQ201" i="6" s="1"/>
  <c r="BZ80" i="6"/>
  <c r="CA80" i="6" s="1"/>
  <c r="CB611" i="6"/>
  <c r="CC611" i="6" s="1"/>
  <c r="BI611" i="6" s="1"/>
  <c r="CB799" i="6"/>
  <c r="CC799" i="6" s="1"/>
  <c r="CB42" i="6"/>
  <c r="CC42" i="6" s="1"/>
  <c r="BI42" i="6" s="1"/>
  <c r="BZ975" i="6"/>
  <c r="CA975" i="6" s="1"/>
  <c r="BG660" i="26"/>
  <c r="BH660" i="26" s="1"/>
  <c r="AO660" i="26" s="1"/>
  <c r="CB812" i="6"/>
  <c r="CC812" i="6" s="1"/>
  <c r="CB1099" i="6"/>
  <c r="CC1099" i="6" s="1"/>
  <c r="CB100" i="6"/>
  <c r="CC100" i="6" s="1"/>
  <c r="BI100" i="6" s="1"/>
  <c r="CB1120" i="6"/>
  <c r="CC1120" i="6" s="1"/>
  <c r="BI1120" i="6" s="1"/>
  <c r="AQ1120" i="6" s="1"/>
  <c r="BZ444" i="6"/>
  <c r="CA444" i="6" s="1"/>
  <c r="CB711" i="6"/>
  <c r="CC711" i="6" s="1"/>
  <c r="CB1052" i="6"/>
  <c r="CC1052" i="6" s="1"/>
  <c r="BZ856" i="6"/>
  <c r="CA856" i="6" s="1"/>
  <c r="BZ104" i="6"/>
  <c r="CA104" i="6" s="1"/>
  <c r="BZ696" i="6"/>
  <c r="CA696" i="6" s="1"/>
  <c r="BG230" i="26"/>
  <c r="BH230" i="26" s="1"/>
  <c r="AO230" i="26" s="1"/>
  <c r="BI596" i="26"/>
  <c r="BJ596" i="26" s="1"/>
  <c r="BG319" i="26"/>
  <c r="BH319" i="26" s="1"/>
  <c r="AO319" i="26" s="1"/>
  <c r="BZ44" i="6"/>
  <c r="CA44" i="6" s="1"/>
  <c r="BZ1169" i="6"/>
  <c r="CA1169" i="6" s="1"/>
  <c r="CB557" i="6"/>
  <c r="CC557" i="6" s="1"/>
  <c r="BI557" i="6" s="1"/>
  <c r="BG32" i="26"/>
  <c r="BH32" i="26" s="1"/>
  <c r="AO32" i="26" s="1"/>
  <c r="CB824" i="6"/>
  <c r="CC824" i="6" s="1"/>
  <c r="BI660" i="26"/>
  <c r="BJ660" i="26" s="1"/>
  <c r="BZ864" i="6"/>
  <c r="CA864" i="6" s="1"/>
  <c r="BZ303" i="6"/>
  <c r="CA303" i="6" s="1"/>
  <c r="CB924" i="6"/>
  <c r="CC924" i="6" s="1"/>
  <c r="BZ399" i="6"/>
  <c r="CA399" i="6" s="1"/>
  <c r="BG281" i="26"/>
  <c r="BH281" i="26" s="1"/>
  <c r="AO281" i="26" s="1"/>
  <c r="BZ884" i="6"/>
  <c r="CA884" i="6" s="1"/>
  <c r="BZ65" i="6"/>
  <c r="CA65" i="6" s="1"/>
  <c r="BZ772" i="6"/>
  <c r="CA772" i="6" s="1"/>
  <c r="BZ974" i="6"/>
  <c r="CA974" i="6" s="1"/>
  <c r="BZ675" i="6"/>
  <c r="CA675" i="6" s="1"/>
  <c r="BI227" i="26"/>
  <c r="BJ227" i="26" s="1"/>
  <c r="BG742" i="26"/>
  <c r="BH742" i="26" s="1"/>
  <c r="AO742" i="26" s="1"/>
  <c r="BI107" i="26"/>
  <c r="BJ107" i="26" s="1"/>
  <c r="BZ946" i="6"/>
  <c r="CA946" i="6" s="1"/>
  <c r="CB130" i="6"/>
  <c r="CC130" i="6" s="1"/>
  <c r="BI130" i="6" s="1"/>
  <c r="BG250" i="26"/>
  <c r="BH250" i="26" s="1"/>
  <c r="AO250" i="26" s="1"/>
  <c r="BZ782" i="6"/>
  <c r="CA782" i="6" s="1"/>
  <c r="CB73" i="6"/>
  <c r="CC73" i="6" s="1"/>
  <c r="BI73" i="6" s="1"/>
  <c r="CB142" i="6"/>
  <c r="CC142" i="6" s="1"/>
  <c r="BI142" i="6" s="1"/>
  <c r="BZ401" i="6"/>
  <c r="CA401" i="6" s="1"/>
  <c r="BZ1089" i="6"/>
  <c r="CA1089" i="6" s="1"/>
  <c r="BZ495" i="6"/>
  <c r="CA495" i="6" s="1"/>
  <c r="BZ707" i="6"/>
  <c r="CA707" i="6" s="1"/>
  <c r="CB886" i="6"/>
  <c r="CC886" i="6" s="1"/>
  <c r="BZ725" i="6"/>
  <c r="CA725" i="6" s="1"/>
  <c r="BZ1131" i="6"/>
  <c r="CA1131" i="6" s="1"/>
  <c r="BZ892" i="6"/>
  <c r="CA892" i="6" s="1"/>
  <c r="BZ109" i="6"/>
  <c r="CA109" i="6" s="1"/>
  <c r="BZ956" i="6"/>
  <c r="CA956" i="6" s="1"/>
  <c r="BZ1191" i="6"/>
  <c r="CA1191" i="6" s="1"/>
  <c r="BZ941" i="6"/>
  <c r="CA941" i="6" s="1"/>
  <c r="BG637" i="26"/>
  <c r="BH637" i="26" s="1"/>
  <c r="AO637" i="26" s="1"/>
  <c r="BG160" i="26"/>
  <c r="BH160" i="26" s="1"/>
  <c r="AO160" i="26" s="1"/>
  <c r="BZ1174" i="6"/>
  <c r="CA1174" i="6" s="1"/>
  <c r="BZ136" i="6"/>
  <c r="CA136" i="6" s="1"/>
  <c r="BZ808" i="6"/>
  <c r="CA808" i="6" s="1"/>
  <c r="BI316" i="26"/>
  <c r="BJ316" i="26" s="1"/>
  <c r="BG672" i="26"/>
  <c r="BH672" i="26" s="1"/>
  <c r="AO672" i="26" s="1"/>
  <c r="BZ454" i="6"/>
  <c r="CA454" i="6" s="1"/>
  <c r="CB265" i="6"/>
  <c r="CC265" i="6" s="1"/>
  <c r="BI265" i="6" s="1"/>
  <c r="CB1111" i="6"/>
  <c r="CC1111" i="6" s="1"/>
  <c r="BI1111" i="6" s="1"/>
  <c r="BZ32" i="6"/>
  <c r="CA32" i="6" s="1"/>
  <c r="BZ917" i="6"/>
  <c r="CA917" i="6" s="1"/>
  <c r="BZ972" i="6"/>
  <c r="CA972" i="6" s="1"/>
  <c r="CB1102" i="6"/>
  <c r="CC1102" i="6" s="1"/>
  <c r="BI1102" i="6" s="1"/>
  <c r="AQ1102" i="6" s="1"/>
  <c r="BI35" i="26"/>
  <c r="BJ35" i="26" s="1"/>
  <c r="AP35" i="26" s="1"/>
  <c r="CB959" i="6"/>
  <c r="CC959" i="6" s="1"/>
  <c r="CB1229" i="6"/>
  <c r="CC1229" i="6" s="1"/>
  <c r="CB666" i="6"/>
  <c r="CC666" i="6" s="1"/>
  <c r="BZ547" i="6"/>
  <c r="CA547" i="6" s="1"/>
  <c r="CB493" i="6"/>
  <c r="CC493" i="6" s="1"/>
  <c r="BI493" i="6" s="1"/>
  <c r="BZ1213" i="6"/>
  <c r="CA1213" i="6" s="1"/>
  <c r="BI410" i="26"/>
  <c r="BJ410" i="26" s="1"/>
  <c r="CB359" i="6"/>
  <c r="CC359" i="6" s="1"/>
  <c r="BI359" i="6" s="1"/>
  <c r="CB370" i="6"/>
  <c r="CC370" i="6" s="1"/>
  <c r="BI370" i="6" s="1"/>
  <c r="BI698" i="26"/>
  <c r="BJ698" i="26" s="1"/>
  <c r="BG552" i="26"/>
  <c r="BH552" i="26" s="1"/>
  <c r="AO552" i="26" s="1"/>
  <c r="CB1122" i="6"/>
  <c r="CC1122" i="6" s="1"/>
  <c r="BI1122" i="6" s="1"/>
  <c r="AQ1122" i="6" s="1"/>
  <c r="CB923" i="6"/>
  <c r="CC923" i="6" s="1"/>
  <c r="CB1037" i="6"/>
  <c r="CC1037" i="6" s="1"/>
  <c r="BI1037" i="6" s="1"/>
  <c r="AQ1037" i="6" s="1"/>
  <c r="BZ1076" i="6"/>
  <c r="CA1076" i="6" s="1"/>
  <c r="CB585" i="6"/>
  <c r="CC585" i="6" s="1"/>
  <c r="BI585" i="6" s="1"/>
  <c r="CB888" i="6"/>
  <c r="CC888" i="6" s="1"/>
  <c r="BZ764" i="6"/>
  <c r="CA764" i="6" s="1"/>
  <c r="BZ1026" i="6"/>
  <c r="CA1026" i="6" s="1"/>
  <c r="BI598" i="26"/>
  <c r="BJ598" i="26" s="1"/>
  <c r="BZ209" i="6"/>
  <c r="CA209" i="6" s="1"/>
  <c r="CB791" i="6"/>
  <c r="CC791" i="6" s="1"/>
  <c r="CB820" i="6"/>
  <c r="CC820" i="6" s="1"/>
  <c r="CB437" i="6"/>
  <c r="CC437" i="6" s="1"/>
  <c r="BI437" i="6" s="1"/>
  <c r="AS437" i="6" s="1"/>
  <c r="BZ592" i="6"/>
  <c r="CA592" i="6" s="1"/>
  <c r="BZ863" i="6"/>
  <c r="CA863" i="6" s="1"/>
  <c r="BZ1151" i="6"/>
  <c r="CA1151" i="6" s="1"/>
  <c r="BZ895" i="6"/>
  <c r="CA895" i="6" s="1"/>
  <c r="CB753" i="6"/>
  <c r="CC753" i="6" s="1"/>
  <c r="BZ1101" i="6"/>
  <c r="CA1101" i="6" s="1"/>
  <c r="CB27" i="6"/>
  <c r="CC27" i="6" s="1"/>
  <c r="BI27" i="6" s="1"/>
  <c r="BZ621" i="6"/>
  <c r="CA621" i="6" s="1"/>
  <c r="CB413" i="6"/>
  <c r="CC413" i="6" s="1"/>
  <c r="BI413" i="6" s="1"/>
  <c r="CB1191" i="6"/>
  <c r="CC1191" i="6" s="1"/>
  <c r="BZ311" i="6"/>
  <c r="CA311" i="6" s="1"/>
  <c r="CB568" i="6"/>
  <c r="CC568" i="6" s="1"/>
  <c r="BI568" i="6" s="1"/>
  <c r="CB232" i="6"/>
  <c r="CC232" i="6" s="1"/>
  <c r="BI232" i="6" s="1"/>
  <c r="CB629" i="6"/>
  <c r="CC629" i="6" s="1"/>
  <c r="BI629" i="6" s="1"/>
  <c r="BZ847" i="6"/>
  <c r="CA847" i="6" s="1"/>
  <c r="CB860" i="6"/>
  <c r="CC860" i="6" s="1"/>
  <c r="CB1232" i="6"/>
  <c r="CC1232" i="6" s="1"/>
  <c r="BZ541" i="6"/>
  <c r="CA541" i="6" s="1"/>
  <c r="BZ1071" i="6"/>
  <c r="CA1071" i="6" s="1"/>
  <c r="BZ273" i="6"/>
  <c r="CA273" i="6" s="1"/>
  <c r="CB240" i="6"/>
  <c r="CC240" i="6" s="1"/>
  <c r="BI240" i="6" s="1"/>
  <c r="BZ997" i="6"/>
  <c r="CA997" i="6" s="1"/>
  <c r="CB440" i="6"/>
  <c r="CC440" i="6" s="1"/>
  <c r="BI440" i="6" s="1"/>
  <c r="CB256" i="6"/>
  <c r="CC256" i="6" s="1"/>
  <c r="BZ527" i="6"/>
  <c r="CA527" i="6" s="1"/>
  <c r="BZ221" i="6"/>
  <c r="CA221" i="6" s="1"/>
  <c r="BZ1024" i="6"/>
  <c r="CA1024" i="6" s="1"/>
  <c r="BZ105" i="6"/>
  <c r="CA105" i="6" s="1"/>
  <c r="CB1093" i="6"/>
  <c r="CC1093" i="6" s="1"/>
  <c r="BI1093" i="6" s="1"/>
  <c r="AQ1093" i="6" s="1"/>
  <c r="CB609" i="6"/>
  <c r="CC609" i="6" s="1"/>
  <c r="BI609" i="6" s="1"/>
  <c r="BZ424" i="6"/>
  <c r="CA424" i="6" s="1"/>
  <c r="BZ1047" i="6"/>
  <c r="CA1047" i="6" s="1"/>
  <c r="CB342" i="6"/>
  <c r="CC342" i="6" s="1"/>
  <c r="BI342" i="6" s="1"/>
  <c r="BZ632" i="6"/>
  <c r="CA632" i="6" s="1"/>
  <c r="BZ283" i="6"/>
  <c r="CA283" i="6" s="1"/>
  <c r="BZ258" i="6"/>
  <c r="CA258" i="6" s="1"/>
  <c r="BI383" i="26"/>
  <c r="BJ383" i="26" s="1"/>
  <c r="CB847" i="6"/>
  <c r="CC847" i="6" s="1"/>
  <c r="BZ1138" i="6"/>
  <c r="CA1138" i="6" s="1"/>
  <c r="CB85" i="6"/>
  <c r="CC85" i="6" s="1"/>
  <c r="BI85" i="6" s="1"/>
  <c r="CB1238" i="6"/>
  <c r="CC1238" i="6" s="1"/>
  <c r="BZ412" i="6"/>
  <c r="CA412" i="6" s="1"/>
  <c r="CB384" i="6"/>
  <c r="CC384" i="6" s="1"/>
  <c r="BI384" i="6" s="1"/>
  <c r="BZ137" i="6"/>
  <c r="CA137" i="6" s="1"/>
  <c r="CB1160" i="6"/>
  <c r="CC1160" i="6" s="1"/>
  <c r="BI1160" i="6" s="1"/>
  <c r="CB647" i="6"/>
  <c r="CC647" i="6" s="1"/>
  <c r="BI647" i="6" s="1"/>
  <c r="CB205" i="6"/>
  <c r="CC205" i="6" s="1"/>
  <c r="BI205" i="6" s="1"/>
  <c r="CB167" i="6"/>
  <c r="CC167" i="6" s="1"/>
  <c r="BI167" i="6" s="1"/>
  <c r="BZ761" i="6"/>
  <c r="CA761" i="6" s="1"/>
  <c r="BZ480" i="6"/>
  <c r="CA480" i="6" s="1"/>
  <c r="BZ41" i="6"/>
  <c r="CA41" i="6" s="1"/>
  <c r="CB195" i="6"/>
  <c r="CC195" i="6" s="1"/>
  <c r="BI195" i="6" s="1"/>
  <c r="CB861" i="6"/>
  <c r="CC861" i="6" s="1"/>
  <c r="BZ1117" i="6"/>
  <c r="CA1117" i="6" s="1"/>
  <c r="CB222" i="6"/>
  <c r="CC222" i="6" s="1"/>
  <c r="BI222" i="6" s="1"/>
  <c r="CB1259" i="6"/>
  <c r="CC1259" i="6" s="1"/>
  <c r="BI1259" i="6" s="1"/>
  <c r="CB250" i="6"/>
  <c r="CC250" i="6" s="1"/>
  <c r="BI250" i="6" s="1"/>
  <c r="CB1097" i="6"/>
  <c r="CC1097" i="6" s="1"/>
  <c r="CB989" i="6"/>
  <c r="CC989" i="6" s="1"/>
  <c r="BI989" i="6" s="1"/>
  <c r="BZ474" i="6"/>
  <c r="CA474" i="6" s="1"/>
  <c r="BZ1179" i="6"/>
  <c r="CA1179" i="6" s="1"/>
  <c r="BZ844" i="6"/>
  <c r="CA844" i="6" s="1"/>
  <c r="BZ313" i="6"/>
  <c r="CA313" i="6" s="1"/>
  <c r="BZ891" i="6"/>
  <c r="CA891" i="6" s="1"/>
  <c r="CB1071" i="6"/>
  <c r="CC1071" i="6" s="1"/>
  <c r="BI1071" i="6" s="1"/>
  <c r="AS1071" i="6" s="1"/>
  <c r="BZ813" i="6"/>
  <c r="CA813" i="6" s="1"/>
  <c r="BZ807" i="6"/>
  <c r="CA807" i="6" s="1"/>
  <c r="BZ609" i="6"/>
  <c r="CA609" i="6" s="1"/>
  <c r="BZ211" i="6"/>
  <c r="CA211" i="6" s="1"/>
  <c r="BZ625" i="6"/>
  <c r="CA625" i="6" s="1"/>
  <c r="BZ1077" i="6"/>
  <c r="CA1077" i="6" s="1"/>
  <c r="BG49" i="26"/>
  <c r="BH49" i="26" s="1"/>
  <c r="AO49" i="26" s="1"/>
  <c r="BZ1232" i="6"/>
  <c r="CA1232" i="6" s="1"/>
  <c r="CB171" i="6"/>
  <c r="CC171" i="6" s="1"/>
  <c r="BI171" i="6" s="1"/>
  <c r="BI47" i="26"/>
  <c r="BJ47" i="26" s="1"/>
  <c r="AP47" i="26" s="1"/>
  <c r="CB79" i="6"/>
  <c r="CC79" i="6" s="1"/>
  <c r="BI79" i="6" s="1"/>
  <c r="CB741" i="6"/>
  <c r="CC741" i="6" s="1"/>
  <c r="BZ985" i="6"/>
  <c r="CA985" i="6" s="1"/>
  <c r="CB101" i="6"/>
  <c r="CC101" i="6" s="1"/>
  <c r="BI101" i="6" s="1"/>
  <c r="BZ766" i="6"/>
  <c r="CA766" i="6" s="1"/>
  <c r="BZ189" i="6"/>
  <c r="CA189" i="6" s="1"/>
  <c r="BZ1027" i="6"/>
  <c r="CA1027" i="6" s="1"/>
  <c r="CB301" i="6"/>
  <c r="CC301" i="6" s="1"/>
  <c r="BI301" i="6" s="1"/>
  <c r="BZ709" i="6"/>
  <c r="CA709" i="6" s="1"/>
  <c r="BZ177" i="6"/>
  <c r="CA177" i="6" s="1"/>
  <c r="CB555" i="6"/>
  <c r="CC555" i="6" s="1"/>
  <c r="BI555" i="6" s="1"/>
  <c r="CB662" i="6"/>
  <c r="CC662" i="6" s="1"/>
  <c r="CB1101" i="6"/>
  <c r="CC1101" i="6" s="1"/>
  <c r="BI1101" i="6" s="1"/>
  <c r="AQ1101" i="6" s="1"/>
  <c r="BZ558" i="6"/>
  <c r="CA558" i="6" s="1"/>
  <c r="BZ987" i="6"/>
  <c r="CA987" i="6" s="1"/>
  <c r="BZ671" i="6"/>
  <c r="CA671" i="6" s="1"/>
  <c r="BZ264" i="6"/>
  <c r="CA264" i="6" s="1"/>
  <c r="CB623" i="6"/>
  <c r="CC623" i="6" s="1"/>
  <c r="BI623" i="6" s="1"/>
  <c r="BZ1014" i="6"/>
  <c r="CA1014" i="6" s="1"/>
  <c r="BZ1172" i="6"/>
  <c r="CA1172" i="6" s="1"/>
  <c r="BZ849" i="6"/>
  <c r="CA849" i="6" s="1"/>
  <c r="BZ314" i="6"/>
  <c r="CA314" i="6" s="1"/>
  <c r="BZ1148" i="6"/>
  <c r="CA1148" i="6" s="1"/>
  <c r="BZ232" i="6"/>
  <c r="CA232" i="6" s="1"/>
  <c r="CB663" i="6"/>
  <c r="CC663" i="6" s="1"/>
  <c r="CB1125" i="6"/>
  <c r="CC1125" i="6" s="1"/>
  <c r="BI1125" i="6" s="1"/>
  <c r="AQ1125" i="6" s="1"/>
  <c r="BZ1144" i="6"/>
  <c r="CA1144" i="6" s="1"/>
  <c r="BZ1157" i="6"/>
  <c r="CA1157" i="6" s="1"/>
  <c r="CB1131" i="6"/>
  <c r="CC1131" i="6" s="1"/>
  <c r="BI1131" i="6" s="1"/>
  <c r="BZ964" i="6"/>
  <c r="CA964" i="6" s="1"/>
  <c r="BZ141" i="6"/>
  <c r="CA141" i="6" s="1"/>
  <c r="CB1085" i="6"/>
  <c r="CC1085" i="6" s="1"/>
  <c r="BG19" i="26"/>
  <c r="BH19" i="26" s="1"/>
  <c r="AO19" i="26" s="1"/>
  <c r="CB1235" i="6"/>
  <c r="CC1235" i="6" s="1"/>
  <c r="BZ324" i="6"/>
  <c r="CA324" i="6" s="1"/>
  <c r="BZ606" i="6"/>
  <c r="CA606" i="6" s="1"/>
  <c r="CB1135" i="6"/>
  <c r="CC1135" i="6" s="1"/>
  <c r="BI1135" i="6" s="1"/>
  <c r="BI157" i="26"/>
  <c r="BJ157" i="26" s="1"/>
  <c r="BG455" i="26"/>
  <c r="BH455" i="26" s="1"/>
  <c r="AO455" i="26" s="1"/>
  <c r="CB877" i="6"/>
  <c r="CC877" i="6" s="1"/>
  <c r="CB364" i="6"/>
  <c r="CC364" i="6" s="1"/>
  <c r="BI364" i="6" s="1"/>
  <c r="CB956" i="6"/>
  <c r="CC956" i="6" s="1"/>
  <c r="BI277" i="26"/>
  <c r="BJ277" i="26" s="1"/>
  <c r="BI753" i="26"/>
  <c r="BJ753" i="26" s="1"/>
  <c r="CB20" i="6"/>
  <c r="CC20" i="6" s="1"/>
  <c r="BI20" i="6" s="1"/>
  <c r="BZ1207" i="6"/>
  <c r="CA1207" i="6" s="1"/>
  <c r="BZ75" i="6"/>
  <c r="CA75" i="6" s="1"/>
  <c r="CB507" i="6"/>
  <c r="CC507" i="6" s="1"/>
  <c r="BI507" i="6" s="1"/>
  <c r="BZ201" i="6"/>
  <c r="CA201" i="6" s="1"/>
  <c r="CB403" i="6"/>
  <c r="CC403" i="6" s="1"/>
  <c r="BI403" i="6" s="1"/>
  <c r="BZ1212" i="6"/>
  <c r="CA1212" i="6" s="1"/>
  <c r="CB315" i="6"/>
  <c r="CC315" i="6" s="1"/>
  <c r="BI315" i="6" s="1"/>
  <c r="CB928" i="6"/>
  <c r="CC928" i="6" s="1"/>
  <c r="BI928" i="6" s="1"/>
  <c r="CB645" i="6"/>
  <c r="CC645" i="6" s="1"/>
  <c r="BI645" i="6" s="1"/>
  <c r="BZ1099" i="6"/>
  <c r="CA1099" i="6" s="1"/>
  <c r="BG63" i="26"/>
  <c r="BH63" i="26" s="1"/>
  <c r="AO63" i="26" s="1"/>
  <c r="CB91" i="6"/>
  <c r="CC91" i="6" s="1"/>
  <c r="BI91" i="6" s="1"/>
  <c r="CB442" i="6"/>
  <c r="CC442" i="6" s="1"/>
  <c r="CB596" i="6"/>
  <c r="CC596" i="6" s="1"/>
  <c r="BI596" i="6" s="1"/>
  <c r="CB1168" i="6"/>
  <c r="CC1168" i="6" s="1"/>
  <c r="BI1168" i="6" s="1"/>
  <c r="BZ832" i="6"/>
  <c r="CA832" i="6" s="1"/>
  <c r="BI297" i="26"/>
  <c r="BJ297" i="26" s="1"/>
  <c r="BI369" i="26"/>
  <c r="BJ369" i="26" s="1"/>
  <c r="BI733" i="26"/>
  <c r="BJ733" i="26" s="1"/>
  <c r="BG364" i="26"/>
  <c r="BH364" i="26" s="1"/>
  <c r="AO364" i="26" s="1"/>
  <c r="BZ62" i="6"/>
  <c r="CA62" i="6" s="1"/>
  <c r="CB16" i="6"/>
  <c r="CC16" i="6" s="1"/>
  <c r="BI16" i="6" s="1"/>
  <c r="CB779" i="6"/>
  <c r="CC779" i="6" s="1"/>
  <c r="BZ557" i="6"/>
  <c r="CA557" i="6" s="1"/>
  <c r="CB747" i="6"/>
  <c r="CC747" i="6" s="1"/>
  <c r="CB725" i="6"/>
  <c r="CC725" i="6" s="1"/>
  <c r="CB805" i="6"/>
  <c r="CC805" i="6" s="1"/>
  <c r="BI805" i="6" s="1"/>
  <c r="CB1215" i="6"/>
  <c r="CC1215" i="6" s="1"/>
  <c r="CB583" i="6"/>
  <c r="CC583" i="6" s="1"/>
  <c r="BI583" i="6" s="1"/>
  <c r="CB793" i="6"/>
  <c r="CC793" i="6" s="1"/>
  <c r="BG13" i="26"/>
  <c r="BH13" i="26" s="1"/>
  <c r="AO13" i="26" s="1"/>
  <c r="CB168" i="6"/>
  <c r="CC168" i="6" s="1"/>
  <c r="BI168" i="6" s="1"/>
  <c r="CB1184" i="6"/>
  <c r="CC1184" i="6" s="1"/>
  <c r="CB71" i="6"/>
  <c r="CC71" i="6" s="1"/>
  <c r="BI71" i="6" s="1"/>
  <c r="CB192" i="6"/>
  <c r="CC192" i="6" s="1"/>
  <c r="BI192" i="6" s="1"/>
  <c r="BZ1015" i="6"/>
  <c r="CA1015" i="6" s="1"/>
  <c r="CB681" i="6"/>
  <c r="CC681" i="6" s="1"/>
  <c r="BI159" i="26"/>
  <c r="BJ159" i="26" s="1"/>
  <c r="BG313" i="26"/>
  <c r="BH313" i="26" s="1"/>
  <c r="AO313" i="26" s="1"/>
  <c r="BI631" i="26"/>
  <c r="BJ631" i="26" s="1"/>
  <c r="BG546" i="26"/>
  <c r="BH546" i="26" s="1"/>
  <c r="AO546" i="26" s="1"/>
  <c r="BZ98" i="6"/>
  <c r="CA98" i="6" s="1"/>
  <c r="BZ605" i="6"/>
  <c r="CA605" i="6" s="1"/>
  <c r="BZ329" i="6"/>
  <c r="CA329" i="6" s="1"/>
  <c r="CB743" i="6"/>
  <c r="CC743" i="6" s="1"/>
  <c r="CB952" i="6"/>
  <c r="CC952" i="6" s="1"/>
  <c r="CB648" i="6"/>
  <c r="CC648" i="6" s="1"/>
  <c r="BI648" i="6" s="1"/>
  <c r="CB1077" i="6"/>
  <c r="CC1077" i="6" s="1"/>
  <c r="BI1077" i="6" s="1"/>
  <c r="BZ1121" i="6"/>
  <c r="CA1121" i="6" s="1"/>
  <c r="CB289" i="6"/>
  <c r="CC289" i="6" s="1"/>
  <c r="CB1224" i="6"/>
  <c r="CC1224" i="6" s="1"/>
  <c r="BI1224" i="6" s="1"/>
  <c r="BZ968" i="6"/>
  <c r="CA968" i="6" s="1"/>
  <c r="BZ667" i="6"/>
  <c r="CA667" i="6" s="1"/>
  <c r="BG35" i="26"/>
  <c r="BH35" i="26" s="1"/>
  <c r="AO35" i="26" s="1"/>
  <c r="BZ568" i="6"/>
  <c r="CA568" i="6" s="1"/>
  <c r="BZ1226" i="6"/>
  <c r="CA1226" i="6" s="1"/>
  <c r="CB511" i="6"/>
  <c r="CC511" i="6" s="1"/>
  <c r="BI511" i="6" s="1"/>
  <c r="BZ489" i="6"/>
  <c r="CA489" i="6" s="1"/>
  <c r="BG492" i="26"/>
  <c r="BH492" i="26" s="1"/>
  <c r="AO492" i="26" s="1"/>
  <c r="CB1150" i="6"/>
  <c r="CC1150" i="6" s="1"/>
  <c r="BI1150" i="6" s="1"/>
  <c r="BZ616" i="6"/>
  <c r="CA616" i="6" s="1"/>
  <c r="BZ1154" i="6"/>
  <c r="CA1154" i="6" s="1"/>
  <c r="BZ206" i="6"/>
  <c r="CA206" i="6" s="1"/>
  <c r="CB365" i="6"/>
  <c r="CC365" i="6" s="1"/>
  <c r="BI365" i="6" s="1"/>
  <c r="BZ711" i="6"/>
  <c r="CA711" i="6" s="1"/>
  <c r="BZ278" i="6"/>
  <c r="CA278" i="6" s="1"/>
  <c r="CB578" i="6"/>
  <c r="CC578" i="6" s="1"/>
  <c r="BZ1194" i="6"/>
  <c r="CA1194" i="6" s="1"/>
  <c r="BG31" i="26"/>
  <c r="BH31" i="26" s="1"/>
  <c r="AO31" i="26" s="1"/>
  <c r="CB76" i="6"/>
  <c r="CC76" i="6" s="1"/>
  <c r="BI76" i="6" s="1"/>
  <c r="BZ620" i="6"/>
  <c r="CA620" i="6" s="1"/>
  <c r="BZ760" i="6"/>
  <c r="CA760" i="6" s="1"/>
  <c r="CB828" i="6"/>
  <c r="CC828" i="6" s="1"/>
  <c r="CB464" i="6"/>
  <c r="CC464" i="6" s="1"/>
  <c r="BI464" i="6" s="1"/>
  <c r="BZ196" i="6"/>
  <c r="CA196" i="6" s="1"/>
  <c r="CB399" i="6"/>
  <c r="CC399" i="6" s="1"/>
  <c r="BI399" i="6" s="1"/>
  <c r="CB1181" i="6"/>
  <c r="CC1181" i="6" s="1"/>
  <c r="CB1139" i="6"/>
  <c r="CC1139" i="6" s="1"/>
  <c r="BZ1239" i="6"/>
  <c r="CA1239" i="6" s="1"/>
  <c r="CB109" i="6"/>
  <c r="CC109" i="6" s="1"/>
  <c r="BI109" i="6" s="1"/>
  <c r="BZ1006" i="6"/>
  <c r="CA1006" i="6" s="1"/>
  <c r="BZ722" i="6"/>
  <c r="CA722" i="6" s="1"/>
  <c r="BI376" i="26"/>
  <c r="BJ376" i="26" s="1"/>
  <c r="CB906" i="6"/>
  <c r="CC906" i="6" s="1"/>
  <c r="CB279" i="6"/>
  <c r="CC279" i="6" s="1"/>
  <c r="BI279" i="6" s="1"/>
  <c r="CB434" i="6"/>
  <c r="CC434" i="6" s="1"/>
  <c r="BI434" i="6" s="1"/>
  <c r="CB1204" i="6"/>
  <c r="CC1204" i="6" s="1"/>
  <c r="BI1204" i="6" s="1"/>
  <c r="CB264" i="6"/>
  <c r="CC264" i="6" s="1"/>
  <c r="BI264" i="6" s="1"/>
  <c r="BZ1039" i="6"/>
  <c r="CA1039" i="6" s="1"/>
  <c r="CB658" i="6"/>
  <c r="CC658" i="6" s="1"/>
  <c r="BI658" i="6" s="1"/>
  <c r="CB353" i="6"/>
  <c r="CC353" i="6" s="1"/>
  <c r="BI353" i="6" s="1"/>
  <c r="BZ928" i="6"/>
  <c r="CA928" i="6" s="1"/>
  <c r="CB1227" i="6"/>
  <c r="CC1227" i="6" s="1"/>
  <c r="CB883" i="6"/>
  <c r="CC883" i="6" s="1"/>
  <c r="BZ601" i="6"/>
  <c r="CA601" i="6" s="1"/>
  <c r="BG109" i="26"/>
  <c r="BH109" i="26" s="1"/>
  <c r="AO109" i="26" s="1"/>
  <c r="CB715" i="6"/>
  <c r="CC715" i="6" s="1"/>
  <c r="BZ305" i="6"/>
  <c r="CA305" i="6" s="1"/>
  <c r="CB764" i="6"/>
  <c r="CC764" i="6" s="1"/>
  <c r="CB668" i="6"/>
  <c r="CC668" i="6" s="1"/>
  <c r="CB1079" i="6"/>
  <c r="CC1079" i="6" s="1"/>
  <c r="BG240" i="26"/>
  <c r="BH240" i="26" s="1"/>
  <c r="AO240" i="26" s="1"/>
  <c r="BG348" i="26"/>
  <c r="BH348" i="26" s="1"/>
  <c r="AO348" i="26" s="1"/>
  <c r="BG114" i="26"/>
  <c r="BH114" i="26" s="1"/>
  <c r="AO114" i="26" s="1"/>
  <c r="CB1048" i="6"/>
  <c r="CC1048" i="6" s="1"/>
  <c r="BI1048" i="6" s="1"/>
  <c r="CB210" i="6"/>
  <c r="CC210" i="6" s="1"/>
  <c r="BI210" i="6" s="1"/>
  <c r="CB949" i="6"/>
  <c r="CC949" i="6" s="1"/>
  <c r="CB985" i="6"/>
  <c r="CC985" i="6" s="1"/>
  <c r="BZ774" i="6"/>
  <c r="CA774" i="6" s="1"/>
  <c r="CB680" i="6"/>
  <c r="CC680" i="6" s="1"/>
  <c r="CB258" i="6"/>
  <c r="CC258" i="6" s="1"/>
  <c r="BI258" i="6" s="1"/>
  <c r="BG16" i="26"/>
  <c r="BH16" i="26" s="1"/>
  <c r="AO16" i="26" s="1"/>
  <c r="CB226" i="6"/>
  <c r="CC226" i="6" s="1"/>
  <c r="BI226" i="6" s="1"/>
  <c r="CB456" i="6"/>
  <c r="CC456" i="6" s="1"/>
  <c r="BI456" i="6" s="1"/>
  <c r="BZ848" i="6"/>
  <c r="CA848" i="6" s="1"/>
  <c r="CB209" i="6"/>
  <c r="CC209" i="6" s="1"/>
  <c r="BI209" i="6" s="1"/>
  <c r="CB356" i="6"/>
  <c r="CC356" i="6" s="1"/>
  <c r="BI356" i="6" s="1"/>
  <c r="CB99" i="6"/>
  <c r="CC99" i="6" s="1"/>
  <c r="BI99" i="6" s="1"/>
  <c r="BZ1085" i="6"/>
  <c r="CA1085" i="6" s="1"/>
  <c r="CB202" i="6"/>
  <c r="CC202" i="6" s="1"/>
  <c r="BI202" i="6" s="1"/>
  <c r="CB863" i="6"/>
  <c r="CC863" i="6" s="1"/>
  <c r="BZ173" i="6"/>
  <c r="CA173" i="6" s="1"/>
  <c r="BI211" i="26"/>
  <c r="BJ211" i="26" s="1"/>
  <c r="AP211" i="26" s="1"/>
  <c r="BI742" i="26"/>
  <c r="BJ742" i="26" s="1"/>
  <c r="BZ440" i="6"/>
  <c r="CA440" i="6" s="1"/>
  <c r="CB904" i="6"/>
  <c r="CC904" i="6" s="1"/>
  <c r="CB834" i="6"/>
  <c r="CC834" i="6" s="1"/>
  <c r="CB68" i="6"/>
  <c r="CC68" i="6" s="1"/>
  <c r="BI68" i="6" s="1"/>
  <c r="CB517" i="6"/>
  <c r="CC517" i="6" s="1"/>
  <c r="BI517" i="6" s="1"/>
  <c r="CB1197" i="6"/>
  <c r="CC1197" i="6" s="1"/>
  <c r="BI1197" i="6" s="1"/>
  <c r="BZ395" i="6"/>
  <c r="CA395" i="6" s="1"/>
  <c r="BZ33" i="6"/>
  <c r="CA33" i="6" s="1"/>
  <c r="CB659" i="6"/>
  <c r="CC659" i="6" s="1"/>
  <c r="BZ217" i="6"/>
  <c r="CA217" i="6" s="1"/>
  <c r="BZ1180" i="6"/>
  <c r="CA1180" i="6" s="1"/>
  <c r="BI552" i="26"/>
  <c r="BJ552" i="26" s="1"/>
  <c r="AP552" i="26" s="1"/>
  <c r="BZ1171" i="6"/>
  <c r="CA1171" i="6" s="1"/>
  <c r="CB821" i="6"/>
  <c r="CC821" i="6" s="1"/>
  <c r="CB1021" i="6"/>
  <c r="CC1021" i="6" s="1"/>
  <c r="BI1021" i="6" s="1"/>
  <c r="BZ1051" i="6"/>
  <c r="CA1051" i="6" s="1"/>
  <c r="BZ253" i="6"/>
  <c r="CA253" i="6" s="1"/>
  <c r="BZ603" i="6"/>
  <c r="CA603" i="6" s="1"/>
  <c r="BZ1135" i="6"/>
  <c r="CA1135" i="6" s="1"/>
  <c r="BG487" i="26"/>
  <c r="BH487" i="26" s="1"/>
  <c r="AO487" i="26" s="1"/>
  <c r="BI810" i="26"/>
  <c r="BJ810" i="26" s="1"/>
  <c r="BZ162" i="6"/>
  <c r="CA162" i="6" s="1"/>
  <c r="BZ910" i="6"/>
  <c r="CA910" i="6" s="1"/>
  <c r="BG279" i="26"/>
  <c r="BH279" i="26" s="1"/>
  <c r="AO279" i="26" s="1"/>
  <c r="BI421" i="26"/>
  <c r="BJ421" i="26" s="1"/>
  <c r="CB468" i="6"/>
  <c r="CC468" i="6" s="1"/>
  <c r="BI468" i="6" s="1"/>
  <c r="BZ296" i="6"/>
  <c r="CA296" i="6" s="1"/>
  <c r="BI34" i="26"/>
  <c r="BJ34" i="26" s="1"/>
  <c r="AP34" i="26" s="1"/>
  <c r="CB1199" i="6"/>
  <c r="CC1199" i="6" s="1"/>
  <c r="BI1199" i="6" s="1"/>
  <c r="BZ933" i="6"/>
  <c r="CA933" i="6" s="1"/>
  <c r="CB1174" i="6"/>
  <c r="CC1174" i="6" s="1"/>
  <c r="BI1174" i="6" s="1"/>
  <c r="CB661" i="6"/>
  <c r="CC661" i="6" s="1"/>
  <c r="CB1009" i="6"/>
  <c r="CC1009" i="6" s="1"/>
  <c r="BZ448" i="6"/>
  <c r="CA448" i="6" s="1"/>
  <c r="CB1028" i="6"/>
  <c r="CC1028" i="6" s="1"/>
  <c r="BI1028" i="6" s="1"/>
  <c r="AQ1028" i="6" s="1"/>
  <c r="CB1156" i="6"/>
  <c r="CC1156" i="6" s="1"/>
  <c r="BI1156" i="6" s="1"/>
  <c r="BZ499" i="6"/>
  <c r="CA499" i="6" s="1"/>
  <c r="CB697" i="6"/>
  <c r="CC697" i="6" s="1"/>
  <c r="CB131" i="6"/>
  <c r="CC131" i="6" s="1"/>
  <c r="BI131" i="6" s="1"/>
  <c r="CB193" i="6"/>
  <c r="CC193" i="6" s="1"/>
  <c r="BI193" i="6" s="1"/>
  <c r="CB954" i="6"/>
  <c r="CC954" i="6" s="1"/>
  <c r="CB115" i="6"/>
  <c r="CC115" i="6" s="1"/>
  <c r="BI115" i="6" s="1"/>
  <c r="BZ804" i="6"/>
  <c r="CA804" i="6" s="1"/>
  <c r="BZ1225" i="6"/>
  <c r="CA1225" i="6" s="1"/>
  <c r="BZ822" i="6"/>
  <c r="CA822" i="6" s="1"/>
  <c r="BI42" i="26"/>
  <c r="BJ42" i="26" s="1"/>
  <c r="AP42" i="26" s="1"/>
  <c r="CB969" i="6"/>
  <c r="CC969" i="6" s="1"/>
  <c r="BI969" i="6" s="1"/>
  <c r="BZ589" i="6"/>
  <c r="CA589" i="6" s="1"/>
  <c r="BZ762" i="6"/>
  <c r="CA762" i="6" s="1"/>
  <c r="CB845" i="6"/>
  <c r="CC845" i="6" s="1"/>
  <c r="BZ1072" i="6"/>
  <c r="CA1072" i="6" s="1"/>
  <c r="CB21" i="6"/>
  <c r="CC21" i="6" s="1"/>
  <c r="CB929" i="6"/>
  <c r="CC929" i="6" s="1"/>
  <c r="BZ825" i="6"/>
  <c r="CA825" i="6" s="1"/>
  <c r="BZ373" i="6"/>
  <c r="CA373" i="6" s="1"/>
  <c r="BI476" i="26"/>
  <c r="BJ476" i="26" s="1"/>
  <c r="BZ1065" i="6"/>
  <c r="CA1065" i="6" s="1"/>
  <c r="CB476" i="6"/>
  <c r="CC476" i="6" s="1"/>
  <c r="BI476" i="6" s="1"/>
  <c r="BZ388" i="6"/>
  <c r="CA388" i="6" s="1"/>
  <c r="CB825" i="6"/>
  <c r="CC825" i="6" s="1"/>
  <c r="BZ695" i="6"/>
  <c r="CA695" i="6" s="1"/>
  <c r="BZ103" i="6"/>
  <c r="CA103" i="6" s="1"/>
  <c r="CB769" i="6"/>
  <c r="CC769" i="6" s="1"/>
  <c r="BZ1199" i="6"/>
  <c r="CA1199" i="6" s="1"/>
  <c r="BZ356" i="6"/>
  <c r="CA356" i="6" s="1"/>
  <c r="CB236" i="6"/>
  <c r="CC236" i="6" s="1"/>
  <c r="BI236" i="6" s="1"/>
  <c r="BZ1189" i="6"/>
  <c r="CA1189" i="6" s="1"/>
  <c r="BZ533" i="6"/>
  <c r="CA533" i="6" s="1"/>
  <c r="BZ665" i="6"/>
  <c r="CA665" i="6" s="1"/>
  <c r="BZ12" i="6"/>
  <c r="CA12" i="6" s="1"/>
  <c r="BZ672" i="6"/>
  <c r="CA672" i="6" s="1"/>
  <c r="BZ1237" i="6"/>
  <c r="CA1237" i="6" s="1"/>
  <c r="BZ839" i="6"/>
  <c r="CA839" i="6" s="1"/>
  <c r="CB12" i="6"/>
  <c r="CC12" i="6" s="1"/>
  <c r="BI12" i="6" s="1"/>
  <c r="BZ806" i="6"/>
  <c r="CA806" i="6" s="1"/>
  <c r="CB1029" i="6"/>
  <c r="CC1029" i="6" s="1"/>
  <c r="BI1029" i="6" s="1"/>
  <c r="CB379" i="6"/>
  <c r="CC379" i="6" s="1"/>
  <c r="BZ818" i="6"/>
  <c r="CA818" i="6" s="1"/>
  <c r="CB880" i="6"/>
  <c r="CC880" i="6" s="1"/>
  <c r="BZ328" i="6"/>
  <c r="CA328" i="6" s="1"/>
  <c r="BZ437" i="6"/>
  <c r="CA437" i="6" s="1"/>
  <c r="BZ575" i="6"/>
  <c r="CA575" i="6" s="1"/>
  <c r="BZ171" i="6"/>
  <c r="CA171" i="6" s="1"/>
  <c r="CB248" i="6"/>
  <c r="CC248" i="6" s="1"/>
  <c r="BI248" i="6" s="1"/>
  <c r="CB594" i="6"/>
  <c r="CC594" i="6" s="1"/>
  <c r="BI594" i="6" s="1"/>
  <c r="CB1060" i="6"/>
  <c r="CC1060" i="6" s="1"/>
  <c r="BI1060" i="6" s="1"/>
  <c r="BZ423" i="6"/>
  <c r="CA423" i="6" s="1"/>
  <c r="BZ970" i="6"/>
  <c r="CA970" i="6" s="1"/>
  <c r="CB1245" i="6"/>
  <c r="CC1245" i="6" s="1"/>
  <c r="BI1245" i="6" s="1"/>
  <c r="CB1205" i="6"/>
  <c r="CC1205" i="6" s="1"/>
  <c r="BZ1185" i="6"/>
  <c r="CA1185" i="6" s="1"/>
  <c r="BZ977" i="6"/>
  <c r="CA977" i="6" s="1"/>
  <c r="CB244" i="6"/>
  <c r="CC244" i="6" s="1"/>
  <c r="BZ630" i="6"/>
  <c r="CA630" i="6" s="1"/>
  <c r="BG40" i="26"/>
  <c r="BH40" i="26" s="1"/>
  <c r="AO40" i="26" s="1"/>
  <c r="CB324" i="6"/>
  <c r="CC324" i="6" s="1"/>
  <c r="BI324" i="6" s="1"/>
  <c r="BZ945" i="6"/>
  <c r="CA945" i="6" s="1"/>
  <c r="CB619" i="6"/>
  <c r="CC619" i="6" s="1"/>
  <c r="BZ631" i="6"/>
  <c r="CA631" i="6" s="1"/>
  <c r="BZ493" i="6"/>
  <c r="CA493" i="6" s="1"/>
  <c r="CB1003" i="6"/>
  <c r="CC1003" i="6" s="1"/>
  <c r="BZ433" i="6"/>
  <c r="CA433" i="6" s="1"/>
  <c r="CB453" i="6"/>
  <c r="CC453" i="6" s="1"/>
  <c r="BI453" i="6" s="1"/>
  <c r="CB185" i="6"/>
  <c r="CC185" i="6" s="1"/>
  <c r="BI185" i="6" s="1"/>
  <c r="BZ758" i="6"/>
  <c r="CA758" i="6" s="1"/>
  <c r="CB270" i="6"/>
  <c r="CC270" i="6" s="1"/>
  <c r="BI270" i="6" s="1"/>
  <c r="BZ811" i="6"/>
  <c r="CA811" i="6" s="1"/>
  <c r="BZ981" i="6"/>
  <c r="CA981" i="6" s="1"/>
  <c r="BZ1111" i="6"/>
  <c r="CA1111" i="6" s="1"/>
  <c r="CB839" i="6"/>
  <c r="CC839" i="6" s="1"/>
  <c r="CB61" i="6"/>
  <c r="CC61" i="6" s="1"/>
  <c r="BI61" i="6" s="1"/>
  <c r="BZ1162" i="6"/>
  <c r="CA1162" i="6" s="1"/>
  <c r="BZ446" i="6"/>
  <c r="CA446" i="6" s="1"/>
  <c r="BZ9" i="6"/>
  <c r="CA9" i="6" s="1"/>
  <c r="CB513" i="6"/>
  <c r="CC513" i="6" s="1"/>
  <c r="BI513" i="6" s="1"/>
  <c r="BZ821" i="6"/>
  <c r="CA821" i="6" s="1"/>
  <c r="BZ694" i="6"/>
  <c r="CA694" i="6" s="1"/>
  <c r="BZ590" i="6"/>
  <c r="CA590" i="6" s="1"/>
  <c r="BZ676" i="6"/>
  <c r="CA676" i="6" s="1"/>
  <c r="CB811" i="6"/>
  <c r="CC811" i="6" s="1"/>
  <c r="BZ597" i="6"/>
  <c r="CA597" i="6" s="1"/>
  <c r="BZ979" i="6"/>
  <c r="CA979" i="6" s="1"/>
  <c r="BZ1060" i="6"/>
  <c r="CA1060" i="6" s="1"/>
  <c r="CB363" i="6"/>
  <c r="CC363" i="6" s="1"/>
  <c r="BI363" i="6" s="1"/>
  <c r="BZ382" i="6"/>
  <c r="CA382" i="6" s="1"/>
  <c r="BI25" i="26"/>
  <c r="BJ25" i="26" s="1"/>
  <c r="AP25" i="26" s="1"/>
  <c r="CB386" i="6"/>
  <c r="CC386" i="6" s="1"/>
  <c r="BI386" i="6" s="1"/>
  <c r="CB308" i="6"/>
  <c r="CC308" i="6" s="1"/>
  <c r="BI308" i="6" s="1"/>
  <c r="CB962" i="6"/>
  <c r="CC962" i="6" s="1"/>
  <c r="BI962" i="6" s="1"/>
  <c r="CB392" i="6"/>
  <c r="CC392" i="6" s="1"/>
  <c r="BI392" i="6" s="1"/>
  <c r="CB775" i="6"/>
  <c r="CC775" i="6" s="1"/>
  <c r="CB967" i="6"/>
  <c r="CC967" i="6" s="1"/>
  <c r="BI967" i="6" s="1"/>
  <c r="CB41" i="6"/>
  <c r="CC41" i="6" s="1"/>
  <c r="BI41" i="6" s="1"/>
  <c r="BZ270" i="6"/>
  <c r="CA270" i="6" s="1"/>
  <c r="CB153" i="6"/>
  <c r="CC153" i="6" s="1"/>
  <c r="BI153" i="6" s="1"/>
  <c r="BZ429" i="6"/>
  <c r="CA429" i="6" s="1"/>
  <c r="BZ943" i="6"/>
  <c r="CA943" i="6" s="1"/>
  <c r="BZ723" i="6"/>
  <c r="CA723" i="6" s="1"/>
  <c r="BI285" i="26"/>
  <c r="BJ285" i="26" s="1"/>
  <c r="CB155" i="6"/>
  <c r="CC155" i="6" s="1"/>
  <c r="BI155" i="6" s="1"/>
  <c r="BZ1012" i="6"/>
  <c r="CA1012" i="6" s="1"/>
  <c r="BZ89" i="6"/>
  <c r="CA89" i="6" s="1"/>
  <c r="BZ973" i="6"/>
  <c r="CA973" i="6" s="1"/>
  <c r="BZ611" i="6"/>
  <c r="CA611" i="6" s="1"/>
  <c r="CB975" i="6"/>
  <c r="CC975" i="6" s="1"/>
  <c r="BI975" i="6" s="1"/>
  <c r="BZ969" i="6"/>
  <c r="CA969" i="6" s="1"/>
  <c r="CB1049" i="6"/>
  <c r="CC1049" i="6" s="1"/>
  <c r="BZ407" i="6"/>
  <c r="CA407" i="6" s="1"/>
  <c r="CB973" i="6"/>
  <c r="CC973" i="6" s="1"/>
  <c r="BI973" i="6" s="1"/>
  <c r="CB534" i="6"/>
  <c r="CC534" i="6" s="1"/>
  <c r="BI534" i="6" s="1"/>
  <c r="BZ932" i="6"/>
  <c r="CA932" i="6" s="1"/>
  <c r="BI609" i="26"/>
  <c r="BJ609" i="26" s="1"/>
  <c r="BI429" i="26"/>
  <c r="BJ429" i="26" s="1"/>
  <c r="CB204" i="6"/>
  <c r="CC204" i="6" s="1"/>
  <c r="BI204" i="6" s="1"/>
  <c r="BG757" i="26"/>
  <c r="BH757" i="26" s="1"/>
  <c r="AO757" i="26" s="1"/>
  <c r="BZ828" i="6"/>
  <c r="CA828" i="6" s="1"/>
  <c r="CB990" i="6"/>
  <c r="CC990" i="6" s="1"/>
  <c r="BI990" i="6" s="1"/>
  <c r="CB1095" i="6"/>
  <c r="CC1095" i="6" s="1"/>
  <c r="CB700" i="6"/>
  <c r="CC700" i="6" s="1"/>
  <c r="BI700" i="6" s="1"/>
  <c r="CB82" i="6"/>
  <c r="CC82" i="6" s="1"/>
  <c r="BI82" i="6" s="1"/>
  <c r="BZ344" i="6"/>
  <c r="CA344" i="6" s="1"/>
  <c r="CB216" i="6"/>
  <c r="CC216" i="6" s="1"/>
  <c r="BI216" i="6" s="1"/>
  <c r="BZ252" i="6"/>
  <c r="CA252" i="6" s="1"/>
  <c r="BZ1200" i="6"/>
  <c r="CA1200" i="6" s="1"/>
  <c r="BZ858" i="6"/>
  <c r="CA858" i="6" s="1"/>
  <c r="CB329" i="6"/>
  <c r="CC329" i="6" s="1"/>
  <c r="BI329" i="6" s="1"/>
  <c r="BZ466" i="6"/>
  <c r="CA466" i="6" s="1"/>
  <c r="CB362" i="6"/>
  <c r="CC362" i="6" s="1"/>
  <c r="BI362" i="6" s="1"/>
  <c r="CB1137" i="6"/>
  <c r="CC1137" i="6" s="1"/>
  <c r="BI1137" i="6" s="1"/>
  <c r="AQ1137" i="6" s="1"/>
  <c r="CB40" i="6"/>
  <c r="CC40" i="6" s="1"/>
  <c r="BI40" i="6" s="1"/>
  <c r="BZ1255" i="6"/>
  <c r="CA1255" i="6" s="1"/>
  <c r="CB173" i="6"/>
  <c r="CC173" i="6" s="1"/>
  <c r="BI173" i="6" s="1"/>
  <c r="BI104" i="26"/>
  <c r="BJ104" i="26" s="1"/>
  <c r="CB387" i="6"/>
  <c r="CC387" i="6" s="1"/>
  <c r="BI387" i="6" s="1"/>
  <c r="BZ789" i="6"/>
  <c r="CA789" i="6" s="1"/>
  <c r="BG393" i="26"/>
  <c r="BH393" i="26" s="1"/>
  <c r="AO393" i="26" s="1"/>
  <c r="BG256" i="26"/>
  <c r="BH256" i="26" s="1"/>
  <c r="AO256" i="26" s="1"/>
  <c r="BG48" i="26"/>
  <c r="BH48" i="26" s="1"/>
  <c r="AO48" i="26" s="1"/>
  <c r="BZ1202" i="6"/>
  <c r="CA1202" i="6" s="1"/>
  <c r="BZ704" i="6"/>
  <c r="CA704" i="6" s="1"/>
  <c r="BZ896" i="6"/>
  <c r="CA896" i="6" s="1"/>
  <c r="BZ50" i="6"/>
  <c r="CA50" i="6" s="1"/>
  <c r="BZ240" i="6"/>
  <c r="CA240" i="6" s="1"/>
  <c r="CB778" i="6"/>
  <c r="CC778" i="6" s="1"/>
  <c r="CB945" i="6"/>
  <c r="CC945" i="6" s="1"/>
  <c r="BI389" i="26"/>
  <c r="BJ389" i="26" s="1"/>
  <c r="BZ921" i="6"/>
  <c r="CA921" i="6" s="1"/>
  <c r="BZ93" i="6"/>
  <c r="CA93" i="6" s="1"/>
  <c r="CB90" i="6"/>
  <c r="CC90" i="6" s="1"/>
  <c r="BI90" i="6" s="1"/>
  <c r="BZ591" i="6"/>
  <c r="CA591" i="6" s="1"/>
  <c r="CB650" i="6"/>
  <c r="CC650" i="6" s="1"/>
  <c r="BI650" i="6" s="1"/>
  <c r="BZ530" i="6"/>
  <c r="CA530" i="6" s="1"/>
  <c r="BZ644" i="6"/>
  <c r="CA644" i="6" s="1"/>
  <c r="CB540" i="6"/>
  <c r="CC540" i="6" s="1"/>
  <c r="BI540" i="6" s="1"/>
  <c r="BI628" i="26"/>
  <c r="BJ628" i="26" s="1"/>
  <c r="CB535" i="6"/>
  <c r="CC535" i="6" s="1"/>
  <c r="BI535" i="6" s="1"/>
  <c r="BI126" i="26"/>
  <c r="BJ126" i="26" s="1"/>
  <c r="AP126" i="26" s="1"/>
  <c r="CB136" i="6"/>
  <c r="CC136" i="6" s="1"/>
  <c r="BI136" i="6" s="1"/>
  <c r="CB696" i="6"/>
  <c r="CC696" i="6" s="1"/>
  <c r="BI696" i="6" s="1"/>
  <c r="BZ509" i="6"/>
  <c r="CA509" i="6" s="1"/>
  <c r="BZ517" i="6"/>
  <c r="CA517" i="6" s="1"/>
  <c r="BZ49" i="6"/>
  <c r="CA49" i="6" s="1"/>
  <c r="CB599" i="6"/>
  <c r="CC599" i="6" s="1"/>
  <c r="BI599" i="6" s="1"/>
  <c r="CB1007" i="6"/>
  <c r="CC1007" i="6" s="1"/>
  <c r="BI136" i="26"/>
  <c r="BJ136" i="26" s="1"/>
  <c r="AP136" i="26" s="1"/>
  <c r="CB278" i="6"/>
  <c r="CC278" i="6" s="1"/>
  <c r="BI278" i="6" s="1"/>
  <c r="BZ559" i="6"/>
  <c r="CA559" i="6" s="1"/>
  <c r="BZ980" i="6"/>
  <c r="CA980" i="6" s="1"/>
  <c r="BZ1066" i="6"/>
  <c r="CA1066" i="6" s="1"/>
  <c r="BI634" i="26"/>
  <c r="BJ634" i="26" s="1"/>
  <c r="BZ562" i="6"/>
  <c r="CA562" i="6" s="1"/>
  <c r="BZ1149" i="6"/>
  <c r="CA1149" i="6" s="1"/>
  <c r="BZ654" i="6"/>
  <c r="CA654" i="6" s="1"/>
  <c r="CB795" i="6"/>
  <c r="CC795" i="6" s="1"/>
  <c r="BZ1254" i="6"/>
  <c r="CA1254" i="6" s="1"/>
  <c r="BZ712" i="6"/>
  <c r="CA712" i="6" s="1"/>
  <c r="BG274" i="26"/>
  <c r="BH274" i="26" s="1"/>
  <c r="AO274" i="26" s="1"/>
  <c r="CB606" i="6"/>
  <c r="CC606" i="6" s="1"/>
  <c r="BI606" i="6" s="1"/>
  <c r="BG173" i="26"/>
  <c r="BH173" i="26" s="1"/>
  <c r="AO173" i="26" s="1"/>
  <c r="CB918" i="6"/>
  <c r="CC918" i="6" s="1"/>
  <c r="BG395" i="26"/>
  <c r="BH395" i="26" s="1"/>
  <c r="AO395" i="26" s="1"/>
  <c r="BI17" i="26"/>
  <c r="BJ17" i="26" s="1"/>
  <c r="AP17" i="26" s="1"/>
  <c r="CB523" i="6"/>
  <c r="CC523" i="6" s="1"/>
  <c r="BZ26" i="6"/>
  <c r="CA26" i="6" s="1"/>
  <c r="BG23" i="26"/>
  <c r="BH23" i="26" s="1"/>
  <c r="AO23" i="26" s="1"/>
  <c r="BZ777" i="6"/>
  <c r="CA777" i="6" s="1"/>
  <c r="CB1145" i="6"/>
  <c r="CC1145" i="6" s="1"/>
  <c r="BZ660" i="6"/>
  <c r="CA660" i="6" s="1"/>
  <c r="CB188" i="6"/>
  <c r="CC188" i="6" s="1"/>
  <c r="BI188" i="6" s="1"/>
  <c r="BZ1183" i="6"/>
  <c r="CA1183" i="6" s="1"/>
  <c r="BZ717" i="6"/>
  <c r="CA717" i="6" s="1"/>
  <c r="CB660" i="6"/>
  <c r="CC660" i="6" s="1"/>
  <c r="BI660" i="6" s="1"/>
  <c r="BZ615" i="6"/>
  <c r="CA615" i="6" s="1"/>
  <c r="BI420" i="26"/>
  <c r="BJ420" i="26" s="1"/>
  <c r="BG25" i="26"/>
  <c r="BH25" i="26" s="1"/>
  <c r="AO25" i="26" s="1"/>
  <c r="BZ250" i="6"/>
  <c r="CA250" i="6" s="1"/>
  <c r="CB457" i="6"/>
  <c r="CC457" i="6" s="1"/>
  <c r="BI457" i="6" s="1"/>
  <c r="BG24" i="26"/>
  <c r="BH24" i="26" s="1"/>
  <c r="AO24" i="26" s="1"/>
  <c r="CB553" i="6"/>
  <c r="CC553" i="6" s="1"/>
  <c r="BI553" i="6" s="1"/>
  <c r="BI824" i="26"/>
  <c r="BJ824" i="26" s="1"/>
  <c r="BI161" i="26"/>
  <c r="BJ161" i="26" s="1"/>
  <c r="BZ418" i="6"/>
  <c r="CA418" i="6" s="1"/>
  <c r="CB966" i="6"/>
  <c r="CC966" i="6" s="1"/>
  <c r="BI966" i="6" s="1"/>
  <c r="CB1002" i="6"/>
  <c r="CC1002" i="6" s="1"/>
  <c r="BI1002" i="6" s="1"/>
  <c r="AR1002" i="6" s="1"/>
  <c r="BG458" i="26"/>
  <c r="BH458" i="26" s="1"/>
  <c r="AO458" i="26" s="1"/>
  <c r="BZ18" i="6"/>
  <c r="CA18" i="6" s="1"/>
  <c r="BZ288" i="6"/>
  <c r="CA288" i="6" s="1"/>
  <c r="CB126" i="6"/>
  <c r="CC126" i="6" s="1"/>
  <c r="BI126" i="6" s="1"/>
  <c r="BZ1236" i="6"/>
  <c r="CA1236" i="6" s="1"/>
  <c r="CB1020" i="6"/>
  <c r="CC1020" i="6" s="1"/>
  <c r="BI1020" i="6" s="1"/>
  <c r="CB25" i="6"/>
  <c r="CC25" i="6" s="1"/>
  <c r="BI25" i="6" s="1"/>
  <c r="CB242" i="6"/>
  <c r="CC242" i="6" s="1"/>
  <c r="BI242" i="6" s="1"/>
  <c r="CB1212" i="6"/>
  <c r="CC1212" i="6" s="1"/>
  <c r="BI1212" i="6" s="1"/>
  <c r="CB350" i="6"/>
  <c r="CC350" i="6" s="1"/>
  <c r="BI350" i="6" s="1"/>
  <c r="BZ567" i="6"/>
  <c r="CA567" i="6" s="1"/>
  <c r="BZ287" i="6"/>
  <c r="CA287" i="6" s="1"/>
  <c r="BZ179" i="6"/>
  <c r="CA179" i="6" s="1"/>
  <c r="BI661" i="26"/>
  <c r="BJ661" i="26" s="1"/>
  <c r="BI130" i="26"/>
  <c r="BJ130" i="26" s="1"/>
  <c r="CB383" i="6"/>
  <c r="CC383" i="6" s="1"/>
  <c r="BI383" i="6" s="1"/>
  <c r="BI292" i="26"/>
  <c r="BJ292" i="26" s="1"/>
  <c r="BI601" i="26"/>
  <c r="BJ601" i="26" s="1"/>
  <c r="CB1208" i="6"/>
  <c r="CC1208" i="6" s="1"/>
  <c r="BI1208" i="6" s="1"/>
  <c r="CB200" i="6"/>
  <c r="CC200" i="6" s="1"/>
  <c r="BI200" i="6" s="1"/>
  <c r="BZ354" i="6"/>
  <c r="CA354" i="6" s="1"/>
  <c r="CB529" i="6"/>
  <c r="CC529" i="6" s="1"/>
  <c r="BI529" i="6" s="1"/>
  <c r="BZ550" i="6"/>
  <c r="CA550" i="6" s="1"/>
  <c r="BZ491" i="6"/>
  <c r="CA491" i="6" s="1"/>
  <c r="CB1010" i="6"/>
  <c r="CC1010" i="6" s="1"/>
  <c r="BZ511" i="6"/>
  <c r="CA511" i="6" s="1"/>
  <c r="CB751" i="6"/>
  <c r="CC751" i="6" s="1"/>
  <c r="BZ874" i="6"/>
  <c r="CA874" i="6" s="1"/>
  <c r="CB1035" i="6"/>
  <c r="CC1035" i="6" s="1"/>
  <c r="BI1035" i="6" s="1"/>
  <c r="BG372" i="26"/>
  <c r="BH372" i="26" s="1"/>
  <c r="AO372" i="26" s="1"/>
  <c r="BZ425" i="6"/>
  <c r="CA425" i="6" s="1"/>
  <c r="BZ594" i="6"/>
  <c r="CA594" i="6" s="1"/>
  <c r="CB132" i="6"/>
  <c r="CC132" i="6" s="1"/>
  <c r="BI132" i="6" s="1"/>
  <c r="CB418" i="6"/>
  <c r="CC418" i="6" s="1"/>
  <c r="BI418" i="6" s="1"/>
  <c r="BZ224" i="6"/>
  <c r="CA224" i="6" s="1"/>
  <c r="BI691" i="26"/>
  <c r="BJ691" i="26" s="1"/>
  <c r="CB1216" i="6"/>
  <c r="CC1216" i="6" s="1"/>
  <c r="BI1216" i="6" s="1"/>
  <c r="CB110" i="6"/>
  <c r="CC110" i="6" s="1"/>
  <c r="BI110" i="6" s="1"/>
  <c r="BZ920" i="6"/>
  <c r="CA920" i="6" s="1"/>
  <c r="BZ960" i="6"/>
  <c r="CA960" i="6" s="1"/>
  <c r="BZ684" i="6"/>
  <c r="CA684" i="6" s="1"/>
  <c r="BZ661" i="6"/>
  <c r="CA661" i="6" s="1"/>
  <c r="CB77" i="6"/>
  <c r="CC77" i="6" s="1"/>
  <c r="BI77" i="6" s="1"/>
  <c r="CB487" i="6"/>
  <c r="CC487" i="6" s="1"/>
  <c r="BZ939" i="6"/>
  <c r="CA939" i="6" s="1"/>
  <c r="BZ1093" i="6"/>
  <c r="CA1093" i="6" s="1"/>
  <c r="BZ787" i="6"/>
  <c r="CA787" i="6" s="1"/>
  <c r="BZ1018" i="6"/>
  <c r="CA1018" i="6" s="1"/>
  <c r="CB1041" i="6"/>
  <c r="CC1041" i="6" s="1"/>
  <c r="BI1041" i="6" s="1"/>
  <c r="CB1057" i="6"/>
  <c r="CC1057" i="6" s="1"/>
  <c r="BZ1211" i="6"/>
  <c r="CA1211" i="6" s="1"/>
  <c r="CB1022" i="6"/>
  <c r="CC1022" i="6" s="1"/>
  <c r="BI1022" i="6" s="1"/>
  <c r="CB615" i="6"/>
  <c r="CC615" i="6" s="1"/>
  <c r="CB624" i="6"/>
  <c r="CC624" i="6" s="1"/>
  <c r="BI624" i="6" s="1"/>
  <c r="CB334" i="6"/>
  <c r="CC334" i="6" s="1"/>
  <c r="BI334" i="6" s="1"/>
  <c r="BZ1028" i="6"/>
  <c r="CA1028" i="6" s="1"/>
  <c r="BG681" i="26"/>
  <c r="BH681" i="26" s="1"/>
  <c r="AO681" i="26" s="1"/>
  <c r="BG481" i="26"/>
  <c r="BH481" i="26" s="1"/>
  <c r="AO481" i="26" s="1"/>
  <c r="BZ524" i="6"/>
  <c r="CA524" i="6" s="1"/>
  <c r="BG500" i="26"/>
  <c r="BH500" i="26" s="1"/>
  <c r="AO500" i="26" s="1"/>
  <c r="BZ1050" i="6"/>
  <c r="CA1050" i="6" s="1"/>
  <c r="BI192" i="26"/>
  <c r="BJ192" i="26" s="1"/>
  <c r="AP192" i="26" s="1"/>
  <c r="BZ1005" i="6"/>
  <c r="CA1005" i="6" s="1"/>
  <c r="CB1045" i="6"/>
  <c r="CC1045" i="6" s="1"/>
  <c r="BI1045" i="6" s="1"/>
  <c r="BZ298" i="6"/>
  <c r="CA298" i="6" s="1"/>
  <c r="BZ1227" i="6"/>
  <c r="CA1227" i="6" s="1"/>
  <c r="CB163" i="6"/>
  <c r="CC163" i="6" s="1"/>
  <c r="BI163" i="6" s="1"/>
  <c r="CB589" i="6"/>
  <c r="CC589" i="6" s="1"/>
  <c r="BI589" i="6" s="1"/>
  <c r="CB528" i="6"/>
  <c r="CC528" i="6" s="1"/>
  <c r="BI528" i="6" s="1"/>
  <c r="CB1141" i="6"/>
  <c r="CC1141" i="6" s="1"/>
  <c r="BZ866" i="6"/>
  <c r="CA866" i="6" s="1"/>
  <c r="CB785" i="6"/>
  <c r="CC785" i="6" s="1"/>
  <c r="CB826" i="6"/>
  <c r="CC826" i="6" s="1"/>
  <c r="BI101" i="26"/>
  <c r="BJ101" i="26" s="1"/>
  <c r="AP101" i="26" s="1"/>
  <c r="BG391" i="26"/>
  <c r="BH391" i="26" s="1"/>
  <c r="AO391" i="26" s="1"/>
  <c r="CB1121" i="6"/>
  <c r="CC1121" i="6" s="1"/>
  <c r="CB286" i="6"/>
  <c r="CC286" i="6" s="1"/>
  <c r="CB159" i="6"/>
  <c r="CC159" i="6" s="1"/>
  <c r="BI159" i="6" s="1"/>
  <c r="BZ1119" i="6"/>
  <c r="CA1119" i="6" s="1"/>
  <c r="BI27" i="26"/>
  <c r="BJ27" i="26" s="1"/>
  <c r="AP27" i="26" s="1"/>
  <c r="CB672" i="6"/>
  <c r="CC672" i="6" s="1"/>
  <c r="BZ697" i="6"/>
  <c r="CA697" i="6" s="1"/>
  <c r="BZ82" i="6"/>
  <c r="CA82" i="6" s="1"/>
  <c r="CB867" i="6"/>
  <c r="CC867" i="6" s="1"/>
  <c r="BZ565" i="6"/>
  <c r="CA565" i="6" s="1"/>
  <c r="CB444" i="6"/>
  <c r="CC444" i="6" s="1"/>
  <c r="BI444" i="6" s="1"/>
  <c r="BZ119" i="6"/>
  <c r="CA119" i="6" s="1"/>
  <c r="BZ576" i="6"/>
  <c r="CA576" i="6" s="1"/>
  <c r="BI65" i="26"/>
  <c r="BJ65" i="26" s="1"/>
  <c r="AP65" i="26" s="1"/>
  <c r="CB653" i="6"/>
  <c r="CC653" i="6" s="1"/>
  <c r="BI653" i="6" s="1"/>
  <c r="BZ687" i="6"/>
  <c r="CA687" i="6" s="1"/>
  <c r="CB536" i="6"/>
  <c r="CC536" i="6" s="1"/>
  <c r="BI536" i="6" s="1"/>
  <c r="CB361" i="6"/>
  <c r="CC361" i="6" s="1"/>
  <c r="BI361" i="6" s="1"/>
  <c r="CB433" i="6"/>
  <c r="CC433" i="6" s="1"/>
  <c r="BZ443" i="6"/>
  <c r="CA443" i="6" s="1"/>
  <c r="CB632" i="6"/>
  <c r="CC632" i="6" s="1"/>
  <c r="BI632" i="6" s="1"/>
  <c r="BI506" i="26"/>
  <c r="BJ506" i="26" s="1"/>
  <c r="BZ47" i="6"/>
  <c r="CA47" i="6" s="1"/>
  <c r="BZ569" i="6"/>
  <c r="CA569" i="6" s="1"/>
  <c r="CB81" i="6"/>
  <c r="CC81" i="6" s="1"/>
  <c r="BI81" i="6" s="1"/>
  <c r="CB197" i="6"/>
  <c r="CC197" i="6" s="1"/>
  <c r="BI197" i="6" s="1"/>
  <c r="BZ479" i="6"/>
  <c r="CA479" i="6" s="1"/>
  <c r="CB1189" i="6"/>
  <c r="CC1189" i="6" s="1"/>
  <c r="BZ959" i="6"/>
  <c r="CA959" i="6" s="1"/>
  <c r="BZ420" i="6"/>
  <c r="CA420" i="6" s="1"/>
  <c r="CB183" i="6"/>
  <c r="CC183" i="6" s="1"/>
  <c r="BI183" i="6" s="1"/>
  <c r="AR183" i="6" s="1"/>
  <c r="BZ1040" i="6"/>
  <c r="CA1040" i="6" s="1"/>
  <c r="CB1024" i="6"/>
  <c r="CC1024" i="6" s="1"/>
  <c r="BI1024" i="6" s="1"/>
  <c r="CB481" i="6"/>
  <c r="CC481" i="6" s="1"/>
  <c r="BI481" i="6" s="1"/>
  <c r="BG409" i="26"/>
  <c r="BH409" i="26" s="1"/>
  <c r="AO409" i="26" s="1"/>
  <c r="BZ1123" i="6"/>
  <c r="CA1123" i="6" s="1"/>
  <c r="BZ679" i="6"/>
  <c r="CA679" i="6" s="1"/>
  <c r="BZ1249" i="6"/>
  <c r="CA1249" i="6" s="1"/>
  <c r="CB915" i="6"/>
  <c r="CC915" i="6" s="1"/>
  <c r="BI915" i="6" s="1"/>
  <c r="CB1165" i="6"/>
  <c r="CC1165" i="6" s="1"/>
  <c r="BI1165" i="6" s="1"/>
  <c r="BI40" i="26"/>
  <c r="BJ40" i="26" s="1"/>
  <c r="AP40" i="26" s="1"/>
  <c r="CB758" i="6"/>
  <c r="CC758" i="6" s="1"/>
  <c r="BZ657" i="6"/>
  <c r="CA657" i="6" s="1"/>
  <c r="CB1043" i="6"/>
  <c r="CC1043" i="6" s="1"/>
  <c r="BI1043" i="6" s="1"/>
  <c r="AQ1043" i="6" s="1"/>
  <c r="BZ842" i="6"/>
  <c r="CA842" i="6" s="1"/>
  <c r="CB687" i="6"/>
  <c r="CC687" i="6" s="1"/>
  <c r="BZ1217" i="6"/>
  <c r="CA1217" i="6" s="1"/>
  <c r="CB1164" i="6"/>
  <c r="CC1164" i="6" s="1"/>
  <c r="BI1164" i="6" s="1"/>
  <c r="CB853" i="6"/>
  <c r="CC853" i="6" s="1"/>
  <c r="CB1166" i="6"/>
  <c r="CC1166" i="6" s="1"/>
  <c r="BI1166" i="6" s="1"/>
  <c r="CB527" i="6"/>
  <c r="CC527" i="6" s="1"/>
  <c r="BI527" i="6" s="1"/>
  <c r="CB439" i="6"/>
  <c r="CC439" i="6" s="1"/>
  <c r="BI439" i="6" s="1"/>
  <c r="BG503" i="26"/>
  <c r="BH503" i="26" s="1"/>
  <c r="AO503" i="26" s="1"/>
  <c r="BZ207" i="6"/>
  <c r="CA207" i="6" s="1"/>
  <c r="BI721" i="26"/>
  <c r="BJ721" i="26" s="1"/>
  <c r="BZ442" i="6"/>
  <c r="CA442" i="6" s="1"/>
  <c r="BZ458" i="6"/>
  <c r="CA458" i="6" s="1"/>
  <c r="BZ781" i="6"/>
  <c r="CA781" i="6" s="1"/>
  <c r="CB955" i="6"/>
  <c r="CC955" i="6" s="1"/>
  <c r="CB971" i="6"/>
  <c r="CC971" i="6" s="1"/>
  <c r="BZ1074" i="6"/>
  <c r="CA1074" i="6" s="1"/>
  <c r="BZ1259" i="6"/>
  <c r="CA1259" i="6" s="1"/>
  <c r="CB375" i="6"/>
  <c r="CC375" i="6" s="1"/>
  <c r="CB135" i="6"/>
  <c r="CC135" i="6" s="1"/>
  <c r="BI135" i="6" s="1"/>
  <c r="CB1032" i="6"/>
  <c r="CC1032" i="6" s="1"/>
  <c r="BI1032" i="6" s="1"/>
  <c r="BZ386" i="6"/>
  <c r="CA386" i="6" s="1"/>
  <c r="CB477" i="6"/>
  <c r="CC477" i="6" s="1"/>
  <c r="BI477" i="6" s="1"/>
  <c r="BZ1063" i="6"/>
  <c r="CA1063" i="6" s="1"/>
  <c r="CB467" i="6"/>
  <c r="CC467" i="6" s="1"/>
  <c r="BI467" i="6" s="1"/>
  <c r="CB454" i="6"/>
  <c r="CC454" i="6" s="1"/>
  <c r="BI454" i="6" s="1"/>
  <c r="CB414" i="6"/>
  <c r="CC414" i="6" s="1"/>
  <c r="BI414" i="6" s="1"/>
  <c r="CB1144" i="6"/>
  <c r="CC1144" i="6" s="1"/>
  <c r="BI1144" i="6" s="1"/>
  <c r="AQ1144" i="6" s="1"/>
  <c r="CB1155" i="6"/>
  <c r="CC1155" i="6" s="1"/>
  <c r="BI1155" i="6" s="1"/>
  <c r="CB49" i="6"/>
  <c r="CC49" i="6" s="1"/>
  <c r="BI49" i="6" s="1"/>
  <c r="BZ185" i="6"/>
  <c r="CA185" i="6" s="1"/>
  <c r="CB819" i="6"/>
  <c r="CC819" i="6" s="1"/>
  <c r="BI819" i="6" s="1"/>
  <c r="BZ681" i="6"/>
  <c r="CA681" i="6" s="1"/>
  <c r="BZ69" i="6"/>
  <c r="CA69" i="6" s="1"/>
  <c r="CB65" i="6"/>
  <c r="CC65" i="6" s="1"/>
  <c r="BI65" i="6" s="1"/>
  <c r="AS65" i="6" s="1"/>
  <c r="BZ299" i="6"/>
  <c r="CA299" i="6" s="1"/>
  <c r="CB224" i="6"/>
  <c r="CC224" i="6" s="1"/>
  <c r="BI224" i="6" s="1"/>
  <c r="BZ111" i="6"/>
  <c r="CA111" i="6" s="1"/>
  <c r="BZ362" i="6"/>
  <c r="CA362" i="6" s="1"/>
  <c r="BZ829" i="6"/>
  <c r="CA829" i="6" s="1"/>
  <c r="BZ536" i="6"/>
  <c r="CA536" i="6" s="1"/>
  <c r="BZ713" i="6"/>
  <c r="CA713" i="6" s="1"/>
  <c r="BZ759" i="6"/>
  <c r="CA759" i="6" s="1"/>
  <c r="BZ653" i="6"/>
  <c r="CA653" i="6" s="1"/>
  <c r="BZ962" i="6"/>
  <c r="CA962" i="6" s="1"/>
  <c r="BG58" i="26"/>
  <c r="BH58" i="26" s="1"/>
  <c r="AO58" i="26" s="1"/>
  <c r="CB127" i="6"/>
  <c r="CC127" i="6" s="1"/>
  <c r="BI127" i="6" s="1"/>
  <c r="BZ1247" i="6"/>
  <c r="CA1247" i="6" s="1"/>
  <c r="BZ129" i="6"/>
  <c r="CA129" i="6" s="1"/>
  <c r="CB1000" i="6"/>
  <c r="CC1000" i="6" s="1"/>
  <c r="BI1000" i="6" s="1"/>
  <c r="AR1000" i="6" s="1"/>
  <c r="BZ627" i="6"/>
  <c r="CA627" i="6" s="1"/>
  <c r="BI837" i="26"/>
  <c r="BJ837" i="26" s="1"/>
  <c r="AP837" i="26" s="1"/>
  <c r="CB957" i="6"/>
  <c r="CC957" i="6" s="1"/>
  <c r="BI957" i="6" s="1"/>
  <c r="AS957" i="6" s="1"/>
  <c r="CB1113" i="6"/>
  <c r="CC1113" i="6" s="1"/>
  <c r="CB260" i="6"/>
  <c r="CC260" i="6" s="1"/>
  <c r="BI260" i="6" s="1"/>
  <c r="BZ338" i="6"/>
  <c r="CA338" i="6" s="1"/>
  <c r="CB953" i="6"/>
  <c r="CC953" i="6" s="1"/>
  <c r="CB87" i="6"/>
  <c r="CC87" i="6" s="1"/>
  <c r="BI87" i="6" s="1"/>
  <c r="CB960" i="6"/>
  <c r="CC960" i="6" s="1"/>
  <c r="BI960" i="6" s="1"/>
  <c r="BZ802" i="6"/>
  <c r="CA802" i="6" s="1"/>
  <c r="CB695" i="6"/>
  <c r="CC695" i="6" s="1"/>
  <c r="CB815" i="6"/>
  <c r="CC815" i="6" s="1"/>
  <c r="CB424" i="6"/>
  <c r="CC424" i="6" s="1"/>
  <c r="BI424" i="6" s="1"/>
  <c r="CB837" i="6"/>
  <c r="CC837" i="6" s="1"/>
  <c r="BZ37" i="6"/>
  <c r="CA37" i="6" s="1"/>
  <c r="CB643" i="6"/>
  <c r="CC643" i="6" s="1"/>
  <c r="BI643" i="6" s="1"/>
  <c r="BZ396" i="6"/>
  <c r="CA396" i="6" s="1"/>
  <c r="BI183" i="26"/>
  <c r="BJ183" i="26" s="1"/>
  <c r="AP183" i="26" s="1"/>
  <c r="BI462" i="26"/>
  <c r="BJ462" i="26" s="1"/>
  <c r="AP462" i="26" s="1"/>
  <c r="CB88" i="6"/>
  <c r="CC88" i="6" s="1"/>
  <c r="BI88" i="6" s="1"/>
  <c r="CB64" i="6"/>
  <c r="CC64" i="6" s="1"/>
  <c r="BI64" i="6" s="1"/>
  <c r="CB718" i="6"/>
  <c r="CC718" i="6" s="1"/>
  <c r="BI718" i="6" s="1"/>
  <c r="BI391" i="26"/>
  <c r="BJ391" i="26" s="1"/>
  <c r="CB909" i="6"/>
  <c r="CC909" i="6" s="1"/>
  <c r="BZ1198" i="6"/>
  <c r="CA1198" i="6" s="1"/>
  <c r="BZ1260" i="6"/>
  <c r="CA1260" i="6" s="1"/>
  <c r="BZ523" i="6"/>
  <c r="CA523" i="6" s="1"/>
  <c r="CB170" i="6"/>
  <c r="CC170" i="6" s="1"/>
  <c r="BI170" i="6" s="1"/>
  <c r="CB690" i="6"/>
  <c r="CC690" i="6" s="1"/>
  <c r="CB777" i="6"/>
  <c r="CC777" i="6" s="1"/>
  <c r="BZ814" i="6"/>
  <c r="CA814" i="6" s="1"/>
  <c r="BZ990" i="6"/>
  <c r="CA990" i="6" s="1"/>
  <c r="BZ1170" i="6"/>
  <c r="CA1170" i="6" s="1"/>
  <c r="BZ907" i="6"/>
  <c r="CA907" i="6" s="1"/>
  <c r="BZ1234" i="6"/>
  <c r="CA1234" i="6" s="1"/>
  <c r="CB884" i="6"/>
  <c r="CC884" i="6" s="1"/>
  <c r="BZ1003" i="6"/>
  <c r="CA1003" i="6" s="1"/>
  <c r="BZ976" i="6"/>
  <c r="CA976" i="6" s="1"/>
  <c r="CB422" i="6"/>
  <c r="CC422" i="6" s="1"/>
  <c r="BI422" i="6" s="1"/>
  <c r="CB1062" i="6"/>
  <c r="CC1062" i="6" s="1"/>
  <c r="BI699" i="26"/>
  <c r="BJ699" i="26" s="1"/>
  <c r="BG397" i="26"/>
  <c r="BH397" i="26" s="1"/>
  <c r="AO397" i="26" s="1"/>
  <c r="CB926" i="6"/>
  <c r="CC926" i="6" s="1"/>
  <c r="BZ233" i="6"/>
  <c r="CA233" i="6" s="1"/>
  <c r="CB538" i="6"/>
  <c r="CC538" i="6" s="1"/>
  <c r="BI538" i="6" s="1"/>
  <c r="CB1253" i="6"/>
  <c r="CC1253" i="6" s="1"/>
  <c r="BI1253" i="6" s="1"/>
  <c r="CB576" i="6"/>
  <c r="CC576" i="6" s="1"/>
  <c r="CB866" i="6"/>
  <c r="CC866" i="6" s="1"/>
  <c r="BZ180" i="6"/>
  <c r="CA180" i="6" s="1"/>
  <c r="BZ545" i="6"/>
  <c r="CA545" i="6" s="1"/>
  <c r="CB32" i="6"/>
  <c r="CC32" i="6" s="1"/>
  <c r="BI32" i="6" s="1"/>
  <c r="CB251" i="6"/>
  <c r="CC251" i="6" s="1"/>
  <c r="BI251" i="6" s="1"/>
  <c r="BZ1007" i="6"/>
  <c r="CA1007" i="6" s="1"/>
  <c r="BG184" i="26"/>
  <c r="BH184" i="26" s="1"/>
  <c r="AO184" i="26" s="1"/>
  <c r="BZ431" i="6"/>
  <c r="CA431" i="6" s="1"/>
  <c r="BZ242" i="6"/>
  <c r="CA242" i="6" s="1"/>
  <c r="CB712" i="6"/>
  <c r="CC712" i="6" s="1"/>
  <c r="BZ1251" i="6"/>
  <c r="CA1251" i="6" s="1"/>
  <c r="CB565" i="6"/>
  <c r="CC565" i="6" s="1"/>
  <c r="BI565" i="6" s="1"/>
  <c r="CB842" i="6"/>
  <c r="CC842" i="6" s="1"/>
  <c r="BZ1222" i="6"/>
  <c r="CA1222" i="6" s="1"/>
  <c r="BZ685" i="6"/>
  <c r="CA685" i="6" s="1"/>
  <c r="CB253" i="6"/>
  <c r="CC253" i="6" s="1"/>
  <c r="BI253" i="6" s="1"/>
  <c r="BZ20" i="6"/>
  <c r="CA20" i="6" s="1"/>
  <c r="BG75" i="26"/>
  <c r="BH75" i="26" s="1"/>
  <c r="AO75" i="26" s="1"/>
  <c r="BG134" i="26"/>
  <c r="BH134" i="26" s="1"/>
  <c r="AO134" i="26" s="1"/>
  <c r="CB545" i="6"/>
  <c r="CC545" i="6" s="1"/>
  <c r="BI545" i="6" s="1"/>
  <c r="CB182" i="6"/>
  <c r="CC182" i="6" s="1"/>
  <c r="BI182" i="6" s="1"/>
  <c r="CB789" i="6"/>
  <c r="CC789" i="6" s="1"/>
  <c r="BZ25" i="6"/>
  <c r="CA25" i="6" s="1"/>
  <c r="BZ886" i="6"/>
  <c r="CA886" i="6" s="1"/>
  <c r="BZ1107" i="6"/>
  <c r="CA1107" i="6" s="1"/>
  <c r="BG655" i="26"/>
  <c r="BH655" i="26" s="1"/>
  <c r="AO655" i="26" s="1"/>
  <c r="CB427" i="6"/>
  <c r="CC427" i="6" s="1"/>
  <c r="BI427" i="6" s="1"/>
  <c r="BZ456" i="6"/>
  <c r="CA456" i="6" s="1"/>
  <c r="BZ645" i="6"/>
  <c r="CA645" i="6" s="1"/>
  <c r="BZ131" i="6"/>
  <c r="CA131" i="6" s="1"/>
  <c r="CB378" i="6"/>
  <c r="CC378" i="6" s="1"/>
  <c r="BI378" i="6" s="1"/>
  <c r="BZ91" i="6"/>
  <c r="CA91" i="6" s="1"/>
  <c r="BZ322" i="6"/>
  <c r="CA322" i="6" s="1"/>
  <c r="BZ277" i="6"/>
  <c r="CA277" i="6" s="1"/>
  <c r="BZ843" i="6"/>
  <c r="CA843" i="6" s="1"/>
  <c r="CB97" i="6"/>
  <c r="CC97" i="6" s="1"/>
  <c r="BI97" i="6" s="1"/>
  <c r="BZ237" i="6"/>
  <c r="CA237" i="6" s="1"/>
  <c r="BZ542" i="6"/>
  <c r="CA542" i="6" s="1"/>
  <c r="BZ801" i="6"/>
  <c r="CA801" i="6" s="1"/>
  <c r="BG538" i="26"/>
  <c r="BH538" i="26" s="1"/>
  <c r="AO538" i="26" s="1"/>
  <c r="BZ708" i="6"/>
  <c r="CA708" i="6" s="1"/>
  <c r="BI238" i="26"/>
  <c r="BZ779" i="6"/>
  <c r="CA779" i="6" s="1"/>
  <c r="CB729" i="6"/>
  <c r="CC729" i="6" s="1"/>
  <c r="BI58" i="26"/>
  <c r="BJ58" i="26" s="1"/>
  <c r="AP58" i="26" s="1"/>
  <c r="BZ125" i="6"/>
  <c r="CA125" i="6" s="1"/>
  <c r="BZ230" i="6"/>
  <c r="CA230" i="6" s="1"/>
  <c r="BZ1215" i="6"/>
  <c r="CA1215" i="6" s="1"/>
  <c r="BZ99" i="6"/>
  <c r="CA99" i="6" s="1"/>
  <c r="CB1056" i="6"/>
  <c r="CC1056" i="6" s="1"/>
  <c r="CB693" i="6"/>
  <c r="CC693" i="6" s="1"/>
  <c r="BZ165" i="6"/>
  <c r="CA165" i="6" s="1"/>
  <c r="CB835" i="6"/>
  <c r="CC835" i="6" s="1"/>
  <c r="BI60" i="26"/>
  <c r="BJ60" i="26" s="1"/>
  <c r="AP60" i="26" s="1"/>
  <c r="BG245" i="26"/>
  <c r="BH245" i="26" s="1"/>
  <c r="AO245" i="26" s="1"/>
  <c r="BZ1058" i="6"/>
  <c r="CA1058" i="6" s="1"/>
  <c r="BZ831" i="6"/>
  <c r="CA831" i="6" s="1"/>
  <c r="BI488" i="26"/>
  <c r="BJ488" i="26" s="1"/>
  <c r="BZ604" i="6"/>
  <c r="CA604" i="6" s="1"/>
  <c r="BZ457" i="6"/>
  <c r="CA457" i="6" s="1"/>
  <c r="BG507" i="26"/>
  <c r="BH507" i="26" s="1"/>
  <c r="AO507" i="26" s="1"/>
  <c r="BI358" i="26"/>
  <c r="BJ358" i="26" s="1"/>
  <c r="CB786" i="6"/>
  <c r="CC786" i="6" s="1"/>
  <c r="CB1051" i="6"/>
  <c r="CC1051" i="6" s="1"/>
  <c r="BI1051" i="6" s="1"/>
  <c r="CB17" i="6"/>
  <c r="CC17" i="6" s="1"/>
  <c r="BI17" i="6" s="1"/>
  <c r="CB328" i="6"/>
  <c r="CC328" i="6" s="1"/>
  <c r="BI328" i="6" s="1"/>
  <c r="CB525" i="6"/>
  <c r="CC525" i="6" s="1"/>
  <c r="BI525" i="6" s="1"/>
  <c r="BZ113" i="6"/>
  <c r="CA113" i="6" s="1"/>
  <c r="CB810" i="6"/>
  <c r="CC810" i="6" s="1"/>
  <c r="CB787" i="6"/>
  <c r="CC787" i="6" s="1"/>
  <c r="BG260" i="26"/>
  <c r="BH260" i="26" s="1"/>
  <c r="AO260" i="26" s="1"/>
  <c r="CB742" i="6"/>
  <c r="CC742" i="6" s="1"/>
  <c r="CB831" i="6"/>
  <c r="CC831" i="6" s="1"/>
  <c r="CB1004" i="6"/>
  <c r="CC1004" i="6" s="1"/>
  <c r="BZ1001" i="6"/>
  <c r="CA1001" i="6" s="1"/>
  <c r="CB641" i="6"/>
  <c r="CC641" i="6" s="1"/>
  <c r="BI641" i="6" s="1"/>
  <c r="BZ735" i="6"/>
  <c r="CA735" i="6" s="1"/>
  <c r="BZ655" i="6"/>
  <c r="CA655" i="6" s="1"/>
  <c r="CB241" i="6"/>
  <c r="CC241" i="6" s="1"/>
  <c r="BZ490" i="6"/>
  <c r="CA490" i="6" s="1"/>
  <c r="BZ880" i="6"/>
  <c r="CA880" i="6" s="1"/>
  <c r="BG234" i="26"/>
  <c r="BH234" i="26" s="1"/>
  <c r="AO234" i="26" s="1"/>
  <c r="BZ718" i="6"/>
  <c r="CA718" i="6" s="1"/>
  <c r="BZ16" i="6"/>
  <c r="CA16" i="6" s="1"/>
  <c r="CB612" i="6"/>
  <c r="CC612" i="6" s="1"/>
  <c r="BI612" i="6" s="1"/>
  <c r="BZ1078" i="6"/>
  <c r="CA1078" i="6" s="1"/>
  <c r="BI43" i="26"/>
  <c r="BJ43" i="26" s="1"/>
  <c r="AP43" i="26" s="1"/>
  <c r="CB776" i="6"/>
  <c r="CC776" i="6" s="1"/>
  <c r="CB512" i="6"/>
  <c r="CC512" i="6" s="1"/>
  <c r="BI512" i="6" s="1"/>
  <c r="BI144" i="26"/>
  <c r="BJ144" i="26" s="1"/>
  <c r="AP144" i="26" s="1"/>
  <c r="BZ876" i="6"/>
  <c r="CA876" i="6" s="1"/>
  <c r="BZ57" i="6"/>
  <c r="CA57" i="6" s="1"/>
  <c r="CB921" i="6"/>
  <c r="CC921" i="6" s="1"/>
  <c r="CB1161" i="6"/>
  <c r="CC1161" i="6" s="1"/>
  <c r="BI1161" i="6" s="1"/>
  <c r="AQ1161" i="6" s="1"/>
  <c r="BZ756" i="6"/>
  <c r="CA756" i="6" s="1"/>
  <c r="BZ593" i="6"/>
  <c r="CA593" i="6" s="1"/>
  <c r="BZ691" i="6"/>
  <c r="CA691" i="6" s="1"/>
  <c r="CB150" i="6"/>
  <c r="CC150" i="6" s="1"/>
  <c r="BI150" i="6" s="1"/>
  <c r="BZ560" i="6"/>
  <c r="CA560" i="6" s="1"/>
  <c r="CB1042" i="6"/>
  <c r="CC1042" i="6" s="1"/>
  <c r="BI1042" i="6" s="1"/>
  <c r="BG299" i="26"/>
  <c r="BH299" i="26" s="1"/>
  <c r="AO299" i="26" s="1"/>
  <c r="CB748" i="6"/>
  <c r="CC748" i="6" s="1"/>
  <c r="BI372" i="26"/>
  <c r="BJ372" i="26" s="1"/>
  <c r="BZ361" i="6"/>
  <c r="CA361" i="6" s="1"/>
  <c r="BZ378" i="6"/>
  <c r="CA378" i="6" s="1"/>
  <c r="BZ124" i="6"/>
  <c r="CA124" i="6" s="1"/>
  <c r="CB1207" i="6"/>
  <c r="CC1207" i="6" s="1"/>
  <c r="BI1207" i="6" s="1"/>
  <c r="CB29" i="6"/>
  <c r="CC29" i="6" s="1"/>
  <c r="CB35" i="6"/>
  <c r="CC35" i="6" s="1"/>
  <c r="BI35" i="6" s="1"/>
  <c r="AS35" i="6" s="1"/>
  <c r="CB83" i="6"/>
  <c r="CC83" i="6" s="1"/>
  <c r="BI83" i="6" s="1"/>
  <c r="BG283" i="26"/>
  <c r="BH283" i="26" s="1"/>
  <c r="AO283" i="26" s="1"/>
  <c r="CB169" i="6"/>
  <c r="CC169" i="6" s="1"/>
  <c r="BI169" i="6" s="1"/>
  <c r="CB322" i="6"/>
  <c r="CC322" i="6" s="1"/>
  <c r="BI322" i="6" s="1"/>
  <c r="CB281" i="6"/>
  <c r="CC281" i="6" s="1"/>
  <c r="BI281" i="6" s="1"/>
  <c r="CB1025" i="6"/>
  <c r="CC1025" i="6" s="1"/>
  <c r="BZ225" i="6"/>
  <c r="CA225" i="6" s="1"/>
  <c r="CB1058" i="6"/>
  <c r="CC1058" i="6" s="1"/>
  <c r="CB519" i="6"/>
  <c r="CC519" i="6" s="1"/>
  <c r="CB492" i="6"/>
  <c r="CC492" i="6" s="1"/>
  <c r="BI492" i="6" s="1"/>
  <c r="BZ901" i="6"/>
  <c r="CA901" i="6" s="1"/>
  <c r="CB925" i="6"/>
  <c r="CC925" i="6" s="1"/>
  <c r="BZ543" i="6"/>
  <c r="CA543" i="6" s="1"/>
  <c r="BZ249" i="6"/>
  <c r="CA249" i="6" s="1"/>
  <c r="CB1068" i="6"/>
  <c r="CC1068" i="6" s="1"/>
  <c r="BI1068" i="6" s="1"/>
  <c r="CB257" i="6"/>
  <c r="CC257" i="6" s="1"/>
  <c r="BI257" i="6" s="1"/>
  <c r="CB489" i="6"/>
  <c r="CC489" i="6" s="1"/>
  <c r="BI489" i="6" s="1"/>
  <c r="BZ938" i="6"/>
  <c r="CA938" i="6" s="1"/>
  <c r="BG17" i="26"/>
  <c r="BH17" i="26" s="1"/>
  <c r="AO17" i="26" s="1"/>
  <c r="CB221" i="6"/>
  <c r="CC221" i="6" s="1"/>
  <c r="BI221" i="6" s="1"/>
  <c r="CB770" i="6"/>
  <c r="CC770" i="6" s="1"/>
  <c r="BI11" i="26"/>
  <c r="BJ11" i="26" s="1"/>
  <c r="AP11" i="26" s="1"/>
  <c r="CB435" i="6"/>
  <c r="CC435" i="6" s="1"/>
  <c r="BI435" i="6" s="1"/>
  <c r="CB1143" i="6"/>
  <c r="CC1143" i="6" s="1"/>
  <c r="CB974" i="6"/>
  <c r="CC974" i="6" s="1"/>
  <c r="BI974" i="6" s="1"/>
  <c r="CB38" i="6"/>
  <c r="CC38" i="6" s="1"/>
  <c r="BI38" i="6" s="1"/>
  <c r="BZ168" i="6"/>
  <c r="CA168" i="6" s="1"/>
  <c r="CB157" i="6"/>
  <c r="CC157" i="6" s="1"/>
  <c r="BI157" i="6" s="1"/>
  <c r="BI37" i="26"/>
  <c r="BJ37" i="26" s="1"/>
  <c r="AP37" i="26" s="1"/>
  <c r="BG113" i="26"/>
  <c r="BH113" i="26" s="1"/>
  <c r="AO113" i="26" s="1"/>
  <c r="BZ112" i="6"/>
  <c r="CA112" i="6" s="1"/>
  <c r="BZ285" i="6"/>
  <c r="CA285" i="6" s="1"/>
  <c r="CB675" i="6"/>
  <c r="CC675" i="6" s="1"/>
  <c r="CB147" i="6"/>
  <c r="CC147" i="6" s="1"/>
  <c r="BI147" i="6" s="1"/>
  <c r="CB1034" i="6"/>
  <c r="CC1034" i="6" s="1"/>
  <c r="BI1034" i="6" s="1"/>
  <c r="AQ1034" i="6" s="1"/>
  <c r="CB533" i="6"/>
  <c r="CC533" i="6" s="1"/>
  <c r="BZ855" i="6"/>
  <c r="CA855" i="6" s="1"/>
  <c r="CB1014" i="6"/>
  <c r="CC1014" i="6" s="1"/>
  <c r="CB854" i="6"/>
  <c r="CC854" i="6" s="1"/>
  <c r="CB841" i="6"/>
  <c r="CC841" i="6" s="1"/>
  <c r="BZ61" i="6"/>
  <c r="CA61" i="6" s="1"/>
  <c r="CB684" i="6"/>
  <c r="CC684" i="6" s="1"/>
  <c r="BZ1238" i="6"/>
  <c r="CA1238" i="6" s="1"/>
  <c r="BZ683" i="6"/>
  <c r="CA683" i="6" s="1"/>
  <c r="BZ19" i="6"/>
  <c r="CA19" i="6" s="1"/>
  <c r="CB731" i="6"/>
  <c r="CC731" i="6" s="1"/>
  <c r="CB765" i="6"/>
  <c r="CC765" i="6" s="1"/>
  <c r="CB1075" i="6"/>
  <c r="CC1075" i="6" s="1"/>
  <c r="BI1075" i="6" s="1"/>
  <c r="CB405" i="6"/>
  <c r="CC405" i="6" s="1"/>
  <c r="BI405" i="6" s="1"/>
  <c r="BZ73" i="6"/>
  <c r="CA73" i="6" s="1"/>
  <c r="CB377" i="6"/>
  <c r="CC377" i="6" s="1"/>
  <c r="CB149" i="6"/>
  <c r="CC149" i="6" s="1"/>
  <c r="BI149" i="6" s="1"/>
  <c r="BG236" i="26"/>
  <c r="BH236" i="26" s="1"/>
  <c r="AO236" i="26" s="1"/>
  <c r="BG21" i="26"/>
  <c r="BH21" i="26" s="1"/>
  <c r="AO21" i="26" s="1"/>
  <c r="BI160" i="26"/>
  <c r="BJ160" i="26" s="1"/>
  <c r="BZ1164" i="6"/>
  <c r="CA1164" i="6" s="1"/>
  <c r="CB621" i="6"/>
  <c r="CC621" i="6" s="1"/>
  <c r="BI621" i="6" s="1"/>
  <c r="BZ15" i="6"/>
  <c r="CA15" i="6" s="1"/>
  <c r="CB552" i="6"/>
  <c r="CC552" i="6" s="1"/>
  <c r="BI552" i="6" s="1"/>
  <c r="BZ492" i="6"/>
  <c r="CA492" i="6" s="1"/>
  <c r="BZ793" i="6"/>
  <c r="CA793" i="6" s="1"/>
  <c r="BZ167" i="6"/>
  <c r="CA167" i="6" s="1"/>
  <c r="CB388" i="6"/>
  <c r="CC388" i="6" s="1"/>
  <c r="BI388" i="6" s="1"/>
  <c r="BZ1020" i="6"/>
  <c r="CA1020" i="6" s="1"/>
  <c r="CB207" i="6"/>
  <c r="CC207" i="6" s="1"/>
  <c r="BI207" i="6" s="1"/>
  <c r="BZ371" i="6"/>
  <c r="CA371" i="6" s="1"/>
  <c r="CB105" i="6"/>
  <c r="CC105" i="6" s="1"/>
  <c r="BI105" i="6" s="1"/>
  <c r="BI32" i="26"/>
  <c r="BJ32" i="26" s="1"/>
  <c r="AP32" i="26" s="1"/>
  <c r="BZ1124" i="6"/>
  <c r="CA1124" i="6" s="1"/>
  <c r="BZ1177" i="6"/>
  <c r="CA1177" i="6" s="1"/>
  <c r="CB678" i="6"/>
  <c r="CC678" i="6" s="1"/>
  <c r="BZ143" i="6"/>
  <c r="CA143" i="6" s="1"/>
  <c r="BI229" i="26"/>
  <c r="BJ229" i="26" s="1"/>
  <c r="CB943" i="6"/>
  <c r="CC943" i="6" s="1"/>
  <c r="BI943" i="6" s="1"/>
  <c r="CB1234" i="6"/>
  <c r="CC1234" i="6" s="1"/>
  <c r="BI1234" i="6" s="1"/>
  <c r="AQ1234" i="6" s="1"/>
  <c r="BZ363" i="6"/>
  <c r="CA363" i="6" s="1"/>
  <c r="BZ39" i="6"/>
  <c r="CA39" i="6" s="1"/>
  <c r="CB1163" i="6"/>
  <c r="CC1163" i="6" s="1"/>
  <c r="BI1163" i="6" s="1"/>
  <c r="BZ577" i="6"/>
  <c r="CA577" i="6" s="1"/>
  <c r="BI697" i="26"/>
  <c r="BJ697" i="26" s="1"/>
  <c r="AP697" i="26" s="1"/>
  <c r="BZ203" i="6"/>
  <c r="CA203" i="6" s="1"/>
  <c r="CB448" i="6"/>
  <c r="CC448" i="6" s="1"/>
  <c r="BI448" i="6" s="1"/>
  <c r="BZ733" i="6"/>
  <c r="CA733" i="6" s="1"/>
  <c r="CB121" i="6"/>
  <c r="CC121" i="6" s="1"/>
  <c r="BI121" i="6" s="1"/>
  <c r="BZ1195" i="6"/>
  <c r="CA1195" i="6" s="1"/>
  <c r="CB191" i="6"/>
  <c r="CC191" i="6" s="1"/>
  <c r="BI191" i="6" s="1"/>
  <c r="CB462" i="6"/>
  <c r="CC462" i="6" s="1"/>
  <c r="BI462" i="6" s="1"/>
  <c r="BI38" i="26"/>
  <c r="BJ38" i="26" s="1"/>
  <c r="AP38" i="26" s="1"/>
  <c r="BZ151" i="6"/>
  <c r="CA151" i="6" s="1"/>
  <c r="CB933" i="6"/>
  <c r="CC933" i="6" s="1"/>
  <c r="BZ617" i="6"/>
  <c r="CA617" i="6" s="1"/>
  <c r="BZ861" i="6"/>
  <c r="CA861" i="6" s="1"/>
  <c r="BZ853" i="6"/>
  <c r="CA853" i="6" s="1"/>
  <c r="CB1194" i="6"/>
  <c r="CC1194" i="6" s="1"/>
  <c r="BI1194" i="6" s="1"/>
  <c r="BG47" i="26"/>
  <c r="BH47" i="26" s="1"/>
  <c r="AO47" i="26" s="1"/>
  <c r="CB677" i="6"/>
  <c r="CC677" i="6" s="1"/>
  <c r="CB979" i="6"/>
  <c r="CC979" i="6" s="1"/>
  <c r="BI979" i="6" s="1"/>
  <c r="BZ59" i="6"/>
  <c r="CA59" i="6" s="1"/>
  <c r="CB561" i="6"/>
  <c r="CC561" i="6" s="1"/>
  <c r="BI561" i="6" s="1"/>
  <c r="CB646" i="6"/>
  <c r="CC646" i="6" s="1"/>
  <c r="BI646" i="6" s="1"/>
  <c r="BZ773" i="6"/>
  <c r="CA773" i="6" s="1"/>
  <c r="CB804" i="6"/>
  <c r="CC804" i="6" s="1"/>
  <c r="BI804" i="6" s="1"/>
  <c r="BZ77" i="6"/>
  <c r="CA77" i="6" s="1"/>
  <c r="BZ648" i="6"/>
  <c r="CA648" i="6" s="1"/>
  <c r="CB1230" i="6"/>
  <c r="CC1230" i="6" s="1"/>
  <c r="BI1230" i="6" s="1"/>
  <c r="AQ1230" i="6" s="1"/>
  <c r="CB983" i="6"/>
  <c r="CC983" i="6" s="1"/>
  <c r="CB978" i="6"/>
  <c r="CC978" i="6" s="1"/>
  <c r="BI978" i="6" s="1"/>
  <c r="CB1195" i="6"/>
  <c r="CC1195" i="6" s="1"/>
  <c r="BI1195" i="6" s="1"/>
  <c r="BZ369" i="6"/>
  <c r="CA369" i="6" s="1"/>
  <c r="CB894" i="6"/>
  <c r="CC894" i="6" s="1"/>
  <c r="CB203" i="6"/>
  <c r="CC203" i="6" s="1"/>
  <c r="BI203" i="6" s="1"/>
  <c r="CB360" i="6"/>
  <c r="CC360" i="6" s="1"/>
  <c r="BI360" i="6" s="1"/>
  <c r="CB252" i="6"/>
  <c r="CC252" i="6" s="1"/>
  <c r="BI252" i="6" s="1"/>
  <c r="BZ1016" i="6"/>
  <c r="CA1016" i="6" s="1"/>
  <c r="CB865" i="6"/>
  <c r="CC865" i="6" s="1"/>
  <c r="CB569" i="6"/>
  <c r="CC569" i="6" s="1"/>
  <c r="BI569" i="6" s="1"/>
  <c r="CB947" i="6"/>
  <c r="CC947" i="6" s="1"/>
  <c r="CB931" i="6"/>
  <c r="CC931" i="6" s="1"/>
  <c r="BZ139" i="6"/>
  <c r="CA139" i="6" s="1"/>
  <c r="CB354" i="6"/>
  <c r="CC354" i="6" s="1"/>
  <c r="BI354" i="6" s="1"/>
  <c r="CB1196" i="6"/>
  <c r="CC1196" i="6" s="1"/>
  <c r="CB739" i="6"/>
  <c r="CC739" i="6" s="1"/>
  <c r="BZ1070" i="6"/>
  <c r="CA1070" i="6" s="1"/>
  <c r="CB1266" i="6"/>
  <c r="CC1266" i="6" s="1"/>
  <c r="BI1266" i="6" s="1"/>
  <c r="CB124" i="6"/>
  <c r="CC124" i="6" s="1"/>
  <c r="BI124" i="6" s="1"/>
  <c r="CB1053" i="6"/>
  <c r="CC1053" i="6" s="1"/>
  <c r="CB750" i="6"/>
  <c r="CC750" i="6" s="1"/>
  <c r="BZ259" i="6"/>
  <c r="CA259" i="6" s="1"/>
  <c r="CB1172" i="6"/>
  <c r="CC1172" i="6" s="1"/>
  <c r="BI1172" i="6" s="1"/>
  <c r="BZ127" i="6"/>
  <c r="CA127" i="6" s="1"/>
  <c r="CB1187" i="6"/>
  <c r="CC1187" i="6" s="1"/>
  <c r="BZ1034" i="6"/>
  <c r="CA1034" i="6" s="1"/>
  <c r="CB539" i="6"/>
  <c r="CC539" i="6" s="1"/>
  <c r="BI539" i="6" s="1"/>
  <c r="BZ334" i="6"/>
  <c r="CA334" i="6" s="1"/>
  <c r="BZ1073" i="6"/>
  <c r="CA1073" i="6" s="1"/>
  <c r="CB1070" i="6"/>
  <c r="CC1070" i="6" s="1"/>
  <c r="BI1070" i="6" s="1"/>
  <c r="CB807" i="6"/>
  <c r="CC807" i="6" s="1"/>
  <c r="CB858" i="6"/>
  <c r="CC858" i="6" s="1"/>
  <c r="BI858" i="6" s="1"/>
  <c r="BZ857" i="6"/>
  <c r="CA857" i="6" s="1"/>
  <c r="BZ573" i="6"/>
  <c r="CA573" i="6" s="1"/>
  <c r="BZ29" i="6"/>
  <c r="CA29" i="6" s="1"/>
  <c r="BZ161" i="6"/>
  <c r="CA161" i="6" s="1"/>
  <c r="BZ229" i="6"/>
  <c r="CA229" i="6" s="1"/>
  <c r="CB96" i="6"/>
  <c r="CC96" i="6" s="1"/>
  <c r="BI96" i="6" s="1"/>
  <c r="BG421" i="26"/>
  <c r="BH421" i="26" s="1"/>
  <c r="AO421" i="26" s="1"/>
  <c r="BZ235" i="6"/>
  <c r="CA235" i="6" s="1"/>
  <c r="BI246" i="26"/>
  <c r="BJ246" i="26" s="1"/>
  <c r="BG101" i="26"/>
  <c r="BH101" i="26" s="1"/>
  <c r="AO101" i="26" s="1"/>
  <c r="BZ1019" i="6"/>
  <c r="CA1019" i="6" s="1"/>
  <c r="BZ267" i="6"/>
  <c r="CA267" i="6" s="1"/>
  <c r="BZ1206" i="6"/>
  <c r="CA1206" i="6" s="1"/>
  <c r="BZ643" i="6"/>
  <c r="CA643" i="6" s="1"/>
  <c r="BZ14" i="6"/>
  <c r="CA14" i="6" s="1"/>
  <c r="CB868" i="6"/>
  <c r="CC868" i="6" s="1"/>
  <c r="BG638" i="26"/>
  <c r="BH638" i="26" s="1"/>
  <c r="AO638" i="26" s="1"/>
  <c r="CB932" i="6"/>
  <c r="CC932" i="6" s="1"/>
  <c r="BI932" i="6" s="1"/>
  <c r="CB129" i="6"/>
  <c r="CC129" i="6" s="1"/>
  <c r="BI129" i="6" s="1"/>
  <c r="BZ870" i="6"/>
  <c r="CA870" i="6" s="1"/>
  <c r="BZ835" i="6"/>
  <c r="CA835" i="6" s="1"/>
  <c r="CB161" i="6"/>
  <c r="CC161" i="6" s="1"/>
  <c r="BI161" i="6" s="1"/>
  <c r="BZ677" i="6"/>
  <c r="CA677" i="6" s="1"/>
  <c r="BZ871" i="6"/>
  <c r="CA871" i="6" s="1"/>
  <c r="BZ60" i="6"/>
  <c r="CA60" i="6" s="1"/>
  <c r="BZ1184" i="6"/>
  <c r="CA1184" i="6" s="1"/>
  <c r="CB829" i="6"/>
  <c r="CC829" i="6" s="1"/>
  <c r="BG603" i="26"/>
  <c r="BH603" i="26" s="1"/>
  <c r="AO603" i="26" s="1"/>
  <c r="BG425" i="26"/>
  <c r="BH425" i="26" s="1"/>
  <c r="AO425" i="26" s="1"/>
  <c r="BG696" i="26"/>
  <c r="BH696" i="26" s="1"/>
  <c r="AO696" i="26" s="1"/>
  <c r="CB385" i="6"/>
  <c r="CC385" i="6" s="1"/>
  <c r="BI385" i="6" s="1"/>
  <c r="BZ118" i="6"/>
  <c r="CA118" i="6" s="1"/>
  <c r="BG112" i="26"/>
  <c r="BH112" i="26" s="1"/>
  <c r="AO112" i="26" s="1"/>
  <c r="BZ320" i="6"/>
  <c r="CA320" i="6" s="1"/>
  <c r="BZ596" i="6"/>
  <c r="CA596" i="6" s="1"/>
  <c r="BG698" i="26"/>
  <c r="BH698" i="26" s="1"/>
  <c r="AO698" i="26" s="1"/>
  <c r="BZ1057" i="6"/>
  <c r="CA1057" i="6" s="1"/>
  <c r="CB1225" i="6"/>
  <c r="CC1225" i="6" s="1"/>
  <c r="BZ176" i="6"/>
  <c r="CA176" i="6" s="1"/>
  <c r="BZ755" i="6"/>
  <c r="CA755" i="6" s="1"/>
  <c r="CB644" i="6"/>
  <c r="CC644" i="6" s="1"/>
  <c r="BI644" i="6" s="1"/>
  <c r="CB1255" i="6"/>
  <c r="CC1255" i="6" s="1"/>
  <c r="BI1255" i="6" s="1"/>
  <c r="BZ823" i="6"/>
  <c r="CA823" i="6" s="1"/>
  <c r="CB999" i="6"/>
  <c r="CC999" i="6" s="1"/>
  <c r="CB1236" i="6"/>
  <c r="CC1236" i="6" s="1"/>
  <c r="BI1236" i="6" s="1"/>
  <c r="AQ1236" i="6" s="1"/>
  <c r="BZ641" i="6"/>
  <c r="CA641" i="6" s="1"/>
  <c r="BZ607" i="6"/>
  <c r="CA607" i="6" s="1"/>
  <c r="BZ1095" i="6"/>
  <c r="CA1095" i="6" s="1"/>
  <c r="CB1013" i="6"/>
  <c r="CC1013" i="6" s="1"/>
  <c r="BI219" i="26"/>
  <c r="BJ219" i="26" s="1"/>
  <c r="AP219" i="26" s="1"/>
  <c r="BZ1046" i="6"/>
  <c r="CA1046" i="6" s="1"/>
  <c r="CB486" i="6"/>
  <c r="CC486" i="6" s="1"/>
  <c r="BI486" i="6" s="1"/>
  <c r="AQ486" i="6" s="1"/>
  <c r="BZ385" i="6"/>
  <c r="CA385" i="6" s="1"/>
  <c r="CB393" i="6"/>
  <c r="CC393" i="6" s="1"/>
  <c r="CB768" i="6"/>
  <c r="CC768" i="6" s="1"/>
  <c r="CB382" i="6"/>
  <c r="CC382" i="6" s="1"/>
  <c r="BI382" i="6" s="1"/>
  <c r="BZ1205" i="6"/>
  <c r="CA1205" i="6" s="1"/>
  <c r="CB446" i="6"/>
  <c r="CC446" i="6" s="1"/>
  <c r="BI446" i="6" s="1"/>
  <c r="BZ899" i="6"/>
  <c r="CA899" i="6" s="1"/>
  <c r="CB1214" i="6"/>
  <c r="CC1214" i="6" s="1"/>
  <c r="BI1214" i="6" s="1"/>
  <c r="CB320" i="6"/>
  <c r="CC320" i="6" s="1"/>
  <c r="BI320" i="6" s="1"/>
  <c r="BZ743" i="6"/>
  <c r="CA743" i="6" s="1"/>
  <c r="BZ727" i="6"/>
  <c r="CA727" i="6" s="1"/>
  <c r="BG42" i="26"/>
  <c r="BH42" i="26" s="1"/>
  <c r="AO42" i="26" s="1"/>
  <c r="BZ1165" i="6"/>
  <c r="CA1165" i="6" s="1"/>
  <c r="BZ228" i="6"/>
  <c r="CA228" i="6" s="1"/>
  <c r="CB630" i="6"/>
  <c r="CC630" i="6" s="1"/>
  <c r="BI630" i="6" s="1"/>
  <c r="CB186" i="6"/>
  <c r="CC186" i="6" s="1"/>
  <c r="BI186" i="6" s="1"/>
  <c r="CB51" i="6"/>
  <c r="CC51" i="6" s="1"/>
  <c r="BI51" i="6" s="1"/>
  <c r="BZ978" i="6"/>
  <c r="CA978" i="6" s="1"/>
  <c r="BG521" i="26"/>
  <c r="BH521" i="26" s="1"/>
  <c r="AO521" i="26" s="1"/>
  <c r="CB22" i="6"/>
  <c r="CC22" i="6" s="1"/>
  <c r="BI22" i="6" s="1"/>
  <c r="CB292" i="6"/>
  <c r="CC292" i="6" s="1"/>
  <c r="BI292" i="6" s="1"/>
  <c r="AR292" i="6" s="1"/>
  <c r="BI57" i="26"/>
  <c r="BJ57" i="26" s="1"/>
  <c r="AP57" i="26" s="1"/>
  <c r="CB891" i="6"/>
  <c r="CC891" i="6" s="1"/>
  <c r="BI891" i="6" s="1"/>
  <c r="BI301" i="26"/>
  <c r="BJ301" i="26" s="1"/>
  <c r="CB95" i="6"/>
  <c r="CC95" i="6" s="1"/>
  <c r="BI95" i="6" s="1"/>
  <c r="CB548" i="6"/>
  <c r="CC548" i="6" s="1"/>
  <c r="BI548" i="6" s="1"/>
  <c r="BZ432" i="6"/>
  <c r="CA432" i="6" s="1"/>
  <c r="CB1153" i="6"/>
  <c r="CC1153" i="6" s="1"/>
  <c r="BI1153" i="6" s="1"/>
  <c r="BZ426" i="6"/>
  <c r="CA426" i="6" s="1"/>
  <c r="CB1103" i="6"/>
  <c r="CC1103" i="6" s="1"/>
  <c r="BZ317" i="6"/>
  <c r="CA317" i="6" s="1"/>
  <c r="BZ148" i="6"/>
  <c r="CA148" i="6" s="1"/>
  <c r="BZ724" i="6"/>
  <c r="CA724" i="6" s="1"/>
  <c r="BZ1062" i="6"/>
  <c r="CA1062" i="6" s="1"/>
  <c r="CB744" i="6"/>
  <c r="CC744" i="6" s="1"/>
  <c r="BZ30" i="6"/>
  <c r="CA30" i="6" s="1"/>
  <c r="CB74" i="6"/>
  <c r="CC74" i="6" s="1"/>
  <c r="BI74" i="6" s="1"/>
  <c r="CB1171" i="6"/>
  <c r="CC1171" i="6" s="1"/>
  <c r="BI1171" i="6" s="1"/>
  <c r="CB1219" i="6"/>
  <c r="CC1219" i="6" s="1"/>
  <c r="BI1219" i="6" s="1"/>
  <c r="BG541" i="26"/>
  <c r="BH541" i="26" s="1"/>
  <c r="AO541" i="26" s="1"/>
  <c r="BZ164" i="6"/>
  <c r="CA164" i="6" s="1"/>
  <c r="BZ902" i="6"/>
  <c r="CA902" i="6" s="1"/>
  <c r="BG740" i="26"/>
  <c r="BH740" i="26" s="1"/>
  <c r="AO740" i="26" s="1"/>
  <c r="BZ950" i="6"/>
  <c r="CA950" i="6" s="1"/>
  <c r="CB1138" i="6"/>
  <c r="CC1138" i="6" s="1"/>
  <c r="BI1138" i="6" s="1"/>
  <c r="AQ1138" i="6" s="1"/>
  <c r="CB1200" i="6"/>
  <c r="CC1200" i="6" s="1"/>
  <c r="BI1200" i="6" s="1"/>
  <c r="CB420" i="6"/>
  <c r="CC420" i="6" s="1"/>
  <c r="BI420" i="6" s="1"/>
  <c r="BZ887" i="6"/>
  <c r="CA887" i="6" s="1"/>
  <c r="CB618" i="6"/>
  <c r="CC618" i="6" s="1"/>
  <c r="CB1133" i="6"/>
  <c r="CC1133" i="6" s="1"/>
  <c r="BZ194" i="6"/>
  <c r="CA194" i="6" s="1"/>
  <c r="BZ598" i="6"/>
  <c r="CA598" i="6" s="1"/>
  <c r="BI283" i="26"/>
  <c r="BJ283" i="26" s="1"/>
  <c r="BZ394" i="6"/>
  <c r="CA394" i="6" s="1"/>
  <c r="BZ1079" i="6"/>
  <c r="CA1079" i="6" s="1"/>
  <c r="BG367" i="26"/>
  <c r="BH367" i="26" s="1"/>
  <c r="AO367" i="26" s="1"/>
  <c r="BZ1257" i="6"/>
  <c r="CA1257" i="6" s="1"/>
  <c r="CB199" i="6"/>
  <c r="CC199" i="6" s="1"/>
  <c r="BI199" i="6" s="1"/>
  <c r="CB591" i="6"/>
  <c r="CC591" i="6" s="1"/>
  <c r="BI591" i="6" s="1"/>
  <c r="CB1027" i="6"/>
  <c r="CC1027" i="6" s="1"/>
  <c r="BI1027" i="6" s="1"/>
  <c r="CB872" i="6"/>
  <c r="CC872" i="6" s="1"/>
  <c r="BI380" i="26"/>
  <c r="BJ380" i="26" s="1"/>
  <c r="BG406" i="26"/>
  <c r="BH406" i="26" s="1"/>
  <c r="AO406" i="26" s="1"/>
  <c r="BI730" i="26"/>
  <c r="BJ730" i="26" s="1"/>
  <c r="AP730" i="26" s="1"/>
  <c r="BI795" i="26"/>
  <c r="BJ795" i="26" s="1"/>
  <c r="CB158" i="6"/>
  <c r="CC158" i="6" s="1"/>
  <c r="BI158" i="6" s="1"/>
  <c r="BZ578" i="6"/>
  <c r="CA578" i="6" s="1"/>
  <c r="BZ74" i="6"/>
  <c r="CA74" i="6" s="1"/>
  <c r="BG581" i="26"/>
  <c r="BH581" i="26" s="1"/>
  <c r="AO581" i="26" s="1"/>
  <c r="BZ549" i="6"/>
  <c r="CA549" i="6" s="1"/>
  <c r="BZ175" i="6"/>
  <c r="CA175" i="6" s="1"/>
  <c r="CB319" i="6"/>
  <c r="CC319" i="6" s="1"/>
  <c r="BI319" i="6" s="1"/>
  <c r="CB797" i="6"/>
  <c r="CC797" i="6" s="1"/>
  <c r="BZ579" i="6"/>
  <c r="CA579" i="6" s="1"/>
  <c r="BZ693" i="6"/>
  <c r="CA693" i="6" s="1"/>
  <c r="BZ929" i="6"/>
  <c r="CA929" i="6" s="1"/>
  <c r="CB654" i="6"/>
  <c r="CC654" i="6" s="1"/>
  <c r="BI654" i="6" s="1"/>
  <c r="BZ297" i="6"/>
  <c r="CA297" i="6" s="1"/>
  <c r="BZ583" i="6"/>
  <c r="CA583" i="6" s="1"/>
  <c r="CB1066" i="6"/>
  <c r="CC1066" i="6" s="1"/>
  <c r="BI1066" i="6" s="1"/>
  <c r="BZ1168" i="6"/>
  <c r="CA1168" i="6" s="1"/>
  <c r="BZ1000" i="6"/>
  <c r="CA1000" i="6" s="1"/>
  <c r="BG483" i="26"/>
  <c r="BH483" i="26" s="1"/>
  <c r="AO483" i="26" s="1"/>
  <c r="BZ319" i="6"/>
  <c r="CA319" i="6" s="1"/>
  <c r="BI286" i="26"/>
  <c r="BJ286" i="26" s="1"/>
  <c r="AP286" i="26" s="1"/>
  <c r="BZ64" i="6"/>
  <c r="CA64" i="6" s="1"/>
  <c r="BZ936" i="6"/>
  <c r="CA936" i="6" s="1"/>
  <c r="CB249" i="6"/>
  <c r="CC249" i="6" s="1"/>
  <c r="BI249" i="6" s="1"/>
  <c r="CB901" i="6"/>
  <c r="CC901" i="6" s="1"/>
  <c r="CB1123" i="6"/>
  <c r="CC1123" i="6" s="1"/>
  <c r="BI1123" i="6" s="1"/>
  <c r="AQ1123" i="6" s="1"/>
  <c r="CB515" i="6"/>
  <c r="CC515" i="6" s="1"/>
  <c r="BI515" i="6" s="1"/>
  <c r="BZ955" i="6"/>
  <c r="CA955" i="6" s="1"/>
  <c r="BZ380" i="6"/>
  <c r="CA380" i="6" s="1"/>
  <c r="BZ31" i="6"/>
  <c r="CA31" i="6" s="1"/>
  <c r="BZ586" i="6"/>
  <c r="CA586" i="6" s="1"/>
  <c r="CB972" i="6"/>
  <c r="CC972" i="6" s="1"/>
  <c r="BI972" i="6" s="1"/>
  <c r="CB1237" i="6"/>
  <c r="CC1237" i="6" s="1"/>
  <c r="BI1237" i="6" s="1"/>
  <c r="CB1064" i="6"/>
  <c r="CC1064" i="6" s="1"/>
  <c r="BI1064" i="6" s="1"/>
  <c r="CB530" i="6"/>
  <c r="CC530" i="6" s="1"/>
  <c r="BI530" i="6" s="1"/>
  <c r="CB340" i="6"/>
  <c r="CC340" i="6" s="1"/>
  <c r="BI340" i="6" s="1"/>
  <c r="BZ889" i="6"/>
  <c r="CA889" i="6" s="1"/>
  <c r="BZ795" i="6"/>
  <c r="CA795" i="6" s="1"/>
  <c r="BZ81" i="6"/>
  <c r="CA81" i="6" s="1"/>
  <c r="BZ364" i="6"/>
  <c r="CA364" i="6" s="1"/>
  <c r="BZ140" i="6"/>
  <c r="CA140" i="6" s="1"/>
  <c r="BZ84" i="6"/>
  <c r="CA84" i="6" s="1"/>
  <c r="BG142" i="26"/>
  <c r="BH142" i="26" s="1"/>
  <c r="AO142" i="26" s="1"/>
  <c r="BG115" i="26"/>
  <c r="BH115" i="26" s="1"/>
  <c r="AO115" i="26" s="1"/>
  <c r="BZ698" i="6"/>
  <c r="CA698" i="6" s="1"/>
  <c r="CB33" i="6"/>
  <c r="CC33" i="6" s="1"/>
  <c r="BI33" i="6" s="1"/>
  <c r="BZ544" i="6"/>
  <c r="CA544" i="6" s="1"/>
  <c r="CB217" i="6"/>
  <c r="CC217" i="6" s="1"/>
  <c r="BI217" i="6" s="1"/>
  <c r="BZ1231" i="6"/>
  <c r="CA1231" i="6" s="1"/>
  <c r="BG284" i="26"/>
  <c r="BH284" i="26" s="1"/>
  <c r="AO284" i="26" s="1"/>
  <c r="BZ275" i="6"/>
  <c r="CA275" i="6" s="1"/>
  <c r="CB688" i="6"/>
  <c r="CC688" i="6" s="1"/>
  <c r="BZ624" i="6"/>
  <c r="CA624" i="6" s="1"/>
  <c r="BZ1268" i="6"/>
  <c r="CA1268" i="6" s="1"/>
  <c r="CB426" i="6"/>
  <c r="CC426" i="6" s="1"/>
  <c r="BI426" i="6" s="1"/>
  <c r="BZ1091" i="6"/>
  <c r="CA1091" i="6" s="1"/>
  <c r="CB305" i="6"/>
  <c r="CC305" i="6" s="1"/>
  <c r="BI305" i="6" s="1"/>
  <c r="CB532" i="6"/>
  <c r="CC532" i="6" s="1"/>
  <c r="BI532" i="6" s="1"/>
  <c r="BG60" i="26"/>
  <c r="BH60" i="26" s="1"/>
  <c r="AO60" i="26" s="1"/>
  <c r="BZ1097" i="6"/>
  <c r="CA1097" i="6" s="1"/>
  <c r="BZ1248" i="6"/>
  <c r="CA1248" i="6" s="1"/>
  <c r="BI926" i="26"/>
  <c r="BJ926" i="26" s="1"/>
  <c r="BZ205" i="6"/>
  <c r="CA205" i="6" s="1"/>
  <c r="BZ967" i="6"/>
  <c r="CA967" i="6" s="1"/>
  <c r="CB761" i="6"/>
  <c r="CC761" i="6" s="1"/>
  <c r="CB1065" i="6"/>
  <c r="CC1065" i="6" s="1"/>
  <c r="BI1065" i="6" s="1"/>
  <c r="BZ1155" i="6"/>
  <c r="CA1155" i="6" s="1"/>
  <c r="CB541" i="6"/>
  <c r="CC541" i="6" s="1"/>
  <c r="BI541" i="6" s="1"/>
  <c r="CB313" i="6"/>
  <c r="CC313" i="6" s="1"/>
  <c r="BI313" i="6" s="1"/>
  <c r="CB616" i="6"/>
  <c r="CC616" i="6" s="1"/>
  <c r="BI16" i="26"/>
  <c r="BJ16" i="26" s="1"/>
  <c r="AP16" i="26" s="1"/>
  <c r="CB309" i="6"/>
  <c r="CC309" i="6" s="1"/>
  <c r="BI309" i="6" s="1"/>
  <c r="BZ769" i="6"/>
  <c r="CA769" i="6" s="1"/>
  <c r="CB781" i="6"/>
  <c r="CC781" i="6" s="1"/>
  <c r="BZ989" i="6"/>
  <c r="CA989" i="6" s="1"/>
  <c r="CB1001" i="6"/>
  <c r="CC1001" i="6" s="1"/>
  <c r="CB1036" i="6"/>
  <c r="CC1036" i="6" s="1"/>
  <c r="BI1036" i="6" s="1"/>
  <c r="CB1011" i="6"/>
  <c r="CC1011" i="6" s="1"/>
  <c r="BI19" i="26"/>
  <c r="BJ19" i="26" s="1"/>
  <c r="AP19" i="26" s="1"/>
  <c r="BZ377" i="6"/>
  <c r="CA377" i="6" s="1"/>
  <c r="CB452" i="6"/>
  <c r="CC452" i="6" s="1"/>
  <c r="BI452" i="6" s="1"/>
  <c r="CB146" i="6"/>
  <c r="CC146" i="6" s="1"/>
  <c r="BI146" i="6" s="1"/>
  <c r="CB657" i="6"/>
  <c r="CC657" i="6" s="1"/>
  <c r="BZ318" i="6"/>
  <c r="CA318" i="6" s="1"/>
  <c r="BZ935" i="6"/>
  <c r="CA935" i="6" s="1"/>
  <c r="BZ1010" i="6"/>
  <c r="CA1010" i="6" s="1"/>
  <c r="CB299" i="6"/>
  <c r="CC299" i="6" s="1"/>
  <c r="BI299" i="6" s="1"/>
  <c r="BZ1159" i="6"/>
  <c r="CA1159" i="6" s="1"/>
  <c r="CB1177" i="6"/>
  <c r="CC1177" i="6" s="1"/>
  <c r="BZ1181" i="6"/>
  <c r="CA1181" i="6" s="1"/>
  <c r="BG296" i="26"/>
  <c r="BH296" i="26" s="1"/>
  <c r="AO296" i="26" s="1"/>
  <c r="BZ1081" i="6"/>
  <c r="CA1081" i="6" s="1"/>
  <c r="CB1262" i="6"/>
  <c r="CC1262" i="6" s="1"/>
  <c r="BI1262" i="6" s="1"/>
  <c r="BZ226" i="6"/>
  <c r="CA226" i="6" s="1"/>
  <c r="BZ97" i="6"/>
  <c r="CA97" i="6" s="1"/>
  <c r="BZ757" i="6"/>
  <c r="CA757" i="6" s="1"/>
  <c r="BZ85" i="6"/>
  <c r="CA85" i="6" s="1"/>
  <c r="CB808" i="6"/>
  <c r="CC808" i="6" s="1"/>
  <c r="BI808" i="6" s="1"/>
  <c r="BG14" i="26"/>
  <c r="BH14" i="26" s="1"/>
  <c r="AO14" i="26" s="1"/>
  <c r="CB499" i="6"/>
  <c r="CC499" i="6" s="1"/>
  <c r="BI499" i="6" s="1"/>
  <c r="BZ845" i="6"/>
  <c r="CA845" i="6" s="1"/>
  <c r="BZ753" i="6"/>
  <c r="CA753" i="6" s="1"/>
  <c r="CB713" i="6"/>
  <c r="CC713" i="6" s="1"/>
  <c r="BZ731" i="6"/>
  <c r="CA731" i="6" s="1"/>
  <c r="CB288" i="6"/>
  <c r="CC288" i="6" s="1"/>
  <c r="BI288" i="6" s="1"/>
  <c r="BZ927" i="6"/>
  <c r="CA927" i="6" s="1"/>
  <c r="BZ951" i="6"/>
  <c r="CA951" i="6" s="1"/>
  <c r="CB262" i="6"/>
  <c r="CC262" i="6" s="1"/>
  <c r="BI262" i="6" s="1"/>
  <c r="BZ357" i="6"/>
  <c r="CA357" i="6" s="1"/>
  <c r="BZ390" i="6"/>
  <c r="CA390" i="6" s="1"/>
  <c r="BZ153" i="6"/>
  <c r="CA153" i="6" s="1"/>
  <c r="CB855" i="6"/>
  <c r="CC855" i="6" s="1"/>
  <c r="BZ613" i="6"/>
  <c r="CA613" i="6" s="1"/>
  <c r="CB1148" i="6"/>
  <c r="CC1148" i="6" s="1"/>
  <c r="CB429" i="6"/>
  <c r="CC429" i="6" s="1"/>
  <c r="CB1264" i="6"/>
  <c r="CC1264" i="6" s="1"/>
  <c r="BI1264" i="6" s="1"/>
  <c r="BZ63" i="6"/>
  <c r="CA63" i="6" s="1"/>
  <c r="CB1162" i="6"/>
  <c r="CC1162" i="6" s="1"/>
  <c r="BI1162" i="6" s="1"/>
  <c r="BZ925" i="6"/>
  <c r="CA925" i="6" s="1"/>
  <c r="BI14" i="26"/>
  <c r="BJ14" i="26" s="1"/>
  <c r="AP14" i="26" s="1"/>
  <c r="CB1089" i="6"/>
  <c r="CC1089" i="6" s="1"/>
  <c r="BI1089" i="6" s="1"/>
  <c r="BZ663" i="6"/>
  <c r="CA663" i="6" s="1"/>
  <c r="CB851" i="6"/>
  <c r="CC851" i="6" s="1"/>
  <c r="CB639" i="6"/>
  <c r="CC639" i="6" s="1"/>
  <c r="BI639" i="6" s="1"/>
  <c r="BZ193" i="6"/>
  <c r="CA193" i="6" s="1"/>
  <c r="CB737" i="6"/>
  <c r="CC737" i="6" s="1"/>
  <c r="CB407" i="6"/>
  <c r="CC407" i="6" s="1"/>
  <c r="BI407" i="6" s="1"/>
  <c r="BZ121" i="6"/>
  <c r="CA121" i="6" s="1"/>
  <c r="BZ1125" i="6"/>
  <c r="CA1125" i="6" s="1"/>
  <c r="BZ556" i="6"/>
  <c r="CA556" i="6" s="1"/>
  <c r="CB1030" i="6"/>
  <c r="CC1030" i="6" s="1"/>
  <c r="BI1030" i="6" s="1"/>
  <c r="BZ622" i="6"/>
  <c r="CA622" i="6" s="1"/>
  <c r="BZ1252" i="6"/>
  <c r="CA1252" i="6" s="1"/>
  <c r="CB141" i="6"/>
  <c r="CC141" i="6" s="1"/>
  <c r="BI141" i="6" s="1"/>
  <c r="BZ841" i="6"/>
  <c r="CA841" i="6" s="1"/>
  <c r="BZ721" i="6"/>
  <c r="CA721" i="6" s="1"/>
  <c r="BZ155" i="6"/>
  <c r="CA155" i="6" s="1"/>
  <c r="BZ1033" i="6"/>
  <c r="CA1033" i="6" s="1"/>
  <c r="BI21" i="26"/>
  <c r="BJ21" i="26" s="1"/>
  <c r="AP21" i="26" s="1"/>
  <c r="CB871" i="6"/>
  <c r="CC871" i="6" s="1"/>
  <c r="CB89" i="6"/>
  <c r="CC89" i="6" s="1"/>
  <c r="BI89" i="6" s="1"/>
  <c r="BZ66" i="6"/>
  <c r="CA66" i="6" s="1"/>
  <c r="CB1087" i="6"/>
  <c r="CC1087" i="6" s="1"/>
  <c r="BI1087" i="6" s="1"/>
  <c r="CB272" i="6"/>
  <c r="CC272" i="6" s="1"/>
  <c r="BI272" i="6" s="1"/>
  <c r="BZ1193" i="6"/>
  <c r="CA1193" i="6" s="1"/>
  <c r="BZ537" i="6"/>
  <c r="CA537" i="6" s="1"/>
  <c r="CB628" i="6"/>
  <c r="CC628" i="6" s="1"/>
  <c r="BI628" i="6" s="1"/>
  <c r="CB980" i="6"/>
  <c r="CC980" i="6" s="1"/>
  <c r="BI980" i="6" s="1"/>
  <c r="AQ980" i="6" s="1"/>
  <c r="CB344" i="6"/>
  <c r="CC344" i="6" s="1"/>
  <c r="BI344" i="6" s="1"/>
  <c r="CB850" i="6"/>
  <c r="CC850" i="6" s="1"/>
  <c r="BI850" i="6" s="1"/>
  <c r="BZ13" i="6"/>
  <c r="CA13" i="6" s="1"/>
  <c r="BZ581" i="6"/>
  <c r="CA581" i="6" s="1"/>
  <c r="CB745" i="6"/>
  <c r="CC745" i="6" s="1"/>
  <c r="BG10" i="26"/>
  <c r="BH10" i="26" s="1"/>
  <c r="AO10" i="26" s="1"/>
  <c r="CB421" i="6"/>
  <c r="CC421" i="6" s="1"/>
  <c r="BI421" i="6" s="1"/>
  <c r="BZ352" i="6"/>
  <c r="CA352" i="6" s="1"/>
  <c r="BG400" i="26"/>
  <c r="BH400" i="26" s="1"/>
  <c r="AO400" i="26" s="1"/>
  <c r="BZ833" i="6"/>
  <c r="CA833" i="6" s="1"/>
  <c r="BZ130" i="6"/>
  <c r="CA130" i="6" s="1"/>
  <c r="CB671" i="6"/>
  <c r="CC671" i="6" s="1"/>
  <c r="BZ963" i="6"/>
  <c r="CA963" i="6" s="1"/>
  <c r="BG43" i="26"/>
  <c r="BH43" i="26" s="1"/>
  <c r="AO43" i="26" s="1"/>
  <c r="CB721" i="6"/>
  <c r="CC721" i="6" s="1"/>
  <c r="BI721" i="6" s="1"/>
  <c r="BZ995" i="6"/>
  <c r="CA995" i="6" s="1"/>
  <c r="BZ1055" i="6"/>
  <c r="CA1055" i="6" s="1"/>
  <c r="BZ272" i="6"/>
  <c r="CA272" i="6" s="1"/>
  <c r="CB271" i="6"/>
  <c r="CC271" i="6" s="1"/>
  <c r="BI271" i="6" s="1"/>
  <c r="BZ1083" i="6"/>
  <c r="CA1083" i="6" s="1"/>
  <c r="CB1055" i="6"/>
  <c r="CC1055" i="6" s="1"/>
  <c r="CB992" i="6"/>
  <c r="CC992" i="6" s="1"/>
  <c r="CB1046" i="6"/>
  <c r="CC1046" i="6" s="1"/>
  <c r="BI1046" i="6" s="1"/>
  <c r="AQ1046" i="6" s="1"/>
  <c r="CB908" i="6"/>
  <c r="CC908" i="6" s="1"/>
  <c r="BZ404" i="6"/>
  <c r="CA404" i="6" s="1"/>
  <c r="BI82" i="26"/>
  <c r="BJ82" i="26" s="1"/>
  <c r="AP82" i="26" s="1"/>
  <c r="BG219" i="26"/>
  <c r="BH219" i="26" s="1"/>
  <c r="AO219" i="26" s="1"/>
  <c r="CB44" i="6"/>
  <c r="CC44" i="6" s="1"/>
  <c r="BI44" i="6" s="1"/>
  <c r="BZ961" i="6"/>
  <c r="CA961" i="6" s="1"/>
  <c r="BZ147" i="6"/>
  <c r="CA147" i="6" s="1"/>
  <c r="BZ450" i="6"/>
  <c r="CA450" i="6" s="1"/>
  <c r="BZ67" i="6"/>
  <c r="CA67" i="6" s="1"/>
  <c r="CB727" i="6"/>
  <c r="CC727" i="6" s="1"/>
  <c r="BI727" i="6" s="1"/>
  <c r="BG598" i="26"/>
  <c r="BH598" i="26" s="1"/>
  <c r="AO598" i="26" s="1"/>
  <c r="BZ993" i="6"/>
  <c r="CA993" i="6" s="1"/>
  <c r="BZ200" i="6"/>
  <c r="CA200" i="6" s="1"/>
  <c r="CB755" i="6"/>
  <c r="CC755" i="6" s="1"/>
  <c r="CB297" i="6"/>
  <c r="CC297" i="6" s="1"/>
  <c r="BI297" i="6" s="1"/>
  <c r="BG432" i="26"/>
  <c r="BH432" i="26" s="1"/>
  <c r="AO432" i="26" s="1"/>
  <c r="CB1223" i="6"/>
  <c r="CC1223" i="6" s="1"/>
  <c r="CB537" i="6"/>
  <c r="CC537" i="6" s="1"/>
  <c r="BI537" i="6" s="1"/>
  <c r="CB1182" i="6"/>
  <c r="CC1182" i="6" s="1"/>
  <c r="BI1182" i="6" s="1"/>
  <c r="CB1069" i="6"/>
  <c r="CC1069" i="6" s="1"/>
  <c r="BI1069" i="6" s="1"/>
  <c r="AS1069" i="6" s="1"/>
  <c r="BZ1219" i="6"/>
  <c r="CA1219" i="6" s="1"/>
  <c r="BG144" i="26"/>
  <c r="BH144" i="26" s="1"/>
  <c r="AO144" i="26" s="1"/>
  <c r="BZ1120" i="6"/>
  <c r="CA1120" i="6" s="1"/>
  <c r="BZ914" i="6"/>
  <c r="CA914" i="6" s="1"/>
  <c r="BZ1086" i="6"/>
  <c r="CA1086" i="6" s="1"/>
  <c r="CB112" i="6"/>
  <c r="CC112" i="6" s="1"/>
  <c r="BI112" i="6" s="1"/>
  <c r="BG308" i="26"/>
  <c r="BH308" i="26" s="1"/>
  <c r="AO308" i="26" s="1"/>
  <c r="CB685" i="6"/>
  <c r="CC685" i="6" s="1"/>
  <c r="BZ135" i="6"/>
  <c r="CA135" i="6" s="1"/>
  <c r="CB698" i="6"/>
  <c r="CC698" i="6" s="1"/>
  <c r="CB419" i="6"/>
  <c r="CC419" i="6" s="1"/>
  <c r="BI419" i="6" s="1"/>
  <c r="BZ1133" i="6"/>
  <c r="CA1133" i="6" s="1"/>
  <c r="CB939" i="6"/>
  <c r="CC939" i="6" s="1"/>
  <c r="CB43" i="6"/>
  <c r="CC43" i="6" s="1"/>
  <c r="BI43" i="6" s="1"/>
  <c r="BI509" i="26"/>
  <c r="BJ509" i="26" s="1"/>
  <c r="BZ1043" i="6"/>
  <c r="CA1043" i="6" s="1"/>
  <c r="CB1211" i="6"/>
  <c r="CC1211" i="6" s="1"/>
  <c r="BI1211" i="6" s="1"/>
  <c r="BZ913" i="6"/>
  <c r="CA913" i="6" s="1"/>
  <c r="CB479" i="6"/>
  <c r="CC479" i="6" s="1"/>
  <c r="BI479" i="6" s="1"/>
  <c r="BG162" i="26"/>
  <c r="BH162" i="26" s="1"/>
  <c r="AO162" i="26" s="1"/>
  <c r="BZ546" i="6"/>
  <c r="CA546" i="6" s="1"/>
  <c r="CB1040" i="6"/>
  <c r="CC1040" i="6" s="1"/>
  <c r="BI1040" i="6" s="1"/>
  <c r="AQ1040" i="6" s="1"/>
  <c r="BG504" i="26"/>
  <c r="BH504" i="26" s="1"/>
  <c r="AO504" i="26" s="1"/>
  <c r="BG66" i="26"/>
  <c r="BH66" i="26" s="1"/>
  <c r="AO66" i="26" s="1"/>
  <c r="CB893" i="6"/>
  <c r="CC893" i="6" s="1"/>
  <c r="BI404" i="26"/>
  <c r="BJ404" i="26" s="1"/>
  <c r="BI184" i="26"/>
  <c r="BJ184" i="26" s="1"/>
  <c r="AP184" i="26" s="1"/>
  <c r="CB86" i="6"/>
  <c r="CC86" i="6" s="1"/>
  <c r="BI86" i="6" s="1"/>
  <c r="BZ1109" i="6"/>
  <c r="CA1109" i="6" s="1"/>
  <c r="CB882" i="6"/>
  <c r="CC882" i="6" s="1"/>
  <c r="BZ496" i="6"/>
  <c r="CA496" i="6" s="1"/>
  <c r="BZ905" i="6"/>
  <c r="CA905" i="6" s="1"/>
  <c r="CB719" i="6"/>
  <c r="CC719" i="6" s="1"/>
  <c r="BI41" i="26"/>
  <c r="BJ41" i="26" s="1"/>
  <c r="AP41" i="26" s="1"/>
  <c r="CB1176" i="6"/>
  <c r="CC1176" i="6" s="1"/>
  <c r="BI1176" i="6" s="1"/>
  <c r="CB488" i="6"/>
  <c r="CC488" i="6" s="1"/>
  <c r="BI488" i="6" s="1"/>
  <c r="CB397" i="6"/>
  <c r="CC397" i="6" s="1"/>
  <c r="BZ421" i="6"/>
  <c r="CA421" i="6" s="1"/>
  <c r="BI15" i="26"/>
  <c r="BJ15" i="26" s="1"/>
  <c r="AP15" i="26" s="1"/>
  <c r="BZ658" i="6"/>
  <c r="CA658" i="6" s="1"/>
  <c r="CB691" i="6"/>
  <c r="CC691" i="6" s="1"/>
  <c r="BZ208" i="6"/>
  <c r="CA208" i="6" s="1"/>
  <c r="BZ890" i="6"/>
  <c r="CA890" i="6" s="1"/>
  <c r="BZ742" i="6"/>
  <c r="CA742" i="6" s="1"/>
  <c r="CB294" i="6"/>
  <c r="CC294" i="6" s="1"/>
  <c r="BI294" i="6" s="1"/>
  <c r="AR294" i="6" s="1"/>
  <c r="BG30" i="26"/>
  <c r="BH30" i="26" s="1"/>
  <c r="AO30" i="26" s="1"/>
  <c r="BI463" i="26"/>
  <c r="BJ463" i="26" s="1"/>
  <c r="AP463" i="26" s="1"/>
  <c r="BZ1059" i="6"/>
  <c r="CA1059" i="6" s="1"/>
  <c r="CB401" i="6"/>
  <c r="CC401" i="6" s="1"/>
  <c r="BI401" i="6" s="1"/>
  <c r="BZ500" i="6"/>
  <c r="CA500" i="6" s="1"/>
  <c r="CB1239" i="6"/>
  <c r="CC1239" i="6" s="1"/>
  <c r="BI1239" i="6" s="1"/>
  <c r="BZ1197" i="6"/>
  <c r="CA1197" i="6" s="1"/>
  <c r="BI13" i="26"/>
  <c r="BJ13" i="26" s="1"/>
  <c r="AP13" i="26" s="1"/>
  <c r="BZ1143" i="6"/>
  <c r="CA1143" i="6" s="1"/>
  <c r="CB206" i="6"/>
  <c r="CC206" i="6" s="1"/>
  <c r="BI206" i="6" s="1"/>
  <c r="BG11" i="26"/>
  <c r="BH11" i="26" s="1"/>
  <c r="AO11" i="26" s="1"/>
  <c r="BZ561" i="6"/>
  <c r="CA561" i="6" s="1"/>
  <c r="CB968" i="6"/>
  <c r="CC968" i="6" s="1"/>
  <c r="BI968" i="6" s="1"/>
  <c r="BZ748" i="6"/>
  <c r="CA748" i="6" s="1"/>
  <c r="CB337" i="6"/>
  <c r="CC337" i="6" s="1"/>
  <c r="BI337" i="6" s="1"/>
  <c r="BZ434" i="6"/>
  <c r="CA434" i="6" s="1"/>
  <c r="CB1169" i="6"/>
  <c r="CC1169" i="6" s="1"/>
  <c r="BI1169" i="6" s="1"/>
  <c r="AQ1169" i="6" s="1"/>
  <c r="CB50" i="6"/>
  <c r="CC50" i="6" s="1"/>
  <c r="BI50" i="6" s="1"/>
  <c r="CB283" i="6"/>
  <c r="CC283" i="6" s="1"/>
  <c r="BI283" i="6" s="1"/>
  <c r="CB991" i="6"/>
  <c r="CC991" i="6" s="1"/>
  <c r="BI991" i="6" s="1"/>
  <c r="BZ916" i="6"/>
  <c r="CA916" i="6" s="1"/>
  <c r="CB889" i="6"/>
  <c r="CC889" i="6" s="1"/>
  <c r="BZ192" i="6"/>
  <c r="CA192" i="6" s="1"/>
  <c r="CB1008" i="6"/>
  <c r="CC1008" i="6" s="1"/>
  <c r="CB1105" i="6"/>
  <c r="CC1105" i="6" s="1"/>
  <c r="BI1105" i="6" s="1"/>
  <c r="AQ1105" i="6" s="1"/>
  <c r="BZ700" i="6"/>
  <c r="CA700" i="6" s="1"/>
  <c r="BZ481" i="6"/>
  <c r="CA481" i="6" s="1"/>
  <c r="CB1248" i="6"/>
  <c r="CC1248" i="6" s="1"/>
  <c r="CB602" i="6"/>
  <c r="CC602" i="6" s="1"/>
  <c r="BI602" i="6" s="1"/>
  <c r="CB814" i="6"/>
  <c r="CC814" i="6" s="1"/>
  <c r="CB348" i="6"/>
  <c r="CC348" i="6" s="1"/>
  <c r="BI348" i="6" s="1"/>
  <c r="CB620" i="6"/>
  <c r="CC620" i="6" s="1"/>
  <c r="BZ94" i="6"/>
  <c r="CA94" i="6" s="1"/>
  <c r="CB1119" i="6"/>
  <c r="CC1119" i="6" s="1"/>
  <c r="BI1119" i="6" s="1"/>
  <c r="AQ1119" i="6" s="1"/>
  <c r="BZ409" i="6"/>
  <c r="CA409" i="6" s="1"/>
  <c r="BZ1127" i="6"/>
  <c r="CA1127" i="6" s="1"/>
  <c r="BZ365" i="6"/>
  <c r="CA365" i="6" s="1"/>
  <c r="BZ1115" i="6"/>
  <c r="CA1115" i="6" s="1"/>
  <c r="BI736" i="26"/>
  <c r="BJ736" i="26" s="1"/>
  <c r="BZ1029" i="6"/>
  <c r="CA1029" i="6" s="1"/>
  <c r="BZ703" i="6"/>
  <c r="CA703" i="6" s="1"/>
  <c r="BI426" i="26"/>
  <c r="BJ426" i="26" s="1"/>
  <c r="BI152" i="26"/>
  <c r="BJ152" i="26" s="1"/>
  <c r="CB870" i="6"/>
  <c r="CC870" i="6" s="1"/>
  <c r="BI870" i="6" s="1"/>
  <c r="BZ580" i="6"/>
  <c r="CA580" i="6" s="1"/>
  <c r="BG445" i="26"/>
  <c r="BH445" i="26" s="1"/>
  <c r="AO445" i="26" s="1"/>
  <c r="CB180" i="6"/>
  <c r="CC180" i="6" s="1"/>
  <c r="BI180" i="6" s="1"/>
  <c r="BZ95" i="6"/>
  <c r="CA95" i="6" s="1"/>
  <c r="BZ1103" i="6"/>
  <c r="CA1103" i="6" s="1"/>
  <c r="BZ518" i="6"/>
  <c r="CA518" i="6" s="1"/>
  <c r="CB802" i="6"/>
  <c r="CC802" i="6" s="1"/>
  <c r="BI802" i="6" s="1"/>
  <c r="BZ965" i="6"/>
  <c r="CA965" i="6" s="1"/>
  <c r="CB233" i="6"/>
  <c r="CC233" i="6" s="1"/>
  <c r="BI233" i="6" s="1"/>
  <c r="CB390" i="6"/>
  <c r="CC390" i="6" s="1"/>
  <c r="BI390" i="6" s="1"/>
  <c r="BI507" i="26"/>
  <c r="BJ507" i="26" s="1"/>
  <c r="CB75" i="6"/>
  <c r="CC75" i="6" s="1"/>
  <c r="BI75" i="6" s="1"/>
  <c r="CB246" i="6"/>
  <c r="CC246" i="6" s="1"/>
  <c r="BI246" i="6" s="1"/>
  <c r="BG41" i="26"/>
  <c r="BH41" i="26" s="1"/>
  <c r="AO41" i="26" s="1"/>
  <c r="CB1091" i="6"/>
  <c r="CC1091" i="6" s="1"/>
  <c r="BZ528" i="6"/>
  <c r="CA528" i="6" s="1"/>
  <c r="CB571" i="6"/>
  <c r="CC571" i="6" s="1"/>
  <c r="CB771" i="6"/>
  <c r="CC771" i="6" s="1"/>
  <c r="CB1126" i="6"/>
  <c r="CC1126" i="6" s="1"/>
  <c r="BI1126" i="6" s="1"/>
  <c r="AQ1126" i="6" s="1"/>
  <c r="BI319" i="26"/>
  <c r="BJ319" i="26" s="1"/>
  <c r="CB1222" i="6"/>
  <c r="CC1222" i="6" s="1"/>
  <c r="BI1222" i="6" s="1"/>
  <c r="CB873" i="6"/>
  <c r="CC873" i="6" s="1"/>
  <c r="BI873" i="6" s="1"/>
  <c r="CB498" i="6"/>
  <c r="CC498" i="6" s="1"/>
  <c r="BI498" i="6" s="1"/>
  <c r="BZ754" i="6"/>
  <c r="CA754" i="6" s="1"/>
  <c r="BZ1214" i="6"/>
  <c r="CA1214" i="6" s="1"/>
  <c r="BZ947" i="6"/>
  <c r="CA947" i="6" s="1"/>
  <c r="BZ463" i="6"/>
  <c r="CA463" i="6" s="1"/>
  <c r="CB919" i="6"/>
  <c r="CC919" i="6" s="1"/>
  <c r="BI919" i="6" s="1"/>
  <c r="BI31" i="26"/>
  <c r="BJ31" i="26" s="1"/>
  <c r="AP31" i="26" s="1"/>
  <c r="BZ860" i="6"/>
  <c r="CA860" i="6" s="1"/>
  <c r="BZ585" i="6"/>
  <c r="CA585" i="6" s="1"/>
  <c r="BI1014" i="26"/>
  <c r="BJ1014" i="26" s="1"/>
  <c r="CB593" i="6"/>
  <c r="CC593" i="6" s="1"/>
  <c r="BI593" i="6" s="1"/>
  <c r="BZ1105" i="6"/>
  <c r="CA1105" i="6" s="1"/>
  <c r="BZ160" i="6"/>
  <c r="CA160" i="6" s="1"/>
  <c r="BZ1160" i="6"/>
  <c r="CA1160" i="6" s="1"/>
  <c r="BZ749" i="6"/>
  <c r="CA749" i="6" s="1"/>
  <c r="BI20" i="26"/>
  <c r="BJ20" i="26" s="1"/>
  <c r="AP20" i="26" s="1"/>
  <c r="BZ949" i="6"/>
  <c r="CA949" i="6" s="1"/>
  <c r="BZ716" i="6"/>
  <c r="CA716" i="6" s="1"/>
  <c r="BZ553" i="6"/>
  <c r="CA553" i="6" s="1"/>
  <c r="CB134" i="6"/>
  <c r="CC134" i="6" s="1"/>
  <c r="BI134" i="6" s="1"/>
  <c r="BG218" i="26"/>
  <c r="BH218" i="26" s="1"/>
  <c r="AO218" i="26" s="1"/>
  <c r="CB1108" i="6"/>
  <c r="CC1108" i="6" s="1"/>
  <c r="BI1108" i="6" s="1"/>
  <c r="AQ1108" i="6" s="1"/>
  <c r="CB818" i="6"/>
  <c r="CC818" i="6" s="1"/>
  <c r="CB709" i="6"/>
  <c r="CC709" i="6" s="1"/>
  <c r="CB1249" i="6"/>
  <c r="CC1249" i="6" s="1"/>
  <c r="BI1249" i="6" s="1"/>
  <c r="BZ867" i="6"/>
  <c r="CA867" i="6" s="1"/>
  <c r="BZ862" i="6"/>
  <c r="CA862" i="6" s="1"/>
  <c r="CB1228" i="6"/>
  <c r="CC1228" i="6" s="1"/>
  <c r="BI1228" i="6" s="1"/>
  <c r="CB622" i="6"/>
  <c r="CC622" i="6" s="1"/>
  <c r="BI622" i="6" s="1"/>
  <c r="BG45" i="26"/>
  <c r="BH45" i="26" s="1"/>
  <c r="AO45" i="26" s="1"/>
  <c r="BZ21" i="6"/>
  <c r="CA21" i="6" s="1"/>
  <c r="BZ309" i="6"/>
  <c r="CA309" i="6" s="1"/>
  <c r="BZ392" i="6"/>
  <c r="CA392" i="6" s="1"/>
  <c r="CB551" i="6"/>
  <c r="CC551" i="6" s="1"/>
  <c r="BI551" i="6" s="1"/>
  <c r="BZ327" i="6"/>
  <c r="CA327" i="6" s="1"/>
  <c r="CB575" i="6"/>
  <c r="CC575" i="6" s="1"/>
  <c r="BZ776" i="6"/>
  <c r="CA776" i="6" s="1"/>
  <c r="CB607" i="6"/>
  <c r="CC607" i="6" s="1"/>
  <c r="CB394" i="6"/>
  <c r="CC394" i="6" s="1"/>
  <c r="BI394" i="6" s="1"/>
  <c r="AQ394" i="6" s="1"/>
  <c r="CB651" i="6"/>
  <c r="CC651" i="6" s="1"/>
  <c r="BI651" i="6" s="1"/>
  <c r="CB803" i="6"/>
  <c r="CC803" i="6" s="1"/>
  <c r="BI803" i="6" s="1"/>
  <c r="BZ256" i="6"/>
  <c r="CA256" i="6" s="1"/>
  <c r="CB556" i="6"/>
  <c r="CC556" i="6" s="1"/>
  <c r="BI556" i="6" s="1"/>
  <c r="CB145" i="6"/>
  <c r="CC145" i="6" s="1"/>
  <c r="BI145" i="6" s="1"/>
  <c r="CB460" i="6"/>
  <c r="CC460" i="6" s="1"/>
  <c r="BI460" i="6" s="1"/>
  <c r="BZ1052" i="6"/>
  <c r="CA1052" i="6" s="1"/>
  <c r="BZ1053" i="6"/>
  <c r="CA1053" i="6" s="1"/>
  <c r="CB679" i="6"/>
  <c r="CC679" i="6" s="1"/>
  <c r="CB53" i="6"/>
  <c r="CC53" i="6" s="1"/>
  <c r="BI53" i="6" s="1"/>
  <c r="CB415" i="6"/>
  <c r="CC415" i="6" s="1"/>
  <c r="BZ1022" i="6"/>
  <c r="CA1022" i="6" s="1"/>
  <c r="BZ659" i="6"/>
  <c r="CA659" i="6" s="1"/>
  <c r="CB1173" i="6"/>
  <c r="CC1173" i="6" s="1"/>
  <c r="BZ554" i="6"/>
  <c r="CA554" i="6" s="1"/>
  <c r="CB605" i="6"/>
  <c r="CC605" i="6" s="1"/>
  <c r="CB317" i="6"/>
  <c r="CC317" i="6" s="1"/>
  <c r="BI317" i="6" s="1"/>
  <c r="BZ1145" i="6"/>
  <c r="CA1145" i="6" s="1"/>
  <c r="CB655" i="6"/>
  <c r="CC655" i="6" s="1"/>
  <c r="BI655" i="6" s="1"/>
  <c r="BZ1011" i="6"/>
  <c r="CA1011" i="6" s="1"/>
  <c r="BZ765" i="6"/>
  <c r="CA765" i="6" s="1"/>
  <c r="BZ236" i="6"/>
  <c r="CA236" i="6" s="1"/>
  <c r="CB935" i="6"/>
  <c r="CC935" i="6" s="1"/>
  <c r="CB478" i="6"/>
  <c r="CC478" i="6" s="1"/>
  <c r="BI478" i="6" s="1"/>
  <c r="BZ262" i="6"/>
  <c r="CA262" i="6" s="1"/>
  <c r="CB1019" i="6"/>
  <c r="CC1019" i="6" s="1"/>
  <c r="BI1019" i="6" s="1"/>
  <c r="AS1019" i="6" s="1"/>
  <c r="CB981" i="6"/>
  <c r="CC981" i="6" s="1"/>
  <c r="CB836" i="6"/>
  <c r="CC836" i="6" s="1"/>
  <c r="BZ837" i="6"/>
  <c r="CA837" i="6" s="1"/>
  <c r="CB833" i="6"/>
  <c r="CC833" i="6" s="1"/>
  <c r="BZ197" i="6"/>
  <c r="CA197" i="6" s="1"/>
  <c r="BZ673" i="6"/>
  <c r="CA673" i="6" s="1"/>
  <c r="CB214" i="6"/>
  <c r="CC214" i="6" s="1"/>
  <c r="BI214" i="6" s="1"/>
  <c r="BG28" i="26"/>
  <c r="BH28" i="26" s="1"/>
  <c r="AO28" i="26" s="1"/>
  <c r="CB335" i="6"/>
  <c r="CC335" i="6" s="1"/>
  <c r="BI335" i="6" s="1"/>
  <c r="BZ295" i="6"/>
  <c r="CA295" i="6" s="1"/>
  <c r="CB9" i="6"/>
  <c r="CC9" i="6" s="1"/>
  <c r="CB1213" i="6"/>
  <c r="CC1213" i="6" s="1"/>
  <c r="BI1213" i="6" s="1"/>
  <c r="BZ894" i="6"/>
  <c r="CA894" i="6" s="1"/>
  <c r="BZ452" i="6"/>
  <c r="CA452" i="6" s="1"/>
  <c r="BI468" i="26"/>
  <c r="BJ468" i="26" s="1"/>
  <c r="AP468" i="26" s="1"/>
  <c r="BZ957" i="6"/>
  <c r="CA957" i="6" s="1"/>
  <c r="BZ1113" i="6"/>
  <c r="CA1113" i="6" s="1"/>
  <c r="BG907" i="26"/>
  <c r="BH907" i="26" s="1"/>
  <c r="AO907" i="26" s="1"/>
  <c r="CB1256" i="6"/>
  <c r="CC1256" i="6" s="1"/>
  <c r="BI1256" i="6" s="1"/>
  <c r="BZ254" i="6"/>
  <c r="CA254" i="6" s="1"/>
  <c r="BZ214" i="6"/>
  <c r="CA214" i="6" s="1"/>
  <c r="CB942" i="6"/>
  <c r="CC942" i="6" s="1"/>
  <c r="BI942" i="6" s="1"/>
  <c r="BZ422" i="6"/>
  <c r="CA422" i="6" s="1"/>
  <c r="BZ767" i="6"/>
  <c r="CA767" i="6" s="1"/>
  <c r="BZ202" i="6"/>
  <c r="CA202" i="6" s="1"/>
  <c r="BZ107" i="6"/>
  <c r="CA107" i="6" s="1"/>
  <c r="BZ34" i="6"/>
  <c r="CA34" i="6" s="1"/>
  <c r="BZ745" i="6"/>
  <c r="CA745" i="6" s="1"/>
  <c r="BZ1250" i="6"/>
  <c r="CA1250" i="6" s="1"/>
  <c r="BZ291" i="6"/>
  <c r="CA291" i="6" s="1"/>
  <c r="CB1073" i="6"/>
  <c r="CC1073" i="6" s="1"/>
  <c r="BI1073" i="6" s="1"/>
  <c r="CB69" i="6"/>
  <c r="CC69" i="6" s="1"/>
  <c r="BI69" i="6" s="1"/>
  <c r="CB554" i="6"/>
  <c r="CC554" i="6" s="1"/>
  <c r="BI554" i="6" s="1"/>
  <c r="BZ737" i="6"/>
  <c r="CA737" i="6" s="1"/>
  <c r="CB625" i="6"/>
  <c r="CC625" i="6" s="1"/>
  <c r="BI625" i="6" s="1"/>
  <c r="CB1193" i="6"/>
  <c r="CC1193" i="6" s="1"/>
  <c r="BZ79" i="6"/>
  <c r="CA79" i="6" s="1"/>
  <c r="CB458" i="6"/>
  <c r="CC458" i="6" s="1"/>
  <c r="BI458" i="6" s="1"/>
  <c r="BZ169" i="6"/>
  <c r="CA169" i="6" s="1"/>
  <c r="BZ282" i="6"/>
  <c r="CA282" i="6" s="1"/>
  <c r="BZ599" i="6"/>
  <c r="CA599" i="6" s="1"/>
  <c r="BZ1153" i="6"/>
  <c r="CA1153" i="6" s="1"/>
  <c r="CB673" i="6"/>
  <c r="CC673" i="6" s="1"/>
  <c r="BZ525" i="6"/>
  <c r="CA525" i="6" s="1"/>
  <c r="BZ195" i="6"/>
  <c r="CA195" i="6" s="1"/>
  <c r="CB432" i="6"/>
  <c r="CC432" i="6" s="1"/>
  <c r="BI432" i="6" s="1"/>
  <c r="CB767" i="6"/>
  <c r="CC767" i="6" s="1"/>
  <c r="CB162" i="6"/>
  <c r="CC162" i="6" s="1"/>
  <c r="BI162" i="6" s="1"/>
  <c r="CB123" i="6"/>
  <c r="CC123" i="6" s="1"/>
  <c r="BI123" i="6" s="1"/>
  <c r="CB717" i="6"/>
  <c r="CC717" i="6" s="1"/>
  <c r="BI717" i="6" s="1"/>
  <c r="BZ435" i="6"/>
  <c r="CA435" i="6" s="1"/>
  <c r="BZ274" i="6"/>
  <c r="CA274" i="6" s="1"/>
  <c r="CB1203" i="6"/>
  <c r="CC1203" i="6" s="1"/>
  <c r="BI1203" i="6" s="1"/>
  <c r="AS1203" i="6" s="1"/>
  <c r="BZ115" i="6"/>
  <c r="CA115" i="6" s="1"/>
  <c r="BZ11" i="6"/>
  <c r="CA11" i="6" s="1"/>
  <c r="BZ771" i="6"/>
  <c r="CA771" i="6" s="1"/>
  <c r="CB254" i="6"/>
  <c r="CC254" i="6" s="1"/>
  <c r="BI254" i="6" s="1"/>
  <c r="BZ342" i="6"/>
  <c r="CA342" i="6" s="1"/>
  <c r="BZ290" i="6"/>
  <c r="CA290" i="6" s="1"/>
  <c r="CB412" i="6"/>
  <c r="CC412" i="6" s="1"/>
  <c r="BI412" i="6" s="1"/>
  <c r="BZ971" i="6"/>
  <c r="CA971" i="6" s="1"/>
  <c r="BZ497" i="6"/>
  <c r="CA497" i="6" s="1"/>
  <c r="CB282" i="6"/>
  <c r="CC282" i="6" s="1"/>
  <c r="BI282" i="6" s="1"/>
  <c r="CB686" i="6"/>
  <c r="CC686" i="6" s="1"/>
  <c r="BZ133" i="6"/>
  <c r="CA133" i="6" s="1"/>
  <c r="BZ336" i="6"/>
  <c r="CA336" i="6" s="1"/>
  <c r="CB581" i="6"/>
  <c r="CC581" i="6" s="1"/>
  <c r="BZ809" i="6"/>
  <c r="CA809" i="6" s="1"/>
  <c r="BZ181" i="6"/>
  <c r="CA181" i="6" s="1"/>
  <c r="BZ783" i="6"/>
  <c r="CA783" i="6" s="1"/>
  <c r="CB1151" i="6"/>
  <c r="CC1151" i="6" s="1"/>
  <c r="BI1151" i="6" s="1"/>
  <c r="CB23" i="6"/>
  <c r="CC23" i="6" s="1"/>
  <c r="CB1159" i="6"/>
  <c r="CC1159" i="6" s="1"/>
  <c r="BI1159" i="6" s="1"/>
  <c r="BZ293" i="6"/>
  <c r="CA293" i="6" s="1"/>
  <c r="BZ128" i="6"/>
  <c r="CA128" i="6" s="1"/>
  <c r="CB175" i="6"/>
  <c r="CC175" i="6" s="1"/>
  <c r="BI175" i="6" s="1"/>
  <c r="CB546" i="6"/>
  <c r="CC546" i="6" s="1"/>
  <c r="BI546" i="6" s="1"/>
  <c r="CB346" i="6"/>
  <c r="CC346" i="6" s="1"/>
  <c r="BI346" i="6" s="1"/>
  <c r="CB995" i="6"/>
  <c r="CC995" i="6" s="1"/>
  <c r="CB1063" i="6"/>
  <c r="CC1063" i="6" s="1"/>
  <c r="BI1063" i="6" s="1"/>
  <c r="BI9" i="26"/>
  <c r="BJ9" i="26" s="1"/>
  <c r="AP9" i="26" s="1"/>
  <c r="BZ350" i="6"/>
  <c r="CA350" i="6" s="1"/>
  <c r="CB184" i="6"/>
  <c r="CC184" i="6" s="1"/>
  <c r="BI184" i="6" s="1"/>
  <c r="BZ223" i="6"/>
  <c r="CA223" i="6" s="1"/>
  <c r="BG737" i="26"/>
  <c r="BH737" i="26" s="1"/>
  <c r="AO737" i="26" s="1"/>
  <c r="CB372" i="6"/>
  <c r="CC372" i="6" s="1"/>
  <c r="BI372" i="6" s="1"/>
  <c r="BG609" i="26"/>
  <c r="BH609" i="26" s="1"/>
  <c r="AO609" i="26" s="1"/>
  <c r="BG429" i="26"/>
  <c r="BH429" i="26" s="1"/>
  <c r="AO429" i="26" s="1"/>
  <c r="CB694" i="6"/>
  <c r="CC694" i="6" s="1"/>
  <c r="BI694" i="6" s="1"/>
  <c r="BZ186" i="6"/>
  <c r="CA186" i="6" s="1"/>
  <c r="BZ1049" i="6"/>
  <c r="CA1049" i="6" s="1"/>
  <c r="CB398" i="6"/>
  <c r="CC398" i="6" s="1"/>
  <c r="BI398" i="6" s="1"/>
  <c r="BZ307" i="6"/>
  <c r="CA307" i="6" s="1"/>
  <c r="BZ260" i="6"/>
  <c r="CA260" i="6" s="1"/>
  <c r="CB10" i="6"/>
  <c r="CC10" i="6" s="1"/>
  <c r="BI10" i="6" s="1"/>
  <c r="CB472" i="6"/>
  <c r="CC472" i="6" s="1"/>
  <c r="BI472" i="6" s="1"/>
  <c r="CB567" i="6"/>
  <c r="CC567" i="6" s="1"/>
  <c r="BI567" i="6" s="1"/>
  <c r="BZ90" i="6"/>
  <c r="CA90" i="6" s="1"/>
  <c r="CB491" i="6"/>
  <c r="CC491" i="6" s="1"/>
  <c r="BI491" i="6" s="1"/>
  <c r="BZ78" i="6"/>
  <c r="CA78" i="6" s="1"/>
  <c r="CB905" i="6"/>
  <c r="CC905" i="6" s="1"/>
  <c r="BZ566" i="6"/>
  <c r="CA566" i="6" s="1"/>
  <c r="BZ188" i="6"/>
  <c r="CA188" i="6" s="1"/>
  <c r="CB566" i="6"/>
  <c r="CC566" i="6" s="1"/>
  <c r="BI566" i="6" s="1"/>
  <c r="CB997" i="6"/>
  <c r="CC997" i="6" s="1"/>
  <c r="BI997" i="6" s="1"/>
  <c r="CB255" i="6"/>
  <c r="CC255" i="6" s="1"/>
  <c r="BZ304" i="6"/>
  <c r="CA304" i="6" s="1"/>
  <c r="CB897" i="6"/>
  <c r="CC897" i="6" s="1"/>
  <c r="BG566" i="26"/>
  <c r="BH566" i="26" s="1"/>
  <c r="AO566" i="26" s="1"/>
  <c r="BZ1017" i="6"/>
  <c r="CA1017" i="6" s="1"/>
  <c r="BI134" i="26"/>
  <c r="BJ134" i="26" s="1"/>
  <c r="AP134" i="26" s="1"/>
  <c r="BZ688" i="6"/>
  <c r="CA688" i="6" s="1"/>
  <c r="BZ301" i="6"/>
  <c r="CA301" i="6" s="1"/>
  <c r="BZ1158" i="6"/>
  <c r="CA1158" i="6" s="1"/>
  <c r="CB597" i="6"/>
  <c r="CC597" i="6" s="1"/>
  <c r="BI597" i="6" s="1"/>
  <c r="BZ464" i="6"/>
  <c r="CA464" i="6" s="1"/>
  <c r="CB474" i="6"/>
  <c r="CC474" i="6" s="1"/>
  <c r="BI474" i="6" s="1"/>
  <c r="BZ882" i="6"/>
  <c r="CA882" i="6" s="1"/>
  <c r="BI436" i="26"/>
  <c r="BJ436" i="26" s="1"/>
  <c r="CB425" i="6"/>
  <c r="CC425" i="6" s="1"/>
  <c r="BI425" i="6" s="1"/>
  <c r="BZ983" i="6"/>
  <c r="CA983" i="6" s="1"/>
  <c r="BZ1035" i="6"/>
  <c r="CA1035" i="6" s="1"/>
  <c r="BZ1186" i="6"/>
  <c r="CA1186" i="6" s="1"/>
  <c r="CB277" i="6"/>
  <c r="CC277" i="6" s="1"/>
  <c r="BZ746" i="6"/>
  <c r="CA746" i="6" s="1"/>
  <c r="CB703" i="6"/>
  <c r="CC703" i="6" s="1"/>
  <c r="BI703" i="6" s="1"/>
  <c r="BG424" i="26"/>
  <c r="BH424" i="26" s="1"/>
  <c r="AO424" i="26" s="1"/>
  <c r="BI737" i="26"/>
  <c r="BJ737" i="26" s="1"/>
  <c r="BZ587" i="6"/>
  <c r="CA587" i="6" s="1"/>
  <c r="CB48" i="6"/>
  <c r="CC48" i="6" s="1"/>
  <c r="BI48" i="6" s="1"/>
  <c r="CB1210" i="6"/>
  <c r="CC1210" i="6" s="1"/>
  <c r="BI1210" i="6" s="1"/>
  <c r="CB832" i="6"/>
  <c r="CC832" i="6" s="1"/>
  <c r="BI832" i="6" s="1"/>
  <c r="BZ308" i="6"/>
  <c r="CA308" i="6" s="1"/>
  <c r="CB331" i="6"/>
  <c r="CC331" i="6" s="1"/>
  <c r="BI331" i="6" s="1"/>
  <c r="BZ102" i="6"/>
  <c r="CA102" i="6" s="1"/>
  <c r="BZ919" i="6"/>
  <c r="CA919" i="6" s="1"/>
  <c r="BZ157" i="6"/>
  <c r="CA157" i="6" s="1"/>
  <c r="BZ850" i="6"/>
  <c r="CA850" i="6" s="1"/>
  <c r="BZ397" i="6"/>
  <c r="CA397" i="6" s="1"/>
  <c r="CB341" i="6"/>
  <c r="CC341" i="6" s="1"/>
  <c r="BI341" i="6" s="1"/>
  <c r="BZ1021" i="6"/>
  <c r="CA1021" i="6" s="1"/>
  <c r="BZ785" i="6"/>
  <c r="CA785" i="6" s="1"/>
  <c r="BZ726" i="6"/>
  <c r="CA726" i="6" s="1"/>
  <c r="BZ750" i="6"/>
  <c r="CA750" i="6" s="1"/>
  <c r="CB57" i="6"/>
  <c r="CC57" i="6" s="1"/>
  <c r="BI57" i="6" s="1"/>
  <c r="BI340" i="26"/>
  <c r="BJ340" i="26" s="1"/>
  <c r="BZ705" i="6"/>
  <c r="CA705" i="6" s="1"/>
  <c r="CB895" i="6"/>
  <c r="CC895" i="6" s="1"/>
  <c r="BI895" i="6" s="1"/>
  <c r="BZ1114" i="6"/>
  <c r="CA1114" i="6" s="1"/>
  <c r="CB176" i="6"/>
  <c r="CC176" i="6" s="1"/>
  <c r="BI176" i="6" s="1"/>
  <c r="BI135" i="26"/>
  <c r="BJ135" i="26" s="1"/>
  <c r="AP135" i="26" s="1"/>
  <c r="BI115" i="26"/>
  <c r="BJ115" i="26" s="1"/>
  <c r="AP115" i="26" s="1"/>
  <c r="BZ868" i="6"/>
  <c r="CA868" i="6" s="1"/>
  <c r="CB1106" i="6"/>
  <c r="CC1106" i="6" s="1"/>
  <c r="BZ1196" i="6"/>
  <c r="CA1196" i="6" s="1"/>
  <c r="CB849" i="6"/>
  <c r="CC849" i="6" s="1"/>
  <c r="BI849" i="6" s="1"/>
  <c r="BZ966" i="6"/>
  <c r="CA966" i="6" s="1"/>
  <c r="CB1231" i="6"/>
  <c r="CC1231" i="6" s="1"/>
  <c r="CB164" i="6"/>
  <c r="CC164" i="6" s="1"/>
  <c r="BI164" i="6" s="1"/>
  <c r="CB524" i="6"/>
  <c r="CC524" i="6" s="1"/>
  <c r="BI524" i="6" s="1"/>
  <c r="CB806" i="6"/>
  <c r="CC806" i="6" s="1"/>
  <c r="BI806" i="6" s="1"/>
  <c r="BZ618" i="6"/>
  <c r="CA618" i="6" s="1"/>
  <c r="BZ478" i="6"/>
  <c r="CA478" i="6" s="1"/>
  <c r="CB229" i="6"/>
  <c r="CC229" i="6" s="1"/>
  <c r="BI229" i="6" s="1"/>
  <c r="BZ1256" i="6"/>
  <c r="CA1256" i="6" s="1"/>
  <c r="CB19" i="6"/>
  <c r="CC19" i="6" s="1"/>
  <c r="BI19" i="6" s="1"/>
  <c r="CB469" i="6"/>
  <c r="CC469" i="6" s="1"/>
  <c r="BI469" i="6" s="1"/>
  <c r="CB1188" i="6"/>
  <c r="CC1188" i="6" s="1"/>
  <c r="BI1188" i="6" s="1"/>
  <c r="BZ468" i="6"/>
  <c r="CA468" i="6" s="1"/>
  <c r="BZ1108" i="6"/>
  <c r="CA1108" i="6" s="1"/>
  <c r="BZ908" i="6"/>
  <c r="CA908" i="6" s="1"/>
  <c r="BZ335" i="6"/>
  <c r="CA335" i="6" s="1"/>
  <c r="CB542" i="6"/>
  <c r="CC542" i="6" s="1"/>
  <c r="BI542" i="6" s="1"/>
  <c r="BZ720" i="6"/>
  <c r="CA720" i="6" s="1"/>
  <c r="BG179" i="26"/>
  <c r="BH179" i="26" s="1"/>
  <c r="AO179" i="26" s="1"/>
  <c r="BI23" i="26"/>
  <c r="BJ23" i="26" s="1"/>
  <c r="AP23" i="26" s="1"/>
  <c r="CB617" i="6"/>
  <c r="CC617" i="6" s="1"/>
  <c r="CB726" i="6"/>
  <c r="CC726" i="6" s="1"/>
  <c r="BI726" i="6" s="1"/>
  <c r="BZ1175" i="6"/>
  <c r="CA1175" i="6" s="1"/>
  <c r="BZ931" i="6"/>
  <c r="CA931" i="6" s="1"/>
  <c r="BZ280" i="6"/>
  <c r="CA280" i="6" s="1"/>
  <c r="BZ1032" i="6"/>
  <c r="CA1032" i="6" s="1"/>
  <c r="CB784" i="6"/>
  <c r="CC784" i="6" s="1"/>
  <c r="CB266" i="6"/>
  <c r="CC266" i="6" s="1"/>
  <c r="BI266" i="6" s="1"/>
  <c r="BZ216" i="6"/>
  <c r="CA216" i="6" s="1"/>
  <c r="CB234" i="6"/>
  <c r="CC234" i="6" s="1"/>
  <c r="BI234" i="6" s="1"/>
  <c r="BZ999" i="6"/>
  <c r="CA999" i="6" s="1"/>
  <c r="CB106" i="6"/>
  <c r="CC106" i="6" s="1"/>
  <c r="BI106" i="6" s="1"/>
  <c r="BZ51" i="6"/>
  <c r="CA51" i="6" s="1"/>
  <c r="BZ246" i="6"/>
  <c r="CA246" i="6" s="1"/>
  <c r="BI430" i="26"/>
  <c r="BJ430" i="26" s="1"/>
  <c r="BG436" i="26"/>
  <c r="BH436" i="26" s="1"/>
  <c r="AO436" i="26" s="1"/>
  <c r="CB330" i="6"/>
  <c r="CC330" i="6" s="1"/>
  <c r="BI330" i="6" s="1"/>
  <c r="BG275" i="26"/>
  <c r="BH275" i="26" s="1"/>
  <c r="AO275" i="26" s="1"/>
  <c r="BZ940" i="6"/>
  <c r="CA940" i="6" s="1"/>
  <c r="BG15" i="26"/>
  <c r="BH15" i="26" s="1"/>
  <c r="AO15" i="26" s="1"/>
  <c r="BZ244" i="6"/>
  <c r="CA244" i="6" s="1"/>
  <c r="BZ384" i="6"/>
  <c r="CA384" i="6" s="1"/>
  <c r="BZ360" i="6"/>
  <c r="CA360" i="6" s="1"/>
  <c r="BZ664" i="6"/>
  <c r="CA664" i="6" s="1"/>
  <c r="CB823" i="6"/>
  <c r="CC823" i="6" s="1"/>
  <c r="CB357" i="6"/>
  <c r="CC357" i="6" s="1"/>
  <c r="BI357" i="6" s="1"/>
  <c r="BZ1137" i="6"/>
  <c r="CA1137" i="6" s="1"/>
  <c r="BZ820" i="6"/>
  <c r="CA820" i="6" s="1"/>
  <c r="CB1005" i="6"/>
  <c r="CC1005" i="6" s="1"/>
  <c r="BZ428" i="6"/>
  <c r="CA428" i="6" s="1"/>
  <c r="CB1044" i="6"/>
  <c r="CC1044" i="6" s="1"/>
  <c r="BI1044" i="6" s="1"/>
  <c r="BZ1229" i="6"/>
  <c r="CA1229" i="6" s="1"/>
  <c r="BZ1067" i="6"/>
  <c r="CA1067" i="6" s="1"/>
  <c r="CB664" i="6"/>
  <c r="CC664" i="6" s="1"/>
  <c r="CB774" i="6"/>
  <c r="CC774" i="6" s="1"/>
  <c r="BG449" i="26"/>
  <c r="BH449" i="26" s="1"/>
  <c r="AO449" i="26" s="1"/>
  <c r="BG387" i="26"/>
  <c r="BH387" i="26" s="1"/>
  <c r="AO387" i="26" s="1"/>
  <c r="CB84" i="6"/>
  <c r="CC84" i="6" s="1"/>
  <c r="BI84" i="6" s="1"/>
  <c r="BZ706" i="6"/>
  <c r="CA706" i="6" s="1"/>
  <c r="BZ400" i="6"/>
  <c r="CA400" i="6" s="1"/>
  <c r="CB302" i="6"/>
  <c r="CC302" i="6" s="1"/>
  <c r="BI302" i="6" s="1"/>
  <c r="BI45" i="26"/>
  <c r="BJ45" i="26" s="1"/>
  <c r="AP45" i="26" s="1"/>
  <c r="BZ827" i="6"/>
  <c r="CA827" i="6" s="1"/>
  <c r="BZ451" i="6"/>
  <c r="CA451" i="6" s="1"/>
  <c r="BZ859" i="6"/>
  <c r="CA859" i="6" s="1"/>
  <c r="BZ101" i="6"/>
  <c r="CA101" i="6" s="1"/>
  <c r="BZ923" i="6"/>
  <c r="CA923" i="6" s="1"/>
  <c r="BZ187" i="6"/>
  <c r="CA187" i="6" s="1"/>
  <c r="BZ898" i="6"/>
  <c r="CA898" i="6" s="1"/>
  <c r="CB588" i="6"/>
  <c r="CC588" i="6" s="1"/>
  <c r="BI588" i="6" s="1"/>
  <c r="BZ719" i="6"/>
  <c r="CA719" i="6" s="1"/>
  <c r="CB1233" i="6"/>
  <c r="CC1233" i="6" s="1"/>
  <c r="CB669" i="6"/>
  <c r="CC669" i="6" s="1"/>
  <c r="BZ71" i="6"/>
  <c r="CA71" i="6" s="1"/>
  <c r="CB579" i="6"/>
  <c r="CC579" i="6" s="1"/>
  <c r="BI579" i="6" s="1"/>
  <c r="CB326" i="6"/>
  <c r="CC326" i="6" s="1"/>
  <c r="BI326" i="6" s="1"/>
  <c r="CB367" i="6"/>
  <c r="CC367" i="6" s="1"/>
  <c r="BI367" i="6" s="1"/>
  <c r="BZ106" i="6"/>
  <c r="CA106" i="6" s="1"/>
  <c r="CB14" i="6"/>
  <c r="CC14" i="6" s="1"/>
  <c r="BI14" i="6" s="1"/>
  <c r="BI378" i="26"/>
  <c r="BJ378" i="26" s="1"/>
  <c r="BG243" i="26"/>
  <c r="BH243" i="26" s="1"/>
  <c r="AO243" i="26" s="1"/>
  <c r="CB339" i="6"/>
  <c r="CC339" i="6" s="1"/>
  <c r="BI339" i="6" s="1"/>
  <c r="BI413" i="26"/>
  <c r="BJ413" i="26" s="1"/>
  <c r="CB970" i="6"/>
  <c r="CC970" i="6" s="1"/>
  <c r="BI970" i="6" s="1"/>
  <c r="CB55" i="6"/>
  <c r="CC55" i="6" s="1"/>
  <c r="BI55" i="6" s="1"/>
  <c r="CB423" i="6"/>
  <c r="CC423" i="6" s="1"/>
  <c r="CB627" i="6"/>
  <c r="CC627" i="6" s="1"/>
  <c r="BI627" i="6" s="1"/>
  <c r="BZ1044" i="6"/>
  <c r="CA1044" i="6" s="1"/>
  <c r="CB18" i="6"/>
  <c r="CC18" i="6" s="1"/>
  <c r="BI18" i="6" s="1"/>
  <c r="CB373" i="6"/>
  <c r="CC373" i="6" s="1"/>
  <c r="BI373" i="6" s="1"/>
  <c r="BZ522" i="6"/>
  <c r="CA522" i="6" s="1"/>
  <c r="BZ838" i="6"/>
  <c r="CA838" i="6" s="1"/>
  <c r="BZ110" i="6"/>
  <c r="CA110" i="6" s="1"/>
  <c r="BZ158" i="6"/>
  <c r="CA158" i="6" s="1"/>
  <c r="BZ417" i="6"/>
  <c r="CA417" i="6" s="1"/>
  <c r="BG419" i="26"/>
  <c r="BH419" i="26" s="1"/>
  <c r="AO419" i="26" s="1"/>
  <c r="BZ1178" i="6"/>
  <c r="CA1178" i="6" s="1"/>
  <c r="CB1254" i="6"/>
  <c r="CC1254" i="6" s="1"/>
  <c r="BI1254" i="6" s="1"/>
  <c r="BZ462" i="6"/>
  <c r="CA462" i="6" s="1"/>
  <c r="BZ878" i="6"/>
  <c r="CA878" i="6" s="1"/>
  <c r="BZ574" i="6"/>
  <c r="CA574" i="6" s="1"/>
  <c r="CB179" i="6"/>
  <c r="CC179" i="6" s="1"/>
  <c r="BI179" i="6" s="1"/>
  <c r="BZ1038" i="6"/>
  <c r="CA1038" i="6" s="1"/>
  <c r="CB1109" i="6"/>
  <c r="CC1109" i="6" s="1"/>
  <c r="BZ1166" i="6"/>
  <c r="CA1166" i="6" s="1"/>
  <c r="BG20" i="26"/>
  <c r="BH20" i="26" s="1"/>
  <c r="AO20" i="26" s="1"/>
  <c r="BZ439" i="6"/>
  <c r="CA439" i="6" s="1"/>
  <c r="BZ281" i="6"/>
  <c r="CA281" i="6" s="1"/>
  <c r="CB177" i="6"/>
  <c r="CC177" i="6" s="1"/>
  <c r="BI177" i="6" s="1"/>
  <c r="CB137" i="6"/>
  <c r="CC137" i="6" s="1"/>
  <c r="BI137" i="6" s="1"/>
  <c r="CB295" i="6"/>
  <c r="CC295" i="6" s="1"/>
  <c r="BI295" i="6" s="1"/>
  <c r="CB951" i="6"/>
  <c r="CC951" i="6" s="1"/>
  <c r="BZ286" i="6"/>
  <c r="CA286" i="6" s="1"/>
  <c r="BZ741" i="6"/>
  <c r="CA741" i="6" s="1"/>
  <c r="BZ53" i="6"/>
  <c r="CA53" i="6" s="1"/>
  <c r="CB573" i="6"/>
  <c r="CC573" i="6" s="1"/>
  <c r="CB590" i="6"/>
  <c r="CC590" i="6" s="1"/>
  <c r="BI590" i="6" s="1"/>
  <c r="CB683" i="6"/>
  <c r="CC683" i="6" s="1"/>
  <c r="CB987" i="6"/>
  <c r="CC987" i="6" s="1"/>
  <c r="BI987" i="6" s="1"/>
  <c r="BZ460" i="6"/>
  <c r="CA460" i="6" s="1"/>
  <c r="BZ45" i="6"/>
  <c r="CA45" i="6" s="1"/>
  <c r="CB1201" i="6"/>
  <c r="CC1201" i="6" s="1"/>
  <c r="BI1201" i="6" s="1"/>
  <c r="BZ1245" i="6"/>
  <c r="CA1245" i="6" s="1"/>
  <c r="BZ358" i="6"/>
  <c r="CA358" i="6" s="1"/>
  <c r="BZ248" i="6"/>
  <c r="CA248" i="6" s="1"/>
  <c r="CB1217" i="6"/>
  <c r="CC1217" i="6" s="1"/>
  <c r="BG402" i="26"/>
  <c r="BH402" i="26" s="1"/>
  <c r="AO402" i="26" s="1"/>
  <c r="BZ623" i="6"/>
  <c r="CA623" i="6" s="1"/>
  <c r="CB1185" i="6"/>
  <c r="CC1185" i="6" s="1"/>
  <c r="CB293" i="6"/>
  <c r="CC293" i="6" s="1"/>
  <c r="BI293" i="6" s="1"/>
  <c r="CB1179" i="6"/>
  <c r="CC1179" i="6" s="1"/>
  <c r="BZ199" i="6"/>
  <c r="CA199" i="6" s="1"/>
  <c r="CB230" i="6"/>
  <c r="CC230" i="6" s="1"/>
  <c r="BI230" i="6" s="1"/>
  <c r="BZ348" i="6"/>
  <c r="CA348" i="6" s="1"/>
  <c r="CB273" i="6"/>
  <c r="CC273" i="6" s="1"/>
  <c r="BZ865" i="6"/>
  <c r="CA865" i="6" s="1"/>
  <c r="CB336" i="6"/>
  <c r="CC336" i="6" s="1"/>
  <c r="BI336" i="6" s="1"/>
  <c r="BZ1025" i="6"/>
  <c r="CA1025" i="6" s="1"/>
  <c r="BZ1173" i="6"/>
  <c r="CA1173" i="6" s="1"/>
  <c r="CB1038" i="6"/>
  <c r="CC1038" i="6" s="1"/>
  <c r="BI1038" i="6" s="1"/>
  <c r="CB1016" i="6"/>
  <c r="CC1016" i="6" s="1"/>
  <c r="CB1012" i="6"/>
  <c r="CC1012" i="6" s="1"/>
  <c r="CB1124" i="6"/>
  <c r="CC1124" i="6" s="1"/>
  <c r="CB963" i="6"/>
  <c r="CC963" i="6" s="1"/>
  <c r="BI963" i="6" s="1"/>
  <c r="BZ117" i="6"/>
  <c r="CA117" i="6" s="1"/>
  <c r="BZ1209" i="6"/>
  <c r="CA1209" i="6" s="1"/>
  <c r="BZ666" i="6"/>
  <c r="CA666" i="6" s="1"/>
  <c r="CB113" i="6"/>
  <c r="CC113" i="6" s="1"/>
  <c r="BI113" i="6" s="1"/>
  <c r="CB1015" i="6"/>
  <c r="CC1015" i="6" s="1"/>
  <c r="CB733" i="6"/>
  <c r="CC733" i="6" s="1"/>
  <c r="BZ1129" i="6"/>
  <c r="CA1129" i="6" s="1"/>
  <c r="BZ379" i="6"/>
  <c r="CA379" i="6" s="1"/>
  <c r="CB977" i="6"/>
  <c r="CC977" i="6" s="1"/>
  <c r="BI977" i="6" s="1"/>
  <c r="AS977" i="6" s="1"/>
  <c r="CB211" i="6"/>
  <c r="CC211" i="6" s="1"/>
  <c r="BI211" i="6" s="1"/>
  <c r="CB723" i="6"/>
  <c r="CC723" i="6" s="1"/>
  <c r="CB759" i="6"/>
  <c r="CC759" i="6" s="1"/>
  <c r="BZ699" i="6"/>
  <c r="CA699" i="6" s="1"/>
  <c r="BZ376" i="6"/>
  <c r="CA376" i="6" s="1"/>
  <c r="CB47" i="6"/>
  <c r="CC47" i="6" s="1"/>
  <c r="BI47" i="6" s="1"/>
  <c r="BZ668" i="6"/>
  <c r="CA668" i="6" s="1"/>
  <c r="BZ398" i="6"/>
  <c r="CA398" i="6" s="1"/>
  <c r="BZ628" i="6"/>
  <c r="CA628" i="6" s="1"/>
  <c r="CB592" i="6"/>
  <c r="CC592" i="6" s="1"/>
  <c r="BI592" i="6" s="1"/>
  <c r="CB749" i="6"/>
  <c r="CC749" i="6" s="1"/>
  <c r="CB857" i="6"/>
  <c r="CC857" i="6" s="1"/>
  <c r="BZ555" i="6"/>
  <c r="CA555" i="6" s="1"/>
  <c r="BZ23" i="6"/>
  <c r="CA23" i="6" s="1"/>
  <c r="BZ851" i="6"/>
  <c r="CA851" i="6" s="1"/>
  <c r="CB311" i="6"/>
  <c r="CC311" i="6" s="1"/>
  <c r="BI311" i="6" s="1"/>
  <c r="CB1192" i="6"/>
  <c r="CC1192" i="6" s="1"/>
  <c r="BI1192" i="6" s="1"/>
  <c r="BZ1221" i="6"/>
  <c r="CA1221" i="6" s="1"/>
  <c r="CB139" i="6"/>
  <c r="CC139" i="6" s="1"/>
  <c r="BI139" i="6" s="1"/>
  <c r="BZ289" i="6"/>
  <c r="CA289" i="6" s="1"/>
  <c r="CB782" i="6"/>
  <c r="CC782" i="6" s="1"/>
  <c r="CB848" i="6"/>
  <c r="CC848" i="6" s="1"/>
  <c r="BZ514" i="6"/>
  <c r="CA514" i="6" s="1"/>
  <c r="BZ415" i="6"/>
  <c r="CA415" i="6" s="1"/>
  <c r="CB1202" i="6"/>
  <c r="CC1202" i="6" s="1"/>
  <c r="BI1202" i="6" s="1"/>
  <c r="CB665" i="6"/>
  <c r="CC665" i="6" s="1"/>
  <c r="BZ937" i="6"/>
  <c r="CA937" i="6" s="1"/>
  <c r="CB228" i="6"/>
  <c r="CC228" i="6" s="1"/>
  <c r="BI228" i="6" s="1"/>
  <c r="BZ689" i="6"/>
  <c r="CA689" i="6" s="1"/>
  <c r="CB338" i="6"/>
  <c r="CC338" i="6" s="1"/>
  <c r="BI338" i="6" s="1"/>
  <c r="BZ1042" i="6"/>
  <c r="CA1042" i="6" s="1"/>
  <c r="BZ239" i="6"/>
  <c r="CA239" i="6" s="1"/>
  <c r="BZ639" i="6"/>
  <c r="CA639" i="6" s="1"/>
  <c r="BZ149" i="6"/>
  <c r="CA149" i="6" s="1"/>
  <c r="BZ276" i="6"/>
  <c r="CA276" i="6" s="1"/>
  <c r="CB550" i="6"/>
  <c r="CC550" i="6" s="1"/>
  <c r="BI550" i="6" s="1"/>
  <c r="CB965" i="6"/>
  <c r="CC965" i="6" s="1"/>
  <c r="CB1244" i="6"/>
  <c r="CC1244" i="6" s="1"/>
  <c r="BI1244" i="6" s="1"/>
  <c r="BZ563" i="6"/>
  <c r="CA563" i="6" s="1"/>
  <c r="CB268" i="6"/>
  <c r="CC268" i="6" s="1"/>
  <c r="CB151" i="6"/>
  <c r="CC151" i="6" s="1"/>
  <c r="BI151" i="6" s="1"/>
  <c r="CB59" i="6"/>
  <c r="CC59" i="6" s="1"/>
  <c r="BI59" i="6" s="1"/>
  <c r="BZ552" i="6"/>
  <c r="CA552" i="6" s="1"/>
  <c r="BZ629" i="6"/>
  <c r="CA629" i="6" s="1"/>
  <c r="CB103" i="6"/>
  <c r="CC103" i="6" s="1"/>
  <c r="BI103" i="6" s="1"/>
  <c r="CB913" i="6"/>
  <c r="CC913" i="6" s="1"/>
  <c r="BZ315" i="6"/>
  <c r="CA315" i="6" s="1"/>
  <c r="CB1023" i="6"/>
  <c r="CC1023" i="6" s="1"/>
  <c r="BI1023" i="6" s="1"/>
  <c r="BZ484" i="6"/>
  <c r="CA484" i="6" s="1"/>
  <c r="CB389" i="6"/>
  <c r="CC389" i="6" s="1"/>
  <c r="BI389" i="6" s="1"/>
  <c r="CB45" i="6"/>
  <c r="CC45" i="6" s="1"/>
  <c r="BI45" i="6" s="1"/>
  <c r="BI92" i="26"/>
  <c r="BJ92" i="26" s="1"/>
  <c r="BZ775" i="6"/>
  <c r="CA775" i="6" s="1"/>
  <c r="BI201" i="26"/>
  <c r="BJ201" i="26" s="1"/>
  <c r="AP201" i="26" s="1"/>
  <c r="BG523" i="26"/>
  <c r="BH523" i="26" s="1"/>
  <c r="AO523" i="26" s="1"/>
  <c r="CB104" i="6"/>
  <c r="CC104" i="6" s="1"/>
  <c r="BI104" i="6" s="1"/>
  <c r="BZ116" i="6"/>
  <c r="CA116" i="6" s="1"/>
  <c r="CB1006" i="6"/>
  <c r="CC1006" i="6" s="1"/>
  <c r="CB410" i="6"/>
  <c r="CC410" i="6" s="1"/>
  <c r="BI410" i="6" s="1"/>
  <c r="BZ1041" i="6"/>
  <c r="CA1041" i="6" s="1"/>
  <c r="BZ375" i="6"/>
  <c r="CA375" i="6" s="1"/>
  <c r="CB1039" i="6"/>
  <c r="CC1039" i="6" s="1"/>
  <c r="BI1039" i="6" s="1"/>
  <c r="BZ475" i="6"/>
  <c r="CA475" i="6" s="1"/>
  <c r="BZ1204" i="6"/>
  <c r="CA1204" i="6" s="1"/>
  <c r="BZ817" i="6"/>
  <c r="CA817" i="6" s="1"/>
  <c r="BZ535" i="6"/>
  <c r="CA535" i="6" s="1"/>
  <c r="BZ58" i="6"/>
  <c r="CA58" i="6" s="1"/>
  <c r="BI109" i="26"/>
  <c r="BJ109" i="26" s="1"/>
  <c r="AP109" i="26" s="1"/>
  <c r="CB516" i="6"/>
  <c r="CC516" i="6" s="1"/>
  <c r="BI516" i="6" s="1"/>
  <c r="CB428" i="6"/>
  <c r="CC428" i="6" s="1"/>
  <c r="BI428" i="6" s="1"/>
  <c r="CB54" i="6"/>
  <c r="CC54" i="6" s="1"/>
  <c r="BI54" i="6" s="1"/>
  <c r="CB1257" i="6"/>
  <c r="CC1257" i="6" s="1"/>
  <c r="CB1067" i="6"/>
  <c r="CC1067" i="6" s="1"/>
  <c r="BI1067" i="6" s="1"/>
  <c r="CB1178" i="6"/>
  <c r="CC1178" i="6" s="1"/>
  <c r="CB1072" i="6"/>
  <c r="CC1072" i="6" s="1"/>
  <c r="BI1072" i="6" s="1"/>
  <c r="BZ786" i="6"/>
  <c r="CA786" i="6" s="1"/>
  <c r="BI466" i="26"/>
  <c r="BJ466" i="26" s="1"/>
  <c r="AP466" i="26" s="1"/>
  <c r="BZ840" i="6"/>
  <c r="CA840" i="6" s="1"/>
  <c r="BI804" i="26"/>
  <c r="BJ804" i="26" s="1"/>
  <c r="AP804" i="26" s="1"/>
  <c r="BZ333" i="6"/>
  <c r="CA333" i="6" s="1"/>
  <c r="BZ1023" i="6"/>
  <c r="CA1023" i="6" s="1"/>
  <c r="CB1261" i="6"/>
  <c r="CC1261" i="6" s="1"/>
  <c r="BI1261" i="6" s="1"/>
  <c r="BZ778" i="6"/>
  <c r="CA778" i="6" s="1"/>
  <c r="BZ1176" i="6"/>
  <c r="CA1176" i="6" s="1"/>
  <c r="BZ692" i="6"/>
  <c r="CA692" i="6" s="1"/>
  <c r="BZ331" i="6"/>
  <c r="CA331" i="6" s="1"/>
  <c r="CB920" i="6"/>
  <c r="CC920" i="6" s="1"/>
  <c r="CB876" i="6"/>
  <c r="CC876" i="6" s="1"/>
  <c r="CB586" i="6"/>
  <c r="CC586" i="6" s="1"/>
  <c r="BI586" i="6" s="1"/>
  <c r="BZ897" i="6"/>
  <c r="CA897" i="6" s="1"/>
  <c r="BZ1161" i="6"/>
  <c r="CA1161" i="6" s="1"/>
  <c r="BG589" i="26"/>
  <c r="BH589" i="26" s="1"/>
  <c r="AO589" i="26" s="1"/>
  <c r="CB285" i="6"/>
  <c r="CC285" i="6" s="1"/>
  <c r="BZ326" i="6"/>
  <c r="CA326" i="6" s="1"/>
  <c r="BZ1147" i="6"/>
  <c r="CA1147" i="6" s="1"/>
  <c r="BZ610" i="6"/>
  <c r="CA610" i="6" s="1"/>
  <c r="CB93" i="6"/>
  <c r="CC93" i="6" s="1"/>
  <c r="BI93" i="6" s="1"/>
  <c r="BZ1048" i="6"/>
  <c r="CA1048" i="6" s="1"/>
  <c r="BI171" i="26"/>
  <c r="BJ171" i="26" s="1"/>
  <c r="AP171" i="26" s="1"/>
  <c r="BZ1080" i="6"/>
  <c r="CA1080" i="6" s="1"/>
  <c r="BI173" i="26"/>
  <c r="BJ173" i="26" s="1"/>
  <c r="CB649" i="6"/>
  <c r="CC649" i="6" s="1"/>
  <c r="BI649" i="6" s="1"/>
  <c r="BI392" i="26"/>
  <c r="BJ392" i="26" s="1"/>
  <c r="BZ487" i="6"/>
  <c r="CA487" i="6" s="1"/>
  <c r="CB521" i="6"/>
  <c r="CC521" i="6" s="1"/>
  <c r="BZ682" i="6"/>
  <c r="CA682" i="6" s="1"/>
  <c r="BZ909" i="6"/>
  <c r="CA909" i="6" s="1"/>
  <c r="BZ234" i="6"/>
  <c r="CA234" i="6" s="1"/>
  <c r="BZ1141" i="6"/>
  <c r="CA1141" i="6" s="1"/>
  <c r="CB1180" i="6"/>
  <c r="CC1180" i="6" s="1"/>
  <c r="BI1180" i="6" s="1"/>
  <c r="CB430" i="6"/>
  <c r="CC430" i="6" s="1"/>
  <c r="BI430" i="6" s="1"/>
  <c r="BZ43" i="6"/>
  <c r="CA43" i="6" s="1"/>
  <c r="BZ238" i="6"/>
  <c r="CA238" i="6" s="1"/>
  <c r="CB595" i="6"/>
  <c r="CC595" i="6" s="1"/>
  <c r="BI595" i="6" s="1"/>
  <c r="CB735" i="6"/>
  <c r="CC735" i="6" s="1"/>
  <c r="BZ222" i="6"/>
  <c r="CA222" i="6" s="1"/>
  <c r="BZ1201" i="6"/>
  <c r="CA1201" i="6" s="1"/>
  <c r="BZ819" i="6"/>
  <c r="CA819" i="6" s="1"/>
  <c r="CB856" i="6"/>
  <c r="CC856" i="6" s="1"/>
  <c r="BZ337" i="6"/>
  <c r="CA337" i="6" s="1"/>
  <c r="BZ582" i="6"/>
  <c r="CA582" i="6" s="1"/>
  <c r="BI402" i="26"/>
  <c r="BJ402" i="26" s="1"/>
  <c r="BG164" i="26"/>
  <c r="BH164" i="26" s="1"/>
  <c r="AO164" i="26" s="1"/>
  <c r="BI26" i="26"/>
  <c r="BJ26" i="26" s="1"/>
  <c r="AP26" i="26" s="1"/>
  <c r="CB878" i="6"/>
  <c r="CC878" i="6" s="1"/>
  <c r="BZ35" i="6"/>
  <c r="CA35" i="6" s="1"/>
  <c r="BZ1246" i="6"/>
  <c r="CA1246" i="6" s="1"/>
  <c r="BZ419" i="6"/>
  <c r="CA419" i="6" s="1"/>
  <c r="BZ1223" i="6"/>
  <c r="CA1223" i="6" s="1"/>
  <c r="BI243" i="26"/>
  <c r="BJ243" i="26" s="1"/>
  <c r="AP243" i="26" s="1"/>
  <c r="BZ83" i="6"/>
  <c r="CA83" i="6" s="1"/>
  <c r="BZ548" i="6"/>
  <c r="CA548" i="6" s="1"/>
  <c r="CB563" i="6"/>
  <c r="CC563" i="6" s="1"/>
  <c r="BI563" i="6" s="1"/>
  <c r="CB843" i="6"/>
  <c r="CC843" i="6" s="1"/>
  <c r="CB1247" i="6"/>
  <c r="CC1247" i="6" s="1"/>
  <c r="BI1247" i="6" s="1"/>
  <c r="CB892" i="6"/>
  <c r="CC892" i="6" s="1"/>
  <c r="BI892" i="6" s="1"/>
  <c r="BZ519" i="6"/>
  <c r="CA519" i="6" s="1"/>
  <c r="CB899" i="6"/>
  <c r="CC899" i="6" s="1"/>
  <c r="CB1183" i="6"/>
  <c r="CC1183" i="6" s="1"/>
  <c r="BZ701" i="6"/>
  <c r="CA701" i="6" s="1"/>
  <c r="CB898" i="6"/>
  <c r="CC898" i="6" s="1"/>
  <c r="BZ803" i="6"/>
  <c r="CA803" i="6" s="1"/>
  <c r="CB26" i="6"/>
  <c r="CC26" i="6" s="1"/>
  <c r="BI26" i="6" s="1"/>
  <c r="BI650" i="26"/>
  <c r="BJ650" i="26" s="1"/>
  <c r="CB936" i="6"/>
  <c r="CC936" i="6" s="1"/>
  <c r="BI936" i="6" s="1"/>
  <c r="BG277" i="26"/>
  <c r="BH277" i="26" s="1"/>
  <c r="AO277" i="26" s="1"/>
  <c r="BI10" i="26"/>
  <c r="BJ10" i="26" s="1"/>
  <c r="AP10" i="26" s="1"/>
  <c r="BZ1045" i="6"/>
  <c r="CA1045" i="6" s="1"/>
  <c r="CB1147" i="6"/>
  <c r="CC1147" i="6" s="1"/>
  <c r="CB859" i="6"/>
  <c r="CC859" i="6" s="1"/>
  <c r="BZ163" i="6"/>
  <c r="CA163" i="6" s="1"/>
  <c r="CB827" i="6"/>
  <c r="CC827" i="6" s="1"/>
  <c r="CB763" i="6"/>
  <c r="CC763" i="6" s="1"/>
  <c r="CB247" i="6"/>
  <c r="CC247" i="6" s="1"/>
  <c r="BI247" i="6" s="1"/>
  <c r="CB890" i="6"/>
  <c r="CC890" i="6" s="1"/>
  <c r="CB701" i="6"/>
  <c r="CC701" i="6" s="1"/>
  <c r="BZ405" i="6"/>
  <c r="CA405" i="6" s="1"/>
  <c r="CB917" i="6"/>
  <c r="CC917" i="6" s="1"/>
  <c r="BZ642" i="6"/>
  <c r="CA642" i="6" s="1"/>
  <c r="BZ27" i="6"/>
  <c r="CA27" i="6" s="1"/>
  <c r="CB376" i="6"/>
  <c r="CC376" i="6" s="1"/>
  <c r="BI376" i="6" s="1"/>
  <c r="CB543" i="6"/>
  <c r="CC543" i="6" s="1"/>
  <c r="BI543" i="6" s="1"/>
  <c r="BZ1061" i="6"/>
  <c r="CA1061" i="6" s="1"/>
  <c r="BZ791" i="6"/>
  <c r="CA791" i="6" s="1"/>
  <c r="BG37" i="26"/>
  <c r="BH37" i="26" s="1"/>
  <c r="AO37" i="26" s="1"/>
  <c r="CB587" i="6"/>
  <c r="CC587" i="6" s="1"/>
  <c r="BI587" i="6" s="1"/>
  <c r="BI400" i="26"/>
  <c r="BJ400" i="26" s="1"/>
  <c r="CB674" i="6"/>
  <c r="CC674" i="6" s="1"/>
  <c r="CB869" i="6"/>
  <c r="CC869" i="6" s="1"/>
  <c r="BZ353" i="6"/>
  <c r="CA353" i="6" s="1"/>
  <c r="BZ476" i="6"/>
  <c r="CA476" i="6" s="1"/>
  <c r="BZ651" i="6"/>
  <c r="CA651" i="6" s="1"/>
  <c r="CB343" i="6"/>
  <c r="CC343" i="6" s="1"/>
  <c r="BI343" i="6" s="1"/>
  <c r="CB907" i="6"/>
  <c r="CC907" i="6" s="1"/>
  <c r="BG588" i="26"/>
  <c r="BH588" i="26" s="1"/>
  <c r="AO588" i="26" s="1"/>
  <c r="BZ427" i="6"/>
  <c r="CA427" i="6" s="1"/>
  <c r="CB667" i="6"/>
  <c r="CC667" i="6" s="1"/>
  <c r="BZ1037" i="6"/>
  <c r="CA1037" i="6" s="1"/>
  <c r="CB1251" i="6"/>
  <c r="CC1251" i="6" s="1"/>
  <c r="BI1251" i="6" s="1"/>
  <c r="BZ430" i="6"/>
  <c r="CA430" i="6" s="1"/>
  <c r="CB840" i="6"/>
  <c r="CC840" i="6" s="1"/>
  <c r="CB466" i="6"/>
  <c r="CC466" i="6" s="1"/>
  <c r="BI466" i="6" s="1"/>
  <c r="BG136" i="26"/>
  <c r="BH136" i="26" s="1"/>
  <c r="AO136" i="26" s="1"/>
  <c r="BG688" i="26"/>
  <c r="BH688" i="26" s="1"/>
  <c r="AO688" i="26" s="1"/>
  <c r="CB788" i="6"/>
  <c r="CC788" i="6" s="1"/>
  <c r="BZ366" i="6"/>
  <c r="CA366" i="6" s="1"/>
  <c r="BZ182" i="6"/>
  <c r="CA182" i="6" s="1"/>
  <c r="BZ204" i="6"/>
  <c r="CA204" i="6" s="1"/>
  <c r="CB937" i="6"/>
  <c r="CC937" i="6" s="1"/>
  <c r="CB187" i="6"/>
  <c r="CC187" i="6" s="1"/>
  <c r="BI187" i="6" s="1"/>
  <c r="CB875" i="6"/>
  <c r="CC875" i="6" s="1"/>
  <c r="CB67" i="6"/>
  <c r="CC67" i="6" s="1"/>
  <c r="BI67" i="6" s="1"/>
  <c r="CB238" i="6"/>
  <c r="CC238" i="6" s="1"/>
  <c r="BI238" i="6" s="1"/>
  <c r="BZ768" i="6"/>
  <c r="CA768" i="6" s="1"/>
  <c r="CB993" i="6"/>
  <c r="CC993" i="6" s="1"/>
  <c r="BI993" i="6" s="1"/>
  <c r="BZ934" i="6"/>
  <c r="CA934" i="6" s="1"/>
  <c r="BZ1235" i="6"/>
  <c r="CA1235" i="6" s="1"/>
  <c r="CB165" i="6"/>
  <c r="CC165" i="6" s="1"/>
  <c r="BI165" i="6" s="1"/>
  <c r="BZ126" i="6"/>
  <c r="CA126" i="6" s="1"/>
  <c r="CB838" i="6"/>
  <c r="CC838" i="6" s="1"/>
  <c r="CB1157" i="6"/>
  <c r="CC1157" i="6" s="1"/>
  <c r="BI1157" i="6" s="1"/>
  <c r="AQ1157" i="6" s="1"/>
  <c r="BZ42" i="6"/>
  <c r="CA42" i="6" s="1"/>
  <c r="CB874" i="6"/>
  <c r="CC874" i="6" s="1"/>
  <c r="BI874" i="6" s="1"/>
  <c r="AQ874" i="6" s="1"/>
  <c r="BG447" i="26"/>
  <c r="BH447" i="26" s="1"/>
  <c r="AO447" i="26" s="1"/>
  <c r="BZ349" i="6"/>
  <c r="CA349" i="6" s="1"/>
  <c r="CB526" i="6"/>
  <c r="CC526" i="6" s="1"/>
  <c r="BI526" i="6" s="1"/>
  <c r="BZ312" i="6"/>
  <c r="CA312" i="6" s="1"/>
  <c r="CB374" i="6"/>
  <c r="CC374" i="6" s="1"/>
  <c r="BI374" i="6" s="1"/>
  <c r="BZ403" i="6"/>
  <c r="CA403" i="6" s="1"/>
  <c r="CB705" i="6"/>
  <c r="CC705" i="6" s="1"/>
  <c r="CB31" i="6"/>
  <c r="CC31" i="6" s="1"/>
  <c r="BI31" i="6" s="1"/>
  <c r="BZ40" i="6"/>
  <c r="CA40" i="6" s="1"/>
  <c r="CB964" i="6"/>
  <c r="CC964" i="6" s="1"/>
  <c r="BI964" i="6" s="1"/>
  <c r="CB1127" i="6"/>
  <c r="CC1127" i="6" s="1"/>
  <c r="CB215" i="6"/>
  <c r="CC215" i="6" s="1"/>
  <c r="BI215" i="6" s="1"/>
  <c r="CB522" i="6"/>
  <c r="CC522" i="6" s="1"/>
  <c r="BI522" i="6" s="1"/>
  <c r="BI630" i="26"/>
  <c r="BJ630" i="26" s="1"/>
  <c r="CB830" i="6"/>
  <c r="CC830" i="6" s="1"/>
  <c r="CB107" i="6"/>
  <c r="CC107" i="6" s="1"/>
  <c r="BI107" i="6" s="1"/>
  <c r="BZ1167" i="6"/>
  <c r="CA1167" i="6" s="1"/>
  <c r="BZ470" i="6"/>
  <c r="CA470" i="6" s="1"/>
  <c r="CB559" i="6"/>
  <c r="CC559" i="6" s="1"/>
  <c r="BI559" i="6" s="1"/>
  <c r="BZ1139" i="6"/>
  <c r="CA1139" i="6" s="1"/>
  <c r="BZ1188" i="6"/>
  <c r="CA1188" i="6" s="1"/>
  <c r="CB239" i="6"/>
  <c r="CC239" i="6" s="1"/>
  <c r="BI239" i="6" s="1"/>
  <c r="CB1252" i="6"/>
  <c r="CC1252" i="6" s="1"/>
  <c r="BI1252" i="6" s="1"/>
  <c r="BZ1009" i="6"/>
  <c r="CA1009" i="6" s="1"/>
  <c r="CB37" i="6"/>
  <c r="CC37" i="6" s="1"/>
  <c r="BI37" i="6" s="1"/>
  <c r="CB1129" i="6"/>
  <c r="CC1129" i="6" s="1"/>
  <c r="CB13" i="6"/>
  <c r="CC13" i="6" s="1"/>
  <c r="BI13" i="6" s="1"/>
  <c r="AS13" i="6" s="1"/>
  <c r="BZ812" i="6"/>
  <c r="CA812" i="6" s="1"/>
  <c r="BZ869" i="6"/>
  <c r="CA869" i="6" s="1"/>
  <c r="CB128" i="6"/>
  <c r="CC128" i="6" s="1"/>
  <c r="BI128" i="6" s="1"/>
  <c r="BZ739" i="6"/>
  <c r="CA739" i="6" s="1"/>
  <c r="BZ953" i="6"/>
  <c r="CA953" i="6" s="1"/>
  <c r="BZ266" i="6"/>
  <c r="CA266" i="6" s="1"/>
  <c r="BI205" i="26"/>
  <c r="BJ205" i="26" s="1"/>
  <c r="AP205" i="26" s="1"/>
  <c r="BZ346" i="6"/>
  <c r="CA346" i="6" s="1"/>
  <c r="CB1250" i="6"/>
  <c r="CC1250" i="6" s="1"/>
  <c r="BI1250" i="6" s="1"/>
  <c r="CB119" i="6"/>
  <c r="CC119" i="6" s="1"/>
  <c r="BI119" i="6" s="1"/>
  <c r="BZ123" i="6"/>
  <c r="CA123" i="6" s="1"/>
  <c r="CB656" i="6"/>
  <c r="CC656" i="6" s="1"/>
  <c r="BI656" i="6" s="1"/>
  <c r="CB1209" i="6"/>
  <c r="CC1209" i="6" s="1"/>
  <c r="BI1209" i="6" s="1"/>
  <c r="BZ413" i="6"/>
  <c r="CA413" i="6" s="1"/>
  <c r="BZ529" i="6"/>
  <c r="CA529" i="6" s="1"/>
  <c r="CB396" i="6"/>
  <c r="CC396" i="6" s="1"/>
  <c r="BI396" i="6" s="1"/>
  <c r="CB482" i="6"/>
  <c r="CC482" i="6" s="1"/>
  <c r="BI482" i="6" s="1"/>
  <c r="BZ903" i="6"/>
  <c r="CA903" i="6" s="1"/>
  <c r="CB809" i="6"/>
  <c r="CC809" i="6" s="1"/>
  <c r="BZ1036" i="6"/>
  <c r="CA1036" i="6" s="1"/>
  <c r="BZ507" i="6"/>
  <c r="CA507" i="6" s="1"/>
  <c r="CB941" i="6"/>
  <c r="CC941" i="6" s="1"/>
  <c r="BZ145" i="6"/>
  <c r="CA145" i="6" s="1"/>
  <c r="BZ649" i="6"/>
  <c r="CA649" i="6" s="1"/>
  <c r="BZ414" i="6"/>
  <c r="CA414" i="6" s="1"/>
  <c r="BZ150" i="6"/>
  <c r="CA150" i="6" s="1"/>
  <c r="BZ521" i="6"/>
  <c r="CA521" i="6" s="1"/>
  <c r="BG709" i="26"/>
  <c r="BH709" i="26" s="1"/>
  <c r="AO709" i="26" s="1"/>
  <c r="BZ1187" i="6"/>
  <c r="CA1187" i="6" s="1"/>
  <c r="BZ183" i="6"/>
  <c r="CA183" i="6" s="1"/>
  <c r="CB484" i="6"/>
  <c r="CC484" i="6" s="1"/>
  <c r="BI484" i="6" s="1"/>
  <c r="AQ484" i="6" s="1"/>
  <c r="BG65" i="26"/>
  <c r="BH65" i="26" s="1"/>
  <c r="AO65" i="26" s="1"/>
  <c r="BZ55" i="6"/>
  <c r="CA55" i="6" s="1"/>
  <c r="CB1246" i="6"/>
  <c r="CC1246" i="6" s="1"/>
  <c r="BI1246" i="6" s="1"/>
  <c r="CB783" i="6"/>
  <c r="CC783" i="6" s="1"/>
  <c r="CB352" i="6"/>
  <c r="CC352" i="6" s="1"/>
  <c r="BI352" i="6" s="1"/>
  <c r="BZ1030" i="6"/>
  <c r="CA1030" i="6" s="1"/>
  <c r="CB219" i="6"/>
  <c r="CC219" i="6" s="1"/>
  <c r="BZ1075" i="6"/>
  <c r="CA1075" i="6" s="1"/>
  <c r="CB63" i="6"/>
  <c r="CC63" i="6" s="1"/>
  <c r="BI63" i="6" s="1"/>
  <c r="BZ1087" i="6"/>
  <c r="CA1087" i="6" s="1"/>
  <c r="BZ1262" i="6"/>
  <c r="CA1262" i="6" s="1"/>
  <c r="CB290" i="6"/>
  <c r="CC290" i="6" s="1"/>
  <c r="BI290" i="6" s="1"/>
  <c r="CB852" i="6"/>
  <c r="CC852" i="6" s="1"/>
  <c r="BZ1203" i="6"/>
  <c r="CA1203" i="6" s="1"/>
  <c r="CB574" i="6"/>
  <c r="CC574" i="6" s="1"/>
  <c r="BZ1146" i="6"/>
  <c r="CA1146" i="6" s="1"/>
  <c r="CB1047" i="6"/>
  <c r="CC1047" i="6" s="1"/>
  <c r="BZ911" i="6"/>
  <c r="CA911" i="6" s="1"/>
  <c r="BZ340" i="6"/>
  <c r="CA340" i="6" s="1"/>
  <c r="CB822" i="6"/>
  <c r="CC822" i="6" s="1"/>
  <c r="BZ191" i="6"/>
  <c r="CA191" i="6" s="1"/>
  <c r="BG621" i="26"/>
  <c r="BH621" i="26" s="1"/>
  <c r="AO621" i="26" s="1"/>
  <c r="BZ87" i="6"/>
  <c r="CA87" i="6" s="1"/>
  <c r="BZ539" i="6"/>
  <c r="CA539" i="6" s="1"/>
  <c r="BZ1266" i="6"/>
  <c r="CA1266" i="6" s="1"/>
  <c r="CB689" i="6"/>
  <c r="CC689" i="6" s="1"/>
  <c r="CB11" i="6"/>
  <c r="CC11" i="6" s="1"/>
  <c r="CB927" i="6"/>
  <c r="CC927" i="6" s="1"/>
  <c r="CB15" i="6"/>
  <c r="CC15" i="6" s="1"/>
  <c r="BI15" i="6" s="1"/>
  <c r="BZ854" i="6"/>
  <c r="CA854" i="6" s="1"/>
  <c r="CB813" i="6"/>
  <c r="CC813" i="6" s="1"/>
  <c r="BZ17" i="6"/>
  <c r="CA17" i="6" s="1"/>
  <c r="CB1083" i="6"/>
  <c r="CC1083" i="6" s="1"/>
  <c r="BZ747" i="6"/>
  <c r="CA747" i="6" s="1"/>
  <c r="CB773" i="6"/>
  <c r="CC773" i="6" s="1"/>
  <c r="CB1033" i="6"/>
  <c r="CC1033" i="6" s="1"/>
  <c r="BI1033" i="6" s="1"/>
  <c r="BZ729" i="6"/>
  <c r="CA729" i="6" s="1"/>
  <c r="CB369" i="6"/>
  <c r="CC369" i="6" s="1"/>
  <c r="BI369" i="6" s="1"/>
  <c r="CB1146" i="6"/>
  <c r="CC1146" i="6" s="1"/>
  <c r="BI1146" i="6" s="1"/>
  <c r="AQ1146" i="6" s="1"/>
  <c r="CB570" i="6"/>
  <c r="CC570" i="6" s="1"/>
  <c r="CB291" i="6"/>
  <c r="CC291" i="6" s="1"/>
  <c r="BI291" i="6" s="1"/>
  <c r="BZ292" i="6"/>
  <c r="CA292" i="6" s="1"/>
  <c r="CB189" i="6"/>
  <c r="CC189" i="6" s="1"/>
  <c r="BI189" i="6" s="1"/>
  <c r="CB259" i="6"/>
  <c r="CC259" i="6" s="1"/>
  <c r="BI259" i="6" s="1"/>
  <c r="CB1149" i="6"/>
  <c r="CC1149" i="6" s="1"/>
  <c r="BI1149" i="6" s="1"/>
  <c r="CB613" i="6"/>
  <c r="CC613" i="6" s="1"/>
  <c r="BI613" i="6" s="1"/>
  <c r="CB509" i="6"/>
  <c r="CC509" i="6" s="1"/>
  <c r="BI509" i="6" s="1"/>
  <c r="CB39" i="6"/>
  <c r="CC39" i="6" s="1"/>
  <c r="BI39" i="6" s="1"/>
  <c r="CB757" i="6"/>
  <c r="CC757" i="6" s="1"/>
  <c r="CB577" i="6"/>
  <c r="CC577" i="6" s="1"/>
  <c r="BZ650" i="6"/>
  <c r="CA650" i="6" s="1"/>
  <c r="BZ219" i="6"/>
  <c r="CA219" i="6" s="1"/>
  <c r="CB760" i="6"/>
  <c r="CC760" i="6" s="1"/>
  <c r="BZ991" i="6"/>
  <c r="CA991" i="6" s="1"/>
  <c r="BZ1230" i="6"/>
  <c r="CA1230" i="6" s="1"/>
  <c r="CB417" i="6"/>
  <c r="CC417" i="6" s="1"/>
  <c r="BI417" i="6" s="1"/>
  <c r="CB307" i="6"/>
  <c r="CC307" i="6" s="1"/>
  <c r="BI307" i="6" s="1"/>
  <c r="CB450" i="6"/>
  <c r="CC450" i="6" s="1"/>
  <c r="BI450" i="6" s="1"/>
  <c r="CB699" i="6"/>
  <c r="CC699" i="6" s="1"/>
  <c r="BI699" i="6" s="1"/>
  <c r="CB303" i="6"/>
  <c r="CC303" i="6" s="1"/>
  <c r="BI303" i="6" s="1"/>
  <c r="CB125" i="6"/>
  <c r="CC125" i="6" s="1"/>
  <c r="BI125" i="6" s="1"/>
  <c r="CB480" i="6"/>
  <c r="CC480" i="6" s="1"/>
  <c r="BI480" i="6" s="1"/>
  <c r="CB1260" i="6"/>
  <c r="CC1260" i="6" s="1"/>
  <c r="BI1260" i="6" s="1"/>
  <c r="CB181" i="6"/>
  <c r="CC181" i="6" s="1"/>
  <c r="BI181" i="6" s="1"/>
  <c r="CB1186" i="6"/>
  <c r="CC1186" i="6" s="1"/>
  <c r="BI1186" i="6" s="1"/>
  <c r="BZ619" i="6"/>
  <c r="CA619" i="6" s="1"/>
  <c r="BZ159" i="6"/>
  <c r="CA159" i="6" s="1"/>
  <c r="CB817" i="6"/>
  <c r="CC817" i="6" s="1"/>
  <c r="CB483" i="6"/>
  <c r="CC483" i="6" s="1"/>
  <c r="BI49" i="26"/>
  <c r="BJ49" i="26" s="1"/>
  <c r="AP49" i="26" s="1"/>
  <c r="CB381" i="6"/>
  <c r="CC381" i="6" s="1"/>
  <c r="BI381" i="6" s="1"/>
  <c r="CB143" i="6"/>
  <c r="CC143" i="6" s="1"/>
  <c r="BI143" i="6" s="1"/>
  <c r="CB276" i="6"/>
  <c r="CC276" i="6" s="1"/>
  <c r="BZ637" i="6"/>
  <c r="CA637" i="6" s="1"/>
  <c r="CB637" i="6"/>
  <c r="CC637" i="6" s="1"/>
  <c r="BI637" i="6" s="1"/>
  <c r="BZ1241" i="6"/>
  <c r="CA1241" i="6" s="1"/>
  <c r="CB1241" i="6"/>
  <c r="CC1241" i="6" s="1"/>
  <c r="BI1241" i="6" s="1"/>
  <c r="BZ1242" i="6"/>
  <c r="CA1242" i="6" s="1"/>
  <c r="CB1242" i="6"/>
  <c r="CC1242" i="6" s="1"/>
  <c r="BI1242" i="6" s="1"/>
  <c r="BZ634" i="6"/>
  <c r="CA634" i="6" s="1"/>
  <c r="CB634" i="6"/>
  <c r="CC634" i="6" s="1"/>
  <c r="BI634" i="6" s="1"/>
  <c r="BZ635" i="6"/>
  <c r="CA635" i="6" s="1"/>
  <c r="BI53" i="26"/>
  <c r="BJ53" i="26" s="1"/>
  <c r="AP53" i="26" s="1"/>
  <c r="BI30" i="26"/>
  <c r="BJ30" i="26" s="1"/>
  <c r="AP30" i="26" s="1"/>
  <c r="CB275" i="6"/>
  <c r="CC275" i="6" s="1"/>
  <c r="CB274" i="6"/>
  <c r="CC274" i="6" s="1"/>
  <c r="BZ1243" i="6"/>
  <c r="CA1243" i="6" s="1"/>
  <c r="CB1243" i="6"/>
  <c r="CC1243" i="6" s="1"/>
  <c r="BI1243" i="6" s="1"/>
  <c r="AQ1243" i="6" s="1"/>
  <c r="BG54" i="26"/>
  <c r="BH54" i="26" s="1"/>
  <c r="AO54" i="26" s="1"/>
  <c r="CB636" i="6"/>
  <c r="CC636" i="6" s="1"/>
  <c r="BI636" i="6" s="1"/>
  <c r="CB1240" i="6"/>
  <c r="CC1240" i="6" s="1"/>
  <c r="BI1240" i="6" s="1"/>
  <c r="BZ1240" i="6"/>
  <c r="CA1240" i="6" s="1"/>
  <c r="BI51" i="26"/>
  <c r="BJ51" i="26" s="1"/>
  <c r="AP51" i="26" s="1"/>
  <c r="BZ633" i="6"/>
  <c r="CA633" i="6" s="1"/>
  <c r="CB635" i="6" l="1"/>
  <c r="CC635" i="6" s="1"/>
  <c r="BI635" i="6" s="1"/>
  <c r="AS635" i="6" s="1"/>
  <c r="BI29" i="26"/>
  <c r="BJ29" i="26" s="1"/>
  <c r="AP29" i="26" s="1"/>
  <c r="BI55" i="26"/>
  <c r="BJ55" i="26" s="1"/>
  <c r="AP55" i="26" s="1"/>
  <c r="BI52" i="26"/>
  <c r="BJ52" i="26" s="1"/>
  <c r="AP52" i="26" s="1"/>
  <c r="AQ1240" i="6"/>
  <c r="AS1240" i="6"/>
  <c r="AQ636" i="6"/>
  <c r="AS636" i="6"/>
  <c r="AS1243" i="6"/>
  <c r="AQ1242" i="6"/>
  <c r="AS1242" i="6"/>
  <c r="AQ634" i="6"/>
  <c r="AS634" i="6"/>
  <c r="AS1241" i="6"/>
  <c r="AQ1241" i="6"/>
  <c r="AQ637" i="6"/>
  <c r="AS637" i="6"/>
  <c r="AQ215" i="6"/>
  <c r="AS215" i="6"/>
  <c r="AA804" i="26"/>
  <c r="AB804" i="26"/>
  <c r="AQ1044" i="6"/>
  <c r="AS1044" i="6"/>
  <c r="AB135" i="26"/>
  <c r="AA135" i="26"/>
  <c r="AB134" i="26"/>
  <c r="AA134" i="26"/>
  <c r="AS10" i="6"/>
  <c r="AQ10" i="6"/>
  <c r="AR717" i="6"/>
  <c r="AQ717" i="6"/>
  <c r="AA41" i="26"/>
  <c r="AB41" i="26"/>
  <c r="BZ636" i="6"/>
  <c r="CA636" i="6" s="1"/>
  <c r="AS421" i="6"/>
  <c r="AQ421" i="6"/>
  <c r="AS1030" i="6"/>
  <c r="AQ1030" i="6"/>
  <c r="AQ978" i="6"/>
  <c r="AS978" i="6"/>
  <c r="AQ1051" i="6"/>
  <c r="AS1051" i="6"/>
  <c r="AQ960" i="6"/>
  <c r="AS960" i="6"/>
  <c r="AS915" i="6"/>
  <c r="AQ915" i="6"/>
  <c r="AQ653" i="6"/>
  <c r="AS653" i="6"/>
  <c r="AB101" i="26"/>
  <c r="AA101" i="26"/>
  <c r="AS418" i="6"/>
  <c r="AQ418" i="6"/>
  <c r="AS534" i="6"/>
  <c r="AQ534" i="6"/>
  <c r="AQ975" i="6"/>
  <c r="AS975" i="6"/>
  <c r="AQ583" i="6"/>
  <c r="AS583" i="6"/>
  <c r="AR1131" i="6"/>
  <c r="AQ1131" i="6"/>
  <c r="AS1018" i="6"/>
  <c r="AQ1018" i="6"/>
  <c r="AB522" i="26"/>
  <c r="AA522" i="26"/>
  <c r="AA394" i="26"/>
  <c r="AB394" i="26"/>
  <c r="AA190" i="26"/>
  <c r="AB190" i="26"/>
  <c r="AA244" i="26"/>
  <c r="AB244" i="26"/>
  <c r="AA132" i="26"/>
  <c r="AB132" i="26"/>
  <c r="AB303" i="26"/>
  <c r="AA303" i="26"/>
  <c r="AQ600" i="6"/>
  <c r="AR600" i="6"/>
  <c r="AB140" i="26"/>
  <c r="AA140" i="26"/>
  <c r="AB213" i="26"/>
  <c r="AA213" i="26"/>
  <c r="AB164" i="26"/>
  <c r="AA164" i="26"/>
  <c r="AA313" i="26"/>
  <c r="AB313" i="26"/>
  <c r="AQ220" i="6"/>
  <c r="AR220" i="6"/>
  <c r="AB714" i="26"/>
  <c r="AA714" i="26"/>
  <c r="AQ976" i="6"/>
  <c r="AS976" i="6"/>
  <c r="AR223" i="6"/>
  <c r="AQ223" i="6"/>
  <c r="AR318" i="6"/>
  <c r="AQ318" i="6"/>
  <c r="AB1140" i="26"/>
  <c r="AA1140" i="26"/>
  <c r="AS916" i="6"/>
  <c r="AQ916" i="6"/>
  <c r="AB1110" i="26"/>
  <c r="AA1110" i="26"/>
  <c r="AQ408" i="6"/>
  <c r="AR408" i="6"/>
  <c r="AB772" i="26"/>
  <c r="AA772" i="26"/>
  <c r="AB112" i="26"/>
  <c r="AA112" i="26"/>
  <c r="AB103" i="26"/>
  <c r="AA103" i="26"/>
  <c r="AA79" i="26"/>
  <c r="AB79" i="26"/>
  <c r="AA114" i="26"/>
  <c r="AB114" i="26"/>
  <c r="AB1225" i="26"/>
  <c r="AA1225" i="26"/>
  <c r="AB305" i="26"/>
  <c r="AA305" i="26"/>
  <c r="AB1047" i="26"/>
  <c r="AA1047" i="26"/>
  <c r="AB1078" i="26"/>
  <c r="AA1078" i="26"/>
  <c r="AA1104" i="26"/>
  <c r="AB1104" i="26"/>
  <c r="AB1111" i="26"/>
  <c r="AA1111" i="26"/>
  <c r="AA207" i="26"/>
  <c r="AB207" i="26"/>
  <c r="AB955" i="26"/>
  <c r="AA955" i="26"/>
  <c r="BG51" i="26"/>
  <c r="BH51" i="26" s="1"/>
  <c r="AO51" i="26" s="1"/>
  <c r="AS1186" i="6"/>
  <c r="AQ1186" i="6"/>
  <c r="AQ63" i="6"/>
  <c r="AS63" i="6"/>
  <c r="AQ1180" i="6"/>
  <c r="AS1180" i="6"/>
  <c r="AQ649" i="6"/>
  <c r="AS649" i="6"/>
  <c r="AS1039" i="6"/>
  <c r="AQ1039" i="6"/>
  <c r="AB201" i="26"/>
  <c r="AA201" i="26"/>
  <c r="AQ1192" i="6"/>
  <c r="AS1192" i="6"/>
  <c r="AQ703" i="6"/>
  <c r="AR703" i="6"/>
  <c r="AQ1159" i="6"/>
  <c r="AS1159" i="6"/>
  <c r="AS655" i="6"/>
  <c r="AQ655" i="6"/>
  <c r="AS870" i="6"/>
  <c r="AQ870" i="6"/>
  <c r="AS991" i="6"/>
  <c r="AQ991" i="6"/>
  <c r="AQ808" i="6"/>
  <c r="AR808" i="6"/>
  <c r="AQ1065" i="6"/>
  <c r="AS1065" i="6"/>
  <c r="AQ532" i="6"/>
  <c r="AS532" i="6"/>
  <c r="AQ858" i="6"/>
  <c r="AS858" i="6"/>
  <c r="AB43" i="26"/>
  <c r="AA43" i="26"/>
  <c r="AQ378" i="6"/>
  <c r="AS378" i="6"/>
  <c r="AQ718" i="6"/>
  <c r="AR718" i="6"/>
  <c r="AQ643" i="6"/>
  <c r="AS643" i="6"/>
  <c r="AA65" i="26"/>
  <c r="AB65" i="26"/>
  <c r="AQ1041" i="6"/>
  <c r="AS1041" i="6"/>
  <c r="AQ1212" i="6"/>
  <c r="AS1212" i="6"/>
  <c r="AB136" i="26"/>
  <c r="AA136" i="26"/>
  <c r="AQ990" i="6"/>
  <c r="AS990" i="6"/>
  <c r="AQ1150" i="6"/>
  <c r="AS1150" i="6"/>
  <c r="AR222" i="6"/>
  <c r="AQ222" i="6"/>
  <c r="AQ205" i="6"/>
  <c r="AR205" i="6"/>
  <c r="AS27" i="6"/>
  <c r="AQ27" i="6"/>
  <c r="AQ1218" i="6"/>
  <c r="AS1218" i="6"/>
  <c r="AQ640" i="6"/>
  <c r="AS640" i="6"/>
  <c r="AB306" i="26"/>
  <c r="AA306" i="26"/>
  <c r="AB90" i="26"/>
  <c r="AA90" i="26"/>
  <c r="AA163" i="26"/>
  <c r="AB163" i="26"/>
  <c r="AA1137" i="26"/>
  <c r="AB1137" i="26"/>
  <c r="AB445" i="26"/>
  <c r="AA445" i="26"/>
  <c r="AQ213" i="6"/>
  <c r="AS213" i="6"/>
  <c r="AS1158" i="6"/>
  <c r="AQ1158" i="6"/>
  <c r="AA168" i="26"/>
  <c r="AB168" i="26"/>
  <c r="AB225" i="26"/>
  <c r="AA225" i="26"/>
  <c r="AQ724" i="6"/>
  <c r="AS724" i="6"/>
  <c r="AA36" i="26"/>
  <c r="AB36" i="26"/>
  <c r="AQ304" i="6"/>
  <c r="AR304" i="6"/>
  <c r="AR982" i="6"/>
  <c r="AQ982" i="6"/>
  <c r="AS1078" i="6"/>
  <c r="AQ1078" i="6"/>
  <c r="AA133" i="26"/>
  <c r="AB133" i="26"/>
  <c r="AB355" i="26"/>
  <c r="AA355" i="26"/>
  <c r="AB72" i="26"/>
  <c r="AA72" i="26"/>
  <c r="AA622" i="26"/>
  <c r="AB622" i="26"/>
  <c r="AB176" i="26"/>
  <c r="AA176" i="26"/>
  <c r="AB177" i="26"/>
  <c r="AA177" i="26"/>
  <c r="AA100" i="26"/>
  <c r="AB100" i="26"/>
  <c r="AA199" i="26"/>
  <c r="AB199" i="26"/>
  <c r="AA1213" i="26"/>
  <c r="AB1213" i="26"/>
  <c r="AB84" i="26"/>
  <c r="AA84" i="26"/>
  <c r="AB975" i="26"/>
  <c r="AA975" i="26"/>
  <c r="AA774" i="26"/>
  <c r="AB774" i="26"/>
  <c r="AA189" i="26"/>
  <c r="AB189" i="26"/>
  <c r="AA1168" i="26"/>
  <c r="AB1168" i="26"/>
  <c r="AA1091" i="26"/>
  <c r="AB1091" i="26"/>
  <c r="AA612" i="26"/>
  <c r="AB612" i="26"/>
  <c r="AB1102" i="26"/>
  <c r="AA1102" i="26"/>
  <c r="AB1086" i="26"/>
  <c r="AA1086" i="26"/>
  <c r="CB633" i="6"/>
  <c r="CC633" i="6" s="1"/>
  <c r="BI633" i="6" s="1"/>
  <c r="AQ417" i="6"/>
  <c r="AS417" i="6"/>
  <c r="AA205" i="26"/>
  <c r="AB205" i="26"/>
  <c r="AS964" i="6"/>
  <c r="AQ964" i="6"/>
  <c r="AA466" i="26"/>
  <c r="AB466" i="26"/>
  <c r="AS1023" i="6"/>
  <c r="AQ1023" i="6"/>
  <c r="AQ1063" i="6"/>
  <c r="AS1063" i="6"/>
  <c r="AS1249" i="6"/>
  <c r="AQ1249" i="6"/>
  <c r="AQ802" i="6"/>
  <c r="AS802" i="6"/>
  <c r="AQ979" i="6"/>
  <c r="AS979" i="6"/>
  <c r="AQ621" i="6"/>
  <c r="AS621" i="6"/>
  <c r="AA60" i="26"/>
  <c r="AB60" i="26"/>
  <c r="AQ64" i="6"/>
  <c r="AS64" i="6"/>
  <c r="AQ1045" i="6"/>
  <c r="AS1045" i="6"/>
  <c r="AQ535" i="6"/>
  <c r="AS535" i="6"/>
  <c r="BI28" i="26"/>
  <c r="BJ28" i="26" s="1"/>
  <c r="AP28" i="26" s="1"/>
  <c r="AS969" i="6"/>
  <c r="AQ969" i="6"/>
  <c r="AS1174" i="6"/>
  <c r="AQ1174" i="6"/>
  <c r="AS1021" i="6"/>
  <c r="AQ1021" i="6"/>
  <c r="AB211" i="26"/>
  <c r="AA211" i="26"/>
  <c r="AQ805" i="6"/>
  <c r="AS805" i="6"/>
  <c r="AS647" i="6"/>
  <c r="AQ647" i="6"/>
  <c r="AQ1026" i="6"/>
  <c r="AS1026" i="6"/>
  <c r="AB354" i="26"/>
  <c r="AA354" i="26"/>
  <c r="AA63" i="26"/>
  <c r="AB63" i="26"/>
  <c r="AA186" i="26"/>
  <c r="AB186" i="26"/>
  <c r="AA1218" i="26"/>
  <c r="AB1218" i="26"/>
  <c r="AA307" i="26"/>
  <c r="AB307" i="26"/>
  <c r="AB352" i="26"/>
  <c r="AA352" i="26"/>
  <c r="AR738" i="6"/>
  <c r="AQ738" i="6"/>
  <c r="AB102" i="26"/>
  <c r="AA102" i="26"/>
  <c r="AB223" i="26"/>
  <c r="AA223" i="26"/>
  <c r="AA99" i="26"/>
  <c r="AB99" i="26"/>
  <c r="AQ1152" i="6"/>
  <c r="AS1152" i="6"/>
  <c r="AB96" i="26"/>
  <c r="AA96" i="26"/>
  <c r="AB1084" i="26"/>
  <c r="AA1084" i="26"/>
  <c r="AB1216" i="26"/>
  <c r="AA1216" i="26"/>
  <c r="AA397" i="26"/>
  <c r="AB397" i="26"/>
  <c r="AA756" i="26"/>
  <c r="AB756" i="26"/>
  <c r="AB888" i="26"/>
  <c r="AA888" i="26"/>
  <c r="AB94" i="26"/>
  <c r="AA94" i="26"/>
  <c r="AB760" i="26"/>
  <c r="AA760" i="26"/>
  <c r="AQ601" i="6"/>
  <c r="AR601" i="6"/>
  <c r="AA274" i="26"/>
  <c r="AB274" i="26"/>
  <c r="AR562" i="6"/>
  <c r="AQ562" i="6"/>
  <c r="AQ604" i="6"/>
  <c r="AS604" i="6"/>
  <c r="AA142" i="26"/>
  <c r="AB142" i="26"/>
  <c r="AQ310" i="6"/>
  <c r="AR310" i="6"/>
  <c r="AA208" i="26"/>
  <c r="AB208" i="26"/>
  <c r="AB762" i="26"/>
  <c r="AA762" i="26"/>
  <c r="AB187" i="26"/>
  <c r="AA187" i="26"/>
  <c r="AB1096" i="26"/>
  <c r="AA1096" i="26"/>
  <c r="AB180" i="26"/>
  <c r="AA180" i="26"/>
  <c r="AA1182" i="26"/>
  <c r="AB1182" i="26"/>
  <c r="AA654" i="26"/>
  <c r="AB654" i="26"/>
  <c r="AA1080" i="26"/>
  <c r="AB1080" i="26"/>
  <c r="AB1200" i="26"/>
  <c r="AA1200" i="26"/>
  <c r="AA1167" i="26"/>
  <c r="AB1167" i="26"/>
  <c r="AA550" i="26"/>
  <c r="AB550" i="26"/>
  <c r="AA1074" i="26"/>
  <c r="AB1074" i="26"/>
  <c r="AB712" i="26"/>
  <c r="AA712" i="26"/>
  <c r="AB1062" i="26"/>
  <c r="AA1062" i="26"/>
  <c r="AA867" i="26"/>
  <c r="AB867" i="26"/>
  <c r="AB1224" i="26"/>
  <c r="AA1224" i="26"/>
  <c r="AB1099" i="26"/>
  <c r="AA1099" i="26"/>
  <c r="BG55" i="26"/>
  <c r="BH55" i="26" s="1"/>
  <c r="AO55" i="26" s="1"/>
  <c r="AQ37" i="6"/>
  <c r="AS37" i="6"/>
  <c r="AA109" i="26"/>
  <c r="AB109" i="26"/>
  <c r="AS963" i="6"/>
  <c r="AQ963" i="6"/>
  <c r="AR849" i="6"/>
  <c r="AQ849" i="6"/>
  <c r="AQ895" i="6"/>
  <c r="AS895" i="6"/>
  <c r="AA468" i="26"/>
  <c r="AB468" i="26"/>
  <c r="AS214" i="6"/>
  <c r="AQ214" i="6"/>
  <c r="AS651" i="6"/>
  <c r="AQ651" i="6"/>
  <c r="AS873" i="6"/>
  <c r="AQ873" i="6"/>
  <c r="AB463" i="26"/>
  <c r="AA463" i="26"/>
  <c r="AQ1182" i="6"/>
  <c r="AS1182" i="6"/>
  <c r="AA82" i="26"/>
  <c r="AB82" i="26"/>
  <c r="AQ217" i="6"/>
  <c r="AS217" i="6"/>
  <c r="AQ972" i="6"/>
  <c r="AS972" i="6"/>
  <c r="AS1066" i="6"/>
  <c r="AQ1066" i="6"/>
  <c r="AB730" i="26"/>
  <c r="AA730" i="26"/>
  <c r="AB697" i="26"/>
  <c r="AA697" i="26"/>
  <c r="AQ1075" i="6"/>
  <c r="AS1075" i="6"/>
  <c r="AQ612" i="6"/>
  <c r="AR612" i="6"/>
  <c r="AA58" i="26"/>
  <c r="AB58" i="26"/>
  <c r="AQ88" i="6"/>
  <c r="AR88" i="6"/>
  <c r="AR819" i="6"/>
  <c r="AQ819" i="6"/>
  <c r="AQ439" i="6"/>
  <c r="AS439" i="6"/>
  <c r="AS25" i="6"/>
  <c r="AQ25" i="6"/>
  <c r="AS966" i="6"/>
  <c r="AQ966" i="6"/>
  <c r="AS1060" i="6"/>
  <c r="AQ1060" i="6"/>
  <c r="AA42" i="26"/>
  <c r="AB42" i="26"/>
  <c r="AS658" i="6"/>
  <c r="AQ658" i="6"/>
  <c r="AS623" i="6"/>
  <c r="AQ623" i="6"/>
  <c r="AR240" i="6"/>
  <c r="AQ240" i="6"/>
  <c r="AQ1074" i="6"/>
  <c r="AS1074" i="6"/>
  <c r="AB696" i="26"/>
  <c r="AA696" i="26"/>
  <c r="AA678" i="26"/>
  <c r="AB678" i="26"/>
  <c r="AS1080" i="6"/>
  <c r="AQ1080" i="6"/>
  <c r="AS1167" i="6"/>
  <c r="AQ1167" i="6"/>
  <c r="AA153" i="26"/>
  <c r="AB153" i="26"/>
  <c r="AB216" i="26"/>
  <c r="AA216" i="26"/>
  <c r="AA240" i="26"/>
  <c r="AB240" i="26"/>
  <c r="AS730" i="6"/>
  <c r="AQ730" i="6"/>
  <c r="AB474" i="26"/>
  <c r="AA474" i="26"/>
  <c r="AS988" i="6"/>
  <c r="AQ988" i="6"/>
  <c r="AB234" i="26"/>
  <c r="AA234" i="26"/>
  <c r="AA471" i="26"/>
  <c r="AB471" i="26"/>
  <c r="AB12" i="26"/>
  <c r="AA12" i="26"/>
  <c r="AA172" i="26"/>
  <c r="AB172" i="26"/>
  <c r="AB66" i="26"/>
  <c r="AA66" i="26"/>
  <c r="AB162" i="26"/>
  <c r="AA162" i="26"/>
  <c r="AB312" i="26"/>
  <c r="AA312" i="26"/>
  <c r="AQ66" i="6"/>
  <c r="AS66" i="6"/>
  <c r="AA73" i="26"/>
  <c r="AB73" i="26"/>
  <c r="AB1093" i="26"/>
  <c r="AA1093" i="26"/>
  <c r="AA1048" i="26"/>
  <c r="AB1048" i="26"/>
  <c r="AA396" i="26"/>
  <c r="AB396" i="26"/>
  <c r="AB957" i="26"/>
  <c r="AA957" i="26"/>
  <c r="AA165" i="26"/>
  <c r="AB165" i="26"/>
  <c r="AA754" i="26"/>
  <c r="AB754" i="26"/>
  <c r="AB210" i="26"/>
  <c r="AA210" i="26"/>
  <c r="AA472" i="26"/>
  <c r="AB472" i="26"/>
  <c r="AB64" i="26"/>
  <c r="AA64" i="26"/>
  <c r="AA1050" i="26"/>
  <c r="AB1050" i="26"/>
  <c r="AA1144" i="26"/>
  <c r="AB1144" i="26"/>
  <c r="AQ996" i="6"/>
  <c r="AR996" i="6"/>
  <c r="AB1192" i="26"/>
  <c r="AA1192" i="26"/>
  <c r="AB1170" i="26"/>
  <c r="AA1170" i="26"/>
  <c r="AA1119" i="26"/>
  <c r="AB1119" i="26"/>
  <c r="AB1135" i="26"/>
  <c r="AA1135" i="26"/>
  <c r="AA1198" i="26"/>
  <c r="AB1198" i="26"/>
  <c r="AB1134" i="26"/>
  <c r="AA1134" i="26"/>
  <c r="AA576" i="26"/>
  <c r="AB576" i="26"/>
  <c r="AA1150" i="26"/>
  <c r="AB1150" i="26"/>
  <c r="BG52" i="26"/>
  <c r="BH52" i="26" s="1"/>
  <c r="AO52" i="26" s="1"/>
  <c r="AA49" i="26"/>
  <c r="AB49" i="26"/>
  <c r="AR613" i="6"/>
  <c r="AQ613" i="6"/>
  <c r="AS1209" i="6"/>
  <c r="AQ1209" i="6"/>
  <c r="AS31" i="6"/>
  <c r="AQ31" i="6"/>
  <c r="AB10" i="26"/>
  <c r="AA10" i="26"/>
  <c r="AB171" i="26"/>
  <c r="AA171" i="26"/>
  <c r="AQ1072" i="6"/>
  <c r="AS1072" i="6"/>
  <c r="AQ987" i="6"/>
  <c r="AS987" i="6"/>
  <c r="AQ1210" i="6"/>
  <c r="AS1210" i="6"/>
  <c r="AQ942" i="6"/>
  <c r="AR942" i="6"/>
  <c r="AS537" i="6"/>
  <c r="AQ537" i="6"/>
  <c r="AS727" i="6"/>
  <c r="AQ727" i="6"/>
  <c r="AS426" i="6"/>
  <c r="AQ426" i="6"/>
  <c r="AQ420" i="6"/>
  <c r="AS420" i="6"/>
  <c r="AS1219" i="6"/>
  <c r="AQ1219" i="6"/>
  <c r="AQ891" i="6"/>
  <c r="AS891" i="6"/>
  <c r="AQ435" i="6"/>
  <c r="AS435" i="6"/>
  <c r="AQ1068" i="6"/>
  <c r="AS1068" i="6"/>
  <c r="AQ1042" i="6"/>
  <c r="AS1042" i="6"/>
  <c r="AS641" i="6"/>
  <c r="AQ641" i="6"/>
  <c r="AB462" i="26"/>
  <c r="AA462" i="26"/>
  <c r="AQ424" i="6"/>
  <c r="AS424" i="6"/>
  <c r="AB192" i="26"/>
  <c r="AA192" i="26"/>
  <c r="AQ624" i="6"/>
  <c r="AS624" i="6"/>
  <c r="AS1020" i="6"/>
  <c r="AQ1020" i="6"/>
  <c r="AQ606" i="6"/>
  <c r="AS606" i="6"/>
  <c r="AQ216" i="6"/>
  <c r="AS216" i="6"/>
  <c r="AQ204" i="6"/>
  <c r="AR204" i="6"/>
  <c r="AQ1048" i="6"/>
  <c r="AS1048" i="6"/>
  <c r="AQ645" i="6"/>
  <c r="AS645" i="6"/>
  <c r="AR610" i="6"/>
  <c r="AQ610" i="6"/>
  <c r="AA226" i="26"/>
  <c r="AB226" i="26"/>
  <c r="AA954" i="26"/>
  <c r="AB954" i="26"/>
  <c r="AB694" i="26"/>
  <c r="AA694" i="26"/>
  <c r="AB237" i="26"/>
  <c r="AA237" i="26"/>
  <c r="AB111" i="26"/>
  <c r="AA111" i="26"/>
  <c r="AS1206" i="6"/>
  <c r="AQ1206" i="6"/>
  <c r="AQ36" i="6"/>
  <c r="AS36" i="6"/>
  <c r="AB170" i="26"/>
  <c r="AA170" i="26"/>
  <c r="AS34" i="6"/>
  <c r="AQ34" i="6"/>
  <c r="AB87" i="26"/>
  <c r="AA87" i="26"/>
  <c r="AB127" i="26"/>
  <c r="AA127" i="26"/>
  <c r="AB166" i="26"/>
  <c r="AA166" i="26"/>
  <c r="AA97" i="26"/>
  <c r="AB97" i="26"/>
  <c r="AB139" i="26"/>
  <c r="AA139" i="26"/>
  <c r="AB1131" i="26"/>
  <c r="AA1131" i="26"/>
  <c r="AA106" i="26"/>
  <c r="AB106" i="26"/>
  <c r="AA235" i="26"/>
  <c r="AB235" i="26"/>
  <c r="AQ652" i="6"/>
  <c r="AS652" i="6"/>
  <c r="AA224" i="26"/>
  <c r="AB224" i="26"/>
  <c r="AB979" i="26"/>
  <c r="AA979" i="26"/>
  <c r="AB666" i="26"/>
  <c r="AA666" i="26"/>
  <c r="AB1152" i="26"/>
  <c r="AA1152" i="26"/>
  <c r="AA169" i="26"/>
  <c r="AB169" i="26"/>
  <c r="AB652" i="26"/>
  <c r="AA652" i="26"/>
  <c r="AS732" i="6"/>
  <c r="AQ732" i="6"/>
  <c r="AA900" i="26"/>
  <c r="AB900" i="26"/>
  <c r="AA1180" i="26"/>
  <c r="AB1180" i="26"/>
  <c r="AA952" i="26"/>
  <c r="AB952" i="26"/>
  <c r="AA1158" i="26"/>
  <c r="AB1158" i="26"/>
  <c r="AB1068" i="26"/>
  <c r="AA1068" i="26"/>
  <c r="AA1194" i="26"/>
  <c r="AB1194" i="26"/>
  <c r="BG53" i="26"/>
  <c r="BH53" i="26" s="1"/>
  <c r="AO53" i="26" s="1"/>
  <c r="AQ1149" i="6"/>
  <c r="AS1149" i="6"/>
  <c r="AA243" i="26"/>
  <c r="AB243" i="26"/>
  <c r="AB45" i="26"/>
  <c r="AA45" i="26"/>
  <c r="AQ234" i="6"/>
  <c r="AR234" i="6"/>
  <c r="AS726" i="6"/>
  <c r="AQ726" i="6"/>
  <c r="BI54" i="26"/>
  <c r="BJ54" i="26" s="1"/>
  <c r="AP54" i="26" s="1"/>
  <c r="AQ850" i="6"/>
  <c r="AS850" i="6"/>
  <c r="AS1162" i="6"/>
  <c r="AQ1162" i="6"/>
  <c r="AQ33" i="6"/>
  <c r="AS33" i="6"/>
  <c r="AQ1171" i="6"/>
  <c r="AS1171" i="6"/>
  <c r="AB57" i="26"/>
  <c r="AA57" i="26"/>
  <c r="AB219" i="26"/>
  <c r="AA219" i="26"/>
  <c r="AQ804" i="6"/>
  <c r="AS804" i="6"/>
  <c r="AS1194" i="6"/>
  <c r="AQ1194" i="6"/>
  <c r="AA183" i="26"/>
  <c r="AB183" i="26"/>
  <c r="AR528" i="6"/>
  <c r="AQ528" i="6"/>
  <c r="AS1216" i="6"/>
  <c r="AQ1216" i="6"/>
  <c r="AQ1035" i="6"/>
  <c r="AS1035" i="6"/>
  <c r="AS967" i="6"/>
  <c r="AQ967" i="6"/>
  <c r="AQ1029" i="6"/>
  <c r="AS1029" i="6"/>
  <c r="AS1156" i="6"/>
  <c r="AQ1156" i="6"/>
  <c r="AB34" i="26"/>
  <c r="AA34" i="26"/>
  <c r="AB552" i="26"/>
  <c r="AA552" i="26"/>
  <c r="AR202" i="6"/>
  <c r="AQ202" i="6"/>
  <c r="AS1077" i="6"/>
  <c r="AQ1077" i="6"/>
  <c r="AB47" i="26"/>
  <c r="AA47" i="26"/>
  <c r="AR989" i="6"/>
  <c r="AQ989" i="6"/>
  <c r="AQ1081" i="6"/>
  <c r="AS1081" i="6"/>
  <c r="AA624" i="26"/>
  <c r="AB624" i="26"/>
  <c r="AA206" i="26"/>
  <c r="AB206" i="26"/>
  <c r="AQ961" i="6"/>
  <c r="AS961" i="6"/>
  <c r="AQ642" i="6"/>
  <c r="AS642" i="6"/>
  <c r="AA241" i="26"/>
  <c r="AB241" i="26"/>
  <c r="AB457" i="26"/>
  <c r="AA457" i="26"/>
  <c r="AB393" i="26"/>
  <c r="AA393" i="26"/>
  <c r="AA196" i="26"/>
  <c r="AB196" i="26"/>
  <c r="AB720" i="26"/>
  <c r="AA720" i="26"/>
  <c r="AA85" i="26"/>
  <c r="AB85" i="26"/>
  <c r="AQ580" i="6"/>
  <c r="AS580" i="6"/>
  <c r="AB441" i="26"/>
  <c r="AA441" i="26"/>
  <c r="AQ994" i="6"/>
  <c r="AR994" i="6"/>
  <c r="AB444" i="26"/>
  <c r="AA444" i="26"/>
  <c r="AB61" i="26"/>
  <c r="AA61" i="26"/>
  <c r="AQ984" i="6"/>
  <c r="AR984" i="6"/>
  <c r="AA570" i="26"/>
  <c r="AB570" i="26"/>
  <c r="AA193" i="26"/>
  <c r="AB193" i="26"/>
  <c r="AA636" i="26"/>
  <c r="AB636" i="26"/>
  <c r="AB682" i="26"/>
  <c r="AA682" i="26"/>
  <c r="AA76" i="26"/>
  <c r="AB76" i="26"/>
  <c r="AA744" i="26"/>
  <c r="AB744" i="26"/>
  <c r="AA1212" i="26"/>
  <c r="AB1212" i="26"/>
  <c r="AA1138" i="26"/>
  <c r="AB1138" i="26"/>
  <c r="AB1114" i="26"/>
  <c r="AA1114" i="26"/>
  <c r="AB960" i="26"/>
  <c r="AA960" i="26"/>
  <c r="AB1204" i="26"/>
  <c r="AA1204" i="26"/>
  <c r="AB1089" i="26"/>
  <c r="AA1089" i="26"/>
  <c r="AA1024" i="26"/>
  <c r="AB1024" i="26"/>
  <c r="AB1044" i="26"/>
  <c r="AA1044" i="26"/>
  <c r="AA1113" i="26"/>
  <c r="AB1113" i="26"/>
  <c r="AQ936" i="6"/>
  <c r="AS936" i="6"/>
  <c r="AQ1067" i="6"/>
  <c r="AS1067" i="6"/>
  <c r="AQ228" i="6"/>
  <c r="AR228" i="6"/>
  <c r="AR694" i="6"/>
  <c r="AQ694" i="6"/>
  <c r="AS412" i="6"/>
  <c r="AQ412" i="6"/>
  <c r="AQ1213" i="6"/>
  <c r="AS1213" i="6"/>
  <c r="AQ622" i="6"/>
  <c r="AS622" i="6"/>
  <c r="AQ1036" i="6"/>
  <c r="AS1036" i="6"/>
  <c r="AA286" i="26"/>
  <c r="AB286" i="26"/>
  <c r="AS654" i="6"/>
  <c r="AQ654" i="6"/>
  <c r="AQ124" i="6"/>
  <c r="AR124" i="6"/>
  <c r="AA37" i="26"/>
  <c r="AB37" i="26"/>
  <c r="AA144" i="26"/>
  <c r="AB144" i="26"/>
  <c r="BJ238" i="26"/>
  <c r="AP238" i="26"/>
  <c r="AQ1155" i="6"/>
  <c r="AS1155" i="6"/>
  <c r="AQ1032" i="6"/>
  <c r="AS1032" i="6"/>
  <c r="AA40" i="26"/>
  <c r="AB40" i="26"/>
  <c r="AS1024" i="6"/>
  <c r="AQ1024" i="6"/>
  <c r="AQ660" i="6"/>
  <c r="AS660" i="6"/>
  <c r="AQ1204" i="6"/>
  <c r="AS1204" i="6"/>
  <c r="AQ648" i="6"/>
  <c r="AS648" i="6"/>
  <c r="AQ1168" i="6"/>
  <c r="AS1168" i="6"/>
  <c r="AQ582" i="6"/>
  <c r="AS582" i="6"/>
  <c r="AQ702" i="6"/>
  <c r="AR702" i="6"/>
  <c r="AB174" i="26"/>
  <c r="AA174" i="26"/>
  <c r="AR564" i="6"/>
  <c r="AQ564" i="6"/>
  <c r="AB70" i="26"/>
  <c r="AA70" i="26"/>
  <c r="AB124" i="26"/>
  <c r="AA124" i="26"/>
  <c r="AR940" i="6"/>
  <c r="AQ940" i="6"/>
  <c r="AQ312" i="6"/>
  <c r="AR312" i="6"/>
  <c r="AB370" i="26"/>
  <c r="AA370" i="26"/>
  <c r="AQ1059" i="6"/>
  <c r="AS1059" i="6"/>
  <c r="AB732" i="26"/>
  <c r="AA732" i="26"/>
  <c r="AA684" i="26"/>
  <c r="AB684" i="26"/>
  <c r="AQ438" i="6"/>
  <c r="AS438" i="6"/>
  <c r="AA220" i="26"/>
  <c r="AB220" i="26"/>
  <c r="AQ306" i="6"/>
  <c r="AR306" i="6"/>
  <c r="AB1186" i="26"/>
  <c r="AA1186" i="26"/>
  <c r="AQ496" i="6"/>
  <c r="AR496" i="6"/>
  <c r="AQ46" i="6"/>
  <c r="AR46" i="6"/>
  <c r="AB141" i="26"/>
  <c r="AA141" i="26"/>
  <c r="AA91" i="26"/>
  <c r="AB91" i="26"/>
  <c r="AQ1017" i="6"/>
  <c r="AS1017" i="6"/>
  <c r="AS24" i="6"/>
  <c r="AQ24" i="6"/>
  <c r="AB757" i="26"/>
  <c r="AA757" i="26"/>
  <c r="AB113" i="26"/>
  <c r="AA113" i="26"/>
  <c r="AB178" i="26"/>
  <c r="AA178" i="26"/>
  <c r="AB67" i="26"/>
  <c r="AA67" i="26"/>
  <c r="AB768" i="26"/>
  <c r="AA768" i="26"/>
  <c r="AQ720" i="6"/>
  <c r="AR720" i="6"/>
  <c r="AA304" i="26"/>
  <c r="AB304" i="26"/>
  <c r="AA310" i="26"/>
  <c r="AB310" i="26"/>
  <c r="AA868" i="26"/>
  <c r="AB868" i="26"/>
  <c r="AB802" i="26"/>
  <c r="AA802" i="26"/>
  <c r="AB1060" i="26"/>
  <c r="AA1060" i="26"/>
  <c r="AB214" i="26"/>
  <c r="AA214" i="26"/>
  <c r="AA796" i="26"/>
  <c r="AB796" i="26"/>
  <c r="AB204" i="26"/>
  <c r="AA204" i="26"/>
  <c r="AA151" i="26"/>
  <c r="AB151" i="26"/>
  <c r="AB1054" i="26"/>
  <c r="AA1054" i="26"/>
  <c r="AA1122" i="26"/>
  <c r="AB1122" i="26"/>
  <c r="AQ531" i="6"/>
  <c r="AS531" i="6"/>
  <c r="AB1108" i="26"/>
  <c r="AA1108" i="26"/>
  <c r="AA1206" i="26"/>
  <c r="AB1206" i="26"/>
  <c r="AB1023" i="26"/>
  <c r="AA1023" i="26"/>
  <c r="AA1146" i="26"/>
  <c r="AB1146" i="26"/>
  <c r="AB976" i="26"/>
  <c r="AA976" i="26"/>
  <c r="AA1090" i="26"/>
  <c r="AB1090" i="26"/>
  <c r="AB876" i="26"/>
  <c r="AA876" i="26"/>
  <c r="AQ1033" i="6"/>
  <c r="AS1033" i="6"/>
  <c r="AQ1246" i="6"/>
  <c r="AS1246" i="6"/>
  <c r="AS522" i="6"/>
  <c r="AQ522" i="6"/>
  <c r="AQ67" i="6"/>
  <c r="AS67" i="6"/>
  <c r="AQ892" i="6"/>
  <c r="AS892" i="6"/>
  <c r="AQ1038" i="6"/>
  <c r="AS1038" i="6"/>
  <c r="AS970" i="6"/>
  <c r="AQ970" i="6"/>
  <c r="AQ1188" i="6"/>
  <c r="AS1188" i="6"/>
  <c r="AB115" i="26"/>
  <c r="AA115" i="26"/>
  <c r="AQ625" i="6"/>
  <c r="AS625" i="6"/>
  <c r="AQ1228" i="6"/>
  <c r="AS1228" i="6"/>
  <c r="AR390" i="6"/>
  <c r="AQ390" i="6"/>
  <c r="AQ1176" i="6"/>
  <c r="AS1176" i="6"/>
  <c r="AQ419" i="6"/>
  <c r="AS419" i="6"/>
  <c r="AQ639" i="6"/>
  <c r="AS639" i="6"/>
  <c r="AS1027" i="6"/>
  <c r="AQ1027" i="6"/>
  <c r="AQ1153" i="6"/>
  <c r="AS1153" i="6"/>
  <c r="AQ22" i="6"/>
  <c r="AS22" i="6"/>
  <c r="AS1195" i="6"/>
  <c r="AQ1195" i="6"/>
  <c r="AS646" i="6"/>
  <c r="AQ646" i="6"/>
  <c r="AA837" i="26"/>
  <c r="AB837" i="26"/>
  <c r="AQ1164" i="6"/>
  <c r="AS1164" i="6"/>
  <c r="AS1165" i="6"/>
  <c r="AQ1165" i="6"/>
  <c r="AQ696" i="6"/>
  <c r="AR696" i="6"/>
  <c r="AQ700" i="6"/>
  <c r="AR700" i="6"/>
  <c r="AQ12" i="6"/>
  <c r="AS12" i="6"/>
  <c r="AS436" i="6"/>
  <c r="AQ436" i="6"/>
  <c r="AA456" i="26"/>
  <c r="AB456" i="26"/>
  <c r="AQ958" i="6"/>
  <c r="AS958" i="6"/>
  <c r="AS520" i="6"/>
  <c r="AQ520" i="6"/>
  <c r="AB48" i="26"/>
  <c r="AA48" i="26"/>
  <c r="AA1092" i="26"/>
  <c r="AB1092" i="26"/>
  <c r="AR402" i="6"/>
  <c r="AQ402" i="6"/>
  <c r="AA75" i="26"/>
  <c r="AB75" i="26"/>
  <c r="AA217" i="26"/>
  <c r="AB217" i="26"/>
  <c r="AB81" i="26"/>
  <c r="AA81" i="26"/>
  <c r="AS30" i="6"/>
  <c r="AQ30" i="6"/>
  <c r="AS28" i="6"/>
  <c r="AQ28" i="6"/>
  <c r="AA78" i="26"/>
  <c r="AB78" i="26"/>
  <c r="AB93" i="26"/>
  <c r="AA93" i="26"/>
  <c r="AB88" i="26"/>
  <c r="AA88" i="26"/>
  <c r="AA442" i="26"/>
  <c r="AB442" i="26"/>
  <c r="AS1170" i="6"/>
  <c r="AQ1170" i="6"/>
  <c r="AB46" i="26"/>
  <c r="AA46" i="26"/>
  <c r="AS801" i="6"/>
  <c r="AQ801" i="6"/>
  <c r="AA105" i="26"/>
  <c r="AB105" i="26"/>
  <c r="AB39" i="26"/>
  <c r="AA39" i="26"/>
  <c r="AA1120" i="26"/>
  <c r="AB1120" i="26"/>
  <c r="AA175" i="26"/>
  <c r="AB175" i="26"/>
  <c r="AA181" i="26"/>
  <c r="AB181" i="26"/>
  <c r="AB138" i="26"/>
  <c r="AA138" i="26"/>
  <c r="AB460" i="26"/>
  <c r="AA460" i="26"/>
  <c r="AA108" i="26"/>
  <c r="AB108" i="26"/>
  <c r="AB222" i="26"/>
  <c r="AA222" i="26"/>
  <c r="AA1056" i="26"/>
  <c r="AB1056" i="26"/>
  <c r="AA69" i="26"/>
  <c r="AB69" i="26"/>
  <c r="AA664" i="26"/>
  <c r="AB664" i="26"/>
  <c r="AA886" i="26"/>
  <c r="AB886" i="26"/>
  <c r="AB1188" i="26"/>
  <c r="AA1188" i="26"/>
  <c r="AA1228" i="26"/>
  <c r="AB1228" i="26"/>
  <c r="AA1126" i="26"/>
  <c r="AB1126" i="26"/>
  <c r="AB1171" i="26"/>
  <c r="AA1171" i="26"/>
  <c r="AA1132" i="26"/>
  <c r="AB1132" i="26"/>
  <c r="AA958" i="26"/>
  <c r="AB958" i="26"/>
  <c r="AA1066" i="26"/>
  <c r="AB1066" i="26"/>
  <c r="AA1128" i="26"/>
  <c r="AB1128" i="26"/>
  <c r="AA1210" i="26"/>
  <c r="AB1210" i="26"/>
  <c r="AB1069" i="26"/>
  <c r="AA1069" i="26"/>
  <c r="AB1116" i="26"/>
  <c r="AA1116" i="26"/>
  <c r="AA1222" i="26"/>
  <c r="AB1222" i="26"/>
  <c r="AA1063" i="26"/>
  <c r="AB1063" i="26"/>
  <c r="AQ635" i="6" l="1"/>
  <c r="AS633" i="6"/>
  <c r="AQ633" i="6"/>
  <c r="AA238" i="26"/>
  <c r="AB238"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DFO-MPO</author>
    <author>Administrator</author>
    <author>McHugh</author>
  </authors>
  <commentList>
    <comment ref="E27" authorId="0" shapeId="0" xr:uid="{00000000-0006-0000-0000-000001000000}">
      <text>
        <r>
          <rPr>
            <b/>
            <sz val="9"/>
            <color indexed="81"/>
            <rFont val="Tahoma"/>
            <family val="2"/>
          </rPr>
          <t>DFO-MPO:</t>
        </r>
        <r>
          <rPr>
            <sz val="9"/>
            <color indexed="81"/>
            <rFont val="Tahoma"/>
            <family val="2"/>
          </rPr>
          <t xml:space="preserve">
Stamp fishway + Sproat Fishway</t>
        </r>
      </text>
    </comment>
    <comment ref="AP33" authorId="0" shapeId="0" xr:uid="{00000000-0006-0000-0000-000002000000}">
      <text>
        <r>
          <rPr>
            <b/>
            <sz val="9"/>
            <color indexed="81"/>
            <rFont val="Tahoma"/>
            <family val="2"/>
          </rPr>
          <t>DFO-MPO:</t>
        </r>
        <r>
          <rPr>
            <sz val="9"/>
            <color indexed="81"/>
            <rFont val="Tahoma"/>
            <family val="2"/>
          </rPr>
          <t xml:space="preserve">
12 year avg of Peak obs rather than estimate</t>
        </r>
      </text>
    </comment>
    <comment ref="E55" authorId="1" shapeId="0" xr:uid="{00000000-0006-0000-0000-000003000000}">
      <text>
        <r>
          <rPr>
            <b/>
            <sz val="8"/>
            <color indexed="81"/>
            <rFont val="Tahoma"/>
            <family val="2"/>
          </rPr>
          <t>Administrator:</t>
        </r>
        <r>
          <rPr>
            <sz val="8"/>
            <color indexed="81"/>
            <rFont val="Tahoma"/>
            <family val="2"/>
          </rPr>
          <t xml:space="preserve">
Includes Ursus Creek (trib.)</t>
        </r>
      </text>
    </comment>
    <comment ref="AI55" authorId="1" shapeId="0" xr:uid="{00000000-0006-0000-0000-000004000000}">
      <text>
        <r>
          <rPr>
            <b/>
            <sz val="8"/>
            <color indexed="81"/>
            <rFont val="Tahoma"/>
            <family val="2"/>
          </rPr>
          <t>Administrator:</t>
        </r>
        <r>
          <rPr>
            <sz val="8"/>
            <color indexed="81"/>
            <rFont val="Tahoma"/>
            <family val="2"/>
          </rPr>
          <t xml:space="preserve">
Includes Ursus Creek (trib.)</t>
        </r>
      </text>
    </comment>
    <comment ref="I132" authorId="0" shapeId="0" xr:uid="{00000000-0006-0000-0000-000005000000}">
      <text>
        <r>
          <rPr>
            <b/>
            <sz val="9"/>
            <color indexed="81"/>
            <rFont val="Tahoma"/>
            <family val="2"/>
          </rPr>
          <t>DFO-MPO:</t>
        </r>
        <r>
          <rPr>
            <sz val="9"/>
            <color indexed="81"/>
            <rFont val="Tahoma"/>
            <family val="2"/>
          </rPr>
          <t xml:space="preserve">
Plan to put fence in after Labour day and out end of Sept, for broodstock collection (call w/ Maurice May 24)</t>
        </r>
      </text>
    </comment>
    <comment ref="I136" authorId="0" shapeId="0" xr:uid="{00000000-0006-0000-0000-000006000000}">
      <text>
        <r>
          <rPr>
            <b/>
            <sz val="9"/>
            <color indexed="81"/>
            <rFont val="Tahoma"/>
            <family val="2"/>
          </rPr>
          <t>DFO-MPO:</t>
        </r>
        <r>
          <rPr>
            <sz val="9"/>
            <color indexed="81"/>
            <rFont val="Tahoma"/>
            <family val="2"/>
          </rPr>
          <t xml:space="preserve">
Plan to put fence in after Labour day and out end of Sept, for broodstock collection (call w/ Maurice May 24)</t>
        </r>
      </text>
    </comment>
    <comment ref="AC168" authorId="0" shapeId="0" xr:uid="{00000000-0006-0000-0000-000007000000}">
      <text>
        <r>
          <rPr>
            <b/>
            <sz val="9"/>
            <color indexed="81"/>
            <rFont val="Tahoma"/>
            <family val="2"/>
          </rPr>
          <t>DFO-MPO:</t>
        </r>
        <r>
          <rPr>
            <sz val="9"/>
            <color indexed="81"/>
            <rFont val="Tahoma"/>
            <family val="2"/>
          </rPr>
          <t xml:space="preserve">
No Upper Megin survey, so numbers observed do not represent the population.</t>
        </r>
      </text>
    </comment>
    <comment ref="Q327" authorId="0" shapeId="0" xr:uid="{00000000-0006-0000-0000-000008000000}">
      <text>
        <r>
          <rPr>
            <b/>
            <sz val="9"/>
            <color indexed="81"/>
            <rFont val="Tahoma"/>
            <family val="2"/>
          </rPr>
          <t>DFO-MPO:</t>
        </r>
        <r>
          <rPr>
            <sz val="9"/>
            <color indexed="81"/>
            <rFont val="Tahoma"/>
            <family val="2"/>
          </rPr>
          <t xml:space="preserve">
PFN plan to survey to monitor recovery following rehabilitation</t>
        </r>
      </text>
    </comment>
    <comment ref="M651" authorId="0" shapeId="0" xr:uid="{00000000-0006-0000-0000-000009000000}">
      <text>
        <r>
          <rPr>
            <b/>
            <sz val="9"/>
            <color indexed="81"/>
            <rFont val="Tahoma"/>
            <family val="2"/>
          </rPr>
          <t>DFO-MPO:</t>
        </r>
        <r>
          <rPr>
            <sz val="9"/>
            <color indexed="81"/>
            <rFont val="Tahoma"/>
            <family val="2"/>
          </rPr>
          <t xml:space="preserve">
Concrete w/ aluminum superstructure, goes in Oct., also a juvenile fence in the spring</t>
        </r>
      </text>
    </comment>
    <comment ref="E897" authorId="2" shapeId="0" xr:uid="{00000000-0006-0000-0000-00000A000000}">
      <text>
        <r>
          <rPr>
            <b/>
            <sz val="9"/>
            <color indexed="81"/>
            <rFont val="Tahoma"/>
            <family val="2"/>
          </rPr>
          <t>McHugh:</t>
        </r>
        <r>
          <rPr>
            <sz val="9"/>
            <color indexed="81"/>
            <rFont val="Tahoma"/>
            <family val="2"/>
          </rPr>
          <t xml:space="preserve">
Wood Islets </t>
        </r>
      </text>
    </comment>
    <comment ref="AI897" authorId="2" shapeId="0" xr:uid="{00000000-0006-0000-0000-00000B000000}">
      <text>
        <r>
          <rPr>
            <b/>
            <sz val="9"/>
            <color indexed="81"/>
            <rFont val="Tahoma"/>
            <family val="2"/>
          </rPr>
          <t>McHugh:</t>
        </r>
        <r>
          <rPr>
            <sz val="9"/>
            <color indexed="81"/>
            <rFont val="Tahoma"/>
            <family val="2"/>
          </rPr>
          <t xml:space="preserve">
Wood Islets </t>
        </r>
      </text>
    </comment>
    <comment ref="AC975" authorId="0" shapeId="0" xr:uid="{00000000-0006-0000-0000-00000C000000}">
      <text>
        <r>
          <rPr>
            <b/>
            <sz val="9"/>
            <color indexed="81"/>
            <rFont val="Tahoma"/>
            <family val="2"/>
          </rPr>
          <t>DFO-MPO:</t>
        </r>
        <r>
          <rPr>
            <sz val="9"/>
            <color indexed="81"/>
            <rFont val="Tahoma"/>
            <family val="2"/>
          </rPr>
          <t xml:space="preserve">
Category doesn't agree with the Lake observations of abundant spawners relative to recent years</t>
        </r>
      </text>
    </comment>
    <comment ref="K1095" authorId="0" shapeId="0" xr:uid="{00000000-0006-0000-0000-00000D000000}">
      <text>
        <r>
          <rPr>
            <b/>
            <sz val="9"/>
            <color indexed="81"/>
            <rFont val="Tahoma"/>
            <family val="2"/>
          </rPr>
          <t>DFO-MPO:</t>
        </r>
        <r>
          <rPr>
            <sz val="9"/>
            <color indexed="81"/>
            <rFont val="Tahoma"/>
            <family val="2"/>
          </rPr>
          <t xml:space="preserve">
MMFN swim from Muchalat Lake to bridge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DFO-MPO</author>
    <author>McHugh, Diana</author>
    <author>tc={9EA25C6C-489F-4E86-A589-63CED4651B72}</author>
    <author>tc={035939ED-64CD-4B44-BC05-0E4CF9DB17AD}</author>
    <author>tc={8D343F69-BECC-4CF2-981E-E4CD46C39107}</author>
    <author>tc={AD318A90-FFD8-41E2-8160-0ABDB5D4DA60}</author>
    <author>tc={13309ADF-77C3-441E-A7C7-84940AD451C3}</author>
    <author>tc={A3E86449-443D-4CA1-B4C8-1DB5E43DE5F5}</author>
    <author>tc={546D35DA-164C-4433-9B04-07EBE6E8AD4E}</author>
    <author>tc={68A0354D-B19E-49B7-A445-8A99B604C70B}</author>
    <author>Wright, Brenda</author>
    <author>tc={6E2D8DCE-5A0F-4783-9624-4BF85EE17519}</author>
    <author>tc={B31A84C6-2D0F-44B8-A6B8-F5EA54523377}</author>
    <author>tc={AE415ABA-F747-43C0-A008-2928F274C1DE}</author>
    <author>tc={7A1C6B27-316E-4E4F-999E-111A68933D38}</author>
    <author>tc={BB48C492-4BAC-4DB6-922B-5E4ECDFB0FE0}</author>
    <author>tc={007B0CAE-5EA7-402B-B709-3760CE2546C7}</author>
    <author>tc={FF516217-1D3C-4447-8EBD-8435E11550E2}</author>
    <author>tc={4AA676E0-A0C3-4CC7-8A72-6FDA1D3C308D}</author>
    <author>tc={C364367C-2C23-4157-9527-F39C64DBBB09}</author>
    <author>tc={15620AC4-C7B6-436F-AFCC-00401AB712AD}</author>
    <author>tc={F41DE8FA-D3F3-4068-81FA-5321C1AFEC02}</author>
    <author>tc={868FB00C-A688-4779-B167-3FE2FEF7EE7A}</author>
    <author>tc={BEFB7B76-C2CC-43F6-882A-8E55F8222D37}</author>
    <author>tc={4910D904-AAD4-41C9-96AF-9E18D363F1E7}</author>
    <author>tc={48E93757-4DAD-4E69-9162-8B6414FB84D4}</author>
    <author>tc={9DC85E7F-1729-4BFB-80E4-D8EED473338A}</author>
    <author>tc={8CDE1F7A-A126-4785-9930-B666A1786D09}</author>
    <author>tc={2240B7F6-0838-4F9F-B293-6C04AF68712B}</author>
    <author>tc={D0E6FE8C-1CB4-4E0B-966F-AEC7DDB62FC5}</author>
    <author>tc={C5BF98C2-180C-4C7E-8576-F0424E76090E}</author>
    <author>Brady, Piper-Lynn</author>
    <author>Administrator</author>
    <author>tc={EC0692A0-F2FA-4FBF-A5BC-C0C681F96EB6}</author>
    <author>McHugh</author>
    <author>tc={E9D16BF8-B3F5-414B-9825-FBCCC4AE1AC0}</author>
    <author>tc={82C30009-928C-4744-A7A3-F507BD66183A}</author>
    <author>tc={67E281F5-4C58-4EBD-9B38-78CD9725BF97}</author>
    <author>tc={423070CA-6F6C-4DAC-9AF3-75D3B17FC7C8}</author>
    <author>tc={607A6359-E966-405C-826B-3EC44CBAA9F9}</author>
    <author>tc={3352B362-DE10-4314-A2E4-6677A213C1AC}</author>
    <author>tc={1F20014C-5B4E-4373-AFDD-5C939F6E065F}</author>
    <author>tc={09BD4204-0215-4B21-9590-EE2CA56EDFD1}</author>
    <author>Matwichuk, Kiana</author>
    <author>tc={1D04E486-428F-40FD-AE1F-C39A0E61A9E6}</author>
    <author>tc={4178E1B2-AEE1-4681-B1D8-A49B91658B53}</author>
    <author>tc={4FA708DC-F821-4172-AC71-C913D3D60BA4}</author>
    <author>tc={5A8E1422-C617-45E9-A26C-F2BCB4676807}</author>
    <author>tc={CB171F1C-EE14-4835-8FBC-24DF0DA5EC06}</author>
    <author>tc={B9E40550-25FC-4E2E-BE17-D7FD92EEE1B6}</author>
    <author>tc={99B0472C-1988-457F-9D89-B33F73073A5D}</author>
    <author>tc={33FDBE98-22E6-4CC8-B7C3-6ED69381CE8E}</author>
    <author>tc={51B0D8B9-5EA6-4520-B8AD-AF4B35311CB2}</author>
    <author>tc={8231186D-C36D-4291-B535-AD919AC32283}</author>
    <author>tc={5AC5AD44-689D-4492-BDE7-7753CE581456}</author>
    <author>tc={0D600308-BCA2-447F-9CE4-4996FB191367}</author>
    <author>tc={09E7BEE9-6FED-46D3-B894-429244874378}</author>
  </authors>
  <commentList>
    <comment ref="F1" authorId="0" shapeId="0" xr:uid="{00000000-0006-0000-0100-000001000000}">
      <text>
        <r>
          <rPr>
            <b/>
            <sz val="9"/>
            <color indexed="81"/>
            <rFont val="Tahoma"/>
            <family val="2"/>
          </rPr>
          <t>DFO-MPO:</t>
        </r>
        <r>
          <rPr>
            <sz val="9"/>
            <color indexed="81"/>
            <rFont val="Tahoma"/>
            <family val="2"/>
          </rPr>
          <t xml:space="preserve">
50%</t>
        </r>
      </text>
    </comment>
    <comment ref="K1" authorId="0" shapeId="0" xr:uid="{00000000-0006-0000-0100-000002000000}">
      <text>
        <r>
          <rPr>
            <b/>
            <sz val="9"/>
            <color indexed="81"/>
            <rFont val="Tahoma"/>
            <family val="2"/>
          </rPr>
          <t>DFO-MPO:</t>
        </r>
        <r>
          <rPr>
            <sz val="9"/>
            <color indexed="81"/>
            <rFont val="Tahoma"/>
            <family val="2"/>
          </rPr>
          <t xml:space="preserve">
65%</t>
        </r>
      </text>
    </comment>
    <comment ref="L1" authorId="0" shapeId="0" xr:uid="{00000000-0006-0000-0100-000003000000}">
      <text>
        <r>
          <rPr>
            <b/>
            <sz val="9"/>
            <color indexed="81"/>
            <rFont val="Tahoma"/>
            <family val="2"/>
          </rPr>
          <t>DFO-MPO:</t>
        </r>
        <r>
          <rPr>
            <sz val="9"/>
            <color indexed="81"/>
            <rFont val="Tahoma"/>
            <family val="2"/>
          </rPr>
          <t xml:space="preserve">
80% &amp; 90%</t>
        </r>
      </text>
    </comment>
    <comment ref="AL8" authorId="0" shapeId="0" xr:uid="{00000000-0006-0000-0100-000004000000}">
      <text>
        <r>
          <rPr>
            <b/>
            <sz val="9"/>
            <color indexed="81"/>
            <rFont val="Tahoma"/>
            <family val="2"/>
          </rPr>
          <t>DFO-MPO:</t>
        </r>
        <r>
          <rPr>
            <sz val="9"/>
            <color indexed="81"/>
            <rFont val="Tahoma"/>
            <family val="2"/>
          </rPr>
          <t xml:space="preserve">
Adult Esc to river, total adult return</t>
        </r>
      </text>
    </comment>
    <comment ref="AM8" authorId="1" shapeId="0" xr:uid="{FB88437D-2260-4513-A5CB-CDA2BC82D2E4}">
      <text>
        <r>
          <rPr>
            <b/>
            <sz val="9"/>
            <color indexed="81"/>
            <rFont val="Tahoma"/>
            <family val="2"/>
          </rPr>
          <t>McHugh, Diana:</t>
        </r>
        <r>
          <rPr>
            <sz val="9"/>
            <color indexed="81"/>
            <rFont val="Tahoma"/>
            <family val="2"/>
          </rPr>
          <t xml:space="preserve">
Adults and Jacks</t>
        </r>
      </text>
    </comment>
    <comment ref="AL10" authorId="2" shapeId="0" xr:uid="{9EA25C6C-489F-4E86-A589-63CED4651B72}">
      <text>
        <t>[Threaded comment]
Your version of Excel allows you to read this threaded comment; however, any edits to it will get removed if the file is opened in a newer version of Excel. Learn more: https://go.microsoft.com/fwlink/?linkid=870924
Comment:
    No estimate, I'd go with PL+D, Type 4 given the timing</t>
      </text>
    </comment>
    <comment ref="AL11" authorId="3" shapeId="0" xr:uid="{035939ED-64CD-4B44-BC05-0E4CF9DB17AD}">
      <text>
        <t>[Threaded comment]
Your version of Excel allows you to read this threaded comment; however, any edits to it will get removed if the file is opened in a newer version of Excel. Learn more: https://go.microsoft.com/fwlink/?linkid=870924
Comment:
    In the SIL+AUC database, the estimate should be -1 to equate to None Observed</t>
      </text>
    </comment>
    <comment ref="U22" authorId="1" shapeId="0" xr:uid="{E547DB45-6684-4591-A9A6-267833B62F50}">
      <text>
        <r>
          <rPr>
            <b/>
            <sz val="9"/>
            <color indexed="81"/>
            <rFont val="Tahoma"/>
            <family val="2"/>
          </rPr>
          <t>McHugh, Diana:</t>
        </r>
        <r>
          <rPr>
            <sz val="9"/>
            <color indexed="81"/>
            <rFont val="Tahoma"/>
            <family val="2"/>
          </rPr>
          <t xml:space="preserve">
17 jk</t>
        </r>
      </text>
    </comment>
    <comment ref="AO22" authorId="4" shapeId="0" xr:uid="{8D343F69-BECC-4CF2-981E-E4CD46C39107}">
      <text>
        <t>[Threaded comment]
Your version of Excel allows you to read this threaded comment; however, any edits to it will get removed if the file is opened in a newer version of Excel. Learn more: https://go.microsoft.com/fwlink/?linkid=870924
Comment:
    Type 4 given the timing?  A decent portion of the peak should have been present during that swim</t>
      </text>
    </comment>
    <comment ref="AL23" authorId="5" shapeId="0" xr:uid="{AD318A90-FFD8-41E2-8160-0ABDB5D4DA60}">
      <text>
        <t>[Threaded comment]
Your version of Excel allows you to read this threaded comment; however, any edits to it will get removed if the file is opened in a newer version of Excel. Learn more: https://go.microsoft.com/fwlink/?linkid=870924
Comment:
    In the SIL+AUC database, the estimate should be -1 to equate to None Observed</t>
      </text>
    </comment>
    <comment ref="R25" authorId="1" shapeId="0" xr:uid="{8094E2D8-FDD3-4C34-AC06-1D023B9B775E}">
      <text>
        <r>
          <rPr>
            <b/>
            <sz val="9"/>
            <color indexed="81"/>
            <rFont val="Tahoma"/>
            <family val="2"/>
          </rPr>
          <t>McHugh, Diana:</t>
        </r>
        <r>
          <rPr>
            <sz val="9"/>
            <color indexed="81"/>
            <rFont val="Tahoma"/>
            <family val="2"/>
          </rPr>
          <t xml:space="preserve">
3 jk</t>
        </r>
      </text>
    </comment>
    <comment ref="S28" authorId="1" shapeId="0" xr:uid="{3A4EAEEF-0E39-455A-97CB-422B4E6C1373}">
      <text>
        <r>
          <rPr>
            <b/>
            <sz val="9"/>
            <color indexed="81"/>
            <rFont val="Tahoma"/>
            <family val="2"/>
          </rPr>
          <t>McHugh, Diana:</t>
        </r>
        <r>
          <rPr>
            <sz val="9"/>
            <color indexed="81"/>
            <rFont val="Tahoma"/>
            <family val="2"/>
          </rPr>
          <t xml:space="preserve">
3 jk</t>
        </r>
      </text>
    </comment>
    <comment ref="AL29" authorId="6" shapeId="0" xr:uid="{13309ADF-77C3-441E-A7C7-84940AD451C3}">
      <text>
        <t>[Threaded comment]
Your version of Excel allows you to read this threaded comment; however, any edits to it will get removed if the file is opened in a newer version of Excel. Learn more: https://go.microsoft.com/fwlink/?linkid=870924
Comment:
    Recommended estimate should be -1 to represent "None Observed"</t>
      </text>
    </comment>
    <comment ref="S31" authorId="1" shapeId="0" xr:uid="{8B0BEB29-3F05-4C10-9B6F-2308E350D2D0}">
      <text>
        <r>
          <rPr>
            <b/>
            <sz val="9"/>
            <color indexed="81"/>
            <rFont val="Tahoma"/>
            <family val="2"/>
          </rPr>
          <t>McHugh, Diana:</t>
        </r>
        <r>
          <rPr>
            <sz val="9"/>
            <color indexed="81"/>
            <rFont val="Tahoma"/>
            <family val="2"/>
          </rPr>
          <t xml:space="preserve">
2 jk</t>
        </r>
      </text>
    </comment>
    <comment ref="AL31" authorId="7" shapeId="0" xr:uid="{A3E86449-443D-4CA1-B4C8-1DB5E43DE5F5}">
      <text>
        <t>[Threaded comment]
Your version of Excel allows you to read this threaded comment; however, any edits to it will get removed if the file is opened in a newer version of Excel. Learn more: https://go.microsoft.com/fwlink/?linkid=870924
Comment:
    No estimate, I'd go with PL+D, Type 5 given the timing</t>
      </text>
    </comment>
    <comment ref="AL33" authorId="8" shapeId="0" xr:uid="{546D35DA-164C-4433-9B04-07EBE6E8AD4E}">
      <text>
        <t>[Threaded comment]
Your version of Excel allows you to read this threaded comment; however, any edits to it will get removed if the file is opened in a newer version of Excel. Learn more: https://go.microsoft.com/fwlink/?linkid=870924
Comment:
    In the calculation, why are the SK expanded twice?  Was there a section of the river not covered?</t>
      </text>
    </comment>
    <comment ref="R34" authorId="1" shapeId="0" xr:uid="{1F3558F2-6985-4798-936B-D4382F5DF463}">
      <text>
        <r>
          <rPr>
            <b/>
            <sz val="9"/>
            <color indexed="81"/>
            <rFont val="Tahoma"/>
            <family val="2"/>
          </rPr>
          <t>McHugh, Diana:</t>
        </r>
        <r>
          <rPr>
            <sz val="9"/>
            <color indexed="81"/>
            <rFont val="Tahoma"/>
            <family val="2"/>
          </rPr>
          <t xml:space="preserve">
33 jk,
survey split over 3 days,
Upper SJ bridge to Bar 9 (Oct 12), Bar 9 to IR 4 (Oct 10), and IR 4 to fence (Oct 11)</t>
        </r>
      </text>
    </comment>
    <comment ref="T34" authorId="1" shapeId="0" xr:uid="{DD6FDCD0-5D08-4538-9E71-67BD54AE3ABD}">
      <text>
        <r>
          <rPr>
            <b/>
            <sz val="9"/>
            <color indexed="81"/>
            <rFont val="Tahoma"/>
            <family val="2"/>
          </rPr>
          <t>McHugh, Diana:</t>
        </r>
        <r>
          <rPr>
            <sz val="9"/>
            <color indexed="81"/>
            <rFont val="Tahoma"/>
            <family val="2"/>
          </rPr>
          <t xml:space="preserve">
45 jk
Oct 27 survey from Upper SJ bridge to Bar 9</t>
        </r>
      </text>
    </comment>
    <comment ref="U34" authorId="1" shapeId="0" xr:uid="{8A3DFAF7-354E-41AA-8E6F-6DDF1FDF5469}">
      <text>
        <r>
          <rPr>
            <b/>
            <sz val="9"/>
            <color indexed="81"/>
            <rFont val="Tahoma"/>
            <family val="2"/>
          </rPr>
          <t>McHugh, Diana:</t>
        </r>
        <r>
          <rPr>
            <sz val="9"/>
            <color indexed="81"/>
            <rFont val="Tahoma"/>
            <family val="2"/>
          </rPr>
          <t xml:space="preserve">
84 jk</t>
        </r>
      </text>
    </comment>
    <comment ref="AL35" authorId="9" shapeId="0" xr:uid="{68A0354D-B19E-49B7-A445-8A99B604C70B}">
      <text>
        <t>[Threaded comment]
Your version of Excel allows you to read this threaded comment; however, any edits to it will get removed if the file is opened in a newer version of Excel. Learn more: https://go.microsoft.com/fwlink/?linkid=870924
Comment:
    In the SIL+AUC database, the estimate should be -1 to equate to None Observed</t>
      </text>
    </comment>
    <comment ref="N37" authorId="1" shapeId="0" xr:uid="{011488D0-7382-49FA-8C7B-3763F03CD3ED}">
      <text>
        <r>
          <rPr>
            <b/>
            <sz val="9"/>
            <color indexed="81"/>
            <rFont val="Tahoma"/>
            <family val="2"/>
          </rPr>
          <t>McHugh, Diana:</t>
        </r>
        <r>
          <rPr>
            <sz val="9"/>
            <color indexed="81"/>
            <rFont val="Tahoma"/>
            <family val="2"/>
          </rPr>
          <t xml:space="preserve">
San Juan fence was fish tight as of Sept 11</t>
        </r>
      </text>
    </comment>
    <comment ref="Q37" authorId="10" shapeId="0" xr:uid="{1496D3ED-CB5A-4A9F-A87C-2296DFA17F82}">
      <text>
        <r>
          <rPr>
            <b/>
            <sz val="9"/>
            <color indexed="81"/>
            <rFont val="Tahoma"/>
            <family val="2"/>
          </rPr>
          <t>Wright, Brenda:</t>
        </r>
        <r>
          <rPr>
            <sz val="9"/>
            <color indexed="81"/>
            <rFont val="Tahoma"/>
            <family val="2"/>
          </rPr>
          <t xml:space="preserve">
66 jk</t>
        </r>
      </text>
    </comment>
    <comment ref="R37" authorId="1" shapeId="0" xr:uid="{3A4122B3-24A3-4377-9A2C-5332DE7EDD9B}">
      <text>
        <r>
          <rPr>
            <b/>
            <sz val="9"/>
            <color indexed="81"/>
            <rFont val="Tahoma"/>
            <family val="2"/>
          </rPr>
          <t>McHugh, Diana:</t>
        </r>
        <r>
          <rPr>
            <sz val="9"/>
            <color indexed="81"/>
            <rFont val="Tahoma"/>
            <family val="2"/>
          </rPr>
          <t xml:space="preserve">
31 jk</t>
        </r>
      </text>
    </comment>
    <comment ref="T37" authorId="1" shapeId="0" xr:uid="{B403C637-C69B-47F8-870D-AFD003FA0866}">
      <text>
        <r>
          <rPr>
            <b/>
            <sz val="9"/>
            <color indexed="81"/>
            <rFont val="Tahoma"/>
            <family val="2"/>
          </rPr>
          <t>McHugh, Diana:</t>
        </r>
        <r>
          <rPr>
            <sz val="9"/>
            <color indexed="81"/>
            <rFont val="Tahoma"/>
            <family val="2"/>
          </rPr>
          <t xml:space="preserve">
19 jk</t>
        </r>
      </text>
    </comment>
    <comment ref="U37" authorId="1" shapeId="0" xr:uid="{6C96E9F5-58AB-480F-BAB9-4CCD25661A66}">
      <text>
        <r>
          <rPr>
            <b/>
            <sz val="9"/>
            <color indexed="81"/>
            <rFont val="Tahoma"/>
            <family val="2"/>
          </rPr>
          <t>McHugh, Diana:</t>
        </r>
        <r>
          <rPr>
            <sz val="9"/>
            <color indexed="81"/>
            <rFont val="Tahoma"/>
            <family val="2"/>
          </rPr>
          <t xml:space="preserve">
19 jk</t>
        </r>
      </text>
    </comment>
    <comment ref="AJ37" authorId="11" shapeId="0" xr:uid="{6E2D8DCE-5A0F-4783-9624-4BF85EE17519}">
      <text>
        <t>[Threaded comment]
Your version of Excel allows you to read this threaded comment; however, any edits to it will get removed if the file is opened in a newer version of Excel. Learn more: https://go.microsoft.com/fwlink/?linkid=870924
Comment:
    Brood removal?</t>
      </text>
    </comment>
    <comment ref="Q64" authorId="1" shapeId="0" xr:uid="{5AA73AB4-B885-4F22-9ED2-64418231F27C}">
      <text>
        <r>
          <rPr>
            <b/>
            <sz val="9"/>
            <color indexed="81"/>
            <rFont val="Tahoma"/>
            <family val="2"/>
          </rPr>
          <t>McHugh, Diana:</t>
        </r>
        <r>
          <rPr>
            <sz val="9"/>
            <color indexed="81"/>
            <rFont val="Tahoma"/>
            <family val="2"/>
          </rPr>
          <t xml:space="preserve">
112 jk</t>
        </r>
      </text>
    </comment>
    <comment ref="AO64" authorId="12" shapeId="0" xr:uid="{B31A84C6-2D0F-44B8-A6B8-F5EA54523377}">
      <text>
        <t>[Threaded comment]
Your version of Excel allows you to read this threaded comment; however, any edits to it will get removed if the file is opened in a newer version of Excel. Learn more: https://go.microsoft.com/fwlink/?linkid=870924
Comment:
    Type 4 based on the timing?  A decent proportion of the peak should have been present during the surveys.</t>
      </text>
    </comment>
    <comment ref="AL65" authorId="13" shapeId="0" xr:uid="{AE415ABA-F747-43C0-A008-2928F274C1DE}">
      <text>
        <t>[Threaded comment]
Your version of Excel allows you to read this threaded comment; however, any edits to it will get removed if the file is opened in a newer version of Excel. Learn more: https://go.microsoft.com/fwlink/?linkid=870924
Comment:
    In the SIL+AUC database, the estimate should be -1 to equate to None Observed</t>
      </text>
    </comment>
    <comment ref="AL66" authorId="14" shapeId="0" xr:uid="{7A1C6B27-316E-4E4F-999E-111A68933D38}">
      <text>
        <t>[Threaded comment]
Your version of Excel allows you to read this threaded comment; however, any edits to it will get removed if the file is opened in a newer version of Excel. Learn more: https://go.microsoft.com/fwlink/?linkid=870924
Comment:
    Missing the Nov 1st survey (Helen emailed summary Nov 1, but didn't attach SIL</t>
      </text>
    </comment>
    <comment ref="Q67" authorId="1" shapeId="0" xr:uid="{15AD366B-06DF-48F8-9FA3-ACD10AAAE615}">
      <text>
        <r>
          <rPr>
            <b/>
            <sz val="9"/>
            <color indexed="81"/>
            <rFont val="Tahoma"/>
            <family val="2"/>
          </rPr>
          <t>McHugh, Diana:</t>
        </r>
        <r>
          <rPr>
            <sz val="9"/>
            <color indexed="81"/>
            <rFont val="Tahoma"/>
            <family val="2"/>
          </rPr>
          <t xml:space="preserve">
2 jk</t>
        </r>
      </text>
    </comment>
    <comment ref="AL67" authorId="15" shapeId="0" xr:uid="{BB48C492-4BAC-4DB6-922B-5E4ECDFB0FE0}">
      <text>
        <t>[Threaded comment]
Your version of Excel allows you to read this threaded comment; however, any edits to it will get removed if the file is opened in a newer version of Excel. Learn more: https://go.microsoft.com/fwlink/?linkid=870924
Comment:
    Missing the Nov 1st survey (Helen emailed summary Nov 1, but didn't attach SIL</t>
      </text>
    </comment>
    <comment ref="E183" authorId="0" shapeId="0" xr:uid="{00000000-0006-0000-0100-000006000000}">
      <text>
        <r>
          <rPr>
            <b/>
            <sz val="9"/>
            <color indexed="81"/>
            <rFont val="Tahoma"/>
            <family val="2"/>
          </rPr>
          <t>DFO-MPO:</t>
        </r>
        <r>
          <rPr>
            <sz val="9"/>
            <color indexed="81"/>
            <rFont val="Tahoma"/>
            <family val="2"/>
          </rPr>
          <t xml:space="preserve">
S1, S2, and S3 tribs</t>
        </r>
      </text>
    </comment>
    <comment ref="AL201" authorId="16" shapeId="0" xr:uid="{007B0CAE-5EA7-402B-B709-3760CE2546C7}">
      <text>
        <t>[Threaded comment]
Your version of Excel allows you to read this threaded comment; however, any edits to it will get removed if the file is opened in a newer version of Excel. Learn more: https://go.microsoft.com/fwlink/?linkid=870924
Comment:
    Need a NO estimate, Presence/Absence, Type 6</t>
      </text>
    </comment>
    <comment ref="V202" authorId="1" shapeId="0" xr:uid="{5BC1E5D2-39D9-4C73-AF27-B5D5FD430DD9}">
      <text>
        <r>
          <rPr>
            <b/>
            <sz val="9"/>
            <color indexed="81"/>
            <rFont val="Tahoma"/>
            <family val="2"/>
          </rPr>
          <t>McHugh, Diana:</t>
        </r>
        <r>
          <rPr>
            <sz val="9"/>
            <color indexed="81"/>
            <rFont val="Tahoma"/>
            <family val="2"/>
          </rPr>
          <t xml:space="preserve">
30 jk</t>
        </r>
      </text>
    </comment>
    <comment ref="AL202" authorId="17" shapeId="0" xr:uid="{FF516217-1D3C-4447-8EBD-8435E11550E2}">
      <text>
        <t>[Threaded comment]
Your version of Excel allows you to read this threaded comment; however, any edits to it will get removed if the file is opened in a newer version of Excel. Learn more: https://go.microsoft.com/fwlink/?linkid=870924
Comment:
    Need an estimate (PL+D), SIL was in the A23 folder since Huu-ay-aht did the survey, but the system is in Area 21.  I've put a copy in the Area 21-22 folder</t>
      </text>
    </comment>
    <comment ref="AL204" authorId="18" shapeId="0" xr:uid="{4AA676E0-A0C3-4CC7-8A72-6FDA1D3C308D}">
      <text>
        <t>[Threaded comment]
Your version of Excel allows you to read this threaded comment; however, any edits to it will get removed if the file is opened in a newer version of Excel. Learn more: https://go.microsoft.com/fwlink/?linkid=870924
Comment:
    Need a NO estimate, Presence/Absence, Type 6</t>
      </text>
    </comment>
    <comment ref="AL205" authorId="19" shapeId="0" xr:uid="{C364367C-2C23-4157-9527-F39C64DBBB09}">
      <text>
        <t>[Threaded comment]
Your version of Excel allows you to read this threaded comment; however, any edits to it will get removed if the file is opened in a newer version of Excel. Learn more: https://go.microsoft.com/fwlink/?linkid=870924
Comment:
    Need a NO estimate, Presence/Absence, Type 6</t>
      </text>
    </comment>
    <comment ref="L213" authorId="1" shapeId="0" xr:uid="{84470B8D-9779-4EC9-899C-820520EC3F8D}">
      <text>
        <r>
          <rPr>
            <b/>
            <sz val="9"/>
            <color indexed="81"/>
            <rFont val="Tahoma"/>
            <family val="2"/>
          </rPr>
          <t>McHugh, Diana:</t>
        </r>
        <r>
          <rPr>
            <sz val="9"/>
            <color indexed="81"/>
            <rFont val="Tahoma"/>
            <family val="2"/>
          </rPr>
          <t xml:space="preserve">
4 jk</t>
        </r>
      </text>
    </comment>
    <comment ref="M213" authorId="1" shapeId="0" xr:uid="{94B3E45C-3D57-41CD-AA5F-022EE0DE91D9}">
      <text>
        <r>
          <rPr>
            <b/>
            <sz val="9"/>
            <color indexed="81"/>
            <rFont val="Tahoma"/>
            <family val="2"/>
          </rPr>
          <t>McHugh, Diana:</t>
        </r>
        <r>
          <rPr>
            <sz val="9"/>
            <color indexed="81"/>
            <rFont val="Tahoma"/>
            <family val="2"/>
          </rPr>
          <t xml:space="preserve">
9 jk</t>
        </r>
      </text>
    </comment>
    <comment ref="T214" authorId="1" shapeId="0" xr:uid="{79058687-B3CB-4C4E-BCC6-CD9579F8536E}">
      <text>
        <r>
          <rPr>
            <b/>
            <sz val="9"/>
            <color indexed="81"/>
            <rFont val="Tahoma"/>
            <family val="2"/>
          </rPr>
          <t>McHugh, Diana:</t>
        </r>
        <r>
          <rPr>
            <sz val="9"/>
            <color indexed="81"/>
            <rFont val="Tahoma"/>
            <family val="2"/>
          </rPr>
          <t xml:space="preserve">
139 jk</t>
        </r>
      </text>
    </comment>
    <comment ref="V216" authorId="1" shapeId="0" xr:uid="{92D4C0F7-A6D9-4926-9CC5-B926F0C3B8FA}">
      <text>
        <r>
          <rPr>
            <b/>
            <sz val="9"/>
            <color indexed="81"/>
            <rFont val="Tahoma"/>
            <family val="2"/>
          </rPr>
          <t>McHugh, Diana:</t>
        </r>
        <r>
          <rPr>
            <sz val="9"/>
            <color indexed="81"/>
            <rFont val="Tahoma"/>
            <family val="2"/>
          </rPr>
          <t xml:space="preserve">
Lower Nitinat survey from the hatchery to the mouth.  Many unidentified dead salmon.</t>
        </r>
      </text>
    </comment>
    <comment ref="L217" authorId="1" shapeId="0" xr:uid="{D554F823-C1E6-4D34-9952-72F33FCBA218}">
      <text>
        <r>
          <rPr>
            <b/>
            <sz val="9"/>
            <color indexed="81"/>
            <rFont val="Tahoma"/>
            <family val="2"/>
          </rPr>
          <t>McHugh, Diana:</t>
        </r>
        <r>
          <rPr>
            <sz val="9"/>
            <color indexed="81"/>
            <rFont val="Tahoma"/>
            <family val="2"/>
          </rPr>
          <t xml:space="preserve">
3 jk</t>
        </r>
      </text>
    </comment>
    <comment ref="M217" authorId="1" shapeId="0" xr:uid="{29001C22-2476-40BA-B0E7-3FB3C7ABDF81}">
      <text>
        <r>
          <rPr>
            <b/>
            <sz val="9"/>
            <color indexed="81"/>
            <rFont val="Tahoma"/>
            <family val="2"/>
          </rPr>
          <t>McHugh, Diana:</t>
        </r>
        <r>
          <rPr>
            <sz val="9"/>
            <color indexed="81"/>
            <rFont val="Tahoma"/>
            <family val="2"/>
          </rPr>
          <t xml:space="preserve">
26 jk</t>
        </r>
      </text>
    </comment>
    <comment ref="O217" authorId="1" shapeId="0" xr:uid="{972462FD-B841-46AE-99CE-C96049B9F4E2}">
      <text>
        <r>
          <rPr>
            <b/>
            <sz val="9"/>
            <color indexed="81"/>
            <rFont val="Tahoma"/>
            <family val="2"/>
          </rPr>
          <t>McHugh, Diana:</t>
        </r>
        <r>
          <rPr>
            <sz val="9"/>
            <color indexed="81"/>
            <rFont val="Tahoma"/>
            <family val="2"/>
          </rPr>
          <t xml:space="preserve">
36 jk</t>
        </r>
      </text>
    </comment>
    <comment ref="P217" authorId="1" shapeId="0" xr:uid="{B4E0B22C-EBF6-4121-94F3-E56CF4F2C0D9}">
      <text>
        <r>
          <rPr>
            <b/>
            <sz val="9"/>
            <color indexed="81"/>
            <rFont val="Tahoma"/>
            <family val="2"/>
          </rPr>
          <t>McHugh, Diana:</t>
        </r>
        <r>
          <rPr>
            <sz val="9"/>
            <color indexed="81"/>
            <rFont val="Tahoma"/>
            <family val="2"/>
          </rPr>
          <t xml:space="preserve">
64 jk</t>
        </r>
      </text>
    </comment>
    <comment ref="AL220" authorId="20" shapeId="0" xr:uid="{15620AC4-C7B6-436F-AFCC-00401AB712AD}">
      <text>
        <t>[Threaded comment]
Your version of Excel allows you to read this threaded comment; however, any edits to it will get removed if the file is opened in a newer version of Excel. Learn more: https://go.microsoft.com/fwlink/?linkid=870924
Comment:
    Go with the peak count, Type 5 , but don't expand it twice (have to calculate the AUC to update the PL+D even though you don’t want to use it)</t>
      </text>
    </comment>
    <comment ref="AL222" authorId="21" shapeId="0" xr:uid="{F41DE8FA-D3F3-4068-81FA-5321C1AFEC02}">
      <text>
        <t>[Threaded comment]
Your version of Excel allows you to read this threaded comment; however, any edits to it will get removed if the file is opened in a newer version of Excel. Learn more: https://go.microsoft.com/fwlink/?linkid=870924
Comment:
    Go with the peak count, Type 4 given the timing, but don't expand it twice (have to calculate the AUC to update the PL+D even though you don’t want to use it)</t>
      </text>
    </comment>
    <comment ref="G237" authorId="1" shapeId="0" xr:uid="{419CBD30-B279-457B-AD89-EE257177CE8F}">
      <text>
        <r>
          <rPr>
            <b/>
            <sz val="9"/>
            <color indexed="81"/>
            <rFont val="Tahoma"/>
            <family val="2"/>
          </rPr>
          <t>McHugh, Diana:</t>
        </r>
        <r>
          <rPr>
            <sz val="9"/>
            <color indexed="81"/>
            <rFont val="Tahoma"/>
            <family val="2"/>
          </rPr>
          <t xml:space="preserve">
Count from May 30th
</t>
        </r>
      </text>
    </comment>
    <comment ref="M237" authorId="1" shapeId="0" xr:uid="{82107DB5-6A48-4A8C-A8CB-70E538DF74C3}">
      <text>
        <r>
          <rPr>
            <b/>
            <sz val="9"/>
            <color indexed="81"/>
            <rFont val="Tahoma"/>
            <family val="2"/>
          </rPr>
          <t>McHugh, Diana:</t>
        </r>
        <r>
          <rPr>
            <sz val="9"/>
            <color indexed="81"/>
            <rFont val="Tahoma"/>
            <family val="2"/>
          </rPr>
          <t xml:space="preserve">
Zombie fish observed by Ditidaht fisheries within Nitinat Lake
203 SK obs May 30th</t>
        </r>
      </text>
    </comment>
    <comment ref="AL237" authorId="22" shapeId="0" xr:uid="{868FB00C-A688-4779-B167-3FE2FEF7EE7A}">
      <text>
        <t>[Threaded comment]
Your version of Excel allows you to read this threaded comment; however, any edits to it will get removed if the file is opened in a newer version of Excel. Learn more: https://go.microsoft.com/fwlink/?linkid=870924
Comment:
    Based on big expansion (5% Pop in Aug 11 survey), the normal max expansion is 50%</t>
      </text>
    </comment>
    <comment ref="AL238" authorId="23" shapeId="0" xr:uid="{BEFB7B76-C2CC-43F6-882A-8E55F8222D37}">
      <text>
        <t>[Threaded comment]
Your version of Excel allows you to read this threaded comment; however, any edits to it will get removed if the file is opened in a newer version of Excel. Learn more: https://go.microsoft.com/fwlink/?linkid=870924
Comment:
    There should be a None Observed Coho estimate</t>
      </text>
    </comment>
    <comment ref="U240" authorId="1" shapeId="0" xr:uid="{581886FC-50AF-492E-812D-C45557029C4C}">
      <text>
        <r>
          <rPr>
            <b/>
            <sz val="9"/>
            <color indexed="81"/>
            <rFont val="Tahoma"/>
            <family val="2"/>
          </rPr>
          <t>McHugh, Diana:</t>
        </r>
        <r>
          <rPr>
            <sz val="9"/>
            <color indexed="81"/>
            <rFont val="Tahoma"/>
            <family val="2"/>
          </rPr>
          <t xml:space="preserve">
only 3/4 of the system surveyed</t>
        </r>
      </text>
    </comment>
    <comment ref="AL240" authorId="24" shapeId="0" xr:uid="{4910D904-AAD4-41C9-96AF-9E18D363F1E7}">
      <text>
        <t>[Threaded comment]
Your version of Excel allows you to read this threaded comment; however, any edits to it will get removed if the file is opened in a newer version of Excel. Learn more: https://go.microsoft.com/fwlink/?linkid=870924
Comment:
    Go with the peak count, but don’t expand the Oct 31 survey counts twice unless they missed 20% of the survey area.</t>
      </text>
    </comment>
    <comment ref="M242" authorId="1" shapeId="0" xr:uid="{C940AE50-7943-4F8A-8DCD-9C5725E87DFC}">
      <text>
        <r>
          <rPr>
            <b/>
            <sz val="9"/>
            <color indexed="81"/>
            <rFont val="Tahoma"/>
            <family val="2"/>
          </rPr>
          <t>McHugh, Diana:</t>
        </r>
        <r>
          <rPr>
            <sz val="9"/>
            <color indexed="81"/>
            <rFont val="Tahoma"/>
            <family val="2"/>
          </rPr>
          <t xml:space="preserve">
28 Steelhead seen May 30th </t>
        </r>
      </text>
    </comment>
    <comment ref="U270" authorId="1" shapeId="0" xr:uid="{E799F841-5D63-49FA-B48B-C4D961BF46CA}">
      <text>
        <r>
          <rPr>
            <b/>
            <sz val="9"/>
            <color indexed="81"/>
            <rFont val="Tahoma"/>
            <family val="2"/>
          </rPr>
          <t>McHugh, Diana:</t>
        </r>
        <r>
          <rPr>
            <sz val="9"/>
            <color indexed="81"/>
            <rFont val="Tahoma"/>
            <family val="2"/>
          </rPr>
          <t xml:space="preserve">
whitewater conditions in places and couple large woody debris jams</t>
        </r>
      </text>
    </comment>
    <comment ref="E273" authorId="0" shapeId="0" xr:uid="{00000000-0006-0000-0100-00000B000000}">
      <text>
        <r>
          <rPr>
            <b/>
            <sz val="9"/>
            <color indexed="81"/>
            <rFont val="Tahoma"/>
            <family val="2"/>
          </rPr>
          <t>DFO-MPO:</t>
        </r>
        <r>
          <rPr>
            <sz val="9"/>
            <color indexed="81"/>
            <rFont val="Tahoma"/>
            <family val="2"/>
          </rPr>
          <t xml:space="preserve">
Stamp fishway + Sproat Fishway</t>
        </r>
      </text>
    </comment>
    <comment ref="O273" authorId="1" shapeId="0" xr:uid="{C9382CE0-7958-47C4-B95B-7F02E4D2BEDA}">
      <text>
        <r>
          <rPr>
            <b/>
            <sz val="9"/>
            <color indexed="81"/>
            <rFont val="Tahoma"/>
            <family val="2"/>
          </rPr>
          <t>McHugh, Diana:</t>
        </r>
        <r>
          <rPr>
            <sz val="9"/>
            <color indexed="81"/>
            <rFont val="Tahoma"/>
            <family val="2"/>
          </rPr>
          <t xml:space="preserve">
124,191 jk
cumulative counts to Sept 19 from the Sept 21 bulletin</t>
        </r>
      </text>
    </comment>
    <comment ref="P273" authorId="1" shapeId="0" xr:uid="{29FB74A7-58CB-468A-88AF-510B0A23ABA5}">
      <text>
        <r>
          <rPr>
            <b/>
            <sz val="9"/>
            <color indexed="81"/>
            <rFont val="Tahoma"/>
            <family val="2"/>
          </rPr>
          <t>McHugh, Diana:</t>
        </r>
        <r>
          <rPr>
            <sz val="9"/>
            <color indexed="81"/>
            <rFont val="Tahoma"/>
            <family val="2"/>
          </rPr>
          <t xml:space="preserve">
124,231 jk
cumulative counts to Sept 26 from the Sept 28 bulletin</t>
        </r>
      </text>
    </comment>
    <comment ref="Q273" authorId="1" shapeId="0" xr:uid="{7002B38D-8846-42C0-92B0-00A9FFFB3673}">
      <text>
        <r>
          <rPr>
            <b/>
            <sz val="9"/>
            <color indexed="81"/>
            <rFont val="Tahoma"/>
            <family val="2"/>
          </rPr>
          <t>McHugh, Diana:</t>
        </r>
        <r>
          <rPr>
            <sz val="9"/>
            <color indexed="81"/>
            <rFont val="Tahoma"/>
            <family val="2"/>
          </rPr>
          <t xml:space="preserve">
120,728 jk, cumulative 
Oct 5 update</t>
        </r>
      </text>
    </comment>
    <comment ref="R273" authorId="1" shapeId="0" xr:uid="{47FB796C-DB3C-478E-A483-45E4C580F369}">
      <text>
        <r>
          <rPr>
            <b/>
            <sz val="9"/>
            <color indexed="81"/>
            <rFont val="Tahoma"/>
            <family val="2"/>
          </rPr>
          <t>McHugh, Diana:</t>
        </r>
        <r>
          <rPr>
            <sz val="9"/>
            <color indexed="81"/>
            <rFont val="Tahoma"/>
            <family val="2"/>
          </rPr>
          <t xml:space="preserve">
120773 jk, Oct 12 update</t>
        </r>
      </text>
    </comment>
    <comment ref="S273" authorId="1" shapeId="0" xr:uid="{02B61F1F-C79E-4B2E-A9AC-765E539F9C01}">
      <text>
        <r>
          <rPr>
            <b/>
            <sz val="9"/>
            <color indexed="81"/>
            <rFont val="Tahoma"/>
            <family val="2"/>
          </rPr>
          <t>McHugh, Diana:</t>
        </r>
        <r>
          <rPr>
            <sz val="9"/>
            <color indexed="81"/>
            <rFont val="Tahoma"/>
            <family val="2"/>
          </rPr>
          <t xml:space="preserve">
120942 jk,
Oct 17 update</t>
        </r>
      </text>
    </comment>
    <comment ref="U273" authorId="1" shapeId="0" xr:uid="{16812ABA-A3CF-4778-82A9-CFAD4C63DC83}">
      <text>
        <r>
          <rPr>
            <b/>
            <sz val="9"/>
            <color indexed="81"/>
            <rFont val="Tahoma"/>
            <family val="2"/>
          </rPr>
          <t>McHugh, Diana:</t>
        </r>
        <r>
          <rPr>
            <sz val="9"/>
            <color indexed="81"/>
            <rFont val="Tahoma"/>
            <family val="2"/>
          </rPr>
          <t xml:space="preserve">
Up to Nov 4 when the cameras were pulled.
121,061 jk</t>
        </r>
      </text>
    </comment>
    <comment ref="O274" authorId="1" shapeId="0" xr:uid="{8298AB93-1BE1-4F7C-93AB-0C3C025F0839}">
      <text>
        <r>
          <rPr>
            <b/>
            <sz val="9"/>
            <color indexed="81"/>
            <rFont val="Tahoma"/>
            <family val="2"/>
          </rPr>
          <t>McHugh, Diana:</t>
        </r>
        <r>
          <rPr>
            <sz val="9"/>
            <color indexed="81"/>
            <rFont val="Tahoma"/>
            <family val="2"/>
          </rPr>
          <t xml:space="preserve">
2238 jk</t>
        </r>
      </text>
    </comment>
    <comment ref="P274" authorId="1" shapeId="0" xr:uid="{60D5B9D0-4022-4ADA-9790-0A1A8E618897}">
      <text>
        <r>
          <rPr>
            <b/>
            <sz val="9"/>
            <color indexed="81"/>
            <rFont val="Tahoma"/>
            <family val="2"/>
          </rPr>
          <t>McHugh, Diana:</t>
        </r>
        <r>
          <rPr>
            <sz val="9"/>
            <color indexed="81"/>
            <rFont val="Tahoma"/>
            <family val="2"/>
          </rPr>
          <t xml:space="preserve">
2993 jk</t>
        </r>
      </text>
    </comment>
    <comment ref="Q274" authorId="1" shapeId="0" xr:uid="{94F0BCD2-FB5D-4EFC-84D0-DA00CD5CD0D3}">
      <text>
        <r>
          <rPr>
            <b/>
            <sz val="9"/>
            <color indexed="81"/>
            <rFont val="Tahoma"/>
            <family val="2"/>
          </rPr>
          <t>McHugh, Diana:</t>
        </r>
        <r>
          <rPr>
            <sz val="9"/>
            <color indexed="81"/>
            <rFont val="Tahoma"/>
            <family val="2"/>
          </rPr>
          <t xml:space="preserve">
3652 jk</t>
        </r>
      </text>
    </comment>
    <comment ref="R274" authorId="1" shapeId="0" xr:uid="{6B775485-52EC-4510-B947-772A9DDF0974}">
      <text>
        <r>
          <rPr>
            <b/>
            <sz val="9"/>
            <color indexed="81"/>
            <rFont val="Tahoma"/>
            <family val="2"/>
          </rPr>
          <t>McHugh, Diana:</t>
        </r>
        <r>
          <rPr>
            <sz val="9"/>
            <color indexed="81"/>
            <rFont val="Tahoma"/>
            <family val="2"/>
          </rPr>
          <t xml:space="preserve">
4095 jk</t>
        </r>
      </text>
    </comment>
    <comment ref="S274" authorId="1" shapeId="0" xr:uid="{B980E29B-87AB-4BF8-B9C6-23C4C7F09D1E}">
      <text>
        <r>
          <rPr>
            <b/>
            <sz val="9"/>
            <color indexed="81"/>
            <rFont val="Tahoma"/>
            <family val="2"/>
          </rPr>
          <t>McHugh, Diana:</t>
        </r>
        <r>
          <rPr>
            <sz val="9"/>
            <color indexed="81"/>
            <rFont val="Tahoma"/>
            <family val="2"/>
          </rPr>
          <t xml:space="preserve">
4282 jk</t>
        </r>
      </text>
    </comment>
    <comment ref="U274" authorId="1" shapeId="0" xr:uid="{400DCF6A-5107-4649-AC1F-3CB9D2D0D671}">
      <text>
        <r>
          <rPr>
            <b/>
            <sz val="9"/>
            <color indexed="81"/>
            <rFont val="Tahoma"/>
            <family val="2"/>
          </rPr>
          <t>McHugh, Diana:</t>
        </r>
        <r>
          <rPr>
            <sz val="9"/>
            <color indexed="81"/>
            <rFont val="Tahoma"/>
            <family val="2"/>
          </rPr>
          <t xml:space="preserve">
4381 jk</t>
        </r>
      </text>
    </comment>
    <comment ref="O277" authorId="1" shapeId="0" xr:uid="{0FB621AA-0B85-4589-A18A-02BA7C76AD75}">
      <text>
        <r>
          <rPr>
            <b/>
            <sz val="9"/>
            <color indexed="81"/>
            <rFont val="Tahoma"/>
            <family val="2"/>
          </rPr>
          <t>McHugh, Diana:</t>
        </r>
        <r>
          <rPr>
            <sz val="9"/>
            <color indexed="81"/>
            <rFont val="Tahoma"/>
            <family val="2"/>
          </rPr>
          <t xml:space="preserve">
755 jk</t>
        </r>
      </text>
    </comment>
    <comment ref="P277" authorId="1" shapeId="0" xr:uid="{70F3E913-C70E-4748-99D5-FEF4DA7B88E6}">
      <text>
        <r>
          <rPr>
            <b/>
            <sz val="9"/>
            <color indexed="81"/>
            <rFont val="Tahoma"/>
            <family val="2"/>
          </rPr>
          <t>McHugh, Diana:</t>
        </r>
        <r>
          <rPr>
            <sz val="9"/>
            <color indexed="81"/>
            <rFont val="Tahoma"/>
            <family val="2"/>
          </rPr>
          <t xml:space="preserve">
1178 jk
</t>
        </r>
      </text>
    </comment>
    <comment ref="Q277" authorId="1" shapeId="0" xr:uid="{DC0B3199-B6C5-42AC-8589-E599BEF09301}">
      <text>
        <r>
          <rPr>
            <b/>
            <sz val="9"/>
            <color indexed="81"/>
            <rFont val="Tahoma"/>
            <family val="2"/>
          </rPr>
          <t>McHugh, Diana:</t>
        </r>
        <r>
          <rPr>
            <sz val="9"/>
            <color indexed="81"/>
            <rFont val="Tahoma"/>
            <family val="2"/>
          </rPr>
          <t xml:space="preserve">
2614 jk</t>
        </r>
      </text>
    </comment>
    <comment ref="R277" authorId="1" shapeId="0" xr:uid="{CA0FED72-D8C3-48B7-9D44-BCD18D80B6AA}">
      <text>
        <r>
          <rPr>
            <b/>
            <sz val="9"/>
            <color indexed="81"/>
            <rFont val="Tahoma"/>
            <family val="2"/>
          </rPr>
          <t>McHugh, Diana:</t>
        </r>
        <r>
          <rPr>
            <sz val="9"/>
            <color indexed="81"/>
            <rFont val="Tahoma"/>
            <family val="2"/>
          </rPr>
          <t xml:space="preserve">
3245 jk</t>
        </r>
      </text>
    </comment>
    <comment ref="S277" authorId="1" shapeId="0" xr:uid="{B95979A1-16DB-44CC-BD95-42DB4F5C25E7}">
      <text>
        <r>
          <rPr>
            <b/>
            <sz val="9"/>
            <color indexed="81"/>
            <rFont val="Tahoma"/>
            <family val="2"/>
          </rPr>
          <t>McHugh, Diana:</t>
        </r>
        <r>
          <rPr>
            <sz val="9"/>
            <color indexed="81"/>
            <rFont val="Tahoma"/>
            <family val="2"/>
          </rPr>
          <t xml:space="preserve">
3828 jk</t>
        </r>
      </text>
    </comment>
    <comment ref="U277" authorId="1" shapeId="0" xr:uid="{A76FC2C1-0414-41A4-86C3-852210362AEA}">
      <text>
        <r>
          <rPr>
            <b/>
            <sz val="9"/>
            <color indexed="81"/>
            <rFont val="Tahoma"/>
            <family val="2"/>
          </rPr>
          <t>McHugh, Diana:</t>
        </r>
        <r>
          <rPr>
            <sz val="9"/>
            <color indexed="81"/>
            <rFont val="Tahoma"/>
            <family val="2"/>
          </rPr>
          <t xml:space="preserve">
4014 jk</t>
        </r>
      </text>
    </comment>
    <comment ref="U378" authorId="1" shapeId="0" xr:uid="{2033AAA3-2870-40CE-8639-56086305C162}">
      <text>
        <r>
          <rPr>
            <b/>
            <sz val="9"/>
            <color indexed="81"/>
            <rFont val="Tahoma"/>
            <family val="2"/>
          </rPr>
          <t>McHugh, Diana:</t>
        </r>
        <r>
          <rPr>
            <sz val="9"/>
            <color indexed="81"/>
            <rFont val="Tahoma"/>
            <family val="2"/>
          </rPr>
          <t xml:space="preserve">
600+ dead</t>
        </r>
      </text>
    </comment>
    <comment ref="Q412" authorId="1" shapeId="0" xr:uid="{2B0CE61B-F6F2-40FB-9ACB-A4ED048F1687}">
      <text>
        <r>
          <rPr>
            <b/>
            <sz val="9"/>
            <color indexed="81"/>
            <rFont val="Tahoma"/>
            <family val="2"/>
          </rPr>
          <t>McHugh, Diana:</t>
        </r>
        <r>
          <rPr>
            <sz val="9"/>
            <color indexed="81"/>
            <rFont val="Tahoma"/>
            <family val="2"/>
          </rPr>
          <t xml:space="preserve">
16 jk</t>
        </r>
      </text>
    </comment>
    <comment ref="R412" authorId="1" shapeId="0" xr:uid="{D7F99412-B6EB-4F06-8908-6986842E8A9F}">
      <text>
        <r>
          <rPr>
            <b/>
            <sz val="9"/>
            <color indexed="81"/>
            <rFont val="Tahoma"/>
            <family val="2"/>
          </rPr>
          <t>McHugh, Diana:</t>
        </r>
        <r>
          <rPr>
            <sz val="9"/>
            <color indexed="81"/>
            <rFont val="Tahoma"/>
            <family val="2"/>
          </rPr>
          <t xml:space="preserve">
17 jk, an additional 12-14 are sitting below the fence, creek flows in good shape</t>
        </r>
      </text>
    </comment>
    <comment ref="S412" authorId="1" shapeId="0" xr:uid="{638BC1CC-4A5C-430E-9FF6-98781D1FE994}">
      <text>
        <r>
          <rPr>
            <b/>
            <sz val="9"/>
            <color indexed="81"/>
            <rFont val="Tahoma"/>
            <family val="2"/>
          </rPr>
          <t>McHugh, Diana:</t>
        </r>
        <r>
          <rPr>
            <sz val="9"/>
            <color indexed="81"/>
            <rFont val="Tahoma"/>
            <family val="2"/>
          </rPr>
          <t xml:space="preserve">
250 mm of rain over 36 hrs, some coho went over the fence during the flood</t>
        </r>
      </text>
    </comment>
    <comment ref="T412" authorId="1" shapeId="0" xr:uid="{DC3017DA-7AA4-494A-A120-F3B47361204E}">
      <text>
        <r>
          <rPr>
            <b/>
            <sz val="9"/>
            <color indexed="81"/>
            <rFont val="Tahoma"/>
            <family val="2"/>
          </rPr>
          <t>McHugh, Diana:</t>
        </r>
        <r>
          <rPr>
            <sz val="9"/>
            <color indexed="81"/>
            <rFont val="Tahoma"/>
            <family val="2"/>
          </rPr>
          <t xml:space="preserve">
22 jk</t>
        </r>
      </text>
    </comment>
    <comment ref="U412" authorId="1" shapeId="0" xr:uid="{3433850E-A3AB-4D2E-9327-B0227406C32E}">
      <text>
        <r>
          <rPr>
            <b/>
            <sz val="9"/>
            <color indexed="81"/>
            <rFont val="Tahoma"/>
            <family val="2"/>
          </rPr>
          <t>McHugh, Diana:</t>
        </r>
        <r>
          <rPr>
            <sz val="9"/>
            <color indexed="81"/>
            <rFont val="Tahoma"/>
            <family val="2"/>
          </rPr>
          <t xml:space="preserve">
24 jk</t>
        </r>
      </text>
    </comment>
    <comment ref="V412" authorId="1" shapeId="0" xr:uid="{EC2B09B1-E008-4F47-B54B-C6FCC9CF7F7C}">
      <text>
        <r>
          <rPr>
            <b/>
            <sz val="9"/>
            <color indexed="81"/>
            <rFont val="Tahoma"/>
            <family val="2"/>
          </rPr>
          <t>McHugh, Diana:</t>
        </r>
        <r>
          <rPr>
            <sz val="9"/>
            <color indexed="81"/>
            <rFont val="Tahoma"/>
            <family val="2"/>
          </rPr>
          <t xml:space="preserve">
24 jk
Nov 9 update</t>
        </r>
      </text>
    </comment>
    <comment ref="W412" authorId="1" shapeId="0" xr:uid="{8EE2CB0E-D5B7-41E3-B9DA-9DC0C7EADF4C}">
      <text>
        <r>
          <rPr>
            <b/>
            <sz val="9"/>
            <color indexed="81"/>
            <rFont val="Tahoma"/>
            <family val="2"/>
          </rPr>
          <t>McHugh, Diana:</t>
        </r>
        <r>
          <rPr>
            <sz val="9"/>
            <color indexed="81"/>
            <rFont val="Tahoma"/>
            <family val="2"/>
          </rPr>
          <t xml:space="preserve">
24 jk
Nov 16 update</t>
        </r>
      </text>
    </comment>
    <comment ref="AL417" authorId="25" shapeId="0" xr:uid="{48E93757-4DAD-4E69-9162-8B6414FB84D4}">
      <text>
        <t>[Threaded comment]
Your version of Excel allows you to read this threaded comment; however, any edits to it will get removed if the file is opened in a newer version of Excel. Learn more: https://go.microsoft.com/fwlink/?linkid=870924
Comment:
    Estimate is less than the peak, either go with the peak or reduce the SL to fit.</t>
      </text>
    </comment>
    <comment ref="AL418" authorId="26" shapeId="0" xr:uid="{9DC85E7F-1729-4BFB-80E4-D8EED473338A}">
      <text>
        <t>[Threaded comment]
Your version of Excel allows you to read this threaded comment; however, any edits to it will get removed if the file is opened in a newer version of Excel. Learn more: https://go.microsoft.com/fwlink/?linkid=870924
Comment:
    Estimate is less than the peak, either go with the peak or reduce the SL to fit.</t>
      </text>
    </comment>
    <comment ref="W420" authorId="1" shapeId="0" xr:uid="{F8EE37D5-6B06-40EB-9965-5BD1A394A2BB}">
      <text>
        <r>
          <rPr>
            <b/>
            <sz val="9"/>
            <color indexed="81"/>
            <rFont val="Tahoma"/>
            <family val="2"/>
          </rPr>
          <t>McHugh, Diana:</t>
        </r>
        <r>
          <rPr>
            <sz val="9"/>
            <color indexed="81"/>
            <rFont val="Tahoma"/>
            <family val="2"/>
          </rPr>
          <t xml:space="preserve">
Morts were too decomposed to count.</t>
        </r>
      </text>
    </comment>
    <comment ref="O421" authorId="1" shapeId="0" xr:uid="{EAA499DC-7754-40A8-A4D5-8D202AA9616B}">
      <text>
        <r>
          <rPr>
            <b/>
            <sz val="9"/>
            <color indexed="81"/>
            <rFont val="Tahoma"/>
            <family val="2"/>
          </rPr>
          <t>McHugh, Diana:</t>
        </r>
        <r>
          <rPr>
            <sz val="9"/>
            <color indexed="81"/>
            <rFont val="Tahoma"/>
            <family val="2"/>
          </rPr>
          <t xml:space="preserve">
8 jk</t>
        </r>
      </text>
    </comment>
    <comment ref="P421" authorId="1" shapeId="0" xr:uid="{990124BE-1032-44CD-AECC-157C5BA27FF1}">
      <text>
        <r>
          <rPr>
            <b/>
            <sz val="9"/>
            <color indexed="81"/>
            <rFont val="Tahoma"/>
            <family val="2"/>
          </rPr>
          <t>McHugh, Diana:</t>
        </r>
        <r>
          <rPr>
            <sz val="9"/>
            <color indexed="81"/>
            <rFont val="Tahoma"/>
            <family val="2"/>
          </rPr>
          <t xml:space="preserve">
217 jk</t>
        </r>
      </text>
    </comment>
    <comment ref="Q421" authorId="1" shapeId="0" xr:uid="{D1D2FFD1-51EF-4517-8ADA-21B6B3145AE0}">
      <text>
        <r>
          <rPr>
            <b/>
            <sz val="9"/>
            <color indexed="81"/>
            <rFont val="Tahoma"/>
            <family val="2"/>
          </rPr>
          <t>McHugh, Diana:</t>
        </r>
        <r>
          <rPr>
            <sz val="9"/>
            <color indexed="81"/>
            <rFont val="Tahoma"/>
            <family val="2"/>
          </rPr>
          <t xml:space="preserve">
67 jk</t>
        </r>
      </text>
    </comment>
    <comment ref="E429" authorId="1" shapeId="0" xr:uid="{00000000-0006-0000-0100-000019000000}">
      <text>
        <r>
          <rPr>
            <b/>
            <sz val="9"/>
            <color indexed="81"/>
            <rFont val="Tahoma"/>
            <family val="2"/>
          </rPr>
          <t>McHugh, Diana:</t>
        </r>
        <r>
          <rPr>
            <sz val="9"/>
            <color indexed="81"/>
            <rFont val="Tahoma"/>
            <family val="2"/>
          </rPr>
          <t xml:space="preserve">
Pachena Tributary</t>
        </r>
      </text>
    </comment>
    <comment ref="T430" authorId="1" shapeId="0" xr:uid="{2CB4C38D-8A73-4E0E-B484-233148B94B48}">
      <text>
        <r>
          <rPr>
            <b/>
            <sz val="9"/>
            <color indexed="81"/>
            <rFont val="Tahoma"/>
            <family val="2"/>
          </rPr>
          <t>McHugh, Diana:</t>
        </r>
        <r>
          <rPr>
            <sz val="9"/>
            <color indexed="81"/>
            <rFont val="Tahoma"/>
            <family val="2"/>
          </rPr>
          <t xml:space="preserve">
18 jk</t>
        </r>
      </text>
    </comment>
    <comment ref="O435" authorId="1" shapeId="0" xr:uid="{9F089796-1375-4250-BFD0-4FB30EE297F4}">
      <text>
        <r>
          <rPr>
            <b/>
            <sz val="9"/>
            <color indexed="81"/>
            <rFont val="Tahoma"/>
            <family val="2"/>
          </rPr>
          <t>McHugh, Diana:</t>
        </r>
        <r>
          <rPr>
            <sz val="9"/>
            <color indexed="81"/>
            <rFont val="Tahoma"/>
            <family val="2"/>
          </rPr>
          <t xml:space="preserve">
3 jk</t>
        </r>
      </text>
    </comment>
    <comment ref="O436" authorId="1" shapeId="0" xr:uid="{F1C75871-8955-4724-B7DA-7895E5729E38}">
      <text>
        <r>
          <rPr>
            <b/>
            <sz val="9"/>
            <color indexed="81"/>
            <rFont val="Tahoma"/>
            <family val="2"/>
          </rPr>
          <t>McHugh, Diana:</t>
        </r>
        <r>
          <rPr>
            <sz val="9"/>
            <color indexed="81"/>
            <rFont val="Tahoma"/>
            <family val="2"/>
          </rPr>
          <t xml:space="preserve">
55 live and 2 dead jk</t>
        </r>
      </text>
    </comment>
    <comment ref="Q436" authorId="1" shapeId="0" xr:uid="{34DB3CE4-CCB4-4184-8CD7-D2040480C3CA}">
      <text>
        <r>
          <rPr>
            <b/>
            <sz val="9"/>
            <color indexed="81"/>
            <rFont val="Tahoma"/>
            <family val="2"/>
          </rPr>
          <t>McHugh, Diana:</t>
        </r>
        <r>
          <rPr>
            <sz val="9"/>
            <color indexed="81"/>
            <rFont val="Tahoma"/>
            <family val="2"/>
          </rPr>
          <t xml:space="preserve">
26 jk</t>
        </r>
      </text>
    </comment>
    <comment ref="V436" authorId="1" shapeId="0" xr:uid="{DEB6EA50-3062-496E-973C-CBD074A835CF}">
      <text>
        <r>
          <rPr>
            <b/>
            <sz val="9"/>
            <color indexed="81"/>
            <rFont val="Tahoma"/>
            <family val="2"/>
          </rPr>
          <t>McHugh, Diana:</t>
        </r>
        <r>
          <rPr>
            <sz val="9"/>
            <color indexed="81"/>
            <rFont val="Tahoma"/>
            <family val="2"/>
          </rPr>
          <t xml:space="preserve">
8 jk
Upper Toquaht survey</t>
        </r>
      </text>
    </comment>
    <comment ref="O439" authorId="1" shapeId="0" xr:uid="{EAF2AC8F-2264-4D20-8E44-AE32A49ADE56}">
      <text>
        <r>
          <rPr>
            <b/>
            <sz val="9"/>
            <color indexed="81"/>
            <rFont val="Tahoma"/>
            <family val="2"/>
          </rPr>
          <t>McHugh, Diana:</t>
        </r>
        <r>
          <rPr>
            <sz val="9"/>
            <color indexed="81"/>
            <rFont val="Tahoma"/>
            <family val="2"/>
          </rPr>
          <t xml:space="preserve">
Swim before the rain
1 jk
</t>
        </r>
      </text>
    </comment>
    <comment ref="V442" authorId="1" shapeId="0" xr:uid="{C95BFAC4-E335-4D4C-A500-AE181021A374}">
      <text>
        <r>
          <rPr>
            <b/>
            <sz val="9"/>
            <color indexed="81"/>
            <rFont val="Tahoma"/>
            <family val="2"/>
          </rPr>
          <t>McHugh, Diana:</t>
        </r>
        <r>
          <rPr>
            <sz val="9"/>
            <color indexed="81"/>
            <rFont val="Tahoma"/>
            <family val="2"/>
          </rPr>
          <t xml:space="preserve">
2 jk</t>
        </r>
      </text>
    </comment>
    <comment ref="T444" authorId="1" shapeId="0" xr:uid="{5E7D53C2-BF13-4B4C-8A19-5D063CE082AE}">
      <text>
        <r>
          <rPr>
            <b/>
            <sz val="9"/>
            <color indexed="81"/>
            <rFont val="Tahoma"/>
            <family val="2"/>
          </rPr>
          <t>McHugh, Diana:</t>
        </r>
        <r>
          <rPr>
            <sz val="9"/>
            <color indexed="81"/>
            <rFont val="Tahoma"/>
            <family val="2"/>
          </rPr>
          <t xml:space="preserve">
Fish swirling in the estuary</t>
        </r>
      </text>
    </comment>
    <comment ref="E459" authorId="0" shapeId="0" xr:uid="{00000000-0006-0000-0100-00001C000000}">
      <text>
        <r>
          <rPr>
            <b/>
            <sz val="9"/>
            <color indexed="81"/>
            <rFont val="Tahoma"/>
            <family val="2"/>
          </rPr>
          <t>DFO-MPO:</t>
        </r>
        <r>
          <rPr>
            <sz val="9"/>
            <color indexed="81"/>
            <rFont val="Tahoma"/>
            <family val="2"/>
          </rPr>
          <t xml:space="preserve">
tributary into Maggie Lake</t>
        </r>
      </text>
    </comment>
    <comment ref="Q460" authorId="1" shapeId="0" xr:uid="{26316661-8234-4D57-BB08-2B3D124B3B7B}">
      <text>
        <r>
          <rPr>
            <b/>
            <sz val="9"/>
            <color indexed="81"/>
            <rFont val="Tahoma"/>
            <family val="2"/>
          </rPr>
          <t>McHugh, Diana:</t>
        </r>
        <r>
          <rPr>
            <sz val="9"/>
            <color indexed="81"/>
            <rFont val="Tahoma"/>
            <family val="2"/>
          </rPr>
          <t xml:space="preserve">
8 jk</t>
        </r>
      </text>
    </comment>
    <comment ref="V460" authorId="1" shapeId="0" xr:uid="{2B1A194F-86CE-41F0-B47E-A04CFACFCA1B}">
      <text>
        <r>
          <rPr>
            <b/>
            <sz val="9"/>
            <color indexed="81"/>
            <rFont val="Tahoma"/>
            <family val="2"/>
          </rPr>
          <t>McHugh, Diana:</t>
        </r>
        <r>
          <rPr>
            <sz val="9"/>
            <color indexed="81"/>
            <rFont val="Tahoma"/>
            <family val="2"/>
          </rPr>
          <t xml:space="preserve">
7 jk</t>
        </r>
      </text>
    </comment>
    <comment ref="W460" authorId="1" shapeId="0" xr:uid="{CBBE12B4-0AF4-4472-BF05-290FEE05DD9F}">
      <text>
        <r>
          <rPr>
            <b/>
            <sz val="9"/>
            <color indexed="81"/>
            <rFont val="Tahoma"/>
            <family val="2"/>
          </rPr>
          <t>McHugh, Diana:</t>
        </r>
        <r>
          <rPr>
            <sz val="9"/>
            <color indexed="81"/>
            <rFont val="Tahoma"/>
            <family val="2"/>
          </rPr>
          <t xml:space="preserve">
18 jk</t>
        </r>
      </text>
    </comment>
    <comment ref="AN460" authorId="27" shapeId="0" xr:uid="{8CDE1F7A-A126-4785-9930-B666A1786D09}">
      <text>
        <t>[Threaded comment]
Your version of Excel allows you to read this threaded comment; however, any edits to it will get removed if the file is opened in a newer version of Excel. Learn more: https://go.microsoft.com/fwlink/?linkid=870924
Comment:
    Nov 8 Expanded twice, though it didn't change the peak count</t>
      </text>
    </comment>
    <comment ref="T484" authorId="1" shapeId="0" xr:uid="{3CE305D5-232E-49A2-B163-F2A924DCAEFE}">
      <text>
        <r>
          <rPr>
            <b/>
            <sz val="9"/>
            <color indexed="81"/>
            <rFont val="Tahoma"/>
            <family val="2"/>
          </rPr>
          <t>McHugh, Diana:</t>
        </r>
        <r>
          <rPr>
            <sz val="9"/>
            <color indexed="81"/>
            <rFont val="Tahoma"/>
            <family val="2"/>
          </rPr>
          <t xml:space="preserve">
4 jk</t>
        </r>
      </text>
    </comment>
    <comment ref="AN486" authorId="28" shapeId="0" xr:uid="{2240B7F6-0838-4F9F-B293-6C04AF68712B}">
      <text>
        <t xml:space="preserve">[Threaded comment]
Your version of Excel allows you to read this threaded comment; however, any edits to it will get removed if the file is opened in a newer version of Excel. Learn more: https://go.microsoft.com/fwlink/?linkid=870924
Comment:
    Expanding twice </t>
      </text>
    </comment>
    <comment ref="T487" authorId="1" shapeId="0" xr:uid="{4E58EAC4-BC0B-4903-BD10-19EAE0C8821E}">
      <text>
        <r>
          <rPr>
            <b/>
            <sz val="9"/>
            <color indexed="81"/>
            <rFont val="Tahoma"/>
            <family val="2"/>
          </rPr>
          <t>McHugh, Diana:</t>
        </r>
        <r>
          <rPr>
            <sz val="9"/>
            <color indexed="81"/>
            <rFont val="Tahoma"/>
            <family val="2"/>
          </rPr>
          <t xml:space="preserve">
1 jk</t>
        </r>
      </text>
    </comment>
    <comment ref="E501" authorId="0" shapeId="0" xr:uid="{08EDEE6E-A636-4228-8C9B-2DE37B5FE821}">
      <text>
        <r>
          <rPr>
            <b/>
            <sz val="9"/>
            <color indexed="81"/>
            <rFont val="Tahoma"/>
            <family val="2"/>
          </rPr>
          <t>DFO-MPO:</t>
        </r>
        <r>
          <rPr>
            <sz val="9"/>
            <color indexed="81"/>
            <rFont val="Tahoma"/>
            <family val="2"/>
          </rPr>
          <t xml:space="preserve">
tributary into Maggie Lake</t>
        </r>
      </text>
    </comment>
    <comment ref="V502" authorId="1" shapeId="0" xr:uid="{A287AB16-431B-478B-A5DA-A9BC3DBEB163}">
      <text>
        <r>
          <rPr>
            <b/>
            <sz val="9"/>
            <color indexed="81"/>
            <rFont val="Tahoma"/>
            <family val="2"/>
          </rPr>
          <t>McHugh, Diana:</t>
        </r>
        <r>
          <rPr>
            <sz val="9"/>
            <color indexed="81"/>
            <rFont val="Tahoma"/>
            <family val="2"/>
          </rPr>
          <t xml:space="preserve">
4 jk</t>
        </r>
      </text>
    </comment>
    <comment ref="W502" authorId="1" shapeId="0" xr:uid="{98E3188B-3808-4697-9D45-8D28CCEF1F91}">
      <text>
        <r>
          <rPr>
            <b/>
            <sz val="9"/>
            <color indexed="81"/>
            <rFont val="Tahoma"/>
            <family val="2"/>
          </rPr>
          <t>McHugh, Diana:</t>
        </r>
        <r>
          <rPr>
            <sz val="9"/>
            <color indexed="81"/>
            <rFont val="Tahoma"/>
            <family val="2"/>
          </rPr>
          <t xml:space="preserve">
1 jk</t>
        </r>
      </text>
    </comment>
    <comment ref="N531" authorId="1" shapeId="0" xr:uid="{94A4035C-A82D-4D48-9BD4-C44955521FFD}">
      <text>
        <r>
          <rPr>
            <b/>
            <sz val="9"/>
            <color indexed="81"/>
            <rFont val="Tahoma"/>
            <family val="2"/>
          </rPr>
          <t>McHugh, Diana:</t>
        </r>
        <r>
          <rPr>
            <sz val="9"/>
            <color indexed="81"/>
            <rFont val="Tahoma"/>
            <family val="2"/>
          </rPr>
          <t xml:space="preserve">
18 jk, schooling in the lake, creek mouth blocked, more fish holding deeper in the lake</t>
        </r>
      </text>
    </comment>
    <comment ref="O531" authorId="1" shapeId="0" xr:uid="{6200D6EA-C2ED-4584-A4F6-D2D02AABACDC}">
      <text>
        <r>
          <rPr>
            <b/>
            <sz val="9"/>
            <color indexed="81"/>
            <rFont val="Tahoma"/>
            <family val="2"/>
          </rPr>
          <t>McHugh, Diana:</t>
        </r>
        <r>
          <rPr>
            <sz val="9"/>
            <color indexed="81"/>
            <rFont val="Tahoma"/>
            <family val="2"/>
          </rPr>
          <t xml:space="preserve">
23 jk</t>
        </r>
      </text>
    </comment>
    <comment ref="P531" authorId="1" shapeId="0" xr:uid="{1B70E11F-0F14-481C-9B07-EE8EC171E37E}">
      <text>
        <r>
          <rPr>
            <b/>
            <sz val="9"/>
            <color indexed="81"/>
            <rFont val="Tahoma"/>
            <family val="2"/>
          </rPr>
          <t>McHugh, Diana:</t>
        </r>
        <r>
          <rPr>
            <sz val="9"/>
            <color indexed="81"/>
            <rFont val="Tahoma"/>
            <family val="2"/>
          </rPr>
          <t xml:space="preserve">
33 jk</t>
        </r>
      </text>
    </comment>
    <comment ref="S531" authorId="1" shapeId="0" xr:uid="{A43B5E50-42EE-4CDC-909C-BD5984144DA1}">
      <text>
        <r>
          <rPr>
            <b/>
            <sz val="9"/>
            <color indexed="81"/>
            <rFont val="Tahoma"/>
            <family val="2"/>
          </rPr>
          <t>McHugh, Diana:</t>
        </r>
        <r>
          <rPr>
            <sz val="9"/>
            <color indexed="81"/>
            <rFont val="Tahoma"/>
            <family val="2"/>
          </rPr>
          <t xml:space="preserve">
12 jk</t>
        </r>
      </text>
    </comment>
    <comment ref="T531" authorId="1" shapeId="0" xr:uid="{1C440C75-BD66-4BA9-A6F1-AE689336DDAC}">
      <text>
        <r>
          <rPr>
            <b/>
            <sz val="9"/>
            <color indexed="81"/>
            <rFont val="Tahoma"/>
            <family val="2"/>
          </rPr>
          <t>McHugh, Diana:</t>
        </r>
        <r>
          <rPr>
            <sz val="9"/>
            <color indexed="81"/>
            <rFont val="Tahoma"/>
            <family val="2"/>
          </rPr>
          <t xml:space="preserve">
10 jk</t>
        </r>
      </text>
    </comment>
    <comment ref="U531" authorId="1" shapeId="0" xr:uid="{CFE6FF7C-636E-4162-913E-EB47DE5B39AD}">
      <text>
        <r>
          <rPr>
            <b/>
            <sz val="9"/>
            <color indexed="81"/>
            <rFont val="Tahoma"/>
            <family val="2"/>
          </rPr>
          <t>McHugh, Diana:</t>
        </r>
        <r>
          <rPr>
            <sz val="9"/>
            <color indexed="81"/>
            <rFont val="Tahoma"/>
            <family val="2"/>
          </rPr>
          <t xml:space="preserve">
6 jk</t>
        </r>
      </text>
    </comment>
    <comment ref="N532" authorId="1" shapeId="0" xr:uid="{ABD47020-D2FE-427B-BE64-62CB22320A84}">
      <text>
        <r>
          <rPr>
            <b/>
            <sz val="9"/>
            <color indexed="81"/>
            <rFont val="Tahoma"/>
            <family val="2"/>
          </rPr>
          <t>McHugh, Diana:</t>
        </r>
        <r>
          <rPr>
            <sz val="9"/>
            <color indexed="81"/>
            <rFont val="Tahoma"/>
            <family val="2"/>
          </rPr>
          <t xml:space="preserve">
7 jk</t>
        </r>
      </text>
    </comment>
    <comment ref="O532" authorId="1" shapeId="0" xr:uid="{44B82C1D-D992-4799-A989-D6F092CAA8A5}">
      <text>
        <r>
          <rPr>
            <b/>
            <sz val="9"/>
            <color indexed="81"/>
            <rFont val="Tahoma"/>
            <family val="2"/>
          </rPr>
          <t>McHugh, Diana:</t>
        </r>
        <r>
          <rPr>
            <sz val="9"/>
            <color indexed="81"/>
            <rFont val="Tahoma"/>
            <family val="2"/>
          </rPr>
          <t xml:space="preserve">
32 jk</t>
        </r>
      </text>
    </comment>
    <comment ref="P532" authorId="1" shapeId="0" xr:uid="{957916A6-B615-48DB-8405-1D04EF303A59}">
      <text>
        <r>
          <rPr>
            <b/>
            <sz val="9"/>
            <color indexed="81"/>
            <rFont val="Tahoma"/>
            <family val="2"/>
          </rPr>
          <t>McHugh, Diana:</t>
        </r>
        <r>
          <rPr>
            <sz val="9"/>
            <color indexed="81"/>
            <rFont val="Tahoma"/>
            <family val="2"/>
          </rPr>
          <t xml:space="preserve">
173 jk</t>
        </r>
      </text>
    </comment>
    <comment ref="Q532" authorId="1" shapeId="0" xr:uid="{66AC9953-927F-4345-B7E5-8AB868E1D2B0}">
      <text>
        <r>
          <rPr>
            <b/>
            <sz val="9"/>
            <color indexed="81"/>
            <rFont val="Tahoma"/>
            <family val="2"/>
          </rPr>
          <t>McHugh, Diana:</t>
        </r>
        <r>
          <rPr>
            <sz val="9"/>
            <color indexed="81"/>
            <rFont val="Tahoma"/>
            <family val="2"/>
          </rPr>
          <t xml:space="preserve">
153 jk</t>
        </r>
      </text>
    </comment>
    <comment ref="S532" authorId="1" shapeId="0" xr:uid="{CB51E19E-717C-4E18-A01D-C8A0DF5618CF}">
      <text>
        <r>
          <rPr>
            <b/>
            <sz val="9"/>
            <color indexed="81"/>
            <rFont val="Tahoma"/>
            <family val="2"/>
          </rPr>
          <t>McHugh, Diana:</t>
        </r>
        <r>
          <rPr>
            <sz val="9"/>
            <color indexed="81"/>
            <rFont val="Tahoma"/>
            <family val="2"/>
          </rPr>
          <t xml:space="preserve">
37 jk</t>
        </r>
      </text>
    </comment>
    <comment ref="T532" authorId="1" shapeId="0" xr:uid="{9237ED87-EE5E-4BF1-966F-694707CAF881}">
      <text>
        <r>
          <rPr>
            <b/>
            <sz val="9"/>
            <color indexed="81"/>
            <rFont val="Tahoma"/>
            <family val="2"/>
          </rPr>
          <t>McHugh, Diana:</t>
        </r>
        <r>
          <rPr>
            <sz val="9"/>
            <color indexed="81"/>
            <rFont val="Tahoma"/>
            <family val="2"/>
          </rPr>
          <t xml:space="preserve">
115 jk</t>
        </r>
      </text>
    </comment>
    <comment ref="U532" authorId="1" shapeId="0" xr:uid="{30DBD028-8F48-476A-BC15-6097B21212C1}">
      <text>
        <r>
          <rPr>
            <b/>
            <sz val="9"/>
            <color indexed="81"/>
            <rFont val="Tahoma"/>
            <family val="2"/>
          </rPr>
          <t>McHugh, Diana:</t>
        </r>
        <r>
          <rPr>
            <sz val="9"/>
            <color indexed="81"/>
            <rFont val="Tahoma"/>
            <family val="2"/>
          </rPr>
          <t xml:space="preserve">
94 jk</t>
        </r>
      </text>
    </comment>
    <comment ref="W532" authorId="1" shapeId="0" xr:uid="{B01473DF-FADF-42E1-8673-B67B3949C1F8}">
      <text>
        <r>
          <rPr>
            <b/>
            <sz val="9"/>
            <color indexed="81"/>
            <rFont val="Tahoma"/>
            <family val="2"/>
          </rPr>
          <t>McHugh, Diana:</t>
        </r>
        <r>
          <rPr>
            <sz val="9"/>
            <color indexed="81"/>
            <rFont val="Tahoma"/>
            <family val="2"/>
          </rPr>
          <t xml:space="preserve">
68 jk</t>
        </r>
      </text>
    </comment>
    <comment ref="N535" authorId="1" shapeId="0" xr:uid="{598F8695-2C63-49AB-814B-947532849334}">
      <text>
        <r>
          <rPr>
            <b/>
            <sz val="9"/>
            <color indexed="81"/>
            <rFont val="Tahoma"/>
            <family val="2"/>
          </rPr>
          <t>McHugh, Diana:</t>
        </r>
        <r>
          <rPr>
            <sz val="9"/>
            <color indexed="81"/>
            <rFont val="Tahoma"/>
            <family val="2"/>
          </rPr>
          <t xml:space="preserve">
2 jk</t>
        </r>
      </text>
    </comment>
    <comment ref="O535" authorId="1" shapeId="0" xr:uid="{3F3040C8-66EC-4E14-9832-6E2A0D7D89E9}">
      <text>
        <r>
          <rPr>
            <b/>
            <sz val="9"/>
            <color indexed="81"/>
            <rFont val="Tahoma"/>
            <family val="2"/>
          </rPr>
          <t>McHugh, Diana:</t>
        </r>
        <r>
          <rPr>
            <sz val="9"/>
            <color indexed="81"/>
            <rFont val="Tahoma"/>
            <family val="2"/>
          </rPr>
          <t xml:space="preserve">
2 jk</t>
        </r>
      </text>
    </comment>
    <comment ref="P535" authorId="1" shapeId="0" xr:uid="{45B29437-E909-4A96-8475-EF5A15972AF8}">
      <text>
        <r>
          <rPr>
            <b/>
            <sz val="9"/>
            <color indexed="81"/>
            <rFont val="Tahoma"/>
            <family val="2"/>
          </rPr>
          <t>McHugh, Diana:</t>
        </r>
        <r>
          <rPr>
            <sz val="9"/>
            <color indexed="81"/>
            <rFont val="Tahoma"/>
            <family val="2"/>
          </rPr>
          <t xml:space="preserve">
5 jk</t>
        </r>
      </text>
    </comment>
    <comment ref="Q535" authorId="1" shapeId="0" xr:uid="{3C8C16AC-705B-4D31-823C-67C8F6AAE95A}">
      <text>
        <r>
          <rPr>
            <b/>
            <sz val="9"/>
            <color indexed="81"/>
            <rFont val="Tahoma"/>
            <family val="2"/>
          </rPr>
          <t>McHugh, Diana:</t>
        </r>
        <r>
          <rPr>
            <sz val="9"/>
            <color indexed="81"/>
            <rFont val="Tahoma"/>
            <family val="2"/>
          </rPr>
          <t xml:space="preserve">
4 jk</t>
        </r>
      </text>
    </comment>
    <comment ref="S535" authorId="1" shapeId="0" xr:uid="{237B7844-2937-4504-A902-C7863F42287C}">
      <text>
        <r>
          <rPr>
            <b/>
            <sz val="9"/>
            <color indexed="81"/>
            <rFont val="Tahoma"/>
            <family val="2"/>
          </rPr>
          <t>McHugh, Diana:</t>
        </r>
        <r>
          <rPr>
            <sz val="9"/>
            <color indexed="81"/>
            <rFont val="Tahoma"/>
            <family val="2"/>
          </rPr>
          <t xml:space="preserve">
6 jk</t>
        </r>
      </text>
    </comment>
    <comment ref="O580" authorId="1" shapeId="0" xr:uid="{CFCE7F2C-60D6-4BEA-A6AC-2BBEB24D3795}">
      <text>
        <r>
          <rPr>
            <b/>
            <sz val="9"/>
            <color indexed="81"/>
            <rFont val="Tahoma"/>
            <family val="2"/>
          </rPr>
          <t>McHugh, Diana:</t>
        </r>
        <r>
          <rPr>
            <sz val="9"/>
            <color indexed="81"/>
            <rFont val="Tahoma"/>
            <family val="2"/>
          </rPr>
          <t xml:space="preserve">
9 jk</t>
        </r>
      </text>
    </comment>
    <comment ref="T580" authorId="1" shapeId="0" xr:uid="{745576B6-3144-4494-B0A2-1D17F83E8285}">
      <text>
        <r>
          <rPr>
            <b/>
            <sz val="9"/>
            <color indexed="81"/>
            <rFont val="Tahoma"/>
            <family val="2"/>
          </rPr>
          <t>McHugh, Diana:</t>
        </r>
        <r>
          <rPr>
            <sz val="9"/>
            <color indexed="81"/>
            <rFont val="Tahoma"/>
            <family val="2"/>
          </rPr>
          <t xml:space="preserve">
11 jk
</t>
        </r>
      </text>
    </comment>
    <comment ref="AL580" authorId="29" shapeId="0" xr:uid="{D0E6FE8C-1CB4-4E0B-966F-AEC7DDB62FC5}">
      <text>
        <t>[Threaded comment]
Your version of Excel allows you to read this threaded comment; however, any edits to it will get removed if the file is opened in a newer version of Excel. Learn more: https://go.microsoft.com/fwlink/?linkid=870924
Comment:
    Expanded twice, the OE should be reset to 100% for the calculation, unless they missed a portion of the normal survey area.</t>
      </text>
    </comment>
    <comment ref="M621" authorId="1" shapeId="0" xr:uid="{B8424B19-30AF-4E00-B090-5FEBC71EF56C}">
      <text>
        <r>
          <rPr>
            <b/>
            <sz val="9"/>
            <color indexed="81"/>
            <rFont val="Tahoma"/>
            <family val="2"/>
          </rPr>
          <t>McHugh, Diana:</t>
        </r>
        <r>
          <rPr>
            <sz val="9"/>
            <color indexed="81"/>
            <rFont val="Tahoma"/>
            <family val="2"/>
          </rPr>
          <t xml:space="preserve">
29 jk</t>
        </r>
      </text>
    </comment>
    <comment ref="O621" authorId="1" shapeId="0" xr:uid="{7EF9A431-180A-4703-BCDB-68D39DDA0CA0}">
      <text>
        <r>
          <rPr>
            <b/>
            <sz val="9"/>
            <color indexed="81"/>
            <rFont val="Tahoma"/>
            <family val="2"/>
          </rPr>
          <t>McHugh, Diana:</t>
        </r>
        <r>
          <rPr>
            <sz val="9"/>
            <color indexed="81"/>
            <rFont val="Tahoma"/>
            <family val="2"/>
          </rPr>
          <t xml:space="preserve">
33 jk</t>
        </r>
      </text>
    </comment>
    <comment ref="P621" authorId="1" shapeId="0" xr:uid="{E8FA2CD4-982F-4C1B-ABDF-FC5D879E63A1}">
      <text>
        <r>
          <rPr>
            <b/>
            <sz val="9"/>
            <color indexed="81"/>
            <rFont val="Tahoma"/>
            <family val="2"/>
          </rPr>
          <t>McHugh, Diana:</t>
        </r>
        <r>
          <rPr>
            <sz val="9"/>
            <color indexed="81"/>
            <rFont val="Tahoma"/>
            <family val="2"/>
          </rPr>
          <t xml:space="preserve">
Water high, visibilty poor</t>
        </r>
      </text>
    </comment>
    <comment ref="T621" authorId="1" shapeId="0" xr:uid="{F27D6325-6FE6-4D15-BEFC-77ADD794C24A}">
      <text>
        <r>
          <rPr>
            <b/>
            <sz val="9"/>
            <color indexed="81"/>
            <rFont val="Tahoma"/>
            <family val="2"/>
          </rPr>
          <t>McHugh, Diana:</t>
        </r>
        <r>
          <rPr>
            <sz val="9"/>
            <color indexed="81"/>
            <rFont val="Tahoma"/>
            <family val="2"/>
          </rPr>
          <t xml:space="preserve">
18 jk</t>
        </r>
      </text>
    </comment>
    <comment ref="M622" authorId="1" shapeId="0" xr:uid="{026D65AE-ED39-4341-98EA-1CBDC1E8B40F}">
      <text>
        <r>
          <rPr>
            <b/>
            <sz val="9"/>
            <color indexed="81"/>
            <rFont val="Tahoma"/>
            <family val="2"/>
          </rPr>
          <t>McHugh, Diana:</t>
        </r>
        <r>
          <rPr>
            <sz val="9"/>
            <color indexed="81"/>
            <rFont val="Tahoma"/>
            <family val="2"/>
          </rPr>
          <t xml:space="preserve">
10 jk</t>
        </r>
      </text>
    </comment>
    <comment ref="O622" authorId="1" shapeId="0" xr:uid="{E5F1178F-3CE4-466A-A749-33D7B10C5CDE}">
      <text>
        <r>
          <rPr>
            <b/>
            <sz val="9"/>
            <color indexed="81"/>
            <rFont val="Tahoma"/>
            <family val="2"/>
          </rPr>
          <t>McHugh, Diana:</t>
        </r>
        <r>
          <rPr>
            <sz val="9"/>
            <color indexed="81"/>
            <rFont val="Tahoma"/>
            <family val="2"/>
          </rPr>
          <t xml:space="preserve">
38 jk</t>
        </r>
      </text>
    </comment>
    <comment ref="P622" authorId="1" shapeId="0" xr:uid="{A841164D-0ED6-4786-84EF-A9DC84FBE369}">
      <text>
        <r>
          <rPr>
            <b/>
            <sz val="9"/>
            <color indexed="81"/>
            <rFont val="Tahoma"/>
            <family val="2"/>
          </rPr>
          <t>McHugh, Diana:</t>
        </r>
        <r>
          <rPr>
            <sz val="9"/>
            <color indexed="81"/>
            <rFont val="Tahoma"/>
            <family val="2"/>
          </rPr>
          <t xml:space="preserve">
6 jk</t>
        </r>
      </text>
    </comment>
    <comment ref="Q622" authorId="1" shapeId="0" xr:uid="{5F45BC38-3455-4479-B100-FD73D43AB6CB}">
      <text>
        <r>
          <rPr>
            <b/>
            <sz val="9"/>
            <color indexed="81"/>
            <rFont val="Tahoma"/>
            <family val="2"/>
          </rPr>
          <t>McHugh, Diana:</t>
        </r>
        <r>
          <rPr>
            <sz val="9"/>
            <color indexed="81"/>
            <rFont val="Tahoma"/>
            <family val="2"/>
          </rPr>
          <t xml:space="preserve">
3 jk</t>
        </r>
      </text>
    </comment>
    <comment ref="U622" authorId="1" shapeId="0" xr:uid="{37E65A25-147A-4518-9BF7-0803C92AF600}">
      <text>
        <r>
          <rPr>
            <b/>
            <sz val="9"/>
            <color indexed="81"/>
            <rFont val="Tahoma"/>
            <family val="2"/>
          </rPr>
          <t>McHugh, Diana:</t>
        </r>
        <r>
          <rPr>
            <sz val="9"/>
            <color indexed="81"/>
            <rFont val="Tahoma"/>
            <family val="2"/>
          </rPr>
          <t xml:space="preserve">
2 jk</t>
        </r>
      </text>
    </comment>
    <comment ref="M625" authorId="1" shapeId="0" xr:uid="{EE037749-753C-4030-9DB3-FD7EBB8B0607}">
      <text>
        <r>
          <rPr>
            <b/>
            <sz val="9"/>
            <color indexed="81"/>
            <rFont val="Tahoma"/>
            <family val="2"/>
          </rPr>
          <t>McHugh, Diana:</t>
        </r>
        <r>
          <rPr>
            <sz val="9"/>
            <color indexed="81"/>
            <rFont val="Tahoma"/>
            <family val="2"/>
          </rPr>
          <t xml:space="preserve">
26 jk</t>
        </r>
      </text>
    </comment>
    <comment ref="O625" authorId="1" shapeId="0" xr:uid="{B48264B2-DC86-4C50-B4FF-78BCEDA191A8}">
      <text>
        <r>
          <rPr>
            <b/>
            <sz val="9"/>
            <color indexed="81"/>
            <rFont val="Tahoma"/>
            <family val="2"/>
          </rPr>
          <t>McHugh, Diana:</t>
        </r>
        <r>
          <rPr>
            <sz val="9"/>
            <color indexed="81"/>
            <rFont val="Tahoma"/>
            <family val="2"/>
          </rPr>
          <t xml:space="preserve">
13 jk</t>
        </r>
      </text>
    </comment>
    <comment ref="P625" authorId="1" shapeId="0" xr:uid="{8F827B82-F58D-45F3-99FE-8B0D38167FF0}">
      <text>
        <r>
          <rPr>
            <b/>
            <sz val="9"/>
            <color indexed="81"/>
            <rFont val="Tahoma"/>
            <family val="2"/>
          </rPr>
          <t>McHugh, Diana:</t>
        </r>
        <r>
          <rPr>
            <sz val="9"/>
            <color indexed="81"/>
            <rFont val="Tahoma"/>
            <family val="2"/>
          </rPr>
          <t xml:space="preserve">
21 jk</t>
        </r>
      </text>
    </comment>
    <comment ref="Q625" authorId="1" shapeId="0" xr:uid="{4EEDA56B-B418-4770-B506-FF77B02A8D2F}">
      <text>
        <r>
          <rPr>
            <b/>
            <sz val="9"/>
            <color indexed="81"/>
            <rFont val="Tahoma"/>
            <family val="2"/>
          </rPr>
          <t>McHugh, Diana:</t>
        </r>
        <r>
          <rPr>
            <sz val="9"/>
            <color indexed="81"/>
            <rFont val="Tahoma"/>
            <family val="2"/>
          </rPr>
          <t xml:space="preserve">
97 jk, a bit turbid, water dropping since Sep 27th
</t>
        </r>
      </text>
    </comment>
    <comment ref="U625" authorId="1" shapeId="0" xr:uid="{0CFA94DE-FE2F-47C9-AD61-FF49D1D80F1F}">
      <text>
        <r>
          <rPr>
            <b/>
            <sz val="9"/>
            <color indexed="81"/>
            <rFont val="Tahoma"/>
            <family val="2"/>
          </rPr>
          <t>McHugh, Diana:</t>
        </r>
        <r>
          <rPr>
            <sz val="9"/>
            <color indexed="81"/>
            <rFont val="Tahoma"/>
            <family val="2"/>
          </rPr>
          <t xml:space="preserve">
1 jk</t>
        </r>
      </text>
    </comment>
    <comment ref="AL625" authorId="30" shapeId="0" xr:uid="{C5BF98C2-180C-4C7E-8576-F0424E76090E}">
      <text>
        <t>[Threaded comment]
Your version of Excel allows you to read this threaded comment; however, any edits to it will get removed if the file is opened in a newer version of Excel. Learn more: https://go.microsoft.com/fwlink/?linkid=870924
Comment:
    Estimate is less than the expanded peak count, is the peak unreliable?</t>
      </text>
    </comment>
    <comment ref="O633" authorId="31" shapeId="0" xr:uid="{483D58A5-A019-4731-B902-64379548B579}">
      <text>
        <r>
          <rPr>
            <b/>
            <sz val="9"/>
            <color indexed="81"/>
            <rFont val="Tahoma"/>
            <family val="2"/>
          </rPr>
          <t>Brady, Piper-Lynn:</t>
        </r>
        <r>
          <rPr>
            <sz val="9"/>
            <color indexed="81"/>
            <rFont val="Tahoma"/>
            <family val="2"/>
          </rPr>
          <t xml:space="preserve">
Bewell + Ursus Sept 20
Usus 2 Jk
</t>
        </r>
      </text>
    </comment>
    <comment ref="Q633" authorId="1" shapeId="0" xr:uid="{6E48B7B2-BA5D-45C2-999D-750501C462FD}">
      <text>
        <r>
          <rPr>
            <b/>
            <sz val="9"/>
            <color indexed="81"/>
            <rFont val="Tahoma"/>
            <family val="2"/>
          </rPr>
          <t>McHugh, Diana:</t>
        </r>
        <r>
          <rPr>
            <sz val="9"/>
            <color indexed="81"/>
            <rFont val="Tahoma"/>
            <family val="2"/>
          </rPr>
          <t xml:space="preserve">
4 Ursus jk</t>
        </r>
      </text>
    </comment>
    <comment ref="R633" authorId="1" shapeId="0" xr:uid="{3AE27400-7C02-4B61-B045-CDDAED9FB39E}">
      <text>
        <r>
          <rPr>
            <b/>
            <sz val="9"/>
            <color indexed="81"/>
            <rFont val="Tahoma"/>
            <family val="2"/>
          </rPr>
          <t>McHugh, Diana:</t>
        </r>
        <r>
          <rPr>
            <sz val="9"/>
            <color indexed="81"/>
            <rFont val="Tahoma"/>
            <family val="2"/>
          </rPr>
          <t xml:space="preserve">
4 jk
</t>
        </r>
      </text>
    </comment>
    <comment ref="O634" authorId="31" shapeId="0" xr:uid="{34759F55-B6AF-49BE-B732-987040D7EEB6}">
      <text>
        <r>
          <rPr>
            <b/>
            <sz val="9"/>
            <color indexed="81"/>
            <rFont val="Tahoma"/>
            <family val="2"/>
          </rPr>
          <t>Brady, Piper-Lynn:</t>
        </r>
        <r>
          <rPr>
            <sz val="9"/>
            <color indexed="81"/>
            <rFont val="Tahoma"/>
            <family val="2"/>
          </rPr>
          <t xml:space="preserve">
Ursus 7 Jk
Bedwell 12 Jk</t>
        </r>
      </text>
    </comment>
    <comment ref="Q634" authorId="1" shapeId="0" xr:uid="{B9BA92B7-37E7-4921-BCA2-B218006D17F2}">
      <text>
        <r>
          <rPr>
            <b/>
            <sz val="9"/>
            <color indexed="81"/>
            <rFont val="Tahoma"/>
            <family val="2"/>
          </rPr>
          <t>McHugh, Diana:</t>
        </r>
        <r>
          <rPr>
            <sz val="9"/>
            <color indexed="81"/>
            <rFont val="Tahoma"/>
            <family val="2"/>
          </rPr>
          <t xml:space="preserve">
43 Bedwell jk
10 Ursus jk</t>
        </r>
      </text>
    </comment>
    <comment ref="R634" authorId="1" shapeId="0" xr:uid="{EC92F5F2-3DEF-45B1-B659-EF9119E40D90}">
      <text>
        <r>
          <rPr>
            <b/>
            <sz val="9"/>
            <color indexed="81"/>
            <rFont val="Tahoma"/>
            <family val="2"/>
          </rPr>
          <t>McHugh, Diana:</t>
        </r>
        <r>
          <rPr>
            <sz val="9"/>
            <color indexed="81"/>
            <rFont val="Tahoma"/>
            <family val="2"/>
          </rPr>
          <t xml:space="preserve">
67 jk</t>
        </r>
      </text>
    </comment>
    <comment ref="X634" authorId="1" shapeId="0" xr:uid="{10955725-9564-439E-8A5E-855F2AB19B39}">
      <text>
        <r>
          <rPr>
            <b/>
            <sz val="9"/>
            <color indexed="81"/>
            <rFont val="Tahoma"/>
            <family val="2"/>
          </rPr>
          <t>McHugh, Diana:</t>
        </r>
        <r>
          <rPr>
            <sz val="9"/>
            <color indexed="81"/>
            <rFont val="Tahoma"/>
            <family val="2"/>
          </rPr>
          <t xml:space="preserve">
38 jk in Bedwell, 
also saw 237 adults and 23 jk in Upper Ursus</t>
        </r>
      </text>
    </comment>
    <comment ref="R637" authorId="1" shapeId="0" xr:uid="{11E60F6D-8251-418B-BF2A-4CD22E033A92}">
      <text>
        <r>
          <rPr>
            <b/>
            <sz val="9"/>
            <color indexed="81"/>
            <rFont val="Tahoma"/>
            <family val="2"/>
          </rPr>
          <t>McHugh, Diana:</t>
        </r>
        <r>
          <rPr>
            <sz val="9"/>
            <color indexed="81"/>
            <rFont val="Tahoma"/>
            <family val="2"/>
          </rPr>
          <t xml:space="preserve">
2 jk</t>
        </r>
      </text>
    </comment>
    <comment ref="AY637" authorId="32" shapeId="0" xr:uid="{00000000-0006-0000-0100-000040000000}">
      <text>
        <r>
          <rPr>
            <b/>
            <sz val="8"/>
            <color indexed="81"/>
            <rFont val="Tahoma"/>
            <family val="2"/>
          </rPr>
          <t>Administrator:</t>
        </r>
        <r>
          <rPr>
            <sz val="8"/>
            <color indexed="81"/>
            <rFont val="Tahoma"/>
            <family val="2"/>
          </rPr>
          <t xml:space="preserve">
Includes Ursus Creek (trib.)</t>
        </r>
      </text>
    </comment>
    <comment ref="O639" authorId="1" shapeId="0" xr:uid="{9AF9929D-97CA-4069-8E0F-A18B944C1AE9}">
      <text>
        <r>
          <rPr>
            <b/>
            <sz val="9"/>
            <color indexed="81"/>
            <rFont val="Tahoma"/>
            <family val="2"/>
          </rPr>
          <t>McHugh, Diana:</t>
        </r>
        <r>
          <rPr>
            <sz val="9"/>
            <color indexed="81"/>
            <rFont val="Tahoma"/>
            <family val="2"/>
          </rPr>
          <t xml:space="preserve">
1 jk</t>
        </r>
      </text>
    </comment>
    <comment ref="W639" authorId="1" shapeId="0" xr:uid="{66267E36-3E89-4E65-B34A-6AA6B70CE8AD}">
      <text>
        <r>
          <rPr>
            <b/>
            <sz val="9"/>
            <color indexed="81"/>
            <rFont val="Tahoma"/>
            <family val="2"/>
          </rPr>
          <t>McHugh, Diana:</t>
        </r>
        <r>
          <rPr>
            <sz val="9"/>
            <color indexed="81"/>
            <rFont val="Tahoma"/>
            <family val="2"/>
          </rPr>
          <t xml:space="preserve">
Upper Megin</t>
        </r>
      </text>
    </comment>
    <comment ref="O640" authorId="1" shapeId="0" xr:uid="{123FF3D5-D974-4F99-A037-62308F390615}">
      <text>
        <r>
          <rPr>
            <b/>
            <sz val="9"/>
            <color indexed="81"/>
            <rFont val="Tahoma"/>
            <family val="2"/>
          </rPr>
          <t>McHugh, Diana:</t>
        </r>
        <r>
          <rPr>
            <sz val="9"/>
            <color indexed="81"/>
            <rFont val="Tahoma"/>
            <family val="2"/>
          </rPr>
          <t xml:space="preserve">
98 jk</t>
        </r>
      </text>
    </comment>
    <comment ref="Q640" authorId="1" shapeId="0" xr:uid="{534D6364-7D48-490F-887F-24537503C22B}">
      <text>
        <r>
          <rPr>
            <b/>
            <sz val="9"/>
            <color indexed="81"/>
            <rFont val="Tahoma"/>
            <family val="2"/>
          </rPr>
          <t>McHugh, Diana:</t>
        </r>
        <r>
          <rPr>
            <sz val="9"/>
            <color indexed="81"/>
            <rFont val="Tahoma"/>
            <family val="2"/>
          </rPr>
          <t xml:space="preserve">
16 jk</t>
        </r>
      </text>
    </comment>
    <comment ref="W640" authorId="1" shapeId="0" xr:uid="{9A7DF849-9931-4A04-AF28-9EDB264CA9EF}">
      <text>
        <r>
          <rPr>
            <b/>
            <sz val="9"/>
            <color indexed="81"/>
            <rFont val="Tahoma"/>
            <family val="2"/>
          </rPr>
          <t>McHugh, Diana:</t>
        </r>
        <r>
          <rPr>
            <sz val="9"/>
            <color indexed="81"/>
            <rFont val="Tahoma"/>
            <family val="2"/>
          </rPr>
          <t xml:space="preserve">
31 jk
Upper Megin</t>
        </r>
      </text>
    </comment>
    <comment ref="Q643" authorId="1" shapeId="0" xr:uid="{8F3AAFFF-921E-440A-87D5-01D137899C96}">
      <text>
        <r>
          <rPr>
            <b/>
            <sz val="9"/>
            <color indexed="81"/>
            <rFont val="Tahoma"/>
            <family val="2"/>
          </rPr>
          <t>McHugh, Diana:</t>
        </r>
        <r>
          <rPr>
            <sz val="9"/>
            <color indexed="81"/>
            <rFont val="Tahoma"/>
            <family val="2"/>
          </rPr>
          <t xml:space="preserve">
2 jk</t>
        </r>
      </text>
    </comment>
    <comment ref="N645" authorId="1" shapeId="0" xr:uid="{EB39F943-A1AF-4EA3-824B-7F174D1D87E6}">
      <text>
        <r>
          <rPr>
            <b/>
            <sz val="9"/>
            <color indexed="81"/>
            <rFont val="Tahoma"/>
            <family val="2"/>
          </rPr>
          <t>McHugh, Diana:</t>
        </r>
        <r>
          <rPr>
            <sz val="9"/>
            <color indexed="81"/>
            <rFont val="Tahoma"/>
            <family val="2"/>
          </rPr>
          <t xml:space="preserve">
6 jk</t>
        </r>
      </text>
    </comment>
    <comment ref="U645" authorId="1" shapeId="0" xr:uid="{EA1BDCD8-C06E-476C-90B6-070E4B868857}">
      <text>
        <r>
          <rPr>
            <b/>
            <sz val="9"/>
            <color indexed="81"/>
            <rFont val="Tahoma"/>
            <family val="2"/>
          </rPr>
          <t>McHugh, Diana:</t>
        </r>
        <r>
          <rPr>
            <sz val="9"/>
            <color indexed="81"/>
            <rFont val="Tahoma"/>
            <family val="2"/>
          </rPr>
          <t xml:space="preserve">
12 jk</t>
        </r>
      </text>
    </comment>
    <comment ref="N646" authorId="1" shapeId="0" xr:uid="{E06053DF-DE9A-4F2B-8569-E40AEA6C9120}">
      <text>
        <r>
          <rPr>
            <b/>
            <sz val="9"/>
            <color indexed="81"/>
            <rFont val="Tahoma"/>
            <family val="2"/>
          </rPr>
          <t>McHugh, Diana:</t>
        </r>
        <r>
          <rPr>
            <sz val="9"/>
            <color indexed="81"/>
            <rFont val="Tahoma"/>
            <family val="2"/>
          </rPr>
          <t xml:space="preserve">
30 jk</t>
        </r>
      </text>
    </comment>
    <comment ref="Q646" authorId="1" shapeId="0" xr:uid="{998DE90C-736D-4D12-A9D6-82F7602CA2DB}">
      <text>
        <r>
          <rPr>
            <b/>
            <sz val="9"/>
            <color indexed="81"/>
            <rFont val="Tahoma"/>
            <family val="2"/>
          </rPr>
          <t>McHugh, Diana:</t>
        </r>
        <r>
          <rPr>
            <sz val="9"/>
            <color indexed="81"/>
            <rFont val="Tahoma"/>
            <family val="2"/>
          </rPr>
          <t xml:space="preserve">
49 jk</t>
        </r>
      </text>
    </comment>
    <comment ref="U646" authorId="1" shapeId="0" xr:uid="{57C06D16-5E17-4465-9BD7-65F760231C51}">
      <text>
        <r>
          <rPr>
            <b/>
            <sz val="9"/>
            <color indexed="81"/>
            <rFont val="Tahoma"/>
            <family val="2"/>
          </rPr>
          <t>McHugh, Diana:</t>
        </r>
        <r>
          <rPr>
            <sz val="9"/>
            <color indexed="81"/>
            <rFont val="Tahoma"/>
            <family val="2"/>
          </rPr>
          <t xml:space="preserve">
81 jk</t>
        </r>
      </text>
    </comment>
    <comment ref="N649" authorId="1" shapeId="0" xr:uid="{4C291708-1646-4B91-94E8-D1227779FF22}">
      <text>
        <r>
          <rPr>
            <b/>
            <sz val="9"/>
            <color indexed="81"/>
            <rFont val="Tahoma"/>
            <family val="2"/>
          </rPr>
          <t>McHugh, Diana:</t>
        </r>
        <r>
          <rPr>
            <sz val="9"/>
            <color indexed="81"/>
            <rFont val="Tahoma"/>
            <family val="2"/>
          </rPr>
          <t xml:space="preserve">
4 jk</t>
        </r>
      </text>
    </comment>
    <comment ref="U649" authorId="1" shapeId="0" xr:uid="{230D8258-2C19-4F58-BCED-8DC59B5E2225}">
      <text>
        <r>
          <rPr>
            <b/>
            <sz val="9"/>
            <color indexed="81"/>
            <rFont val="Tahoma"/>
            <family val="2"/>
          </rPr>
          <t>McHugh, Diana:</t>
        </r>
        <r>
          <rPr>
            <sz val="9"/>
            <color indexed="81"/>
            <rFont val="Tahoma"/>
            <family val="2"/>
          </rPr>
          <t xml:space="preserve">
1 jk</t>
        </r>
      </text>
    </comment>
    <comment ref="O652" authorId="1" shapeId="0" xr:uid="{1A5295A9-BC94-4BE2-9AF8-01594AFD9C05}">
      <text>
        <r>
          <rPr>
            <b/>
            <sz val="9"/>
            <color indexed="81"/>
            <rFont val="Tahoma"/>
            <family val="2"/>
          </rPr>
          <t>McHugh, Diana:</t>
        </r>
        <r>
          <rPr>
            <sz val="9"/>
            <color indexed="81"/>
            <rFont val="Tahoma"/>
            <family val="2"/>
          </rPr>
          <t xml:space="preserve">
1 jk</t>
        </r>
      </text>
    </comment>
    <comment ref="P652" authorId="1" shapeId="0" xr:uid="{116660A1-6C36-4650-B699-576B641C556D}">
      <text>
        <r>
          <rPr>
            <b/>
            <sz val="9"/>
            <color indexed="81"/>
            <rFont val="Tahoma"/>
            <family val="2"/>
          </rPr>
          <t>McHugh, Diana:</t>
        </r>
        <r>
          <rPr>
            <sz val="9"/>
            <color indexed="81"/>
            <rFont val="Tahoma"/>
            <family val="2"/>
          </rPr>
          <t xml:space="preserve">
30 jk</t>
        </r>
      </text>
    </comment>
    <comment ref="T652" authorId="1" shapeId="0" xr:uid="{53569E16-507B-49A8-8135-59572477824B}">
      <text>
        <r>
          <rPr>
            <b/>
            <sz val="9"/>
            <color indexed="81"/>
            <rFont val="Tahoma"/>
            <family val="2"/>
          </rPr>
          <t>McHugh, Diana:</t>
        </r>
        <r>
          <rPr>
            <sz val="9"/>
            <color indexed="81"/>
            <rFont val="Tahoma"/>
            <family val="2"/>
          </rPr>
          <t xml:space="preserve">
84 jk</t>
        </r>
      </text>
    </comment>
    <comment ref="AN696" authorId="33" shapeId="0" xr:uid="{EC0692A0-F2FA-4FBF-A5BC-C0C681F96EB6}">
      <text>
        <t>[Threaded comment]
Your version of Excel allows you to read this threaded comment; however, any edits to it will get removed if the file is opened in a newer version of Excel. Learn more: https://go.microsoft.com/fwlink/?linkid=870924
Comment:
    Nothing from Doug on Cow Creek?  Usually get a season summary from the folks that live out there.</t>
      </text>
    </comment>
    <comment ref="Q724" authorId="1" shapeId="0" xr:uid="{82EAA916-B911-41D3-89C4-1D0296487E40}">
      <text>
        <r>
          <rPr>
            <b/>
            <sz val="9"/>
            <color indexed="81"/>
            <rFont val="Tahoma"/>
            <family val="2"/>
          </rPr>
          <t>McHugh, Diana:</t>
        </r>
        <r>
          <rPr>
            <sz val="9"/>
            <color indexed="81"/>
            <rFont val="Tahoma"/>
            <family val="2"/>
          </rPr>
          <t xml:space="preserve">
21 jk</t>
        </r>
      </text>
    </comment>
    <comment ref="S724" authorId="1" shapeId="0" xr:uid="{B231A7D3-495A-425E-B829-7D5B38D0DF05}">
      <text>
        <r>
          <rPr>
            <b/>
            <sz val="9"/>
            <color indexed="81"/>
            <rFont val="Tahoma"/>
            <family val="2"/>
          </rPr>
          <t>McHugh, Diana:</t>
        </r>
        <r>
          <rPr>
            <sz val="9"/>
            <color indexed="81"/>
            <rFont val="Tahoma"/>
            <family val="2"/>
          </rPr>
          <t xml:space="preserve">
12 jk</t>
        </r>
      </text>
    </comment>
    <comment ref="E741" authorId="0" shapeId="0" xr:uid="{00000000-0006-0000-0100-000050000000}">
      <text>
        <r>
          <rPr>
            <b/>
            <sz val="9"/>
            <color indexed="81"/>
            <rFont val="Tahoma"/>
            <family val="2"/>
          </rPr>
          <t>DFO-MPO:</t>
        </r>
        <r>
          <rPr>
            <sz val="9"/>
            <color indexed="81"/>
            <rFont val="Tahoma"/>
            <family val="2"/>
          </rPr>
          <t xml:space="preserve">
Now drains into Ayyisaqh 1, bottom end flows north instead of straight into the bay
Coordinates for Ayyisaqh #2:
Start: 49°27'39.34"N 126°24'44.86"W
End: 49°27'13.55"N 126°24'52.99"W
</t>
        </r>
      </text>
    </comment>
    <comment ref="E747" authorId="0" shapeId="0" xr:uid="{00000000-0006-0000-0100-000051000000}">
      <text>
        <r>
          <rPr>
            <b/>
            <sz val="9"/>
            <color indexed="81"/>
            <rFont val="Tahoma"/>
            <family val="2"/>
          </rPr>
          <t>DFO-MPO:</t>
        </r>
        <r>
          <rPr>
            <sz val="9"/>
            <color indexed="81"/>
            <rFont val="Tahoma"/>
            <family val="2"/>
          </rPr>
          <t xml:space="preserve">
Coordinates for Ayyisaqh #1:
Start: 49°27'47.52"N 126°24'51.59"W
End: 49°27'29.47"N 126°23'51.00"W
1.7 km</t>
        </r>
      </text>
    </comment>
    <comment ref="E765" authorId="0" shapeId="0" xr:uid="{00000000-0006-0000-0100-000052000000}">
      <text>
        <r>
          <rPr>
            <b/>
            <sz val="9"/>
            <color indexed="81"/>
            <rFont val="Tahoma"/>
            <family val="2"/>
          </rPr>
          <t>DFO-MPO:</t>
        </r>
        <r>
          <rPr>
            <sz val="9"/>
            <color indexed="81"/>
            <rFont val="Tahoma"/>
            <family val="2"/>
          </rPr>
          <t xml:space="preserve">
Coordinates for Hesquiaht Lake to bottom of Tsyah(short river that flows into rae basin):
Start(Hesquiaht Lake): 49°28'34.82"N 126°24'2.20"W
End(Rae Basin): 49°28'26.44"N 126°24'10.41"W
</t>
        </r>
      </text>
    </comment>
    <comment ref="N801" authorId="1" shapeId="0" xr:uid="{3608A3B9-2F85-4D4B-9DC9-C9B2A4C9237C}">
      <text>
        <r>
          <rPr>
            <b/>
            <sz val="9"/>
            <color indexed="81"/>
            <rFont val="Tahoma"/>
            <family val="2"/>
          </rPr>
          <t>McHugh, Diana:</t>
        </r>
        <r>
          <rPr>
            <sz val="9"/>
            <color indexed="81"/>
            <rFont val="Tahoma"/>
            <family val="2"/>
          </rPr>
          <t xml:space="preserve">
1 jk</t>
        </r>
      </text>
    </comment>
    <comment ref="N802" authorId="1" shapeId="0" xr:uid="{702A6E24-45AD-4725-ADFC-2E5B8742BFBF}">
      <text>
        <r>
          <rPr>
            <b/>
            <sz val="9"/>
            <color indexed="81"/>
            <rFont val="Tahoma"/>
            <family val="2"/>
          </rPr>
          <t>McHugh, Diana:</t>
        </r>
        <r>
          <rPr>
            <sz val="9"/>
            <color indexed="81"/>
            <rFont val="Tahoma"/>
            <family val="2"/>
          </rPr>
          <t xml:space="preserve">
1 jk</t>
        </r>
      </text>
    </comment>
    <comment ref="O802" authorId="1" shapeId="0" xr:uid="{BDC3F50D-0064-4055-8C73-7CDC9825FF91}">
      <text>
        <r>
          <rPr>
            <b/>
            <sz val="9"/>
            <color indexed="81"/>
            <rFont val="Tahoma"/>
            <family val="2"/>
          </rPr>
          <t>McHugh, Diana:</t>
        </r>
        <r>
          <rPr>
            <sz val="9"/>
            <color indexed="81"/>
            <rFont val="Tahoma"/>
            <family val="2"/>
          </rPr>
          <t xml:space="preserve">
8 jk</t>
        </r>
      </text>
    </comment>
    <comment ref="Q802" authorId="1" shapeId="0" xr:uid="{06EC6138-F4A8-408F-9A82-DFDD3DB6630F}">
      <text>
        <r>
          <rPr>
            <b/>
            <sz val="9"/>
            <color indexed="81"/>
            <rFont val="Tahoma"/>
            <family val="2"/>
          </rPr>
          <t>McHugh, Diana:</t>
        </r>
        <r>
          <rPr>
            <sz val="9"/>
            <color indexed="81"/>
            <rFont val="Tahoma"/>
            <family val="2"/>
          </rPr>
          <t xml:space="preserve">
19 jk</t>
        </r>
      </text>
    </comment>
    <comment ref="R802" authorId="1" shapeId="0" xr:uid="{89396C3C-07BF-44C7-91E8-52C1A78B5E0F}">
      <text>
        <r>
          <rPr>
            <b/>
            <sz val="9"/>
            <color indexed="81"/>
            <rFont val="Tahoma"/>
            <family val="2"/>
          </rPr>
          <t>McHugh, Diana:</t>
        </r>
        <r>
          <rPr>
            <sz val="9"/>
            <color indexed="81"/>
            <rFont val="Tahoma"/>
            <family val="2"/>
          </rPr>
          <t xml:space="preserve">
14 jk</t>
        </r>
      </text>
    </comment>
    <comment ref="S802" authorId="1" shapeId="0" xr:uid="{EF56AC65-838A-435F-8339-EDA1592C4187}">
      <text>
        <r>
          <rPr>
            <b/>
            <sz val="9"/>
            <color indexed="81"/>
            <rFont val="Tahoma"/>
            <family val="2"/>
          </rPr>
          <t>McHugh, Diana:</t>
        </r>
        <r>
          <rPr>
            <sz val="9"/>
            <color indexed="81"/>
            <rFont val="Tahoma"/>
            <family val="2"/>
          </rPr>
          <t xml:space="preserve">
53 jk</t>
        </r>
      </text>
    </comment>
    <comment ref="W802" authorId="31" shapeId="0" xr:uid="{052D7610-ED1E-4339-B42B-A6227282C667}">
      <text>
        <r>
          <rPr>
            <b/>
            <sz val="9"/>
            <color indexed="81"/>
            <rFont val="Tahoma"/>
            <family val="2"/>
          </rPr>
          <t>Brady, Piper-Lynn:</t>
        </r>
        <r>
          <rPr>
            <sz val="9"/>
            <color indexed="81"/>
            <rFont val="Tahoma"/>
            <family val="2"/>
          </rPr>
          <t xml:space="preserve">
35 Jk</t>
        </r>
      </text>
    </comment>
    <comment ref="O805" authorId="1" shapeId="0" xr:uid="{5FDF117A-54F9-46A8-993C-54D8F34D7C4A}">
      <text>
        <r>
          <rPr>
            <b/>
            <sz val="9"/>
            <color indexed="81"/>
            <rFont val="Tahoma"/>
            <family val="2"/>
          </rPr>
          <t>McHugh, Diana:</t>
        </r>
        <r>
          <rPr>
            <sz val="9"/>
            <color indexed="81"/>
            <rFont val="Tahoma"/>
            <family val="2"/>
          </rPr>
          <t xml:space="preserve">
4 jk</t>
        </r>
      </text>
    </comment>
    <comment ref="Q805" authorId="1" shapeId="0" xr:uid="{746C50E7-5E89-4D39-928D-29E7C8D89102}">
      <text>
        <r>
          <rPr>
            <b/>
            <sz val="9"/>
            <color indexed="81"/>
            <rFont val="Tahoma"/>
            <family val="2"/>
          </rPr>
          <t>McHugh, Diana:</t>
        </r>
        <r>
          <rPr>
            <sz val="9"/>
            <color indexed="81"/>
            <rFont val="Tahoma"/>
            <family val="2"/>
          </rPr>
          <t xml:space="preserve">
3 jk</t>
        </r>
      </text>
    </comment>
    <comment ref="R805" authorId="1" shapeId="0" xr:uid="{33654714-3463-4C22-B2C3-7A2367087D02}">
      <text>
        <r>
          <rPr>
            <b/>
            <sz val="9"/>
            <color indexed="81"/>
            <rFont val="Tahoma"/>
            <family val="2"/>
          </rPr>
          <t>McHugh, Diana:</t>
        </r>
        <r>
          <rPr>
            <sz val="9"/>
            <color indexed="81"/>
            <rFont val="Tahoma"/>
            <family val="2"/>
          </rPr>
          <t xml:space="preserve">
10 jk</t>
        </r>
      </text>
    </comment>
    <comment ref="S805" authorId="1" shapeId="0" xr:uid="{418FC0FE-7847-4767-9F95-400218654C49}">
      <text>
        <r>
          <rPr>
            <b/>
            <sz val="9"/>
            <color indexed="81"/>
            <rFont val="Tahoma"/>
            <family val="2"/>
          </rPr>
          <t>McHugh, Diana:</t>
        </r>
        <r>
          <rPr>
            <sz val="9"/>
            <color indexed="81"/>
            <rFont val="Tahoma"/>
            <family val="2"/>
          </rPr>
          <t xml:space="preserve">
9 jk</t>
        </r>
      </text>
    </comment>
    <comment ref="U805" authorId="1" shapeId="0" xr:uid="{49B9B469-4E00-419E-BC75-8CE68D87E0D9}">
      <text>
        <r>
          <rPr>
            <b/>
            <sz val="9"/>
            <color indexed="81"/>
            <rFont val="Tahoma"/>
            <family val="2"/>
          </rPr>
          <t>McHugh, Diana:</t>
        </r>
        <r>
          <rPr>
            <sz val="9"/>
            <color indexed="81"/>
            <rFont val="Tahoma"/>
            <family val="2"/>
          </rPr>
          <t xml:space="preserve">
26 live and 2 dead jk</t>
        </r>
      </text>
    </comment>
    <comment ref="W805" authorId="1" shapeId="0" xr:uid="{98151AFF-AAE0-488E-8106-3EB8B039FC5A}">
      <text>
        <r>
          <rPr>
            <b/>
            <sz val="9"/>
            <color indexed="81"/>
            <rFont val="Tahoma"/>
            <family val="2"/>
          </rPr>
          <t>7 Jk</t>
        </r>
      </text>
    </comment>
    <comment ref="E867" authorId="34" shapeId="0" xr:uid="{00000000-0006-0000-0100-00005B000000}">
      <text>
        <r>
          <rPr>
            <b/>
            <sz val="9"/>
            <color indexed="81"/>
            <rFont val="Tahoma"/>
            <family val="2"/>
          </rPr>
          <t>McHugh:</t>
        </r>
        <r>
          <rPr>
            <sz val="9"/>
            <color indexed="81"/>
            <rFont val="Tahoma"/>
            <family val="2"/>
          </rPr>
          <t xml:space="preserve">
Wood Islets </t>
        </r>
      </text>
    </comment>
    <comment ref="AY867" authorId="34" shapeId="0" xr:uid="{00000000-0006-0000-0100-00005C000000}">
      <text>
        <r>
          <rPr>
            <b/>
            <sz val="9"/>
            <color indexed="81"/>
            <rFont val="Tahoma"/>
            <family val="2"/>
          </rPr>
          <t>McHugh:</t>
        </r>
        <r>
          <rPr>
            <sz val="9"/>
            <color indexed="81"/>
            <rFont val="Tahoma"/>
            <family val="2"/>
          </rPr>
          <t xml:space="preserve">
Wood Islets </t>
        </r>
      </text>
    </comment>
    <comment ref="S873" authorId="1" shapeId="0" xr:uid="{DF8DA4D2-DA50-4406-B4EE-23DC7220E272}">
      <text>
        <r>
          <rPr>
            <b/>
            <sz val="9"/>
            <color indexed="81"/>
            <rFont val="Tahoma"/>
            <family val="2"/>
          </rPr>
          <t>McHugh, Diana:</t>
        </r>
        <r>
          <rPr>
            <sz val="9"/>
            <color indexed="81"/>
            <rFont val="Tahoma"/>
            <family val="2"/>
          </rPr>
          <t xml:space="preserve">
lake very high, brown and turbid
No sign of sk or digging</t>
        </r>
      </text>
    </comment>
    <comment ref="V873" authorId="1" shapeId="0" xr:uid="{DAFF87F8-FEB4-4115-9317-6C43C6EBB312}">
      <text>
        <r>
          <rPr>
            <b/>
            <sz val="9"/>
            <color indexed="81"/>
            <rFont val="Tahoma"/>
            <family val="2"/>
          </rPr>
          <t>McHugh, Diana:</t>
        </r>
        <r>
          <rPr>
            <sz val="9"/>
            <color indexed="81"/>
            <rFont val="Tahoma"/>
            <family val="2"/>
          </rPr>
          <t xml:space="preserve">
Still quite turbid</t>
        </r>
      </text>
    </comment>
    <comment ref="H891" authorId="1" shapeId="0" xr:uid="{1586DA0C-6EA6-414E-A144-14A3C16ED714}">
      <text>
        <r>
          <rPr>
            <b/>
            <sz val="9"/>
            <color indexed="81"/>
            <rFont val="Tahoma"/>
            <family val="2"/>
          </rPr>
          <t>McHugh, Diana:</t>
        </r>
        <r>
          <rPr>
            <sz val="9"/>
            <color indexed="81"/>
            <rFont val="Tahoma"/>
            <family val="2"/>
          </rPr>
          <t xml:space="preserve">
32 jk</t>
        </r>
      </text>
    </comment>
    <comment ref="M891" authorId="1" shapeId="0" xr:uid="{9A7DCB5B-196F-4ABE-AA08-A84A72A6845C}">
      <text>
        <r>
          <rPr>
            <b/>
            <sz val="9"/>
            <color indexed="81"/>
            <rFont val="Tahoma"/>
            <family val="2"/>
          </rPr>
          <t>McHugh, Diana:</t>
        </r>
        <r>
          <rPr>
            <sz val="9"/>
            <color indexed="81"/>
            <rFont val="Tahoma"/>
            <family val="2"/>
          </rPr>
          <t xml:space="preserve">
7 jk</t>
        </r>
      </text>
    </comment>
    <comment ref="R891" authorId="1" shapeId="0" xr:uid="{C8313893-7476-4AB8-9B4C-48FAD1647A6B}">
      <text>
        <r>
          <rPr>
            <b/>
            <sz val="9"/>
            <color indexed="81"/>
            <rFont val="Tahoma"/>
            <family val="2"/>
          </rPr>
          <t>McHugh, Diana:</t>
        </r>
        <r>
          <rPr>
            <sz val="9"/>
            <color indexed="81"/>
            <rFont val="Tahoma"/>
            <family val="2"/>
          </rPr>
          <t xml:space="preserve">
13 jk, 5 jills
via email from Keaton McCallum Oct 16</t>
        </r>
      </text>
    </comment>
    <comment ref="U891" authorId="1" shapeId="0" xr:uid="{E7B60BDB-EB46-471F-8F74-B35D84BA6291}">
      <text>
        <r>
          <rPr>
            <b/>
            <sz val="9"/>
            <color indexed="81"/>
            <rFont val="Tahoma"/>
            <family val="2"/>
          </rPr>
          <t>McHugh, Diana:</t>
        </r>
        <r>
          <rPr>
            <sz val="9"/>
            <color indexed="81"/>
            <rFont val="Tahoma"/>
            <family val="2"/>
          </rPr>
          <t xml:space="preserve">
4 jk</t>
        </r>
      </text>
    </comment>
    <comment ref="R895" authorId="1" shapeId="0" xr:uid="{22499F46-C0F9-4A53-8B8B-F808D8D317F7}">
      <text>
        <r>
          <rPr>
            <b/>
            <sz val="9"/>
            <color indexed="81"/>
            <rFont val="Tahoma"/>
            <family val="2"/>
          </rPr>
          <t>McHugh, Diana:</t>
        </r>
        <r>
          <rPr>
            <sz val="9"/>
            <color indexed="81"/>
            <rFont val="Tahoma"/>
            <family val="2"/>
          </rPr>
          <t xml:space="preserve">
1 jk</t>
        </r>
      </text>
    </comment>
    <comment ref="W909" authorId="1" shapeId="0" xr:uid="{6BB44F19-0291-45B0-BB16-BC2B73E7E808}">
      <text>
        <r>
          <rPr>
            <b/>
            <sz val="9"/>
            <color indexed="81"/>
            <rFont val="Tahoma"/>
            <family val="2"/>
          </rPr>
          <t>McHugh, Diana:</t>
        </r>
        <r>
          <rPr>
            <sz val="9"/>
            <color indexed="81"/>
            <rFont val="Tahoma"/>
            <family val="2"/>
          </rPr>
          <t xml:space="preserve">
1 jk
extremely poor sk#'s</t>
        </r>
      </text>
    </comment>
    <comment ref="W910" authorId="1" shapeId="0" xr:uid="{EBEDF896-D861-402C-81BF-1C51A6413572}">
      <text>
        <r>
          <rPr>
            <b/>
            <sz val="9"/>
            <color indexed="81"/>
            <rFont val="Tahoma"/>
            <family val="2"/>
          </rPr>
          <t>McHugh, Diana:</t>
        </r>
        <r>
          <rPr>
            <sz val="9"/>
            <color indexed="81"/>
            <rFont val="Tahoma"/>
            <family val="2"/>
          </rPr>
          <t xml:space="preserve">
19 jk</t>
        </r>
      </text>
    </comment>
    <comment ref="T924" authorId="1" shapeId="0" xr:uid="{36975C2F-BE2E-41B6-BCBB-275C3A1398DD}">
      <text>
        <r>
          <rPr>
            <b/>
            <sz val="9"/>
            <color indexed="81"/>
            <rFont val="Tahoma"/>
            <family val="2"/>
          </rPr>
          <t>McHugh, Diana:</t>
        </r>
        <r>
          <rPr>
            <sz val="9"/>
            <color indexed="81"/>
            <rFont val="Tahoma"/>
            <family val="2"/>
          </rPr>
          <t xml:space="preserve">
79 dead in the SIL summary, but not in the database (which needs to be corrected?)</t>
        </r>
      </text>
    </comment>
    <comment ref="AN924" authorId="35" shapeId="0" xr:uid="{E9D16BF8-B3F5-414B-9825-FBCCC4AE1AC0}">
      <text>
        <t>[Threaded comment]
Your version of Excel allows you to read this threaded comment; however, any edits to it will get removed if the file is opened in a newer version of Excel. Learn more: https://go.microsoft.com/fwlink/?linkid=870924
Comment:
    79 dead in the Oct 22 SIL summary, but not in the database (which needs to be corrected?)</t>
      </text>
    </comment>
    <comment ref="T1012" authorId="1" shapeId="0" xr:uid="{5D529369-9BD9-4986-8439-48EC56A166BF}">
      <text>
        <r>
          <rPr>
            <b/>
            <sz val="9"/>
            <color indexed="81"/>
            <rFont val="Tahoma"/>
            <family val="2"/>
          </rPr>
          <t>McHugh, Diana:</t>
        </r>
        <r>
          <rPr>
            <sz val="9"/>
            <color indexed="81"/>
            <rFont val="Tahoma"/>
            <family val="2"/>
          </rPr>
          <t xml:space="preserve">
16 jk</t>
        </r>
      </text>
    </comment>
    <comment ref="M1021" authorId="1" shapeId="0" xr:uid="{1F04036D-4F92-4709-BE7A-29602FA47AC9}">
      <text>
        <r>
          <rPr>
            <b/>
            <sz val="9"/>
            <color indexed="81"/>
            <rFont val="Tahoma"/>
            <family val="2"/>
          </rPr>
          <t>McHugh, Diana:</t>
        </r>
        <r>
          <rPr>
            <sz val="9"/>
            <color indexed="81"/>
            <rFont val="Tahoma"/>
            <family val="2"/>
          </rPr>
          <t xml:space="preserve">
100 jk, all in the tagging pool</t>
        </r>
      </text>
    </comment>
    <comment ref="N1021" authorId="1" shapeId="0" xr:uid="{7DC2A510-0E65-4BE4-9066-B7F3810D5DE2}">
      <text>
        <r>
          <rPr>
            <b/>
            <sz val="9"/>
            <color indexed="81"/>
            <rFont val="Tahoma"/>
            <family val="2"/>
          </rPr>
          <t>McHugh, Diana:</t>
        </r>
        <r>
          <rPr>
            <sz val="9"/>
            <color indexed="81"/>
            <rFont val="Tahoma"/>
            <family val="2"/>
          </rPr>
          <t xml:space="preserve">
100 jk, all in the tag pool, river too low for entry, murky</t>
        </r>
      </text>
    </comment>
    <comment ref="N1030" authorId="1" shapeId="0" xr:uid="{F40C0267-4D0F-48F6-9351-7751E91221E2}">
      <text>
        <r>
          <rPr>
            <b/>
            <sz val="9"/>
            <color indexed="81"/>
            <rFont val="Tahoma"/>
            <family val="2"/>
          </rPr>
          <t>McHugh, Diana:</t>
        </r>
        <r>
          <rPr>
            <sz val="9"/>
            <color indexed="81"/>
            <rFont val="Tahoma"/>
            <family val="2"/>
          </rPr>
          <t xml:space="preserve">
3 jk</t>
        </r>
      </text>
    </comment>
    <comment ref="P1030" authorId="1" shapeId="0" xr:uid="{2483187C-1244-461E-B846-1DDCBCE6427D}">
      <text>
        <r>
          <rPr>
            <b/>
            <sz val="9"/>
            <color indexed="81"/>
            <rFont val="Tahoma"/>
            <family val="2"/>
          </rPr>
          <t>McHugh, Diana:</t>
        </r>
        <r>
          <rPr>
            <sz val="9"/>
            <color indexed="81"/>
            <rFont val="Tahoma"/>
            <family val="2"/>
          </rPr>
          <t xml:space="preserve">
566 jk</t>
        </r>
      </text>
    </comment>
    <comment ref="R1030" authorId="1" shapeId="0" xr:uid="{1E9BAB3D-AA34-42BD-9B34-211AF23C3868}">
      <text>
        <r>
          <rPr>
            <b/>
            <sz val="9"/>
            <color indexed="81"/>
            <rFont val="Tahoma"/>
            <family val="2"/>
          </rPr>
          <t>McHugh, Diana:</t>
        </r>
        <r>
          <rPr>
            <sz val="9"/>
            <color indexed="81"/>
            <rFont val="Tahoma"/>
            <family val="2"/>
          </rPr>
          <t xml:space="preserve">
382 jk</t>
        </r>
      </text>
    </comment>
    <comment ref="T1030" authorId="1" shapeId="0" xr:uid="{21BF13E4-7368-433F-AE30-6B0A6BA167E4}">
      <text>
        <r>
          <rPr>
            <b/>
            <sz val="9"/>
            <color indexed="81"/>
            <rFont val="Tahoma"/>
            <family val="2"/>
          </rPr>
          <t>McHugh, Diana:</t>
        </r>
        <r>
          <rPr>
            <sz val="9"/>
            <color indexed="81"/>
            <rFont val="Tahoma"/>
            <family val="2"/>
          </rPr>
          <t xml:space="preserve">
363 jk</t>
        </r>
      </text>
    </comment>
    <comment ref="L1033" authorId="1" shapeId="0" xr:uid="{5A106DF4-17A3-4BCD-8FB6-61239936A496}">
      <text>
        <r>
          <rPr>
            <b/>
            <sz val="9"/>
            <color indexed="81"/>
            <rFont val="Tahoma"/>
            <family val="2"/>
          </rPr>
          <t>McHugh, Diana:</t>
        </r>
        <r>
          <rPr>
            <sz val="9"/>
            <color indexed="81"/>
            <rFont val="Tahoma"/>
            <family val="2"/>
          </rPr>
          <t xml:space="preserve">
30 jk
</t>
        </r>
      </text>
    </comment>
    <comment ref="N1033" authorId="1" shapeId="0" xr:uid="{21A97130-E1B2-456B-B053-2B882CC269DC}">
      <text>
        <r>
          <rPr>
            <b/>
            <sz val="9"/>
            <color indexed="81"/>
            <rFont val="Tahoma"/>
            <family val="2"/>
          </rPr>
          <t>McHugh, Diana:</t>
        </r>
        <r>
          <rPr>
            <sz val="9"/>
            <color indexed="81"/>
            <rFont val="Tahoma"/>
            <family val="2"/>
          </rPr>
          <t xml:space="preserve">
97 jk</t>
        </r>
      </text>
    </comment>
    <comment ref="P1033" authorId="1" shapeId="0" xr:uid="{644AA744-BB2D-4C29-AF9E-BAE016D6CFCE}">
      <text>
        <r>
          <rPr>
            <b/>
            <sz val="9"/>
            <color indexed="81"/>
            <rFont val="Tahoma"/>
            <family val="2"/>
          </rPr>
          <t>McHugh, Diana:</t>
        </r>
        <r>
          <rPr>
            <sz val="9"/>
            <color indexed="81"/>
            <rFont val="Tahoma"/>
            <family val="2"/>
          </rPr>
          <t xml:space="preserve">
129 jk</t>
        </r>
      </text>
    </comment>
    <comment ref="M1035" authorId="1" shapeId="0" xr:uid="{B9867662-8F42-406D-9629-A6D70C5B3DF1}">
      <text>
        <r>
          <rPr>
            <b/>
            <sz val="9"/>
            <color indexed="81"/>
            <rFont val="Tahoma"/>
            <family val="2"/>
          </rPr>
          <t>McHugh, Diana:</t>
        </r>
        <r>
          <rPr>
            <sz val="9"/>
            <color indexed="81"/>
            <rFont val="Tahoma"/>
            <family val="2"/>
          </rPr>
          <t xml:space="preserve">
5 jk</t>
        </r>
      </text>
    </comment>
    <comment ref="O1035" authorId="1" shapeId="0" xr:uid="{112A0C81-F0EC-45FA-BC67-A05ECB68CB1B}">
      <text>
        <r>
          <rPr>
            <b/>
            <sz val="9"/>
            <color indexed="81"/>
            <rFont val="Tahoma"/>
            <family val="2"/>
          </rPr>
          <t>McHugh, Diana:</t>
        </r>
        <r>
          <rPr>
            <sz val="9"/>
            <color indexed="81"/>
            <rFont val="Tahoma"/>
            <family val="2"/>
          </rPr>
          <t xml:space="preserve">
5 jk,
some fish with caudal wear indicating a bit of spawning has occurred </t>
        </r>
      </text>
    </comment>
    <comment ref="P1035" authorId="1" shapeId="0" xr:uid="{5235C928-62CE-4267-BFEB-840F11CF8C23}">
      <text>
        <r>
          <rPr>
            <b/>
            <sz val="9"/>
            <color indexed="81"/>
            <rFont val="Tahoma"/>
            <family val="2"/>
          </rPr>
          <t>McHugh, Diana:</t>
        </r>
        <r>
          <rPr>
            <sz val="9"/>
            <color indexed="81"/>
            <rFont val="Tahoma"/>
            <family val="2"/>
          </rPr>
          <t xml:space="preserve">
10 jk</t>
        </r>
      </text>
    </comment>
    <comment ref="R1035" authorId="1" shapeId="0" xr:uid="{E36D4E5E-2EED-4D41-828E-172F07A9963B}">
      <text>
        <r>
          <rPr>
            <b/>
            <sz val="9"/>
            <color indexed="81"/>
            <rFont val="Tahoma"/>
            <family val="2"/>
          </rPr>
          <t>McHugh, Diana:</t>
        </r>
        <r>
          <rPr>
            <sz val="9"/>
            <color indexed="81"/>
            <rFont val="Tahoma"/>
            <family val="2"/>
          </rPr>
          <t xml:space="preserve">
17 jk</t>
        </r>
      </text>
    </comment>
    <comment ref="S1035" authorId="1" shapeId="0" xr:uid="{1B948995-2CFF-4833-BCCC-8878E2A3496F}">
      <text>
        <r>
          <rPr>
            <b/>
            <sz val="9"/>
            <color indexed="81"/>
            <rFont val="Tahoma"/>
            <family val="2"/>
          </rPr>
          <t>McHugh, Diana:</t>
        </r>
        <r>
          <rPr>
            <sz val="9"/>
            <color indexed="81"/>
            <rFont val="Tahoma"/>
            <family val="2"/>
          </rPr>
          <t xml:space="preserve">
5 jk</t>
        </r>
      </text>
    </comment>
    <comment ref="M1036" authorId="1" shapeId="0" xr:uid="{1EFF8BD7-6526-4B1B-ADC7-F93DB4C668FB}">
      <text>
        <r>
          <rPr>
            <b/>
            <sz val="9"/>
            <color indexed="81"/>
            <rFont val="Tahoma"/>
            <family val="2"/>
          </rPr>
          <t>McHugh, Diana:</t>
        </r>
        <r>
          <rPr>
            <sz val="9"/>
            <color indexed="81"/>
            <rFont val="Tahoma"/>
            <family val="2"/>
          </rPr>
          <t xml:space="preserve">
13 jk</t>
        </r>
      </text>
    </comment>
    <comment ref="O1036" authorId="1" shapeId="0" xr:uid="{44218B8A-1804-40A9-9A36-8C76658B9D25}">
      <text>
        <r>
          <rPr>
            <b/>
            <sz val="9"/>
            <color indexed="81"/>
            <rFont val="Tahoma"/>
            <family val="2"/>
          </rPr>
          <t>McHugh, Diana:</t>
        </r>
        <r>
          <rPr>
            <sz val="9"/>
            <color indexed="81"/>
            <rFont val="Tahoma"/>
            <family val="2"/>
          </rPr>
          <t xml:space="preserve">
142 jk</t>
        </r>
      </text>
    </comment>
    <comment ref="P1036" authorId="1" shapeId="0" xr:uid="{D4FA0DF5-E72E-4BAB-8B76-E4E7F9C378D1}">
      <text>
        <r>
          <rPr>
            <b/>
            <sz val="9"/>
            <color indexed="81"/>
            <rFont val="Tahoma"/>
            <family val="2"/>
          </rPr>
          <t>McHugh, Diana:</t>
        </r>
        <r>
          <rPr>
            <sz val="9"/>
            <color indexed="81"/>
            <rFont val="Tahoma"/>
            <family val="2"/>
          </rPr>
          <t xml:space="preserve">
121 jk</t>
        </r>
      </text>
    </comment>
    <comment ref="R1036" authorId="1" shapeId="0" xr:uid="{FF9930D7-D686-49D9-84C6-05B45D70F516}">
      <text>
        <r>
          <rPr>
            <b/>
            <sz val="9"/>
            <color indexed="81"/>
            <rFont val="Tahoma"/>
            <family val="2"/>
          </rPr>
          <t>McHugh, Diana:</t>
        </r>
        <r>
          <rPr>
            <sz val="9"/>
            <color indexed="81"/>
            <rFont val="Tahoma"/>
            <family val="2"/>
          </rPr>
          <t xml:space="preserve">
57 jk</t>
        </r>
      </text>
    </comment>
    <comment ref="S1036" authorId="1" shapeId="0" xr:uid="{842DEA71-F700-4AAF-A5DE-3F845532305A}">
      <text>
        <r>
          <rPr>
            <b/>
            <sz val="9"/>
            <color indexed="81"/>
            <rFont val="Tahoma"/>
            <family val="2"/>
          </rPr>
          <t>McHugh, Diana:</t>
        </r>
        <r>
          <rPr>
            <sz val="9"/>
            <color indexed="81"/>
            <rFont val="Tahoma"/>
            <family val="2"/>
          </rPr>
          <t xml:space="preserve">
62 jk
</t>
        </r>
      </text>
    </comment>
    <comment ref="U1036" authorId="1" shapeId="0" xr:uid="{C465D960-340C-40AF-980A-DE9650A47B98}">
      <text>
        <r>
          <rPr>
            <b/>
            <sz val="9"/>
            <color indexed="81"/>
            <rFont val="Tahoma"/>
            <family val="2"/>
          </rPr>
          <t>McHugh, Diana:</t>
        </r>
        <r>
          <rPr>
            <sz val="9"/>
            <color indexed="81"/>
            <rFont val="Tahoma"/>
            <family val="2"/>
          </rPr>
          <t xml:space="preserve">
46 jk
</t>
        </r>
      </text>
    </comment>
    <comment ref="M1039" authorId="1" shapeId="0" xr:uid="{D0D5FE2A-E0B4-45C0-A981-7359F0CE7D0A}">
      <text>
        <r>
          <rPr>
            <b/>
            <sz val="9"/>
            <color indexed="81"/>
            <rFont val="Tahoma"/>
            <family val="2"/>
          </rPr>
          <t>McHugh, Diana:</t>
        </r>
        <r>
          <rPr>
            <sz val="9"/>
            <color indexed="81"/>
            <rFont val="Tahoma"/>
            <family val="2"/>
          </rPr>
          <t xml:space="preserve">
3 jk</t>
        </r>
      </text>
    </comment>
    <comment ref="O1039" authorId="1" shapeId="0" xr:uid="{C0FFA75A-9DAC-4855-A16A-EA21D2C07A2C}">
      <text>
        <r>
          <rPr>
            <b/>
            <sz val="9"/>
            <color indexed="81"/>
            <rFont val="Tahoma"/>
            <family val="2"/>
          </rPr>
          <t>McHugh, Diana:</t>
        </r>
        <r>
          <rPr>
            <sz val="9"/>
            <color indexed="81"/>
            <rFont val="Tahoma"/>
            <family val="2"/>
          </rPr>
          <t xml:space="preserve">
20 jk</t>
        </r>
      </text>
    </comment>
    <comment ref="P1039" authorId="1" shapeId="0" xr:uid="{68A9CB60-AED6-4595-BBDB-912EAC814EB8}">
      <text>
        <r>
          <rPr>
            <b/>
            <sz val="9"/>
            <color indexed="81"/>
            <rFont val="Tahoma"/>
            <family val="2"/>
          </rPr>
          <t>McHugh, Diana:</t>
        </r>
        <r>
          <rPr>
            <sz val="9"/>
            <color indexed="81"/>
            <rFont val="Tahoma"/>
            <family val="2"/>
          </rPr>
          <t xml:space="preserve">
20 jk</t>
        </r>
      </text>
    </comment>
    <comment ref="R1039" authorId="1" shapeId="0" xr:uid="{886364C1-DE9C-493C-80E4-64570710B1CB}">
      <text>
        <r>
          <rPr>
            <b/>
            <sz val="9"/>
            <color indexed="81"/>
            <rFont val="Tahoma"/>
            <family val="2"/>
          </rPr>
          <t>McHugh, Diana:</t>
        </r>
        <r>
          <rPr>
            <sz val="9"/>
            <color indexed="81"/>
            <rFont val="Tahoma"/>
            <family val="2"/>
          </rPr>
          <t xml:space="preserve">
11 jk</t>
        </r>
      </text>
    </comment>
    <comment ref="L1041" authorId="1" shapeId="0" xr:uid="{10B1B7D6-5348-44A0-A6B4-2A26095C2769}">
      <text>
        <r>
          <rPr>
            <b/>
            <sz val="9"/>
            <color indexed="81"/>
            <rFont val="Tahoma"/>
            <family val="2"/>
          </rPr>
          <t>McHugh, Diana:</t>
        </r>
        <r>
          <rPr>
            <sz val="9"/>
            <color indexed="81"/>
            <rFont val="Tahoma"/>
            <family val="2"/>
          </rPr>
          <t xml:space="preserve">
7 jk</t>
        </r>
      </text>
    </comment>
    <comment ref="N1041" authorId="1" shapeId="0" xr:uid="{CB0824C8-8EE8-46BA-9085-4E79682A2890}">
      <text>
        <r>
          <rPr>
            <b/>
            <sz val="9"/>
            <color indexed="81"/>
            <rFont val="Tahoma"/>
            <family val="2"/>
          </rPr>
          <t>McHugh, Diana:</t>
        </r>
        <r>
          <rPr>
            <sz val="9"/>
            <color indexed="81"/>
            <rFont val="Tahoma"/>
            <family val="2"/>
          </rPr>
          <t xml:space="preserve">
</t>
        </r>
      </text>
    </comment>
    <comment ref="P1041" authorId="1" shapeId="0" xr:uid="{22C0A21E-F89F-4C46-AEA8-F6744082D5B8}">
      <text>
        <r>
          <rPr>
            <b/>
            <sz val="9"/>
            <color indexed="81"/>
            <rFont val="Tahoma"/>
            <family val="2"/>
          </rPr>
          <t>McHugh, Diana:</t>
        </r>
        <r>
          <rPr>
            <sz val="9"/>
            <color indexed="81"/>
            <rFont val="Tahoma"/>
            <family val="2"/>
          </rPr>
          <t xml:space="preserve">
3 jk</t>
        </r>
      </text>
    </comment>
    <comment ref="T1041" authorId="1" shapeId="0" xr:uid="{8AFE183E-7E10-48CA-A604-8EC52D1882EA}">
      <text>
        <r>
          <rPr>
            <b/>
            <sz val="9"/>
            <color indexed="81"/>
            <rFont val="Tahoma"/>
            <family val="2"/>
          </rPr>
          <t>McHugh, Diana:</t>
        </r>
        <r>
          <rPr>
            <sz val="9"/>
            <color indexed="81"/>
            <rFont val="Tahoma"/>
            <family val="2"/>
          </rPr>
          <t xml:space="preserve">
1 jk</t>
        </r>
      </text>
    </comment>
    <comment ref="U1041" authorId="1" shapeId="0" xr:uid="{905C4413-EF09-43D6-B3AC-D53575931F25}">
      <text>
        <r>
          <rPr>
            <b/>
            <sz val="9"/>
            <color indexed="81"/>
            <rFont val="Tahoma"/>
            <family val="2"/>
          </rPr>
          <t>McHugh, Diana:</t>
        </r>
        <r>
          <rPr>
            <sz val="9"/>
            <color indexed="81"/>
            <rFont val="Tahoma"/>
            <family val="2"/>
          </rPr>
          <t xml:space="preserve">
3 jk</t>
        </r>
      </text>
    </comment>
    <comment ref="L1042" authorId="1" shapeId="0" xr:uid="{E4EE199D-EEF8-444D-A9CC-0BE31E4AE62D}">
      <text>
        <r>
          <rPr>
            <b/>
            <sz val="9"/>
            <color indexed="81"/>
            <rFont val="Tahoma"/>
            <family val="2"/>
          </rPr>
          <t>McHugh, Diana:</t>
        </r>
        <r>
          <rPr>
            <sz val="9"/>
            <color indexed="81"/>
            <rFont val="Tahoma"/>
            <family val="2"/>
          </rPr>
          <t xml:space="preserve">
5 jk</t>
        </r>
      </text>
    </comment>
    <comment ref="N1042" authorId="1" shapeId="0" xr:uid="{88371211-082D-48AE-AC78-8453E93AE5EE}">
      <text>
        <r>
          <rPr>
            <b/>
            <sz val="9"/>
            <color indexed="81"/>
            <rFont val="Tahoma"/>
            <family val="2"/>
          </rPr>
          <t>McHugh, Diana:</t>
        </r>
        <r>
          <rPr>
            <sz val="9"/>
            <color indexed="81"/>
            <rFont val="Tahoma"/>
            <family val="2"/>
          </rPr>
          <t xml:space="preserve">
13 jk</t>
        </r>
      </text>
    </comment>
    <comment ref="P1042" authorId="1" shapeId="0" xr:uid="{3AA30366-1B38-487D-92D2-1D12895D6DE6}">
      <text>
        <r>
          <rPr>
            <b/>
            <sz val="9"/>
            <color indexed="81"/>
            <rFont val="Tahoma"/>
            <family val="2"/>
          </rPr>
          <t>McHugh, Diana:</t>
        </r>
        <r>
          <rPr>
            <sz val="9"/>
            <color indexed="81"/>
            <rFont val="Tahoma"/>
            <family val="2"/>
          </rPr>
          <t xml:space="preserve">
321 jk</t>
        </r>
      </text>
    </comment>
    <comment ref="R1042" authorId="1" shapeId="0" xr:uid="{F8A14EC3-BB3D-43F4-A38D-4C854640D0D8}">
      <text>
        <r>
          <rPr>
            <b/>
            <sz val="9"/>
            <color indexed="81"/>
            <rFont val="Tahoma"/>
            <family val="2"/>
          </rPr>
          <t>McHugh, Diana:</t>
        </r>
        <r>
          <rPr>
            <sz val="9"/>
            <color indexed="81"/>
            <rFont val="Tahoma"/>
            <family val="2"/>
          </rPr>
          <t xml:space="preserve">
290 jk</t>
        </r>
      </text>
    </comment>
    <comment ref="T1042" authorId="1" shapeId="0" xr:uid="{FF06B6A5-EA06-4E9B-8AB6-B14D24E844EC}">
      <text>
        <r>
          <rPr>
            <b/>
            <sz val="9"/>
            <color indexed="81"/>
            <rFont val="Tahoma"/>
            <family val="2"/>
          </rPr>
          <t>McHugh, Diana:</t>
        </r>
        <r>
          <rPr>
            <sz val="9"/>
            <color indexed="81"/>
            <rFont val="Tahoma"/>
            <family val="2"/>
          </rPr>
          <t xml:space="preserve">
224 jk
</t>
        </r>
      </text>
    </comment>
    <comment ref="U1042" authorId="1" shapeId="0" xr:uid="{AF482BAA-5B84-4F6B-B742-F21E2A9F1F00}">
      <text>
        <r>
          <rPr>
            <b/>
            <sz val="9"/>
            <color indexed="81"/>
            <rFont val="Tahoma"/>
            <family val="2"/>
          </rPr>
          <t>McHugh, Diana:</t>
        </r>
        <r>
          <rPr>
            <sz val="9"/>
            <color indexed="81"/>
            <rFont val="Tahoma"/>
            <family val="2"/>
          </rPr>
          <t xml:space="preserve">
212 jk
</t>
        </r>
      </text>
    </comment>
    <comment ref="N1045" authorId="1" shapeId="0" xr:uid="{E474BE92-CBD1-4CA8-8006-7C7F25D01490}">
      <text>
        <r>
          <rPr>
            <b/>
            <sz val="9"/>
            <color indexed="81"/>
            <rFont val="Tahoma"/>
            <family val="2"/>
          </rPr>
          <t>McHugh, Diana:</t>
        </r>
        <r>
          <rPr>
            <sz val="9"/>
            <color indexed="81"/>
            <rFont val="Tahoma"/>
            <family val="2"/>
          </rPr>
          <t xml:space="preserve">
6 jk</t>
        </r>
      </text>
    </comment>
    <comment ref="P1045" authorId="1" shapeId="0" xr:uid="{357A75B2-5FA2-462A-8477-2BA0B78EAD7A}">
      <text>
        <r>
          <rPr>
            <b/>
            <sz val="9"/>
            <color indexed="81"/>
            <rFont val="Tahoma"/>
            <family val="2"/>
          </rPr>
          <t>McHugh, Diana:</t>
        </r>
        <r>
          <rPr>
            <sz val="9"/>
            <color indexed="81"/>
            <rFont val="Tahoma"/>
            <family val="2"/>
          </rPr>
          <t xml:space="preserve">
75 jk</t>
        </r>
      </text>
    </comment>
    <comment ref="R1045" authorId="1" shapeId="0" xr:uid="{7A80A786-4F52-4FC1-80E6-40CC5515DE51}">
      <text>
        <r>
          <rPr>
            <b/>
            <sz val="9"/>
            <color indexed="81"/>
            <rFont val="Tahoma"/>
            <family val="2"/>
          </rPr>
          <t>McHugh, Diana:</t>
        </r>
        <r>
          <rPr>
            <sz val="9"/>
            <color indexed="81"/>
            <rFont val="Tahoma"/>
            <family val="2"/>
          </rPr>
          <t xml:space="preserve">
2 jk</t>
        </r>
      </text>
    </comment>
    <comment ref="N1047" authorId="1" shapeId="0" xr:uid="{45EA126F-6BB8-407E-AA00-4F3F0A7C2544}">
      <text>
        <r>
          <rPr>
            <b/>
            <sz val="9"/>
            <color indexed="81"/>
            <rFont val="Tahoma"/>
            <family val="2"/>
          </rPr>
          <t>McHugh, Diana:</t>
        </r>
        <r>
          <rPr>
            <sz val="9"/>
            <color indexed="81"/>
            <rFont val="Tahoma"/>
            <family val="2"/>
          </rPr>
          <t xml:space="preserve">
10 jk</t>
        </r>
      </text>
    </comment>
    <comment ref="M1048" authorId="1" shapeId="0" xr:uid="{59A4E54D-6BDE-46E8-A155-B04A407B7FD4}">
      <text>
        <r>
          <rPr>
            <b/>
            <sz val="9"/>
            <color indexed="81"/>
            <rFont val="Tahoma"/>
            <family val="2"/>
          </rPr>
          <t>McHugh, Diana:</t>
        </r>
        <r>
          <rPr>
            <sz val="9"/>
            <color indexed="81"/>
            <rFont val="Tahoma"/>
            <family val="2"/>
          </rPr>
          <t xml:space="preserve">
185 jk</t>
        </r>
      </text>
    </comment>
    <comment ref="N1048" authorId="1" shapeId="0" xr:uid="{33BBA2CB-4D51-4175-916C-8E4A80546763}">
      <text>
        <r>
          <rPr>
            <b/>
            <sz val="9"/>
            <color indexed="81"/>
            <rFont val="Tahoma"/>
            <family val="2"/>
          </rPr>
          <t>McHugh, Diana:</t>
        </r>
        <r>
          <rPr>
            <sz val="9"/>
            <color indexed="81"/>
            <rFont val="Tahoma"/>
            <family val="2"/>
          </rPr>
          <t xml:space="preserve">
50 jk</t>
        </r>
      </text>
    </comment>
    <comment ref="Q1048" authorId="1" shapeId="0" xr:uid="{CABE09A8-B1A1-4F1B-88B3-3B882A9910D0}">
      <text>
        <r>
          <rPr>
            <b/>
            <sz val="9"/>
            <color indexed="81"/>
            <rFont val="Tahoma"/>
            <family val="2"/>
          </rPr>
          <t>McHugh, Diana:</t>
        </r>
        <r>
          <rPr>
            <sz val="9"/>
            <color indexed="81"/>
            <rFont val="Tahoma"/>
            <family val="2"/>
          </rPr>
          <t xml:space="preserve">
15 jk</t>
        </r>
      </text>
    </comment>
    <comment ref="M1051" authorId="1" shapeId="0" xr:uid="{A0D42B64-CF7A-4A50-9D58-EB6D2C60C799}">
      <text>
        <r>
          <rPr>
            <b/>
            <sz val="9"/>
            <color indexed="81"/>
            <rFont val="Tahoma"/>
            <family val="2"/>
          </rPr>
          <t>McHugh, Diana:</t>
        </r>
        <r>
          <rPr>
            <sz val="9"/>
            <color indexed="81"/>
            <rFont val="Tahoma"/>
            <family val="2"/>
          </rPr>
          <t xml:space="preserve">
104 jk
</t>
        </r>
      </text>
    </comment>
    <comment ref="N1051" authorId="1" shapeId="0" xr:uid="{9281C542-5AD9-48E5-AB82-E9C6DCBE5AAD}">
      <text>
        <r>
          <rPr>
            <b/>
            <sz val="9"/>
            <color indexed="81"/>
            <rFont val="Tahoma"/>
            <family val="2"/>
          </rPr>
          <t>McHugh, Diana:</t>
        </r>
        <r>
          <rPr>
            <sz val="9"/>
            <color indexed="81"/>
            <rFont val="Tahoma"/>
            <family val="2"/>
          </rPr>
          <t xml:space="preserve">
205 jk</t>
        </r>
      </text>
    </comment>
    <comment ref="Q1051" authorId="1" shapeId="0" xr:uid="{1F6D39B5-4A8F-47B3-921F-6D6BE74F7F45}">
      <text>
        <r>
          <rPr>
            <b/>
            <sz val="9"/>
            <color indexed="81"/>
            <rFont val="Tahoma"/>
            <family val="2"/>
          </rPr>
          <t>McHugh, Diana:</t>
        </r>
        <r>
          <rPr>
            <sz val="9"/>
            <color indexed="81"/>
            <rFont val="Tahoma"/>
            <family val="2"/>
          </rPr>
          <t xml:space="preserve">
Lower plus Heber pool only, missing most of the upper rive and a significant portion of the CN and CO have moved up, CM just starting to enter.</t>
        </r>
      </text>
    </comment>
    <comment ref="R1051" authorId="1" shapeId="0" xr:uid="{06B2641E-4885-452F-818A-01A33B419823}">
      <text>
        <r>
          <rPr>
            <b/>
            <sz val="9"/>
            <color indexed="81"/>
            <rFont val="Tahoma"/>
            <family val="2"/>
          </rPr>
          <t>McHugh, Diana:</t>
        </r>
        <r>
          <rPr>
            <sz val="9"/>
            <color indexed="81"/>
            <rFont val="Tahoma"/>
            <family val="2"/>
          </rPr>
          <t xml:space="preserve">
Upper Gold survey Oct 10</t>
        </r>
      </text>
    </comment>
    <comment ref="P1150" authorId="1" shapeId="0" xr:uid="{947C2FBE-6748-43D9-9A0B-ACE4820A6D3E}">
      <text>
        <r>
          <rPr>
            <b/>
            <sz val="9"/>
            <color indexed="81"/>
            <rFont val="Tahoma"/>
            <family val="2"/>
          </rPr>
          <t>McHugh, Diana:</t>
        </r>
        <r>
          <rPr>
            <sz val="9"/>
            <color indexed="81"/>
            <rFont val="Tahoma"/>
            <family val="2"/>
          </rPr>
          <t xml:space="preserve">
112 jk</t>
        </r>
      </text>
    </comment>
    <comment ref="R1150" authorId="1" shapeId="0" xr:uid="{5D667BBB-B730-44B0-A631-782CD29666F4}">
      <text>
        <r>
          <rPr>
            <b/>
            <sz val="9"/>
            <color indexed="81"/>
            <rFont val="Tahoma"/>
            <family val="2"/>
          </rPr>
          <t>McHugh, Diana:</t>
        </r>
        <r>
          <rPr>
            <sz val="9"/>
            <color indexed="81"/>
            <rFont val="Tahoma"/>
            <family val="2"/>
          </rPr>
          <t xml:space="preserve">
53 jk</t>
        </r>
      </text>
    </comment>
    <comment ref="AO1151" authorId="36" shapeId="0" xr:uid="{82C30009-928C-4744-A7A3-F507BD66183A}">
      <text>
        <t>[Threaded comment]
Your version of Excel allows you to read this threaded comment; however, any edits to it will get removed if the file is opened in a newer version of Excel. Learn more: https://go.microsoft.com/fwlink/?linkid=870924
Comment:
    Should be Type-6</t>
      </text>
    </comment>
    <comment ref="L1153" authorId="1" shapeId="0" xr:uid="{4A8513E0-0D45-4B97-BE72-DC53C963C119}">
      <text>
        <r>
          <rPr>
            <b/>
            <sz val="9"/>
            <color indexed="81"/>
            <rFont val="Tahoma"/>
            <family val="2"/>
          </rPr>
          <t>McHugh, Diana:</t>
        </r>
        <r>
          <rPr>
            <sz val="9"/>
            <color indexed="81"/>
            <rFont val="Tahoma"/>
            <family val="2"/>
          </rPr>
          <t xml:space="preserve">
2 jk
</t>
        </r>
      </text>
    </comment>
    <comment ref="O1153" authorId="1" shapeId="0" xr:uid="{7DE558A9-C111-4230-AC72-2BAC29D318A9}">
      <text>
        <r>
          <rPr>
            <b/>
            <sz val="9"/>
            <color indexed="81"/>
            <rFont val="Tahoma"/>
            <family val="2"/>
          </rPr>
          <t>McHugh, Diana:</t>
        </r>
        <r>
          <rPr>
            <sz val="9"/>
            <color indexed="81"/>
            <rFont val="Tahoma"/>
            <family val="2"/>
          </rPr>
          <t xml:space="preserve">
cancelled due to low water</t>
        </r>
      </text>
    </comment>
    <comment ref="P1153" authorId="37" shapeId="0" xr:uid="{67E281F5-4C58-4EBD-9B38-78CD9725BF97}">
      <text>
        <t>[Threaded comment]
Your version of Excel allows you to read this threaded comment; however, any edits to it will get removed if the file is opened in a newer version of Excel. Learn more: https://go.microsoft.com/fwlink/?linkid=870924
Comment:
    3 jks</t>
      </text>
    </comment>
    <comment ref="R1153" authorId="38" shapeId="0" xr:uid="{423070CA-6F6C-4DAC-9AF3-75D3B17FC7C8}">
      <text>
        <t>[Threaded comment]
Your version of Excel allows you to read this threaded comment; however, any edits to it will get removed if the file is opened in a newer version of Excel. Learn more: https://go.microsoft.com/fwlink/?linkid=870924
Comment:
    6 jks</t>
      </text>
    </comment>
    <comment ref="AO1153" authorId="39" shapeId="0" xr:uid="{607A6359-E966-405C-826B-3EC44CBAA9F9}">
      <text>
        <t>[Threaded comment]
Your version of Excel allows you to read this threaded comment; however, any edits to it will get removed if the file is opened in a newer version of Excel. Learn more: https://go.microsoft.com/fwlink/?linkid=870924
Comment:
    Type 4? For CN the timing wasn’t terrible.</t>
      </text>
    </comment>
    <comment ref="R1156" authorId="1" shapeId="0" xr:uid="{5A44CC9C-20FA-4A3D-9105-059A0FEA8BEF}">
      <text>
        <r>
          <rPr>
            <b/>
            <sz val="9"/>
            <color indexed="81"/>
            <rFont val="Tahoma"/>
            <family val="2"/>
          </rPr>
          <t>McHugh, Diana:</t>
        </r>
        <r>
          <rPr>
            <sz val="9"/>
            <color indexed="81"/>
            <rFont val="Tahoma"/>
            <family val="2"/>
          </rPr>
          <t xml:space="preserve">
76 jk</t>
        </r>
      </text>
    </comment>
    <comment ref="V1156" authorId="1" shapeId="0" xr:uid="{EF59ED5F-2EFC-4FE4-8939-E3478D206436}">
      <text>
        <r>
          <rPr>
            <b/>
            <sz val="9"/>
            <color indexed="81"/>
            <rFont val="Tahoma"/>
            <family val="2"/>
          </rPr>
          <t>McHugh, Diana:</t>
        </r>
        <r>
          <rPr>
            <sz val="9"/>
            <color indexed="81"/>
            <rFont val="Tahoma"/>
            <family val="2"/>
          </rPr>
          <t xml:space="preserve">
Partial swim (17-6), exited at Marker 6 due to rain and high water</t>
        </r>
      </text>
    </comment>
    <comment ref="W1156" authorId="1" shapeId="0" xr:uid="{A39D4D56-356C-48C5-ACC3-0ECDF3F0215F}">
      <text>
        <r>
          <rPr>
            <b/>
            <sz val="9"/>
            <color indexed="81"/>
            <rFont val="Tahoma"/>
            <family val="2"/>
          </rPr>
          <t>McHugh, Diana:</t>
        </r>
        <r>
          <rPr>
            <sz val="9"/>
            <color indexed="81"/>
            <rFont val="Tahoma"/>
            <family val="2"/>
          </rPr>
          <t xml:space="preserve">
Partial swim 17-10 due to high water</t>
        </r>
      </text>
    </comment>
    <comment ref="Y1156" authorId="1" shapeId="0" xr:uid="{8F09DBB0-4CD6-4628-BA3C-376B4C210BC6}">
      <text>
        <r>
          <rPr>
            <b/>
            <sz val="9"/>
            <color indexed="81"/>
            <rFont val="Tahoma"/>
            <family val="2"/>
          </rPr>
          <t>McHugh, Diana:</t>
        </r>
        <r>
          <rPr>
            <sz val="9"/>
            <color indexed="81"/>
            <rFont val="Tahoma"/>
            <family val="2"/>
          </rPr>
          <t xml:space="preserve">
101 jk</t>
        </r>
      </text>
    </comment>
    <comment ref="P1159" authorId="1" shapeId="0" xr:uid="{D21A2195-9136-4A91-B787-875025415B0E}">
      <text>
        <r>
          <rPr>
            <b/>
            <sz val="9"/>
            <color indexed="81"/>
            <rFont val="Tahoma"/>
            <family val="2"/>
          </rPr>
          <t>McHugh, Diana:</t>
        </r>
        <r>
          <rPr>
            <sz val="9"/>
            <color indexed="81"/>
            <rFont val="Tahoma"/>
            <family val="2"/>
          </rPr>
          <t xml:space="preserve">
28 jk</t>
        </r>
      </text>
    </comment>
    <comment ref="R1159" authorId="1" shapeId="0" xr:uid="{2784F8B9-6CA3-4AC3-89AC-E7039C482245}">
      <text>
        <r>
          <rPr>
            <b/>
            <sz val="9"/>
            <color indexed="81"/>
            <rFont val="Tahoma"/>
            <family val="2"/>
          </rPr>
          <t>McHugh, Diana:</t>
        </r>
        <r>
          <rPr>
            <sz val="9"/>
            <color indexed="81"/>
            <rFont val="Tahoma"/>
            <family val="2"/>
          </rPr>
          <t xml:space="preserve">
15 jk, 3 morts</t>
        </r>
      </text>
    </comment>
    <comment ref="Y1162" authorId="1" shapeId="0" xr:uid="{EC03EF58-E4B5-405C-B361-8B899463A960}">
      <text>
        <r>
          <rPr>
            <b/>
            <sz val="9"/>
            <color indexed="81"/>
            <rFont val="Tahoma"/>
            <family val="2"/>
          </rPr>
          <t>McHugh, Diana:</t>
        </r>
        <r>
          <rPr>
            <sz val="9"/>
            <color indexed="81"/>
            <rFont val="Tahoma"/>
            <family val="2"/>
          </rPr>
          <t xml:space="preserve">
63 jk, didn't survey sections 2-0, jumped out at the bridge</t>
        </r>
      </text>
    </comment>
    <comment ref="AL1162" authorId="40" shapeId="0" xr:uid="{3352B362-DE10-4314-A2E4-6677A213C1AC}">
      <text>
        <t>[Threaded comment]
Your version of Excel allows you to read this threaded comment; however, any edits to it will get removed if the file is opened in a newer version of Excel. Learn more: https://go.microsoft.com/fwlink/?linkid=870924
Comment:
    Nov 29th expanded twice. On purpose since they didn’t to the last couple sections?</t>
      </text>
    </comment>
    <comment ref="AO1162" authorId="41" shapeId="0" xr:uid="{1F20014C-5B4E-4373-AFDD-5C939F6E065F}">
      <text>
        <t>[Threaded comment]
Your version of Excel allows you to read this threaded comment; however, any edits to it will get removed if the file is opened in a newer version of Excel. Learn more: https://go.microsoft.com/fwlink/?linkid=870924
Comment:
    Type 4 perhaps?  Based on previous years as significant portion of the peak CO abundance should have been present during both of those surveys.</t>
      </text>
    </comment>
    <comment ref="N1165" authorId="42" shapeId="0" xr:uid="{09BD4204-0215-4B21-9590-EE2CA56EDFD1}">
      <text>
        <t>[Threaded comment]
Your version of Excel allows you to read this threaded comment; however, any edits to it will get removed if the file is opened in a newer version of Excel. Learn more: https://go.microsoft.com/fwlink/?linkid=870924
Comment:
    No access due to low water levels</t>
      </text>
    </comment>
    <comment ref="Q1165" authorId="1" shapeId="0" xr:uid="{D2E24AFB-0CCE-4636-BBF2-ABD4CB2DC06C}">
      <text>
        <r>
          <rPr>
            <b/>
            <sz val="9"/>
            <color indexed="81"/>
            <rFont val="Tahoma"/>
            <family val="2"/>
          </rPr>
          <t>McHugh, Diana:</t>
        </r>
        <r>
          <rPr>
            <sz val="9"/>
            <color indexed="81"/>
            <rFont val="Tahoma"/>
            <family val="2"/>
          </rPr>
          <t xml:space="preserve">
8 jk</t>
        </r>
      </text>
    </comment>
    <comment ref="M1168" authorId="1" shapeId="0" xr:uid="{4E8AC8B3-08B2-4947-B72A-D9307F65FDEF}">
      <text>
        <r>
          <rPr>
            <b/>
            <sz val="9"/>
            <color indexed="81"/>
            <rFont val="Tahoma"/>
            <family val="2"/>
          </rPr>
          <t>McHugh, Diana:</t>
        </r>
        <r>
          <rPr>
            <sz val="9"/>
            <color indexed="81"/>
            <rFont val="Tahoma"/>
            <family val="2"/>
          </rPr>
          <t xml:space="preserve">
7 jk
</t>
        </r>
      </text>
    </comment>
    <comment ref="O1168" authorId="1" shapeId="0" xr:uid="{4E016100-D5D0-4F18-939D-BDA2CA4619FD}">
      <text>
        <r>
          <rPr>
            <b/>
            <sz val="9"/>
            <color indexed="81"/>
            <rFont val="Tahoma"/>
            <family val="2"/>
          </rPr>
          <t>McHugh, Diana:</t>
        </r>
        <r>
          <rPr>
            <sz val="9"/>
            <color indexed="81"/>
            <rFont val="Tahoma"/>
            <family val="2"/>
          </rPr>
          <t xml:space="preserve">
7 jk</t>
        </r>
      </text>
    </comment>
    <comment ref="T1168" authorId="1" shapeId="0" xr:uid="{103C2B9B-E9A3-4009-872A-4A3263B90309}">
      <text>
        <r>
          <rPr>
            <b/>
            <sz val="9"/>
            <color indexed="81"/>
            <rFont val="Tahoma"/>
            <family val="2"/>
          </rPr>
          <t>McHugh, Diana:</t>
        </r>
        <r>
          <rPr>
            <sz val="9"/>
            <color indexed="81"/>
            <rFont val="Tahoma"/>
            <family val="2"/>
          </rPr>
          <t xml:space="preserve">
74 jk</t>
        </r>
      </text>
    </comment>
    <comment ref="M1171" authorId="1" shapeId="0" xr:uid="{2378C012-1D3E-4FAC-9180-0DD9839AB539}">
      <text>
        <r>
          <rPr>
            <b/>
            <sz val="9"/>
            <color indexed="81"/>
            <rFont val="Tahoma"/>
            <family val="2"/>
          </rPr>
          <t>McHugh, Diana:</t>
        </r>
        <r>
          <rPr>
            <sz val="9"/>
            <color indexed="81"/>
            <rFont val="Tahoma"/>
            <family val="2"/>
          </rPr>
          <t xml:space="preserve">
34 jk
</t>
        </r>
      </text>
    </comment>
    <comment ref="N1171" authorId="1" shapeId="0" xr:uid="{1EB132E5-091D-46A0-B08F-8DBD18D648ED}">
      <text>
        <r>
          <rPr>
            <b/>
            <sz val="9"/>
            <color indexed="81"/>
            <rFont val="Tahoma"/>
            <family val="2"/>
          </rPr>
          <t>McHugh, Diana:</t>
        </r>
        <r>
          <rPr>
            <sz val="9"/>
            <color indexed="81"/>
            <rFont val="Tahoma"/>
            <family val="2"/>
          </rPr>
          <t xml:space="preserve">
cancelled due to low water</t>
        </r>
      </text>
    </comment>
    <comment ref="O1171" authorId="1" shapeId="0" xr:uid="{1120D5BF-D1F5-4325-B16D-52EFAE2B65C0}">
      <text>
        <r>
          <rPr>
            <b/>
            <sz val="9"/>
            <color indexed="81"/>
            <rFont val="Tahoma"/>
            <family val="2"/>
          </rPr>
          <t>McHugh, Diana:</t>
        </r>
        <r>
          <rPr>
            <sz val="9"/>
            <color indexed="81"/>
            <rFont val="Tahoma"/>
            <family val="2"/>
          </rPr>
          <t xml:space="preserve">
115 jk</t>
        </r>
      </text>
    </comment>
    <comment ref="P1171" authorId="43" shapeId="0" xr:uid="{E0EA6B40-61EF-455F-855E-8997AE08C2D7}">
      <text>
        <r>
          <rPr>
            <b/>
            <sz val="9"/>
            <color indexed="81"/>
            <rFont val="Tahoma"/>
            <family val="2"/>
          </rPr>
          <t>Matwichuk, Kiana:</t>
        </r>
        <r>
          <rPr>
            <sz val="9"/>
            <color indexed="81"/>
            <rFont val="Tahoma"/>
            <family val="2"/>
          </rPr>
          <t xml:space="preserve">
25 jk, 1 mort</t>
        </r>
      </text>
    </comment>
    <comment ref="AL1171" authorId="44" shapeId="0" xr:uid="{1D04E486-428F-40FD-AE1F-C39A0E61A9E6}">
      <text>
        <t>[Threaded comment]
Your version of Excel allows you to read this threaded comment; however, any edits to it will get removed if the file is opened in a newer version of Excel. Learn more: https://go.microsoft.com/fwlink/?linkid=870924
Comment:
    Why unexpanded?  Was this where you though perhaps come CO were mis-ID'd?
Compared to 2019 (~290 in week 9-1), the estimate was ~1,000, so the estimate seems reasonable even without putting too much faith in the peak count.</t>
      </text>
    </comment>
    <comment ref="R1180" authorId="1" shapeId="0" xr:uid="{7E14321A-6A2E-491A-BF7D-0C3FBB7C3E98}">
      <text>
        <r>
          <rPr>
            <b/>
            <sz val="9"/>
            <color indexed="81"/>
            <rFont val="Tahoma"/>
            <family val="2"/>
          </rPr>
          <t>McHugh, Diana:</t>
        </r>
        <r>
          <rPr>
            <sz val="9"/>
            <color indexed="81"/>
            <rFont val="Tahoma"/>
            <family val="2"/>
          </rPr>
          <t xml:space="preserve">
15 jk</t>
        </r>
      </text>
    </comment>
    <comment ref="V1180" authorId="1" shapeId="0" xr:uid="{0C1AE4E4-44EB-4607-886E-87F250B37F67}">
      <text>
        <r>
          <rPr>
            <b/>
            <sz val="9"/>
            <color indexed="81"/>
            <rFont val="Tahoma"/>
            <family val="2"/>
          </rPr>
          <t>McHugh, Diana:</t>
        </r>
        <r>
          <rPr>
            <sz val="9"/>
            <color indexed="81"/>
            <rFont val="Tahoma"/>
            <family val="2"/>
          </rPr>
          <t xml:space="preserve">
4 jk</t>
        </r>
      </text>
    </comment>
    <comment ref="W1180" authorId="1" shapeId="0" xr:uid="{67301CB8-3987-4F68-8060-99B7E91A8EAE}">
      <text>
        <r>
          <rPr>
            <b/>
            <sz val="9"/>
            <color indexed="81"/>
            <rFont val="Tahoma"/>
            <family val="2"/>
          </rPr>
          <t>McHugh, Diana:</t>
        </r>
        <r>
          <rPr>
            <sz val="9"/>
            <color indexed="81"/>
            <rFont val="Tahoma"/>
            <family val="2"/>
          </rPr>
          <t xml:space="preserve">
5 jk</t>
        </r>
      </text>
    </comment>
    <comment ref="AL1180" authorId="45" shapeId="0" xr:uid="{4178E1B2-AEE1-4681-B1D8-A49B91658B53}">
      <text>
        <t>[Threaded comment]
Your version of Excel allows you to read this threaded comment; however, any edits to it will get removed if the file is opened in a newer version of Excel. Learn more: https://go.microsoft.com/fwlink/?linkid=870924
Comment:
    Did you expand the Nov 7th count twice on purpose, or was that an error?</t>
      </text>
    </comment>
    <comment ref="V1182" authorId="1" shapeId="0" xr:uid="{EEB43221-F4FB-4325-BAB9-07AC2D84F67B}">
      <text>
        <r>
          <rPr>
            <b/>
            <sz val="9"/>
            <color indexed="81"/>
            <rFont val="Tahoma"/>
            <family val="2"/>
          </rPr>
          <t>McHugh, Diana:</t>
        </r>
        <r>
          <rPr>
            <sz val="9"/>
            <color indexed="81"/>
            <rFont val="Tahoma"/>
            <family val="2"/>
          </rPr>
          <t xml:space="preserve">
Lots of dead and dying chum</t>
        </r>
      </text>
    </comment>
    <comment ref="AL1182" authorId="46" shapeId="0" xr:uid="{4FA708DC-F821-4172-AC71-C913D3D60BA4}">
      <text>
        <t>[Threaded comment]
Your version of Excel allows you to read this threaded comment; however, any edits to it will get removed if the file is opened in a newer version of Excel. Learn more: https://go.microsoft.com/fwlink/?linkid=870924
Comment:
    Did you expand the Nov 7th count intentionally?</t>
      </text>
    </comment>
    <comment ref="AL1183" authorId="47" shapeId="0" xr:uid="{5A8E1422-C617-45E9-A26C-F2BCB4676807}">
      <text>
        <t>[Threaded comment]
Your version of Excel allows you to read this threaded comment; however, any edits to it will get removed if the file is opened in a newer version of Excel. Learn more: https://go.microsoft.com/fwlink/?linkid=870924
Comment:
    Missing the Oct 11th survey scan from the SIL folder</t>
      </text>
    </comment>
    <comment ref="AO1191" authorId="48" shapeId="0" xr:uid="{CB171F1C-EE14-4835-8FBC-24DF0DA5EC06}">
      <text>
        <t>[Threaded comment]
Your version of Excel allows you to read this threaded comment; however, any edits to it will get removed if the file is opened in a newer version of Excel. Learn more: https://go.microsoft.com/fwlink/?linkid=870924
Comment:
    For Easy, the only persistent salmon populations in the record (based on checking WCVI Streams) are CN, CM, and CO, so the other estimates can be deleted.
Reply:
    Verified in NuSEDs, no SK or PK pop in Easy</t>
      </text>
    </comment>
    <comment ref="V1192" authorId="1" shapeId="0" xr:uid="{BAEB957F-BCBB-4042-AE24-587DF0952CBD}">
      <text>
        <r>
          <rPr>
            <b/>
            <sz val="9"/>
            <color indexed="81"/>
            <rFont val="Tahoma"/>
            <family val="2"/>
          </rPr>
          <t>McHugh, Diana:</t>
        </r>
        <r>
          <rPr>
            <sz val="9"/>
            <color indexed="81"/>
            <rFont val="Tahoma"/>
            <family val="2"/>
          </rPr>
          <t xml:space="preserve">
3 jk</t>
        </r>
      </text>
    </comment>
    <comment ref="W1192" authorId="1" shapeId="0" xr:uid="{A55D182A-89D6-433A-B1A3-C702ED22800D}">
      <text>
        <r>
          <rPr>
            <b/>
            <sz val="9"/>
            <color indexed="81"/>
            <rFont val="Tahoma"/>
            <family val="2"/>
          </rPr>
          <t>McHugh, Diana:</t>
        </r>
        <r>
          <rPr>
            <sz val="9"/>
            <color indexed="81"/>
            <rFont val="Tahoma"/>
            <family val="2"/>
          </rPr>
          <t xml:space="preserve">
13 jk</t>
        </r>
      </text>
    </comment>
    <comment ref="AO1192" authorId="49" shapeId="0" xr:uid="{B9E40550-25FC-4E2E-BE17-D7FD92EEE1B6}">
      <text>
        <t>[Threaded comment]
Your version of Excel allows you to read this threaded comment; however, any edits to it will get removed if the file is opened in a newer version of Excel. Learn more: https://go.microsoft.com/fwlink/?linkid=870924
Comment:
    Timing wasn't terrible for CO, but they only surveyed from 4-0, so likely missed a good portion of the CO (9-0 was recommended in the 2014 LGL post season report, if we wanted a good CO count).</t>
      </text>
    </comment>
    <comment ref="AO1193" authorId="50" shapeId="0" xr:uid="{99B0472C-1988-457F-9D89-B33F73073A5D}">
      <text>
        <t>[Threaded comment]
Your version of Excel allows you to read this threaded comment; however, any edits to it will get removed if the file is opened in a newer version of Excel. Learn more: https://go.microsoft.com/fwlink/?linkid=870924
Comment:
    For Easy, the only persistent salmon populations in the record (based on checking WCVI Streams) are CN, CM, and CO, so the other estimates can be deleted.
Reply:
    Verified in NuSEDs, no SK or PK pop in Easy</t>
      </text>
    </comment>
    <comment ref="V1194" authorId="1" shapeId="0" xr:uid="{8AA7FC40-B734-4BA4-AB26-ABDB7F16E8E1}">
      <text>
        <r>
          <rPr>
            <b/>
            <sz val="9"/>
            <color indexed="81"/>
            <rFont val="Tahoma"/>
            <family val="2"/>
          </rPr>
          <t>McHugh, Diana:</t>
        </r>
        <r>
          <rPr>
            <sz val="9"/>
            <color indexed="81"/>
            <rFont val="Tahoma"/>
            <family val="2"/>
          </rPr>
          <t xml:space="preserve">
Lots of dead and dying chum</t>
        </r>
      </text>
    </comment>
    <comment ref="AO1194" authorId="51" shapeId="0" xr:uid="{33FDBE98-22E6-4CC8-B7C3-6ED69381CE8E}">
      <text>
        <t>[Threaded comment]
Your version of Excel allows you to read this threaded comment; however, any edits to it will get removed if the file is opened in a newer version of Excel. Learn more: https://go.microsoft.com/fwlink/?linkid=870924
Comment:
    Agreed, the 2012 counts support the conclusion we missed the peak, though we could pull the water levels for 2012 to see if the pattern were broadly similar.</t>
      </text>
    </comment>
    <comment ref="L1240" authorId="1" shapeId="0" xr:uid="{CD009AB7-63EE-41B6-A37C-F6F59ECC842B}">
      <text>
        <r>
          <rPr>
            <b/>
            <sz val="9"/>
            <color indexed="81"/>
            <rFont val="Tahoma"/>
            <family val="2"/>
          </rPr>
          <t>McHugh, Diana:</t>
        </r>
        <r>
          <rPr>
            <sz val="9"/>
            <color indexed="81"/>
            <rFont val="Tahoma"/>
            <family val="2"/>
          </rPr>
          <t xml:space="preserve">
2 jk</t>
        </r>
      </text>
    </comment>
    <comment ref="O1240" authorId="1" shapeId="0" xr:uid="{EC10B773-435F-4FFB-82E0-34413CA05FA4}">
      <text>
        <r>
          <rPr>
            <b/>
            <sz val="9"/>
            <color indexed="81"/>
            <rFont val="Tahoma"/>
            <family val="2"/>
          </rPr>
          <t>McHugh, Diana:</t>
        </r>
        <r>
          <rPr>
            <sz val="9"/>
            <color indexed="81"/>
            <rFont val="Tahoma"/>
            <family val="2"/>
          </rPr>
          <t xml:space="preserve">
9 jk</t>
        </r>
      </text>
    </comment>
    <comment ref="Q1240" authorId="1" shapeId="0" xr:uid="{230CFB90-C546-40AB-925D-1959CF3481B0}">
      <text>
        <r>
          <rPr>
            <b/>
            <sz val="9"/>
            <color indexed="81"/>
            <rFont val="Tahoma"/>
            <family val="2"/>
          </rPr>
          <t>McHugh, Diana:</t>
        </r>
        <r>
          <rPr>
            <sz val="9"/>
            <color indexed="81"/>
            <rFont val="Tahoma"/>
            <family val="2"/>
          </rPr>
          <t xml:space="preserve">
32 jk</t>
        </r>
      </text>
    </comment>
    <comment ref="T1240" authorId="1" shapeId="0" xr:uid="{1C1F5E15-C27A-4438-A793-3BF6FE9ADB30}">
      <text>
        <r>
          <rPr>
            <b/>
            <sz val="9"/>
            <color indexed="81"/>
            <rFont val="Tahoma"/>
            <family val="2"/>
          </rPr>
          <t>McHugh, Diana:</t>
        </r>
        <r>
          <rPr>
            <sz val="9"/>
            <color indexed="81"/>
            <rFont val="Tahoma"/>
            <family val="2"/>
          </rPr>
          <t xml:space="preserve">
3 jk</t>
        </r>
      </text>
    </comment>
    <comment ref="U1240" authorId="52" shapeId="0" xr:uid="{51B0D8B9-5EA6-4520-B8AD-AF4B35311CB2}">
      <text>
        <t>[Threaded comment]
Your version of Excel allows you to read this threaded comment; however, any edits to it will get removed if the file is opened in a newer version of Excel. Learn more: https://go.microsoft.com/fwlink/?linkid=870924
Comment:
    15 jks</t>
      </text>
    </comment>
    <comment ref="L1243" authorId="1" shapeId="0" xr:uid="{B039377A-C504-4E90-B269-1DE8FFD62079}">
      <text>
        <r>
          <rPr>
            <b/>
            <sz val="9"/>
            <color indexed="81"/>
            <rFont val="Tahoma"/>
            <family val="2"/>
          </rPr>
          <t>McHugh, Diana:</t>
        </r>
        <r>
          <rPr>
            <sz val="9"/>
            <color indexed="81"/>
            <rFont val="Tahoma"/>
            <family val="2"/>
          </rPr>
          <t xml:space="preserve">
3 jk</t>
        </r>
      </text>
    </comment>
    <comment ref="P1243" authorId="1" shapeId="0" xr:uid="{3633A499-6170-41DF-8472-B31DD0D1E5A9}">
      <text>
        <r>
          <rPr>
            <b/>
            <sz val="9"/>
            <color indexed="81"/>
            <rFont val="Tahoma"/>
            <family val="2"/>
          </rPr>
          <t>McHugh, Diana:</t>
        </r>
        <r>
          <rPr>
            <sz val="9"/>
            <color indexed="81"/>
            <rFont val="Tahoma"/>
            <family val="2"/>
          </rPr>
          <t xml:space="preserve">
7 + 26 = 33 jk</t>
        </r>
      </text>
    </comment>
    <comment ref="Q1243" authorId="1" shapeId="0" xr:uid="{CD35C016-9410-491F-BA7E-9FAAF45F5A40}">
      <text>
        <r>
          <rPr>
            <b/>
            <sz val="9"/>
            <color indexed="81"/>
            <rFont val="Tahoma"/>
            <family val="2"/>
          </rPr>
          <t>McHugh, Diana:</t>
        </r>
        <r>
          <rPr>
            <sz val="9"/>
            <color indexed="81"/>
            <rFont val="Tahoma"/>
            <family val="2"/>
          </rPr>
          <t xml:space="preserve">
10 + 17 = 27 jk</t>
        </r>
      </text>
    </comment>
    <comment ref="T1243" authorId="53" shapeId="0" xr:uid="{8231186D-C36D-4291-B535-AD919AC32283}">
      <text>
        <t>[Threaded comment]
Your version of Excel allows you to read this threaded comment; however, any edits to it will get removed if the file is opened in a newer version of Excel. Learn more: https://go.microsoft.com/fwlink/?linkid=870924
Comment:
    5 jk</t>
      </text>
    </comment>
    <comment ref="U1243" authorId="54" shapeId="0" xr:uid="{5AC5AD44-689D-4492-BDE7-7753CE581456}">
      <text>
        <t>[Threaded comment]
Your version of Excel allows you to read this threaded comment; however, any edits to it will get removed if the file is opened in a newer version of Excel. Learn more: https://go.microsoft.com/fwlink/?linkid=870924
Comment:
    1 jk</t>
      </text>
    </comment>
    <comment ref="L1246" authorId="1" shapeId="0" xr:uid="{05DD508C-8FA0-44FC-8402-0957079B317F}">
      <text>
        <r>
          <rPr>
            <b/>
            <sz val="9"/>
            <color indexed="81"/>
            <rFont val="Tahoma"/>
            <family val="2"/>
          </rPr>
          <t>McHugh, Diana:</t>
        </r>
        <r>
          <rPr>
            <sz val="9"/>
            <color indexed="81"/>
            <rFont val="Tahoma"/>
            <family val="2"/>
          </rPr>
          <t xml:space="preserve">
50 jk</t>
        </r>
      </text>
    </comment>
    <comment ref="M1246" authorId="1" shapeId="0" xr:uid="{6361DC49-DDDC-401A-AFD1-1466B10D9E8B}">
      <text>
        <r>
          <rPr>
            <b/>
            <sz val="9"/>
            <color indexed="81"/>
            <rFont val="Tahoma"/>
            <family val="2"/>
          </rPr>
          <t>McHugh, Diana:</t>
        </r>
        <r>
          <rPr>
            <sz val="9"/>
            <color indexed="81"/>
            <rFont val="Tahoma"/>
            <family val="2"/>
          </rPr>
          <t xml:space="preserve">
23 jk</t>
        </r>
      </text>
    </comment>
    <comment ref="N1246" authorId="1" shapeId="0" xr:uid="{FE04B78C-E8C4-4796-A646-7FC64B33EFA7}">
      <text>
        <r>
          <rPr>
            <b/>
            <sz val="9"/>
            <color indexed="81"/>
            <rFont val="Tahoma"/>
            <family val="2"/>
          </rPr>
          <t>McHugh, Diana:</t>
        </r>
        <r>
          <rPr>
            <sz val="9"/>
            <color indexed="81"/>
            <rFont val="Tahoma"/>
            <family val="2"/>
          </rPr>
          <t xml:space="preserve">
10 jk</t>
        </r>
      </text>
    </comment>
    <comment ref="R1246" authorId="1" shapeId="0" xr:uid="{97720054-0C4F-406E-A53D-DFB09E0F0B85}">
      <text>
        <r>
          <rPr>
            <b/>
            <sz val="9"/>
            <color indexed="81"/>
            <rFont val="Tahoma"/>
            <family val="2"/>
          </rPr>
          <t>McHugh, Diana:</t>
        </r>
        <r>
          <rPr>
            <sz val="9"/>
            <color indexed="81"/>
            <rFont val="Tahoma"/>
            <family val="2"/>
          </rPr>
          <t xml:space="preserve">
5 jk</t>
        </r>
      </text>
    </comment>
    <comment ref="L1249" authorId="1" shapeId="0" xr:uid="{64DAE989-66A7-4BFF-A939-49130794D99D}">
      <text>
        <r>
          <rPr>
            <b/>
            <sz val="9"/>
            <color indexed="81"/>
            <rFont val="Tahoma"/>
            <family val="2"/>
          </rPr>
          <t>McHugh, Diana:</t>
        </r>
        <r>
          <rPr>
            <sz val="9"/>
            <color indexed="81"/>
            <rFont val="Tahoma"/>
            <family val="2"/>
          </rPr>
          <t xml:space="preserve">
12 jk</t>
        </r>
      </text>
    </comment>
    <comment ref="M1249" authorId="1" shapeId="0" xr:uid="{3D2155E8-7242-487F-B864-0506C27CC9A1}">
      <text>
        <r>
          <rPr>
            <b/>
            <sz val="9"/>
            <color indexed="81"/>
            <rFont val="Tahoma"/>
            <family val="2"/>
          </rPr>
          <t>McHugh, Diana:</t>
        </r>
        <r>
          <rPr>
            <sz val="9"/>
            <color indexed="81"/>
            <rFont val="Tahoma"/>
            <family val="2"/>
          </rPr>
          <t xml:space="preserve">
35 jk</t>
        </r>
      </text>
    </comment>
    <comment ref="N1249" authorId="1" shapeId="0" xr:uid="{5E12BBB1-8B6D-4497-AC19-D7F526619145}">
      <text>
        <r>
          <rPr>
            <b/>
            <sz val="9"/>
            <color indexed="81"/>
            <rFont val="Tahoma"/>
            <family val="2"/>
          </rPr>
          <t>McHugh, Diana:</t>
        </r>
        <r>
          <rPr>
            <sz val="9"/>
            <color indexed="81"/>
            <rFont val="Tahoma"/>
            <family val="2"/>
          </rPr>
          <t xml:space="preserve">
8 jk</t>
        </r>
      </text>
    </comment>
    <comment ref="Q1249" authorId="1" shapeId="0" xr:uid="{FEC15C8E-DDFA-4FE1-B6AF-C9FD9E38A468}">
      <text>
        <r>
          <rPr>
            <b/>
            <sz val="9"/>
            <color indexed="81"/>
            <rFont val="Tahoma"/>
            <family val="2"/>
          </rPr>
          <t>McHugh, Diana:</t>
        </r>
        <r>
          <rPr>
            <sz val="9"/>
            <color indexed="81"/>
            <rFont val="Tahoma"/>
            <family val="2"/>
          </rPr>
          <t xml:space="preserve">
113 jk</t>
        </r>
      </text>
    </comment>
    <comment ref="R1249" authorId="1" shapeId="0" xr:uid="{7F9A7669-6641-4932-921A-5FDF5ACCF65C}">
      <text>
        <r>
          <rPr>
            <b/>
            <sz val="9"/>
            <color indexed="81"/>
            <rFont val="Tahoma"/>
            <family val="2"/>
          </rPr>
          <t>McHugh, Diana:</t>
        </r>
        <r>
          <rPr>
            <sz val="9"/>
            <color indexed="81"/>
            <rFont val="Tahoma"/>
            <family val="2"/>
          </rPr>
          <t xml:space="preserve">
88 jk</t>
        </r>
      </text>
    </comment>
    <comment ref="U1249" authorId="43" shapeId="0" xr:uid="{4AD2AB52-7731-4744-B4C4-0AA44E536467}">
      <text>
        <r>
          <rPr>
            <b/>
            <sz val="9"/>
            <color indexed="81"/>
            <rFont val="Tahoma"/>
            <family val="2"/>
          </rPr>
          <t>Matwichuk, Kiana:</t>
        </r>
        <r>
          <rPr>
            <sz val="9"/>
            <color indexed="81"/>
            <rFont val="Tahoma"/>
            <family val="2"/>
          </rPr>
          <t xml:space="preserve">
Push of silver fresh CN</t>
        </r>
      </text>
    </comment>
    <comment ref="AI1249" authorId="55" shapeId="0" xr:uid="{0D600308-BCA2-447F-9CE4-4996FB191367}">
      <text>
        <t>[Threaded comment]
Your version of Excel allows you to read this threaded comment; however, any edits to it will get removed if the file is opened in a newer version of Excel. Learn more: https://go.microsoft.com/fwlink/?linkid=870924
Comment:
    Jk "Long" SL set as 3 days, should probably be 30</t>
      </text>
    </comment>
    <comment ref="AJ1249" authorId="56" shapeId="0" xr:uid="{09E7BEE9-6FED-46D3-B894-429244874378}">
      <text>
        <t>[Threaded comment]
Your version of Excel allows you to read this threaded comment; however, any edits to it will get removed if the file is opened in a newer version of Excel. Learn more: https://go.microsoft.com/fwlink/?linkid=870924
Comment:
    Was any brood collected?</t>
      </text>
    </comment>
    <comment ref="AL1271" authorId="0" shapeId="0" xr:uid="{6F404582-FB60-4FF0-B024-508F5D1ABC74}">
      <text>
        <r>
          <rPr>
            <b/>
            <sz val="9"/>
            <color indexed="81"/>
            <rFont val="Tahoma"/>
            <family val="2"/>
          </rPr>
          <t>DFO-MPO:</t>
        </r>
        <r>
          <rPr>
            <sz val="9"/>
            <color indexed="81"/>
            <rFont val="Tahoma"/>
            <family val="2"/>
          </rPr>
          <t xml:space="preserve">
Adult Esc to river, total adult return</t>
        </r>
      </text>
    </comment>
    <comment ref="AM1271" authorId="1" shapeId="0" xr:uid="{0AA1456D-5C4E-49C7-AB2D-890AF32D4BA9}">
      <text>
        <r>
          <rPr>
            <b/>
            <sz val="9"/>
            <color indexed="81"/>
            <rFont val="Tahoma"/>
            <family val="2"/>
          </rPr>
          <t>McHugh, Diana:</t>
        </r>
        <r>
          <rPr>
            <sz val="9"/>
            <color indexed="81"/>
            <rFont val="Tahoma"/>
            <family val="2"/>
          </rPr>
          <t xml:space="preserve">
Adults and Jacks</t>
        </r>
      </text>
    </comment>
    <comment ref="T1277" authorId="1" shapeId="0" xr:uid="{9B3F5A98-72AB-4B19-A1C5-B7319F9B84B9}">
      <text>
        <r>
          <rPr>
            <b/>
            <sz val="9"/>
            <color indexed="81"/>
            <rFont val="Tahoma"/>
            <family val="2"/>
          </rPr>
          <t>McHugh, Diana:</t>
        </r>
        <r>
          <rPr>
            <sz val="9"/>
            <color indexed="81"/>
            <rFont val="Tahoma"/>
            <family val="2"/>
          </rPr>
          <t xml:space="preserve">
only upper Nitinat as of Nov 3
55 jk</t>
        </r>
      </text>
    </comment>
    <comment ref="W1281" authorId="0" shapeId="0" xr:uid="{DF3A6A16-852D-48A0-A745-7E635FD0C7FD}">
      <text>
        <r>
          <rPr>
            <b/>
            <sz val="9"/>
            <color indexed="81"/>
            <rFont val="Tahoma"/>
            <family val="2"/>
          </rPr>
          <t>DFO-MPO:</t>
        </r>
        <r>
          <rPr>
            <sz val="9"/>
            <color indexed="81"/>
            <rFont val="Tahoma"/>
            <family val="2"/>
          </rPr>
          <t xml:space="preserve">
Adult Esc to river, total adult return</t>
        </r>
      </text>
    </comment>
    <comment ref="X1281" authorId="1" shapeId="0" xr:uid="{5CD1B127-D3BE-4835-AF1F-1F9161054CEA}">
      <text>
        <r>
          <rPr>
            <b/>
            <sz val="9"/>
            <color indexed="81"/>
            <rFont val="Tahoma"/>
            <family val="2"/>
          </rPr>
          <t>McHugh, Diana:</t>
        </r>
        <r>
          <rPr>
            <sz val="9"/>
            <color indexed="81"/>
            <rFont val="Tahoma"/>
            <family val="2"/>
          </rPr>
          <t xml:space="preserve">
Adults and Jacks</t>
        </r>
      </text>
    </comment>
    <comment ref="W1302" authorId="0" shapeId="0" xr:uid="{347779F8-9ED3-4885-AB4E-157FAF5C6834}">
      <text>
        <r>
          <rPr>
            <b/>
            <sz val="9"/>
            <color indexed="81"/>
            <rFont val="Tahoma"/>
            <family val="2"/>
          </rPr>
          <t>DFO-MPO:</t>
        </r>
        <r>
          <rPr>
            <sz val="9"/>
            <color indexed="81"/>
            <rFont val="Tahoma"/>
            <family val="2"/>
          </rPr>
          <t xml:space="preserve">
Adult Esc to river, total adult return</t>
        </r>
      </text>
    </comment>
    <comment ref="X1302" authorId="1" shapeId="0" xr:uid="{F24BCF83-AC51-4C51-829E-0A158A545848}">
      <text>
        <r>
          <rPr>
            <b/>
            <sz val="9"/>
            <color indexed="81"/>
            <rFont val="Tahoma"/>
            <family val="2"/>
          </rPr>
          <t>McHugh, Diana:</t>
        </r>
        <r>
          <rPr>
            <sz val="9"/>
            <color indexed="81"/>
            <rFont val="Tahoma"/>
            <family val="2"/>
          </rPr>
          <t xml:space="preserve">
Adults and Jacks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DFO-MPO</author>
  </authors>
  <commentList>
    <comment ref="H9" authorId="0" shapeId="0" xr:uid="{00000000-0006-0000-0400-000001000000}">
      <text>
        <r>
          <rPr>
            <b/>
            <sz val="9"/>
            <color indexed="81"/>
            <rFont val="Tahoma"/>
            <family val="2"/>
          </rPr>
          <t>DFO-MPO:</t>
        </r>
        <r>
          <rPr>
            <sz val="9"/>
            <color indexed="81"/>
            <rFont val="Tahoma"/>
            <family val="2"/>
          </rPr>
          <t xml:space="preserve">
in holding Sep 4, want another 200-300 from later in the run
As of sept 18, 422 females spawned, 400 unripe females still in holding, will get some more males from the river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D13" authorId="0" shapeId="0" xr:uid="{1E11A32D-2913-4488-B767-8EFA04530AE3}">
      <text>
        <r>
          <rPr>
            <b/>
            <sz val="8"/>
            <color indexed="81"/>
            <rFont val="Tahoma"/>
            <family val="2"/>
          </rPr>
          <t>Administrator:</t>
        </r>
        <r>
          <rPr>
            <sz val="8"/>
            <color indexed="81"/>
            <rFont val="Tahoma"/>
            <family val="2"/>
          </rPr>
          <t xml:space="preserve">
Includes Ursus Creek (trib.)</t>
        </r>
      </text>
    </comment>
  </commentList>
</comments>
</file>

<file path=xl/sharedStrings.xml><?xml version="1.0" encoding="utf-8"?>
<sst xmlns="http://schemas.openxmlformats.org/spreadsheetml/2006/main" count="22398" uniqueCount="788">
  <si>
    <t>Stock Assessment Division, South Coast Salmon</t>
  </si>
  <si>
    <t>Meth</t>
  </si>
  <si>
    <t>Description</t>
  </si>
  <si>
    <t>Weekly Survey Coverage Matrix</t>
  </si>
  <si>
    <t>Bank Walk</t>
  </si>
  <si>
    <t>Boat</t>
  </si>
  <si>
    <t>Redd Count</t>
  </si>
  <si>
    <t>Other (Spot Check)</t>
  </si>
  <si>
    <t>Stream Walk</t>
  </si>
  <si>
    <t xml:space="preserve">Plane </t>
  </si>
  <si>
    <t>Dead Pitch</t>
  </si>
  <si>
    <t>Fence/Fishway</t>
  </si>
  <si>
    <t>Snorkel</t>
  </si>
  <si>
    <t>Helicopter</t>
  </si>
  <si>
    <t>Strip Count</t>
  </si>
  <si>
    <t>System</t>
  </si>
  <si>
    <t>Area</t>
  </si>
  <si>
    <t>GORDON RIVER</t>
  </si>
  <si>
    <t>HARRIS CREEK</t>
  </si>
  <si>
    <t>KIRBY CREEK</t>
  </si>
  <si>
    <t>MOSQUITO CREEK</t>
  </si>
  <si>
    <t>MUIR CREEK</t>
  </si>
  <si>
    <t>SAN JUAN RIVER</t>
  </si>
  <si>
    <t>TUGWELL CREEK</t>
  </si>
  <si>
    <t>CHEEWHAT RIVER</t>
  </si>
  <si>
    <t>HOBITON CREEK</t>
  </si>
  <si>
    <t>NITINAT RIVER</t>
  </si>
  <si>
    <t>CARNATION CREEK</t>
  </si>
  <si>
    <t>CHERRY CREEK</t>
  </si>
  <si>
    <t>CLEMENS CREEK</t>
  </si>
  <si>
    <t>HENDERSON LAKE</t>
  </si>
  <si>
    <t>KITSUCKSUS CREEK</t>
  </si>
  <si>
    <t>NAHMINT RIVER</t>
  </si>
  <si>
    <t>SARITA RIVER</t>
  </si>
  <si>
    <t>SPROAT RIVER</t>
  </si>
  <si>
    <t>BEDWELL RIVER</t>
  </si>
  <si>
    <t>CLAYOQUOT RIVER</t>
  </si>
  <si>
    <t>CLAYOQUOT RIVER (LOWER)</t>
  </si>
  <si>
    <t>CLAYOQUOT RIVER (UPPER)</t>
  </si>
  <si>
    <t>KENNEDY RIVER (LOWER)</t>
  </si>
  <si>
    <t>KENNEDY RIVER (UPPER)</t>
  </si>
  <si>
    <t>MEGIN RIVER</t>
  </si>
  <si>
    <t>MOYEHA RIVER</t>
  </si>
  <si>
    <t>TRANQUIL CREEK</t>
  </si>
  <si>
    <t>BURMAN RIVER</t>
  </si>
  <si>
    <t>CANTON CREEK</t>
  </si>
  <si>
    <t>CONUMA RIVER</t>
  </si>
  <si>
    <t>GOLD RIVER</t>
  </si>
  <si>
    <t>LEINER RIVER</t>
  </si>
  <si>
    <t>MUCHALAT RIVER</t>
  </si>
  <si>
    <t>OKTWANCH RIVER</t>
  </si>
  <si>
    <t>SUCWOA RIVER</t>
  </si>
  <si>
    <t>TAHSIS RIVER</t>
  </si>
  <si>
    <t>TLUPANA RIVER</t>
  </si>
  <si>
    <t>TSOWWIN RIVER</t>
  </si>
  <si>
    <t>ZEBALLOS RIVER</t>
  </si>
  <si>
    <t>AMAI CREEK</t>
  </si>
  <si>
    <t>ARTLISH RIVER</t>
  </si>
  <si>
    <t>CACHALOT CREEK</t>
  </si>
  <si>
    <t>CHAMISS CREEK</t>
  </si>
  <si>
    <t>EASY CREEK</t>
  </si>
  <si>
    <t>JANSEN CREEK</t>
  </si>
  <si>
    <t>KAOUK RIVER</t>
  </si>
  <si>
    <t>KASHUTL RIVER</t>
  </si>
  <si>
    <t>KAUWINCH RIVER</t>
  </si>
  <si>
    <t>NARROWGUT CREEK</t>
  </si>
  <si>
    <t>TAHSISH RIVER</t>
  </si>
  <si>
    <t>BENSON RIVER</t>
  </si>
  <si>
    <t>CAYEGHLE SYSTEM</t>
  </si>
  <si>
    <t>LINK RIVER</t>
  </si>
  <si>
    <t>MARBLE RIVER</t>
  </si>
  <si>
    <t>DE MAMIEL CREEK</t>
  </si>
  <si>
    <t>FALLS CREEK</t>
  </si>
  <si>
    <t>LENS CREEK</t>
  </si>
  <si>
    <t>RENFREW CREEK</t>
  </si>
  <si>
    <t>SOOKE RIVER</t>
  </si>
  <si>
    <t>BLUE CREEK</t>
  </si>
  <si>
    <t>KLANAWA RIVER</t>
  </si>
  <si>
    <t>RALF CREEK</t>
  </si>
  <si>
    <t>CAMPUS CREEK</t>
  </si>
  <si>
    <t>CAYCUSE RIVER</t>
  </si>
  <si>
    <t>DOOBAH CREEK</t>
  </si>
  <si>
    <t>JASPER CREEK</t>
  </si>
  <si>
    <t>LITTLE NITINAT RIVER</t>
  </si>
  <si>
    <t>NO-NAME CREEK</t>
  </si>
  <si>
    <t>PARKER CREEK</t>
  </si>
  <si>
    <t>WORTHLESS CREEK</t>
  </si>
  <si>
    <t>ASH RIVER</t>
  </si>
  <si>
    <t>CHINA CREEK</t>
  </si>
  <si>
    <t>COEUR D'ALENE CREEK</t>
  </si>
  <si>
    <t>COLEMAN CREEK</t>
  </si>
  <si>
    <t>CONSINKA CREEK</t>
  </si>
  <si>
    <t>COUS CREEK</t>
  </si>
  <si>
    <t>DRINKWATER CREEK</t>
  </si>
  <si>
    <t>DUTCH HARBOUR CREEK EAST</t>
  </si>
  <si>
    <t>DUTCH HARBOUR CREEK WEST</t>
  </si>
  <si>
    <t>EFFINGHAM RIVER</t>
  </si>
  <si>
    <t>FRANKLIN RIVER</t>
  </si>
  <si>
    <t>HOLFORD CREEK</t>
  </si>
  <si>
    <t>MACKTUSH CREEK</t>
  </si>
  <si>
    <t>MCBRIDE CREEK</t>
  </si>
  <si>
    <t>PACHENA RIVER</t>
  </si>
  <si>
    <t>POETT NOOK CREEK</t>
  </si>
  <si>
    <t>RITHERDON CREEK</t>
  </si>
  <si>
    <t>SNUG BASIN CREEK</t>
  </si>
  <si>
    <t>SUGSAW CREEK</t>
  </si>
  <si>
    <t>TAYLOR RIVER</t>
  </si>
  <si>
    <t>THORNTON CREEK</t>
  </si>
  <si>
    <t>TWIN RIVERS EAST CREEK</t>
  </si>
  <si>
    <t>TWIN RIVERS WEST CREEK</t>
  </si>
  <si>
    <t>UCHUCK CREEK</t>
  </si>
  <si>
    <t>USELESS CREEK</t>
  </si>
  <si>
    <t>VERNON BAY CREEK</t>
  </si>
  <si>
    <t>WALLACE CREEK</t>
  </si>
  <si>
    <t>ATLEO RIVER</t>
  </si>
  <si>
    <t>BAWDEN CREEK</t>
  </si>
  <si>
    <t>BULSON CREEK</t>
  </si>
  <si>
    <t>CECILIA CREEK</t>
  </si>
  <si>
    <t>CLAYOQUOT ARM BEACHES</t>
  </si>
  <si>
    <t>CYPRE RIVER</t>
  </si>
  <si>
    <t>FUNDY CREEK</t>
  </si>
  <si>
    <t>HESQUIAT HARBOUR #1 CREEKS</t>
  </si>
  <si>
    <t>HOOTLA KOOTLA CREEK</t>
  </si>
  <si>
    <t>ICE RIVER</t>
  </si>
  <si>
    <t>KENNEDY LAKE FEEDER STREAMS</t>
  </si>
  <si>
    <t>KOOTOWIS CREEK</t>
  </si>
  <si>
    <t>LITTLE WHITEPINE COVE #1 CREEK</t>
  </si>
  <si>
    <t>RILEY CREEK</t>
  </si>
  <si>
    <t>SAND RIVER</t>
  </si>
  <si>
    <t>SUTTON MILL CREEK</t>
  </si>
  <si>
    <t>SYDNEY RIVER</t>
  </si>
  <si>
    <t>TOFINO CREEK</t>
  </si>
  <si>
    <t>WARN BAY CREEK</t>
  </si>
  <si>
    <t>WATTA CREEK</t>
  </si>
  <si>
    <t>WHITE PINE COVE CREEK</t>
  </si>
  <si>
    <t>CHUM CREEK</t>
  </si>
  <si>
    <t>DESERTED CREEK</t>
  </si>
  <si>
    <t>ELIZA CREEK</t>
  </si>
  <si>
    <t>ESPINOSA CREEK</t>
  </si>
  <si>
    <t>HAMMOND CREEK</t>
  </si>
  <si>
    <t>HOISS CREEK</t>
  </si>
  <si>
    <t>KENDRICK CREEK</t>
  </si>
  <si>
    <t>KLEEPTEE CREEK</t>
  </si>
  <si>
    <t>LITTLE ZEBALLOS RIVER</t>
  </si>
  <si>
    <t>LORD CREEK</t>
  </si>
  <si>
    <t>MAMAT CREEK</t>
  </si>
  <si>
    <t>MARVINAS BAY CREEK</t>
  </si>
  <si>
    <t>MOOYAH RIVER</t>
  </si>
  <si>
    <t>PARK RIVER</t>
  </si>
  <si>
    <t>AYUM CREEK</t>
  </si>
  <si>
    <t>BAKER CREEK</t>
  </si>
  <si>
    <t>CHARTERS RIVER</t>
  </si>
  <si>
    <t>FAIRY CREEK</t>
  </si>
  <si>
    <t>FIVE MILE CREEK</t>
  </si>
  <si>
    <t>FOUR MILE CREEK</t>
  </si>
  <si>
    <t>HEMMINGSEN CREEK</t>
  </si>
  <si>
    <t>HOLLIDAY CREEK</t>
  </si>
  <si>
    <t>JORDAN RIVER</t>
  </si>
  <si>
    <t>KING CREEK</t>
  </si>
  <si>
    <t>LANNON CREEK</t>
  </si>
  <si>
    <t>LUNSON CREEK</t>
  </si>
  <si>
    <t>MAIDENHAIR CREEK</t>
  </si>
  <si>
    <t>ORVEAS CREEK</t>
  </si>
  <si>
    <t>PIXIE CREEK</t>
  </si>
  <si>
    <t>ROCKY CREEK</t>
  </si>
  <si>
    <t>TREMBLAY CREEK</t>
  </si>
  <si>
    <t>CARMANAH CREEK</t>
  </si>
  <si>
    <t>BEAVER CREEK</t>
  </si>
  <si>
    <t>CAMPSITE CREEK</t>
  </si>
  <si>
    <t>CANOE PASS CREEK</t>
  </si>
  <si>
    <t>CASS CREEK</t>
  </si>
  <si>
    <t>CATARACT CREEK</t>
  </si>
  <si>
    <t>DEER CREEK</t>
  </si>
  <si>
    <t>DRAW CREEK</t>
  </si>
  <si>
    <t>FORESTRY CAMP CREEK</t>
  </si>
  <si>
    <t>FREDERICK CREEK</t>
  </si>
  <si>
    <t>HILLIER CREEK</t>
  </si>
  <si>
    <t>ITATSOO CREEK</t>
  </si>
  <si>
    <t>LITTLE MAGGIE RIVER</t>
  </si>
  <si>
    <t>LITTLE TOQUART CREEK</t>
  </si>
  <si>
    <t>LUCKY CREEK</t>
  </si>
  <si>
    <t>MAGGIE RIVER</t>
  </si>
  <si>
    <t>MERCANTILE CREEK</t>
  </si>
  <si>
    <t>OWATCHET CREEK</t>
  </si>
  <si>
    <t>PIPESTEAM CREEK</t>
  </si>
  <si>
    <t>SECHART CREEK</t>
  </si>
  <si>
    <t>SMITH CREEK</t>
  </si>
  <si>
    <t>ANGORA CREEK</t>
  </si>
  <si>
    <t>BEDINGFIELD BAY CREEK</t>
  </si>
  <si>
    <t>CLOSE CREEKS (2)</t>
  </si>
  <si>
    <t>COLD CREEK</t>
  </si>
  <si>
    <t>CONE CREEKS (2)</t>
  </si>
  <si>
    <t>COTTER CREEK</t>
  </si>
  <si>
    <t>COW CREEK</t>
  </si>
  <si>
    <t>LOST SHOE CREEK</t>
  </si>
  <si>
    <t>SANDHILL CREEK</t>
  </si>
  <si>
    <t>INNER BASIN RIVER (Ransom C)</t>
  </si>
  <si>
    <t>MCCURDY CREEK</t>
  </si>
  <si>
    <t>MIDDLE ELIZA CREEK</t>
  </si>
  <si>
    <t>OWOSSITSA CREEK</t>
  </si>
  <si>
    <t>Number of Surveys</t>
  </si>
  <si>
    <t>WCVI Streams</t>
  </si>
  <si>
    <t>Level 4 Streams</t>
  </si>
  <si>
    <t>Level 2 Streams</t>
  </si>
  <si>
    <t>Level 3 Streams</t>
  </si>
  <si>
    <t>MALKSOPE RIVER</t>
  </si>
  <si>
    <t>Species</t>
  </si>
  <si>
    <t>Sockeye</t>
  </si>
  <si>
    <t>Pink</t>
  </si>
  <si>
    <t>Chum</t>
  </si>
  <si>
    <t>Chinook</t>
  </si>
  <si>
    <t>Steelhead</t>
  </si>
  <si>
    <t>sort</t>
  </si>
  <si>
    <t>Level 1 Streams</t>
  </si>
  <si>
    <t>Stream Level</t>
  </si>
  <si>
    <t>Number Surveys</t>
  </si>
  <si>
    <t>Max Count</t>
  </si>
  <si>
    <t>lu_surveys</t>
  </si>
  <si>
    <t>Mark Recapture</t>
  </si>
  <si>
    <t>Coho</t>
  </si>
  <si>
    <t>Fence</t>
  </si>
  <si>
    <t>SOMASS RIVER (Lower)</t>
  </si>
  <si>
    <t>stat week lookup table</t>
  </si>
  <si>
    <t>average</t>
  </si>
  <si>
    <t>Stock</t>
  </si>
  <si>
    <t>Target</t>
  </si>
  <si>
    <t>Conuma</t>
  </si>
  <si>
    <t>Tlupana</t>
  </si>
  <si>
    <t>Canton</t>
  </si>
  <si>
    <t>Sucwoa</t>
  </si>
  <si>
    <t>OUOUKINSH RIVER</t>
  </si>
  <si>
    <t>CLANNINICK CREEK</t>
  </si>
  <si>
    <t>Min</t>
  </si>
  <si>
    <t>Max</t>
  </si>
  <si>
    <t>lower</t>
  </si>
  <si>
    <t>Midpoint</t>
  </si>
  <si>
    <t>INNER BASIN CREEK (Black C)</t>
  </si>
  <si>
    <t>lu_escapement</t>
  </si>
  <si>
    <t>Estimate</t>
  </si>
  <si>
    <t>lu_WCVIstreamesc</t>
  </si>
  <si>
    <t>Date</t>
  </si>
  <si>
    <t>Stat Week</t>
  </si>
  <si>
    <t>-</t>
  </si>
  <si>
    <t>KENNEDY LAKE BEACHES</t>
  </si>
  <si>
    <t>CO</t>
  </si>
  <si>
    <t>CM</t>
  </si>
  <si>
    <t>HESQUIAT HARBOUR #2 CREEKS (Ayyi Saqh)</t>
  </si>
  <si>
    <t>POWER RIVER/LAKE</t>
  </si>
  <si>
    <t>HESQUIAT HARBOUR #3 CREEKS (Ya-ksis)</t>
  </si>
  <si>
    <t>HESQUIAT LAKE CREEK (Tsa-ya)</t>
  </si>
  <si>
    <t>HESQUIAT HARBOUR #4 CREEKS (Ma-api)</t>
  </si>
  <si>
    <t>HOT SPRINGS COVE CREEK (Ahtaapq)</t>
  </si>
  <si>
    <t>HESQUIAT POINT CREEK (Ihata)</t>
  </si>
  <si>
    <t>PACILTH CREEK</t>
  </si>
  <si>
    <t>PURDON CREEK (Tsa-ako)</t>
  </si>
  <si>
    <t>Hatchery</t>
  </si>
  <si>
    <t>Egg Target</t>
  </si>
  <si>
    <t>% of Target</t>
  </si>
  <si>
    <t>Esc Target</t>
  </si>
  <si>
    <t>Peak Obs</t>
  </si>
  <si>
    <t>Date of last update</t>
  </si>
  <si>
    <t>Burman</t>
  </si>
  <si>
    <t>Gold</t>
  </si>
  <si>
    <t>Robertson</t>
  </si>
  <si>
    <t>Nahmint</t>
  </si>
  <si>
    <t>Nitinat</t>
  </si>
  <si>
    <t>Sarita</t>
  </si>
  <si>
    <t>missed</t>
  </si>
  <si>
    <t>Provisional habitat-based esc targets</t>
  </si>
  <si>
    <t>Bedwell</t>
  </si>
  <si>
    <t>Moyeha</t>
  </si>
  <si>
    <t>Tranquil</t>
  </si>
  <si>
    <t>Cypre</t>
  </si>
  <si>
    <t>Tahsis</t>
  </si>
  <si>
    <t>Leiner</t>
  </si>
  <si>
    <t>Zeballos</t>
  </si>
  <si>
    <t>Kaouk</t>
  </si>
  <si>
    <t>Artlish</t>
  </si>
  <si>
    <t>Tahsish</t>
  </si>
  <si>
    <t>Marble</t>
  </si>
  <si>
    <t>Col/Cay</t>
  </si>
  <si>
    <t>Smsy</t>
  </si>
  <si>
    <t>Peak Esc</t>
  </si>
  <si>
    <t>%</t>
  </si>
  <si>
    <t>Megin</t>
  </si>
  <si>
    <t>12-year Average</t>
  </si>
  <si>
    <t>revised plan</t>
  </si>
  <si>
    <t>skipped</t>
  </si>
  <si>
    <t>TOQUAHT RIVER</t>
  </si>
  <si>
    <t>TCES</t>
  </si>
  <si>
    <t>NTC</t>
  </si>
  <si>
    <t>Pacheedaht</t>
  </si>
  <si>
    <t>KCFN/LGL</t>
  </si>
  <si>
    <t xml:space="preserve">Huu-ay-aht </t>
  </si>
  <si>
    <t>Uchucklesaht</t>
  </si>
  <si>
    <t>Toquaht</t>
  </si>
  <si>
    <t>Tla-o-qui-aht</t>
  </si>
  <si>
    <t>Ahousaht</t>
  </si>
  <si>
    <t>Nuchatlaht</t>
  </si>
  <si>
    <t>Mowachaht Muchalaht</t>
  </si>
  <si>
    <t>Ehattesaht</t>
  </si>
  <si>
    <t xml:space="preserve">Ka:'uy:'k't'h'/ Che:k'tles7et'h' </t>
  </si>
  <si>
    <t>Quatsino</t>
  </si>
  <si>
    <t xml:space="preserve">T'Sou-ke </t>
  </si>
  <si>
    <t>Ditidaht</t>
  </si>
  <si>
    <t>Yuutu?it?ath</t>
  </si>
  <si>
    <t>San Juan</t>
  </si>
  <si>
    <t>5-Mile</t>
  </si>
  <si>
    <t>Data Quality</t>
  </si>
  <si>
    <t>spwn 50-100%</t>
  </si>
  <si>
    <t>spwn 10-50%</t>
  </si>
  <si>
    <t>spwn 1-9%</t>
  </si>
  <si>
    <t>~ Female target</t>
  </si>
  <si>
    <t>Brood Removed</t>
  </si>
  <si>
    <t>Females Removed</t>
  </si>
  <si>
    <t>~Eggs taken</t>
  </si>
  <si>
    <t>Nitinat CN total</t>
  </si>
  <si>
    <t>Esc</t>
  </si>
  <si>
    <t>Esc/Targ</t>
  </si>
  <si>
    <t>Huu-ay-aht</t>
  </si>
  <si>
    <t>Hupacasath</t>
  </si>
  <si>
    <t>Average Fecundity</t>
  </si>
  <si>
    <t>2001-2015</t>
  </si>
  <si>
    <t>0.85%Smsy</t>
  </si>
  <si>
    <t>25%Smsy</t>
  </si>
  <si>
    <t xml:space="preserve">Habitat-based </t>
  </si>
  <si>
    <t>Esc Status Re: BMs</t>
  </si>
  <si>
    <t>Meares Creek</t>
  </si>
  <si>
    <t>Coho Creek</t>
  </si>
  <si>
    <t>Sharp Creek</t>
  </si>
  <si>
    <t>English Cove Creek</t>
  </si>
  <si>
    <t>Spawning status:</t>
  </si>
  <si>
    <r>
      <t xml:space="preserve">8-3 </t>
    </r>
    <r>
      <rPr>
        <sz val="7"/>
        <rFont val="Arial"/>
        <family val="2"/>
      </rPr>
      <t xml:space="preserve">                </t>
    </r>
    <r>
      <rPr>
        <sz val="6"/>
        <rFont val="Arial"/>
        <family val="2"/>
      </rPr>
      <t>Aug 20-26</t>
    </r>
  </si>
  <si>
    <r>
      <t xml:space="preserve">9-1 </t>
    </r>
    <r>
      <rPr>
        <sz val="7"/>
        <rFont val="Arial"/>
        <family val="2"/>
      </rPr>
      <t xml:space="preserve">                </t>
    </r>
    <r>
      <rPr>
        <sz val="6"/>
        <rFont val="Arial"/>
        <family val="2"/>
      </rPr>
      <t>Sep 3-9</t>
    </r>
  </si>
  <si>
    <r>
      <t xml:space="preserve">8-4 </t>
    </r>
    <r>
      <rPr>
        <sz val="7"/>
        <rFont val="Arial"/>
        <family val="2"/>
      </rPr>
      <t xml:space="preserve">                </t>
    </r>
    <r>
      <rPr>
        <sz val="6"/>
        <rFont val="Arial"/>
        <family val="2"/>
      </rPr>
      <t>Aug 27-Sep 2</t>
    </r>
  </si>
  <si>
    <r>
      <t>9-2</t>
    </r>
    <r>
      <rPr>
        <sz val="6"/>
        <rFont val="Arial"/>
        <family val="2"/>
      </rPr>
      <t xml:space="preserve">         Sept 10-16</t>
    </r>
  </si>
  <si>
    <r>
      <t xml:space="preserve">9-3 </t>
    </r>
    <r>
      <rPr>
        <sz val="6"/>
        <rFont val="Arial"/>
        <family val="2"/>
      </rPr>
      <t xml:space="preserve">        Sept 17-23</t>
    </r>
  </si>
  <si>
    <r>
      <t xml:space="preserve">9-4 </t>
    </r>
    <r>
      <rPr>
        <sz val="6"/>
        <rFont val="Arial"/>
        <family val="2"/>
      </rPr>
      <t xml:space="preserve">        Sept 24-30</t>
    </r>
  </si>
  <si>
    <r>
      <t xml:space="preserve">10-1        </t>
    </r>
    <r>
      <rPr>
        <sz val="6"/>
        <rFont val="Arial"/>
        <family val="2"/>
      </rPr>
      <t xml:space="preserve"> Oct 1-7</t>
    </r>
  </si>
  <si>
    <r>
      <t xml:space="preserve">10-2 </t>
    </r>
    <r>
      <rPr>
        <sz val="6"/>
        <rFont val="Arial"/>
        <family val="2"/>
      </rPr>
      <t xml:space="preserve">     Oct 8-14</t>
    </r>
  </si>
  <si>
    <r>
      <t xml:space="preserve">10-3 </t>
    </r>
    <r>
      <rPr>
        <sz val="6"/>
        <rFont val="Arial"/>
        <family val="2"/>
      </rPr>
      <t xml:space="preserve">     Oct 15-21</t>
    </r>
  </si>
  <si>
    <r>
      <t xml:space="preserve">10-4 </t>
    </r>
    <r>
      <rPr>
        <sz val="6"/>
        <rFont val="Arial"/>
        <family val="2"/>
      </rPr>
      <t xml:space="preserve">    Oct 22-28</t>
    </r>
  </si>
  <si>
    <r>
      <t>10-5</t>
    </r>
    <r>
      <rPr>
        <sz val="6"/>
        <rFont val="Arial"/>
        <family val="2"/>
      </rPr>
      <t xml:space="preserve">          Oct 29-Nov 4</t>
    </r>
  </si>
  <si>
    <r>
      <t xml:space="preserve">11-1 </t>
    </r>
    <r>
      <rPr>
        <sz val="7"/>
        <rFont val="Arial"/>
        <family val="2"/>
      </rPr>
      <t xml:space="preserve">                </t>
    </r>
    <r>
      <rPr>
        <sz val="6"/>
        <rFont val="Arial"/>
        <family val="2"/>
      </rPr>
      <t>Nov 5-11</t>
    </r>
  </si>
  <si>
    <r>
      <t xml:space="preserve">11-2 </t>
    </r>
    <r>
      <rPr>
        <sz val="6"/>
        <rFont val="Arial"/>
        <family val="2"/>
      </rPr>
      <t xml:space="preserve">      Nov 12-18</t>
    </r>
  </si>
  <si>
    <r>
      <t xml:space="preserve">11-3       </t>
    </r>
    <r>
      <rPr>
        <sz val="6"/>
        <rFont val="Arial"/>
        <family val="2"/>
      </rPr>
      <t xml:space="preserve">   Nov 19-25</t>
    </r>
  </si>
  <si>
    <r>
      <t xml:space="preserve">11-4       </t>
    </r>
    <r>
      <rPr>
        <sz val="6"/>
        <rFont val="Arial"/>
        <family val="2"/>
      </rPr>
      <t>Nov 26-Dec 2</t>
    </r>
  </si>
  <si>
    <r>
      <t>11-5</t>
    </r>
    <r>
      <rPr>
        <sz val="7"/>
        <rFont val="Arial"/>
        <family val="2"/>
      </rPr>
      <t xml:space="preserve">          </t>
    </r>
    <r>
      <rPr>
        <sz val="6"/>
        <rFont val="Arial"/>
        <family val="2"/>
      </rPr>
      <t>Dec 3-9</t>
    </r>
  </si>
  <si>
    <r>
      <t>12-1</t>
    </r>
    <r>
      <rPr>
        <sz val="7"/>
        <rFont val="Arial"/>
        <family val="2"/>
      </rPr>
      <t xml:space="preserve"> </t>
    </r>
    <r>
      <rPr>
        <sz val="6"/>
        <rFont val="Arial"/>
        <family val="2"/>
      </rPr>
      <t xml:space="preserve">        Dec 10-16</t>
    </r>
  </si>
  <si>
    <r>
      <t xml:space="preserve">12-2 </t>
    </r>
    <r>
      <rPr>
        <sz val="6"/>
        <rFont val="Arial"/>
        <family val="2"/>
      </rPr>
      <t xml:space="preserve">        Dec 17-23</t>
    </r>
  </si>
  <si>
    <t>12 yr avg</t>
  </si>
  <si>
    <t>CWFS</t>
  </si>
  <si>
    <t xml:space="preserve">planned </t>
  </si>
  <si>
    <t>FN Territory</t>
  </si>
  <si>
    <t>Hup/Tse</t>
  </si>
  <si>
    <t>Yuutu?it?ath /Tse/Hup</t>
  </si>
  <si>
    <t>Hup/Tseshaht</t>
  </si>
  <si>
    <t>Yuutu?it?ath/Toq</t>
  </si>
  <si>
    <t>Yuut/Uchuck</t>
  </si>
  <si>
    <t>Hesquiat</t>
  </si>
  <si>
    <t>Conuma Hatchery</t>
  </si>
  <si>
    <t>Nitinat Hatchery</t>
  </si>
  <si>
    <t>external planned</t>
  </si>
  <si>
    <t>Last Estimate</t>
  </si>
  <si>
    <t>Crew</t>
  </si>
  <si>
    <t>BC</t>
  </si>
  <si>
    <t>Hup/StAD</t>
  </si>
  <si>
    <t>Hay and Assoc.</t>
  </si>
  <si>
    <t>MMFN/NTC</t>
  </si>
  <si>
    <t>Strategic</t>
  </si>
  <si>
    <t>PFN</t>
  </si>
  <si>
    <t>PFN/SJES</t>
  </si>
  <si>
    <t>BCCF/Nitinat Hatchery</t>
  </si>
  <si>
    <t>BCCF</t>
  </si>
  <si>
    <t>HFN</t>
  </si>
  <si>
    <t>Last Survey to 10-1</t>
  </si>
  <si>
    <t>Last survey 10-2 to 11-2</t>
  </si>
  <si>
    <t>Last survey 11-3 to 12-2</t>
  </si>
  <si>
    <t>4 yr avg</t>
  </si>
  <si>
    <t>4yr Rounded Est</t>
  </si>
  <si>
    <t>12 yr Rounded Estimate</t>
  </si>
  <si>
    <t>4-year avg</t>
  </si>
  <si>
    <t>Week of last survey</t>
  </si>
  <si>
    <t>PL+D Count</t>
  </si>
  <si>
    <t>COLONIAL/CAYEGHLE CREEKS_Sockeye</t>
  </si>
  <si>
    <t>COLONIAL/CAYEGHLE CREEKS_Coho</t>
  </si>
  <si>
    <t>COLONIAL/CAYEGHLE CREEKS_Pink</t>
  </si>
  <si>
    <t>COLONIAL/CAYEGHLE CREEKS_Chum</t>
  </si>
  <si>
    <t>COLONIAL/CAYEGHLE CREEKS_Chinook</t>
  </si>
  <si>
    <t>COLONIAL/CAYEGHLE CREEKS_Steelhead</t>
  </si>
  <si>
    <t>BEDWELL/URSUS_Sockeye</t>
  </si>
  <si>
    <t>BEDWELL/URSUS_Coho</t>
  </si>
  <si>
    <t>BEDWELL/URSUS_Pink</t>
  </si>
  <si>
    <t>BEDWELL/URSUS_Chum</t>
  </si>
  <si>
    <t>BEDWELL/URSUS_Chinook</t>
  </si>
  <si>
    <t>BEDWELL/URSUS_Steelhead</t>
  </si>
  <si>
    <t>Surveys conducted by</t>
  </si>
  <si>
    <t>8-3</t>
  </si>
  <si>
    <r>
      <t xml:space="preserve">8-4 </t>
    </r>
    <r>
      <rPr>
        <sz val="7"/>
        <rFont val="Arial"/>
        <family val="2"/>
      </rPr>
      <t/>
    </r>
  </si>
  <si>
    <t>9-1</t>
  </si>
  <si>
    <t>9-2</t>
  </si>
  <si>
    <t>9-3</t>
  </si>
  <si>
    <t>9-4</t>
  </si>
  <si>
    <t>10-1</t>
  </si>
  <si>
    <t>10-2</t>
  </si>
  <si>
    <t>10-3</t>
  </si>
  <si>
    <t>10-4</t>
  </si>
  <si>
    <t>10-5</t>
  </si>
  <si>
    <t>11-1</t>
  </si>
  <si>
    <t xml:space="preserve">11-2 </t>
  </si>
  <si>
    <t>11-3</t>
  </si>
  <si>
    <t>11-4</t>
  </si>
  <si>
    <r>
      <t>11-5</t>
    </r>
    <r>
      <rPr>
        <sz val="7"/>
        <rFont val="Arial"/>
        <family val="2"/>
      </rPr>
      <t/>
    </r>
  </si>
  <si>
    <r>
      <t>12-1</t>
    </r>
    <r>
      <rPr>
        <sz val="7"/>
        <rFont val="Arial"/>
        <family val="2"/>
      </rPr>
      <t/>
    </r>
  </si>
  <si>
    <t>12-2</t>
  </si>
  <si>
    <t xml:space="preserve">BCCF/Nitinat </t>
  </si>
  <si>
    <t>SOMASS SYSTEM</t>
  </si>
  <si>
    <t>Survey Type/Count Type</t>
  </si>
  <si>
    <t>Fence/Cumulative</t>
  </si>
  <si>
    <t>Periodic/PL+D</t>
  </si>
  <si>
    <t>Mixed/PL+D</t>
  </si>
  <si>
    <t>BCCF/Nitinat</t>
  </si>
  <si>
    <t>BCCF = British Columbia Conservation Foundation</t>
  </si>
  <si>
    <t>Nitinat = Nitinat Hatchery Staff</t>
  </si>
  <si>
    <t>HFN = Huu-ay-aht First Nation</t>
  </si>
  <si>
    <t>Hup = Hupacasath First Nation</t>
  </si>
  <si>
    <t>StAD = DFO Stock Assessment Division</t>
  </si>
  <si>
    <t>KCFN = Ka:'uy:'k't'h'/ Che:k'tles7et'h' First Nation</t>
  </si>
  <si>
    <t>LGL = LGL Limited - Environmental Reseach Associates</t>
  </si>
  <si>
    <t>MMFN = Mowachat/Muchalaht First Nation</t>
  </si>
  <si>
    <t>NTC = Nuuchahnulth Tribal Council</t>
  </si>
  <si>
    <t>PFN = Pacheedaht First Nation</t>
  </si>
  <si>
    <t>Strategic = Strategic Natural Resource Consultants</t>
  </si>
  <si>
    <t>visibility poor</t>
  </si>
  <si>
    <t>vis fair</t>
  </si>
  <si>
    <t>COHO CREEK</t>
  </si>
  <si>
    <t>ENGLISH COVE CREEK</t>
  </si>
  <si>
    <t>MEARES CREEK</t>
  </si>
  <si>
    <t>SHARP CREEK</t>
  </si>
  <si>
    <t>Planned</t>
  </si>
  <si>
    <t>Who</t>
  </si>
  <si>
    <t>fence</t>
  </si>
  <si>
    <t>Contract</t>
  </si>
  <si>
    <t>AFS</t>
  </si>
  <si>
    <t>other</t>
  </si>
  <si>
    <t>NVISEA</t>
  </si>
  <si>
    <t>SJES/PFN</t>
  </si>
  <si>
    <t>Parks</t>
  </si>
  <si>
    <t>fishway</t>
  </si>
  <si>
    <t>Hup/DFO</t>
  </si>
  <si>
    <t>AVE</t>
  </si>
  <si>
    <t>fence/3</t>
  </si>
  <si>
    <t>MMFN</t>
  </si>
  <si>
    <t>X</t>
  </si>
  <si>
    <t>MC Wright</t>
  </si>
  <si>
    <t>Tse/Hup</t>
  </si>
  <si>
    <t>TCES/NTC</t>
  </si>
  <si>
    <t>Hay</t>
  </si>
  <si>
    <t>Nuchatlat</t>
  </si>
  <si>
    <t>LGL/KCFN</t>
  </si>
  <si>
    <t>KCFN</t>
  </si>
  <si>
    <t>Blue-Green</t>
  </si>
  <si>
    <t>MC Wright = MC Wright and Associates: Biological Consulting</t>
  </si>
  <si>
    <t>STAGHORN CREEK</t>
  </si>
  <si>
    <t>TFN</t>
  </si>
  <si>
    <t>TFN = Tla-o-qui-aht First Nation</t>
  </si>
  <si>
    <t>MHSS = Maaqutusiis Hahoulthee Stewardship Society</t>
  </si>
  <si>
    <t>vis good / Excellent</t>
  </si>
  <si>
    <t>spwn 10-49%</t>
  </si>
  <si>
    <t>Helicopter / Drone</t>
  </si>
  <si>
    <r>
      <t>12-3</t>
    </r>
    <r>
      <rPr>
        <sz val="7"/>
        <rFont val="Arial"/>
        <family val="2"/>
      </rPr>
      <t/>
    </r>
  </si>
  <si>
    <t>12-4</t>
  </si>
  <si>
    <t>1-1</t>
  </si>
  <si>
    <t>1-2</t>
  </si>
  <si>
    <t>1-3</t>
  </si>
  <si>
    <t>Colour codes for escapement method and plan</t>
  </si>
  <si>
    <t>Aerial</t>
  </si>
  <si>
    <t>Spot check</t>
  </si>
  <si>
    <t>Missed</t>
  </si>
  <si>
    <t>Enumeration Class</t>
  </si>
  <si>
    <t>Type 1</t>
  </si>
  <si>
    <t>Type 2</t>
  </si>
  <si>
    <t>Type 3</t>
  </si>
  <si>
    <t>Type 5</t>
  </si>
  <si>
    <t>Type 6</t>
  </si>
  <si>
    <t>Type 4</t>
  </si>
  <si>
    <t>True Abundance, High Resolution</t>
  </si>
  <si>
    <t>True Abundance, Medium Resolution</t>
  </si>
  <si>
    <t>Relative Abundance, High Resolution</t>
  </si>
  <si>
    <t>Relative Abundance, Medium Resolution</t>
  </si>
  <si>
    <t>Relative Abundance, Low Resolution</t>
  </si>
  <si>
    <t>Presence/Absence</t>
  </si>
  <si>
    <t>Parks Canada</t>
  </si>
  <si>
    <t>800-900</t>
  </si>
  <si>
    <t>MCWright/Nitinat</t>
  </si>
  <si>
    <t>Ecofish</t>
  </si>
  <si>
    <t>Wildcoast</t>
  </si>
  <si>
    <t>TSES</t>
  </si>
  <si>
    <t>TCES = Thornton Creek Enhancement Society</t>
  </si>
  <si>
    <t>TSES = Tofino Salmon Enhancement Society</t>
  </si>
  <si>
    <t>HESQUIAT HARBOUR #1 CREEKS (Ayyisaqh 2)</t>
  </si>
  <si>
    <t>HESQUIAT HARBOUR #2 CREEKS (Ayyisaqh 1)</t>
  </si>
  <si>
    <t>TSES/CWFS</t>
  </si>
  <si>
    <t>Esc Method</t>
  </si>
  <si>
    <t>Aug 16-22</t>
  </si>
  <si>
    <t xml:space="preserve"> Aug 23-29</t>
  </si>
  <si>
    <t>Aug 30-Sep 5</t>
  </si>
  <si>
    <t>Sept 6-12</t>
  </si>
  <si>
    <t>Sept 13-19</t>
  </si>
  <si>
    <t>Sept 20-26</t>
  </si>
  <si>
    <t>Sep 27-Oct 3</t>
  </si>
  <si>
    <t>Oct 4-10</t>
  </si>
  <si>
    <t>Oct 11-17</t>
  </si>
  <si>
    <t>Oct 18-24</t>
  </si>
  <si>
    <t>Oct 25-31</t>
  </si>
  <si>
    <t>Nov 1-7</t>
  </si>
  <si>
    <t>Nov 8-14</t>
  </si>
  <si>
    <t>Nov 15-21</t>
  </si>
  <si>
    <t>Nov 22-28</t>
  </si>
  <si>
    <t>Nov 30-Dec 5</t>
  </si>
  <si>
    <t>Dec 6-12</t>
  </si>
  <si>
    <t>Dec 13-19</t>
  </si>
  <si>
    <t>Dec 20-26</t>
  </si>
  <si>
    <t>Dec 27-31</t>
  </si>
  <si>
    <t>Jan 1-2</t>
  </si>
  <si>
    <t>Jan 3-9</t>
  </si>
  <si>
    <t>Jan 10-16</t>
  </si>
  <si>
    <t>Yearling Smolts</t>
  </si>
  <si>
    <t>EFN/Wildcoast</t>
  </si>
  <si>
    <t>EFN = Ehattesaht First Nation</t>
  </si>
  <si>
    <t>PFN/4Mile Crk</t>
  </si>
  <si>
    <t>4Mile Crk = 4 Mile Creek Enhancement Society</t>
  </si>
  <si>
    <t>Sum of AdultRawPLD</t>
  </si>
  <si>
    <t>Row Labels</t>
  </si>
  <si>
    <t>Combined</t>
  </si>
  <si>
    <t>8 yr avg</t>
  </si>
  <si>
    <t>CAYEGHLE CREEK</t>
  </si>
  <si>
    <t>COLONIAL CREEK</t>
  </si>
  <si>
    <t>ESCALANTE RIVER</t>
  </si>
  <si>
    <t>HESQUIAT HARBOUR #2 CREEKS</t>
  </si>
  <si>
    <t>HESQUIAT HARBOUR #3 CREEKS</t>
  </si>
  <si>
    <t>HESQUIAT HARBOUR #4 CREEKS</t>
  </si>
  <si>
    <t>HESQUIAT LAKE CREEK</t>
  </si>
  <si>
    <t>HESQUIAT POINT CREEK</t>
  </si>
  <si>
    <t>HOT SPRINGS COVE CREEK</t>
  </si>
  <si>
    <t>JANSEN LAKE CREEK</t>
  </si>
  <si>
    <t>KENNEDY LAKE</t>
  </si>
  <si>
    <t>MAHATTA CREEK</t>
  </si>
  <si>
    <t>MURIEL LAKE CREEK</t>
  </si>
  <si>
    <t>POWER RIVER</t>
  </si>
  <si>
    <t>PURDON CREEK</t>
  </si>
  <si>
    <t>SANDHILL CREEK  (AREA 24)</t>
  </si>
  <si>
    <t>SATCHIE CREEK</t>
  </si>
  <si>
    <t>SECHELT CREEK</t>
  </si>
  <si>
    <t>SOMASS RIVER</t>
  </si>
  <si>
    <t>TOQUART RIVER</t>
  </si>
  <si>
    <t>URSUS CREEK</t>
  </si>
  <si>
    <t>BEDWELL SYSTEM</t>
  </si>
  <si>
    <t>MURIEL S1 CREEK</t>
  </si>
  <si>
    <t>8 yr Rounded Estimate</t>
  </si>
  <si>
    <t>COLONIAL/CAYEGHLE CREEKS</t>
  </si>
  <si>
    <t>Comments</t>
  </si>
  <si>
    <t>East River</t>
  </si>
  <si>
    <t>Quatsino/Wildcoast</t>
  </si>
  <si>
    <t># of Surveys</t>
  </si>
  <si>
    <t>LITTLE TOQUAHT CREEK</t>
  </si>
  <si>
    <t>lu_RawPL+D</t>
  </si>
  <si>
    <t>Avg Raw Peak (8yr)</t>
  </si>
  <si>
    <t>Avg Esc Est (12 yr)</t>
  </si>
  <si>
    <t>PL+D/8yr avg PL+D</t>
  </si>
  <si>
    <t>HENDERSON LAKE_Sockeye</t>
  </si>
  <si>
    <t>Est vs 12yr Avg Est</t>
  </si>
  <si>
    <t>PL+D/12yr avg Esc</t>
  </si>
  <si>
    <t>Removals / Kept</t>
  </si>
  <si>
    <t>Mortalities</t>
  </si>
  <si>
    <t>released</t>
  </si>
  <si>
    <t>sampled</t>
  </si>
  <si>
    <t>CN-M</t>
  </si>
  <si>
    <t>CN-F</t>
  </si>
  <si>
    <t>CO-J</t>
  </si>
  <si>
    <t>PK</t>
  </si>
  <si>
    <t>CN-U</t>
  </si>
  <si>
    <t>EAST CREEK</t>
  </si>
  <si>
    <t>Sept 12-18</t>
  </si>
  <si>
    <t>Sept 19-25</t>
  </si>
  <si>
    <t>Oct 3-9</t>
  </si>
  <si>
    <t>Oct 10-16</t>
  </si>
  <si>
    <t>Oct 17-23</t>
  </si>
  <si>
    <t>Oct 24-30</t>
  </si>
  <si>
    <t>Nov 7-13</t>
  </si>
  <si>
    <t>Nov 14-20</t>
  </si>
  <si>
    <t>Nov 21-27</t>
  </si>
  <si>
    <t>Dec 5-11</t>
  </si>
  <si>
    <t>MMFN/Conuma</t>
  </si>
  <si>
    <t>MHSS</t>
  </si>
  <si>
    <t>MMFN/BCCF</t>
  </si>
  <si>
    <t>Oct 31- Nov 6</t>
  </si>
  <si>
    <t>Rousseau Creek</t>
  </si>
  <si>
    <t>Targ</t>
  </si>
  <si>
    <t>Ad CWT</t>
  </si>
  <si>
    <t>Adult Esc Estimate</t>
  </si>
  <si>
    <t>Updating for a new year:</t>
  </si>
  <si>
    <t>Copy last year's bulletin table columns "Area" to "PL+D"</t>
  </si>
  <si>
    <t>Sort by Species, then System</t>
  </si>
  <si>
    <t>Add and delete cells to align the new table with the look up table</t>
  </si>
  <si>
    <t>Filter the bulletin table to only include systems with at least one survey</t>
  </si>
  <si>
    <t>2012 to 2021 avg</t>
  </si>
  <si>
    <t>Verify alignment then copy the PL+D count column to a new year on the right</t>
  </si>
  <si>
    <t>Adjust date ranges as needed, clean up the div by 0 errors</t>
  </si>
  <si>
    <t>Sept 18-24</t>
  </si>
  <si>
    <t>Sep 25-Oct 1</t>
  </si>
  <si>
    <t>Oct 2-8</t>
  </si>
  <si>
    <t>Oct 9-15</t>
  </si>
  <si>
    <t>Oct 16-22</t>
  </si>
  <si>
    <t>Oct 23-29</t>
  </si>
  <si>
    <t>Oct 30- Nov 5</t>
  </si>
  <si>
    <t>Nov 6-12</t>
  </si>
  <si>
    <t>Nov 13-19</t>
  </si>
  <si>
    <t>Nov 20-26</t>
  </si>
  <si>
    <t>Nov 27-Dec 3</t>
  </si>
  <si>
    <t>Dec 11-17</t>
  </si>
  <si>
    <t>Jan 1-7</t>
  </si>
  <si>
    <t>Jan 8-14</t>
  </si>
  <si>
    <t>Jan 15-21</t>
  </si>
  <si>
    <t>Ditidaht/MCWright</t>
  </si>
  <si>
    <t>Redd = Redd Fish Restoration Society</t>
  </si>
  <si>
    <t>Redd</t>
  </si>
  <si>
    <t>KCFN/StAD</t>
  </si>
  <si>
    <t>Wildcoast/Quatsino</t>
  </si>
  <si>
    <t>Upper Limit</t>
  </si>
  <si>
    <t>1.2m</t>
  </si>
  <si>
    <t>Source</t>
  </si>
  <si>
    <t xml:space="preserve">DFO hydromet </t>
  </si>
  <si>
    <t>Clemens</t>
  </si>
  <si>
    <t>0.8m good, 1m quick but OK</t>
  </si>
  <si>
    <t>wateroffice.ec.gc.ca (08HB014)</t>
  </si>
  <si>
    <t>2m (28cms)</t>
  </si>
  <si>
    <t>Tofino Creek 1.57m, 4.982cms</t>
  </si>
  <si>
    <t>Tofino Creek 1.35m</t>
  </si>
  <si>
    <t>Bedwell/Ursus</t>
  </si>
  <si>
    <t>Tofino Creek 1.4m/local 0.73m</t>
  </si>
  <si>
    <t>Gold River below Ucona &lt;130cms</t>
  </si>
  <si>
    <t>wateroffice.ec.gc.ca (08HB086)/DFO hydromet</t>
  </si>
  <si>
    <t>wateroffice.ec.gc.ca (08HB086)</t>
  </si>
  <si>
    <t>wateroffice.ec.gc.ca (08HC001)</t>
  </si>
  <si>
    <t>24hr after Gold &lt;130cms</t>
  </si>
  <si>
    <t>0.9m</t>
  </si>
  <si>
    <t>~0.6m (0.8m is poor)</t>
  </si>
  <si>
    <t>Tofino Creek 1.5m</t>
  </si>
  <si>
    <t>0.6m (swim), 0.92m(brood) - but visibility can be an issue after rain</t>
  </si>
  <si>
    <t>0.6m (at the hatchery)</t>
  </si>
  <si>
    <t>N/A</t>
  </si>
  <si>
    <t>EFN</t>
  </si>
  <si>
    <t>Arrival in Stream</t>
  </si>
  <si>
    <t>Peak</t>
  </si>
  <si>
    <t>End</t>
  </si>
  <si>
    <t>Start</t>
  </si>
  <si>
    <t>Early Sep</t>
  </si>
  <si>
    <t>Late Oct</t>
  </si>
  <si>
    <t>Early Nov</t>
  </si>
  <si>
    <t>Mid Nov</t>
  </si>
  <si>
    <t>Mid Dec</t>
  </si>
  <si>
    <t>Mid Oct</t>
  </si>
  <si>
    <t>Late Sep</t>
  </si>
  <si>
    <t>Early Oct</t>
  </si>
  <si>
    <t>Mid-Late Oct</t>
  </si>
  <si>
    <t>Peak Count</t>
  </si>
  <si>
    <t>Typical</t>
  </si>
  <si>
    <t xml:space="preserve">Typical Dates of Spawning </t>
  </si>
  <si>
    <t>Clemens Sockeye</t>
  </si>
  <si>
    <t>Toquart River_Sockeye</t>
  </si>
  <si>
    <t>Toquart River_Coho</t>
  </si>
  <si>
    <t>Toquart River_Pink</t>
  </si>
  <si>
    <t>Toquart River_Chum</t>
  </si>
  <si>
    <t>Toquart River_Chinook</t>
  </si>
  <si>
    <t>Sproat</t>
  </si>
  <si>
    <t>Stamp</t>
  </si>
  <si>
    <t>Somass</t>
  </si>
  <si>
    <t>enty</t>
  </si>
  <si>
    <t>forumula</t>
  </si>
  <si>
    <t xml:space="preserve"> </t>
  </si>
  <si>
    <t>CN-J</t>
  </si>
  <si>
    <t>Spawned</t>
  </si>
  <si>
    <t>Paradise Creek</t>
  </si>
  <si>
    <t>PARADISE CREEK</t>
  </si>
  <si>
    <t>Adult Spawners</t>
  </si>
  <si>
    <t>Jack Spawners</t>
  </si>
  <si>
    <t>Adult Return</t>
  </si>
  <si>
    <t xml:space="preserve">Adult Removals </t>
  </si>
  <si>
    <t>Jack Removals</t>
  </si>
  <si>
    <t>Combined Total Return</t>
  </si>
  <si>
    <t>Homesteader</t>
  </si>
  <si>
    <t>Detailed Escapement</t>
  </si>
  <si>
    <t>San Juan Fence Counts 2023</t>
  </si>
  <si>
    <t>Year</t>
  </si>
  <si>
    <t>Aug 20-26</t>
  </si>
  <si>
    <t>Aug 27-Sep2</t>
  </si>
  <si>
    <t>Sep 3-9</t>
  </si>
  <si>
    <t>Sep 10-16</t>
  </si>
  <si>
    <t>Sept 17-23</t>
  </si>
  <si>
    <t>Sep 24-30</t>
  </si>
  <si>
    <t>Oct 1-7</t>
  </si>
  <si>
    <t>Oct 8-14</t>
  </si>
  <si>
    <t>Oct 15-21</t>
  </si>
  <si>
    <t>Oct 22-28</t>
  </si>
  <si>
    <t>Oct 29-Nov4</t>
  </si>
  <si>
    <t>Nov 5-11</t>
  </si>
  <si>
    <t>Nov 12-18</t>
  </si>
  <si>
    <t>Nov 19-25</t>
  </si>
  <si>
    <t>Nov 26-Dec 2</t>
  </si>
  <si>
    <t>Dec 3-9</t>
  </si>
  <si>
    <t>Dec10-16</t>
  </si>
  <si>
    <t>Dec 17-23</t>
  </si>
  <si>
    <t>Dec 24-30</t>
  </si>
  <si>
    <t>8-1</t>
  </si>
  <si>
    <r>
      <t>8-2</t>
    </r>
    <r>
      <rPr>
        <sz val="7"/>
        <rFont val="Arial"/>
        <family val="2"/>
      </rPr>
      <t/>
    </r>
  </si>
  <si>
    <t>7-5</t>
  </si>
  <si>
    <t>7-4</t>
  </si>
  <si>
    <t>Jul 23-29</t>
  </si>
  <si>
    <t>Jul 30-Aug 5</t>
  </si>
  <si>
    <t>Aug 6-12</t>
  </si>
  <si>
    <t>Aug 13-19</t>
  </si>
  <si>
    <t>OE</t>
  </si>
  <si>
    <t>Species: SK; CO; PK; CM;CN</t>
  </si>
  <si>
    <t># Holding</t>
  </si>
  <si>
    <t># Spawning</t>
  </si>
  <si>
    <t>Total</t>
  </si>
  <si>
    <t># Est Live</t>
  </si>
  <si>
    <t>%Obs Eff</t>
  </si>
  <si>
    <t>Rationale for Observer Efficiency</t>
  </si>
  <si>
    <t>%New</t>
  </si>
  <si>
    <t>Dead</t>
  </si>
  <si>
    <t>Live Jacks</t>
  </si>
  <si>
    <t>Other</t>
  </si>
  <si>
    <t>Non-salmonid Species Comments</t>
  </si>
  <si>
    <t>% hab</t>
  </si>
  <si>
    <t>live</t>
  </si>
  <si>
    <t>% spawn</t>
  </si>
  <si>
    <t>Hold</t>
  </si>
  <si>
    <t>Spawn</t>
  </si>
  <si>
    <t>Jack</t>
  </si>
  <si>
    <t/>
  </si>
  <si>
    <t>Cutthroat Trout</t>
  </si>
  <si>
    <t>*</t>
  </si>
  <si>
    <t>4-3a</t>
  </si>
  <si>
    <t>4-3b</t>
  </si>
  <si>
    <t>3-2</t>
  </si>
  <si>
    <t>2-1</t>
  </si>
  <si>
    <t>1-0</t>
  </si>
  <si>
    <t>Live</t>
  </si>
  <si>
    <t>12</t>
  </si>
  <si>
    <t>11</t>
  </si>
  <si>
    <t>10</t>
  </si>
  <si>
    <t>9</t>
  </si>
  <si>
    <t>8</t>
  </si>
  <si>
    <t>7</t>
  </si>
  <si>
    <t>6</t>
  </si>
  <si>
    <t>5</t>
  </si>
  <si>
    <t>4</t>
  </si>
  <si>
    <t>3</t>
  </si>
  <si>
    <t>2</t>
  </si>
  <si>
    <t>1</t>
  </si>
  <si>
    <t>Spr jk</t>
  </si>
  <si>
    <t>Stamp jk</t>
  </si>
  <si>
    <t>total</t>
  </si>
  <si>
    <t>PL+D</t>
  </si>
  <si>
    <t>Type-5</t>
  </si>
  <si>
    <t>Type-3</t>
  </si>
  <si>
    <t>AUC</t>
  </si>
  <si>
    <t>Type-5 rel,low</t>
  </si>
  <si>
    <t>NO</t>
  </si>
  <si>
    <t>Type-4, rel med</t>
  </si>
  <si>
    <t>Type 5, rel low</t>
  </si>
  <si>
    <t>Type 4, rel med</t>
  </si>
  <si>
    <t>missing est</t>
  </si>
  <si>
    <t>Type 3, rel high</t>
  </si>
  <si>
    <t>Ursus</t>
  </si>
  <si>
    <t>Bed+Urs</t>
  </si>
  <si>
    <t>Type 6, pres/abs</t>
  </si>
  <si>
    <t>none needed</t>
  </si>
  <si>
    <t>Type 6, P/A</t>
  </si>
  <si>
    <t>AP</t>
  </si>
  <si>
    <t>Type 1, abs high</t>
  </si>
  <si>
    <t>Cayeghle</t>
  </si>
  <si>
    <t>Colonial</t>
  </si>
  <si>
    <t>Type-6</t>
  </si>
  <si>
    <t>Type-4</t>
  </si>
  <si>
    <t>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</si>
</sst>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_(* \(#,##0\);_(* &quot;-&quot;_);_(@_)"/>
    <numFmt numFmtId="43" formatCode="_(* #,##0.00_);_(* \(#,##0.00\);_(* &quot;-&quot;??_);_(@_)"/>
    <numFmt numFmtId="164" formatCode="_-* #,##0.00_-;\-* #,##0.00_-;_-* &quot;-&quot;??_-;_-@_-"/>
    <numFmt numFmtId="165" formatCode="_-* #,##0_-;\-* #,##0_-;_-* &quot;-&quot;??_-;_-@_-"/>
    <numFmt numFmtId="166" formatCode="_(* #,##0_);_(* \(#,##0\);_(* &quot;-&quot;??_);_(@_)"/>
    <numFmt numFmtId="167" formatCode="[$-409]d\-mmm\-yy;@"/>
  </numFmts>
  <fonts count="6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2"/>
      <name val="Arial"/>
      <family val="2"/>
    </font>
    <font>
      <b/>
      <sz val="11"/>
      <name val="Arial"/>
      <family val="2"/>
    </font>
    <font>
      <sz val="8"/>
      <name val="Arial"/>
      <family val="2"/>
    </font>
    <font>
      <b/>
      <sz val="10"/>
      <name val="Arial"/>
      <family val="2"/>
    </font>
    <font>
      <sz val="8"/>
      <name val="Arial"/>
      <family val="2"/>
    </font>
    <font>
      <b/>
      <sz val="11"/>
      <name val="Arial"/>
      <family val="2"/>
    </font>
    <font>
      <b/>
      <sz val="7"/>
      <name val="Arial"/>
      <family val="2"/>
    </font>
    <font>
      <sz val="7"/>
      <name val="Arial"/>
      <family val="2"/>
    </font>
    <font>
      <sz val="6"/>
      <name val="Arial"/>
      <family val="2"/>
    </font>
    <font>
      <sz val="10"/>
      <name val="Arial"/>
      <family val="2"/>
    </font>
    <font>
      <sz val="8"/>
      <color indexed="81"/>
      <name val="Tahoma"/>
      <family val="2"/>
    </font>
    <font>
      <b/>
      <sz val="8"/>
      <color indexed="81"/>
      <name val="Tahoma"/>
      <family val="2"/>
    </font>
    <font>
      <sz val="9"/>
      <name val="Arial"/>
      <family val="2"/>
    </font>
    <font>
      <b/>
      <sz val="10"/>
      <color indexed="10"/>
      <name val="Arial"/>
      <family val="2"/>
    </font>
    <font>
      <b/>
      <sz val="10"/>
      <color indexed="53"/>
      <name val="Arial"/>
      <family val="2"/>
    </font>
    <font>
      <b/>
      <sz val="10"/>
      <color indexed="57"/>
      <name val="Arial"/>
      <family val="2"/>
    </font>
    <font>
      <sz val="8"/>
      <color indexed="8"/>
      <name val="Arial"/>
      <family val="2"/>
    </font>
    <font>
      <sz val="9"/>
      <color indexed="81"/>
      <name val="Tahoma"/>
      <family val="2"/>
    </font>
    <font>
      <b/>
      <sz val="9"/>
      <color indexed="81"/>
      <name val="Tahoma"/>
      <family val="2"/>
    </font>
    <font>
      <sz val="8"/>
      <name val="Tahoma"/>
      <family val="2"/>
    </font>
    <font>
      <b/>
      <sz val="8"/>
      <name val="Arial"/>
      <family val="2"/>
    </font>
    <font>
      <sz val="10"/>
      <name val="Arial"/>
      <family val="2"/>
    </font>
    <font>
      <i/>
      <sz val="10"/>
      <name val="Arial"/>
      <family val="2"/>
    </font>
    <font>
      <u/>
      <sz val="10"/>
      <name val="Arial"/>
      <family val="2"/>
    </font>
    <font>
      <u/>
      <sz val="9"/>
      <name val="Arial"/>
      <family val="2"/>
    </font>
    <font>
      <b/>
      <sz val="9"/>
      <name val="Arial"/>
      <family val="2"/>
    </font>
    <font>
      <i/>
      <sz val="9"/>
      <name val="Arial"/>
      <family val="2"/>
    </font>
    <font>
      <b/>
      <u/>
      <sz val="9"/>
      <name val="Arial"/>
      <family val="2"/>
    </font>
    <font>
      <b/>
      <u/>
      <sz val="10"/>
      <name val="Arial"/>
      <family val="2"/>
    </font>
    <font>
      <sz val="11"/>
      <color indexed="8"/>
      <name val="Calibri"/>
      <family val="2"/>
    </font>
    <font>
      <sz val="10"/>
      <color indexed="8"/>
      <name val="Arial"/>
      <family val="2"/>
    </font>
    <font>
      <sz val="11"/>
      <color theme="1"/>
      <name val="Calibri"/>
      <family val="2"/>
      <scheme val="minor"/>
    </font>
    <font>
      <sz val="11"/>
      <color rgb="FF000000"/>
      <name val="Calibri"/>
      <family val="2"/>
    </font>
    <font>
      <b/>
      <sz val="11"/>
      <color theme="1"/>
      <name val="Calibri"/>
      <family val="2"/>
      <scheme val="minor"/>
    </font>
    <font>
      <sz val="10"/>
      <color rgb="FFFF0000"/>
      <name val="Arial"/>
      <family val="2"/>
    </font>
    <font>
      <sz val="10"/>
      <color rgb="FF0000FF"/>
      <name val="Arial"/>
      <family val="2"/>
    </font>
    <font>
      <b/>
      <sz val="9"/>
      <color rgb="FF0000FF"/>
      <name val="Arial"/>
      <family val="2"/>
    </font>
    <font>
      <sz val="9"/>
      <color rgb="FF0000FF"/>
      <name val="Arial"/>
      <family val="2"/>
    </font>
    <font>
      <b/>
      <u/>
      <sz val="10"/>
      <color rgb="FF0000FF"/>
      <name val="Arial"/>
      <family val="2"/>
    </font>
    <font>
      <b/>
      <sz val="10"/>
      <color rgb="FF0000FF"/>
      <name val="Arial"/>
      <family val="2"/>
    </font>
    <font>
      <sz val="9"/>
      <color rgb="FFFF0000"/>
      <name val="Arial"/>
      <family val="2"/>
    </font>
    <font>
      <b/>
      <sz val="9"/>
      <color rgb="FFFF0000"/>
      <name val="Arial"/>
      <family val="2"/>
    </font>
    <font>
      <b/>
      <u/>
      <sz val="9"/>
      <color rgb="FFFF0000"/>
      <name val="Arial"/>
      <family val="2"/>
    </font>
    <font>
      <b/>
      <u/>
      <sz val="9"/>
      <color rgb="FF0000FF"/>
      <name val="Arial"/>
      <family val="2"/>
    </font>
    <font>
      <u/>
      <sz val="10"/>
      <color rgb="FFFF0000"/>
      <name val="Arial"/>
      <family val="2"/>
    </font>
    <font>
      <u/>
      <sz val="9"/>
      <color rgb="FF0000FF"/>
      <name val="Arial"/>
      <family val="2"/>
    </font>
    <font>
      <sz val="10"/>
      <color theme="0"/>
      <name val="Arial"/>
      <family val="2"/>
    </font>
    <font>
      <sz val="11"/>
      <name val="Calibri"/>
      <family val="2"/>
    </font>
    <font>
      <sz val="10"/>
      <color theme="1"/>
      <name val="Arial"/>
      <family val="2"/>
    </font>
    <font>
      <sz val="12"/>
      <color theme="1"/>
      <name val="Times New Roman"/>
      <family val="1"/>
    </font>
    <font>
      <b/>
      <sz val="9"/>
      <color theme="1"/>
      <name val="Arial"/>
      <family val="2"/>
    </font>
    <font>
      <b/>
      <sz val="14"/>
      <color theme="1"/>
      <name val="Calibri"/>
      <family val="2"/>
      <scheme val="minor"/>
    </font>
    <font>
      <b/>
      <sz val="14"/>
      <name val="Calibri"/>
      <family val="2"/>
      <scheme val="minor"/>
    </font>
  </fonts>
  <fills count="43">
    <fill>
      <patternFill patternType="none"/>
    </fill>
    <fill>
      <patternFill patternType="gray125"/>
    </fill>
    <fill>
      <patternFill patternType="solid">
        <fgColor indexed="13"/>
        <bgColor indexed="64"/>
      </patternFill>
    </fill>
    <fill>
      <patternFill patternType="solid">
        <fgColor indexed="22"/>
        <bgColor indexed="64"/>
      </patternFill>
    </fill>
    <fill>
      <patternFill patternType="solid">
        <fgColor indexed="42"/>
        <bgColor indexed="64"/>
      </patternFill>
    </fill>
    <fill>
      <patternFill patternType="solid">
        <fgColor indexed="44"/>
        <bgColor indexed="64"/>
      </patternFill>
    </fill>
    <fill>
      <patternFill patternType="solid">
        <fgColor indexed="45"/>
        <bgColor indexed="64"/>
      </patternFill>
    </fill>
    <fill>
      <patternFill patternType="solid">
        <fgColor indexed="47"/>
        <bgColor indexed="64"/>
      </patternFill>
    </fill>
    <fill>
      <patternFill patternType="solid">
        <fgColor indexed="11"/>
        <bgColor indexed="64"/>
      </patternFill>
    </fill>
    <fill>
      <patternFill patternType="solid">
        <fgColor indexed="41"/>
        <bgColor indexed="64"/>
      </patternFill>
    </fill>
    <fill>
      <patternFill patternType="solid">
        <fgColor indexed="43"/>
        <bgColor indexed="64"/>
      </patternFill>
    </fill>
    <fill>
      <patternFill patternType="solid">
        <fgColor indexed="46"/>
        <bgColor indexed="64"/>
      </patternFill>
    </fill>
    <fill>
      <patternFill patternType="solid">
        <fgColor indexed="50"/>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rgb="FFFFCCFF"/>
        <bgColor indexed="64"/>
      </patternFill>
    </fill>
    <fill>
      <patternFill patternType="solid">
        <fgColor theme="2" tint="-9.9978637043366805E-2"/>
        <bgColor indexed="64"/>
      </patternFill>
    </fill>
    <fill>
      <patternFill patternType="solid">
        <fgColor rgb="FFCCFF99"/>
        <bgColor indexed="64"/>
      </patternFill>
    </fill>
    <fill>
      <patternFill patternType="solid">
        <fgColor theme="0"/>
        <bgColor indexed="64"/>
      </patternFill>
    </fill>
    <fill>
      <patternFill patternType="solid">
        <fgColor rgb="FF00FF00"/>
        <bgColor indexed="64"/>
      </patternFill>
    </fill>
    <fill>
      <patternFill patternType="solid">
        <fgColor rgb="FF99CCFF"/>
        <bgColor indexed="64"/>
      </patternFill>
    </fill>
    <fill>
      <patternFill patternType="solid">
        <fgColor rgb="FFFFFF00"/>
        <bgColor indexed="64"/>
      </patternFill>
    </fill>
    <fill>
      <patternFill patternType="solid">
        <fgColor theme="5" tint="0.59999389629810485"/>
        <bgColor indexed="64"/>
      </patternFill>
    </fill>
    <fill>
      <patternFill patternType="solid">
        <fgColor rgb="FFFFFF99"/>
        <bgColor indexed="64"/>
      </patternFill>
    </fill>
    <fill>
      <patternFill patternType="solid">
        <fgColor rgb="FF92D050"/>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rgb="FFD9D9D9"/>
        <bgColor indexed="64"/>
      </patternFill>
    </fill>
    <fill>
      <patternFill patternType="solid">
        <fgColor rgb="FFFFFFCC"/>
        <bgColor indexed="64"/>
      </patternFill>
    </fill>
    <fill>
      <patternFill patternType="solid">
        <fgColor theme="6" tint="0.39997558519241921"/>
        <bgColor indexed="64"/>
      </patternFill>
    </fill>
    <fill>
      <patternFill patternType="solid">
        <fgColor theme="9" tint="0.39994506668294322"/>
        <bgColor indexed="64"/>
      </patternFill>
    </fill>
    <fill>
      <patternFill patternType="solid">
        <fgColor rgb="FFA3F496"/>
        <bgColor indexed="64"/>
      </patternFill>
    </fill>
    <fill>
      <patternFill patternType="solid">
        <fgColor theme="8"/>
        <bgColor indexed="64"/>
      </patternFill>
    </fill>
    <fill>
      <patternFill patternType="solid">
        <fgColor rgb="FFFF99CC"/>
        <bgColor indexed="64"/>
      </patternFill>
    </fill>
    <fill>
      <patternFill patternType="solid">
        <fgColor rgb="FFCCFFCC"/>
        <bgColor indexed="64"/>
      </patternFill>
    </fill>
    <fill>
      <patternFill patternType="solid">
        <fgColor rgb="FFCCFFFF"/>
        <bgColor indexed="64"/>
      </patternFill>
    </fill>
    <fill>
      <patternFill patternType="solid">
        <fgColor indexed="22"/>
        <bgColor indexed="0"/>
      </patternFill>
    </fill>
    <fill>
      <patternFill patternType="solid">
        <fgColor theme="9" tint="0.59999389629810485"/>
        <bgColor indexed="64"/>
      </patternFill>
    </fill>
    <fill>
      <patternFill patternType="solid">
        <fgColor rgb="FFFF0000"/>
        <bgColor indexed="64"/>
      </patternFill>
    </fill>
  </fills>
  <borders count="46">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double">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bottom/>
      <diagonal/>
    </border>
    <border>
      <left/>
      <right/>
      <top style="thin">
        <color indexed="64"/>
      </top>
      <bottom style="medium">
        <color indexed="64"/>
      </bottom>
      <diagonal/>
    </border>
    <border>
      <left/>
      <right/>
      <top style="thin">
        <color indexed="64"/>
      </top>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style="double">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diagonal/>
    </border>
    <border>
      <left style="medium">
        <color indexed="64"/>
      </left>
      <right style="thin">
        <color indexed="64"/>
      </right>
      <top style="thin">
        <color indexed="64"/>
      </top>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bottom style="medium">
        <color indexed="64"/>
      </bottom>
      <diagonal/>
    </border>
    <border>
      <left/>
      <right/>
      <top style="thin">
        <color auto="1"/>
      </top>
      <bottom style="double">
        <color auto="1"/>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7">
    <xf numFmtId="0" fontId="0" fillId="0" borderId="0"/>
    <xf numFmtId="164" fontId="5" fillId="0" borderId="0" applyFont="0" applyFill="0" applyBorder="0" applyAlignment="0" applyProtection="0"/>
    <xf numFmtId="43" fontId="23" fillId="0" borderId="0" applyFont="0" applyFill="0" applyBorder="0" applyAlignment="0" applyProtection="0"/>
    <xf numFmtId="0" fontId="23" fillId="0" borderId="0"/>
    <xf numFmtId="0" fontId="28" fillId="0" borderId="0"/>
    <xf numFmtId="0" fontId="38" fillId="0" borderId="0"/>
    <xf numFmtId="0" fontId="39" fillId="0" borderId="0"/>
    <xf numFmtId="0" fontId="37" fillId="0" borderId="0"/>
    <xf numFmtId="9" fontId="5" fillId="0" borderId="0" applyFont="0" applyFill="0" applyBorder="0" applyAlignment="0" applyProtection="0"/>
    <xf numFmtId="9" fontId="23" fillId="0" borderId="0" applyFont="0" applyFill="0" applyBorder="0" applyAlignment="0" applyProtection="0"/>
    <xf numFmtId="0" fontId="4" fillId="0" borderId="0"/>
    <xf numFmtId="9" fontId="4" fillId="0" borderId="0" applyFont="0" applyFill="0" applyBorder="0" applyAlignment="0" applyProtection="0"/>
    <xf numFmtId="0" fontId="3" fillId="0" borderId="0"/>
    <xf numFmtId="43" fontId="3" fillId="0" borderId="0" applyFont="0" applyFill="0" applyBorder="0" applyAlignment="0" applyProtection="0"/>
    <xf numFmtId="0" fontId="2" fillId="0" borderId="0"/>
    <xf numFmtId="0" fontId="1" fillId="0" borderId="0"/>
    <xf numFmtId="0" fontId="37" fillId="0" borderId="0"/>
  </cellStyleXfs>
  <cellXfs count="873">
    <xf numFmtId="0" fontId="0" fillId="0" borderId="0" xfId="0"/>
    <xf numFmtId="0" fontId="6" fillId="0" borderId="0" xfId="0" applyFont="1"/>
    <xf numFmtId="0" fontId="0" fillId="0" borderId="0" xfId="0" applyAlignment="1">
      <alignment horizontal="center"/>
    </xf>
    <xf numFmtId="0" fontId="7" fillId="0" borderId="0" xfId="0" applyFont="1" applyAlignment="1">
      <alignment horizontal="center"/>
    </xf>
    <xf numFmtId="0" fontId="6" fillId="0" borderId="0" xfId="0" applyFont="1" applyAlignment="1">
      <alignment horizontal="center"/>
    </xf>
    <xf numFmtId="0" fontId="8" fillId="0" borderId="0" xfId="0" applyFont="1" applyAlignment="1">
      <alignment horizontal="left"/>
    </xf>
    <xf numFmtId="0" fontId="8" fillId="0" borderId="0" xfId="0" applyFont="1"/>
    <xf numFmtId="0" fontId="12" fillId="0" borderId="0" xfId="0" applyFont="1"/>
    <xf numFmtId="0" fontId="13" fillId="0" borderId="2" xfId="0" applyFont="1" applyBorder="1" applyAlignment="1">
      <alignment horizontal="center" vertical="top" wrapText="1"/>
    </xf>
    <xf numFmtId="0" fontId="13" fillId="0" borderId="0" xfId="0" applyFont="1" applyAlignment="1">
      <alignment horizontal="center" vertical="center" wrapText="1"/>
    </xf>
    <xf numFmtId="0" fontId="9" fillId="0" borderId="3" xfId="0" applyFont="1" applyFill="1" applyBorder="1" applyAlignment="1">
      <alignment vertical="center"/>
    </xf>
    <xf numFmtId="1" fontId="11" fillId="0" borderId="3" xfId="0" applyNumberFormat="1" applyFont="1" applyFill="1" applyBorder="1" applyAlignment="1">
      <alignment horizontal="center" vertical="center"/>
    </xf>
    <xf numFmtId="0" fontId="0" fillId="0" borderId="0" xfId="0" applyFill="1"/>
    <xf numFmtId="1" fontId="9" fillId="0" borderId="3" xfId="0" applyNumberFormat="1" applyFont="1" applyFill="1" applyBorder="1" applyAlignment="1">
      <alignment horizontal="center" vertical="center"/>
    </xf>
    <xf numFmtId="0" fontId="0" fillId="0" borderId="0" xfId="0" applyFill="1" applyAlignment="1">
      <alignment horizontal="center"/>
    </xf>
    <xf numFmtId="0" fontId="0" fillId="0" borderId="0" xfId="0" applyBorder="1"/>
    <xf numFmtId="0" fontId="10" fillId="0" borderId="0" xfId="0" applyFont="1" applyBorder="1"/>
    <xf numFmtId="0" fontId="16" fillId="0" borderId="0" xfId="0" applyFont="1"/>
    <xf numFmtId="1" fontId="11" fillId="0" borderId="0" xfId="0" applyNumberFormat="1" applyFont="1" applyFill="1" applyBorder="1" applyAlignment="1">
      <alignment horizontal="center" vertical="center"/>
    </xf>
    <xf numFmtId="0" fontId="9" fillId="0" borderId="0" xfId="0" applyFont="1" applyFill="1" applyBorder="1" applyAlignment="1">
      <alignment vertical="center"/>
    </xf>
    <xf numFmtId="0" fontId="10" fillId="0" borderId="0" xfId="0" applyFont="1" applyFill="1" applyBorder="1" applyAlignment="1">
      <alignment horizontal="center" vertical="center"/>
    </xf>
    <xf numFmtId="0" fontId="9" fillId="0" borderId="4" xfId="0" applyFont="1" applyFill="1" applyBorder="1" applyAlignment="1">
      <alignment vertical="center"/>
    </xf>
    <xf numFmtId="0" fontId="9" fillId="0" borderId="5" xfId="0" applyFont="1" applyFill="1" applyBorder="1" applyAlignment="1">
      <alignment vertical="center"/>
    </xf>
    <xf numFmtId="0" fontId="10" fillId="0" borderId="6" xfId="0" applyFont="1" applyBorder="1" applyAlignment="1">
      <alignment horizontal="center" vertical="center" wrapText="1"/>
    </xf>
    <xf numFmtId="3" fontId="0" fillId="0" borderId="0" xfId="0" applyNumberFormat="1"/>
    <xf numFmtId="0" fontId="13" fillId="2" borderId="0" xfId="0" applyFont="1" applyFill="1" applyAlignment="1">
      <alignment horizontal="center" vertical="center" wrapText="1"/>
    </xf>
    <xf numFmtId="0" fontId="0" fillId="2" borderId="0" xfId="0" applyFill="1"/>
    <xf numFmtId="0" fontId="13" fillId="3" borderId="2" xfId="0" applyFont="1" applyFill="1" applyBorder="1" applyAlignment="1">
      <alignment horizontal="center" vertical="top" wrapText="1"/>
    </xf>
    <xf numFmtId="1" fontId="11" fillId="3" borderId="3" xfId="0" applyNumberFormat="1" applyFont="1" applyFill="1" applyBorder="1" applyAlignment="1">
      <alignment horizontal="center" vertical="center"/>
    </xf>
    <xf numFmtId="1" fontId="9" fillId="3" borderId="3" xfId="0" applyNumberFormat="1" applyFont="1" applyFill="1" applyBorder="1" applyAlignment="1">
      <alignment horizontal="center" vertical="center"/>
    </xf>
    <xf numFmtId="0" fontId="13" fillId="0" borderId="2" xfId="0" applyFont="1" applyFill="1" applyBorder="1" applyAlignment="1">
      <alignment horizontal="center" vertical="top" wrapText="1"/>
    </xf>
    <xf numFmtId="0" fontId="11" fillId="0" borderId="0" xfId="0" applyFont="1"/>
    <xf numFmtId="3" fontId="13" fillId="0" borderId="0" xfId="0" applyNumberFormat="1" applyFont="1" applyAlignment="1">
      <alignment horizontal="center" vertical="center" wrapText="1"/>
    </xf>
    <xf numFmtId="3" fontId="0" fillId="2" borderId="0" xfId="0" applyNumberFormat="1" applyFill="1"/>
    <xf numFmtId="1" fontId="0" fillId="0" borderId="0" xfId="0" applyNumberFormat="1"/>
    <xf numFmtId="3" fontId="20" fillId="0" borderId="0" xfId="0" applyNumberFormat="1" applyFont="1"/>
    <xf numFmtId="3" fontId="21" fillId="0" borderId="0" xfId="0" applyNumberFormat="1" applyFont="1"/>
    <xf numFmtId="3" fontId="22" fillId="0" borderId="0" xfId="0" applyNumberFormat="1" applyFont="1"/>
    <xf numFmtId="165" fontId="0" fillId="0" borderId="0" xfId="1" applyNumberFormat="1" applyFont="1"/>
    <xf numFmtId="1" fontId="0" fillId="0" borderId="0" xfId="0" applyNumberFormat="1" applyFill="1"/>
    <xf numFmtId="0" fontId="9" fillId="0" borderId="0" xfId="0" applyFont="1" applyBorder="1" applyAlignment="1">
      <alignment vertical="top"/>
    </xf>
    <xf numFmtId="0" fontId="9" fillId="0" borderId="0" xfId="0" applyFont="1" applyFill="1" applyBorder="1" applyAlignment="1">
      <alignment vertical="top"/>
    </xf>
    <xf numFmtId="0" fontId="0" fillId="0" borderId="0" xfId="0" applyBorder="1" applyAlignment="1"/>
    <xf numFmtId="0" fontId="13" fillId="0" borderId="0" xfId="0" applyFont="1" applyBorder="1" applyAlignment="1">
      <alignment horizontal="center" vertical="center" wrapText="1"/>
    </xf>
    <xf numFmtId="0" fontId="16" fillId="0" borderId="0" xfId="0" applyFont="1" applyFill="1" applyBorder="1" applyAlignment="1">
      <alignment horizontal="center" vertical="center"/>
    </xf>
    <xf numFmtId="3" fontId="16" fillId="0" borderId="0" xfId="0" applyNumberFormat="1" applyFont="1" applyFill="1" applyBorder="1" applyAlignment="1">
      <alignment horizontal="center" vertical="center"/>
    </xf>
    <xf numFmtId="3" fontId="16" fillId="0" borderId="0" xfId="0" applyNumberFormat="1" applyFont="1" applyFill="1" applyBorder="1" applyAlignment="1">
      <alignment horizontal="center" vertical="top"/>
    </xf>
    <xf numFmtId="0" fontId="0" fillId="4" borderId="0" xfId="0" applyFill="1"/>
    <xf numFmtId="0" fontId="13" fillId="4" borderId="0" xfId="0" applyFont="1" applyFill="1" applyAlignment="1">
      <alignment horizontal="center" vertical="center" wrapText="1"/>
    </xf>
    <xf numFmtId="3" fontId="0" fillId="4" borderId="0" xfId="0" applyNumberFormat="1" applyFill="1"/>
    <xf numFmtId="0" fontId="9" fillId="5" borderId="0" xfId="0" applyFont="1" applyFill="1"/>
    <xf numFmtId="0" fontId="10" fillId="0" borderId="7" xfId="0" applyFont="1" applyBorder="1" applyAlignment="1">
      <alignment horizontal="center" vertical="center" wrapText="1"/>
    </xf>
    <xf numFmtId="0" fontId="6" fillId="0" borderId="7" xfId="0" applyFont="1" applyBorder="1" applyAlignment="1">
      <alignment horizontal="center" vertical="center" wrapText="1"/>
    </xf>
    <xf numFmtId="3" fontId="16" fillId="0" borderId="0" xfId="0" applyNumberFormat="1" applyFont="1" applyFill="1" applyBorder="1" applyAlignment="1">
      <alignment horizontal="center"/>
    </xf>
    <xf numFmtId="3" fontId="0" fillId="0" borderId="0" xfId="0" applyNumberFormat="1" applyBorder="1"/>
    <xf numFmtId="0" fontId="0" fillId="0" borderId="0" xfId="0" applyBorder="1" applyAlignment="1">
      <alignment horizontal="center"/>
    </xf>
    <xf numFmtId="0" fontId="16" fillId="0" borderId="0" xfId="0" applyFont="1" applyFill="1"/>
    <xf numFmtId="14" fontId="0" fillId="0" borderId="0" xfId="0" applyNumberFormat="1" applyBorder="1"/>
    <xf numFmtId="9" fontId="0" fillId="0" borderId="0" xfId="8" applyFont="1" applyBorder="1"/>
    <xf numFmtId="0" fontId="13" fillId="3" borderId="3" xfId="0" applyFont="1" applyFill="1" applyBorder="1" applyAlignment="1">
      <alignment horizontal="center" vertical="top" wrapText="1"/>
    </xf>
    <xf numFmtId="0" fontId="12" fillId="0" borderId="0" xfId="0" applyFont="1" applyBorder="1"/>
    <xf numFmtId="0" fontId="9" fillId="0" borderId="8" xfId="0" applyFont="1" applyFill="1" applyBorder="1" applyAlignment="1">
      <alignment vertical="center"/>
    </xf>
    <xf numFmtId="3" fontId="19" fillId="0" borderId="3" xfId="0" applyNumberFormat="1" applyFont="1" applyFill="1" applyBorder="1" applyAlignment="1">
      <alignment horizontal="center" vertical="center"/>
    </xf>
    <xf numFmtId="3" fontId="19" fillId="0" borderId="3" xfId="0" applyNumberFormat="1" applyFont="1" applyFill="1" applyBorder="1" applyAlignment="1">
      <alignment horizontal="center" vertical="top"/>
    </xf>
    <xf numFmtId="3" fontId="19" fillId="0" borderId="4" xfId="0" applyNumberFormat="1" applyFont="1" applyFill="1" applyBorder="1" applyAlignment="1">
      <alignment horizontal="center" vertical="center"/>
    </xf>
    <xf numFmtId="3" fontId="19" fillId="0" borderId="8" xfId="0" applyNumberFormat="1" applyFont="1" applyFill="1" applyBorder="1" applyAlignment="1">
      <alignment horizontal="center" vertical="center"/>
    </xf>
    <xf numFmtId="0" fontId="19" fillId="0" borderId="3" xfId="0" applyFont="1" applyFill="1" applyBorder="1" applyAlignment="1">
      <alignment horizontal="center" vertical="top"/>
    </xf>
    <xf numFmtId="0" fontId="0" fillId="0" borderId="3" xfId="0" applyBorder="1"/>
    <xf numFmtId="0" fontId="0" fillId="0" borderId="3" xfId="0" applyBorder="1" applyAlignment="1">
      <alignment horizontal="center"/>
    </xf>
    <xf numFmtId="1" fontId="9" fillId="0" borderId="0" xfId="0" applyNumberFormat="1" applyFont="1" applyFill="1" applyBorder="1" applyAlignment="1">
      <alignment horizontal="center" vertical="center"/>
    </xf>
    <xf numFmtId="0" fontId="0" fillId="0" borderId="3" xfId="0" applyFill="1" applyBorder="1" applyAlignment="1">
      <alignment horizontal="center"/>
    </xf>
    <xf numFmtId="0" fontId="19" fillId="6" borderId="3" xfId="0" applyFont="1" applyFill="1" applyBorder="1" applyAlignment="1">
      <alignment horizontal="center" vertical="center"/>
    </xf>
    <xf numFmtId="0" fontId="9" fillId="0" borderId="3" xfId="0" applyFont="1" applyBorder="1" applyAlignment="1">
      <alignment horizontal="center" vertical="center"/>
    </xf>
    <xf numFmtId="0" fontId="9" fillId="0" borderId="4" xfId="0" applyFont="1" applyBorder="1" applyAlignment="1">
      <alignment vertical="center"/>
    </xf>
    <xf numFmtId="0" fontId="0" fillId="0" borderId="9" xfId="0" applyBorder="1" applyAlignment="1">
      <alignment vertical="center"/>
    </xf>
    <xf numFmtId="0" fontId="9" fillId="0" borderId="3" xfId="0" applyFont="1" applyBorder="1" applyAlignment="1">
      <alignment vertical="center"/>
    </xf>
    <xf numFmtId="0" fontId="0" fillId="0" borderId="3" xfId="0" applyBorder="1" applyAlignment="1">
      <alignment vertical="center"/>
    </xf>
    <xf numFmtId="0" fontId="9" fillId="0" borderId="10" xfId="0" applyFont="1" applyBorder="1" applyAlignment="1">
      <alignment vertical="center"/>
    </xf>
    <xf numFmtId="0" fontId="9" fillId="0" borderId="9" xfId="0" applyFont="1" applyBorder="1" applyAlignment="1">
      <alignment vertical="center"/>
    </xf>
    <xf numFmtId="0" fontId="19" fillId="4" borderId="3" xfId="0" applyFont="1" applyFill="1" applyBorder="1" applyAlignment="1">
      <alignment horizontal="center" vertical="center"/>
    </xf>
    <xf numFmtId="0" fontId="19" fillId="7" borderId="3" xfId="0" applyFont="1" applyFill="1" applyBorder="1" applyAlignment="1">
      <alignment horizontal="center" vertical="center"/>
    </xf>
    <xf numFmtId="0" fontId="19" fillId="0" borderId="3" xfId="0" applyFont="1" applyBorder="1" applyAlignment="1">
      <alignment horizontal="center" vertical="center"/>
    </xf>
    <xf numFmtId="0" fontId="19" fillId="8" borderId="3" xfId="0" applyFont="1" applyFill="1" applyBorder="1" applyAlignment="1">
      <alignment horizontal="center" vertical="center"/>
    </xf>
    <xf numFmtId="0" fontId="9" fillId="0" borderId="10" xfId="0" applyFont="1" applyFill="1" applyBorder="1" applyAlignment="1">
      <alignment vertical="center"/>
    </xf>
    <xf numFmtId="0" fontId="9" fillId="0" borderId="9" xfId="0" applyFont="1" applyFill="1" applyBorder="1" applyAlignment="1">
      <alignment vertical="center"/>
    </xf>
    <xf numFmtId="0" fontId="19" fillId="9" borderId="3" xfId="0" applyFont="1" applyFill="1" applyBorder="1" applyAlignment="1">
      <alignment horizontal="center" vertical="center"/>
    </xf>
    <xf numFmtId="0" fontId="19" fillId="3" borderId="3" xfId="0" applyFont="1" applyFill="1" applyBorder="1" applyAlignment="1">
      <alignment horizontal="center" vertical="center"/>
    </xf>
    <xf numFmtId="0" fontId="11" fillId="0" borderId="4" xfId="0" applyFont="1" applyBorder="1" applyAlignment="1">
      <alignment vertical="center"/>
    </xf>
    <xf numFmtId="0" fontId="0" fillId="0" borderId="10" xfId="0" applyBorder="1" applyAlignment="1">
      <alignment vertical="center"/>
    </xf>
    <xf numFmtId="0" fontId="19" fillId="5" borderId="3" xfId="0" applyFont="1" applyFill="1" applyBorder="1" applyAlignment="1">
      <alignment horizontal="center" vertical="center"/>
    </xf>
    <xf numFmtId="0" fontId="19" fillId="10" borderId="3" xfId="0" applyFont="1" applyFill="1" applyBorder="1" applyAlignment="1">
      <alignment horizontal="center" vertical="center"/>
    </xf>
    <xf numFmtId="0" fontId="19" fillId="11" borderId="3" xfId="0" applyFont="1" applyFill="1" applyBorder="1" applyAlignment="1">
      <alignment horizontal="center" vertical="center"/>
    </xf>
    <xf numFmtId="0" fontId="19" fillId="12" borderId="3" xfId="0" applyFont="1" applyFill="1" applyBorder="1" applyAlignment="1">
      <alignment horizontal="center" vertical="center"/>
    </xf>
    <xf numFmtId="41" fontId="0" fillId="0" borderId="0" xfId="0" applyNumberFormat="1"/>
    <xf numFmtId="0" fontId="19" fillId="0" borderId="3" xfId="0" applyFont="1" applyFill="1" applyBorder="1" applyAlignment="1">
      <alignment horizontal="center" vertical="center"/>
    </xf>
    <xf numFmtId="3" fontId="19" fillId="13" borderId="3" xfId="0" applyNumberFormat="1" applyFont="1" applyFill="1" applyBorder="1" applyAlignment="1">
      <alignment horizontal="center" vertical="center"/>
    </xf>
    <xf numFmtId="0" fontId="16" fillId="13" borderId="3" xfId="0" applyFont="1" applyFill="1" applyBorder="1" applyAlignment="1">
      <alignment horizontal="center"/>
    </xf>
    <xf numFmtId="0" fontId="16" fillId="14" borderId="3" xfId="0" applyFont="1" applyFill="1" applyBorder="1" applyAlignment="1">
      <alignment horizontal="center"/>
    </xf>
    <xf numFmtId="0" fontId="16" fillId="15" borderId="0" xfId="0" applyFont="1" applyFill="1"/>
    <xf numFmtId="0" fontId="16" fillId="16" borderId="3" xfId="0" applyFont="1" applyFill="1" applyBorder="1" applyAlignment="1">
      <alignment horizontal="center"/>
    </xf>
    <xf numFmtId="9" fontId="0" fillId="0" borderId="0" xfId="8" applyFont="1" applyFill="1"/>
    <xf numFmtId="0" fontId="6" fillId="0" borderId="0" xfId="0" applyFont="1" applyFill="1" applyBorder="1" applyAlignment="1">
      <alignment horizontal="center" vertical="center"/>
    </xf>
    <xf numFmtId="1" fontId="9" fillId="3" borderId="5" xfId="0" applyNumberFormat="1" applyFont="1" applyFill="1" applyBorder="1" applyAlignment="1">
      <alignment horizontal="center" vertical="center"/>
    </xf>
    <xf numFmtId="1" fontId="9" fillId="0" borderId="5" xfId="0" applyNumberFormat="1" applyFont="1" applyFill="1" applyBorder="1" applyAlignment="1">
      <alignment horizontal="center" vertical="center"/>
    </xf>
    <xf numFmtId="1" fontId="9" fillId="3" borderId="8" xfId="0" applyNumberFormat="1" applyFont="1" applyFill="1" applyBorder="1" applyAlignment="1">
      <alignment horizontal="center" vertical="center"/>
    </xf>
    <xf numFmtId="1" fontId="9" fillId="0" borderId="8" xfId="0" applyNumberFormat="1" applyFont="1" applyFill="1" applyBorder="1" applyAlignment="1">
      <alignment horizontal="center" vertical="center"/>
    </xf>
    <xf numFmtId="0" fontId="16" fillId="0" borderId="3" xfId="0" applyFont="1" applyFill="1" applyBorder="1" applyAlignment="1">
      <alignment horizontal="center"/>
    </xf>
    <xf numFmtId="0" fontId="16" fillId="0" borderId="0" xfId="0" applyFont="1" applyFill="1" applyBorder="1"/>
    <xf numFmtId="0" fontId="19" fillId="13" borderId="3" xfId="0" applyFont="1" applyFill="1" applyBorder="1" applyAlignment="1">
      <alignment horizontal="center" vertical="center"/>
    </xf>
    <xf numFmtId="16" fontId="0" fillId="0" borderId="0" xfId="0" applyNumberFormat="1"/>
    <xf numFmtId="0" fontId="16" fillId="0" borderId="0" xfId="4" applyFont="1"/>
    <xf numFmtId="0" fontId="28" fillId="0" borderId="0" xfId="4"/>
    <xf numFmtId="14" fontId="28" fillId="0" borderId="0" xfId="4" applyNumberFormat="1"/>
    <xf numFmtId="14" fontId="16" fillId="0" borderId="0" xfId="4" applyNumberFormat="1" applyFont="1"/>
    <xf numFmtId="0" fontId="28" fillId="2" borderId="0" xfId="4" applyFill="1" applyBorder="1"/>
    <xf numFmtId="0" fontId="0" fillId="17" borderId="0" xfId="0" applyFill="1"/>
    <xf numFmtId="0" fontId="6" fillId="0" borderId="11" xfId="0" applyNumberFormat="1" applyFont="1" applyBorder="1" applyAlignment="1">
      <alignment horizontal="center" vertical="center" wrapText="1"/>
    </xf>
    <xf numFmtId="0" fontId="29" fillId="0" borderId="0" xfId="0" applyFont="1" applyAlignment="1">
      <alignment horizontal="left"/>
    </xf>
    <xf numFmtId="0" fontId="30" fillId="0" borderId="0" xfId="0" applyFont="1" applyAlignment="1">
      <alignment horizontal="left"/>
    </xf>
    <xf numFmtId="1" fontId="13" fillId="0" borderId="0" xfId="0" applyNumberFormat="1" applyFont="1" applyAlignment="1">
      <alignment horizontal="center" vertical="center" wrapText="1"/>
    </xf>
    <xf numFmtId="1" fontId="0" fillId="0" borderId="0" xfId="0" applyNumberFormat="1" applyBorder="1" applyAlignment="1">
      <alignment horizontal="center"/>
    </xf>
    <xf numFmtId="1" fontId="9" fillId="0" borderId="0" xfId="0" applyNumberFormat="1" applyFont="1" applyFill="1" applyBorder="1" applyAlignment="1">
      <alignment horizontal="center" vertical="top"/>
    </xf>
    <xf numFmtId="1" fontId="0" fillId="0" borderId="0" xfId="0" applyNumberFormat="1" applyAlignment="1">
      <alignment horizontal="center"/>
    </xf>
    <xf numFmtId="1" fontId="0" fillId="0" borderId="0" xfId="8" applyNumberFormat="1" applyFont="1" applyFill="1" applyAlignment="1">
      <alignment horizontal="center"/>
    </xf>
    <xf numFmtId="1" fontId="0" fillId="0" borderId="0" xfId="0" applyNumberFormat="1" applyFill="1" applyAlignment="1">
      <alignment horizontal="center"/>
    </xf>
    <xf numFmtId="1" fontId="0" fillId="0" borderId="0" xfId="8" applyNumberFormat="1" applyFont="1" applyAlignment="1">
      <alignment horizontal="center"/>
    </xf>
    <xf numFmtId="0" fontId="16" fillId="0" borderId="0" xfId="0" applyFont="1" applyAlignment="1">
      <alignment horizontal="center"/>
    </xf>
    <xf numFmtId="0" fontId="16" fillId="0" borderId="0" xfId="0" applyFont="1" applyFill="1" applyAlignment="1">
      <alignment horizontal="center"/>
    </xf>
    <xf numFmtId="0" fontId="9" fillId="0" borderId="3" xfId="0" applyFont="1" applyFill="1" applyBorder="1" applyAlignment="1">
      <alignment horizontal="left" vertical="center" wrapText="1"/>
    </xf>
    <xf numFmtId="0" fontId="6" fillId="0" borderId="0" xfId="0" applyFont="1" applyFill="1" applyBorder="1" applyAlignment="1">
      <alignment horizontal="center" vertical="center" wrapText="1"/>
    </xf>
    <xf numFmtId="16" fontId="16" fillId="0" borderId="0" xfId="0" applyNumberFormat="1" applyFont="1"/>
    <xf numFmtId="165" fontId="0" fillId="0" borderId="0" xfId="0" applyNumberFormat="1"/>
    <xf numFmtId="0" fontId="0" fillId="0" borderId="0" xfId="8" applyNumberFormat="1" applyFont="1" applyFill="1"/>
    <xf numFmtId="0" fontId="13" fillId="0" borderId="0" xfId="0" applyFont="1" applyFill="1" applyBorder="1" applyAlignment="1">
      <alignment horizontal="center" vertical="center" wrapText="1"/>
    </xf>
    <xf numFmtId="0" fontId="6" fillId="0" borderId="0" xfId="0" applyFont="1" applyBorder="1" applyAlignment="1">
      <alignment horizontal="left"/>
    </xf>
    <xf numFmtId="9" fontId="30" fillId="0" borderId="0" xfId="8" applyFont="1" applyBorder="1"/>
    <xf numFmtId="0" fontId="10" fillId="0" borderId="0" xfId="0" applyFont="1" applyBorder="1" applyAlignment="1">
      <alignment horizontal="center"/>
    </xf>
    <xf numFmtId="166" fontId="10" fillId="0" borderId="0" xfId="1" applyNumberFormat="1" applyFont="1" applyBorder="1" applyAlignment="1">
      <alignment horizontal="center"/>
    </xf>
    <xf numFmtId="166" fontId="10" fillId="0" borderId="0" xfId="1" applyNumberFormat="1" applyFont="1" applyBorder="1"/>
    <xf numFmtId="166" fontId="0" fillId="0" borderId="0" xfId="1" applyNumberFormat="1" applyFont="1" applyBorder="1" applyAlignment="1">
      <alignment horizontal="center"/>
    </xf>
    <xf numFmtId="9" fontId="0" fillId="0" borderId="0" xfId="8" applyFont="1" applyBorder="1" applyAlignment="1">
      <alignment horizontal="center"/>
    </xf>
    <xf numFmtId="0" fontId="9" fillId="13" borderId="3" xfId="0" applyFont="1" applyFill="1" applyBorder="1" applyAlignment="1">
      <alignment vertical="center"/>
    </xf>
    <xf numFmtId="3" fontId="19" fillId="13" borderId="3" xfId="0" applyNumberFormat="1" applyFont="1" applyFill="1" applyBorder="1" applyAlignment="1">
      <alignment horizontal="center" vertical="top"/>
    </xf>
    <xf numFmtId="3" fontId="19" fillId="18" borderId="3" xfId="0" applyNumberFormat="1" applyFont="1" applyFill="1" applyBorder="1" applyAlignment="1">
      <alignment horizontal="center" vertical="center"/>
    </xf>
    <xf numFmtId="3" fontId="19" fillId="19" borderId="3" xfId="0" applyNumberFormat="1" applyFont="1" applyFill="1" applyBorder="1" applyAlignment="1">
      <alignment horizontal="center" vertical="center"/>
    </xf>
    <xf numFmtId="3" fontId="19" fillId="19" borderId="3" xfId="0" applyNumberFormat="1" applyFont="1" applyFill="1" applyBorder="1" applyAlignment="1">
      <alignment horizontal="center" vertical="top"/>
    </xf>
    <xf numFmtId="0" fontId="16" fillId="19" borderId="3" xfId="0" applyFont="1" applyFill="1" applyBorder="1" applyAlignment="1">
      <alignment horizontal="center"/>
    </xf>
    <xf numFmtId="1" fontId="9" fillId="0" borderId="4" xfId="0" applyNumberFormat="1" applyFont="1" applyFill="1" applyBorder="1" applyAlignment="1">
      <alignment horizontal="center" vertical="center"/>
    </xf>
    <xf numFmtId="1" fontId="9" fillId="0" borderId="3" xfId="0" applyNumberFormat="1" applyFont="1" applyFill="1" applyBorder="1" applyAlignment="1">
      <alignment horizontal="left" vertical="center"/>
    </xf>
    <xf numFmtId="1" fontId="9" fillId="0" borderId="4" xfId="0" applyNumberFormat="1" applyFont="1" applyFill="1" applyBorder="1" applyAlignment="1">
      <alignment horizontal="left" vertical="center"/>
    </xf>
    <xf numFmtId="0" fontId="26" fillId="0" borderId="3" xfId="0" applyFont="1" applyBorder="1" applyAlignment="1">
      <alignment horizontal="left" vertical="center"/>
    </xf>
    <xf numFmtId="0" fontId="19" fillId="19" borderId="3" xfId="0" applyFont="1" applyFill="1" applyBorder="1" applyAlignment="1">
      <alignment horizontal="center" vertical="center"/>
    </xf>
    <xf numFmtId="3" fontId="19" fillId="0" borderId="4" xfId="0" applyNumberFormat="1" applyFont="1" applyFill="1" applyBorder="1" applyAlignment="1">
      <alignment vertical="center"/>
    </xf>
    <xf numFmtId="3" fontId="19" fillId="13" borderId="4" xfId="0" applyNumberFormat="1" applyFont="1" applyFill="1" applyBorder="1" applyAlignment="1">
      <alignment vertical="center"/>
    </xf>
    <xf numFmtId="0" fontId="16" fillId="19" borderId="12" xfId="0" applyFont="1" applyFill="1" applyBorder="1" applyAlignment="1">
      <alignment horizontal="center"/>
    </xf>
    <xf numFmtId="0" fontId="16" fillId="0" borderId="12" xfId="0" applyFont="1" applyFill="1" applyBorder="1" applyAlignment="1">
      <alignment horizontal="center"/>
    </xf>
    <xf numFmtId="0" fontId="16" fillId="13" borderId="12" xfId="0" applyFont="1" applyFill="1" applyBorder="1" applyAlignment="1">
      <alignment horizontal="center"/>
    </xf>
    <xf numFmtId="0" fontId="16" fillId="19" borderId="4" xfId="0" applyFont="1" applyFill="1" applyBorder="1" applyAlignment="1">
      <alignment horizontal="center"/>
    </xf>
    <xf numFmtId="0" fontId="16" fillId="0" borderId="4" xfId="0" applyFont="1" applyFill="1" applyBorder="1" applyAlignment="1">
      <alignment horizontal="center"/>
    </xf>
    <xf numFmtId="0" fontId="19" fillId="19" borderId="12" xfId="0" applyFont="1" applyFill="1" applyBorder="1" applyAlignment="1">
      <alignment horizontal="center" vertical="center"/>
    </xf>
    <xf numFmtId="0" fontId="19" fillId="13" borderId="12" xfId="0" applyFont="1" applyFill="1" applyBorder="1" applyAlignment="1">
      <alignment horizontal="center" vertical="center"/>
    </xf>
    <xf numFmtId="0" fontId="19" fillId="0" borderId="12" xfId="0" applyFont="1" applyFill="1" applyBorder="1" applyAlignment="1">
      <alignment horizontal="center" vertical="center"/>
    </xf>
    <xf numFmtId="3" fontId="19" fillId="0" borderId="4" xfId="0" applyNumberFormat="1" applyFont="1" applyFill="1" applyBorder="1" applyAlignment="1">
      <alignment horizontal="center" vertical="top"/>
    </xf>
    <xf numFmtId="3" fontId="19" fillId="13" borderId="4" xfId="0" applyNumberFormat="1" applyFont="1" applyFill="1" applyBorder="1" applyAlignment="1">
      <alignment horizontal="center" vertical="top"/>
    </xf>
    <xf numFmtId="3" fontId="19" fillId="0" borderId="12" xfId="0" applyNumberFormat="1" applyFont="1" applyFill="1" applyBorder="1" applyAlignment="1">
      <alignment horizontal="center" vertical="center"/>
    </xf>
    <xf numFmtId="3" fontId="19" fillId="13" borderId="12" xfId="0" applyNumberFormat="1" applyFont="1" applyFill="1" applyBorder="1" applyAlignment="1">
      <alignment horizontal="center" vertical="center"/>
    </xf>
    <xf numFmtId="3" fontId="19" fillId="19" borderId="4" xfId="0" applyNumberFormat="1" applyFont="1" applyFill="1" applyBorder="1" applyAlignment="1">
      <alignment horizontal="center" vertical="top"/>
    </xf>
    <xf numFmtId="3" fontId="19" fillId="13" borderId="4" xfId="0" applyNumberFormat="1" applyFont="1" applyFill="1" applyBorder="1" applyAlignment="1">
      <alignment horizontal="center" vertical="center"/>
    </xf>
    <xf numFmtId="0" fontId="19" fillId="13" borderId="4" xfId="0" applyFont="1" applyFill="1" applyBorder="1" applyAlignment="1">
      <alignment horizontal="center" vertical="center"/>
    </xf>
    <xf numFmtId="3" fontId="19" fillId="0" borderId="12" xfId="0" applyNumberFormat="1" applyFont="1" applyFill="1" applyBorder="1" applyAlignment="1">
      <alignment horizontal="center" vertical="top"/>
    </xf>
    <xf numFmtId="3" fontId="19" fillId="0" borderId="13" xfId="0" applyNumberFormat="1" applyFont="1" applyFill="1" applyBorder="1" applyAlignment="1">
      <alignment vertical="center"/>
    </xf>
    <xf numFmtId="3" fontId="19" fillId="0" borderId="9" xfId="0" applyNumberFormat="1" applyFont="1" applyFill="1" applyBorder="1" applyAlignment="1">
      <alignment horizontal="center" vertical="center"/>
    </xf>
    <xf numFmtId="3" fontId="19" fillId="0" borderId="14" xfId="0" applyNumberFormat="1" applyFont="1" applyFill="1" applyBorder="1" applyAlignment="1">
      <alignment horizontal="center" vertical="center"/>
    </xf>
    <xf numFmtId="0" fontId="19" fillId="0" borderId="9" xfId="0" applyFont="1" applyFill="1" applyBorder="1" applyAlignment="1">
      <alignment horizontal="center" vertical="center"/>
    </xf>
    <xf numFmtId="3" fontId="19" fillId="18" borderId="9" xfId="0" applyNumberFormat="1" applyFont="1" applyFill="1" applyBorder="1" applyAlignment="1">
      <alignment horizontal="center" vertical="center"/>
    </xf>
    <xf numFmtId="3" fontId="19" fillId="19" borderId="9" xfId="0" applyNumberFormat="1" applyFont="1" applyFill="1" applyBorder="1" applyAlignment="1">
      <alignment horizontal="center" vertical="center"/>
    </xf>
    <xf numFmtId="0" fontId="16" fillId="0" borderId="9" xfId="0" applyFont="1" applyFill="1" applyBorder="1" applyAlignment="1">
      <alignment horizontal="center"/>
    </xf>
    <xf numFmtId="3" fontId="19" fillId="0" borderId="15" xfId="0" applyNumberFormat="1" applyFont="1" applyFill="1" applyBorder="1" applyAlignment="1">
      <alignment horizontal="center" vertical="center"/>
    </xf>
    <xf numFmtId="3" fontId="19" fillId="0" borderId="16" xfId="0" applyNumberFormat="1" applyFont="1" applyFill="1" applyBorder="1" applyAlignment="1">
      <alignment horizontal="center" vertical="center"/>
    </xf>
    <xf numFmtId="3" fontId="19" fillId="0" borderId="17" xfId="0" applyNumberFormat="1" applyFont="1" applyFill="1" applyBorder="1" applyAlignment="1">
      <alignment horizontal="center" vertical="center"/>
    </xf>
    <xf numFmtId="0" fontId="16" fillId="0" borderId="15" xfId="0" applyFont="1" applyFill="1" applyBorder="1" applyAlignment="1">
      <alignment horizontal="center"/>
    </xf>
    <xf numFmtId="3" fontId="19" fillId="0" borderId="12" xfId="0" applyNumberFormat="1" applyFont="1" applyFill="1" applyBorder="1" applyAlignment="1">
      <alignment vertical="center"/>
    </xf>
    <xf numFmtId="0" fontId="19" fillId="0" borderId="15" xfId="0" applyFont="1" applyFill="1" applyBorder="1" applyAlignment="1">
      <alignment horizontal="center" vertical="center"/>
    </xf>
    <xf numFmtId="3" fontId="19" fillId="19" borderId="15" xfId="0" applyNumberFormat="1" applyFont="1" applyFill="1" applyBorder="1" applyAlignment="1">
      <alignment horizontal="center" vertical="center"/>
    </xf>
    <xf numFmtId="3" fontId="19" fillId="18" borderId="4" xfId="0" applyNumberFormat="1" applyFont="1" applyFill="1" applyBorder="1" applyAlignment="1">
      <alignment horizontal="center" vertical="center"/>
    </xf>
    <xf numFmtId="0" fontId="19" fillId="0" borderId="4" xfId="0" applyFont="1" applyFill="1" applyBorder="1" applyAlignment="1">
      <alignment horizontal="center" vertical="top"/>
    </xf>
    <xf numFmtId="0" fontId="19" fillId="0" borderId="4" xfId="0" applyFont="1" applyFill="1" applyBorder="1" applyAlignment="1">
      <alignment horizontal="center" vertical="center"/>
    </xf>
    <xf numFmtId="3" fontId="19" fillId="18" borderId="12" xfId="0" applyNumberFormat="1" applyFont="1" applyFill="1" applyBorder="1" applyAlignment="1">
      <alignment horizontal="center" vertical="center"/>
    </xf>
    <xf numFmtId="0" fontId="9" fillId="0" borderId="0" xfId="0" applyFont="1"/>
    <xf numFmtId="0" fontId="16" fillId="15" borderId="3" xfId="0" applyFont="1" applyFill="1" applyBorder="1" applyAlignment="1">
      <alignment horizontal="center"/>
    </xf>
    <xf numFmtId="0" fontId="0" fillId="20" borderId="3" xfId="0" applyFill="1" applyBorder="1"/>
    <xf numFmtId="0" fontId="9" fillId="0" borderId="0" xfId="0" applyFont="1" applyAlignment="1">
      <alignment wrapText="1"/>
    </xf>
    <xf numFmtId="0" fontId="27" fillId="5" borderId="0" xfId="0" applyFont="1" applyFill="1" applyAlignment="1">
      <alignment wrapText="1"/>
    </xf>
    <xf numFmtId="3" fontId="13" fillId="0" borderId="0" xfId="0" applyNumberFormat="1" applyFont="1" applyBorder="1" applyAlignment="1">
      <alignment horizontal="center" vertical="center" wrapText="1"/>
    </xf>
    <xf numFmtId="0" fontId="13" fillId="0" borderId="0" xfId="0" applyFont="1" applyBorder="1" applyAlignment="1">
      <alignment horizontal="center" vertical="top" wrapText="1"/>
    </xf>
    <xf numFmtId="0" fontId="9" fillId="0" borderId="0" xfId="0" applyFont="1" applyFill="1" applyBorder="1" applyAlignment="1">
      <alignment horizontal="center" vertical="center" wrapText="1"/>
    </xf>
    <xf numFmtId="0" fontId="26" fillId="0" borderId="0" xfId="0" applyFont="1" applyBorder="1" applyAlignment="1">
      <alignment horizontal="center" vertical="center"/>
    </xf>
    <xf numFmtId="0" fontId="0" fillId="3" borderId="3" xfId="0" applyFill="1" applyBorder="1"/>
    <xf numFmtId="0" fontId="8" fillId="0" borderId="3" xfId="0" applyFont="1" applyBorder="1"/>
    <xf numFmtId="0" fontId="13" fillId="0" borderId="3" xfId="0" applyFont="1" applyBorder="1" applyAlignment="1">
      <alignment horizontal="center" vertical="top" wrapText="1"/>
    </xf>
    <xf numFmtId="0" fontId="26" fillId="0" borderId="4" xfId="0" applyFont="1" applyBorder="1" applyAlignment="1">
      <alignment horizontal="left" vertical="center"/>
    </xf>
    <xf numFmtId="1" fontId="9" fillId="0" borderId="5" xfId="0" applyNumberFormat="1" applyFont="1" applyFill="1" applyBorder="1" applyAlignment="1">
      <alignment horizontal="left" vertical="center"/>
    </xf>
    <xf numFmtId="0" fontId="0" fillId="0" borderId="3" xfId="0" applyFill="1" applyBorder="1"/>
    <xf numFmtId="0" fontId="13" fillId="0" borderId="3" xfId="0" applyFont="1" applyFill="1" applyBorder="1" applyAlignment="1">
      <alignment horizontal="center" vertical="top" wrapText="1"/>
    </xf>
    <xf numFmtId="0" fontId="13" fillId="0" borderId="3" xfId="0" applyFont="1" applyBorder="1" applyAlignment="1">
      <alignment horizontal="center" vertical="center" wrapText="1"/>
    </xf>
    <xf numFmtId="0" fontId="0" fillId="0" borderId="4" xfId="0" applyFill="1" applyBorder="1"/>
    <xf numFmtId="0" fontId="13" fillId="0" borderId="4" xfId="0" applyFont="1" applyBorder="1" applyAlignment="1">
      <alignment horizontal="center" vertical="center" wrapText="1"/>
    </xf>
    <xf numFmtId="0" fontId="0" fillId="0" borderId="12" xfId="0" applyFill="1" applyBorder="1"/>
    <xf numFmtId="0" fontId="13" fillId="0" borderId="12" xfId="0" applyFont="1" applyBorder="1" applyAlignment="1">
      <alignment horizontal="center" vertical="center" wrapText="1"/>
    </xf>
    <xf numFmtId="0" fontId="0" fillId="0" borderId="4" xfId="0" applyBorder="1" applyAlignment="1">
      <alignment vertical="top"/>
    </xf>
    <xf numFmtId="0" fontId="9" fillId="0" borderId="12" xfId="0" applyFont="1" applyFill="1" applyBorder="1" applyAlignment="1">
      <alignment vertical="center"/>
    </xf>
    <xf numFmtId="0" fontId="0" fillId="0" borderId="12" xfId="0" applyBorder="1" applyAlignment="1">
      <alignment vertical="top"/>
    </xf>
    <xf numFmtId="0" fontId="0" fillId="0" borderId="3" xfId="0" applyBorder="1" applyAlignment="1">
      <alignment vertical="top"/>
    </xf>
    <xf numFmtId="0" fontId="9" fillId="0" borderId="12" xfId="0" applyFont="1" applyBorder="1" applyAlignment="1">
      <alignment horizontal="center" vertical="top"/>
    </xf>
    <xf numFmtId="0" fontId="6" fillId="0" borderId="3" xfId="0" applyFont="1" applyFill="1" applyBorder="1" applyAlignment="1">
      <alignment horizontal="center" vertical="center"/>
    </xf>
    <xf numFmtId="0" fontId="9" fillId="0" borderId="3" xfId="0" applyFont="1" applyBorder="1" applyAlignment="1">
      <alignment vertical="top"/>
    </xf>
    <xf numFmtId="0" fontId="6" fillId="0" borderId="4" xfId="0" applyFont="1" applyFill="1" applyBorder="1" applyAlignment="1">
      <alignment horizontal="center" vertical="center"/>
    </xf>
    <xf numFmtId="0" fontId="0" fillId="0" borderId="4" xfId="0" applyBorder="1"/>
    <xf numFmtId="0" fontId="6" fillId="0" borderId="12" xfId="0" applyFont="1" applyFill="1" applyBorder="1" applyAlignment="1">
      <alignment horizontal="center" vertical="center"/>
    </xf>
    <xf numFmtId="0" fontId="0" fillId="0" borderId="12" xfId="0" applyBorder="1"/>
    <xf numFmtId="0" fontId="12" fillId="0" borderId="3" xfId="0" applyFont="1" applyBorder="1"/>
    <xf numFmtId="0" fontId="0" fillId="0" borderId="12" xfId="0" applyBorder="1" applyAlignment="1">
      <alignment horizontal="center"/>
    </xf>
    <xf numFmtId="0" fontId="16" fillId="0" borderId="0" xfId="0" applyFont="1" applyFill="1" applyBorder="1" applyAlignment="1">
      <alignment horizontal="center"/>
    </xf>
    <xf numFmtId="0" fontId="16" fillId="0" borderId="16" xfId="0" applyFont="1" applyFill="1" applyBorder="1" applyAlignment="1">
      <alignment horizontal="center"/>
    </xf>
    <xf numFmtId="0" fontId="16" fillId="0" borderId="8" xfId="0" applyFont="1" applyFill="1" applyBorder="1" applyAlignment="1">
      <alignment horizontal="center"/>
    </xf>
    <xf numFmtId="0" fontId="9" fillId="0" borderId="15" xfId="0" applyFont="1" applyFill="1" applyBorder="1" applyAlignment="1">
      <alignment vertical="center"/>
    </xf>
    <xf numFmtId="0" fontId="13" fillId="0" borderId="15" xfId="0" applyFont="1" applyBorder="1" applyAlignment="1">
      <alignment horizontal="center" vertical="center" wrapText="1"/>
    </xf>
    <xf numFmtId="0" fontId="0" fillId="0" borderId="15" xfId="0" applyBorder="1" applyAlignment="1">
      <alignment vertical="top"/>
    </xf>
    <xf numFmtId="0" fontId="6" fillId="0" borderId="15" xfId="0" applyFont="1" applyFill="1" applyBorder="1" applyAlignment="1">
      <alignment horizontal="center" vertical="center"/>
    </xf>
    <xf numFmtId="0" fontId="16" fillId="0" borderId="17" xfId="0" applyFont="1" applyFill="1" applyBorder="1" applyAlignment="1">
      <alignment horizontal="center"/>
    </xf>
    <xf numFmtId="0" fontId="13" fillId="0" borderId="9" xfId="0" applyFont="1" applyBorder="1" applyAlignment="1">
      <alignment horizontal="center" vertical="center" wrapText="1"/>
    </xf>
    <xf numFmtId="0" fontId="0" fillId="0" borderId="9" xfId="0" applyBorder="1" applyAlignment="1">
      <alignment vertical="top"/>
    </xf>
    <xf numFmtId="0" fontId="6" fillId="0" borderId="9" xfId="0" applyFont="1" applyFill="1" applyBorder="1" applyAlignment="1">
      <alignment horizontal="center" vertical="center"/>
    </xf>
    <xf numFmtId="0" fontId="16" fillId="0" borderId="3" xfId="0" applyFont="1" applyFill="1" applyBorder="1"/>
    <xf numFmtId="3" fontId="19" fillId="0" borderId="8" xfId="0" applyNumberFormat="1" applyFont="1" applyFill="1" applyBorder="1" applyAlignment="1">
      <alignment horizontal="center" vertical="top"/>
    </xf>
    <xf numFmtId="3" fontId="19" fillId="0" borderId="13" xfId="0" applyNumberFormat="1" applyFont="1" applyFill="1" applyBorder="1" applyAlignment="1">
      <alignment horizontal="center" vertical="top"/>
    </xf>
    <xf numFmtId="0" fontId="10" fillId="0" borderId="3" xfId="0" applyFont="1" applyFill="1" applyBorder="1" applyAlignment="1">
      <alignment horizontal="center" vertical="center"/>
    </xf>
    <xf numFmtId="0" fontId="0" fillId="0" borderId="15" xfId="0" applyBorder="1"/>
    <xf numFmtId="0" fontId="10" fillId="0" borderId="15" xfId="0" applyFont="1" applyFill="1" applyBorder="1" applyAlignment="1">
      <alignment horizontal="center" vertical="center"/>
    </xf>
    <xf numFmtId="0" fontId="0" fillId="0" borderId="9" xfId="0" applyBorder="1"/>
    <xf numFmtId="0" fontId="10" fillId="0" borderId="9" xfId="0" applyFont="1" applyFill="1" applyBorder="1" applyAlignment="1">
      <alignment horizontal="center" vertical="center"/>
    </xf>
    <xf numFmtId="0" fontId="19" fillId="0" borderId="8" xfId="0" applyFont="1" applyFill="1" applyBorder="1" applyAlignment="1">
      <alignment horizontal="center" vertical="center"/>
    </xf>
    <xf numFmtId="0" fontId="19" fillId="0" borderId="14" xfId="0" applyFont="1" applyFill="1" applyBorder="1" applyAlignment="1">
      <alignment horizontal="center" vertical="center"/>
    </xf>
    <xf numFmtId="0" fontId="9" fillId="0" borderId="0" xfId="0" applyFont="1" applyFill="1" applyBorder="1" applyAlignment="1">
      <alignment horizontal="center" vertical="center"/>
    </xf>
    <xf numFmtId="0" fontId="9" fillId="0" borderId="0" xfId="0" applyFont="1" applyAlignment="1">
      <alignment horizontal="center" vertical="center"/>
    </xf>
    <xf numFmtId="3" fontId="0" fillId="0" borderId="0" xfId="0" applyNumberFormat="1" applyFill="1" applyAlignment="1">
      <alignment horizontal="center" vertical="center"/>
    </xf>
    <xf numFmtId="0" fontId="11" fillId="0" borderId="0" xfId="0" applyFont="1" applyAlignment="1">
      <alignment horizontal="center" vertical="center"/>
    </xf>
    <xf numFmtId="0" fontId="0" fillId="0" borderId="0" xfId="0" applyFill="1" applyAlignment="1">
      <alignment horizontal="center" vertical="center"/>
    </xf>
    <xf numFmtId="0" fontId="13" fillId="0" borderId="18" xfId="0" applyFont="1" applyBorder="1" applyAlignment="1">
      <alignment horizontal="center" vertical="center" wrapText="1"/>
    </xf>
    <xf numFmtId="3" fontId="13" fillId="0" borderId="18" xfId="0" applyNumberFormat="1" applyFont="1" applyBorder="1" applyAlignment="1">
      <alignment horizontal="center" vertical="center" wrapText="1"/>
    </xf>
    <xf numFmtId="1" fontId="0" fillId="0" borderId="19" xfId="0" applyNumberFormat="1" applyFill="1" applyBorder="1" applyAlignment="1">
      <alignment horizontal="center"/>
    </xf>
    <xf numFmtId="0" fontId="0" fillId="0" borderId="19" xfId="0" applyFill="1" applyBorder="1"/>
    <xf numFmtId="14" fontId="0" fillId="0" borderId="0" xfId="0" applyNumberFormat="1" applyBorder="1" applyAlignment="1">
      <alignment horizontal="center" vertical="center"/>
    </xf>
    <xf numFmtId="9" fontId="0" fillId="0" borderId="0" xfId="8" applyFont="1" applyBorder="1" applyAlignment="1">
      <alignment horizontal="center" vertical="center"/>
    </xf>
    <xf numFmtId="9" fontId="0" fillId="0" borderId="0" xfId="8" applyFont="1" applyAlignment="1">
      <alignment horizontal="center" vertical="center"/>
    </xf>
    <xf numFmtId="0" fontId="0" fillId="0" borderId="19" xfId="0" applyFill="1" applyBorder="1" applyAlignment="1">
      <alignment horizontal="center" vertical="center"/>
    </xf>
    <xf numFmtId="3" fontId="0" fillId="0" borderId="0" xfId="0" applyNumberFormat="1" applyAlignment="1">
      <alignment horizontal="center" vertical="center"/>
    </xf>
    <xf numFmtId="165" fontId="0" fillId="0" borderId="0" xfId="1" applyNumberFormat="1" applyFont="1" applyBorder="1"/>
    <xf numFmtId="165" fontId="13" fillId="0" borderId="18" xfId="1" applyNumberFormat="1" applyFont="1" applyBorder="1" applyAlignment="1">
      <alignment horizontal="center" vertical="center" wrapText="1"/>
    </xf>
    <xf numFmtId="165" fontId="16" fillId="0" borderId="0" xfId="1" applyNumberFormat="1" applyFont="1" applyFill="1" applyBorder="1" applyAlignment="1">
      <alignment horizontal="center" vertical="center"/>
    </xf>
    <xf numFmtId="165" fontId="0" fillId="0" borderId="19" xfId="1" applyNumberFormat="1" applyFont="1" applyFill="1" applyBorder="1"/>
    <xf numFmtId="165" fontId="0" fillId="0" borderId="0" xfId="1" applyNumberFormat="1" applyFont="1" applyFill="1"/>
    <xf numFmtId="0" fontId="8" fillId="0" borderId="0" xfId="0" applyFont="1" applyBorder="1" applyAlignment="1">
      <alignment horizontal="center" vertical="center"/>
    </xf>
    <xf numFmtId="0" fontId="0" fillId="0" borderId="0" xfId="0" applyBorder="1" applyAlignment="1">
      <alignment horizontal="center" vertical="center"/>
    </xf>
    <xf numFmtId="165" fontId="14" fillId="0" borderId="0" xfId="1" applyNumberFormat="1" applyFont="1" applyFill="1" applyBorder="1" applyAlignment="1">
      <alignment horizontal="center" vertical="center"/>
    </xf>
    <xf numFmtId="3" fontId="14" fillId="0" borderId="0" xfId="0" applyNumberFormat="1" applyFont="1" applyFill="1" applyAlignment="1">
      <alignment horizontal="center" vertical="center"/>
    </xf>
    <xf numFmtId="0" fontId="14" fillId="0" borderId="0" xfId="0" applyFont="1" applyFill="1" applyAlignment="1">
      <alignment horizontal="center" vertical="center"/>
    </xf>
    <xf numFmtId="1" fontId="14" fillId="0" borderId="0" xfId="0" applyNumberFormat="1" applyFont="1" applyFill="1" applyAlignment="1">
      <alignment horizontal="center" vertical="center"/>
    </xf>
    <xf numFmtId="1" fontId="14" fillId="0" borderId="0" xfId="0" applyNumberFormat="1" applyFont="1" applyAlignment="1">
      <alignment horizontal="center" vertical="center"/>
    </xf>
    <xf numFmtId="3" fontId="14" fillId="0" borderId="0" xfId="0" applyNumberFormat="1" applyFont="1" applyAlignment="1">
      <alignment horizontal="center" vertical="center"/>
    </xf>
    <xf numFmtId="0" fontId="14" fillId="0" borderId="0" xfId="0" applyFont="1" applyFill="1" applyBorder="1" applyAlignment="1">
      <alignment horizontal="center" vertical="center"/>
    </xf>
    <xf numFmtId="0" fontId="14" fillId="0" borderId="0" xfId="0" applyFont="1" applyAlignment="1">
      <alignment horizontal="center" vertical="center"/>
    </xf>
    <xf numFmtId="9" fontId="14" fillId="0" borderId="0" xfId="8" applyFont="1" applyAlignment="1">
      <alignment horizontal="center" vertical="center"/>
    </xf>
    <xf numFmtId="165" fontId="14" fillId="0" borderId="0" xfId="1" applyNumberFormat="1" applyFont="1" applyAlignment="1">
      <alignment horizontal="center" vertical="center"/>
    </xf>
    <xf numFmtId="0" fontId="13" fillId="0" borderId="2" xfId="0" quotePrefix="1" applyFont="1" applyBorder="1" applyAlignment="1">
      <alignment horizontal="center" vertical="center" wrapText="1"/>
    </xf>
    <xf numFmtId="0" fontId="15" fillId="0" borderId="2" xfId="0" applyFont="1" applyBorder="1" applyAlignment="1">
      <alignment horizontal="center" vertical="center" wrapText="1"/>
    </xf>
    <xf numFmtId="0" fontId="13" fillId="0" borderId="20" xfId="0" quotePrefix="1" applyFont="1" applyBorder="1" applyAlignment="1">
      <alignment horizontal="center" vertical="center" wrapText="1"/>
    </xf>
    <xf numFmtId="0" fontId="14" fillId="0" borderId="20" xfId="0" applyFont="1" applyBorder="1" applyAlignment="1">
      <alignment horizontal="center" vertical="center" wrapText="1"/>
    </xf>
    <xf numFmtId="0" fontId="13" fillId="0" borderId="21" xfId="0" quotePrefix="1" applyFont="1" applyBorder="1" applyAlignment="1">
      <alignment horizontal="center" vertical="center" wrapText="1"/>
    </xf>
    <xf numFmtId="0" fontId="15" fillId="0" borderId="21" xfId="0" applyFont="1" applyBorder="1" applyAlignment="1">
      <alignment horizontal="center" vertical="center" wrapText="1"/>
    </xf>
    <xf numFmtId="0" fontId="15" fillId="0" borderId="20" xfId="0" applyFont="1" applyBorder="1" applyAlignment="1">
      <alignment horizontal="center" vertical="center" wrapText="1"/>
    </xf>
    <xf numFmtId="0" fontId="13" fillId="0" borderId="6" xfId="0" quotePrefix="1" applyFont="1" applyBorder="1" applyAlignment="1">
      <alignment horizontal="center" vertical="center" wrapText="1"/>
    </xf>
    <xf numFmtId="0" fontId="15" fillId="0" borderId="6" xfId="0" applyFont="1" applyBorder="1" applyAlignment="1">
      <alignment horizontal="center" vertical="center" wrapText="1"/>
    </xf>
    <xf numFmtId="0" fontId="13" fillId="0" borderId="7" xfId="0" quotePrefix="1" applyFont="1" applyBorder="1" applyAlignment="1">
      <alignment horizontal="center" vertical="center" wrapText="1"/>
    </xf>
    <xf numFmtId="0" fontId="15" fillId="0" borderId="7" xfId="0" applyFont="1" applyBorder="1" applyAlignment="1">
      <alignment horizontal="center" vertical="center" wrapText="1"/>
    </xf>
    <xf numFmtId="0" fontId="13" fillId="0" borderId="22" xfId="0" quotePrefix="1" applyFont="1" applyBorder="1" applyAlignment="1">
      <alignment horizontal="center" vertical="center" wrapText="1"/>
    </xf>
    <xf numFmtId="0" fontId="15" fillId="0" borderId="22" xfId="0" applyFont="1" applyBorder="1" applyAlignment="1">
      <alignment horizontal="center" vertical="center" wrapText="1"/>
    </xf>
    <xf numFmtId="3" fontId="19" fillId="0" borderId="23" xfId="0" applyNumberFormat="1" applyFont="1" applyFill="1" applyBorder="1" applyAlignment="1">
      <alignment horizontal="center" vertical="top"/>
    </xf>
    <xf numFmtId="3" fontId="19" fillId="0" borderId="13" xfId="0" applyNumberFormat="1" applyFont="1" applyFill="1" applyBorder="1" applyAlignment="1">
      <alignment horizontal="center" vertical="center"/>
    </xf>
    <xf numFmtId="3" fontId="19" fillId="0" borderId="23" xfId="0" applyNumberFormat="1" applyFont="1" applyFill="1" applyBorder="1" applyAlignment="1">
      <alignment horizontal="center" vertical="center"/>
    </xf>
    <xf numFmtId="3" fontId="19" fillId="13" borderId="12" xfId="0" applyNumberFormat="1" applyFont="1" applyFill="1" applyBorder="1" applyAlignment="1">
      <alignment horizontal="center" vertical="top"/>
    </xf>
    <xf numFmtId="0" fontId="41" fillId="0" borderId="0" xfId="0" applyFont="1" applyFill="1"/>
    <xf numFmtId="0" fontId="13" fillId="0" borderId="0" xfId="0" quotePrefix="1" applyFont="1" applyBorder="1" applyAlignment="1">
      <alignment horizontal="center" vertical="center" wrapText="1"/>
    </xf>
    <xf numFmtId="2" fontId="0" fillId="0" borderId="0" xfId="8" applyNumberFormat="1" applyFont="1" applyFill="1"/>
    <xf numFmtId="0" fontId="0" fillId="0" borderId="0" xfId="0" applyFill="1" applyBorder="1"/>
    <xf numFmtId="3" fontId="19" fillId="13" borderId="4" xfId="1" applyNumberFormat="1" applyFont="1" applyFill="1" applyBorder="1" applyAlignment="1">
      <alignment horizontal="center" vertical="center"/>
    </xf>
    <xf numFmtId="3" fontId="19" fillId="13" borderId="12" xfId="1" applyNumberFormat="1" applyFont="1" applyFill="1" applyBorder="1" applyAlignment="1">
      <alignment horizontal="center" vertical="center"/>
    </xf>
    <xf numFmtId="3" fontId="19" fillId="13" borderId="3" xfId="1" applyNumberFormat="1" applyFont="1" applyFill="1" applyBorder="1" applyAlignment="1">
      <alignment horizontal="center" vertical="center"/>
    </xf>
    <xf numFmtId="3" fontId="19" fillId="21" borderId="12" xfId="0" applyNumberFormat="1" applyFont="1" applyFill="1" applyBorder="1" applyAlignment="1">
      <alignment horizontal="center" vertical="top"/>
    </xf>
    <xf numFmtId="3" fontId="19" fillId="21" borderId="12" xfId="0" applyNumberFormat="1" applyFont="1" applyFill="1" applyBorder="1" applyAlignment="1">
      <alignment horizontal="center" vertical="center"/>
    </xf>
    <xf numFmtId="0" fontId="16" fillId="0" borderId="13" xfId="0" applyFont="1" applyFill="1" applyBorder="1" applyAlignment="1">
      <alignment horizontal="center"/>
    </xf>
    <xf numFmtId="0" fontId="11" fillId="0" borderId="0" xfId="0" applyFont="1" applyFill="1"/>
    <xf numFmtId="0" fontId="0" fillId="0" borderId="15" xfId="0" applyFill="1" applyBorder="1"/>
    <xf numFmtId="3" fontId="19" fillId="0" borderId="9" xfId="0" applyNumberFormat="1" applyFont="1" applyFill="1" applyBorder="1" applyAlignment="1">
      <alignment horizontal="center" vertical="top"/>
    </xf>
    <xf numFmtId="3" fontId="19" fillId="13" borderId="15" xfId="0" applyNumberFormat="1" applyFont="1" applyFill="1" applyBorder="1" applyAlignment="1">
      <alignment horizontal="center" vertical="center"/>
    </xf>
    <xf numFmtId="0" fontId="16" fillId="13" borderId="9" xfId="0" applyFont="1" applyFill="1" applyBorder="1" applyAlignment="1">
      <alignment horizontal="center"/>
    </xf>
    <xf numFmtId="0" fontId="16" fillId="19" borderId="3" xfId="0" applyFont="1" applyFill="1" applyBorder="1"/>
    <xf numFmtId="3" fontId="14" fillId="0" borderId="0" xfId="1" applyNumberFormat="1" applyFont="1" applyFill="1" applyBorder="1" applyAlignment="1">
      <alignment horizontal="center" vertical="center"/>
    </xf>
    <xf numFmtId="0" fontId="14" fillId="0" borderId="0" xfId="0" quotePrefix="1" applyFont="1" applyFill="1" applyAlignment="1">
      <alignment horizontal="center" vertical="center"/>
    </xf>
    <xf numFmtId="1" fontId="14" fillId="0" borderId="0" xfId="0" quotePrefix="1" applyNumberFormat="1" applyFont="1" applyAlignment="1">
      <alignment horizontal="center" vertical="center"/>
    </xf>
    <xf numFmtId="3" fontId="14" fillId="0" borderId="0" xfId="0" quotePrefix="1" applyNumberFormat="1" applyFont="1" applyAlignment="1">
      <alignment horizontal="center" vertical="center"/>
    </xf>
    <xf numFmtId="3" fontId="14" fillId="0" borderId="0" xfId="0" quotePrefix="1" applyNumberFormat="1" applyFont="1" applyFill="1" applyAlignment="1">
      <alignment horizontal="center" vertical="center"/>
    </xf>
    <xf numFmtId="0" fontId="14" fillId="0" borderId="0" xfId="0" quotePrefix="1" applyFont="1" applyAlignment="1">
      <alignment horizontal="center" vertical="center"/>
    </xf>
    <xf numFmtId="0" fontId="16" fillId="0" borderId="0" xfId="0" applyFont="1" applyAlignment="1">
      <alignment horizontal="left"/>
    </xf>
    <xf numFmtId="0" fontId="42" fillId="0" borderId="0" xfId="0" applyFont="1" applyFill="1"/>
    <xf numFmtId="0" fontId="35" fillId="0" borderId="0" xfId="0" applyFont="1" applyAlignment="1">
      <alignment horizontal="left"/>
    </xf>
    <xf numFmtId="0" fontId="9" fillId="0" borderId="0" xfId="0" applyFont="1" applyBorder="1" applyAlignment="1">
      <alignment vertical="center"/>
    </xf>
    <xf numFmtId="0" fontId="0" fillId="0" borderId="0" xfId="0" applyBorder="1" applyAlignment="1">
      <alignment vertical="center"/>
    </xf>
    <xf numFmtId="0" fontId="9" fillId="4" borderId="3" xfId="0" applyFont="1" applyFill="1" applyBorder="1" applyAlignment="1">
      <alignment horizontal="center" vertical="center"/>
    </xf>
    <xf numFmtId="0" fontId="9" fillId="9" borderId="3" xfId="0" applyFont="1" applyFill="1" applyBorder="1" applyAlignment="1">
      <alignment horizontal="center" vertical="center"/>
    </xf>
    <xf numFmtId="0" fontId="9" fillId="22" borderId="3" xfId="0" applyFont="1" applyFill="1" applyBorder="1" applyAlignment="1">
      <alignment horizontal="center" vertical="center"/>
    </xf>
    <xf numFmtId="0" fontId="9" fillId="6" borderId="3" xfId="0" applyFont="1" applyFill="1" applyBorder="1" applyAlignment="1">
      <alignment horizontal="center" vertical="center"/>
    </xf>
    <xf numFmtId="0" fontId="9" fillId="13" borderId="3" xfId="0" applyFont="1" applyFill="1" applyBorder="1" applyAlignment="1">
      <alignment horizontal="center"/>
    </xf>
    <xf numFmtId="0" fontId="9" fillId="10" borderId="3" xfId="0" applyFont="1" applyFill="1" applyBorder="1" applyAlignment="1">
      <alignment horizontal="center" vertical="center"/>
    </xf>
    <xf numFmtId="0" fontId="9" fillId="5" borderId="3" xfId="0" applyFont="1" applyFill="1" applyBorder="1" applyAlignment="1">
      <alignment horizontal="center" vertical="center"/>
    </xf>
    <xf numFmtId="0" fontId="9" fillId="7" borderId="3" xfId="0" applyFont="1" applyFill="1" applyBorder="1" applyAlignment="1">
      <alignment horizontal="center" vertical="center"/>
    </xf>
    <xf numFmtId="0" fontId="9" fillId="0" borderId="0" xfId="0" applyFont="1" applyBorder="1"/>
    <xf numFmtId="1" fontId="9" fillId="0" borderId="0" xfId="0" applyNumberFormat="1" applyFont="1" applyAlignment="1">
      <alignment horizontal="left"/>
    </xf>
    <xf numFmtId="3" fontId="19" fillId="0" borderId="5" xfId="0" applyNumberFormat="1" applyFont="1" applyFill="1" applyBorder="1" applyAlignment="1">
      <alignment horizontal="center" vertical="center"/>
    </xf>
    <xf numFmtId="0" fontId="15" fillId="0" borderId="24" xfId="0" applyFont="1" applyBorder="1" applyAlignment="1">
      <alignment horizontal="center" vertical="center" wrapText="1"/>
    </xf>
    <xf numFmtId="165" fontId="16" fillId="0" borderId="0" xfId="1" applyNumberFormat="1" applyFont="1"/>
    <xf numFmtId="0" fontId="19" fillId="23" borderId="3" xfId="0" applyFont="1" applyFill="1" applyBorder="1" applyAlignment="1">
      <alignment horizontal="center" vertical="center"/>
    </xf>
    <xf numFmtId="0" fontId="19" fillId="21" borderId="3" xfId="0" applyFont="1" applyFill="1" applyBorder="1" applyAlignment="1">
      <alignment horizontal="center" vertical="center"/>
    </xf>
    <xf numFmtId="3" fontId="19" fillId="0" borderId="5" xfId="0" applyNumberFormat="1" applyFont="1" applyFill="1" applyBorder="1" applyAlignment="1">
      <alignment horizontal="center" vertical="top"/>
    </xf>
    <xf numFmtId="3" fontId="19" fillId="0" borderId="26" xfId="0" applyNumberFormat="1" applyFont="1" applyFill="1" applyBorder="1" applyAlignment="1">
      <alignment horizontal="center" vertical="top"/>
    </xf>
    <xf numFmtId="0" fontId="19" fillId="0" borderId="16" xfId="0" applyFont="1" applyFill="1" applyBorder="1" applyAlignment="1">
      <alignment horizontal="center" vertical="center"/>
    </xf>
    <xf numFmtId="0" fontId="16" fillId="0" borderId="5" xfId="0" applyFont="1" applyFill="1" applyBorder="1" applyAlignment="1">
      <alignment horizontal="center"/>
    </xf>
    <xf numFmtId="3" fontId="19" fillId="0" borderId="0" xfId="0" applyNumberFormat="1" applyFont="1" applyFill="1" applyBorder="1" applyAlignment="1">
      <alignment horizontal="center" vertical="center"/>
    </xf>
    <xf numFmtId="0" fontId="9" fillId="25" borderId="0" xfId="0" applyFont="1" applyFill="1"/>
    <xf numFmtId="3" fontId="16" fillId="0" borderId="3" xfId="0" applyNumberFormat="1" applyFont="1" applyFill="1" applyBorder="1" applyAlignment="1">
      <alignment horizontal="center"/>
    </xf>
    <xf numFmtId="0" fontId="16" fillId="25" borderId="0" xfId="0" applyFont="1" applyFill="1"/>
    <xf numFmtId="0" fontId="11" fillId="25" borderId="0" xfId="0" applyFont="1" applyFill="1"/>
    <xf numFmtId="0" fontId="0" fillId="25" borderId="0" xfId="0" applyFill="1"/>
    <xf numFmtId="0" fontId="27" fillId="25" borderId="0" xfId="0" applyFont="1" applyFill="1" applyAlignment="1">
      <alignment wrapText="1"/>
    </xf>
    <xf numFmtId="0" fontId="0" fillId="0" borderId="0" xfId="8" applyNumberFormat="1" applyFont="1" applyFill="1" applyAlignment="1">
      <alignment horizontal="center"/>
    </xf>
    <xf numFmtId="0" fontId="9" fillId="0" borderId="0" xfId="0" applyFont="1" applyBorder="1" applyAlignment="1">
      <alignment horizontal="center" vertical="top"/>
    </xf>
    <xf numFmtId="0" fontId="9" fillId="0" borderId="0" xfId="0" applyFont="1" applyAlignment="1">
      <alignment horizontal="center"/>
    </xf>
    <xf numFmtId="0" fontId="19" fillId="26" borderId="3" xfId="0" applyFont="1" applyFill="1" applyBorder="1" applyAlignment="1">
      <alignment horizontal="center" vertical="center"/>
    </xf>
    <xf numFmtId="0" fontId="13" fillId="0" borderId="27" xfId="0" applyFont="1" applyBorder="1" applyAlignment="1">
      <alignment horizontal="center" vertical="center" wrapText="1"/>
    </xf>
    <xf numFmtId="3" fontId="13" fillId="0" borderId="27" xfId="0" applyNumberFormat="1" applyFont="1" applyBorder="1" applyAlignment="1">
      <alignment horizontal="center" vertical="center" wrapText="1"/>
    </xf>
    <xf numFmtId="3" fontId="14" fillId="0" borderId="27" xfId="1" applyNumberFormat="1" applyFont="1" applyFill="1" applyBorder="1" applyAlignment="1">
      <alignment horizontal="center" vertical="center"/>
    </xf>
    <xf numFmtId="1" fontId="0" fillId="0" borderId="0" xfId="0" applyNumberFormat="1" applyFill="1" applyBorder="1" applyAlignment="1">
      <alignment horizontal="center"/>
    </xf>
    <xf numFmtId="0" fontId="9" fillId="0" borderId="0" xfId="0" applyFont="1" applyBorder="1" applyAlignment="1">
      <alignment horizontal="center" vertical="center"/>
    </xf>
    <xf numFmtId="0" fontId="14" fillId="0" borderId="0" xfId="0" quotePrefix="1" applyFont="1" applyBorder="1" applyAlignment="1">
      <alignment horizontal="center" vertical="center"/>
    </xf>
    <xf numFmtId="0" fontId="14" fillId="0" borderId="0" xfId="0" quotePrefix="1" applyFont="1" applyFill="1" applyBorder="1" applyAlignment="1">
      <alignment horizontal="center" vertical="center"/>
    </xf>
    <xf numFmtId="1" fontId="11" fillId="0" borderId="27" xfId="0" applyNumberFormat="1" applyFont="1" applyFill="1" applyBorder="1" applyAlignment="1">
      <alignment horizontal="center" vertical="center"/>
    </xf>
    <xf numFmtId="1" fontId="9" fillId="0" borderId="27" xfId="0" applyNumberFormat="1" applyFont="1" applyFill="1" applyBorder="1" applyAlignment="1">
      <alignment horizontal="center" vertical="center"/>
    </xf>
    <xf numFmtId="0" fontId="9" fillId="0" borderId="27" xfId="0" applyFont="1" applyFill="1" applyBorder="1" applyAlignment="1">
      <alignment horizontal="center" vertical="center"/>
    </xf>
    <xf numFmtId="3" fontId="16" fillId="0" borderId="3" xfId="0" applyNumberFormat="1" applyFont="1" applyFill="1" applyBorder="1" applyAlignment="1">
      <alignment horizontal="center" vertical="center"/>
    </xf>
    <xf numFmtId="0" fontId="9" fillId="24" borderId="0" xfId="0" applyFont="1" applyFill="1" applyBorder="1" applyAlignment="1">
      <alignment vertical="center"/>
    </xf>
    <xf numFmtId="3" fontId="9" fillId="21" borderId="3" xfId="0" applyNumberFormat="1" applyFont="1" applyFill="1" applyBorder="1" applyAlignment="1">
      <alignment vertical="center"/>
    </xf>
    <xf numFmtId="3" fontId="19" fillId="21" borderId="4" xfId="0" applyNumberFormat="1" applyFont="1" applyFill="1" applyBorder="1" applyAlignment="1">
      <alignment vertical="center"/>
    </xf>
    <xf numFmtId="3" fontId="19" fillId="21" borderId="3" xfId="0" applyNumberFormat="1" applyFont="1" applyFill="1" applyBorder="1" applyAlignment="1">
      <alignment horizontal="center" vertical="center"/>
    </xf>
    <xf numFmtId="3" fontId="19" fillId="21" borderId="4" xfId="0" applyNumberFormat="1" applyFont="1" applyFill="1" applyBorder="1" applyAlignment="1">
      <alignment horizontal="center" vertical="center"/>
    </xf>
    <xf numFmtId="3" fontId="19" fillId="21" borderId="3" xfId="0" applyNumberFormat="1" applyFont="1" applyFill="1" applyBorder="1" applyAlignment="1">
      <alignment horizontal="center" vertical="top"/>
    </xf>
    <xf numFmtId="3" fontId="16" fillId="21" borderId="3" xfId="0" applyNumberFormat="1" applyFont="1" applyFill="1" applyBorder="1" applyAlignment="1">
      <alignment horizontal="center"/>
    </xf>
    <xf numFmtId="3" fontId="16" fillId="21" borderId="12" xfId="0" applyNumberFormat="1" applyFont="1" applyFill="1" applyBorder="1" applyAlignment="1">
      <alignment horizontal="center"/>
    </xf>
    <xf numFmtId="3" fontId="19" fillId="21" borderId="9" xfId="0" applyNumberFormat="1" applyFont="1" applyFill="1" applyBorder="1" applyAlignment="1">
      <alignment horizontal="center" vertical="center"/>
    </xf>
    <xf numFmtId="3" fontId="30" fillId="21" borderId="12" xfId="0" applyNumberFormat="1" applyFont="1" applyFill="1" applyBorder="1" applyAlignment="1">
      <alignment horizontal="center"/>
    </xf>
    <xf numFmtId="3" fontId="30" fillId="21" borderId="9" xfId="0" applyNumberFormat="1" applyFont="1" applyFill="1" applyBorder="1" applyAlignment="1">
      <alignment horizontal="center" vertical="center"/>
    </xf>
    <xf numFmtId="3" fontId="30" fillId="21" borderId="12" xfId="0" applyNumberFormat="1" applyFont="1" applyFill="1" applyBorder="1" applyAlignment="1">
      <alignment horizontal="center" vertical="center"/>
    </xf>
    <xf numFmtId="3" fontId="16" fillId="21" borderId="3" xfId="0" applyNumberFormat="1" applyFont="1" applyFill="1" applyBorder="1" applyAlignment="1">
      <alignment horizontal="center" vertical="center"/>
    </xf>
    <xf numFmtId="3" fontId="16" fillId="21" borderId="12" xfId="0" applyNumberFormat="1" applyFont="1" applyFill="1" applyBorder="1" applyAlignment="1">
      <alignment horizontal="center" vertical="center"/>
    </xf>
    <xf numFmtId="3" fontId="16" fillId="21" borderId="9" xfId="0" applyNumberFormat="1" applyFont="1" applyFill="1" applyBorder="1" applyAlignment="1">
      <alignment horizontal="center"/>
    </xf>
    <xf numFmtId="0" fontId="16" fillId="21" borderId="3" xfId="0" applyFont="1" applyFill="1" applyBorder="1" applyAlignment="1">
      <alignment horizontal="center" vertical="center"/>
    </xf>
    <xf numFmtId="3" fontId="16" fillId="21" borderId="3" xfId="0" applyNumberFormat="1" applyFont="1" applyFill="1" applyBorder="1" applyAlignment="1">
      <alignment horizontal="center" vertical="top"/>
    </xf>
    <xf numFmtId="3" fontId="30" fillId="21" borderId="3" xfId="0" applyNumberFormat="1" applyFont="1" applyFill="1" applyBorder="1" applyAlignment="1">
      <alignment horizontal="center"/>
    </xf>
    <xf numFmtId="3" fontId="6" fillId="21" borderId="3" xfId="0" applyNumberFormat="1" applyFont="1" applyFill="1" applyBorder="1" applyAlignment="1">
      <alignment horizontal="center" vertical="top"/>
    </xf>
    <xf numFmtId="3" fontId="6" fillId="21" borderId="12" xfId="0" applyNumberFormat="1" applyFont="1" applyFill="1" applyBorder="1" applyAlignment="1">
      <alignment horizontal="center" vertical="center"/>
    </xf>
    <xf numFmtId="3" fontId="16" fillId="21" borderId="15" xfId="0" applyNumberFormat="1" applyFont="1" applyFill="1" applyBorder="1" applyAlignment="1">
      <alignment horizontal="center"/>
    </xf>
    <xf numFmtId="3" fontId="19" fillId="21" borderId="12" xfId="0" applyNumberFormat="1" applyFont="1" applyFill="1" applyBorder="1" applyAlignment="1">
      <alignment vertical="center"/>
    </xf>
    <xf numFmtId="3" fontId="16" fillId="21" borderId="9" xfId="0" applyNumberFormat="1" applyFont="1" applyFill="1" applyBorder="1" applyAlignment="1">
      <alignment horizontal="center" vertical="center"/>
    </xf>
    <xf numFmtId="3" fontId="30" fillId="21" borderId="3" xfId="0" applyNumberFormat="1" applyFont="1" applyFill="1" applyBorder="1" applyAlignment="1">
      <alignment horizontal="center" vertical="top"/>
    </xf>
    <xf numFmtId="0" fontId="16" fillId="28" borderId="3" xfId="0" applyFont="1" applyFill="1" applyBorder="1" applyAlignment="1">
      <alignment horizontal="center"/>
    </xf>
    <xf numFmtId="0" fontId="36" fillId="0" borderId="1" xfId="7" applyFont="1" applyFill="1" applyBorder="1" applyAlignment="1">
      <alignment horizontal="right" wrapText="1"/>
    </xf>
    <xf numFmtId="3" fontId="19" fillId="21" borderId="3" xfId="0" applyNumberFormat="1" applyFont="1" applyFill="1" applyBorder="1" applyAlignment="1">
      <alignment vertical="center"/>
    </xf>
    <xf numFmtId="0" fontId="11" fillId="0" borderId="27" xfId="0" applyFont="1" applyBorder="1" applyAlignment="1">
      <alignment horizontal="center" vertical="center"/>
    </xf>
    <xf numFmtId="0" fontId="14" fillId="0" borderId="27" xfId="0" applyFont="1" applyFill="1" applyBorder="1" applyAlignment="1">
      <alignment horizontal="center" vertical="center"/>
    </xf>
    <xf numFmtId="0" fontId="11" fillId="0" borderId="0" xfId="0" applyFont="1" applyBorder="1" applyAlignment="1">
      <alignment horizontal="center" vertical="center"/>
    </xf>
    <xf numFmtId="3" fontId="0" fillId="0" borderId="0" xfId="0" applyNumberFormat="1" applyFill="1" applyBorder="1" applyAlignment="1">
      <alignment horizontal="center" vertical="center"/>
    </xf>
    <xf numFmtId="3" fontId="32" fillId="0" borderId="3" xfId="0" applyNumberFormat="1" applyFont="1" applyFill="1" applyBorder="1" applyAlignment="1">
      <alignment horizontal="center" vertical="center"/>
    </xf>
    <xf numFmtId="3" fontId="32" fillId="0" borderId="4" xfId="0" applyNumberFormat="1" applyFont="1" applyFill="1" applyBorder="1" applyAlignment="1">
      <alignment horizontal="center" vertical="center"/>
    </xf>
    <xf numFmtId="3" fontId="31" fillId="0" borderId="4" xfId="0" applyNumberFormat="1" applyFont="1" applyFill="1" applyBorder="1" applyAlignment="1">
      <alignment horizontal="center" vertical="center"/>
    </xf>
    <xf numFmtId="1" fontId="9" fillId="0" borderId="0" xfId="0" applyNumberFormat="1" applyFont="1" applyFill="1" applyBorder="1" applyAlignment="1">
      <alignment horizontal="center"/>
    </xf>
    <xf numFmtId="0" fontId="15" fillId="0" borderId="0" xfId="0" applyFont="1" applyBorder="1" applyAlignment="1">
      <alignment horizontal="center" vertical="center" wrapText="1"/>
    </xf>
    <xf numFmtId="3" fontId="13" fillId="0" borderId="3" xfId="0" applyNumberFormat="1" applyFont="1" applyBorder="1" applyAlignment="1">
      <alignment horizontal="center" vertical="center" wrapText="1"/>
    </xf>
    <xf numFmtId="9" fontId="0" fillId="0" borderId="3" xfId="8" applyFont="1" applyFill="1" applyBorder="1"/>
    <xf numFmtId="0" fontId="6" fillId="0" borderId="0" xfId="0" applyFont="1" applyAlignment="1">
      <alignment horizontal="left"/>
    </xf>
    <xf numFmtId="0" fontId="0" fillId="0" borderId="0" xfId="0" applyAlignment="1">
      <alignment horizontal="left"/>
    </xf>
    <xf numFmtId="0" fontId="12" fillId="0" borderId="0" xfId="0" applyFont="1" applyAlignment="1">
      <alignment horizontal="left"/>
    </xf>
    <xf numFmtId="0" fontId="13" fillId="0" borderId="2" xfId="0" applyFont="1" applyBorder="1" applyAlignment="1">
      <alignment horizontal="left" vertical="top" wrapText="1"/>
    </xf>
    <xf numFmtId="1" fontId="0" fillId="0" borderId="0" xfId="0" applyNumberFormat="1" applyAlignment="1">
      <alignment horizontal="center"/>
    </xf>
    <xf numFmtId="10" fontId="9" fillId="0" borderId="0" xfId="8" applyNumberFormat="1" applyFont="1" applyFill="1" applyBorder="1" applyAlignment="1">
      <alignment vertical="top"/>
    </xf>
    <xf numFmtId="0" fontId="36" fillId="0" borderId="0" xfId="7" applyFont="1" applyFill="1" applyBorder="1" applyAlignment="1">
      <alignment horizontal="right" wrapText="1"/>
    </xf>
    <xf numFmtId="0" fontId="5" fillId="0" borderId="0" xfId="0" applyFont="1"/>
    <xf numFmtId="49" fontId="16" fillId="21" borderId="0" xfId="0" applyNumberFormat="1" applyFont="1" applyFill="1" applyBorder="1" applyAlignment="1">
      <alignment vertical="center" wrapText="1"/>
    </xf>
    <xf numFmtId="49" fontId="16" fillId="0" borderId="0" xfId="0" applyNumberFormat="1" applyFont="1" applyFill="1" applyBorder="1" applyAlignment="1">
      <alignment vertical="center" wrapText="1"/>
    </xf>
    <xf numFmtId="0" fontId="36" fillId="0" borderId="0" xfId="7" applyFont="1" applyFill="1" applyBorder="1" applyAlignment="1">
      <alignment wrapText="1"/>
    </xf>
    <xf numFmtId="0" fontId="0" fillId="0" borderId="1" xfId="0" applyBorder="1"/>
    <xf numFmtId="49" fontId="16" fillId="0" borderId="0" xfId="0" applyNumberFormat="1" applyFont="1" applyBorder="1" applyAlignment="1">
      <alignment vertical="center"/>
    </xf>
    <xf numFmtId="0" fontId="0" fillId="14" borderId="0" xfId="0" applyFill="1"/>
    <xf numFmtId="0" fontId="0" fillId="30" borderId="0" xfId="0" applyFill="1"/>
    <xf numFmtId="3" fontId="53" fillId="0" borderId="3" xfId="0" applyNumberFormat="1" applyFont="1" applyFill="1" applyBorder="1" applyAlignment="1">
      <alignment horizontal="center" vertical="center"/>
    </xf>
    <xf numFmtId="3" fontId="53" fillId="0" borderId="0" xfId="0" applyNumberFormat="1" applyFont="1" applyFill="1" applyBorder="1" applyAlignment="1">
      <alignment horizontal="center" vertical="top"/>
    </xf>
    <xf numFmtId="3" fontId="53" fillId="0" borderId="0" xfId="0" applyNumberFormat="1" applyFont="1" applyFill="1" applyBorder="1" applyAlignment="1">
      <alignment horizontal="center" vertical="center"/>
    </xf>
    <xf numFmtId="3" fontId="53" fillId="0" borderId="5" xfId="0" applyNumberFormat="1" applyFont="1" applyFill="1" applyBorder="1" applyAlignment="1">
      <alignment horizontal="center" vertical="center"/>
    </xf>
    <xf numFmtId="0" fontId="53" fillId="0" borderId="3" xfId="0" applyFont="1" applyFill="1" applyBorder="1" applyAlignment="1">
      <alignment horizontal="center"/>
    </xf>
    <xf numFmtId="0" fontId="53" fillId="0" borderId="3" xfId="0" applyFont="1" applyFill="1" applyBorder="1"/>
    <xf numFmtId="3" fontId="32" fillId="0" borderId="4" xfId="0" applyNumberFormat="1" applyFont="1" applyFill="1" applyBorder="1" applyAlignment="1">
      <alignment horizontal="center" vertical="top"/>
    </xf>
    <xf numFmtId="3" fontId="32" fillId="0" borderId="12" xfId="0" applyNumberFormat="1" applyFont="1" applyFill="1" applyBorder="1" applyAlignment="1">
      <alignment horizontal="center" vertical="top"/>
    </xf>
    <xf numFmtId="3" fontId="32" fillId="0" borderId="3" xfId="0" applyNumberFormat="1" applyFont="1" applyFill="1" applyBorder="1" applyAlignment="1">
      <alignment horizontal="center" vertical="top"/>
    </xf>
    <xf numFmtId="3" fontId="32" fillId="0" borderId="12" xfId="0" applyNumberFormat="1" applyFont="1" applyFill="1" applyBorder="1" applyAlignment="1">
      <alignment horizontal="center" vertical="center"/>
    </xf>
    <xf numFmtId="3" fontId="16" fillId="0" borderId="12" xfId="0" applyNumberFormat="1" applyFont="1" applyFill="1" applyBorder="1" applyAlignment="1">
      <alignment horizontal="center"/>
    </xf>
    <xf numFmtId="3" fontId="16" fillId="0" borderId="4" xfId="0" applyNumberFormat="1" applyFont="1" applyFill="1" applyBorder="1" applyAlignment="1">
      <alignment horizontal="center"/>
    </xf>
    <xf numFmtId="3" fontId="16" fillId="0" borderId="15" xfId="0" applyNumberFormat="1" applyFont="1" applyFill="1" applyBorder="1" applyAlignment="1">
      <alignment horizontal="center"/>
    </xf>
    <xf numFmtId="3" fontId="42" fillId="0" borderId="3" xfId="0" applyNumberFormat="1" applyFont="1" applyFill="1" applyBorder="1" applyAlignment="1">
      <alignment horizontal="center"/>
    </xf>
    <xf numFmtId="3" fontId="31" fillId="0" borderId="12" xfId="0" applyNumberFormat="1" applyFont="1" applyFill="1" applyBorder="1" applyAlignment="1">
      <alignment horizontal="center" vertical="center"/>
    </xf>
    <xf numFmtId="3" fontId="34" fillId="0" borderId="4" xfId="0" applyNumberFormat="1" applyFont="1" applyFill="1" applyBorder="1" applyAlignment="1">
      <alignment horizontal="center" vertical="center"/>
    </xf>
    <xf numFmtId="3" fontId="6" fillId="0" borderId="3" xfId="0" applyNumberFormat="1" applyFont="1" applyFill="1" applyBorder="1" applyAlignment="1">
      <alignment horizontal="center"/>
    </xf>
    <xf numFmtId="3" fontId="34" fillId="0" borderId="12" xfId="0" applyNumberFormat="1" applyFont="1" applyFill="1" applyBorder="1" applyAlignment="1">
      <alignment horizontal="center" vertical="center"/>
    </xf>
    <xf numFmtId="3" fontId="44" fillId="0" borderId="12" xfId="0" applyNumberFormat="1" applyFont="1" applyFill="1" applyBorder="1" applyAlignment="1">
      <alignment horizontal="center" vertical="center"/>
    </xf>
    <xf numFmtId="3" fontId="34" fillId="0" borderId="3" xfId="0" applyNumberFormat="1" applyFont="1" applyFill="1" applyBorder="1" applyAlignment="1">
      <alignment horizontal="center" vertical="center"/>
    </xf>
    <xf numFmtId="3" fontId="31" fillId="0" borderId="3" xfId="0" applyNumberFormat="1" applyFont="1" applyFill="1" applyBorder="1" applyAlignment="1">
      <alignment horizontal="center" vertical="center"/>
    </xf>
    <xf numFmtId="3" fontId="46" fillId="0" borderId="3" xfId="0" applyNumberFormat="1" applyFont="1" applyFill="1" applyBorder="1" applyAlignment="1">
      <alignment horizontal="center"/>
    </xf>
    <xf numFmtId="0" fontId="34" fillId="0" borderId="3" xfId="0" applyFont="1" applyFill="1" applyBorder="1" applyAlignment="1">
      <alignment horizontal="center" vertical="center"/>
    </xf>
    <xf numFmtId="3" fontId="31" fillId="0" borderId="4" xfId="0" applyNumberFormat="1" applyFont="1" applyFill="1" applyBorder="1" applyAlignment="1">
      <alignment horizontal="center" vertical="top"/>
    </xf>
    <xf numFmtId="3" fontId="34" fillId="0" borderId="3" xfId="0" applyNumberFormat="1" applyFont="1" applyFill="1" applyBorder="1" applyAlignment="1">
      <alignment horizontal="center" vertical="top"/>
    </xf>
    <xf numFmtId="3" fontId="31" fillId="0" borderId="3" xfId="0" applyNumberFormat="1" applyFont="1" applyFill="1" applyBorder="1" applyAlignment="1">
      <alignment horizontal="center" vertical="top"/>
    </xf>
    <xf numFmtId="3" fontId="45" fillId="0" borderId="3" xfId="0" applyNumberFormat="1" applyFont="1" applyFill="1" applyBorder="1" applyAlignment="1">
      <alignment horizontal="center"/>
    </xf>
    <xf numFmtId="3" fontId="35" fillId="0" borderId="3" xfId="0" applyNumberFormat="1" applyFont="1" applyFill="1" applyBorder="1" applyAlignment="1">
      <alignment horizontal="center"/>
    </xf>
    <xf numFmtId="3" fontId="0" fillId="0" borderId="4" xfId="0" applyNumberFormat="1" applyFill="1" applyBorder="1"/>
    <xf numFmtId="3" fontId="6" fillId="0" borderId="3" xfId="0" applyNumberFormat="1" applyFont="1" applyFill="1" applyBorder="1"/>
    <xf numFmtId="3" fontId="35" fillId="0" borderId="3" xfId="0" applyNumberFormat="1" applyFont="1" applyFill="1" applyBorder="1"/>
    <xf numFmtId="3" fontId="0" fillId="0" borderId="3" xfId="0" applyNumberFormat="1" applyFill="1" applyBorder="1"/>
    <xf numFmtId="3" fontId="44" fillId="0" borderId="3" xfId="0" applyNumberFormat="1" applyFont="1" applyFill="1" applyBorder="1" applyAlignment="1">
      <alignment horizontal="center" vertical="center"/>
    </xf>
    <xf numFmtId="3" fontId="43" fillId="0" borderId="3" xfId="0" applyNumberFormat="1" applyFont="1" applyFill="1" applyBorder="1" applyAlignment="1">
      <alignment horizontal="center" vertical="center"/>
    </xf>
    <xf numFmtId="3" fontId="31" fillId="0" borderId="12" xfId="0" applyNumberFormat="1" applyFont="1" applyFill="1" applyBorder="1" applyAlignment="1">
      <alignment horizontal="center" vertical="top"/>
    </xf>
    <xf numFmtId="3" fontId="32" fillId="0" borderId="9" xfId="0" applyNumberFormat="1" applyFont="1" applyFill="1" applyBorder="1" applyAlignment="1">
      <alignment horizontal="center" vertical="center"/>
    </xf>
    <xf numFmtId="0" fontId="41" fillId="0" borderId="3" xfId="0" applyFont="1" applyFill="1" applyBorder="1" applyAlignment="1">
      <alignment horizontal="center"/>
    </xf>
    <xf numFmtId="3" fontId="6" fillId="0" borderId="9" xfId="0" applyNumberFormat="1" applyFont="1" applyFill="1" applyBorder="1" applyAlignment="1">
      <alignment horizontal="center"/>
    </xf>
    <xf numFmtId="3" fontId="34" fillId="0" borderId="15" xfId="0" applyNumberFormat="1" applyFont="1" applyFill="1" applyBorder="1" applyAlignment="1">
      <alignment horizontal="center" vertical="center"/>
    </xf>
    <xf numFmtId="3" fontId="35" fillId="0" borderId="9" xfId="0" applyNumberFormat="1" applyFont="1" applyFill="1" applyBorder="1" applyAlignment="1">
      <alignment horizontal="center"/>
    </xf>
    <xf numFmtId="3" fontId="16" fillId="0" borderId="9" xfId="0" applyNumberFormat="1" applyFont="1" applyFill="1" applyBorder="1" applyAlignment="1">
      <alignment horizontal="center"/>
    </xf>
    <xf numFmtId="3" fontId="30" fillId="0" borderId="15" xfId="0" applyNumberFormat="1" applyFont="1" applyFill="1" applyBorder="1" applyAlignment="1">
      <alignment horizontal="center"/>
    </xf>
    <xf numFmtId="0" fontId="46" fillId="0" borderId="3" xfId="0" applyFont="1" applyFill="1" applyBorder="1" applyAlignment="1">
      <alignment horizontal="center"/>
    </xf>
    <xf numFmtId="0" fontId="42" fillId="0" borderId="3" xfId="0" applyFont="1" applyFill="1" applyBorder="1" applyAlignment="1">
      <alignment horizontal="center"/>
    </xf>
    <xf numFmtId="3" fontId="35" fillId="0" borderId="15" xfId="0" applyNumberFormat="1" applyFont="1" applyFill="1" applyBorder="1" applyAlignment="1">
      <alignment horizontal="center"/>
    </xf>
    <xf numFmtId="0" fontId="51" fillId="0" borderId="3" xfId="0" applyFont="1" applyFill="1" applyBorder="1" applyAlignment="1">
      <alignment horizontal="center"/>
    </xf>
    <xf numFmtId="3" fontId="34" fillId="0" borderId="9" xfId="0" applyNumberFormat="1" applyFont="1" applyFill="1" applyBorder="1" applyAlignment="1">
      <alignment horizontal="center" vertical="center"/>
    </xf>
    <xf numFmtId="3" fontId="32" fillId="0" borderId="15" xfId="0" applyNumberFormat="1" applyFont="1" applyFill="1" applyBorder="1" applyAlignment="1">
      <alignment horizontal="center" vertical="center"/>
    </xf>
    <xf numFmtId="3" fontId="30" fillId="0" borderId="3" xfId="0" applyNumberFormat="1" applyFont="1" applyFill="1" applyBorder="1" applyAlignment="1">
      <alignment horizontal="center"/>
    </xf>
    <xf numFmtId="3" fontId="49" fillId="0" borderId="9" xfId="0" applyNumberFormat="1" applyFont="1" applyFill="1" applyBorder="1" applyAlignment="1">
      <alignment horizontal="center" vertical="center"/>
    </xf>
    <xf numFmtId="3" fontId="48" fillId="0" borderId="3" xfId="0" applyNumberFormat="1" applyFont="1" applyFill="1" applyBorder="1" applyAlignment="1">
      <alignment horizontal="center" vertical="top"/>
    </xf>
    <xf numFmtId="3" fontId="48" fillId="0" borderId="9" xfId="0" applyNumberFormat="1" applyFont="1" applyFill="1" applyBorder="1" applyAlignment="1">
      <alignment horizontal="center" vertical="center"/>
    </xf>
    <xf numFmtId="3" fontId="47" fillId="0" borderId="3" xfId="0" applyNumberFormat="1" applyFont="1" applyFill="1" applyBorder="1" applyAlignment="1">
      <alignment horizontal="center" vertical="top"/>
    </xf>
    <xf numFmtId="3" fontId="47" fillId="0" borderId="9" xfId="0" applyNumberFormat="1" applyFont="1" applyFill="1" applyBorder="1" applyAlignment="1">
      <alignment horizontal="center" vertical="center"/>
    </xf>
    <xf numFmtId="3" fontId="0" fillId="0" borderId="3" xfId="0" applyNumberFormat="1" applyFill="1" applyBorder="1" applyAlignment="1">
      <alignment horizontal="center"/>
    </xf>
    <xf numFmtId="3" fontId="6" fillId="0" borderId="4" xfId="0" applyNumberFormat="1" applyFont="1" applyFill="1" applyBorder="1" applyAlignment="1">
      <alignment horizontal="center"/>
    </xf>
    <xf numFmtId="0" fontId="32" fillId="0" borderId="3" xfId="0" applyFont="1" applyFill="1" applyBorder="1" applyAlignment="1">
      <alignment horizontal="center" vertical="center"/>
    </xf>
    <xf numFmtId="3" fontId="30" fillId="0" borderId="12" xfId="0" applyNumberFormat="1" applyFont="1" applyFill="1" applyBorder="1" applyAlignment="1">
      <alignment horizontal="center"/>
    </xf>
    <xf numFmtId="3" fontId="6" fillId="0" borderId="3" xfId="0" applyNumberFormat="1" applyFont="1" applyFill="1" applyBorder="1" applyAlignment="1">
      <alignment horizontal="center" vertical="center"/>
    </xf>
    <xf numFmtId="3" fontId="35" fillId="0" borderId="12" xfId="0" applyNumberFormat="1" applyFont="1" applyFill="1" applyBorder="1" applyAlignment="1">
      <alignment horizontal="center" vertical="center"/>
    </xf>
    <xf numFmtId="3" fontId="16" fillId="0" borderId="12" xfId="0" applyNumberFormat="1" applyFont="1" applyFill="1" applyBorder="1" applyAlignment="1">
      <alignment horizontal="center" vertical="center"/>
    </xf>
    <xf numFmtId="3" fontId="41" fillId="0" borderId="3" xfId="0" applyNumberFormat="1" applyFont="1" applyFill="1" applyBorder="1" applyAlignment="1">
      <alignment horizontal="center" vertical="center"/>
    </xf>
    <xf numFmtId="3" fontId="6" fillId="0" borderId="12" xfId="1" applyNumberFormat="1" applyFont="1" applyFill="1" applyBorder="1" applyAlignment="1">
      <alignment horizontal="center" vertical="center"/>
    </xf>
    <xf numFmtId="3" fontId="32" fillId="0" borderId="3" xfId="1" applyNumberFormat="1" applyFont="1" applyFill="1" applyBorder="1" applyAlignment="1">
      <alignment horizontal="center" vertical="center"/>
    </xf>
    <xf numFmtId="3" fontId="6" fillId="0" borderId="12" xfId="0" applyNumberFormat="1" applyFont="1" applyFill="1" applyBorder="1" applyAlignment="1">
      <alignment horizontal="center" vertical="center"/>
    </xf>
    <xf numFmtId="3" fontId="6" fillId="0" borderId="4" xfId="0" applyNumberFormat="1" applyFont="1" applyFill="1" applyBorder="1" applyAlignment="1">
      <alignment horizontal="center" vertical="top"/>
    </xf>
    <xf numFmtId="0" fontId="31" fillId="0" borderId="12" xfId="0" applyFont="1" applyFill="1" applyBorder="1" applyAlignment="1">
      <alignment horizontal="center" vertical="center"/>
    </xf>
    <xf numFmtId="3" fontId="9" fillId="21" borderId="12" xfId="0" applyNumberFormat="1" applyFont="1" applyFill="1" applyBorder="1" applyAlignment="1">
      <alignment vertical="center"/>
    </xf>
    <xf numFmtId="3" fontId="9" fillId="21" borderId="0" xfId="0" applyNumberFormat="1" applyFont="1" applyFill="1" applyBorder="1" applyAlignment="1">
      <alignment vertical="center"/>
    </xf>
    <xf numFmtId="3" fontId="19" fillId="21" borderId="0" xfId="0" applyNumberFormat="1" applyFont="1" applyFill="1" applyBorder="1" applyAlignment="1">
      <alignment vertical="center"/>
    </xf>
    <xf numFmtId="3" fontId="30" fillId="21" borderId="9" xfId="0" applyNumberFormat="1" applyFont="1" applyFill="1" applyBorder="1" applyAlignment="1">
      <alignment horizontal="center"/>
    </xf>
    <xf numFmtId="3" fontId="52" fillId="0" borderId="3" xfId="0" applyNumberFormat="1" applyFont="1" applyFill="1" applyBorder="1" applyAlignment="1">
      <alignment horizontal="center" vertical="center"/>
    </xf>
    <xf numFmtId="3" fontId="50" fillId="0" borderId="3" xfId="0" applyNumberFormat="1" applyFont="1" applyFill="1" applyBorder="1" applyAlignment="1">
      <alignment horizontal="center" vertical="center"/>
    </xf>
    <xf numFmtId="9" fontId="0" fillId="0" borderId="0" xfId="8" applyFont="1" applyFill="1" applyBorder="1"/>
    <xf numFmtId="3" fontId="14" fillId="0" borderId="27" xfId="0" applyNumberFormat="1" applyFont="1" applyFill="1" applyBorder="1" applyAlignment="1">
      <alignment horizontal="center" vertical="center"/>
    </xf>
    <xf numFmtId="0" fontId="14" fillId="0" borderId="0" xfId="0" applyFont="1" applyBorder="1" applyAlignment="1">
      <alignment horizontal="center" vertical="center"/>
    </xf>
    <xf numFmtId="3" fontId="14" fillId="0" borderId="0" xfId="0" applyNumberFormat="1" applyFont="1" applyFill="1" applyBorder="1" applyAlignment="1">
      <alignment horizontal="center" vertical="center"/>
    </xf>
    <xf numFmtId="0" fontId="5" fillId="0" borderId="0" xfId="0" applyFont="1" applyAlignment="1">
      <alignment horizontal="right"/>
    </xf>
    <xf numFmtId="1" fontId="11" fillId="0" borderId="3" xfId="0" applyNumberFormat="1" applyFont="1" applyFill="1" applyBorder="1" applyAlignment="1">
      <alignment horizontal="left" vertical="center"/>
    </xf>
    <xf numFmtId="1" fontId="0" fillId="0" borderId="0" xfId="0" applyNumberFormat="1" applyAlignment="1">
      <alignment horizontal="center"/>
    </xf>
    <xf numFmtId="1" fontId="11" fillId="3" borderId="5" xfId="0" applyNumberFormat="1" applyFont="1" applyFill="1" applyBorder="1" applyAlignment="1">
      <alignment horizontal="center" vertical="center"/>
    </xf>
    <xf numFmtId="3" fontId="19" fillId="21" borderId="0" xfId="0" applyNumberFormat="1" applyFont="1" applyFill="1" applyBorder="1" applyAlignment="1">
      <alignment horizontal="center" vertical="center"/>
    </xf>
    <xf numFmtId="3" fontId="19" fillId="0" borderId="29" xfId="0" applyNumberFormat="1" applyFont="1" applyFill="1" applyBorder="1" applyAlignment="1">
      <alignment horizontal="center" vertical="center"/>
    </xf>
    <xf numFmtId="3" fontId="32" fillId="0" borderId="29" xfId="0" applyNumberFormat="1" applyFont="1" applyFill="1" applyBorder="1" applyAlignment="1">
      <alignment horizontal="center" vertical="center"/>
    </xf>
    <xf numFmtId="3" fontId="31" fillId="0" borderId="15" xfId="0" applyNumberFormat="1" applyFont="1" applyFill="1" applyBorder="1" applyAlignment="1">
      <alignment horizontal="center" vertical="center"/>
    </xf>
    <xf numFmtId="3" fontId="19" fillId="0" borderId="30" xfId="0" applyNumberFormat="1" applyFont="1" applyFill="1" applyBorder="1" applyAlignment="1">
      <alignment horizontal="center" vertical="center"/>
    </xf>
    <xf numFmtId="3" fontId="19" fillId="0" borderId="31" xfId="0" applyNumberFormat="1" applyFont="1" applyFill="1" applyBorder="1" applyAlignment="1">
      <alignment horizontal="center" vertical="center"/>
    </xf>
    <xf numFmtId="0" fontId="9" fillId="0" borderId="27" xfId="0" applyFont="1" applyBorder="1" applyAlignment="1">
      <alignment horizontal="center" vertical="center"/>
    </xf>
    <xf numFmtId="0" fontId="19" fillId="0" borderId="3" xfId="0" applyFont="1" applyBorder="1" applyAlignment="1">
      <alignment vertical="center" wrapText="1"/>
    </xf>
    <xf numFmtId="0" fontId="19" fillId="0" borderId="5" xfId="0" applyFont="1" applyBorder="1" applyAlignment="1">
      <alignment vertical="center" wrapText="1"/>
    </xf>
    <xf numFmtId="0" fontId="19" fillId="0" borderId="5" xfId="0" applyFont="1" applyBorder="1" applyAlignment="1">
      <alignment horizontal="center" vertical="center" wrapText="1"/>
    </xf>
    <xf numFmtId="0" fontId="19" fillId="0" borderId="3" xfId="0" applyFont="1" applyBorder="1" applyAlignment="1">
      <alignment horizontal="center" vertical="center" wrapText="1"/>
    </xf>
    <xf numFmtId="0" fontId="54" fillId="31" borderId="28" xfId="0" applyFont="1" applyFill="1" applyBorder="1" applyAlignment="1">
      <alignment vertical="center" wrapText="1"/>
    </xf>
    <xf numFmtId="0" fontId="54" fillId="31" borderId="39" xfId="0" applyFont="1" applyFill="1" applyBorder="1" applyAlignment="1">
      <alignment vertical="center" wrapText="1"/>
    </xf>
    <xf numFmtId="0" fontId="54" fillId="31" borderId="38" xfId="0" applyFont="1" applyFill="1" applyBorder="1" applyAlignment="1">
      <alignment vertical="center" wrapText="1"/>
    </xf>
    <xf numFmtId="9" fontId="0" fillId="0" borderId="28" xfId="8" applyFont="1" applyFill="1" applyBorder="1"/>
    <xf numFmtId="3" fontId="5" fillId="0" borderId="8" xfId="0" applyNumberFormat="1" applyFont="1" applyFill="1" applyBorder="1" applyAlignment="1">
      <alignment horizontal="center"/>
    </xf>
    <xf numFmtId="14" fontId="3" fillId="0" borderId="0" xfId="12" applyNumberFormat="1" applyAlignment="1">
      <alignment vertical="center" wrapText="1"/>
    </xf>
    <xf numFmtId="0" fontId="0" fillId="32" borderId="0" xfId="0" applyFill="1"/>
    <xf numFmtId="0" fontId="5" fillId="32" borderId="0" xfId="0" applyFont="1" applyFill="1"/>
    <xf numFmtId="0" fontId="5" fillId="17" borderId="0" xfId="0" applyFont="1" applyFill="1"/>
    <xf numFmtId="165" fontId="0" fillId="17" borderId="0" xfId="1" applyNumberFormat="1" applyFont="1" applyFill="1"/>
    <xf numFmtId="0" fontId="2" fillId="0" borderId="0" xfId="14"/>
    <xf numFmtId="0" fontId="2" fillId="0" borderId="0" xfId="14" applyAlignment="1">
      <alignment horizontal="center"/>
    </xf>
    <xf numFmtId="0" fontId="2" fillId="0" borderId="0" xfId="14" applyAlignment="1">
      <alignment horizontal="left"/>
    </xf>
    <xf numFmtId="0" fontId="55" fillId="0" borderId="0" xfId="14" applyFont="1" applyAlignment="1">
      <alignment wrapText="1"/>
    </xf>
    <xf numFmtId="0" fontId="2" fillId="33" borderId="40" xfId="14" applyFill="1" applyBorder="1" applyAlignment="1">
      <alignment horizontal="center"/>
    </xf>
    <xf numFmtId="0" fontId="2" fillId="0" borderId="40" xfId="14" applyBorder="1" applyAlignment="1">
      <alignment horizontal="center"/>
    </xf>
    <xf numFmtId="0" fontId="2" fillId="34" borderId="40" xfId="14" applyFill="1" applyBorder="1" applyAlignment="1">
      <alignment horizontal="center"/>
    </xf>
    <xf numFmtId="0" fontId="56" fillId="27" borderId="40" xfId="14" applyFont="1" applyFill="1" applyBorder="1" applyAlignment="1">
      <alignment horizontal="center" vertical="center"/>
    </xf>
    <xf numFmtId="0" fontId="2" fillId="35" borderId="40" xfId="14" applyFill="1" applyBorder="1" applyAlignment="1">
      <alignment horizontal="center"/>
    </xf>
    <xf numFmtId="0" fontId="56" fillId="0" borderId="40" xfId="14" applyFont="1" applyBorder="1" applyAlignment="1">
      <alignment horizontal="center" vertical="center"/>
    </xf>
    <xf numFmtId="0" fontId="56" fillId="36" borderId="40" xfId="14" applyFont="1" applyFill="1" applyBorder="1" applyAlignment="1">
      <alignment horizontal="center" vertical="center"/>
    </xf>
    <xf numFmtId="0" fontId="2" fillId="36" borderId="40" xfId="14" applyFill="1" applyBorder="1" applyAlignment="1">
      <alignment horizontal="center"/>
    </xf>
    <xf numFmtId="0" fontId="2" fillId="33" borderId="0" xfId="14" applyFill="1" applyAlignment="1">
      <alignment horizontal="center"/>
    </xf>
    <xf numFmtId="0" fontId="2" fillId="34" borderId="0" xfId="14" applyFill="1" applyAlignment="1">
      <alignment horizontal="center"/>
    </xf>
    <xf numFmtId="0" fontId="56" fillId="27" borderId="0" xfId="14" applyFont="1" applyFill="1" applyAlignment="1">
      <alignment horizontal="center" vertical="center"/>
    </xf>
    <xf numFmtId="0" fontId="2" fillId="35" borderId="0" xfId="14" applyFill="1" applyAlignment="1">
      <alignment horizontal="center"/>
    </xf>
    <xf numFmtId="0" fontId="56" fillId="0" borderId="0" xfId="14" applyFont="1" applyAlignment="1">
      <alignment horizontal="center" vertical="center"/>
    </xf>
    <xf numFmtId="0" fontId="56" fillId="36" borderId="0" xfId="14" applyFont="1" applyFill="1" applyAlignment="1">
      <alignment horizontal="center" vertical="center"/>
    </xf>
    <xf numFmtId="0" fontId="2" fillId="36" borderId="0" xfId="14" applyFill="1" applyAlignment="1">
      <alignment horizontal="center"/>
    </xf>
    <xf numFmtId="167" fontId="2" fillId="0" borderId="0" xfId="14" applyNumberFormat="1" applyAlignment="1">
      <alignment vertical="center"/>
    </xf>
    <xf numFmtId="0" fontId="55" fillId="0" borderId="0" xfId="14" applyFont="1" applyAlignment="1">
      <alignment vertical="center" wrapText="1"/>
    </xf>
    <xf numFmtId="0" fontId="2" fillId="33" borderId="0" xfId="14" applyFill="1" applyAlignment="1">
      <alignment horizontal="center" vertical="center"/>
    </xf>
    <xf numFmtId="0" fontId="2" fillId="0" borderId="0" xfId="14" applyAlignment="1">
      <alignment horizontal="center" vertical="center"/>
    </xf>
    <xf numFmtId="0" fontId="2" fillId="34" borderId="0" xfId="14" applyFill="1" applyAlignment="1">
      <alignment horizontal="center" vertical="center"/>
    </xf>
    <xf numFmtId="0" fontId="2" fillId="27" borderId="0" xfId="14" applyFill="1" applyAlignment="1">
      <alignment horizontal="center" vertical="center"/>
    </xf>
    <xf numFmtId="0" fontId="2" fillId="35" borderId="0" xfId="14" applyFill="1" applyAlignment="1">
      <alignment horizontal="center" vertical="center"/>
    </xf>
    <xf numFmtId="0" fontId="2" fillId="36" borderId="0" xfId="14" applyFill="1" applyAlignment="1">
      <alignment horizontal="center" vertical="center"/>
    </xf>
    <xf numFmtId="0" fontId="2" fillId="0" borderId="0" xfId="14" applyAlignment="1">
      <alignment vertical="center"/>
    </xf>
    <xf numFmtId="0" fontId="2" fillId="33" borderId="0" xfId="14" applyFill="1" applyAlignment="1">
      <alignment horizontal="centerContinuous" vertical="center"/>
    </xf>
    <xf numFmtId="0" fontId="2" fillId="34" borderId="0" xfId="14" applyFill="1" applyAlignment="1">
      <alignment horizontal="centerContinuous" vertical="center"/>
    </xf>
    <xf numFmtId="0" fontId="2" fillId="27" borderId="0" xfId="14" applyFill="1" applyAlignment="1">
      <alignment horizontal="centerContinuous" vertical="center"/>
    </xf>
    <xf numFmtId="0" fontId="2" fillId="35" borderId="0" xfId="14" applyFill="1" applyAlignment="1">
      <alignment horizontal="centerContinuous" vertical="center"/>
    </xf>
    <xf numFmtId="0" fontId="2" fillId="36" borderId="0" xfId="14" applyFill="1" applyAlignment="1">
      <alignment horizontal="centerContinuous" vertical="center"/>
    </xf>
    <xf numFmtId="0" fontId="40" fillId="0" borderId="0" xfId="14" applyFont="1"/>
    <xf numFmtId="0" fontId="5" fillId="0" borderId="0" xfId="0" applyFont="1" applyFill="1"/>
    <xf numFmtId="0" fontId="9" fillId="0" borderId="3" xfId="0" applyFont="1" applyFill="1" applyBorder="1" applyAlignment="1">
      <alignment vertical="center" wrapText="1"/>
    </xf>
    <xf numFmtId="0" fontId="5" fillId="0" borderId="0" xfId="0" applyFont="1" applyAlignment="1">
      <alignment horizontal="center"/>
    </xf>
    <xf numFmtId="0" fontId="5" fillId="0" borderId="0" xfId="0" applyFont="1" applyBorder="1" applyAlignment="1">
      <alignment horizontal="center"/>
    </xf>
    <xf numFmtId="3" fontId="5" fillId="0" borderId="0" xfId="0" applyNumberFormat="1" applyFont="1" applyFill="1" applyBorder="1" applyAlignment="1">
      <alignment horizontal="center" vertical="center"/>
    </xf>
    <xf numFmtId="0" fontId="5" fillId="0" borderId="0" xfId="0" applyFont="1" applyFill="1" applyAlignment="1">
      <alignment horizontal="center"/>
    </xf>
    <xf numFmtId="3" fontId="5" fillId="0" borderId="3" xfId="0" applyNumberFormat="1" applyFont="1" applyFill="1" applyBorder="1" applyAlignment="1">
      <alignment horizontal="center"/>
    </xf>
    <xf numFmtId="3" fontId="5" fillId="0" borderId="3" xfId="0" applyNumberFormat="1" applyFont="1" applyFill="1" applyBorder="1" applyAlignment="1">
      <alignment horizontal="center" vertical="center"/>
    </xf>
    <xf numFmtId="3" fontId="5" fillId="0" borderId="3" xfId="0" applyNumberFormat="1" applyFont="1" applyFill="1" applyBorder="1" applyAlignment="1">
      <alignment horizontal="center" vertical="top"/>
    </xf>
    <xf numFmtId="3" fontId="35" fillId="0" borderId="3" xfId="0" applyNumberFormat="1" applyFont="1" applyFill="1" applyBorder="1" applyAlignment="1">
      <alignment horizontal="center" vertical="top"/>
    </xf>
    <xf numFmtId="3" fontId="6" fillId="0" borderId="3" xfId="0" applyNumberFormat="1" applyFont="1" applyFill="1" applyBorder="1" applyAlignment="1">
      <alignment horizontal="center" vertical="top"/>
    </xf>
    <xf numFmtId="3" fontId="5" fillId="0" borderId="4" xfId="0" applyNumberFormat="1" applyFont="1" applyFill="1" applyBorder="1" applyAlignment="1">
      <alignment horizontal="center" vertical="top"/>
    </xf>
    <xf numFmtId="3" fontId="35" fillId="0" borderId="3" xfId="0" applyNumberFormat="1" applyFont="1" applyFill="1" applyBorder="1" applyAlignment="1">
      <alignment horizontal="center" vertical="center"/>
    </xf>
    <xf numFmtId="3" fontId="5" fillId="0" borderId="12" xfId="0" applyNumberFormat="1" applyFont="1" applyFill="1" applyBorder="1" applyAlignment="1">
      <alignment horizontal="center"/>
    </xf>
    <xf numFmtId="3" fontId="30" fillId="0" borderId="3" xfId="0" applyNumberFormat="1" applyFont="1" applyFill="1" applyBorder="1" applyAlignment="1">
      <alignment horizontal="center" vertical="center"/>
    </xf>
    <xf numFmtId="3" fontId="5" fillId="0" borderId="12" xfId="0" applyNumberFormat="1" applyFont="1" applyFill="1" applyBorder="1" applyAlignment="1">
      <alignment horizontal="center" vertical="center"/>
    </xf>
    <xf numFmtId="3" fontId="5" fillId="0" borderId="15" xfId="0" applyNumberFormat="1" applyFont="1" applyFill="1" applyBorder="1" applyAlignment="1">
      <alignment horizontal="center"/>
    </xf>
    <xf numFmtId="0" fontId="5" fillId="0" borderId="3" xfId="0" applyFont="1" applyFill="1" applyBorder="1" applyAlignment="1">
      <alignment horizontal="center"/>
    </xf>
    <xf numFmtId="0" fontId="5" fillId="0" borderId="3" xfId="0" applyFont="1" applyFill="1" applyBorder="1" applyAlignment="1">
      <alignment horizontal="center" vertical="center"/>
    </xf>
    <xf numFmtId="3" fontId="5" fillId="0" borderId="0" xfId="0" applyNumberFormat="1" applyFont="1" applyFill="1" applyBorder="1" applyAlignment="1">
      <alignment horizontal="center" vertical="top"/>
    </xf>
    <xf numFmtId="0" fontId="5" fillId="0" borderId="0" xfId="0" applyFont="1" applyFill="1" applyBorder="1" applyAlignment="1">
      <alignment horizontal="center" vertical="center"/>
    </xf>
    <xf numFmtId="0" fontId="53" fillId="0" borderId="0" xfId="0" applyFont="1" applyFill="1" applyBorder="1" applyAlignment="1">
      <alignment horizontal="center"/>
    </xf>
    <xf numFmtId="0" fontId="53" fillId="0" borderId="0" xfId="0" applyFont="1" applyFill="1" applyBorder="1"/>
    <xf numFmtId="0" fontId="5" fillId="0" borderId="0" xfId="0" applyFont="1" applyFill="1" applyBorder="1" applyAlignment="1">
      <alignment horizontal="center"/>
    </xf>
    <xf numFmtId="3" fontId="5" fillId="0" borderId="0" xfId="0" applyNumberFormat="1" applyFont="1" applyFill="1" applyBorder="1" applyAlignment="1">
      <alignment horizontal="center"/>
    </xf>
    <xf numFmtId="0" fontId="26" fillId="0" borderId="3" xfId="0" applyFont="1" applyBorder="1" applyAlignment="1">
      <alignment horizontal="center" vertical="center"/>
    </xf>
    <xf numFmtId="0" fontId="9" fillId="0" borderId="3" xfId="0" applyFont="1" applyFill="1" applyBorder="1" applyAlignment="1">
      <alignment horizontal="center" vertical="center" wrapText="1"/>
    </xf>
    <xf numFmtId="3" fontId="9" fillId="0" borderId="3" xfId="0" applyNumberFormat="1" applyFont="1" applyFill="1" applyBorder="1" applyAlignment="1">
      <alignment vertical="center"/>
    </xf>
    <xf numFmtId="3" fontId="19" fillId="0" borderId="32" xfId="0" applyNumberFormat="1" applyFont="1" applyFill="1" applyBorder="1" applyAlignment="1">
      <alignment horizontal="center" vertical="center"/>
    </xf>
    <xf numFmtId="3" fontId="19" fillId="0" borderId="26" xfId="0" applyNumberFormat="1" applyFont="1" applyFill="1" applyBorder="1" applyAlignment="1">
      <alignment horizontal="center" vertical="center"/>
    </xf>
    <xf numFmtId="3" fontId="9" fillId="0" borderId="8" xfId="0" applyNumberFormat="1" applyFont="1" applyFill="1" applyBorder="1" applyAlignment="1">
      <alignment vertical="center"/>
    </xf>
    <xf numFmtId="3" fontId="9" fillId="0" borderId="4" xfId="0" applyNumberFormat="1" applyFont="1" applyFill="1" applyBorder="1" applyAlignment="1">
      <alignment vertical="center"/>
    </xf>
    <xf numFmtId="3" fontId="19" fillId="0" borderId="3" xfId="0" applyNumberFormat="1" applyFont="1" applyFill="1" applyBorder="1" applyAlignment="1">
      <alignment vertical="center"/>
    </xf>
    <xf numFmtId="3" fontId="19" fillId="0" borderId="28" xfId="0" applyNumberFormat="1" applyFont="1" applyFill="1" applyBorder="1" applyAlignment="1">
      <alignment horizontal="center" vertical="center"/>
    </xf>
    <xf numFmtId="3" fontId="19" fillId="0" borderId="25" xfId="0" applyNumberFormat="1" applyFont="1" applyFill="1" applyBorder="1" applyAlignment="1">
      <alignment horizontal="center" vertical="center"/>
    </xf>
    <xf numFmtId="3" fontId="19" fillId="0" borderId="10" xfId="0" applyNumberFormat="1" applyFont="1" applyFill="1" applyBorder="1" applyAlignment="1">
      <alignment horizontal="center" vertical="center"/>
    </xf>
    <xf numFmtId="3" fontId="19" fillId="0" borderId="35" xfId="0" applyNumberFormat="1" applyFont="1" applyFill="1" applyBorder="1" applyAlignment="1">
      <alignment horizontal="center" vertical="center"/>
    </xf>
    <xf numFmtId="3" fontId="19" fillId="0" borderId="33" xfId="0" applyNumberFormat="1" applyFont="1" applyFill="1" applyBorder="1" applyAlignment="1">
      <alignment horizontal="center" vertical="center"/>
    </xf>
    <xf numFmtId="3" fontId="19" fillId="0" borderId="34" xfId="0" applyNumberFormat="1" applyFont="1" applyFill="1" applyBorder="1" applyAlignment="1">
      <alignment horizontal="center" vertical="center"/>
    </xf>
    <xf numFmtId="3" fontId="30" fillId="0" borderId="12" xfId="0" applyNumberFormat="1" applyFont="1" applyFill="1" applyBorder="1"/>
    <xf numFmtId="3" fontId="0" fillId="0" borderId="12" xfId="0" applyNumberFormat="1" applyFill="1" applyBorder="1"/>
    <xf numFmtId="3" fontId="9" fillId="0" borderId="5" xfId="0" applyNumberFormat="1" applyFont="1" applyFill="1" applyBorder="1" applyAlignment="1">
      <alignment vertical="center"/>
    </xf>
    <xf numFmtId="3" fontId="47" fillId="0" borderId="3" xfId="0" applyNumberFormat="1" applyFont="1" applyFill="1" applyBorder="1" applyAlignment="1">
      <alignment horizontal="center" vertical="center"/>
    </xf>
    <xf numFmtId="3" fontId="48" fillId="0" borderId="3" xfId="0" applyNumberFormat="1" applyFont="1" applyFill="1" applyBorder="1" applyAlignment="1">
      <alignment horizontal="center" vertical="center"/>
    </xf>
    <xf numFmtId="3" fontId="43" fillId="0" borderId="12" xfId="0" applyNumberFormat="1" applyFont="1" applyFill="1" applyBorder="1" applyAlignment="1">
      <alignment horizontal="center" vertical="center"/>
    </xf>
    <xf numFmtId="3" fontId="19" fillId="0" borderId="9" xfId="1" applyNumberFormat="1" applyFont="1" applyFill="1" applyBorder="1" applyAlignment="1">
      <alignment horizontal="center" vertical="center"/>
    </xf>
    <xf numFmtId="3" fontId="19" fillId="0" borderId="4" xfId="1" applyNumberFormat="1" applyFont="1" applyFill="1" applyBorder="1" applyAlignment="1">
      <alignment horizontal="center" vertical="center"/>
    </xf>
    <xf numFmtId="3" fontId="19" fillId="0" borderId="12" xfId="1" applyNumberFormat="1" applyFont="1" applyFill="1" applyBorder="1" applyAlignment="1">
      <alignment horizontal="center" vertical="center"/>
    </xf>
    <xf numFmtId="3" fontId="33" fillId="0" borderId="3" xfId="0" applyNumberFormat="1" applyFont="1" applyFill="1" applyBorder="1" applyAlignment="1">
      <alignment horizontal="center" vertical="center"/>
    </xf>
    <xf numFmtId="3" fontId="31" fillId="0" borderId="9" xfId="0" applyNumberFormat="1" applyFont="1" applyFill="1" applyBorder="1" applyAlignment="1">
      <alignment horizontal="center" vertical="center"/>
    </xf>
    <xf numFmtId="3" fontId="44" fillId="0" borderId="4" xfId="0" applyNumberFormat="1" applyFont="1" applyFill="1" applyBorder="1" applyAlignment="1">
      <alignment horizontal="center" vertical="center"/>
    </xf>
    <xf numFmtId="3" fontId="44" fillId="0" borderId="12" xfId="0" applyNumberFormat="1" applyFont="1" applyFill="1" applyBorder="1" applyAlignment="1">
      <alignment horizontal="center" vertical="top"/>
    </xf>
    <xf numFmtId="3" fontId="50" fillId="0" borderId="4" xfId="0" applyNumberFormat="1" applyFont="1" applyFill="1" applyBorder="1" applyAlignment="1">
      <alignment horizontal="center" vertical="center"/>
    </xf>
    <xf numFmtId="3" fontId="50" fillId="0" borderId="12" xfId="0" applyNumberFormat="1" applyFont="1" applyFill="1" applyBorder="1" applyAlignment="1">
      <alignment horizontal="center" vertical="top"/>
    </xf>
    <xf numFmtId="3" fontId="44" fillId="0" borderId="9" xfId="0" applyNumberFormat="1" applyFont="1" applyFill="1" applyBorder="1" applyAlignment="1">
      <alignment horizontal="center" vertical="center"/>
    </xf>
    <xf numFmtId="3" fontId="6" fillId="0" borderId="15" xfId="0" applyNumberFormat="1" applyFont="1" applyFill="1" applyBorder="1" applyAlignment="1">
      <alignment horizontal="center"/>
    </xf>
    <xf numFmtId="3" fontId="43" fillId="0" borderId="4" xfId="0" applyNumberFormat="1" applyFont="1" applyFill="1" applyBorder="1" applyAlignment="1">
      <alignment horizontal="center" vertical="center"/>
    </xf>
    <xf numFmtId="3" fontId="57" fillId="0" borderId="3" xfId="0" applyNumberFormat="1" applyFont="1" applyFill="1" applyBorder="1" applyAlignment="1">
      <alignment horizontal="center" vertical="center"/>
    </xf>
    <xf numFmtId="1" fontId="0" fillId="0" borderId="4" xfId="0" applyNumberFormat="1" applyFill="1" applyBorder="1"/>
    <xf numFmtId="0" fontId="32" fillId="0" borderId="4" xfId="0" applyFont="1" applyFill="1" applyBorder="1" applyAlignment="1">
      <alignment horizontal="center" vertical="center"/>
    </xf>
    <xf numFmtId="0" fontId="34" fillId="0" borderId="4" xfId="0" applyFont="1" applyFill="1" applyBorder="1" applyAlignment="1">
      <alignment horizontal="center" vertical="center"/>
    </xf>
    <xf numFmtId="0" fontId="6" fillId="0" borderId="3" xfId="0" applyFont="1" applyFill="1" applyBorder="1" applyAlignment="1">
      <alignment horizontal="center"/>
    </xf>
    <xf numFmtId="0" fontId="0" fillId="0" borderId="3" xfId="0" applyFill="1" applyBorder="1" applyAlignment="1">
      <alignment horizontal="center" vertical="center"/>
    </xf>
    <xf numFmtId="3" fontId="19" fillId="0" borderId="15" xfId="0" applyNumberFormat="1" applyFont="1" applyFill="1" applyBorder="1" applyAlignment="1">
      <alignment horizontal="center" vertical="top"/>
    </xf>
    <xf numFmtId="3" fontId="6" fillId="0" borderId="12" xfId="0" applyNumberFormat="1" applyFont="1" applyFill="1" applyBorder="1" applyAlignment="1">
      <alignment horizontal="center"/>
    </xf>
    <xf numFmtId="3" fontId="6" fillId="0" borderId="12" xfId="0" applyNumberFormat="1" applyFont="1" applyFill="1" applyBorder="1" applyAlignment="1">
      <alignment horizontal="center" vertical="top"/>
    </xf>
    <xf numFmtId="3" fontId="35" fillId="0" borderId="12" xfId="0" applyNumberFormat="1" applyFont="1" applyFill="1" applyBorder="1" applyAlignment="1">
      <alignment horizontal="center" vertical="top"/>
    </xf>
    <xf numFmtId="3" fontId="5" fillId="0" borderId="12" xfId="0" applyNumberFormat="1" applyFont="1" applyFill="1" applyBorder="1" applyAlignment="1">
      <alignment horizontal="center" vertical="top"/>
    </xf>
    <xf numFmtId="3" fontId="13" fillId="0" borderId="0" xfId="0" applyNumberFormat="1" applyFont="1" applyFill="1" applyBorder="1" applyAlignment="1">
      <alignment horizontal="center" vertical="center" wrapText="1"/>
    </xf>
    <xf numFmtId="1" fontId="9" fillId="0" borderId="0" xfId="0" applyNumberFormat="1" applyFont="1" applyAlignment="1">
      <alignment horizontal="center" vertical="center"/>
    </xf>
    <xf numFmtId="0" fontId="26" fillId="0" borderId="0" xfId="0" applyFont="1" applyAlignment="1">
      <alignment horizontal="center" vertical="center"/>
    </xf>
    <xf numFmtId="0" fontId="9" fillId="0" borderId="0" xfId="0" applyFont="1" applyAlignment="1">
      <alignment horizontal="center" vertical="center" wrapText="1"/>
    </xf>
    <xf numFmtId="0" fontId="13" fillId="0" borderId="0" xfId="0" quotePrefix="1" applyFont="1" applyAlignment="1">
      <alignment horizontal="center" vertical="center" wrapText="1"/>
    </xf>
    <xf numFmtId="0" fontId="15" fillId="0" borderId="2" xfId="3" applyFont="1" applyBorder="1" applyAlignment="1">
      <alignment horizontal="center" vertical="center" wrapText="1"/>
    </xf>
    <xf numFmtId="0" fontId="14" fillId="0" borderId="20" xfId="3" applyFont="1" applyBorder="1" applyAlignment="1">
      <alignment horizontal="center" vertical="center" wrapText="1"/>
    </xf>
    <xf numFmtId="0" fontId="15" fillId="0" borderId="21" xfId="3" applyFont="1" applyBorder="1" applyAlignment="1">
      <alignment horizontal="center" vertical="center" wrapText="1"/>
    </xf>
    <xf numFmtId="16" fontId="15" fillId="0" borderId="2" xfId="3" applyNumberFormat="1" applyFont="1" applyBorder="1" applyAlignment="1">
      <alignment horizontal="center" vertical="center" wrapText="1"/>
    </xf>
    <xf numFmtId="16" fontId="15" fillId="0" borderId="20" xfId="3" applyNumberFormat="1" applyFont="1" applyBorder="1" applyAlignment="1">
      <alignment horizontal="center" vertical="center" wrapText="1"/>
    </xf>
    <xf numFmtId="0" fontId="15" fillId="0" borderId="22" xfId="3" applyFont="1" applyBorder="1" applyAlignment="1">
      <alignment horizontal="center" vertical="center" wrapText="1"/>
    </xf>
    <xf numFmtId="0" fontId="15" fillId="0" borderId="6" xfId="3" applyFont="1" applyBorder="1" applyAlignment="1">
      <alignment horizontal="center" vertical="center" wrapText="1"/>
    </xf>
    <xf numFmtId="0" fontId="15" fillId="0" borderId="7" xfId="3" applyFont="1" applyBorder="1" applyAlignment="1">
      <alignment horizontal="center" vertical="center" wrapText="1"/>
    </xf>
    <xf numFmtId="0" fontId="15" fillId="0" borderId="20" xfId="3" applyFont="1" applyBorder="1" applyAlignment="1">
      <alignment horizontal="center" vertical="center" wrapText="1"/>
    </xf>
    <xf numFmtId="16" fontId="15" fillId="0" borderId="24" xfId="3" applyNumberFormat="1" applyFont="1" applyBorder="1" applyAlignment="1">
      <alignment horizontal="center" vertical="center" wrapText="1"/>
    </xf>
    <xf numFmtId="16" fontId="15" fillId="0" borderId="21" xfId="3" quotePrefix="1" applyNumberFormat="1" applyFont="1" applyBorder="1" applyAlignment="1">
      <alignment horizontal="center" vertical="center" wrapText="1"/>
    </xf>
    <xf numFmtId="3" fontId="19" fillId="23" borderId="4" xfId="0" applyNumberFormat="1" applyFont="1" applyFill="1" applyBorder="1" applyAlignment="1">
      <alignment horizontal="center" vertical="center"/>
    </xf>
    <xf numFmtId="0" fontId="0" fillId="0" borderId="0" xfId="0" applyFill="1" applyBorder="1" applyAlignment="1">
      <alignment horizontal="center"/>
    </xf>
    <xf numFmtId="0" fontId="5" fillId="0" borderId="0" xfId="0" applyFont="1" applyFill="1" applyBorder="1"/>
    <xf numFmtId="0" fontId="5" fillId="0" borderId="0" xfId="0" applyFont="1" applyFill="1" applyBorder="1" applyAlignment="1">
      <alignment horizontal="right"/>
    </xf>
    <xf numFmtId="0" fontId="9" fillId="0" borderId="2" xfId="0" applyFont="1" applyFill="1" applyBorder="1" applyAlignment="1">
      <alignment horizontal="center" vertical="top" wrapText="1"/>
    </xf>
    <xf numFmtId="0" fontId="9" fillId="0" borderId="2" xfId="3" applyFont="1" applyBorder="1" applyAlignment="1">
      <alignment horizontal="center" vertical="center" wrapText="1"/>
    </xf>
    <xf numFmtId="0" fontId="9" fillId="0" borderId="3" xfId="0" applyFont="1" applyFill="1" applyBorder="1" applyAlignment="1">
      <alignment horizontal="center" vertical="center"/>
    </xf>
    <xf numFmtId="0" fontId="9" fillId="23" borderId="3" xfId="0" applyFont="1" applyFill="1" applyBorder="1" applyAlignment="1">
      <alignment horizontal="center" vertical="center"/>
    </xf>
    <xf numFmtId="3" fontId="9" fillId="0" borderId="3" xfId="0" applyNumberFormat="1" applyFont="1" applyFill="1" applyBorder="1" applyAlignment="1">
      <alignment horizontal="center" vertical="center"/>
    </xf>
    <xf numFmtId="3" fontId="19" fillId="23" borderId="12" xfId="0" applyNumberFormat="1" applyFont="1" applyFill="1" applyBorder="1" applyAlignment="1">
      <alignment horizontal="center" vertical="center"/>
    </xf>
    <xf numFmtId="3" fontId="19" fillId="23" borderId="3" xfId="0" applyNumberFormat="1" applyFont="1" applyFill="1" applyBorder="1" applyAlignment="1">
      <alignment horizontal="center" vertical="center"/>
    </xf>
    <xf numFmtId="3" fontId="16" fillId="23" borderId="3" xfId="0" applyNumberFormat="1" applyFont="1" applyFill="1" applyBorder="1" applyAlignment="1">
      <alignment horizontal="center"/>
    </xf>
    <xf numFmtId="3" fontId="5" fillId="23" borderId="3" xfId="0" applyNumberFormat="1" applyFont="1" applyFill="1" applyBorder="1" applyAlignment="1">
      <alignment horizontal="center"/>
    </xf>
    <xf numFmtId="3" fontId="30" fillId="23" borderId="3" xfId="0" applyNumberFormat="1" applyFont="1" applyFill="1" applyBorder="1" applyAlignment="1">
      <alignment horizontal="center"/>
    </xf>
    <xf numFmtId="3" fontId="31" fillId="23" borderId="3" xfId="0" applyNumberFormat="1" applyFont="1" applyFill="1" applyBorder="1" applyAlignment="1">
      <alignment horizontal="center" vertical="center"/>
    </xf>
    <xf numFmtId="3" fontId="16" fillId="23" borderId="12" xfId="0" applyNumberFormat="1" applyFont="1" applyFill="1" applyBorder="1" applyAlignment="1">
      <alignment horizontal="center"/>
    </xf>
    <xf numFmtId="3" fontId="31" fillId="23" borderId="12" xfId="0" applyNumberFormat="1" applyFont="1" applyFill="1" applyBorder="1" applyAlignment="1">
      <alignment horizontal="center" vertical="center"/>
    </xf>
    <xf numFmtId="3" fontId="5" fillId="23" borderId="12" xfId="0" applyNumberFormat="1" applyFont="1" applyFill="1" applyBorder="1" applyAlignment="1">
      <alignment horizontal="center" vertical="center"/>
    </xf>
    <xf numFmtId="3" fontId="5" fillId="23" borderId="3" xfId="0" applyNumberFormat="1" applyFont="1" applyFill="1" applyBorder="1" applyAlignment="1">
      <alignment horizontal="center" vertical="center"/>
    </xf>
    <xf numFmtId="3" fontId="5" fillId="28" borderId="15" xfId="0" applyNumberFormat="1" applyFont="1" applyFill="1" applyBorder="1" applyAlignment="1">
      <alignment horizontal="center"/>
    </xf>
    <xf numFmtId="3" fontId="16" fillId="28" borderId="15" xfId="0" applyNumberFormat="1" applyFont="1" applyFill="1" applyBorder="1" applyAlignment="1">
      <alignment horizontal="center"/>
    </xf>
    <xf numFmtId="3" fontId="35" fillId="28" borderId="9" xfId="0" applyNumberFormat="1" applyFont="1" applyFill="1" applyBorder="1" applyAlignment="1">
      <alignment horizontal="center" vertical="center"/>
    </xf>
    <xf numFmtId="3" fontId="5" fillId="28" borderId="9" xfId="0" applyNumberFormat="1" applyFont="1" applyFill="1" applyBorder="1" applyAlignment="1">
      <alignment horizontal="center" vertical="center"/>
    </xf>
    <xf numFmtId="3" fontId="19" fillId="28" borderId="9" xfId="0" applyNumberFormat="1" applyFont="1" applyFill="1" applyBorder="1" applyAlignment="1">
      <alignment horizontal="center" vertical="center"/>
    </xf>
    <xf numFmtId="3" fontId="30" fillId="28" borderId="9" xfId="0" applyNumberFormat="1" applyFont="1" applyFill="1" applyBorder="1" applyAlignment="1">
      <alignment horizontal="center" vertical="center"/>
    </xf>
    <xf numFmtId="3" fontId="6" fillId="28" borderId="3" xfId="0" applyNumberFormat="1" applyFont="1" applyFill="1" applyBorder="1" applyAlignment="1">
      <alignment horizontal="center" vertical="center"/>
    </xf>
    <xf numFmtId="3" fontId="5" fillId="28" borderId="3" xfId="0" applyNumberFormat="1" applyFont="1" applyFill="1" applyBorder="1" applyAlignment="1">
      <alignment horizontal="center" vertical="center"/>
    </xf>
    <xf numFmtId="3" fontId="19" fillId="28" borderId="3" xfId="0" applyNumberFormat="1" applyFont="1" applyFill="1" applyBorder="1" applyAlignment="1">
      <alignment horizontal="center" vertical="center"/>
    </xf>
    <xf numFmtId="3" fontId="30" fillId="28" borderId="3" xfId="0" applyNumberFormat="1" applyFont="1" applyFill="1" applyBorder="1" applyAlignment="1">
      <alignment horizontal="center" vertical="center"/>
    </xf>
    <xf numFmtId="3" fontId="32" fillId="28" borderId="3" xfId="0" applyNumberFormat="1" applyFont="1" applyFill="1" applyBorder="1" applyAlignment="1">
      <alignment horizontal="center" vertical="center"/>
    </xf>
    <xf numFmtId="3" fontId="34" fillId="28" borderId="3" xfId="0" applyNumberFormat="1" applyFont="1" applyFill="1" applyBorder="1" applyAlignment="1">
      <alignment horizontal="center" vertical="center"/>
    </xf>
    <xf numFmtId="3" fontId="35" fillId="28" borderId="3" xfId="0" applyNumberFormat="1" applyFont="1" applyFill="1" applyBorder="1" applyAlignment="1">
      <alignment horizontal="center"/>
    </xf>
    <xf numFmtId="3" fontId="5" fillId="28" borderId="3" xfId="0" applyNumberFormat="1" applyFont="1" applyFill="1" applyBorder="1" applyAlignment="1">
      <alignment horizontal="center"/>
    </xf>
    <xf numFmtId="3" fontId="16" fillId="28" borderId="3" xfId="0" applyNumberFormat="1" applyFont="1" applyFill="1" applyBorder="1" applyAlignment="1">
      <alignment horizontal="center"/>
    </xf>
    <xf numFmtId="3" fontId="35" fillId="28" borderId="3" xfId="0" applyNumberFormat="1" applyFont="1" applyFill="1" applyBorder="1" applyAlignment="1">
      <alignment horizontal="center" vertical="center"/>
    </xf>
    <xf numFmtId="3" fontId="6" fillId="28" borderId="3" xfId="0" applyNumberFormat="1" applyFont="1" applyFill="1" applyBorder="1" applyAlignment="1">
      <alignment horizontal="center"/>
    </xf>
    <xf numFmtId="3" fontId="30" fillId="28" borderId="3" xfId="0" applyNumberFormat="1" applyFont="1" applyFill="1" applyBorder="1" applyAlignment="1">
      <alignment horizontal="center"/>
    </xf>
    <xf numFmtId="3" fontId="6" fillId="28" borderId="4" xfId="0" applyNumberFormat="1" applyFont="1" applyFill="1" applyBorder="1" applyAlignment="1">
      <alignment horizontal="center" vertical="top"/>
    </xf>
    <xf numFmtId="3" fontId="30" fillId="28" borderId="4" xfId="0" applyNumberFormat="1" applyFont="1" applyFill="1" applyBorder="1" applyAlignment="1">
      <alignment horizontal="center" vertical="top"/>
    </xf>
    <xf numFmtId="3" fontId="5" fillId="28" borderId="4" xfId="0" applyNumberFormat="1" applyFont="1" applyFill="1" applyBorder="1" applyAlignment="1">
      <alignment horizontal="center" vertical="top"/>
    </xf>
    <xf numFmtId="3" fontId="19" fillId="28" borderId="4" xfId="0" applyNumberFormat="1" applyFont="1" applyFill="1" applyBorder="1" applyAlignment="1">
      <alignment horizontal="center" vertical="top"/>
    </xf>
    <xf numFmtId="3" fontId="34" fillId="23" borderId="12" xfId="0" applyNumberFormat="1" applyFont="1" applyFill="1" applyBorder="1" applyAlignment="1">
      <alignment horizontal="center" vertical="center"/>
    </xf>
    <xf numFmtId="0" fontId="19" fillId="23" borderId="12" xfId="0" applyFont="1" applyFill="1" applyBorder="1" applyAlignment="1">
      <alignment horizontal="center" vertical="center"/>
    </xf>
    <xf numFmtId="3" fontId="34" fillId="23" borderId="3" xfId="0" applyNumberFormat="1" applyFont="1" applyFill="1" applyBorder="1" applyAlignment="1">
      <alignment horizontal="center" vertical="center"/>
    </xf>
    <xf numFmtId="3" fontId="32" fillId="23" borderId="3" xfId="0" applyNumberFormat="1" applyFont="1" applyFill="1" applyBorder="1" applyAlignment="1">
      <alignment horizontal="center" vertical="center"/>
    </xf>
    <xf numFmtId="3" fontId="19" fillId="37" borderId="3" xfId="0" applyNumberFormat="1" applyFont="1" applyFill="1" applyBorder="1" applyAlignment="1">
      <alignment horizontal="center" vertical="center"/>
    </xf>
    <xf numFmtId="3" fontId="19" fillId="37" borderId="15" xfId="0" applyNumberFormat="1" applyFont="1" applyFill="1" applyBorder="1" applyAlignment="1">
      <alignment horizontal="center" vertical="center"/>
    </xf>
    <xf numFmtId="1" fontId="0" fillId="0" borderId="0" xfId="0" applyNumberFormat="1" applyAlignment="1">
      <alignment horizontal="center"/>
    </xf>
    <xf numFmtId="0" fontId="13" fillId="0" borderId="0" xfId="0" quotePrefix="1" applyFont="1" applyBorder="1" applyAlignment="1">
      <alignment horizontal="center" vertical="center" wrapText="1"/>
    </xf>
    <xf numFmtId="0" fontId="19" fillId="23" borderId="4" xfId="0" applyFont="1" applyFill="1" applyBorder="1" applyAlignment="1">
      <alignment horizontal="center" vertical="center"/>
    </xf>
    <xf numFmtId="3" fontId="32" fillId="23" borderId="9" xfId="0" applyNumberFormat="1" applyFont="1" applyFill="1" applyBorder="1" applyAlignment="1">
      <alignment horizontal="center" vertical="center"/>
    </xf>
    <xf numFmtId="3" fontId="19" fillId="23" borderId="9" xfId="0" applyNumberFormat="1" applyFont="1" applyFill="1" applyBorder="1" applyAlignment="1">
      <alignment horizontal="center" vertical="center"/>
    </xf>
    <xf numFmtId="3" fontId="31" fillId="23" borderId="9" xfId="0" applyNumberFormat="1" applyFont="1" applyFill="1" applyBorder="1" applyAlignment="1">
      <alignment horizontal="center" vertical="center"/>
    </xf>
    <xf numFmtId="3" fontId="34" fillId="23" borderId="9" xfId="0" applyNumberFormat="1" applyFont="1" applyFill="1" applyBorder="1" applyAlignment="1">
      <alignment horizontal="center" vertical="center"/>
    </xf>
    <xf numFmtId="3" fontId="19" fillId="23" borderId="15" xfId="0" applyNumberFormat="1" applyFont="1" applyFill="1" applyBorder="1" applyAlignment="1">
      <alignment horizontal="center" vertical="center"/>
    </xf>
    <xf numFmtId="3" fontId="19" fillId="37" borderId="9" xfId="1" applyNumberFormat="1" applyFont="1" applyFill="1" applyBorder="1" applyAlignment="1">
      <alignment horizontal="center" vertical="center"/>
    </xf>
    <xf numFmtId="3" fontId="30" fillId="0" borderId="3" xfId="0" applyNumberFormat="1" applyFont="1" applyFill="1" applyBorder="1" applyAlignment="1">
      <alignment horizontal="center" vertical="top"/>
    </xf>
    <xf numFmtId="3" fontId="35" fillId="0" borderId="4" xfId="0" applyNumberFormat="1" applyFont="1" applyFill="1" applyBorder="1" applyAlignment="1">
      <alignment horizontal="center" vertical="top"/>
    </xf>
    <xf numFmtId="3" fontId="16" fillId="23" borderId="12" xfId="0" applyNumberFormat="1" applyFont="1" applyFill="1" applyBorder="1" applyAlignment="1">
      <alignment horizontal="center" vertical="center"/>
    </xf>
    <xf numFmtId="3" fontId="16" fillId="23" borderId="3" xfId="0" applyNumberFormat="1" applyFont="1" applyFill="1" applyBorder="1" applyAlignment="1">
      <alignment horizontal="center" vertical="center"/>
    </xf>
    <xf numFmtId="3" fontId="19" fillId="37" borderId="9" xfId="0" applyNumberFormat="1" applyFont="1" applyFill="1" applyBorder="1" applyAlignment="1">
      <alignment horizontal="center" vertical="center"/>
    </xf>
    <xf numFmtId="3" fontId="5" fillId="23" borderId="9" xfId="0" applyNumberFormat="1" applyFont="1" applyFill="1" applyBorder="1" applyAlignment="1">
      <alignment horizontal="center"/>
    </xf>
    <xf numFmtId="0" fontId="16" fillId="23" borderId="9" xfId="0" applyFont="1" applyFill="1" applyBorder="1" applyAlignment="1">
      <alignment horizontal="center"/>
    </xf>
    <xf numFmtId="3" fontId="16" fillId="23" borderId="15" xfId="0" applyNumberFormat="1" applyFont="1" applyFill="1" applyBorder="1" applyAlignment="1">
      <alignment horizontal="center"/>
    </xf>
    <xf numFmtId="3" fontId="5" fillId="23" borderId="15" xfId="0" applyNumberFormat="1" applyFont="1" applyFill="1" applyBorder="1" applyAlignment="1">
      <alignment horizontal="center" vertical="center"/>
    </xf>
    <xf numFmtId="3" fontId="5" fillId="15" borderId="3" xfId="0" applyNumberFormat="1" applyFont="1" applyFill="1" applyBorder="1" applyAlignment="1">
      <alignment horizontal="center" vertical="center"/>
    </xf>
    <xf numFmtId="3" fontId="30" fillId="15" borderId="3" xfId="0" applyNumberFormat="1" applyFont="1" applyFill="1" applyBorder="1" applyAlignment="1">
      <alignment horizontal="center" vertical="center"/>
    </xf>
    <xf numFmtId="3" fontId="19" fillId="15" borderId="3" xfId="0" applyNumberFormat="1" applyFont="1" applyFill="1" applyBorder="1" applyAlignment="1">
      <alignment horizontal="center" vertical="center"/>
    </xf>
    <xf numFmtId="3" fontId="5" fillId="23" borderId="9" xfId="0" applyNumberFormat="1" applyFont="1" applyFill="1" applyBorder="1" applyAlignment="1">
      <alignment horizontal="center" vertical="center"/>
    </xf>
    <xf numFmtId="0" fontId="19" fillId="23" borderId="9" xfId="0" applyFont="1" applyFill="1" applyBorder="1" applyAlignment="1">
      <alignment horizontal="center" vertical="center"/>
    </xf>
    <xf numFmtId="0" fontId="19" fillId="23" borderId="15" xfId="0" applyFont="1" applyFill="1" applyBorder="1" applyAlignment="1">
      <alignment horizontal="center" vertical="center"/>
    </xf>
    <xf numFmtId="3" fontId="19" fillId="37" borderId="4" xfId="0" applyNumberFormat="1" applyFont="1" applyFill="1" applyBorder="1" applyAlignment="1">
      <alignment horizontal="center" vertical="center"/>
    </xf>
    <xf numFmtId="3" fontId="32" fillId="37" borderId="3" xfId="0" applyNumberFormat="1" applyFont="1" applyFill="1" applyBorder="1" applyAlignment="1">
      <alignment horizontal="center" vertical="center"/>
    </xf>
    <xf numFmtId="3" fontId="6" fillId="23" borderId="3" xfId="0" applyNumberFormat="1" applyFont="1" applyFill="1" applyBorder="1" applyAlignment="1">
      <alignment horizontal="center"/>
    </xf>
    <xf numFmtId="3" fontId="19" fillId="37" borderId="3" xfId="0" quotePrefix="1" applyNumberFormat="1" applyFont="1" applyFill="1" applyBorder="1" applyAlignment="1">
      <alignment horizontal="center" vertical="center"/>
    </xf>
    <xf numFmtId="0" fontId="19" fillId="22" borderId="3" xfId="0" applyFont="1" applyFill="1" applyBorder="1" applyAlignment="1">
      <alignment horizontal="center" vertical="center"/>
    </xf>
    <xf numFmtId="3" fontId="35" fillId="23" borderId="3" xfId="0" applyNumberFormat="1" applyFont="1" applyFill="1" applyBorder="1" applyAlignment="1">
      <alignment horizontal="center"/>
    </xf>
    <xf numFmtId="3" fontId="47" fillId="26" borderId="3" xfId="0" applyNumberFormat="1" applyFont="1" applyFill="1" applyBorder="1" applyAlignment="1">
      <alignment horizontal="center" vertical="center"/>
    </xf>
    <xf numFmtId="3" fontId="32" fillId="26" borderId="3" xfId="0" applyNumberFormat="1" applyFont="1" applyFill="1" applyBorder="1" applyAlignment="1">
      <alignment horizontal="center" vertical="center"/>
    </xf>
    <xf numFmtId="3" fontId="31" fillId="23" borderId="15" xfId="0" applyNumberFormat="1" applyFont="1" applyFill="1" applyBorder="1" applyAlignment="1">
      <alignment horizontal="center" vertical="center"/>
    </xf>
    <xf numFmtId="3" fontId="19" fillId="37" borderId="3" xfId="1" applyNumberFormat="1" applyFont="1" applyFill="1" applyBorder="1" applyAlignment="1">
      <alignment horizontal="center" vertical="center"/>
    </xf>
    <xf numFmtId="3" fontId="34" fillId="23" borderId="15" xfId="0" applyNumberFormat="1" applyFont="1" applyFill="1" applyBorder="1" applyAlignment="1">
      <alignment horizontal="center" vertical="center"/>
    </xf>
    <xf numFmtId="3" fontId="32" fillId="23" borderId="15" xfId="0" applyNumberFormat="1" applyFont="1" applyFill="1" applyBorder="1" applyAlignment="1">
      <alignment horizontal="center" vertical="center"/>
    </xf>
    <xf numFmtId="3" fontId="35" fillId="23" borderId="15" xfId="0" applyNumberFormat="1" applyFont="1" applyFill="1" applyBorder="1" applyAlignment="1">
      <alignment horizontal="center"/>
    </xf>
    <xf numFmtId="3" fontId="30" fillId="23" borderId="15" xfId="0" applyNumberFormat="1" applyFont="1" applyFill="1" applyBorder="1" applyAlignment="1">
      <alignment horizontal="center"/>
    </xf>
    <xf numFmtId="3" fontId="6" fillId="23" borderId="15" xfId="0" applyNumberFormat="1" applyFont="1" applyFill="1" applyBorder="1" applyAlignment="1">
      <alignment horizontal="center"/>
    </xf>
    <xf numFmtId="3" fontId="19" fillId="22" borderId="9" xfId="0" applyNumberFormat="1" applyFont="1" applyFill="1" applyBorder="1" applyAlignment="1">
      <alignment horizontal="center" vertical="center"/>
    </xf>
    <xf numFmtId="3" fontId="31" fillId="22" borderId="9" xfId="0" applyNumberFormat="1" applyFont="1" applyFill="1" applyBorder="1" applyAlignment="1">
      <alignment horizontal="center" vertical="center"/>
    </xf>
    <xf numFmtId="3" fontId="34" fillId="22" borderId="9" xfId="0" applyNumberFormat="1" applyFont="1" applyFill="1" applyBorder="1" applyAlignment="1">
      <alignment horizontal="center" vertical="center"/>
    </xf>
    <xf numFmtId="3" fontId="16" fillId="23" borderId="9" xfId="0" applyNumberFormat="1" applyFont="1" applyFill="1" applyBorder="1" applyAlignment="1">
      <alignment horizontal="center" vertical="center"/>
    </xf>
    <xf numFmtId="3" fontId="19" fillId="38" borderId="3" xfId="0" applyNumberFormat="1" applyFont="1" applyFill="1" applyBorder="1" applyAlignment="1">
      <alignment horizontal="center" vertical="top"/>
    </xf>
    <xf numFmtId="3" fontId="32" fillId="38" borderId="3" xfId="0" applyNumberFormat="1" applyFont="1" applyFill="1" applyBorder="1" applyAlignment="1">
      <alignment horizontal="center" vertical="top"/>
    </xf>
    <xf numFmtId="3" fontId="19" fillId="38" borderId="3" xfId="0" applyNumberFormat="1" applyFont="1" applyFill="1" applyBorder="1" applyAlignment="1">
      <alignment horizontal="center" vertical="center"/>
    </xf>
    <xf numFmtId="3" fontId="34" fillId="38" borderId="3" xfId="0" applyNumberFormat="1" applyFont="1" applyFill="1" applyBorder="1" applyAlignment="1">
      <alignment horizontal="center" vertical="center"/>
    </xf>
    <xf numFmtId="3" fontId="32" fillId="38" borderId="3" xfId="0" applyNumberFormat="1" applyFont="1" applyFill="1" applyBorder="1" applyAlignment="1">
      <alignment horizontal="center" vertical="center"/>
    </xf>
    <xf numFmtId="3" fontId="16" fillId="39" borderId="3" xfId="0" applyNumberFormat="1" applyFont="1" applyFill="1" applyBorder="1" applyAlignment="1">
      <alignment horizontal="center"/>
    </xf>
    <xf numFmtId="3" fontId="6" fillId="39" borderId="3" xfId="0" applyNumberFormat="1" applyFont="1" applyFill="1" applyBorder="1" applyAlignment="1">
      <alignment horizontal="center"/>
    </xf>
    <xf numFmtId="3" fontId="19" fillId="39" borderId="3" xfId="0" applyNumberFormat="1" applyFont="1" applyFill="1" applyBorder="1" applyAlignment="1">
      <alignment horizontal="center" vertical="center"/>
    </xf>
    <xf numFmtId="3" fontId="32" fillId="39" borderId="3" xfId="0" applyNumberFormat="1" applyFont="1" applyFill="1" applyBorder="1" applyAlignment="1">
      <alignment horizontal="center" vertical="center"/>
    </xf>
    <xf numFmtId="49" fontId="1" fillId="0" borderId="0" xfId="15" applyNumberFormat="1"/>
    <xf numFmtId="0" fontId="58" fillId="0" borderId="0" xfId="15" applyFont="1"/>
    <xf numFmtId="0" fontId="1" fillId="0" borderId="0" xfId="15"/>
    <xf numFmtId="167" fontId="59" fillId="0" borderId="0" xfId="15" applyNumberFormat="1" applyFont="1"/>
    <xf numFmtId="0" fontId="58" fillId="0" borderId="0" xfId="15" applyFont="1" applyAlignment="1">
      <alignment horizontal="right"/>
    </xf>
    <xf numFmtId="9" fontId="58" fillId="24" borderId="0" xfId="15" applyNumberFormat="1" applyFont="1" applyFill="1" applyAlignment="1">
      <alignment horizontal="center"/>
    </xf>
    <xf numFmtId="9" fontId="58" fillId="24" borderId="0" xfId="15" applyNumberFormat="1" applyFont="1" applyFill="1" applyAlignment="1">
      <alignment horizontal="left"/>
    </xf>
    <xf numFmtId="167" fontId="58" fillId="0" borderId="0" xfId="15" applyNumberFormat="1" applyFont="1"/>
    <xf numFmtId="9" fontId="58" fillId="0" borderId="0" xfId="15" applyNumberFormat="1" applyFont="1" applyAlignment="1">
      <alignment horizontal="center"/>
    </xf>
    <xf numFmtId="9" fontId="58" fillId="0" borderId="0" xfId="15" applyNumberFormat="1" applyFont="1" applyAlignment="1">
      <alignment horizontal="left"/>
    </xf>
    <xf numFmtId="49" fontId="40" fillId="0" borderId="0" xfId="15" applyNumberFormat="1" applyFont="1" applyAlignment="1">
      <alignment horizontal="center" vertical="center"/>
    </xf>
    <xf numFmtId="0" fontId="37" fillId="40" borderId="41" xfId="16" applyFill="1" applyBorder="1" applyAlignment="1">
      <alignment horizontal="center" vertical="center" wrapText="1"/>
    </xf>
    <xf numFmtId="0" fontId="23" fillId="40" borderId="41" xfId="16" applyFont="1" applyFill="1" applyBorder="1" applyAlignment="1">
      <alignment horizontal="center" vertical="center" wrapText="1"/>
    </xf>
    <xf numFmtId="0" fontId="37" fillId="0" borderId="3" xfId="16" applyBorder="1" applyAlignment="1">
      <alignment vertical="center" wrapText="1"/>
    </xf>
    <xf numFmtId="3" fontId="37" fillId="0" borderId="3" xfId="16" applyNumberFormat="1" applyBorder="1" applyAlignment="1">
      <alignment horizontal="right" vertical="center" wrapText="1"/>
    </xf>
    <xf numFmtId="0" fontId="37" fillId="29" borderId="3" xfId="16" applyFill="1" applyBorder="1" applyAlignment="1">
      <alignment horizontal="right" vertical="center" wrapText="1"/>
    </xf>
    <xf numFmtId="9" fontId="37" fillId="29" borderId="3" xfId="16" applyNumberFormat="1" applyFill="1" applyBorder="1" applyAlignment="1">
      <alignment horizontal="right" vertical="center" wrapText="1"/>
    </xf>
    <xf numFmtId="9" fontId="37" fillId="0" borderId="3" xfId="16" applyNumberFormat="1" applyBorder="1" applyAlignment="1">
      <alignment horizontal="right" vertical="center" wrapText="1"/>
    </xf>
    <xf numFmtId="0" fontId="37" fillId="0" borderId="3" xfId="16" applyBorder="1" applyAlignment="1">
      <alignment vertical="center"/>
    </xf>
    <xf numFmtId="9" fontId="1" fillId="0" borderId="0" xfId="15" applyNumberFormat="1"/>
    <xf numFmtId="3" fontId="1" fillId="41" borderId="0" xfId="15" applyNumberFormat="1" applyFill="1"/>
    <xf numFmtId="9" fontId="1" fillId="41" borderId="0" xfId="15" applyNumberFormat="1" applyFill="1"/>
    <xf numFmtId="3" fontId="1" fillId="24" borderId="0" xfId="15" applyNumberFormat="1" applyFill="1"/>
    <xf numFmtId="3" fontId="1" fillId="0" borderId="0" xfId="15" applyNumberFormat="1"/>
    <xf numFmtId="3" fontId="37" fillId="0" borderId="3" xfId="16" applyNumberFormat="1" applyBorder="1" applyAlignment="1">
      <alignment vertical="center"/>
    </xf>
    <xf numFmtId="49" fontId="1" fillId="0" borderId="0" xfId="15" applyNumberFormat="1" applyAlignment="1">
      <alignment vertical="center"/>
    </xf>
    <xf numFmtId="9" fontId="37" fillId="29" borderId="3" xfId="16" applyNumberFormat="1" applyFill="1" applyBorder="1" applyAlignment="1">
      <alignment vertical="center"/>
    </xf>
    <xf numFmtId="9" fontId="37" fillId="0" borderId="3" xfId="16" applyNumberFormat="1" applyBorder="1" applyAlignment="1">
      <alignment vertical="center"/>
    </xf>
    <xf numFmtId="0" fontId="37" fillId="0" borderId="3" xfId="16" applyBorder="1" applyAlignment="1">
      <alignment horizontal="right" vertical="center" wrapText="1"/>
    </xf>
    <xf numFmtId="3" fontId="1" fillId="41" borderId="27" xfId="15" applyNumberFormat="1" applyFill="1" applyBorder="1"/>
    <xf numFmtId="9" fontId="1" fillId="41" borderId="27" xfId="15" applyNumberFormat="1" applyFill="1" applyBorder="1"/>
    <xf numFmtId="3" fontId="1" fillId="0" borderId="27" xfId="15" applyNumberFormat="1" applyBorder="1"/>
    <xf numFmtId="0" fontId="37" fillId="0" borderId="0" xfId="16" applyAlignment="1">
      <alignment vertical="center" wrapText="1"/>
    </xf>
    <xf numFmtId="3" fontId="40" fillId="0" borderId="0" xfId="15" applyNumberFormat="1" applyFont="1"/>
    <xf numFmtId="9" fontId="1" fillId="0" borderId="27" xfId="15" applyNumberFormat="1" applyBorder="1"/>
    <xf numFmtId="3" fontId="1" fillId="24" borderId="27" xfId="15" applyNumberFormat="1" applyFill="1" applyBorder="1"/>
    <xf numFmtId="3" fontId="19" fillId="23" borderId="3" xfId="0" applyNumberFormat="1" applyFont="1" applyFill="1" applyBorder="1" applyAlignment="1">
      <alignment horizontal="center" vertical="top"/>
    </xf>
    <xf numFmtId="3" fontId="32" fillId="23" borderId="3" xfId="0" applyNumberFormat="1" applyFont="1" applyFill="1" applyBorder="1" applyAlignment="1">
      <alignment horizontal="center" vertical="top"/>
    </xf>
    <xf numFmtId="3" fontId="19" fillId="23" borderId="26" xfId="0" applyNumberFormat="1" applyFont="1" applyFill="1" applyBorder="1" applyAlignment="1">
      <alignment horizontal="center" vertical="top"/>
    </xf>
    <xf numFmtId="3" fontId="34" fillId="23" borderId="4" xfId="0" applyNumberFormat="1" applyFont="1" applyFill="1" applyBorder="1" applyAlignment="1">
      <alignment horizontal="center" vertical="top"/>
    </xf>
    <xf numFmtId="3" fontId="19" fillId="23" borderId="4" xfId="0" applyNumberFormat="1" applyFont="1" applyFill="1" applyBorder="1" applyAlignment="1">
      <alignment horizontal="center" vertical="top"/>
    </xf>
    <xf numFmtId="3" fontId="32" fillId="23" borderId="4" xfId="0" applyNumberFormat="1" applyFont="1" applyFill="1" applyBorder="1" applyAlignment="1">
      <alignment horizontal="center" vertical="top"/>
    </xf>
    <xf numFmtId="3" fontId="44" fillId="23" borderId="3" xfId="0" applyNumberFormat="1" applyFont="1" applyFill="1" applyBorder="1" applyAlignment="1">
      <alignment horizontal="center" vertical="center"/>
    </xf>
    <xf numFmtId="3" fontId="50" fillId="23" borderId="3" xfId="0" applyNumberFormat="1" applyFont="1" applyFill="1" applyBorder="1" applyAlignment="1">
      <alignment horizontal="center" vertical="center"/>
    </xf>
    <xf numFmtId="3" fontId="43" fillId="23" borderId="3" xfId="0" applyNumberFormat="1" applyFont="1" applyFill="1" applyBorder="1" applyAlignment="1">
      <alignment horizontal="center" vertical="center"/>
    </xf>
    <xf numFmtId="3" fontId="32" fillId="23" borderId="4" xfId="0" applyNumberFormat="1" applyFont="1" applyFill="1" applyBorder="1" applyAlignment="1">
      <alignment horizontal="center" vertical="center"/>
    </xf>
    <xf numFmtId="3" fontId="34" fillId="23" borderId="4" xfId="0" applyNumberFormat="1" applyFont="1" applyFill="1" applyBorder="1" applyAlignment="1">
      <alignment horizontal="center" vertical="center"/>
    </xf>
    <xf numFmtId="3" fontId="6" fillId="23" borderId="3" xfId="0" applyNumberFormat="1" applyFont="1" applyFill="1" applyBorder="1" applyAlignment="1">
      <alignment horizontal="center" vertical="center"/>
    </xf>
    <xf numFmtId="3" fontId="47" fillId="23" borderId="3" xfId="0" applyNumberFormat="1" applyFont="1" applyFill="1" applyBorder="1" applyAlignment="1">
      <alignment horizontal="center" vertical="center"/>
    </xf>
    <xf numFmtId="0" fontId="47" fillId="23" borderId="3" xfId="0" applyFont="1" applyFill="1" applyBorder="1" applyAlignment="1">
      <alignment horizontal="center" vertical="center"/>
    </xf>
    <xf numFmtId="3" fontId="44" fillId="39" borderId="4" xfId="0" applyNumberFormat="1" applyFont="1" applyFill="1" applyBorder="1" applyAlignment="1">
      <alignment horizontal="center" vertical="center"/>
    </xf>
    <xf numFmtId="3" fontId="43" fillId="39" borderId="4" xfId="0" applyNumberFormat="1" applyFont="1" applyFill="1" applyBorder="1" applyAlignment="1">
      <alignment horizontal="center" vertical="center"/>
    </xf>
    <xf numFmtId="3" fontId="44" fillId="23" borderId="4" xfId="0" applyNumberFormat="1" applyFont="1" applyFill="1" applyBorder="1" applyAlignment="1">
      <alignment horizontal="center" vertical="center"/>
    </xf>
    <xf numFmtId="3" fontId="52" fillId="23" borderId="4" xfId="0" applyNumberFormat="1" applyFont="1" applyFill="1" applyBorder="1" applyAlignment="1">
      <alignment horizontal="center" vertical="center"/>
    </xf>
    <xf numFmtId="3" fontId="43" fillId="23" borderId="4" xfId="0" applyNumberFormat="1" applyFont="1" applyFill="1" applyBorder="1" applyAlignment="1">
      <alignment horizontal="center" vertical="center"/>
    </xf>
    <xf numFmtId="3" fontId="50" fillId="23" borderId="4" xfId="0" applyNumberFormat="1" applyFont="1" applyFill="1" applyBorder="1" applyAlignment="1">
      <alignment horizontal="center" vertical="center"/>
    </xf>
    <xf numFmtId="3" fontId="31" fillId="23" borderId="3" xfId="0" applyNumberFormat="1" applyFont="1" applyFill="1" applyBorder="1" applyAlignment="1">
      <alignment horizontal="center" vertical="top"/>
    </xf>
    <xf numFmtId="3" fontId="34" fillId="23" borderId="3" xfId="0" applyNumberFormat="1" applyFont="1" applyFill="1" applyBorder="1" applyAlignment="1">
      <alignment horizontal="center" vertical="top"/>
    </xf>
    <xf numFmtId="0" fontId="34" fillId="23" borderId="3" xfId="0" applyFont="1" applyFill="1" applyBorder="1" applyAlignment="1">
      <alignment horizontal="center" vertical="center"/>
    </xf>
    <xf numFmtId="0" fontId="32" fillId="23" borderId="3" xfId="0" applyFont="1" applyFill="1" applyBorder="1" applyAlignment="1">
      <alignment horizontal="center" vertical="center"/>
    </xf>
    <xf numFmtId="0" fontId="31" fillId="23" borderId="3" xfId="0" applyFont="1" applyFill="1" applyBorder="1" applyAlignment="1">
      <alignment horizontal="center" vertical="center"/>
    </xf>
    <xf numFmtId="3" fontId="19" fillId="39" borderId="4" xfId="0" applyNumberFormat="1" applyFont="1" applyFill="1" applyBorder="1" applyAlignment="1">
      <alignment horizontal="center" vertical="center"/>
    </xf>
    <xf numFmtId="3" fontId="34" fillId="39" borderId="4" xfId="0" applyNumberFormat="1" applyFont="1" applyFill="1" applyBorder="1" applyAlignment="1">
      <alignment horizontal="center" vertical="center"/>
    </xf>
    <xf numFmtId="3" fontId="19" fillId="38" borderId="4" xfId="0" applyNumberFormat="1" applyFont="1" applyFill="1" applyBorder="1" applyAlignment="1">
      <alignment horizontal="center" vertical="center"/>
    </xf>
    <xf numFmtId="3" fontId="44" fillId="38" borderId="4" xfId="0" applyNumberFormat="1" applyFont="1" applyFill="1" applyBorder="1" applyAlignment="1">
      <alignment horizontal="center" vertical="center"/>
    </xf>
    <xf numFmtId="3" fontId="44" fillId="38" borderId="12" xfId="0" applyNumberFormat="1" applyFont="1" applyFill="1" applyBorder="1" applyAlignment="1">
      <alignment horizontal="center" vertical="center"/>
    </xf>
    <xf numFmtId="3" fontId="50" fillId="38" borderId="12" xfId="0" applyNumberFormat="1" applyFont="1" applyFill="1" applyBorder="1" applyAlignment="1">
      <alignment horizontal="center" vertical="center"/>
    </xf>
    <xf numFmtId="3" fontId="44" fillId="23" borderId="12" xfId="0" applyNumberFormat="1" applyFont="1" applyFill="1" applyBorder="1" applyAlignment="1">
      <alignment horizontal="center" vertical="center"/>
    </xf>
    <xf numFmtId="3" fontId="43" fillId="23" borderId="12" xfId="0" applyNumberFormat="1" applyFont="1" applyFill="1" applyBorder="1" applyAlignment="1">
      <alignment horizontal="center" vertical="center"/>
    </xf>
    <xf numFmtId="0" fontId="19" fillId="39" borderId="3" xfId="0" applyFont="1" applyFill="1" applyBorder="1" applyAlignment="1">
      <alignment horizontal="center" vertical="center"/>
    </xf>
    <xf numFmtId="0" fontId="32" fillId="39" borderId="3" xfId="0" applyFont="1" applyFill="1" applyBorder="1" applyAlignment="1">
      <alignment horizontal="center" vertical="center"/>
    </xf>
    <xf numFmtId="3" fontId="19" fillId="39" borderId="4" xfId="0" applyNumberFormat="1" applyFont="1" applyFill="1" applyBorder="1" applyAlignment="1">
      <alignment horizontal="center" vertical="top"/>
    </xf>
    <xf numFmtId="3" fontId="19" fillId="23" borderId="12" xfId="0" applyNumberFormat="1" applyFont="1" applyFill="1" applyBorder="1" applyAlignment="1">
      <alignment horizontal="center" vertical="top"/>
    </xf>
    <xf numFmtId="3" fontId="19" fillId="23" borderId="16" xfId="0" applyNumberFormat="1" applyFont="1" applyFill="1" applyBorder="1" applyAlignment="1">
      <alignment horizontal="center" vertical="top"/>
    </xf>
    <xf numFmtId="3" fontId="31" fillId="23" borderId="4" xfId="0" applyNumberFormat="1" applyFont="1" applyFill="1" applyBorder="1" applyAlignment="1">
      <alignment horizontal="center" vertical="center"/>
    </xf>
    <xf numFmtId="3" fontId="19" fillId="37" borderId="4" xfId="1" applyNumberFormat="1" applyFont="1" applyFill="1" applyBorder="1" applyAlignment="1">
      <alignment horizontal="center" vertical="center"/>
    </xf>
    <xf numFmtId="3" fontId="42" fillId="22" borderId="12" xfId="0" applyNumberFormat="1" applyFont="1" applyFill="1" applyBorder="1" applyAlignment="1">
      <alignment horizontal="center" vertical="center"/>
    </xf>
    <xf numFmtId="3" fontId="44" fillId="22" borderId="12" xfId="0" applyNumberFormat="1" applyFont="1" applyFill="1" applyBorder="1" applyAlignment="1">
      <alignment horizontal="center" vertical="center"/>
    </xf>
    <xf numFmtId="3" fontId="50" fillId="23" borderId="12" xfId="0" applyNumberFormat="1" applyFont="1" applyFill="1" applyBorder="1" applyAlignment="1">
      <alignment horizontal="center" vertical="center"/>
    </xf>
    <xf numFmtId="3" fontId="19" fillId="39" borderId="3" xfId="0" applyNumberFormat="1" applyFont="1" applyFill="1" applyBorder="1" applyAlignment="1">
      <alignment horizontal="center" vertical="top"/>
    </xf>
    <xf numFmtId="3" fontId="30" fillId="14" borderId="9" xfId="0" applyNumberFormat="1" applyFont="1" applyFill="1" applyBorder="1" applyAlignment="1">
      <alignment horizontal="center" vertical="center"/>
    </xf>
    <xf numFmtId="3" fontId="35" fillId="14" borderId="3" xfId="0" applyNumberFormat="1" applyFont="1" applyFill="1" applyBorder="1" applyAlignment="1">
      <alignment horizontal="center"/>
    </xf>
    <xf numFmtId="3" fontId="5" fillId="14" borderId="3" xfId="0" applyNumberFormat="1" applyFont="1" applyFill="1" applyBorder="1" applyAlignment="1">
      <alignment horizontal="center" vertical="center"/>
    </xf>
    <xf numFmtId="3" fontId="5" fillId="22" borderId="3" xfId="0" applyNumberFormat="1" applyFont="1" applyFill="1" applyBorder="1" applyAlignment="1">
      <alignment horizontal="center" vertical="center"/>
    </xf>
    <xf numFmtId="3" fontId="5" fillId="22" borderId="12" xfId="0" applyNumberFormat="1" applyFont="1" applyFill="1" applyBorder="1" applyAlignment="1">
      <alignment horizontal="center" vertical="center"/>
    </xf>
    <xf numFmtId="3" fontId="6" fillId="14" borderId="9" xfId="0" applyNumberFormat="1" applyFont="1" applyFill="1" applyBorder="1" applyAlignment="1">
      <alignment horizontal="center" vertical="center"/>
    </xf>
    <xf numFmtId="3" fontId="6" fillId="14" borderId="3" xfId="0" applyNumberFormat="1" applyFont="1" applyFill="1" applyBorder="1" applyAlignment="1">
      <alignment horizontal="center" vertical="center"/>
    </xf>
    <xf numFmtId="3" fontId="6" fillId="14" borderId="3" xfId="0" applyNumberFormat="1" applyFont="1" applyFill="1" applyBorder="1" applyAlignment="1">
      <alignment horizontal="center" vertical="top"/>
    </xf>
    <xf numFmtId="3" fontId="6" fillId="14" borderId="4" xfId="0" applyNumberFormat="1" applyFont="1" applyFill="1" applyBorder="1" applyAlignment="1">
      <alignment horizontal="center" vertical="top"/>
    </xf>
    <xf numFmtId="3" fontId="5" fillId="24" borderId="0" xfId="0" applyNumberFormat="1" applyFont="1" applyFill="1" applyBorder="1" applyAlignment="1">
      <alignment horizontal="center" vertical="top"/>
    </xf>
    <xf numFmtId="3" fontId="5" fillId="24" borderId="0" xfId="0" applyNumberFormat="1" applyFont="1" applyFill="1" applyBorder="1" applyAlignment="1">
      <alignment horizontal="center" vertical="center"/>
    </xf>
    <xf numFmtId="3" fontId="5" fillId="14" borderId="15" xfId="0" applyNumberFormat="1" applyFont="1" applyFill="1" applyBorder="1" applyAlignment="1">
      <alignment horizontal="center"/>
    </xf>
    <xf numFmtId="3" fontId="30" fillId="14" borderId="3" xfId="0" applyNumberFormat="1" applyFont="1" applyFill="1" applyBorder="1" applyAlignment="1">
      <alignment horizontal="center" vertical="center"/>
    </xf>
    <xf numFmtId="3" fontId="5" fillId="14" borderId="4" xfId="0" applyNumberFormat="1" applyFont="1" applyFill="1" applyBorder="1" applyAlignment="1">
      <alignment horizontal="center" vertical="top"/>
    </xf>
    <xf numFmtId="3" fontId="5" fillId="22" borderId="3" xfId="0" applyNumberFormat="1" applyFont="1" applyFill="1" applyBorder="1" applyAlignment="1">
      <alignment horizontal="center"/>
    </xf>
    <xf numFmtId="3" fontId="5" fillId="23" borderId="15" xfId="0" applyNumberFormat="1" applyFont="1" applyFill="1" applyBorder="1" applyAlignment="1">
      <alignment horizontal="center"/>
    </xf>
    <xf numFmtId="3" fontId="35" fillId="14" borderId="9" xfId="0" applyNumberFormat="1" applyFont="1" applyFill="1" applyBorder="1" applyAlignment="1">
      <alignment horizontal="center" vertical="center"/>
    </xf>
    <xf numFmtId="3" fontId="6" fillId="14" borderId="3" xfId="0" applyNumberFormat="1" applyFont="1" applyFill="1" applyBorder="1" applyAlignment="1">
      <alignment horizontal="center"/>
    </xf>
    <xf numFmtId="0" fontId="0" fillId="24" borderId="0" xfId="0" applyFill="1" applyAlignment="1">
      <alignment horizontal="center"/>
    </xf>
    <xf numFmtId="3" fontId="35" fillId="23" borderId="4" xfId="1" applyNumberFormat="1" applyFont="1" applyFill="1" applyBorder="1" applyAlignment="1">
      <alignment horizontal="center" vertical="top"/>
    </xf>
    <xf numFmtId="3" fontId="32" fillId="22" borderId="3" xfId="0" applyNumberFormat="1" applyFont="1" applyFill="1" applyBorder="1" applyAlignment="1">
      <alignment horizontal="center" vertical="center"/>
    </xf>
    <xf numFmtId="3" fontId="19" fillId="22" borderId="3" xfId="0" applyNumberFormat="1" applyFont="1" applyFill="1" applyBorder="1" applyAlignment="1">
      <alignment horizontal="center" vertical="center"/>
    </xf>
    <xf numFmtId="3" fontId="16" fillId="23" borderId="4" xfId="0" applyNumberFormat="1" applyFont="1" applyFill="1" applyBorder="1" applyAlignment="1">
      <alignment horizontal="center"/>
    </xf>
    <xf numFmtId="3" fontId="6" fillId="23" borderId="4" xfId="0" applyNumberFormat="1" applyFont="1" applyFill="1" applyBorder="1" applyAlignment="1">
      <alignment horizontal="center"/>
    </xf>
    <xf numFmtId="3" fontId="16" fillId="23" borderId="4" xfId="0" applyNumberFormat="1" applyFont="1" applyFill="1" applyBorder="1" applyAlignment="1">
      <alignment horizontal="center" vertical="top"/>
    </xf>
    <xf numFmtId="3" fontId="5" fillId="23" borderId="4" xfId="0" applyNumberFormat="1" applyFont="1" applyFill="1" applyBorder="1" applyAlignment="1">
      <alignment horizontal="center" vertical="top"/>
    </xf>
    <xf numFmtId="3" fontId="6" fillId="22" borderId="3" xfId="0" applyNumberFormat="1" applyFont="1" applyFill="1" applyBorder="1" applyAlignment="1">
      <alignment horizontal="center" vertical="center"/>
    </xf>
    <xf numFmtId="3" fontId="16" fillId="23" borderId="15" xfId="0" applyNumberFormat="1" applyFont="1" applyFill="1" applyBorder="1" applyAlignment="1">
      <alignment horizontal="center" vertical="center"/>
    </xf>
    <xf numFmtId="3" fontId="5" fillId="42" borderId="0" xfId="0" applyNumberFormat="1" applyFont="1" applyFill="1" applyBorder="1" applyAlignment="1">
      <alignment horizontal="center" vertical="center"/>
    </xf>
    <xf numFmtId="3" fontId="19" fillId="42" borderId="0" xfId="0" applyNumberFormat="1" applyFont="1" applyFill="1" applyBorder="1" applyAlignment="1">
      <alignment horizontal="center" vertical="center"/>
    </xf>
    <xf numFmtId="3" fontId="16" fillId="42" borderId="0" xfId="0" applyNumberFormat="1" applyFont="1" applyFill="1" applyBorder="1" applyAlignment="1">
      <alignment horizontal="center" vertical="center"/>
    </xf>
    <xf numFmtId="3" fontId="5" fillId="42" borderId="3" xfId="0" applyNumberFormat="1" applyFont="1" applyFill="1" applyBorder="1" applyAlignment="1">
      <alignment horizontal="center" vertical="center"/>
    </xf>
    <xf numFmtId="0" fontId="16" fillId="42" borderId="0" xfId="0" applyFont="1" applyFill="1" applyAlignment="1">
      <alignment horizontal="center"/>
    </xf>
    <xf numFmtId="0" fontId="0" fillId="42" borderId="0" xfId="0" applyFill="1" applyAlignment="1">
      <alignment horizontal="center"/>
    </xf>
    <xf numFmtId="0" fontId="44" fillId="23" borderId="9" xfId="1" applyNumberFormat="1" applyFont="1" applyFill="1" applyBorder="1" applyAlignment="1">
      <alignment horizontal="center" vertical="center"/>
    </xf>
    <xf numFmtId="0" fontId="52" fillId="23" borderId="9" xfId="1" applyNumberFormat="1" applyFont="1" applyFill="1" applyBorder="1" applyAlignment="1">
      <alignment horizontal="center" vertical="center"/>
    </xf>
    <xf numFmtId="3" fontId="44" fillId="23" borderId="15" xfId="0" applyNumberFormat="1" applyFont="1" applyFill="1" applyBorder="1" applyAlignment="1">
      <alignment horizontal="center" vertical="center"/>
    </xf>
    <xf numFmtId="3" fontId="9" fillId="38" borderId="3" xfId="0" applyNumberFormat="1" applyFont="1" applyFill="1" applyBorder="1" applyAlignment="1">
      <alignment vertical="center"/>
    </xf>
    <xf numFmtId="3" fontId="32" fillId="42" borderId="3" xfId="0" applyNumberFormat="1" applyFont="1" applyFill="1" applyBorder="1" applyAlignment="1">
      <alignment horizontal="center" vertical="center"/>
    </xf>
    <xf numFmtId="3" fontId="5" fillId="42" borderId="3" xfId="0" applyNumberFormat="1" applyFont="1" applyFill="1" applyBorder="1" applyAlignment="1">
      <alignment horizontal="center" vertical="top"/>
    </xf>
    <xf numFmtId="0" fontId="0" fillId="0" borderId="0" xfId="0" applyFill="1" applyAlignment="1">
      <alignment horizontal="right"/>
    </xf>
    <xf numFmtId="0" fontId="0" fillId="0" borderId="0" xfId="0" applyFill="1" applyBorder="1" applyAlignment="1">
      <alignment horizontal="right"/>
    </xf>
    <xf numFmtId="3" fontId="5" fillId="23" borderId="42" xfId="0" applyNumberFormat="1" applyFont="1" applyFill="1" applyBorder="1" applyAlignment="1">
      <alignment horizontal="center" vertical="center"/>
    </xf>
    <xf numFmtId="3" fontId="6" fillId="23" borderId="43" xfId="0" applyNumberFormat="1" applyFont="1" applyFill="1" applyBorder="1" applyAlignment="1">
      <alignment horizontal="center"/>
    </xf>
    <xf numFmtId="3" fontId="5" fillId="23" borderId="44" xfId="0" applyNumberFormat="1" applyFont="1" applyFill="1" applyBorder="1" applyAlignment="1">
      <alignment horizontal="center" vertical="center"/>
    </xf>
    <xf numFmtId="3" fontId="5" fillId="23" borderId="43" xfId="0" applyNumberFormat="1" applyFont="1" applyFill="1" applyBorder="1" applyAlignment="1">
      <alignment horizontal="center"/>
    </xf>
    <xf numFmtId="3" fontId="5" fillId="23" borderId="43" xfId="0" applyNumberFormat="1" applyFont="1" applyFill="1" applyBorder="1" applyAlignment="1">
      <alignment horizontal="center" vertical="center"/>
    </xf>
    <xf numFmtId="3" fontId="30" fillId="23" borderId="44" xfId="0" applyNumberFormat="1" applyFont="1" applyFill="1" applyBorder="1" applyAlignment="1">
      <alignment horizontal="center" vertical="center"/>
    </xf>
    <xf numFmtId="3" fontId="5" fillId="23" borderId="45" xfId="0" applyNumberFormat="1" applyFont="1" applyFill="1" applyBorder="1" applyAlignment="1">
      <alignment horizontal="center" vertical="center"/>
    </xf>
    <xf numFmtId="3" fontId="6" fillId="23" borderId="42" xfId="0" applyNumberFormat="1" applyFont="1" applyFill="1" applyBorder="1" applyAlignment="1">
      <alignment horizontal="center" vertical="center"/>
    </xf>
    <xf numFmtId="3" fontId="6" fillId="23" borderId="45" xfId="0" applyNumberFormat="1" applyFont="1" applyFill="1" applyBorder="1" applyAlignment="1">
      <alignment horizontal="center" vertical="center"/>
    </xf>
    <xf numFmtId="1" fontId="0" fillId="0" borderId="0" xfId="0" applyNumberFormat="1" applyAlignment="1">
      <alignment horizontal="center"/>
    </xf>
    <xf numFmtId="3" fontId="27" fillId="29" borderId="33" xfId="0" applyNumberFormat="1" applyFont="1" applyFill="1" applyBorder="1" applyAlignment="1">
      <alignment horizontal="center" wrapText="1"/>
    </xf>
    <xf numFmtId="3" fontId="27" fillId="29" borderId="36" xfId="0" applyNumberFormat="1" applyFont="1" applyFill="1" applyBorder="1" applyAlignment="1">
      <alignment horizontal="center" wrapText="1"/>
    </xf>
    <xf numFmtId="3" fontId="27" fillId="29" borderId="26" xfId="0" applyNumberFormat="1" applyFont="1" applyFill="1" applyBorder="1" applyAlignment="1">
      <alignment horizontal="center" wrapText="1"/>
    </xf>
    <xf numFmtId="3" fontId="27" fillId="29" borderId="37" xfId="0" applyNumberFormat="1" applyFont="1" applyFill="1" applyBorder="1" applyAlignment="1">
      <alignment horizontal="center" wrapText="1"/>
    </xf>
    <xf numFmtId="0" fontId="13" fillId="0" borderId="13" xfId="0" quotePrefix="1" applyFont="1" applyBorder="1" applyAlignment="1">
      <alignment horizontal="center" vertical="center" wrapText="1"/>
    </xf>
    <xf numFmtId="0" fontId="13" fillId="0" borderId="0" xfId="0" quotePrefix="1" applyFont="1" applyBorder="1" applyAlignment="1">
      <alignment horizontal="center" vertical="center" wrapText="1"/>
    </xf>
    <xf numFmtId="0" fontId="54" fillId="31" borderId="3" xfId="0" applyFont="1" applyFill="1" applyBorder="1" applyAlignment="1">
      <alignment horizontal="center" vertical="center" wrapText="1"/>
    </xf>
    <xf numFmtId="0" fontId="54" fillId="31" borderId="38" xfId="0" applyFont="1" applyFill="1" applyBorder="1" applyAlignment="1">
      <alignment horizontal="center" vertical="center" wrapText="1"/>
    </xf>
    <xf numFmtId="0" fontId="54" fillId="31" borderId="3" xfId="0" applyFont="1" applyFill="1" applyBorder="1" applyAlignment="1">
      <alignment vertical="center" wrapText="1"/>
    </xf>
    <xf numFmtId="0" fontId="54" fillId="31" borderId="38" xfId="0" applyFont="1" applyFill="1" applyBorder="1" applyAlignment="1">
      <alignment vertical="center" wrapText="1"/>
    </xf>
  </cellXfs>
  <cellStyles count="17">
    <cellStyle name="Comma" xfId="1" builtinId="3"/>
    <cellStyle name="Comma 2" xfId="2" xr:uid="{00000000-0005-0000-0000-000001000000}"/>
    <cellStyle name="Comma 3" xfId="13" xr:uid="{6F7B1439-71F1-49CC-B150-6208F697523D}"/>
    <cellStyle name="Normal" xfId="0" builtinId="0"/>
    <cellStyle name="Normal 2" xfId="3" xr:uid="{00000000-0005-0000-0000-000003000000}"/>
    <cellStyle name="Normal 3" xfId="4" xr:uid="{00000000-0005-0000-0000-000004000000}"/>
    <cellStyle name="Normal 4" xfId="5" xr:uid="{00000000-0005-0000-0000-000005000000}"/>
    <cellStyle name="Normal 5" xfId="6" xr:uid="{00000000-0005-0000-0000-000006000000}"/>
    <cellStyle name="Normal 6" xfId="10" xr:uid="{00000000-0005-0000-0000-000007000000}"/>
    <cellStyle name="Normal 7" xfId="12" xr:uid="{024CCA9E-2C3C-486E-9547-BF00809D0256}"/>
    <cellStyle name="Normal 8" xfId="14" xr:uid="{5FAD116C-1381-42B0-8870-297A0759BC95}"/>
    <cellStyle name="Normal 9" xfId="15" xr:uid="{9D726E32-9354-4857-BD2D-EACFBDF09234}"/>
    <cellStyle name="Normal_RawPL+D" xfId="7" xr:uid="{00000000-0005-0000-0000-000008000000}"/>
    <cellStyle name="Normal_Sheet2" xfId="16" xr:uid="{D3D706AC-73AD-41EC-BD92-F54B9E525467}"/>
    <cellStyle name="Percent" xfId="8" builtinId="5"/>
    <cellStyle name="Percent 2" xfId="9" xr:uid="{00000000-0005-0000-0000-00000A000000}"/>
    <cellStyle name="Percent 3" xfId="11" xr:uid="{00000000-0005-0000-0000-00000B000000}"/>
  </cellStyles>
  <dxfs count="656">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FFFF00"/>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ont>
        <color rgb="FF9C0006"/>
      </font>
      <fill>
        <patternFill>
          <bgColor rgb="FFFFC7CE"/>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ont>
        <color rgb="FF9C0006"/>
      </font>
      <fill>
        <patternFill>
          <bgColor rgb="FFFFC7CE"/>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
      <fill>
        <patternFill>
          <bgColor rgb="FF00B050"/>
        </patternFill>
      </fill>
    </dxf>
    <dxf>
      <fill>
        <patternFill>
          <bgColor rgb="FF00B0F0"/>
        </patternFill>
      </fill>
    </dxf>
    <dxf>
      <fill>
        <patternFill>
          <bgColor rgb="FFFFFF00"/>
        </patternFill>
      </fill>
    </dxf>
    <dxf>
      <fill>
        <patternFill>
          <bgColor rgb="FFFF0000"/>
        </patternFill>
      </fill>
    </dxf>
    <dxf>
      <fill>
        <patternFill>
          <bgColor indexed="47"/>
        </patternFill>
      </fill>
    </dxf>
  </dxfs>
  <tableStyles count="0" defaultTableStyle="TableStyleMedium2" defaultPivotStyle="PivotStyleLight16"/>
  <colors>
    <mruColors>
      <color rgb="FFCCFFFF"/>
      <color rgb="FFCCFFCC"/>
      <color rgb="FF0000FF"/>
      <color rgb="FF99CCFF"/>
      <color rgb="FF00FF00"/>
      <color rgb="FFFF99CC"/>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2</xdr:col>
      <xdr:colOff>85725</xdr:colOff>
      <xdr:row>0</xdr:row>
      <xdr:rowOff>19050</xdr:rowOff>
    </xdr:from>
    <xdr:to>
      <xdr:col>4</xdr:col>
      <xdr:colOff>847725</xdr:colOff>
      <xdr:row>1</xdr:row>
      <xdr:rowOff>0</xdr:rowOff>
    </xdr:to>
    <xdr:pic>
      <xdr:nvPicPr>
        <xdr:cNvPr id="116116" name="Picture 1">
          <a:extLst>
            <a:ext uri="{FF2B5EF4-FFF2-40B4-BE49-F238E27FC236}">
              <a16:creationId xmlns:a16="http://schemas.microsoft.com/office/drawing/2014/main" id="{00000000-0008-0000-0000-000094C5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1525" y="19050"/>
          <a:ext cx="1838325" cy="1809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85725</xdr:colOff>
      <xdr:row>0</xdr:row>
      <xdr:rowOff>19050</xdr:rowOff>
    </xdr:from>
    <xdr:to>
      <xdr:col>4</xdr:col>
      <xdr:colOff>747373</xdr:colOff>
      <xdr:row>1</xdr:row>
      <xdr:rowOff>4445</xdr:rowOff>
    </xdr:to>
    <xdr:pic>
      <xdr:nvPicPr>
        <xdr:cNvPr id="112420" name="Picture 1">
          <a:extLst>
            <a:ext uri="{FF2B5EF4-FFF2-40B4-BE49-F238E27FC236}">
              <a16:creationId xmlns:a16="http://schemas.microsoft.com/office/drawing/2014/main" id="{00000000-0008-0000-0100-000024B7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19050"/>
          <a:ext cx="1875768" cy="180975"/>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WCVI/ESCAPEMENT/Data/WCVI_popn_summary/WCVI_Stream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Sheet2"/>
      <sheetName val="chinook junk"/>
      <sheetName val="WCVI Esc"/>
      <sheetName val="Sheet1"/>
      <sheetName val="CU_lookup"/>
      <sheetName val="Assess_LU"/>
      <sheetName val="Enhancement_LU"/>
      <sheetName val="PSC Indicators"/>
      <sheetName val="Area 20"/>
      <sheetName val="Area 21"/>
      <sheetName val="Area 22"/>
      <sheetName val="Area 23"/>
      <sheetName val="Area 24"/>
      <sheetName val="Area 25"/>
      <sheetName val="Area 26"/>
      <sheetName val="Area 27"/>
      <sheetName val="CH"/>
      <sheetName val="Escapement Codes"/>
    </sheetNames>
    <sheetDataSet>
      <sheetData sheetId="0"/>
      <sheetData sheetId="1"/>
      <sheetData sheetId="2"/>
      <sheetData sheetId="3">
        <row r="5">
          <cell r="C5" t="str">
            <v>AYUM CREEK_Chum</v>
          </cell>
          <cell r="D5" t="str">
            <v>No</v>
          </cell>
          <cell r="E5" t="str">
            <v>No</v>
          </cell>
          <cell r="F5">
            <v>20</v>
          </cell>
          <cell r="G5" t="str">
            <v>AYUM CREEK</v>
          </cell>
          <cell r="H5" t="str">
            <v>Chum</v>
          </cell>
          <cell r="I5"/>
          <cell r="J5"/>
          <cell r="K5">
            <v>5</v>
          </cell>
          <cell r="L5">
            <v>5</v>
          </cell>
          <cell r="M5">
            <v>4</v>
          </cell>
          <cell r="N5">
            <v>110.47586633248859</v>
          </cell>
          <cell r="O5">
            <v>4000</v>
          </cell>
          <cell r="P5">
            <v>588.64893565336524</v>
          </cell>
          <cell r="Q5"/>
          <cell r="R5"/>
          <cell r="S5"/>
          <cell r="T5" t="e">
            <v>#DIV/0!</v>
          </cell>
          <cell r="U5" t="e">
            <v>#DIV/0!</v>
          </cell>
          <cell r="V5"/>
          <cell r="W5" t="str">
            <v>NI</v>
          </cell>
        </row>
        <row r="6">
          <cell r="C6" t="str">
            <v>AYUM CREEK_Coho</v>
          </cell>
          <cell r="D6" t="str">
            <v>No</v>
          </cell>
          <cell r="E6" t="str">
            <v>No</v>
          </cell>
          <cell r="F6">
            <v>20</v>
          </cell>
          <cell r="G6" t="str">
            <v>AYUM CREEK</v>
          </cell>
          <cell r="H6" t="str">
            <v>Coho</v>
          </cell>
          <cell r="I6"/>
          <cell r="J6"/>
          <cell r="K6">
            <v>5</v>
          </cell>
          <cell r="L6">
            <v>5</v>
          </cell>
          <cell r="M6">
            <v>5</v>
          </cell>
          <cell r="N6">
            <v>18.943280044210695</v>
          </cell>
          <cell r="O6">
            <v>75</v>
          </cell>
          <cell r="P6">
            <v>15.33040307224204</v>
          </cell>
          <cell r="Q6"/>
          <cell r="R6"/>
          <cell r="S6"/>
          <cell r="T6" t="e">
            <v>#DIV/0!</v>
          </cell>
          <cell r="U6" t="e">
            <v>#DIV/0!</v>
          </cell>
          <cell r="V6"/>
          <cell r="W6" t="str">
            <v>NI</v>
          </cell>
        </row>
        <row r="7">
          <cell r="C7" t="str">
            <v>BAKER CREEK_Chum</v>
          </cell>
          <cell r="D7" t="str">
            <v>No</v>
          </cell>
          <cell r="E7" t="str">
            <v>No</v>
          </cell>
          <cell r="F7">
            <v>20</v>
          </cell>
          <cell r="G7" t="str">
            <v>BAKER CREEK</v>
          </cell>
          <cell r="H7" t="str">
            <v>Chum</v>
          </cell>
          <cell r="I7"/>
          <cell r="J7"/>
          <cell r="K7">
            <v>5</v>
          </cell>
          <cell r="L7">
            <v>5</v>
          </cell>
          <cell r="M7">
            <v>4</v>
          </cell>
          <cell r="N7">
            <v>112.18408606735605</v>
          </cell>
          <cell r="O7">
            <v>1700</v>
          </cell>
          <cell r="P7">
            <v>174.53067251140888</v>
          </cell>
          <cell r="Q7"/>
          <cell r="R7"/>
          <cell r="S7" t="str">
            <v>Last survey in 2000, no fish observed</v>
          </cell>
          <cell r="T7" t="e">
            <v>#DIV/0!</v>
          </cell>
          <cell r="U7" t="e">
            <v>#DIV/0!</v>
          </cell>
          <cell r="V7"/>
          <cell r="W7" t="str">
            <v>NI</v>
          </cell>
        </row>
        <row r="8">
          <cell r="C8" t="str">
            <v>BAKER CREEK_Coho</v>
          </cell>
          <cell r="D8" t="str">
            <v>No</v>
          </cell>
          <cell r="E8" t="str">
            <v>No</v>
          </cell>
          <cell r="F8">
            <v>20</v>
          </cell>
          <cell r="G8" t="str">
            <v>BAKER CREEK</v>
          </cell>
          <cell r="H8" t="str">
            <v>Coho</v>
          </cell>
          <cell r="I8"/>
          <cell r="J8"/>
          <cell r="K8">
            <v>5</v>
          </cell>
          <cell r="L8">
            <v>5</v>
          </cell>
          <cell r="M8">
            <v>3</v>
          </cell>
          <cell r="N8">
            <v>7.3680629972807727</v>
          </cell>
          <cell r="O8">
            <v>15</v>
          </cell>
          <cell r="P8">
            <v>6.5691454099277813</v>
          </cell>
          <cell r="Q8"/>
          <cell r="R8"/>
          <cell r="S8" t="str">
            <v>Last survey in 2000, no fish observed</v>
          </cell>
          <cell r="T8" t="e">
            <v>#DIV/0!</v>
          </cell>
          <cell r="U8" t="e">
            <v>#DIV/0!</v>
          </cell>
          <cell r="V8"/>
          <cell r="W8" t="str">
            <v>NI</v>
          </cell>
        </row>
        <row r="9">
          <cell r="C9" t="str">
            <v>CHARTERS RIVER_Chinook</v>
          </cell>
          <cell r="D9" t="str">
            <v>No</v>
          </cell>
          <cell r="E9" t="str">
            <v>No</v>
          </cell>
          <cell r="F9">
            <v>20</v>
          </cell>
          <cell r="G9" t="str">
            <v>CHARTERS RIVER</v>
          </cell>
          <cell r="H9" t="str">
            <v>Chinook</v>
          </cell>
          <cell r="I9"/>
          <cell r="J9"/>
          <cell r="K9">
            <v>5</v>
          </cell>
          <cell r="L9">
            <v>6</v>
          </cell>
          <cell r="M9">
            <v>3</v>
          </cell>
          <cell r="N9">
            <v>40.716264248923601</v>
          </cell>
          <cell r="O9">
            <v>150</v>
          </cell>
          <cell r="P9">
            <v>21.213203435596427</v>
          </cell>
          <cell r="Q9"/>
          <cell r="R9"/>
          <cell r="S9" t="str">
            <v>Last survey in 2000, no fish observed</v>
          </cell>
          <cell r="T9" t="e">
            <v>#DIV/0!</v>
          </cell>
          <cell r="U9" t="e">
            <v>#DIV/0!</v>
          </cell>
          <cell r="V9"/>
          <cell r="W9" t="str">
            <v>NI</v>
          </cell>
        </row>
        <row r="10">
          <cell r="C10" t="str">
            <v>CHARTERS RIVER_Chum</v>
          </cell>
          <cell r="D10" t="str">
            <v>No</v>
          </cell>
          <cell r="E10" t="str">
            <v>No</v>
          </cell>
          <cell r="F10">
            <v>20</v>
          </cell>
          <cell r="G10" t="str">
            <v>CHARTERS RIVER</v>
          </cell>
          <cell r="H10" t="str">
            <v>Chum</v>
          </cell>
          <cell r="I10"/>
          <cell r="J10"/>
          <cell r="K10">
            <v>5</v>
          </cell>
          <cell r="L10">
            <v>6</v>
          </cell>
          <cell r="M10">
            <v>6</v>
          </cell>
          <cell r="N10">
            <v>312.77136916015218</v>
          </cell>
          <cell r="O10">
            <v>3500</v>
          </cell>
          <cell r="P10">
            <v>741.91879561522774</v>
          </cell>
          <cell r="Q10"/>
          <cell r="R10"/>
          <cell r="S10" t="str">
            <v>Last survey in 2000</v>
          </cell>
          <cell r="T10" t="e">
            <v>#DIV/0!</v>
          </cell>
          <cell r="U10" t="e">
            <v>#DIV/0!</v>
          </cell>
          <cell r="V10"/>
          <cell r="W10" t="str">
            <v>NI</v>
          </cell>
        </row>
        <row r="11">
          <cell r="C11" t="str">
            <v>CHARTERS RIVER_Coho</v>
          </cell>
          <cell r="D11" t="str">
            <v>No</v>
          </cell>
          <cell r="E11" t="str">
            <v>No</v>
          </cell>
          <cell r="F11">
            <v>20</v>
          </cell>
          <cell r="G11" t="str">
            <v>CHARTERS RIVER</v>
          </cell>
          <cell r="H11" t="str">
            <v>Coho</v>
          </cell>
          <cell r="I11"/>
          <cell r="J11"/>
          <cell r="K11">
            <v>5</v>
          </cell>
          <cell r="L11">
            <v>6</v>
          </cell>
          <cell r="M11">
            <v>5</v>
          </cell>
          <cell r="N11">
            <v>17.454322774580643</v>
          </cell>
          <cell r="O11">
            <v>57</v>
          </cell>
          <cell r="P11">
            <v>13.907411272120305</v>
          </cell>
          <cell r="Q11"/>
          <cell r="R11"/>
          <cell r="S11" t="str">
            <v>Last survey in 2000, no fish observed</v>
          </cell>
          <cell r="T11" t="e">
            <v>#DIV/0!</v>
          </cell>
          <cell r="U11" t="e">
            <v>#DIV/0!</v>
          </cell>
          <cell r="V11"/>
          <cell r="W11" t="str">
            <v>NI</v>
          </cell>
        </row>
        <row r="12">
          <cell r="C12" t="str">
            <v>DE MAMIEL CREEK_Chinook</v>
          </cell>
          <cell r="D12" t="str">
            <v>No</v>
          </cell>
          <cell r="E12" t="str">
            <v>No</v>
          </cell>
          <cell r="F12">
            <v>20</v>
          </cell>
          <cell r="G12" t="str">
            <v>DE MAMIEL CREEK</v>
          </cell>
          <cell r="H12" t="str">
            <v>Chinook</v>
          </cell>
          <cell r="I12"/>
          <cell r="J12"/>
          <cell r="K12">
            <v>4</v>
          </cell>
          <cell r="L12">
            <v>6</v>
          </cell>
          <cell r="M12">
            <v>6</v>
          </cell>
          <cell r="N12">
            <v>8.0124433747705677</v>
          </cell>
          <cell r="O12">
            <v>210</v>
          </cell>
          <cell r="P12">
            <v>7.5656436626287187</v>
          </cell>
          <cell r="Q12"/>
          <cell r="R12"/>
          <cell r="S12" t="str">
            <v xml:space="preserve">From 2001-2004 only AP entered as escapement - count was included in the Sooke River escapement number and was not surveyed in 2005 or 2006 - </v>
          </cell>
          <cell r="T12" t="e">
            <v>#DIV/0!</v>
          </cell>
          <cell r="U12">
            <v>75</v>
          </cell>
          <cell r="V12"/>
          <cell r="W12" t="str">
            <v>NI</v>
          </cell>
        </row>
        <row r="13">
          <cell r="C13" t="str">
            <v>DE MAMIEL CREEK_Chum</v>
          </cell>
          <cell r="D13" t="str">
            <v>No</v>
          </cell>
          <cell r="E13" t="str">
            <v>No</v>
          </cell>
          <cell r="F13">
            <v>20</v>
          </cell>
          <cell r="G13" t="str">
            <v>DE MAMIEL CREEK</v>
          </cell>
          <cell r="H13" t="str">
            <v>Chum</v>
          </cell>
          <cell r="I13"/>
          <cell r="J13"/>
          <cell r="K13">
            <v>4</v>
          </cell>
          <cell r="L13">
            <v>6</v>
          </cell>
          <cell r="M13">
            <v>6</v>
          </cell>
          <cell r="N13">
            <v>3783.6854196662657</v>
          </cell>
          <cell r="O13">
            <v>55000</v>
          </cell>
          <cell r="P13">
            <v>6423.9897209133196</v>
          </cell>
          <cell r="Q13"/>
          <cell r="R13"/>
          <cell r="S13" t="str">
            <v xml:space="preserve">From 2001-2004 only AP entered as escapement - count was included in the Sooke River escapement number and was not surveyed in 2005 or 2006 - </v>
          </cell>
          <cell r="T13" t="e">
            <v>#DIV/0!</v>
          </cell>
          <cell r="U13">
            <v>3754</v>
          </cell>
          <cell r="V13"/>
          <cell r="W13" t="str">
            <v>NI</v>
          </cell>
        </row>
        <row r="14">
          <cell r="C14" t="str">
            <v>DE MAMIEL CREEK_Coho</v>
          </cell>
          <cell r="D14" t="str">
            <v>No</v>
          </cell>
          <cell r="E14" t="str">
            <v>No</v>
          </cell>
          <cell r="F14">
            <v>20</v>
          </cell>
          <cell r="G14" t="str">
            <v>DE MAMIEL CREEK</v>
          </cell>
          <cell r="H14" t="str">
            <v>Coho</v>
          </cell>
          <cell r="I14"/>
          <cell r="J14"/>
          <cell r="K14">
            <v>4</v>
          </cell>
          <cell r="L14">
            <v>6</v>
          </cell>
          <cell r="M14">
            <v>6</v>
          </cell>
          <cell r="N14">
            <v>471.14613607867756</v>
          </cell>
          <cell r="O14">
            <v>7500</v>
          </cell>
          <cell r="P14">
            <v>899.7042522813806</v>
          </cell>
          <cell r="Q14"/>
          <cell r="R14"/>
          <cell r="S14" t="str">
            <v xml:space="preserve">From 2001-2004 only AP entered as escapement - count was included in the Sooke River escapement number and was not surveyed in 2005 or 2006 - </v>
          </cell>
          <cell r="T14" t="e">
            <v>#DIV/0!</v>
          </cell>
          <cell r="U14">
            <v>200</v>
          </cell>
          <cell r="V14"/>
          <cell r="W14" t="str">
            <v>NI</v>
          </cell>
        </row>
        <row r="15">
          <cell r="C15" t="str">
            <v>FALLS CREEK_Coho</v>
          </cell>
          <cell r="D15" t="str">
            <v>No</v>
          </cell>
          <cell r="E15" t="str">
            <v>No</v>
          </cell>
          <cell r="F15">
            <v>20</v>
          </cell>
          <cell r="G15" t="str">
            <v>FALLS CREEK</v>
          </cell>
          <cell r="H15" t="str">
            <v>Coho</v>
          </cell>
          <cell r="I15"/>
          <cell r="J15"/>
          <cell r="K15">
            <v>4</v>
          </cell>
          <cell r="L15">
            <v>7</v>
          </cell>
          <cell r="M15">
            <v>7</v>
          </cell>
          <cell r="N15">
            <v>41.531282274890799</v>
          </cell>
          <cell r="O15">
            <v>203</v>
          </cell>
          <cell r="P15">
            <v>32.207930878486493</v>
          </cell>
          <cell r="Q15"/>
          <cell r="R15"/>
          <cell r="S15"/>
          <cell r="T15" t="e">
            <v>#DIV/0!</v>
          </cell>
          <cell r="U15">
            <v>8</v>
          </cell>
          <cell r="V15"/>
          <cell r="W15" t="str">
            <v>NI</v>
          </cell>
        </row>
        <row r="16">
          <cell r="C16" t="str">
            <v>GORDON RIVER_Chinook</v>
          </cell>
          <cell r="D16" t="str">
            <v>No</v>
          </cell>
          <cell r="E16" t="str">
            <v>No</v>
          </cell>
          <cell r="F16">
            <v>20</v>
          </cell>
          <cell r="G16" t="str">
            <v>GORDON RIVER</v>
          </cell>
          <cell r="H16" t="str">
            <v>Chinook</v>
          </cell>
          <cell r="I16"/>
          <cell r="J16"/>
          <cell r="K16">
            <v>3</v>
          </cell>
          <cell r="L16">
            <v>8</v>
          </cell>
          <cell r="M16">
            <v>8</v>
          </cell>
          <cell r="N16">
            <v>46.023071315103437</v>
          </cell>
          <cell r="O16">
            <v>3500</v>
          </cell>
          <cell r="P16">
            <v>77.627093425005967</v>
          </cell>
          <cell r="Q16" t="str">
            <v>C.  Other systems surveyed extensively since 1995, but due to lack of historic info, not included in expanded group (B)</v>
          </cell>
          <cell r="R16"/>
          <cell r="S16" t="str">
            <v>Average Esc from 1995-2005 from file: NEW ESCAPEMENT INDEX.XLS</v>
          </cell>
          <cell r="T16">
            <v>84.5</v>
          </cell>
          <cell r="U16">
            <v>64.333333333333329</v>
          </cell>
          <cell r="V16"/>
          <cell r="W16">
            <v>46</v>
          </cell>
        </row>
        <row r="17">
          <cell r="C17" t="str">
            <v>GORDON RIVER_Chum</v>
          </cell>
          <cell r="D17" t="str">
            <v>No</v>
          </cell>
          <cell r="E17" t="str">
            <v>No</v>
          </cell>
          <cell r="F17">
            <v>20</v>
          </cell>
          <cell r="G17" t="str">
            <v>GORDON RIVER</v>
          </cell>
          <cell r="H17" t="str">
            <v>Chum</v>
          </cell>
          <cell r="I17"/>
          <cell r="J17"/>
          <cell r="K17">
            <v>3</v>
          </cell>
          <cell r="L17">
            <v>8</v>
          </cell>
          <cell r="M17">
            <v>8</v>
          </cell>
          <cell r="N17">
            <v>180.11256686426844</v>
          </cell>
          <cell r="O17">
            <v>6000</v>
          </cell>
          <cell r="P17">
            <v>258.5451027598279</v>
          </cell>
          <cell r="Q17" t="str">
            <v>C.  Other systems surveyed extensively since 1995, but due to lack of historic info, not included in expanded group (B)</v>
          </cell>
          <cell r="R17"/>
          <cell r="S17"/>
          <cell r="T17">
            <v>190</v>
          </cell>
          <cell r="U17">
            <v>173.8</v>
          </cell>
          <cell r="V17"/>
          <cell r="W17">
            <v>210</v>
          </cell>
        </row>
        <row r="18">
          <cell r="C18" t="str">
            <v>GORDON RIVER_Coho</v>
          </cell>
          <cell r="D18" t="str">
            <v>No</v>
          </cell>
          <cell r="E18" t="str">
            <v>No</v>
          </cell>
          <cell r="F18">
            <v>20</v>
          </cell>
          <cell r="G18" t="str">
            <v>GORDON RIVER</v>
          </cell>
          <cell r="H18" t="str">
            <v>Coho</v>
          </cell>
          <cell r="I18"/>
          <cell r="J18"/>
          <cell r="K18">
            <v>3</v>
          </cell>
          <cell r="L18">
            <v>8</v>
          </cell>
          <cell r="M18">
            <v>8</v>
          </cell>
          <cell r="N18">
            <v>324.98644346001453</v>
          </cell>
          <cell r="O18">
            <v>7500</v>
          </cell>
          <cell r="P18">
            <v>544.73443360416218</v>
          </cell>
          <cell r="Q18" t="str">
            <v>C.  Other systems surveyed extensively since 1995, but due to lack of historic info, not included in expanded group (B)</v>
          </cell>
          <cell r="R18"/>
          <cell r="S18"/>
          <cell r="T18">
            <v>719.66666666666663</v>
          </cell>
          <cell r="U18">
            <v>683.2</v>
          </cell>
          <cell r="V18"/>
          <cell r="W18">
            <v>838</v>
          </cell>
        </row>
        <row r="19">
          <cell r="C19" t="str">
            <v>GORDON RIVER_Pink</v>
          </cell>
          <cell r="D19" t="str">
            <v>No</v>
          </cell>
          <cell r="E19" t="str">
            <v>No</v>
          </cell>
          <cell r="F19">
            <v>20</v>
          </cell>
          <cell r="G19" t="str">
            <v>GORDON RIVER</v>
          </cell>
          <cell r="H19" t="str">
            <v>Pink</v>
          </cell>
          <cell r="I19"/>
          <cell r="J19"/>
          <cell r="K19">
            <v>3</v>
          </cell>
          <cell r="L19">
            <v>8</v>
          </cell>
          <cell r="M19">
            <v>6</v>
          </cell>
          <cell r="N19">
            <v>10.703122558969438</v>
          </cell>
          <cell r="O19">
            <v>1500</v>
          </cell>
          <cell r="P19">
            <v>79.74701035072512</v>
          </cell>
          <cell r="Q19" t="str">
            <v>C.  Other systems surveyed extensively since 1995, but due to lack of historic info, not included in expanded group (B)</v>
          </cell>
          <cell r="R19"/>
          <cell r="S19"/>
          <cell r="T19" t="e">
            <v>#DIV/0!</v>
          </cell>
          <cell r="U19" t="e">
            <v>#DIV/0!</v>
          </cell>
          <cell r="V19"/>
          <cell r="W19" t="str">
            <v>NO</v>
          </cell>
        </row>
        <row r="20">
          <cell r="C20" t="str">
            <v>GORDON RIVER_Sockeye</v>
          </cell>
          <cell r="D20" t="str">
            <v>No</v>
          </cell>
          <cell r="E20" t="str">
            <v>No</v>
          </cell>
          <cell r="F20">
            <v>20</v>
          </cell>
          <cell r="G20" t="str">
            <v>GORDON RIVER</v>
          </cell>
          <cell r="H20" t="str">
            <v>Sockeye</v>
          </cell>
          <cell r="I20"/>
          <cell r="J20"/>
          <cell r="K20">
            <v>3</v>
          </cell>
          <cell r="L20">
            <v>8</v>
          </cell>
          <cell r="M20">
            <v>6</v>
          </cell>
          <cell r="N20">
            <v>6.8957505481350641</v>
          </cell>
          <cell r="O20">
            <v>380</v>
          </cell>
          <cell r="P20">
            <v>20.25401505336789</v>
          </cell>
          <cell r="Q20" t="str">
            <v>C.  Other systems surveyed extensively since 1995, but due to lack of historic info, not included in expanded group (B)</v>
          </cell>
          <cell r="R20"/>
          <cell r="S20"/>
          <cell r="T20">
            <v>18</v>
          </cell>
          <cell r="U20">
            <v>18</v>
          </cell>
          <cell r="V20"/>
          <cell r="W20">
            <v>34</v>
          </cell>
        </row>
        <row r="21">
          <cell r="C21" t="str">
            <v>HARRIS CREEK_Chinook</v>
          </cell>
          <cell r="D21" t="str">
            <v>No</v>
          </cell>
          <cell r="E21" t="str">
            <v>No</v>
          </cell>
          <cell r="F21">
            <v>20</v>
          </cell>
          <cell r="G21" t="str">
            <v>HARRIS CREEK</v>
          </cell>
          <cell r="H21" t="str">
            <v>Chinook</v>
          </cell>
          <cell r="I21"/>
          <cell r="J21"/>
          <cell r="K21">
            <v>3</v>
          </cell>
          <cell r="L21">
            <v>9</v>
          </cell>
          <cell r="M21">
            <v>6</v>
          </cell>
          <cell r="N21">
            <v>10.785016926716574</v>
          </cell>
          <cell r="O21">
            <v>100</v>
          </cell>
          <cell r="P21">
            <v>17.23604452219482</v>
          </cell>
          <cell r="Q21"/>
          <cell r="R21"/>
          <cell r="S21"/>
          <cell r="T21">
            <v>244</v>
          </cell>
          <cell r="U21">
            <v>89.25</v>
          </cell>
          <cell r="V21"/>
          <cell r="W21" t="str">
            <v>NO</v>
          </cell>
        </row>
        <row r="22">
          <cell r="C22" t="str">
            <v>HARRIS CREEK_Chum</v>
          </cell>
          <cell r="D22" t="str">
            <v>No</v>
          </cell>
          <cell r="E22" t="str">
            <v>No</v>
          </cell>
          <cell r="F22">
            <v>20</v>
          </cell>
          <cell r="G22" t="str">
            <v>HARRIS CREEK</v>
          </cell>
          <cell r="H22" t="str">
            <v>Chum</v>
          </cell>
          <cell r="I22"/>
          <cell r="J22"/>
          <cell r="K22">
            <v>3</v>
          </cell>
          <cell r="L22">
            <v>9</v>
          </cell>
          <cell r="M22">
            <v>5</v>
          </cell>
          <cell r="N22">
            <v>3.9650184739538727</v>
          </cell>
          <cell r="O22">
            <v>35</v>
          </cell>
          <cell r="P22">
            <v>3.9650184739538727</v>
          </cell>
          <cell r="Q22"/>
          <cell r="R22"/>
          <cell r="S22"/>
          <cell r="T22">
            <v>4</v>
          </cell>
          <cell r="U22">
            <v>14.8</v>
          </cell>
          <cell r="V22"/>
          <cell r="W22">
            <v>4</v>
          </cell>
        </row>
        <row r="23">
          <cell r="C23" t="str">
            <v>HARRIS CREEK_Coho</v>
          </cell>
          <cell r="D23" t="str">
            <v>No</v>
          </cell>
          <cell r="E23" t="str">
            <v>No</v>
          </cell>
          <cell r="F23">
            <v>20</v>
          </cell>
          <cell r="G23" t="str">
            <v>HARRIS CREEK</v>
          </cell>
          <cell r="H23" t="str">
            <v>Coho</v>
          </cell>
          <cell r="I23"/>
          <cell r="J23"/>
          <cell r="K23">
            <v>3</v>
          </cell>
          <cell r="L23">
            <v>9</v>
          </cell>
          <cell r="M23">
            <v>8</v>
          </cell>
          <cell r="N23">
            <v>1001.1381419924729</v>
          </cell>
          <cell r="O23">
            <v>10418</v>
          </cell>
          <cell r="P23">
            <v>815.56305128866427</v>
          </cell>
          <cell r="Q23"/>
          <cell r="R23"/>
          <cell r="S23" t="str">
            <v>AUC estimate providing we get enough surveys if not then PL+D</v>
          </cell>
          <cell r="T23">
            <v>970.33333333333337</v>
          </cell>
          <cell r="U23">
            <v>1102</v>
          </cell>
          <cell r="V23"/>
          <cell r="W23">
            <v>1662</v>
          </cell>
        </row>
        <row r="24">
          <cell r="C24" t="str">
            <v>HEMMINGSEN CREEK_Chum</v>
          </cell>
          <cell r="D24" t="str">
            <v>No</v>
          </cell>
          <cell r="E24" t="str">
            <v>No</v>
          </cell>
          <cell r="F24">
            <v>20</v>
          </cell>
          <cell r="G24" t="str">
            <v>HEMMINGSEN CREEK</v>
          </cell>
          <cell r="H24" t="str">
            <v>Chum</v>
          </cell>
          <cell r="I24"/>
          <cell r="J24"/>
          <cell r="K24">
            <v>5</v>
          </cell>
          <cell r="L24">
            <v>1</v>
          </cell>
          <cell r="M24">
            <v>0</v>
          </cell>
          <cell r="N24" t="e">
            <v>#NUM!</v>
          </cell>
          <cell r="O24">
            <v>0</v>
          </cell>
          <cell r="P24" t="e">
            <v>#NUM!</v>
          </cell>
          <cell r="Q24"/>
          <cell r="R24"/>
          <cell r="S24" t="str">
            <v>Surveyed once in 1998, suspect coho was the target species so poor timing to survey for chum</v>
          </cell>
          <cell r="T24" t="e">
            <v>#DIV/0!</v>
          </cell>
          <cell r="U24" t="e">
            <v>#DIV/0!</v>
          </cell>
          <cell r="V24"/>
          <cell r="W24" t="str">
            <v>NI</v>
          </cell>
        </row>
        <row r="25">
          <cell r="C25" t="str">
            <v>HEMMINGSEN CREEK_Coho</v>
          </cell>
          <cell r="D25" t="str">
            <v>No</v>
          </cell>
          <cell r="E25" t="str">
            <v>No</v>
          </cell>
          <cell r="F25">
            <v>20</v>
          </cell>
          <cell r="G25" t="str">
            <v>HEMMINGSEN CREEK</v>
          </cell>
          <cell r="H25" t="str">
            <v>Coho</v>
          </cell>
          <cell r="I25"/>
          <cell r="J25"/>
          <cell r="K25">
            <v>5</v>
          </cell>
          <cell r="L25">
            <v>1</v>
          </cell>
          <cell r="M25">
            <v>1</v>
          </cell>
          <cell r="N25">
            <v>356</v>
          </cell>
          <cell r="O25">
            <v>3500</v>
          </cell>
          <cell r="P25">
            <v>718.42568642984759</v>
          </cell>
          <cell r="Q25"/>
          <cell r="R25"/>
          <cell r="S25" t="str">
            <v>Only one observation, average would be misleading</v>
          </cell>
          <cell r="T25" t="e">
            <v>#DIV/0!</v>
          </cell>
          <cell r="U25" t="e">
            <v>#DIV/0!</v>
          </cell>
          <cell r="V25"/>
          <cell r="W25" t="str">
            <v>NI</v>
          </cell>
        </row>
        <row r="26">
          <cell r="C26" t="str">
            <v>LENS CREEK_Chinook</v>
          </cell>
          <cell r="D26" t="str">
            <v>No</v>
          </cell>
          <cell r="E26" t="str">
            <v>No</v>
          </cell>
          <cell r="F26">
            <v>20</v>
          </cell>
          <cell r="G26" t="str">
            <v>LENS CREEK</v>
          </cell>
          <cell r="H26" t="str">
            <v>Chinook</v>
          </cell>
          <cell r="I26"/>
          <cell r="J26"/>
          <cell r="K26">
            <v>4</v>
          </cell>
          <cell r="L26">
            <v>7</v>
          </cell>
          <cell r="M26">
            <v>4</v>
          </cell>
          <cell r="N26" t="e">
            <v>#NUM!</v>
          </cell>
          <cell r="O26">
            <v>0</v>
          </cell>
          <cell r="P26" t="e">
            <v>#NUM!</v>
          </cell>
          <cell r="Q26"/>
          <cell r="R26"/>
          <cell r="S26" t="str">
            <v>Coho was the target species suspect surveys were late in the season</v>
          </cell>
          <cell r="T26">
            <v>10.5</v>
          </cell>
          <cell r="U26">
            <v>38</v>
          </cell>
          <cell r="V26"/>
          <cell r="W26">
            <v>1</v>
          </cell>
        </row>
        <row r="27">
          <cell r="C27" t="str">
            <v>LENS CREEK_Chum</v>
          </cell>
          <cell r="D27" t="str">
            <v>No</v>
          </cell>
          <cell r="E27" t="str">
            <v>No</v>
          </cell>
          <cell r="F27">
            <v>20</v>
          </cell>
          <cell r="G27" t="str">
            <v>LENS CREEK</v>
          </cell>
          <cell r="H27" t="str">
            <v>Chum</v>
          </cell>
          <cell r="I27"/>
          <cell r="J27"/>
          <cell r="K27">
            <v>4</v>
          </cell>
          <cell r="L27">
            <v>7</v>
          </cell>
          <cell r="M27">
            <v>4</v>
          </cell>
          <cell r="N27">
            <v>13.231503906544029</v>
          </cell>
          <cell r="O27">
            <v>70</v>
          </cell>
          <cell r="P27">
            <v>11.831760830496329</v>
          </cell>
          <cell r="Q27"/>
          <cell r="R27"/>
          <cell r="S27" t="str">
            <v>Coho was the target species suspect surveys were late in the season</v>
          </cell>
          <cell r="T27">
            <v>16</v>
          </cell>
          <cell r="U27">
            <v>11.6</v>
          </cell>
          <cell r="V27"/>
          <cell r="W27">
            <v>28</v>
          </cell>
        </row>
        <row r="28">
          <cell r="C28" t="str">
            <v>LENS CREEK_Coho</v>
          </cell>
          <cell r="D28" t="str">
            <v>No</v>
          </cell>
          <cell r="E28" t="str">
            <v>No</v>
          </cell>
          <cell r="F28">
            <v>20</v>
          </cell>
          <cell r="G28" t="str">
            <v>LENS CREEK</v>
          </cell>
          <cell r="H28" t="str">
            <v>Coho</v>
          </cell>
          <cell r="I28"/>
          <cell r="J28"/>
          <cell r="K28">
            <v>4</v>
          </cell>
          <cell r="L28">
            <v>7</v>
          </cell>
          <cell r="M28">
            <v>6</v>
          </cell>
          <cell r="N28">
            <v>415.15163861621767</v>
          </cell>
          <cell r="O28">
            <v>1591</v>
          </cell>
          <cell r="P28">
            <v>329.86494018859366</v>
          </cell>
          <cell r="Q28"/>
          <cell r="R28"/>
          <cell r="S28"/>
          <cell r="T28">
            <v>645.66666666666663</v>
          </cell>
          <cell r="U28">
            <v>682.9</v>
          </cell>
          <cell r="V28"/>
          <cell r="W28">
            <v>837</v>
          </cell>
        </row>
        <row r="29">
          <cell r="C29" t="str">
            <v>MOSQUITO CREEK_Chum</v>
          </cell>
          <cell r="D29" t="str">
            <v>No</v>
          </cell>
          <cell r="E29" t="str">
            <v>No</v>
          </cell>
          <cell r="F29">
            <v>20</v>
          </cell>
          <cell r="G29" t="str">
            <v>MOSQUITO CREEK</v>
          </cell>
          <cell r="H29" t="str">
            <v>Chum</v>
          </cell>
          <cell r="I29"/>
          <cell r="J29"/>
          <cell r="K29">
            <v>4</v>
          </cell>
          <cell r="L29">
            <v>5</v>
          </cell>
          <cell r="M29">
            <v>0</v>
          </cell>
          <cell r="N29" t="e">
            <v>#NUM!</v>
          </cell>
          <cell r="O29">
            <v>0</v>
          </cell>
          <cell r="P29" t="e">
            <v>#NUM!</v>
          </cell>
          <cell r="Q29"/>
          <cell r="R29"/>
          <cell r="S29" t="str">
            <v>Coho was the target species so surveys were done late in the season</v>
          </cell>
          <cell r="T29" t="e">
            <v>#DIV/0!</v>
          </cell>
          <cell r="U29" t="e">
            <v>#DIV/0!</v>
          </cell>
          <cell r="V29"/>
          <cell r="W29" t="str">
            <v>NI</v>
          </cell>
        </row>
        <row r="30">
          <cell r="C30" t="str">
            <v>MOSQUITO CREEK_Coho</v>
          </cell>
          <cell r="D30" t="str">
            <v>No</v>
          </cell>
          <cell r="E30" t="str">
            <v>No</v>
          </cell>
          <cell r="F30">
            <v>20</v>
          </cell>
          <cell r="G30" t="str">
            <v>MOSQUITO CREEK</v>
          </cell>
          <cell r="H30" t="str">
            <v>Coho</v>
          </cell>
          <cell r="I30"/>
          <cell r="J30"/>
          <cell r="K30">
            <v>4</v>
          </cell>
          <cell r="L30">
            <v>5</v>
          </cell>
          <cell r="M30">
            <v>5</v>
          </cell>
          <cell r="N30">
            <v>204.80007875526533</v>
          </cell>
          <cell r="O30">
            <v>879</v>
          </cell>
          <cell r="P30">
            <v>177.42139802857486</v>
          </cell>
          <cell r="Q30"/>
          <cell r="R30"/>
          <cell r="S30"/>
          <cell r="T30" t="e">
            <v>#DIV/0!</v>
          </cell>
          <cell r="U30">
            <v>62</v>
          </cell>
          <cell r="V30"/>
          <cell r="W30" t="str">
            <v>NI</v>
          </cell>
        </row>
        <row r="31">
          <cell r="C31" t="str">
            <v>MUIR CREEK_Chum</v>
          </cell>
          <cell r="D31" t="str">
            <v>No</v>
          </cell>
          <cell r="E31" t="str">
            <v>No</v>
          </cell>
          <cell r="F31">
            <v>20</v>
          </cell>
          <cell r="G31" t="str">
            <v>MUIR CREEK</v>
          </cell>
          <cell r="H31" t="str">
            <v>Chum</v>
          </cell>
          <cell r="I31"/>
          <cell r="J31"/>
          <cell r="K31">
            <v>3</v>
          </cell>
          <cell r="L31">
            <v>9</v>
          </cell>
          <cell r="M31">
            <v>8</v>
          </cell>
          <cell r="N31">
            <v>583.94987389836706</v>
          </cell>
          <cell r="O31">
            <v>4585</v>
          </cell>
          <cell r="P31">
            <v>348.31530287073588</v>
          </cell>
          <cell r="Q31"/>
          <cell r="R31"/>
          <cell r="S31"/>
          <cell r="T31" t="e">
            <v>#DIV/0!</v>
          </cell>
          <cell r="U31" t="e">
            <v>#DIV/0!</v>
          </cell>
          <cell r="V31"/>
          <cell r="W31" t="str">
            <v>NI</v>
          </cell>
        </row>
        <row r="32">
          <cell r="C32" t="str">
            <v>MUIR CREEK_Coho</v>
          </cell>
          <cell r="D32" t="str">
            <v>No</v>
          </cell>
          <cell r="E32" t="str">
            <v>No</v>
          </cell>
          <cell r="F32">
            <v>20</v>
          </cell>
          <cell r="G32" t="str">
            <v>MUIR CREEK</v>
          </cell>
          <cell r="H32" t="str">
            <v>Coho</v>
          </cell>
          <cell r="I32"/>
          <cell r="J32"/>
          <cell r="K32">
            <v>3</v>
          </cell>
          <cell r="L32">
            <v>9</v>
          </cell>
          <cell r="M32">
            <v>9</v>
          </cell>
          <cell r="N32">
            <v>256.27105965317509</v>
          </cell>
          <cell r="O32">
            <v>1540</v>
          </cell>
          <cell r="P32">
            <v>38.236133377386949</v>
          </cell>
          <cell r="Q32"/>
          <cell r="R32"/>
          <cell r="S32"/>
          <cell r="T32" t="e">
            <v>#DIV/0!</v>
          </cell>
          <cell r="U32" t="e">
            <v>#DIV/0!</v>
          </cell>
          <cell r="V32"/>
          <cell r="W32" t="str">
            <v>NI</v>
          </cell>
        </row>
        <row r="33">
          <cell r="C33" t="str">
            <v>RENFREW CREEK_Chinook</v>
          </cell>
          <cell r="D33" t="str">
            <v>No</v>
          </cell>
          <cell r="E33" t="str">
            <v>No</v>
          </cell>
          <cell r="F33">
            <v>20</v>
          </cell>
          <cell r="G33" t="str">
            <v>RENFREW CREEK</v>
          </cell>
          <cell r="H33" t="str">
            <v>Chinook</v>
          </cell>
          <cell r="I33"/>
          <cell r="J33"/>
          <cell r="K33">
            <v>4</v>
          </cell>
          <cell r="L33">
            <v>7</v>
          </cell>
          <cell r="M33">
            <v>3</v>
          </cell>
          <cell r="N33">
            <v>7.9527072876705072</v>
          </cell>
          <cell r="O33">
            <v>32</v>
          </cell>
          <cell r="P33">
            <v>7.5169601575301268</v>
          </cell>
          <cell r="Q33"/>
          <cell r="R33"/>
          <cell r="S33" t="str">
            <v>Coho was target species</v>
          </cell>
          <cell r="T33">
            <v>57</v>
          </cell>
          <cell r="U33">
            <v>29.75</v>
          </cell>
          <cell r="V33"/>
          <cell r="W33">
            <v>1</v>
          </cell>
        </row>
        <row r="34">
          <cell r="C34" t="str">
            <v>RENFREW CREEK_Chum</v>
          </cell>
          <cell r="D34" t="str">
            <v>No</v>
          </cell>
          <cell r="E34" t="str">
            <v>No</v>
          </cell>
          <cell r="F34">
            <v>20</v>
          </cell>
          <cell r="G34" t="str">
            <v>RENFREW CREEK</v>
          </cell>
          <cell r="H34" t="str">
            <v>Chum</v>
          </cell>
          <cell r="I34"/>
          <cell r="J34"/>
          <cell r="K34">
            <v>4</v>
          </cell>
          <cell r="L34">
            <v>7</v>
          </cell>
          <cell r="M34">
            <v>5</v>
          </cell>
          <cell r="N34">
            <v>101.05976652406397</v>
          </cell>
          <cell r="O34">
            <v>800</v>
          </cell>
          <cell r="P34">
            <v>54.513771936707037</v>
          </cell>
          <cell r="Q34"/>
          <cell r="R34"/>
          <cell r="S34" t="str">
            <v>Coho was target species</v>
          </cell>
          <cell r="T34">
            <v>139</v>
          </cell>
          <cell r="U34">
            <v>288.625</v>
          </cell>
          <cell r="V34"/>
          <cell r="W34">
            <v>150</v>
          </cell>
        </row>
        <row r="35">
          <cell r="C35" t="str">
            <v>RENFREW CREEK_Coho</v>
          </cell>
          <cell r="D35" t="str">
            <v>No</v>
          </cell>
          <cell r="E35" t="str">
            <v>No</v>
          </cell>
          <cell r="F35">
            <v>20</v>
          </cell>
          <cell r="G35" t="str">
            <v>RENFREW CREEK</v>
          </cell>
          <cell r="H35" t="str">
            <v>Coho</v>
          </cell>
          <cell r="I35"/>
          <cell r="J35"/>
          <cell r="K35">
            <v>4</v>
          </cell>
          <cell r="L35">
            <v>7</v>
          </cell>
          <cell r="M35">
            <v>7</v>
          </cell>
          <cell r="N35">
            <v>769.6149965762844</v>
          </cell>
          <cell r="O35">
            <v>6000</v>
          </cell>
          <cell r="P35">
            <v>446.82328490414602</v>
          </cell>
          <cell r="Q35"/>
          <cell r="R35"/>
          <cell r="S35"/>
          <cell r="T35">
            <v>554.66666666666663</v>
          </cell>
          <cell r="U35">
            <v>733.3</v>
          </cell>
          <cell r="V35"/>
          <cell r="W35">
            <v>1281</v>
          </cell>
        </row>
        <row r="36">
          <cell r="C36" t="str">
            <v>RENFREW CREEK_Sockeye</v>
          </cell>
          <cell r="D36" t="str">
            <v>No</v>
          </cell>
          <cell r="E36" t="str">
            <v>No</v>
          </cell>
          <cell r="F36">
            <v>20</v>
          </cell>
          <cell r="G36" t="str">
            <v>RENFREW CREEK</v>
          </cell>
          <cell r="H36" t="str">
            <v>Sockeye</v>
          </cell>
          <cell r="I36"/>
          <cell r="J36"/>
          <cell r="K36">
            <v>4</v>
          </cell>
          <cell r="L36">
            <v>7</v>
          </cell>
          <cell r="M36">
            <v>3</v>
          </cell>
          <cell r="N36">
            <v>14.728097377492999</v>
          </cell>
          <cell r="O36">
            <v>200</v>
          </cell>
          <cell r="P36">
            <v>36.622476163003924</v>
          </cell>
          <cell r="Q36"/>
          <cell r="R36"/>
          <cell r="S36" t="str">
            <v>Coho was target species</v>
          </cell>
          <cell r="T36">
            <v>33</v>
          </cell>
          <cell r="U36">
            <v>27.2</v>
          </cell>
          <cell r="V36"/>
          <cell r="W36">
            <v>54</v>
          </cell>
        </row>
        <row r="37">
          <cell r="C37" t="str">
            <v>SAN JUAN RIVER_Chinook</v>
          </cell>
          <cell r="D37" t="str">
            <v>No</v>
          </cell>
          <cell r="E37" t="str">
            <v>Yes</v>
          </cell>
          <cell r="F37">
            <v>20</v>
          </cell>
          <cell r="G37" t="str">
            <v>SAN JUAN RIVER</v>
          </cell>
          <cell r="H37" t="str">
            <v>Chinook</v>
          </cell>
          <cell r="I37"/>
          <cell r="J37"/>
          <cell r="K37">
            <v>3</v>
          </cell>
          <cell r="L37">
            <v>11</v>
          </cell>
          <cell r="M37">
            <v>11</v>
          </cell>
          <cell r="N37">
            <v>982.79195222047758</v>
          </cell>
          <cell r="O37">
            <v>7500</v>
          </cell>
          <cell r="P37">
            <v>572.88757710423306</v>
          </cell>
          <cell r="Q37" t="str">
            <v>B. Other systems: wild or hatchery supplemented.     Intensively surveyed in 1995 and have a fairly complete historic database.</v>
          </cell>
          <cell r="R37"/>
          <cell r="S37" t="str">
            <v>The San Juan estimate also includes the following streams: Fairy Creek; Five Mile Creek; Four Mile Creek; Holliday Creek; &amp; Tremblay Creek.  Average Esc from 1995-2005 from file: NEW ESCAPEMENT INDEX.XLS</v>
          </cell>
          <cell r="T37">
            <v>832.5</v>
          </cell>
          <cell r="U37">
            <v>1172.25</v>
          </cell>
          <cell r="V37"/>
          <cell r="W37">
            <v>494</v>
          </cell>
        </row>
        <row r="38">
          <cell r="C38" t="str">
            <v>SAN JUAN RIVER_Chum</v>
          </cell>
          <cell r="D38" t="str">
            <v>No</v>
          </cell>
          <cell r="E38" t="str">
            <v>No</v>
          </cell>
          <cell r="F38">
            <v>20</v>
          </cell>
          <cell r="G38" t="str">
            <v>SAN JUAN RIVER</v>
          </cell>
          <cell r="H38" t="str">
            <v>Chum</v>
          </cell>
          <cell r="I38"/>
          <cell r="J38"/>
          <cell r="K38">
            <v>3</v>
          </cell>
          <cell r="L38">
            <v>11</v>
          </cell>
          <cell r="M38">
            <v>10</v>
          </cell>
          <cell r="N38">
            <v>189.45349555511493</v>
          </cell>
          <cell r="O38">
            <v>10500</v>
          </cell>
          <cell r="P38">
            <v>393.59007904125036</v>
          </cell>
          <cell r="Q38" t="str">
            <v>B. Other systems: wild or hatchery supplemented.     Intensively surveyed in 1995 and have a fairly complete historic database.</v>
          </cell>
          <cell r="R38"/>
          <cell r="S38" t="str">
            <v>The San Juan estimate also includes the following streams: Fairy Creek; Five Mile Creek; Four Mile Creek; Holliday Creek; &amp; Tremblay Creek</v>
          </cell>
          <cell r="T38">
            <v>100.66666666666667</v>
          </cell>
          <cell r="U38">
            <v>676</v>
          </cell>
          <cell r="V38"/>
          <cell r="W38">
            <v>150</v>
          </cell>
        </row>
        <row r="39">
          <cell r="C39" t="str">
            <v>SAN JUAN RIVER_Coho</v>
          </cell>
          <cell r="D39" t="str">
            <v>No</v>
          </cell>
          <cell r="E39" t="str">
            <v>No</v>
          </cell>
          <cell r="F39">
            <v>20</v>
          </cell>
          <cell r="G39" t="str">
            <v>SAN JUAN RIVER</v>
          </cell>
          <cell r="H39" t="str">
            <v>Coho</v>
          </cell>
          <cell r="I39"/>
          <cell r="J39"/>
          <cell r="K39">
            <v>3</v>
          </cell>
          <cell r="L39">
            <v>11</v>
          </cell>
          <cell r="M39">
            <v>11</v>
          </cell>
          <cell r="N39">
            <v>8607.7541385375698</v>
          </cell>
          <cell r="O39">
            <v>75000</v>
          </cell>
          <cell r="P39">
            <v>6645.6938878152505</v>
          </cell>
          <cell r="Q39" t="str">
            <v>B. Other systems: wild or hatchery supplemented.     Intensively surveyed in 1995 and have a fairly complete historic database.</v>
          </cell>
          <cell r="R39"/>
          <cell r="S39" t="str">
            <v>The San Juan estimate also includes the following streams: Fairy Creek; Five Mile Creek; Four Mile Creek; Holliday Creek; &amp; Tremblay Creek</v>
          </cell>
          <cell r="T39">
            <v>2263.5</v>
          </cell>
          <cell r="U39">
            <v>4498.833333333333</v>
          </cell>
          <cell r="V39"/>
          <cell r="W39">
            <v>891</v>
          </cell>
        </row>
        <row r="40">
          <cell r="C40" t="str">
            <v>SAN JUAN RIVER_Pink</v>
          </cell>
          <cell r="D40" t="str">
            <v>No</v>
          </cell>
          <cell r="E40" t="str">
            <v>No</v>
          </cell>
          <cell r="F40">
            <v>20</v>
          </cell>
          <cell r="G40" t="str">
            <v>SAN JUAN RIVER</v>
          </cell>
          <cell r="H40" t="str">
            <v>Pink</v>
          </cell>
          <cell r="I40"/>
          <cell r="J40"/>
          <cell r="K40">
            <v>3</v>
          </cell>
          <cell r="L40">
            <v>11</v>
          </cell>
          <cell r="M40">
            <v>7</v>
          </cell>
          <cell r="N40">
            <v>10.009965173999948</v>
          </cell>
          <cell r="O40">
            <v>1500</v>
          </cell>
          <cell r="P40">
            <v>65.164992806393002</v>
          </cell>
          <cell r="Q40" t="str">
            <v>B. Other systems: wild or hatchery supplemented.     Intensively surveyed in 1995 and have a fairly complete historic database.</v>
          </cell>
          <cell r="R40"/>
          <cell r="S40" t="str">
            <v>The San Juan estimate also includes the following streams: Fairy Creek; Five Mile Creek; Four Mile Creek; Holliday Creek; &amp; Tremblay Creek</v>
          </cell>
          <cell r="T40" t="e">
            <v>#DIV/0!</v>
          </cell>
          <cell r="U40">
            <v>43.666666666666664</v>
          </cell>
          <cell r="V40"/>
          <cell r="W40" t="str">
            <v>NO</v>
          </cell>
        </row>
        <row r="41">
          <cell r="C41" t="str">
            <v>SAN JUAN RIVER_Sockeye</v>
          </cell>
          <cell r="D41" t="str">
            <v>No</v>
          </cell>
          <cell r="E41" t="str">
            <v>No</v>
          </cell>
          <cell r="F41">
            <v>20</v>
          </cell>
          <cell r="G41" t="str">
            <v>SAN JUAN RIVER</v>
          </cell>
          <cell r="H41" t="str">
            <v>Sockeye</v>
          </cell>
          <cell r="I41"/>
          <cell r="J41"/>
          <cell r="K41">
            <v>3</v>
          </cell>
          <cell r="L41">
            <v>11</v>
          </cell>
          <cell r="M41">
            <v>8</v>
          </cell>
          <cell r="N41">
            <v>11.883454561470112</v>
          </cell>
          <cell r="O41">
            <v>3500</v>
          </cell>
          <cell r="P41">
            <v>87.250146902151798</v>
          </cell>
          <cell r="Q41" t="str">
            <v>B. Other systems: wild or hatchery supplemented.     Intensively surveyed in 1995 and have a fairly complete historic database.</v>
          </cell>
          <cell r="R41"/>
          <cell r="S41" t="str">
            <v>The San Juan estimate also includes the following streams: Fairy Creek; Five Mile Creek; Four Mile Creek; Holliday Creek; &amp; Tremblay Creek</v>
          </cell>
          <cell r="T41">
            <v>9</v>
          </cell>
          <cell r="U41">
            <v>151.66666666666666</v>
          </cell>
          <cell r="V41"/>
          <cell r="W41">
            <v>9</v>
          </cell>
        </row>
        <row r="42">
          <cell r="C42" t="str">
            <v>CARMANAH CREEK_Chinook</v>
          </cell>
          <cell r="D42" t="str">
            <v>No</v>
          </cell>
          <cell r="E42" t="str">
            <v>No</v>
          </cell>
          <cell r="F42">
            <v>21</v>
          </cell>
          <cell r="G42" t="str">
            <v>CARMANAH CREEK</v>
          </cell>
          <cell r="H42" t="str">
            <v>Chinook</v>
          </cell>
          <cell r="I42"/>
          <cell r="J42"/>
          <cell r="K42">
            <v>5</v>
          </cell>
          <cell r="L42">
            <v>0</v>
          </cell>
          <cell r="M42">
            <v>0</v>
          </cell>
          <cell r="N42" t="e">
            <v>#NUM!</v>
          </cell>
          <cell r="O42">
            <v>0</v>
          </cell>
          <cell r="P42" t="e">
            <v>#NUM!</v>
          </cell>
          <cell r="Q42"/>
          <cell r="R42"/>
          <cell r="S42" t="str">
            <v>Last time surveyed was in 1993 and no fish were observed</v>
          </cell>
          <cell r="T42" t="e">
            <v>#DIV/0!</v>
          </cell>
          <cell r="U42" t="e">
            <v>#DIV/0!</v>
          </cell>
          <cell r="V42"/>
          <cell r="W42" t="str">
            <v>NI</v>
          </cell>
        </row>
        <row r="43">
          <cell r="C43" t="str">
            <v>CARMANAH CREEK_Chum</v>
          </cell>
          <cell r="D43" t="str">
            <v>No</v>
          </cell>
          <cell r="E43" t="str">
            <v>No</v>
          </cell>
          <cell r="F43">
            <v>21</v>
          </cell>
          <cell r="G43" t="str">
            <v>CARMANAH CREEK</v>
          </cell>
          <cell r="H43" t="str">
            <v>Chum</v>
          </cell>
          <cell r="I43"/>
          <cell r="J43"/>
          <cell r="K43">
            <v>5</v>
          </cell>
          <cell r="L43">
            <v>0</v>
          </cell>
          <cell r="M43">
            <v>0</v>
          </cell>
          <cell r="N43" t="e">
            <v>#NUM!</v>
          </cell>
          <cell r="O43">
            <v>0</v>
          </cell>
          <cell r="P43" t="e">
            <v>#NUM!</v>
          </cell>
          <cell r="Q43"/>
          <cell r="R43"/>
          <cell r="S43" t="str">
            <v>Last time surveyed was in 1993 and no fish were observed</v>
          </cell>
          <cell r="T43" t="e">
            <v>#DIV/0!</v>
          </cell>
          <cell r="U43" t="e">
            <v>#DIV/0!</v>
          </cell>
          <cell r="V43"/>
          <cell r="W43" t="str">
            <v>NI</v>
          </cell>
        </row>
        <row r="44">
          <cell r="C44" t="str">
            <v>CARMANAH CREEK_Coho</v>
          </cell>
          <cell r="D44" t="str">
            <v>No</v>
          </cell>
          <cell r="E44" t="str">
            <v>No</v>
          </cell>
          <cell r="F44">
            <v>21</v>
          </cell>
          <cell r="G44" t="str">
            <v>CARMANAH CREEK</v>
          </cell>
          <cell r="H44" t="str">
            <v>Coho</v>
          </cell>
          <cell r="I44"/>
          <cell r="J44"/>
          <cell r="K44">
            <v>5</v>
          </cell>
          <cell r="L44">
            <v>0</v>
          </cell>
          <cell r="M44">
            <v>0</v>
          </cell>
          <cell r="N44" t="e">
            <v>#NUM!</v>
          </cell>
          <cell r="O44">
            <v>0</v>
          </cell>
          <cell r="P44" t="e">
            <v>#NUM!</v>
          </cell>
          <cell r="Q44"/>
          <cell r="R44"/>
          <cell r="S44" t="str">
            <v>Last time surveyed was in 1993 and no fish were observed</v>
          </cell>
          <cell r="T44" t="e">
            <v>#DIV/0!</v>
          </cell>
          <cell r="U44" t="e">
            <v>#DIV/0!</v>
          </cell>
          <cell r="V44"/>
          <cell r="W44" t="str">
            <v>NI</v>
          </cell>
        </row>
        <row r="45">
          <cell r="C45" t="str">
            <v>CHEEWHAT RIVER_Chum</v>
          </cell>
          <cell r="D45" t="str">
            <v>No</v>
          </cell>
          <cell r="E45" t="str">
            <v>No</v>
          </cell>
          <cell r="F45">
            <v>21</v>
          </cell>
          <cell r="G45" t="str">
            <v>CHEEWHAT RIVER</v>
          </cell>
          <cell r="H45" t="str">
            <v>Chum</v>
          </cell>
          <cell r="I45"/>
          <cell r="J45"/>
          <cell r="K45">
            <v>3</v>
          </cell>
          <cell r="L45">
            <v>1</v>
          </cell>
          <cell r="M45">
            <v>0</v>
          </cell>
          <cell r="N45" t="e">
            <v>#NUM!</v>
          </cell>
          <cell r="O45">
            <v>400</v>
          </cell>
          <cell r="P45">
            <v>70.106193835807986</v>
          </cell>
          <cell r="Q45"/>
          <cell r="R45"/>
          <cell r="S45" t="str">
            <v>Stream was surveyed in 2000 but we are missing 1995 through 1998 information so we do not know if stream was surveyed</v>
          </cell>
          <cell r="T45" t="e">
            <v>#DIV/0!</v>
          </cell>
          <cell r="U45" t="e">
            <v>#DIV/0!</v>
          </cell>
          <cell r="V45"/>
          <cell r="W45"/>
        </row>
        <row r="46">
          <cell r="C46" t="str">
            <v>CHEEWHAT RIVER_Coho</v>
          </cell>
          <cell r="D46" t="str">
            <v>No</v>
          </cell>
          <cell r="E46" t="str">
            <v>No</v>
          </cell>
          <cell r="F46">
            <v>21</v>
          </cell>
          <cell r="G46" t="str">
            <v>CHEEWHAT RIVER</v>
          </cell>
          <cell r="H46" t="str">
            <v>Coho</v>
          </cell>
          <cell r="I46"/>
          <cell r="J46"/>
          <cell r="K46">
            <v>3</v>
          </cell>
          <cell r="L46">
            <v>1</v>
          </cell>
          <cell r="M46">
            <v>1</v>
          </cell>
          <cell r="N46" t="e">
            <v>#NUM!</v>
          </cell>
          <cell r="O46">
            <v>750</v>
          </cell>
          <cell r="P46">
            <v>190.40133179354254</v>
          </cell>
          <cell r="Q46"/>
          <cell r="R46"/>
          <cell r="S46" t="str">
            <v>Stream was surveyed in 2000 but we are missing 1995 through 1998 information so we do not know if stream was surveyed</v>
          </cell>
          <cell r="T46" t="e">
            <v>#DIV/0!</v>
          </cell>
          <cell r="U46">
            <v>78</v>
          </cell>
          <cell r="V46"/>
          <cell r="W46"/>
        </row>
        <row r="47">
          <cell r="C47" t="str">
            <v>CHEEWHAT RIVER_Sockeye</v>
          </cell>
          <cell r="D47" t="str">
            <v>No</v>
          </cell>
          <cell r="E47" t="str">
            <v>No</v>
          </cell>
          <cell r="F47">
            <v>21</v>
          </cell>
          <cell r="G47" t="str">
            <v>CHEEWHAT RIVER</v>
          </cell>
          <cell r="H47" t="str">
            <v>Sockeye</v>
          </cell>
          <cell r="I47"/>
          <cell r="J47"/>
          <cell r="K47">
            <v>3</v>
          </cell>
          <cell r="L47">
            <v>1</v>
          </cell>
          <cell r="M47">
            <v>1</v>
          </cell>
          <cell r="N47">
            <v>1000</v>
          </cell>
          <cell r="O47">
            <v>5000</v>
          </cell>
          <cell r="P47">
            <v>854.61499239281943</v>
          </cell>
          <cell r="Q47"/>
          <cell r="R47"/>
          <cell r="S47" t="str">
            <v>Stream was surveyed in 2000 but we are missing 1995 through 1998 information so we do not know if stream was surveyed</v>
          </cell>
          <cell r="T47" t="e">
            <v>#DIV/0!</v>
          </cell>
          <cell r="U47">
            <v>834</v>
          </cell>
          <cell r="V47"/>
          <cell r="W47"/>
        </row>
        <row r="48">
          <cell r="C48" t="str">
            <v>KLANAWA RIVER_Chinook</v>
          </cell>
          <cell r="D48" t="str">
            <v>No</v>
          </cell>
          <cell r="E48" t="str">
            <v>No</v>
          </cell>
          <cell r="F48">
            <v>21</v>
          </cell>
          <cell r="G48" t="str">
            <v>KLANAWA RIVER</v>
          </cell>
          <cell r="H48" t="str">
            <v>Chinook</v>
          </cell>
          <cell r="I48"/>
          <cell r="J48"/>
          <cell r="K48">
            <v>4</v>
          </cell>
          <cell r="L48">
            <v>9</v>
          </cell>
          <cell r="M48">
            <v>5</v>
          </cell>
          <cell r="N48">
            <v>2.4258048343234653</v>
          </cell>
          <cell r="O48">
            <v>75</v>
          </cell>
          <cell r="P48">
            <v>5.6725751451901054</v>
          </cell>
          <cell r="Q48"/>
          <cell r="R48"/>
          <cell r="S48" t="str">
            <v>Includes Blue and Ralf Creeks</v>
          </cell>
          <cell r="T48" t="e">
            <v>#DIV/0!</v>
          </cell>
          <cell r="U48">
            <v>8</v>
          </cell>
          <cell r="V48"/>
          <cell r="W48" t="str">
            <v>NO</v>
          </cell>
        </row>
        <row r="49">
          <cell r="C49" t="str">
            <v>KLANAWA RIVER_Chum</v>
          </cell>
          <cell r="D49" t="str">
            <v>No</v>
          </cell>
          <cell r="E49" t="str">
            <v>No</v>
          </cell>
          <cell r="F49">
            <v>21</v>
          </cell>
          <cell r="G49" t="str">
            <v>KLANAWA RIVER</v>
          </cell>
          <cell r="H49" t="str">
            <v>Chum</v>
          </cell>
          <cell r="I49"/>
          <cell r="J49"/>
          <cell r="K49">
            <v>4</v>
          </cell>
          <cell r="L49">
            <v>9</v>
          </cell>
          <cell r="M49">
            <v>7</v>
          </cell>
          <cell r="N49">
            <v>445.14377318898465</v>
          </cell>
          <cell r="O49">
            <v>5030</v>
          </cell>
          <cell r="P49">
            <v>384.01563406211199</v>
          </cell>
          <cell r="Q49"/>
          <cell r="R49"/>
          <cell r="S49" t="str">
            <v>Includes Blue and Ralf Creeks</v>
          </cell>
          <cell r="T49" t="e">
            <v>#DIV/0!</v>
          </cell>
          <cell r="U49">
            <v>655</v>
          </cell>
          <cell r="V49"/>
          <cell r="W49" t="str">
            <v>NO</v>
          </cell>
        </row>
        <row r="50">
          <cell r="C50" t="str">
            <v>KLANAWA RIVER_Coho</v>
          </cell>
          <cell r="D50" t="str">
            <v>No</v>
          </cell>
          <cell r="E50" t="str">
            <v>No</v>
          </cell>
          <cell r="F50">
            <v>21</v>
          </cell>
          <cell r="G50" t="str">
            <v>KLANAWA RIVER</v>
          </cell>
          <cell r="H50" t="str">
            <v>Coho</v>
          </cell>
          <cell r="I50"/>
          <cell r="J50"/>
          <cell r="K50">
            <v>4</v>
          </cell>
          <cell r="L50">
            <v>9</v>
          </cell>
          <cell r="M50">
            <v>9</v>
          </cell>
          <cell r="N50">
            <v>268.84656415973461</v>
          </cell>
          <cell r="O50">
            <v>1000</v>
          </cell>
          <cell r="P50">
            <v>234.01289070407586</v>
          </cell>
          <cell r="Q50"/>
          <cell r="R50"/>
          <cell r="S50" t="str">
            <v>Includes Blue and Ralf Creeks</v>
          </cell>
          <cell r="T50">
            <v>16</v>
          </cell>
          <cell r="U50">
            <v>216</v>
          </cell>
          <cell r="V50"/>
          <cell r="W50">
            <v>16</v>
          </cell>
        </row>
        <row r="51">
          <cell r="C51" t="str">
            <v>KLANAWA RIVER_Sockeye</v>
          </cell>
          <cell r="D51" t="str">
            <v>No</v>
          </cell>
          <cell r="E51" t="str">
            <v>No</v>
          </cell>
          <cell r="F51">
            <v>21</v>
          </cell>
          <cell r="G51" t="str">
            <v>KLANAWA RIVER</v>
          </cell>
          <cell r="H51" t="str">
            <v>Sockeye</v>
          </cell>
          <cell r="I51"/>
          <cell r="J51"/>
          <cell r="K51">
            <v>4</v>
          </cell>
          <cell r="L51">
            <v>9</v>
          </cell>
          <cell r="M51">
            <v>4</v>
          </cell>
          <cell r="N51">
            <v>3.7224194364083982</v>
          </cell>
          <cell r="O51">
            <v>16</v>
          </cell>
          <cell r="P51">
            <v>3.7224194364083982</v>
          </cell>
          <cell r="Q51"/>
          <cell r="R51"/>
          <cell r="S51" t="str">
            <v>Includes Blue and Ralf Creeks</v>
          </cell>
          <cell r="T51" t="e">
            <v>#DIV/0!</v>
          </cell>
          <cell r="U51" t="e">
            <v>#DIV/0!</v>
          </cell>
          <cell r="V51"/>
          <cell r="W51" t="str">
            <v>NO</v>
          </cell>
        </row>
        <row r="52">
          <cell r="C52" t="str">
            <v>CAMPUS CREEK_Chinook</v>
          </cell>
          <cell r="D52" t="str">
            <v>No</v>
          </cell>
          <cell r="E52" t="str">
            <v>No</v>
          </cell>
          <cell r="F52">
            <v>22</v>
          </cell>
          <cell r="G52" t="str">
            <v>CAMPUS CREEK</v>
          </cell>
          <cell r="H52" t="str">
            <v>Chinook</v>
          </cell>
          <cell r="I52"/>
          <cell r="J52"/>
          <cell r="K52">
            <v>4</v>
          </cell>
          <cell r="L52">
            <v>6</v>
          </cell>
          <cell r="M52">
            <v>1</v>
          </cell>
          <cell r="N52" t="e">
            <v>#NUM!</v>
          </cell>
          <cell r="O52">
            <v>1500</v>
          </cell>
          <cell r="P52">
            <v>1500</v>
          </cell>
          <cell r="Q52"/>
          <cell r="R52"/>
          <cell r="S52" t="str">
            <v>Missing 1995 estimate. Adults present was entered as the escapement in 2000.</v>
          </cell>
          <cell r="T52">
            <v>72.333333333333329</v>
          </cell>
          <cell r="U52">
            <v>72.333333333333329</v>
          </cell>
          <cell r="V52"/>
          <cell r="W52">
            <v>11</v>
          </cell>
        </row>
        <row r="53">
          <cell r="C53" t="str">
            <v>CAMPUS CREEK_Chum</v>
          </cell>
          <cell r="D53" t="str">
            <v>No</v>
          </cell>
          <cell r="E53" t="str">
            <v>No</v>
          </cell>
          <cell r="F53">
            <v>22</v>
          </cell>
          <cell r="G53" t="str">
            <v>CAMPUS CREEK</v>
          </cell>
          <cell r="H53" t="str">
            <v>Chum</v>
          </cell>
          <cell r="I53"/>
          <cell r="J53"/>
          <cell r="K53">
            <v>4</v>
          </cell>
          <cell r="L53">
            <v>6</v>
          </cell>
          <cell r="M53">
            <v>6</v>
          </cell>
          <cell r="N53">
            <v>2418.3592239599684</v>
          </cell>
          <cell r="O53">
            <v>5500</v>
          </cell>
          <cell r="P53">
            <v>1026.0404207444417</v>
          </cell>
          <cell r="Q53"/>
          <cell r="R53"/>
          <cell r="S53" t="str">
            <v>Missing 1995 estimate</v>
          </cell>
          <cell r="T53">
            <v>1796.5</v>
          </cell>
          <cell r="U53">
            <v>1476.2222222222222</v>
          </cell>
          <cell r="V53"/>
          <cell r="W53">
            <v>2424</v>
          </cell>
        </row>
        <row r="54">
          <cell r="C54" t="str">
            <v>CAMPUS CREEK_Coho</v>
          </cell>
          <cell r="D54" t="str">
            <v>No</v>
          </cell>
          <cell r="E54" t="str">
            <v>No</v>
          </cell>
          <cell r="F54">
            <v>22</v>
          </cell>
          <cell r="G54" t="str">
            <v>CAMPUS CREEK</v>
          </cell>
          <cell r="H54" t="str">
            <v>Coho</v>
          </cell>
          <cell r="I54"/>
          <cell r="J54"/>
          <cell r="K54">
            <v>4</v>
          </cell>
          <cell r="L54">
            <v>6</v>
          </cell>
          <cell r="M54">
            <v>4</v>
          </cell>
          <cell r="N54">
            <v>56.231663678038196</v>
          </cell>
          <cell r="O54">
            <v>93</v>
          </cell>
          <cell r="P54">
            <v>56.231663678038196</v>
          </cell>
          <cell r="Q54"/>
          <cell r="R54"/>
          <cell r="S54" t="str">
            <v>Missing 1995 estimate. Only 2 of the 4 observations fish were estimated.</v>
          </cell>
          <cell r="T54">
            <v>40.333333333333336</v>
          </cell>
          <cell r="U54">
            <v>40.333333333333336</v>
          </cell>
          <cell r="V54"/>
          <cell r="W54">
            <v>71</v>
          </cell>
        </row>
        <row r="55">
          <cell r="C55" t="str">
            <v>CAYCUSE RIVER_Chinook</v>
          </cell>
          <cell r="D55" t="str">
            <v>No</v>
          </cell>
          <cell r="E55" t="str">
            <v>No</v>
          </cell>
          <cell r="F55">
            <v>22</v>
          </cell>
          <cell r="G55" t="str">
            <v>CAYCUSE RIVER</v>
          </cell>
          <cell r="H55" t="str">
            <v>Chinook</v>
          </cell>
          <cell r="I55"/>
          <cell r="J55"/>
          <cell r="K55">
            <v>4</v>
          </cell>
          <cell r="L55">
            <v>7</v>
          </cell>
          <cell r="M55">
            <v>3</v>
          </cell>
          <cell r="N55">
            <v>20.784609690826528</v>
          </cell>
          <cell r="O55">
            <v>75</v>
          </cell>
          <cell r="P55">
            <v>28.741017884657055</v>
          </cell>
          <cell r="Q55"/>
          <cell r="R55"/>
          <cell r="S55" t="str">
            <v>Missing 1995 estimate. 2 of the 3 observation were adults present.</v>
          </cell>
          <cell r="T55" t="e">
            <v>#DIV/0!</v>
          </cell>
          <cell r="U55" t="e">
            <v>#DIV/0!</v>
          </cell>
          <cell r="V55"/>
          <cell r="W55" t="str">
            <v>NI</v>
          </cell>
        </row>
        <row r="56">
          <cell r="C56" t="str">
            <v>CAYCUSE RIVER_Chum</v>
          </cell>
          <cell r="D56" t="str">
            <v>No</v>
          </cell>
          <cell r="E56" t="str">
            <v>No</v>
          </cell>
          <cell r="F56">
            <v>22</v>
          </cell>
          <cell r="G56" t="str">
            <v>CAYCUSE RIVER</v>
          </cell>
          <cell r="H56" t="str">
            <v>Chum</v>
          </cell>
          <cell r="I56"/>
          <cell r="J56"/>
          <cell r="K56">
            <v>4</v>
          </cell>
          <cell r="L56">
            <v>7</v>
          </cell>
          <cell r="M56">
            <v>7</v>
          </cell>
          <cell r="N56">
            <v>996.94485249504362</v>
          </cell>
          <cell r="O56">
            <v>15000</v>
          </cell>
          <cell r="P56">
            <v>877.97927661734934</v>
          </cell>
          <cell r="Q56"/>
          <cell r="R56"/>
          <cell r="S56" t="str">
            <v>Missing 1995 estimate.</v>
          </cell>
          <cell r="T56">
            <v>494.33333333333331</v>
          </cell>
          <cell r="U56">
            <v>1547.875</v>
          </cell>
          <cell r="V56"/>
          <cell r="W56">
            <v>200</v>
          </cell>
        </row>
        <row r="57">
          <cell r="C57" t="str">
            <v>CAYCUSE RIVER_Coho</v>
          </cell>
          <cell r="D57" t="str">
            <v>No</v>
          </cell>
          <cell r="E57" t="str">
            <v>No</v>
          </cell>
          <cell r="F57">
            <v>22</v>
          </cell>
          <cell r="G57" t="str">
            <v>CAYCUSE RIVER</v>
          </cell>
          <cell r="H57" t="str">
            <v>Coho</v>
          </cell>
          <cell r="I57"/>
          <cell r="J57"/>
          <cell r="K57">
            <v>4</v>
          </cell>
          <cell r="L57">
            <v>7</v>
          </cell>
          <cell r="M57">
            <v>7</v>
          </cell>
          <cell r="N57">
            <v>57.32313303859889</v>
          </cell>
          <cell r="O57">
            <v>750</v>
          </cell>
          <cell r="P57">
            <v>197.53167708977611</v>
          </cell>
          <cell r="Q57"/>
          <cell r="R57"/>
          <cell r="S57" t="str">
            <v>Missing 1995 estimate.</v>
          </cell>
          <cell r="T57">
            <v>106</v>
          </cell>
          <cell r="U57">
            <v>106</v>
          </cell>
          <cell r="V57"/>
          <cell r="W57" t="str">
            <v>NI</v>
          </cell>
        </row>
        <row r="58">
          <cell r="C58" t="str">
            <v>CAYCUSE RIVER_Sockeye</v>
          </cell>
          <cell r="D58" t="str">
            <v>No</v>
          </cell>
          <cell r="E58" t="str">
            <v>No</v>
          </cell>
          <cell r="F58">
            <v>22</v>
          </cell>
          <cell r="G58" t="str">
            <v>CAYCUSE RIVER</v>
          </cell>
          <cell r="H58" t="str">
            <v>Sockeye</v>
          </cell>
          <cell r="I58"/>
          <cell r="J58"/>
          <cell r="K58">
            <v>4</v>
          </cell>
          <cell r="L58">
            <v>7</v>
          </cell>
          <cell r="M58">
            <v>3</v>
          </cell>
          <cell r="N58">
            <v>1</v>
          </cell>
          <cell r="O58">
            <v>1</v>
          </cell>
          <cell r="P58">
            <v>1</v>
          </cell>
          <cell r="Q58"/>
          <cell r="R58"/>
          <cell r="S58" t="str">
            <v>Missing 1995 estimate. 2 of the 3 observation were adults present.</v>
          </cell>
          <cell r="T58" t="e">
            <v>#DIV/0!</v>
          </cell>
          <cell r="U58" t="e">
            <v>#DIV/0!</v>
          </cell>
          <cell r="V58"/>
          <cell r="W58" t="str">
            <v>NI</v>
          </cell>
        </row>
        <row r="59">
          <cell r="C59" t="str">
            <v>DOOBAH CREEK_Chinook</v>
          </cell>
          <cell r="D59" t="str">
            <v>No</v>
          </cell>
          <cell r="E59" t="str">
            <v>No</v>
          </cell>
          <cell r="F59">
            <v>22</v>
          </cell>
          <cell r="G59" t="str">
            <v>DOOBAH CREEK</v>
          </cell>
          <cell r="H59" t="str">
            <v>Chinook</v>
          </cell>
          <cell r="I59"/>
          <cell r="J59"/>
          <cell r="K59">
            <v>4</v>
          </cell>
          <cell r="L59">
            <v>6</v>
          </cell>
          <cell r="M59">
            <v>1</v>
          </cell>
          <cell r="N59">
            <v>1</v>
          </cell>
          <cell r="O59">
            <v>1</v>
          </cell>
          <cell r="P59">
            <v>1</v>
          </cell>
          <cell r="Q59"/>
          <cell r="R59"/>
          <cell r="S59" t="str">
            <v>Missing 1995 estimate. Only 1 chinook observed in 1998.</v>
          </cell>
          <cell r="T59" t="e">
            <v>#DIV/0!</v>
          </cell>
          <cell r="U59" t="e">
            <v>#DIV/0!</v>
          </cell>
          <cell r="V59"/>
          <cell r="W59" t="str">
            <v>NO</v>
          </cell>
        </row>
        <row r="60">
          <cell r="C60" t="str">
            <v>DOOBAH CREEK_Chum</v>
          </cell>
          <cell r="D60" t="str">
            <v>No</v>
          </cell>
          <cell r="E60" t="str">
            <v>No</v>
          </cell>
          <cell r="F60">
            <v>22</v>
          </cell>
          <cell r="G60" t="str">
            <v>DOOBAH CREEK</v>
          </cell>
          <cell r="H60" t="str">
            <v>Chum</v>
          </cell>
          <cell r="I60"/>
          <cell r="J60"/>
          <cell r="K60">
            <v>4</v>
          </cell>
          <cell r="L60">
            <v>6</v>
          </cell>
          <cell r="M60">
            <v>6</v>
          </cell>
          <cell r="N60">
            <v>389.20318191875469</v>
          </cell>
          <cell r="O60">
            <v>12000</v>
          </cell>
          <cell r="P60">
            <v>518.11984874753603</v>
          </cell>
          <cell r="Q60"/>
          <cell r="R60"/>
          <cell r="S60" t="str">
            <v>Missing 1995 estimate.</v>
          </cell>
          <cell r="T60">
            <v>100.5</v>
          </cell>
          <cell r="U60">
            <v>1528.7142857142858</v>
          </cell>
          <cell r="V60"/>
          <cell r="W60">
            <v>1</v>
          </cell>
        </row>
        <row r="61">
          <cell r="C61" t="str">
            <v>DOOBAH CREEK_Coho</v>
          </cell>
          <cell r="D61" t="str">
            <v>No</v>
          </cell>
          <cell r="E61" t="str">
            <v>No</v>
          </cell>
          <cell r="F61">
            <v>22</v>
          </cell>
          <cell r="G61" t="str">
            <v>DOOBAH CREEK</v>
          </cell>
          <cell r="H61" t="str">
            <v>Coho</v>
          </cell>
          <cell r="I61"/>
          <cell r="J61"/>
          <cell r="K61">
            <v>4</v>
          </cell>
          <cell r="L61">
            <v>6</v>
          </cell>
          <cell r="M61">
            <v>3</v>
          </cell>
          <cell r="N61">
            <v>11.937171623689176</v>
          </cell>
          <cell r="O61">
            <v>850</v>
          </cell>
          <cell r="P61">
            <v>80.10049008223956</v>
          </cell>
          <cell r="Q61"/>
          <cell r="R61"/>
          <cell r="S61" t="str">
            <v>Missing 1995 estimate.</v>
          </cell>
          <cell r="T61" t="e">
            <v>#DIV/0!</v>
          </cell>
          <cell r="U61" t="e">
            <v>#DIV/0!</v>
          </cell>
          <cell r="V61"/>
          <cell r="W61" t="str">
            <v>NO</v>
          </cell>
        </row>
        <row r="62">
          <cell r="C62" t="str">
            <v>HOBITON CREEK_Chum</v>
          </cell>
          <cell r="D62" t="str">
            <v>No</v>
          </cell>
          <cell r="E62" t="str">
            <v>No</v>
          </cell>
          <cell r="F62">
            <v>22</v>
          </cell>
          <cell r="G62" t="str">
            <v>HOBITON CREEK</v>
          </cell>
          <cell r="H62" t="str">
            <v>Chum</v>
          </cell>
          <cell r="I62"/>
          <cell r="J62"/>
          <cell r="K62">
            <v>3</v>
          </cell>
          <cell r="L62">
            <v>11</v>
          </cell>
          <cell r="M62">
            <v>9</v>
          </cell>
          <cell r="N62">
            <v>2950.0125114826637</v>
          </cell>
          <cell r="O62">
            <v>15905</v>
          </cell>
          <cell r="P62">
            <v>2991.5226421741718</v>
          </cell>
          <cell r="Q62"/>
          <cell r="R62"/>
          <cell r="S62" t="str">
            <v>missing 2004 escapement estimate</v>
          </cell>
          <cell r="T62">
            <v>2114</v>
          </cell>
          <cell r="U62">
            <v>3495.1111111111113</v>
          </cell>
          <cell r="V62"/>
          <cell r="W62">
            <v>2500</v>
          </cell>
        </row>
        <row r="63">
          <cell r="C63" t="str">
            <v>HOBITON CREEK_Coho</v>
          </cell>
          <cell r="D63" t="str">
            <v>No</v>
          </cell>
          <cell r="E63" t="str">
            <v>No</v>
          </cell>
          <cell r="F63">
            <v>22</v>
          </cell>
          <cell r="G63" t="str">
            <v>HOBITON CREEK</v>
          </cell>
          <cell r="H63" t="str">
            <v>Coho</v>
          </cell>
          <cell r="I63"/>
          <cell r="J63"/>
          <cell r="K63">
            <v>3</v>
          </cell>
          <cell r="L63">
            <v>11</v>
          </cell>
          <cell r="M63">
            <v>7</v>
          </cell>
          <cell r="N63">
            <v>20.295023559903001</v>
          </cell>
          <cell r="O63">
            <v>200</v>
          </cell>
          <cell r="P63">
            <v>38.04876913750487</v>
          </cell>
          <cell r="Q63"/>
          <cell r="R63"/>
          <cell r="S63" t="str">
            <v>missing 2004 escapement estimate</v>
          </cell>
          <cell r="T63">
            <v>22</v>
          </cell>
          <cell r="U63">
            <v>22</v>
          </cell>
          <cell r="V63"/>
          <cell r="W63" t="str">
            <v>NO</v>
          </cell>
        </row>
        <row r="64">
          <cell r="C64" t="str">
            <v>HOBITON CREEK_Sockeye</v>
          </cell>
          <cell r="D64" t="str">
            <v>No</v>
          </cell>
          <cell r="E64" t="str">
            <v>No</v>
          </cell>
          <cell r="F64">
            <v>22</v>
          </cell>
          <cell r="G64" t="str">
            <v>HOBITON CREEK</v>
          </cell>
          <cell r="H64" t="str">
            <v>Sockeye</v>
          </cell>
          <cell r="I64"/>
          <cell r="J64"/>
          <cell r="K64">
            <v>3</v>
          </cell>
          <cell r="L64">
            <v>11</v>
          </cell>
          <cell r="M64">
            <v>7</v>
          </cell>
          <cell r="N64">
            <v>3454.5235200401812</v>
          </cell>
          <cell r="O64">
            <v>49432</v>
          </cell>
          <cell r="P64">
            <v>5037.4107025102776</v>
          </cell>
          <cell r="Q64"/>
          <cell r="R64"/>
          <cell r="S64" t="str">
            <v>missing 2004 &amp; 2005 escapement estimate</v>
          </cell>
          <cell r="T64">
            <v>1299</v>
          </cell>
          <cell r="U64">
            <v>4281.5</v>
          </cell>
          <cell r="V64"/>
          <cell r="W64">
            <v>1299</v>
          </cell>
        </row>
        <row r="65">
          <cell r="C65" t="str">
            <v>NITINAT RIVER_Chinook</v>
          </cell>
          <cell r="D65" t="str">
            <v>No</v>
          </cell>
          <cell r="E65" t="str">
            <v>No</v>
          </cell>
          <cell r="F65">
            <v>22</v>
          </cell>
          <cell r="G65" t="str">
            <v>NITINAT RIVER</v>
          </cell>
          <cell r="H65" t="str">
            <v>Chinook</v>
          </cell>
          <cell r="I65"/>
          <cell r="J65"/>
          <cell r="K65">
            <v>1</v>
          </cell>
          <cell r="L65">
            <v>11</v>
          </cell>
          <cell r="M65">
            <v>11</v>
          </cell>
          <cell r="N65">
            <v>14333.293011806643</v>
          </cell>
          <cell r="O65">
            <v>31654</v>
          </cell>
          <cell r="P65">
            <v>3684.3150055992019</v>
          </cell>
          <cell r="Q65" t="str">
            <v>E.   Systems extensively surveyed, with major hatcheries or considerable hatchery contribution</v>
          </cell>
          <cell r="R65"/>
          <cell r="S65" t="str">
            <v>Average Esc from 1995-2005 from file: NEW ESCAPEMENT INDEX.XLS.  Also includes the following streams: Jasper Creek; Little Nitinat River; No-Name Creek; Parker Creek; &amp; Worthless Creek</v>
          </cell>
          <cell r="T65">
            <v>14135.25</v>
          </cell>
          <cell r="U65">
            <v>13202.75</v>
          </cell>
          <cell r="V65"/>
          <cell r="W65">
            <v>11752</v>
          </cell>
        </row>
        <row r="66">
          <cell r="C66" t="str">
            <v>NITINAT RIVER_Chum</v>
          </cell>
          <cell r="D66" t="str">
            <v>No</v>
          </cell>
          <cell r="E66" t="str">
            <v>No</v>
          </cell>
          <cell r="F66">
            <v>22</v>
          </cell>
          <cell r="G66" t="str">
            <v>NITINAT RIVER</v>
          </cell>
          <cell r="H66" t="str">
            <v>Chum</v>
          </cell>
          <cell r="I66"/>
          <cell r="J66"/>
          <cell r="K66">
            <v>1</v>
          </cell>
          <cell r="L66">
            <v>11</v>
          </cell>
          <cell r="M66">
            <v>8</v>
          </cell>
          <cell r="N66">
            <v>139651.44956432475</v>
          </cell>
          <cell r="O66">
            <v>423242</v>
          </cell>
          <cell r="P66">
            <v>51319.744426410027</v>
          </cell>
          <cell r="Q66" t="str">
            <v>E.   Systems extensively surveyed, with major hatcheries or considerable hatchery contribution</v>
          </cell>
          <cell r="R66"/>
          <cell r="S66" t="str">
            <v>Average Esc from 1995-2005 from file: NEW ESCAPEMENT INDEX.XLS.  Missing 2004 escapement estimate. Also includes the following streams: Jasper Creek; Little Nitinat River; No-Name Creek; Parker Creek; &amp; Worthless Creek</v>
          </cell>
          <cell r="T66">
            <v>57526.5</v>
          </cell>
          <cell r="U66">
            <v>135423.25</v>
          </cell>
          <cell r="V66"/>
          <cell r="W66">
            <v>28783</v>
          </cell>
        </row>
        <row r="67">
          <cell r="C67" t="str">
            <v>NITINAT RIVER_Coho</v>
          </cell>
          <cell r="D67" t="str">
            <v>No</v>
          </cell>
          <cell r="E67" t="str">
            <v>No</v>
          </cell>
          <cell r="F67">
            <v>22</v>
          </cell>
          <cell r="G67" t="str">
            <v>NITINAT RIVER</v>
          </cell>
          <cell r="H67" t="str">
            <v>Coho</v>
          </cell>
          <cell r="I67"/>
          <cell r="J67"/>
          <cell r="K67">
            <v>1</v>
          </cell>
          <cell r="L67">
            <v>11</v>
          </cell>
          <cell r="M67">
            <v>11</v>
          </cell>
          <cell r="N67">
            <v>3985.2582036061094</v>
          </cell>
          <cell r="O67">
            <v>11377</v>
          </cell>
          <cell r="P67">
            <v>1623.5486022330326</v>
          </cell>
          <cell r="Q67" t="str">
            <v>E.   Systems extensively surveyed, with major hatcheries or considerable hatchery contribution</v>
          </cell>
          <cell r="R67"/>
          <cell r="S67" t="str">
            <v>Average Esc from 1995-2005 from file: NEW ESCAPEMENT INDEX.XLS.  Also includes the following streams: Jasper Creek; Little Nitinat River; No-Name Creek; Parker Creek; &amp; Worthless Creek</v>
          </cell>
          <cell r="T67">
            <v>1303.5</v>
          </cell>
          <cell r="U67">
            <v>3535.4166666666665</v>
          </cell>
          <cell r="V67"/>
          <cell r="W67">
            <v>1258</v>
          </cell>
        </row>
        <row r="68">
          <cell r="C68" t="str">
            <v>NITINAT RIVER_Pink</v>
          </cell>
          <cell r="D68" t="str">
            <v>No</v>
          </cell>
          <cell r="E68" t="str">
            <v>No</v>
          </cell>
          <cell r="F68">
            <v>22</v>
          </cell>
          <cell r="G68" t="str">
            <v>NITINAT RIVER</v>
          </cell>
          <cell r="H68" t="str">
            <v>Pink</v>
          </cell>
          <cell r="I68"/>
          <cell r="J68"/>
          <cell r="K68">
            <v>1</v>
          </cell>
          <cell r="L68">
            <v>11</v>
          </cell>
          <cell r="M68">
            <v>10</v>
          </cell>
          <cell r="N68">
            <v>3.3747944897444015</v>
          </cell>
          <cell r="O68">
            <v>200</v>
          </cell>
          <cell r="P68">
            <v>8.4204665800804754</v>
          </cell>
          <cell r="Q68" t="str">
            <v>E.   Systems extensively surveyed, with major hatcheries or considerable hatchery contribution</v>
          </cell>
          <cell r="R68"/>
          <cell r="S68" t="str">
            <v>Missing 2004 escapement estimate. Also includes the following streams: Jasper Creek; Little Nitinat River; No-Name Creek; Parker Creek; &amp; Worthless Creek</v>
          </cell>
          <cell r="T68">
            <v>11</v>
          </cell>
          <cell r="U68">
            <v>23.5</v>
          </cell>
          <cell r="V68"/>
          <cell r="W68">
            <v>3</v>
          </cell>
        </row>
        <row r="69">
          <cell r="C69" t="str">
            <v>NITINAT RIVER_Sockeye</v>
          </cell>
          <cell r="D69" t="str">
            <v>No</v>
          </cell>
          <cell r="E69" t="str">
            <v>No</v>
          </cell>
          <cell r="F69">
            <v>22</v>
          </cell>
          <cell r="G69" t="str">
            <v>NITINAT RIVER</v>
          </cell>
          <cell r="H69" t="str">
            <v>Sockeye</v>
          </cell>
          <cell r="I69"/>
          <cell r="J69"/>
          <cell r="K69">
            <v>1</v>
          </cell>
          <cell r="L69">
            <v>11</v>
          </cell>
          <cell r="M69">
            <v>10</v>
          </cell>
          <cell r="N69">
            <v>27.5619878907798</v>
          </cell>
          <cell r="O69">
            <v>250</v>
          </cell>
          <cell r="P69">
            <v>31.03503832495036</v>
          </cell>
          <cell r="Q69" t="str">
            <v>E.   Systems extensively surveyed, with major hatcheries or considerable hatchery contribution</v>
          </cell>
          <cell r="R69"/>
          <cell r="S69" t="str">
            <v>Missing 2004 escapement estimate. Also includes the following streams: Jasper Creek; Little Nitinat River; No-Name Creek; Parker Creek; &amp; Worthless Creek</v>
          </cell>
          <cell r="T69">
            <v>92.75</v>
          </cell>
          <cell r="U69">
            <v>327.3</v>
          </cell>
          <cell r="V69"/>
          <cell r="W69">
            <v>44</v>
          </cell>
        </row>
        <row r="70">
          <cell r="C70" t="str">
            <v>BEAVER CREEK_Chum</v>
          </cell>
          <cell r="D70" t="str">
            <v>No</v>
          </cell>
          <cell r="E70" t="str">
            <v>No</v>
          </cell>
          <cell r="F70">
            <v>23</v>
          </cell>
          <cell r="G70" t="str">
            <v>BEAVER CREEK</v>
          </cell>
          <cell r="H70" t="str">
            <v>Chum</v>
          </cell>
          <cell r="I70"/>
          <cell r="J70"/>
          <cell r="K70">
            <v>5</v>
          </cell>
          <cell r="L70">
            <v>0</v>
          </cell>
          <cell r="M70"/>
          <cell r="N70" t="e">
            <v>#NUM!</v>
          </cell>
          <cell r="O70">
            <v>0</v>
          </cell>
          <cell r="P70" t="e">
            <v>#NUM!</v>
          </cell>
          <cell r="Q70"/>
          <cell r="R70"/>
          <cell r="S70" t="str">
            <v>Included in Somass escapement estimate. Last time surveyed was in 1989 &amp; 1990 - no fish were observed</v>
          </cell>
          <cell r="T70" t="e">
            <v>#DIV/0!</v>
          </cell>
          <cell r="U70" t="e">
            <v>#DIV/0!</v>
          </cell>
          <cell r="V70"/>
          <cell r="W70" t="str">
            <v>NI</v>
          </cell>
        </row>
        <row r="71">
          <cell r="C71" t="str">
            <v>BEAVER CREEK_Coho</v>
          </cell>
          <cell r="D71" t="str">
            <v>No</v>
          </cell>
          <cell r="E71" t="str">
            <v>No</v>
          </cell>
          <cell r="F71">
            <v>23</v>
          </cell>
          <cell r="G71" t="str">
            <v>BEAVER CREEK</v>
          </cell>
          <cell r="H71" t="str">
            <v>Coho</v>
          </cell>
          <cell r="I71"/>
          <cell r="J71"/>
          <cell r="K71">
            <v>5</v>
          </cell>
          <cell r="L71">
            <v>0</v>
          </cell>
          <cell r="M71"/>
          <cell r="N71" t="e">
            <v>#NUM!</v>
          </cell>
          <cell r="O71">
            <v>0</v>
          </cell>
          <cell r="P71" t="e">
            <v>#NUM!</v>
          </cell>
          <cell r="Q71"/>
          <cell r="R71"/>
          <cell r="S71" t="str">
            <v>Included in Somass escapement estimate. Last time surveyed was in 1989 &amp; 1990 - no fish were observed</v>
          </cell>
          <cell r="T71" t="e">
            <v>#DIV/0!</v>
          </cell>
          <cell r="U71" t="e">
            <v>#DIV/0!</v>
          </cell>
          <cell r="V71"/>
          <cell r="W71" t="str">
            <v>NI</v>
          </cell>
        </row>
        <row r="72">
          <cell r="C72" t="str">
            <v>CAMPSITE CREEK_Chum</v>
          </cell>
          <cell r="D72" t="str">
            <v>No</v>
          </cell>
          <cell r="E72" t="str">
            <v>No</v>
          </cell>
          <cell r="F72">
            <v>23</v>
          </cell>
          <cell r="G72" t="str">
            <v>CAMPSITE CREEK</v>
          </cell>
          <cell r="H72" t="str">
            <v>Chum</v>
          </cell>
          <cell r="I72"/>
          <cell r="J72"/>
          <cell r="K72">
            <v>5</v>
          </cell>
          <cell r="L72">
            <v>2</v>
          </cell>
          <cell r="M72">
            <v>2</v>
          </cell>
          <cell r="N72">
            <v>110.77382726652534</v>
          </cell>
          <cell r="O72">
            <v>126</v>
          </cell>
          <cell r="P72">
            <v>110.77382726652534</v>
          </cell>
          <cell r="Q72"/>
          <cell r="R72"/>
          <cell r="S72" t="str">
            <v>Surveyed in 1997 &amp; 1998</v>
          </cell>
          <cell r="T72" t="e">
            <v>#DIV/0!</v>
          </cell>
          <cell r="U72" t="e">
            <v>#DIV/0!</v>
          </cell>
          <cell r="V72"/>
          <cell r="W72" t="str">
            <v>NI</v>
          </cell>
        </row>
        <row r="73">
          <cell r="C73" t="str">
            <v>CAMPSITE CREEK_Coho</v>
          </cell>
          <cell r="D73" t="str">
            <v>No</v>
          </cell>
          <cell r="E73" t="str">
            <v>No</v>
          </cell>
          <cell r="F73">
            <v>23</v>
          </cell>
          <cell r="G73" t="str">
            <v>CAMPSITE CREEK</v>
          </cell>
          <cell r="H73" t="str">
            <v>Coho</v>
          </cell>
          <cell r="I73"/>
          <cell r="J73"/>
          <cell r="K73">
            <v>5</v>
          </cell>
          <cell r="L73">
            <v>2</v>
          </cell>
          <cell r="M73">
            <v>2</v>
          </cell>
          <cell r="N73">
            <v>3.4641016151377548</v>
          </cell>
          <cell r="O73">
            <v>12</v>
          </cell>
          <cell r="P73">
            <v>3.4641016151377548</v>
          </cell>
          <cell r="Q73"/>
          <cell r="R73"/>
          <cell r="S73" t="str">
            <v>Surveyed in 1997 &amp; 1998</v>
          </cell>
          <cell r="T73" t="e">
            <v>#DIV/0!</v>
          </cell>
          <cell r="U73" t="e">
            <v>#DIV/0!</v>
          </cell>
          <cell r="V73"/>
          <cell r="W73" t="str">
            <v>NI</v>
          </cell>
        </row>
        <row r="74">
          <cell r="C74" t="str">
            <v>CANOE PASS CREEK_Chum</v>
          </cell>
          <cell r="D74" t="str">
            <v>No</v>
          </cell>
          <cell r="E74" t="str">
            <v>No</v>
          </cell>
          <cell r="F74">
            <v>23</v>
          </cell>
          <cell r="G74" t="str">
            <v>CANOE PASS CREEK</v>
          </cell>
          <cell r="H74" t="str">
            <v>Chum</v>
          </cell>
          <cell r="I74"/>
          <cell r="J74"/>
          <cell r="K74">
            <v>5</v>
          </cell>
          <cell r="L74">
            <v>3</v>
          </cell>
          <cell r="M74">
            <v>0</v>
          </cell>
          <cell r="N74" t="e">
            <v>#NUM!</v>
          </cell>
          <cell r="O74">
            <v>400</v>
          </cell>
          <cell r="P74">
            <v>136.59755412911295</v>
          </cell>
          <cell r="Q74"/>
          <cell r="R74"/>
          <cell r="S74" t="str">
            <v>Surveyed 3 times, each time no fish were observed</v>
          </cell>
          <cell r="T74" t="e">
            <v>#DIV/0!</v>
          </cell>
          <cell r="U74" t="e">
            <v>#DIV/0!</v>
          </cell>
          <cell r="V74"/>
          <cell r="W74" t="str">
            <v>NI</v>
          </cell>
        </row>
        <row r="75">
          <cell r="C75" t="str">
            <v>CANOE PASS CREEK_Coho</v>
          </cell>
          <cell r="D75" t="str">
            <v>No</v>
          </cell>
          <cell r="E75" t="str">
            <v>No</v>
          </cell>
          <cell r="F75">
            <v>23</v>
          </cell>
          <cell r="G75" t="str">
            <v>CANOE PASS CREEK</v>
          </cell>
          <cell r="H75" t="str">
            <v>Coho</v>
          </cell>
          <cell r="I75"/>
          <cell r="J75"/>
          <cell r="K75">
            <v>5</v>
          </cell>
          <cell r="L75">
            <v>3</v>
          </cell>
          <cell r="M75">
            <v>0</v>
          </cell>
          <cell r="N75" t="e">
            <v>#NUM!</v>
          </cell>
          <cell r="O75">
            <v>200</v>
          </cell>
          <cell r="P75">
            <v>67.939546661452596</v>
          </cell>
          <cell r="Q75"/>
          <cell r="R75"/>
          <cell r="S75" t="str">
            <v>Surveyed 3 times, each time no fish were observed</v>
          </cell>
          <cell r="T75" t="e">
            <v>#DIV/0!</v>
          </cell>
          <cell r="U75" t="e">
            <v>#DIV/0!</v>
          </cell>
          <cell r="V75"/>
          <cell r="W75" t="str">
            <v>NI</v>
          </cell>
        </row>
        <row r="76">
          <cell r="C76" t="str">
            <v>CARNATION CREEK_Chum</v>
          </cell>
          <cell r="D76" t="str">
            <v>No</v>
          </cell>
          <cell r="E76" t="str">
            <v>No</v>
          </cell>
          <cell r="F76">
            <v>23</v>
          </cell>
          <cell r="G76" t="str">
            <v>CARNATION CREEK</v>
          </cell>
          <cell r="H76" t="str">
            <v>Chum</v>
          </cell>
          <cell r="I76"/>
          <cell r="J76"/>
          <cell r="K76">
            <v>1</v>
          </cell>
          <cell r="L76">
            <v>11</v>
          </cell>
          <cell r="M76">
            <v>10</v>
          </cell>
          <cell r="N76">
            <v>156.20045181920639</v>
          </cell>
          <cell r="O76">
            <v>4168</v>
          </cell>
          <cell r="P76">
            <v>571.52012139095598</v>
          </cell>
          <cell r="Q76" t="str">
            <v>Indicator Stock</v>
          </cell>
          <cell r="R76"/>
          <cell r="S76" t="str">
            <v>Missing 2005 chum estimate</v>
          </cell>
          <cell r="T76">
            <v>12</v>
          </cell>
          <cell r="U76">
            <v>170</v>
          </cell>
          <cell r="V76"/>
          <cell r="W76" t="str">
            <v>AP</v>
          </cell>
        </row>
        <row r="77">
          <cell r="C77" t="str">
            <v>CARNATION CREEK_Coho</v>
          </cell>
          <cell r="D77" t="str">
            <v>No</v>
          </cell>
          <cell r="E77" t="str">
            <v>No</v>
          </cell>
          <cell r="F77">
            <v>23</v>
          </cell>
          <cell r="G77" t="str">
            <v>CARNATION CREEK</v>
          </cell>
          <cell r="H77" t="str">
            <v>Coho</v>
          </cell>
          <cell r="I77"/>
          <cell r="J77"/>
          <cell r="K77">
            <v>1</v>
          </cell>
          <cell r="L77">
            <v>11</v>
          </cell>
          <cell r="M77">
            <v>11</v>
          </cell>
          <cell r="N77">
            <v>158.54016425457587</v>
          </cell>
          <cell r="O77">
            <v>468</v>
          </cell>
          <cell r="P77">
            <v>98.662795956549061</v>
          </cell>
          <cell r="Q77" t="str">
            <v>Indicator Stock</v>
          </cell>
          <cell r="R77"/>
          <cell r="S77"/>
          <cell r="T77">
            <v>69</v>
          </cell>
          <cell r="U77">
            <v>108.08333333333333</v>
          </cell>
          <cell r="V77"/>
          <cell r="W77">
            <v>56</v>
          </cell>
        </row>
        <row r="78">
          <cell r="C78" t="str">
            <v>CASS CREEK_Chum</v>
          </cell>
          <cell r="D78" t="str">
            <v>No</v>
          </cell>
          <cell r="E78" t="str">
            <v>No</v>
          </cell>
          <cell r="F78">
            <v>23</v>
          </cell>
          <cell r="G78" t="str">
            <v>CASS CREEK</v>
          </cell>
          <cell r="H78" t="str">
            <v>Chum</v>
          </cell>
          <cell r="I78"/>
          <cell r="J78"/>
          <cell r="K78">
            <v>5</v>
          </cell>
          <cell r="L78">
            <v>0</v>
          </cell>
          <cell r="M78"/>
          <cell r="N78" t="e">
            <v>#NUM!</v>
          </cell>
          <cell r="O78">
            <v>60</v>
          </cell>
          <cell r="P78">
            <v>60</v>
          </cell>
          <cell r="Q78"/>
          <cell r="R78"/>
          <cell r="S78" t="str">
            <v>Last time surveyed was in 1990</v>
          </cell>
          <cell r="T78" t="e">
            <v>#DIV/0!</v>
          </cell>
          <cell r="U78" t="e">
            <v>#DIV/0!</v>
          </cell>
          <cell r="V78"/>
          <cell r="W78" t="str">
            <v>NI</v>
          </cell>
        </row>
        <row r="79">
          <cell r="C79" t="str">
            <v>CASS CREEK_Coho</v>
          </cell>
          <cell r="D79" t="str">
            <v>No</v>
          </cell>
          <cell r="E79" t="str">
            <v>No</v>
          </cell>
          <cell r="F79">
            <v>23</v>
          </cell>
          <cell r="G79" t="str">
            <v>CASS CREEK</v>
          </cell>
          <cell r="H79" t="str">
            <v>Coho</v>
          </cell>
          <cell r="I79"/>
          <cell r="J79"/>
          <cell r="K79">
            <v>5</v>
          </cell>
          <cell r="L79">
            <v>0</v>
          </cell>
          <cell r="M79"/>
          <cell r="N79" t="e">
            <v>#NUM!</v>
          </cell>
          <cell r="O79">
            <v>0</v>
          </cell>
          <cell r="P79" t="e">
            <v>#NUM!</v>
          </cell>
          <cell r="Q79"/>
          <cell r="R79"/>
          <cell r="S79" t="str">
            <v>Last time surveyed was in 1990</v>
          </cell>
          <cell r="T79" t="e">
            <v>#DIV/0!</v>
          </cell>
          <cell r="U79" t="e">
            <v>#DIV/0!</v>
          </cell>
          <cell r="V79"/>
          <cell r="W79" t="str">
            <v>NI</v>
          </cell>
        </row>
        <row r="80">
          <cell r="C80" t="str">
            <v>CATARACT CREEK_Chum</v>
          </cell>
          <cell r="D80" t="str">
            <v>No</v>
          </cell>
          <cell r="E80" t="str">
            <v>No</v>
          </cell>
          <cell r="F80">
            <v>23</v>
          </cell>
          <cell r="G80" t="str">
            <v>CATARACT CREEK</v>
          </cell>
          <cell r="H80" t="str">
            <v>Chum</v>
          </cell>
          <cell r="I80"/>
          <cell r="J80"/>
          <cell r="K80">
            <v>5</v>
          </cell>
          <cell r="L80">
            <v>5</v>
          </cell>
          <cell r="M80">
            <v>4</v>
          </cell>
          <cell r="N80">
            <v>306.29883223197464</v>
          </cell>
          <cell r="O80">
            <v>1500</v>
          </cell>
          <cell r="P80">
            <v>328.87825076517413</v>
          </cell>
          <cell r="Q80"/>
          <cell r="R80"/>
          <cell r="S80"/>
          <cell r="T80" t="e">
            <v>#DIV/0!</v>
          </cell>
          <cell r="U80" t="e">
            <v>#DIV/0!</v>
          </cell>
          <cell r="V80"/>
          <cell r="W80" t="str">
            <v>NI</v>
          </cell>
        </row>
        <row r="81">
          <cell r="C81" t="str">
            <v>CATARACT CREEK_Coho</v>
          </cell>
          <cell r="D81" t="str">
            <v>No</v>
          </cell>
          <cell r="E81" t="str">
            <v>No</v>
          </cell>
          <cell r="F81">
            <v>23</v>
          </cell>
          <cell r="G81" t="str">
            <v>CATARACT CREEK</v>
          </cell>
          <cell r="H81" t="str">
            <v>Coho</v>
          </cell>
          <cell r="I81"/>
          <cell r="J81"/>
          <cell r="K81">
            <v>5</v>
          </cell>
          <cell r="L81">
            <v>5</v>
          </cell>
          <cell r="M81">
            <v>0</v>
          </cell>
          <cell r="N81" t="e">
            <v>#NUM!</v>
          </cell>
          <cell r="O81">
            <v>25</v>
          </cell>
          <cell r="P81">
            <v>24.277410763092881</v>
          </cell>
          <cell r="Q81"/>
          <cell r="R81"/>
          <cell r="S81" t="str">
            <v>Surveyed by Charter Patrol, so chum was the target species</v>
          </cell>
          <cell r="T81" t="e">
            <v>#DIV/0!</v>
          </cell>
          <cell r="U81" t="e">
            <v>#DIV/0!</v>
          </cell>
          <cell r="V81"/>
          <cell r="W81" t="str">
            <v>NI</v>
          </cell>
        </row>
        <row r="82">
          <cell r="C82" t="str">
            <v>CHERRY CREEK_Chum</v>
          </cell>
          <cell r="D82" t="str">
            <v>No</v>
          </cell>
          <cell r="E82" t="str">
            <v>No</v>
          </cell>
          <cell r="F82">
            <v>23</v>
          </cell>
          <cell r="G82" t="str">
            <v>CHERRY CREEK</v>
          </cell>
          <cell r="H82" t="str">
            <v>Chum</v>
          </cell>
          <cell r="I82"/>
          <cell r="J82"/>
          <cell r="K82">
            <v>3</v>
          </cell>
          <cell r="L82">
            <v>0</v>
          </cell>
          <cell r="M82"/>
          <cell r="N82" t="e">
            <v>#NUM!</v>
          </cell>
          <cell r="O82">
            <v>0</v>
          </cell>
          <cell r="P82" t="e">
            <v>#NUM!</v>
          </cell>
          <cell r="Q82"/>
          <cell r="R82"/>
          <cell r="S82" t="str">
            <v>Included in Somass estimate. Juvenile coho surveys in the spring and habitat work - no known adult escapement surveys.</v>
          </cell>
          <cell r="T82" t="e">
            <v>#DIV/0!</v>
          </cell>
          <cell r="U82" t="e">
            <v>#DIV/0!</v>
          </cell>
          <cell r="V82"/>
          <cell r="W82"/>
        </row>
        <row r="83">
          <cell r="C83" t="str">
            <v>CHERRY CREEK_Coho</v>
          </cell>
          <cell r="D83" t="str">
            <v>No</v>
          </cell>
          <cell r="E83" t="str">
            <v>No</v>
          </cell>
          <cell r="F83">
            <v>23</v>
          </cell>
          <cell r="G83" t="str">
            <v>CHERRY CREEK</v>
          </cell>
          <cell r="H83" t="str">
            <v>Coho</v>
          </cell>
          <cell r="I83"/>
          <cell r="J83"/>
          <cell r="K83">
            <v>3</v>
          </cell>
          <cell r="L83">
            <v>0</v>
          </cell>
          <cell r="M83"/>
          <cell r="N83" t="e">
            <v>#NUM!</v>
          </cell>
          <cell r="O83">
            <v>0</v>
          </cell>
          <cell r="P83" t="e">
            <v>#NUM!</v>
          </cell>
          <cell r="Q83"/>
          <cell r="R83"/>
          <cell r="S83" t="str">
            <v>Included in Somass estimate. Juvenile coho surveys in the spring and habitat work - no known adult escapement surveys.</v>
          </cell>
          <cell r="T83" t="e">
            <v>#DIV/0!</v>
          </cell>
          <cell r="U83" t="e">
            <v>#DIV/0!</v>
          </cell>
          <cell r="V83"/>
          <cell r="W83"/>
        </row>
        <row r="84">
          <cell r="C84" t="str">
            <v>CHINA CREEK_Chum</v>
          </cell>
          <cell r="D84" t="str">
            <v>No</v>
          </cell>
          <cell r="E84" t="str">
            <v>No</v>
          </cell>
          <cell r="F84">
            <v>23</v>
          </cell>
          <cell r="G84" t="str">
            <v>CHINA CREEK</v>
          </cell>
          <cell r="H84" t="str">
            <v>Chum</v>
          </cell>
          <cell r="I84"/>
          <cell r="J84"/>
          <cell r="K84">
            <v>4</v>
          </cell>
          <cell r="L84">
            <v>4</v>
          </cell>
          <cell r="M84">
            <v>2</v>
          </cell>
          <cell r="N84">
            <v>250</v>
          </cell>
          <cell r="O84">
            <v>250</v>
          </cell>
          <cell r="P84">
            <v>54.674779270555881</v>
          </cell>
          <cell r="Q84"/>
          <cell r="R84"/>
          <cell r="S84" t="str">
            <v>Was not a high priority and was surveyed by Charter Patrol. Only 2 estimates of chum in 2001 &amp; 2002.</v>
          </cell>
          <cell r="T84" t="e">
            <v>#DIV/0!</v>
          </cell>
          <cell r="U84">
            <v>15</v>
          </cell>
          <cell r="V84"/>
          <cell r="W84" t="str">
            <v>NI</v>
          </cell>
        </row>
        <row r="85">
          <cell r="C85" t="str">
            <v>CHINA CREEK_Coho</v>
          </cell>
          <cell r="D85" t="str">
            <v>No</v>
          </cell>
          <cell r="E85" t="str">
            <v>No</v>
          </cell>
          <cell r="F85">
            <v>23</v>
          </cell>
          <cell r="G85" t="str">
            <v>CHINA CREEK</v>
          </cell>
          <cell r="H85" t="str">
            <v>Coho</v>
          </cell>
          <cell r="I85"/>
          <cell r="J85"/>
          <cell r="K85">
            <v>4</v>
          </cell>
          <cell r="L85">
            <v>4</v>
          </cell>
          <cell r="M85">
            <v>2</v>
          </cell>
          <cell r="N85">
            <v>7.745966692414834</v>
          </cell>
          <cell r="O85">
            <v>750</v>
          </cell>
          <cell r="P85">
            <v>73.878790298292657</v>
          </cell>
          <cell r="Q85"/>
          <cell r="R85"/>
          <cell r="S85" t="str">
            <v>Was not a high priority and was surveyed by Charter Patrol. Chum was the target species.</v>
          </cell>
          <cell r="T85" t="e">
            <v>#DIV/0!</v>
          </cell>
          <cell r="U85">
            <v>30</v>
          </cell>
          <cell r="V85"/>
          <cell r="W85" t="str">
            <v>NI</v>
          </cell>
        </row>
        <row r="86">
          <cell r="C86" t="str">
            <v>CLEMENS CREEK_Chinook</v>
          </cell>
          <cell r="D86" t="str">
            <v>No</v>
          </cell>
          <cell r="E86" t="str">
            <v>No</v>
          </cell>
          <cell r="F86">
            <v>23</v>
          </cell>
          <cell r="G86" t="str">
            <v>CLEMENS CREEK</v>
          </cell>
          <cell r="H86" t="str">
            <v>Chinook</v>
          </cell>
          <cell r="I86"/>
          <cell r="J86"/>
          <cell r="K86">
            <v>3</v>
          </cell>
          <cell r="L86">
            <v>3</v>
          </cell>
          <cell r="M86">
            <v>3</v>
          </cell>
          <cell r="N86">
            <v>41.0441019464959</v>
          </cell>
          <cell r="O86">
            <v>182</v>
          </cell>
          <cell r="P86">
            <v>41.0441019464959</v>
          </cell>
          <cell r="Q86"/>
          <cell r="R86"/>
          <cell r="S86" t="str">
            <v>Not an accurate average, only 3 years of data used. Missing data from 1995 through 2001.</v>
          </cell>
          <cell r="T86">
            <v>26.5</v>
          </cell>
          <cell r="U86">
            <v>88.5</v>
          </cell>
          <cell r="V86"/>
          <cell r="W86">
            <v>29</v>
          </cell>
        </row>
        <row r="87">
          <cell r="C87" t="str">
            <v>CLEMENS CREEK_Chum</v>
          </cell>
          <cell r="D87" t="str">
            <v>No</v>
          </cell>
          <cell r="E87" t="str">
            <v>No</v>
          </cell>
          <cell r="F87">
            <v>23</v>
          </cell>
          <cell r="G87" t="str">
            <v>CLEMENS CREEK</v>
          </cell>
          <cell r="H87" t="str">
            <v>Chum</v>
          </cell>
          <cell r="I87"/>
          <cell r="J87"/>
          <cell r="K87">
            <v>3</v>
          </cell>
          <cell r="L87">
            <v>3</v>
          </cell>
          <cell r="M87">
            <v>3</v>
          </cell>
          <cell r="N87">
            <v>65.11914758006823</v>
          </cell>
          <cell r="O87">
            <v>138</v>
          </cell>
          <cell r="P87">
            <v>65.11914758006823</v>
          </cell>
          <cell r="Q87"/>
          <cell r="R87"/>
          <cell r="S87" t="str">
            <v>Not an accurate average, only 3 years of data used. Missing data from 1995 through 2001.</v>
          </cell>
          <cell r="T87">
            <v>36.25</v>
          </cell>
          <cell r="U87">
            <v>111.25</v>
          </cell>
          <cell r="V87"/>
          <cell r="W87">
            <v>18</v>
          </cell>
        </row>
        <row r="88">
          <cell r="C88" t="str">
            <v>CLEMENS CREEK_Coho</v>
          </cell>
          <cell r="D88" t="str">
            <v>No</v>
          </cell>
          <cell r="E88" t="str">
            <v>No</v>
          </cell>
          <cell r="F88">
            <v>23</v>
          </cell>
          <cell r="G88" t="str">
            <v>CLEMENS CREEK</v>
          </cell>
          <cell r="H88" t="str">
            <v>Coho</v>
          </cell>
          <cell r="I88"/>
          <cell r="J88"/>
          <cell r="K88">
            <v>3</v>
          </cell>
          <cell r="L88">
            <v>3</v>
          </cell>
          <cell r="M88">
            <v>3</v>
          </cell>
          <cell r="N88">
            <v>943.96876943303641</v>
          </cell>
          <cell r="O88">
            <v>1855</v>
          </cell>
          <cell r="P88">
            <v>943.96876943303641</v>
          </cell>
          <cell r="Q88"/>
          <cell r="R88"/>
          <cell r="S88" t="str">
            <v>Not an accurate average, only 3 years of data used. Missing data from 1995 through 2001.</v>
          </cell>
          <cell r="T88">
            <v>746.75</v>
          </cell>
          <cell r="U88">
            <v>1523.25</v>
          </cell>
          <cell r="V88"/>
          <cell r="W88">
            <v>344</v>
          </cell>
        </row>
        <row r="89">
          <cell r="C89" t="str">
            <v>CLEMENS CREEK_Sockeye</v>
          </cell>
          <cell r="D89" t="str">
            <v>No</v>
          </cell>
          <cell r="E89" t="str">
            <v>No</v>
          </cell>
          <cell r="F89">
            <v>23</v>
          </cell>
          <cell r="G89" t="str">
            <v>CLEMENS CREEK</v>
          </cell>
          <cell r="H89" t="str">
            <v>Sockeye</v>
          </cell>
          <cell r="I89"/>
          <cell r="J89"/>
          <cell r="K89">
            <v>3</v>
          </cell>
          <cell r="L89">
            <v>3</v>
          </cell>
          <cell r="M89">
            <v>3</v>
          </cell>
          <cell r="N89" t="e">
            <v>#NUM!</v>
          </cell>
          <cell r="O89">
            <v>0</v>
          </cell>
          <cell r="P89" t="e">
            <v>#NUM!</v>
          </cell>
          <cell r="Q89"/>
          <cell r="R89"/>
          <cell r="S89" t="str">
            <v>Not an accurate average, only 3 years of data used. Missing data from 1995 through 2001.</v>
          </cell>
          <cell r="T89" t="e">
            <v>#DIV/0!</v>
          </cell>
          <cell r="U89" t="e">
            <v>#DIV/0!</v>
          </cell>
          <cell r="V89"/>
          <cell r="W89" t="str">
            <v>AP</v>
          </cell>
        </row>
        <row r="90">
          <cell r="C90" t="str">
            <v>COEUR D'ALENE CREEK_Chinook</v>
          </cell>
          <cell r="D90" t="str">
            <v>No</v>
          </cell>
          <cell r="E90" t="str">
            <v>No</v>
          </cell>
          <cell r="F90">
            <v>23</v>
          </cell>
          <cell r="G90" t="str">
            <v>COEUR D'ALENE CREEK</v>
          </cell>
          <cell r="H90" t="str">
            <v>Chinook</v>
          </cell>
          <cell r="I90"/>
          <cell r="J90"/>
          <cell r="K90">
            <v>4</v>
          </cell>
          <cell r="L90">
            <v>9</v>
          </cell>
          <cell r="M90">
            <v>2</v>
          </cell>
          <cell r="N90">
            <v>14.142135623730951</v>
          </cell>
          <cell r="O90">
            <v>50</v>
          </cell>
          <cell r="P90">
            <v>20.171767213911689</v>
          </cell>
          <cell r="Q90"/>
          <cell r="R90"/>
          <cell r="S90" t="str">
            <v>Charter Patrol stream, chum is the target species</v>
          </cell>
          <cell r="T90" t="e">
            <v>#DIV/0!</v>
          </cell>
          <cell r="U90" t="e">
            <v>#DIV/0!</v>
          </cell>
          <cell r="V90"/>
          <cell r="W90" t="str">
            <v>NI</v>
          </cell>
        </row>
        <row r="91">
          <cell r="C91" t="str">
            <v>COEUR D'ALENE CREEK_Chum</v>
          </cell>
          <cell r="D91" t="str">
            <v>No</v>
          </cell>
          <cell r="E91" t="str">
            <v>No</v>
          </cell>
          <cell r="F91">
            <v>23</v>
          </cell>
          <cell r="G91" t="str">
            <v>COEUR D'ALENE CREEK</v>
          </cell>
          <cell r="H91" t="str">
            <v>Chum</v>
          </cell>
          <cell r="I91"/>
          <cell r="J91"/>
          <cell r="K91">
            <v>4</v>
          </cell>
          <cell r="L91">
            <v>9</v>
          </cell>
          <cell r="M91">
            <v>7</v>
          </cell>
          <cell r="N91">
            <v>233.52698616814601</v>
          </cell>
          <cell r="O91">
            <v>1200</v>
          </cell>
          <cell r="P91">
            <v>174.11070816988882</v>
          </cell>
          <cell r="Q91"/>
          <cell r="R91"/>
          <cell r="S91" t="str">
            <v>Charter Patrol stream, chum is the target species</v>
          </cell>
          <cell r="T91" t="e">
            <v>#DIV/0!</v>
          </cell>
          <cell r="U91" t="e">
            <v>#DIV/0!</v>
          </cell>
          <cell r="V91"/>
          <cell r="W91" t="str">
            <v>NI</v>
          </cell>
        </row>
        <row r="92">
          <cell r="C92" t="str">
            <v>COEUR D'ALENE CREEK_Coho</v>
          </cell>
          <cell r="D92" t="str">
            <v>No</v>
          </cell>
          <cell r="E92" t="str">
            <v>No</v>
          </cell>
          <cell r="F92">
            <v>23</v>
          </cell>
          <cell r="G92" t="str">
            <v>COEUR D'ALENE CREEK</v>
          </cell>
          <cell r="H92" t="str">
            <v>Coho</v>
          </cell>
          <cell r="I92"/>
          <cell r="J92"/>
          <cell r="K92">
            <v>4</v>
          </cell>
          <cell r="L92">
            <v>9</v>
          </cell>
          <cell r="M92">
            <v>4</v>
          </cell>
          <cell r="N92">
            <v>39.205135057718394</v>
          </cell>
          <cell r="O92">
            <v>400</v>
          </cell>
          <cell r="P92">
            <v>70.1637399403443</v>
          </cell>
          <cell r="Q92"/>
          <cell r="R92"/>
          <cell r="S92" t="str">
            <v>Charter Patrol stream, chum is the target species</v>
          </cell>
          <cell r="T92" t="e">
            <v>#DIV/0!</v>
          </cell>
          <cell r="U92" t="e">
            <v>#DIV/0!</v>
          </cell>
          <cell r="V92"/>
          <cell r="W92" t="str">
            <v>NI</v>
          </cell>
        </row>
        <row r="93">
          <cell r="C93" t="str">
            <v>COLEMAN CREEK_Chum</v>
          </cell>
          <cell r="D93" t="str">
            <v>No</v>
          </cell>
          <cell r="E93" t="str">
            <v>No</v>
          </cell>
          <cell r="F93">
            <v>23</v>
          </cell>
          <cell r="G93" t="str">
            <v>COLEMAN CREEK</v>
          </cell>
          <cell r="H93" t="str">
            <v>Chum</v>
          </cell>
          <cell r="I93"/>
          <cell r="J93"/>
          <cell r="K93">
            <v>4</v>
          </cell>
          <cell r="L93">
            <v>9</v>
          </cell>
          <cell r="M93">
            <v>6</v>
          </cell>
          <cell r="N93">
            <v>62.974194912304569</v>
          </cell>
          <cell r="O93">
            <v>1500</v>
          </cell>
          <cell r="P93">
            <v>47.232299535150524</v>
          </cell>
          <cell r="Q93"/>
          <cell r="R93"/>
          <cell r="S93" t="str">
            <v>Charter Patrol stream, chum is the target species</v>
          </cell>
          <cell r="T93" t="e">
            <v>#DIV/0!</v>
          </cell>
          <cell r="U93" t="e">
            <v>#DIV/0!</v>
          </cell>
          <cell r="V93"/>
          <cell r="W93" t="str">
            <v>NI</v>
          </cell>
        </row>
        <row r="94">
          <cell r="C94" t="str">
            <v>COLEMAN CREEK_Coho</v>
          </cell>
          <cell r="D94" t="str">
            <v>No</v>
          </cell>
          <cell r="E94" t="str">
            <v>No</v>
          </cell>
          <cell r="F94">
            <v>23</v>
          </cell>
          <cell r="G94" t="str">
            <v>COLEMAN CREEK</v>
          </cell>
          <cell r="H94" t="str">
            <v>Coho</v>
          </cell>
          <cell r="I94"/>
          <cell r="J94"/>
          <cell r="K94">
            <v>4</v>
          </cell>
          <cell r="L94">
            <v>9</v>
          </cell>
          <cell r="M94">
            <v>2</v>
          </cell>
          <cell r="N94">
            <v>22.360679774997898</v>
          </cell>
          <cell r="O94">
            <v>300</v>
          </cell>
          <cell r="P94">
            <v>41.594634407785826</v>
          </cell>
          <cell r="Q94"/>
          <cell r="R94"/>
          <cell r="S94" t="str">
            <v>Charter Patrol stream, chum is the target species</v>
          </cell>
          <cell r="T94" t="e">
            <v>#DIV/0!</v>
          </cell>
          <cell r="U94" t="e">
            <v>#DIV/0!</v>
          </cell>
          <cell r="V94"/>
          <cell r="W94" t="str">
            <v>NI</v>
          </cell>
        </row>
        <row r="95">
          <cell r="C95" t="str">
            <v>CONSINKA CREEK_Chinook</v>
          </cell>
          <cell r="D95" t="str">
            <v>No</v>
          </cell>
          <cell r="E95" t="str">
            <v>No</v>
          </cell>
          <cell r="F95">
            <v>23</v>
          </cell>
          <cell r="G95" t="str">
            <v>CONSINKA CREEK</v>
          </cell>
          <cell r="H95" t="str">
            <v>Chinook</v>
          </cell>
          <cell r="I95"/>
          <cell r="J95"/>
          <cell r="K95">
            <v>4</v>
          </cell>
          <cell r="L95">
            <v>10</v>
          </cell>
          <cell r="M95">
            <v>1</v>
          </cell>
          <cell r="N95">
            <v>6</v>
          </cell>
          <cell r="O95">
            <v>6</v>
          </cell>
          <cell r="P95">
            <v>6</v>
          </cell>
          <cell r="Q95"/>
          <cell r="R95"/>
          <cell r="S95" t="str">
            <v>Charter Patrol stream, chum is the target species</v>
          </cell>
          <cell r="T95" t="e">
            <v>#DIV/0!</v>
          </cell>
          <cell r="U95" t="e">
            <v>#DIV/0!</v>
          </cell>
          <cell r="V95"/>
          <cell r="W95" t="str">
            <v>NI</v>
          </cell>
        </row>
        <row r="96">
          <cell r="C96" t="str">
            <v>CONSINKA CREEK_Chum</v>
          </cell>
          <cell r="D96" t="str">
            <v>No</v>
          </cell>
          <cell r="E96" t="str">
            <v>No</v>
          </cell>
          <cell r="F96">
            <v>23</v>
          </cell>
          <cell r="G96" t="str">
            <v>CONSINKA CREEK</v>
          </cell>
          <cell r="H96" t="str">
            <v>Chum</v>
          </cell>
          <cell r="I96"/>
          <cell r="J96"/>
          <cell r="K96">
            <v>4</v>
          </cell>
          <cell r="L96">
            <v>10</v>
          </cell>
          <cell r="M96">
            <v>9</v>
          </cell>
          <cell r="N96">
            <v>157.35773337467103</v>
          </cell>
          <cell r="O96">
            <v>1500</v>
          </cell>
          <cell r="P96">
            <v>296.94118252295073</v>
          </cell>
          <cell r="Q96"/>
          <cell r="R96"/>
          <cell r="S96" t="str">
            <v>Charter Patrol stream, chum is the target species</v>
          </cell>
          <cell r="T96" t="e">
            <v>#DIV/0!</v>
          </cell>
          <cell r="U96">
            <v>320</v>
          </cell>
          <cell r="V96"/>
          <cell r="W96" t="str">
            <v>NI</v>
          </cell>
        </row>
        <row r="97">
          <cell r="C97" t="str">
            <v>CONSINKA CREEK_Coho</v>
          </cell>
          <cell r="D97" t="str">
            <v>No</v>
          </cell>
          <cell r="E97" t="str">
            <v>No</v>
          </cell>
          <cell r="F97">
            <v>23</v>
          </cell>
          <cell r="G97" t="str">
            <v>CONSINKA CREEK</v>
          </cell>
          <cell r="H97" t="str">
            <v>Coho</v>
          </cell>
          <cell r="I97"/>
          <cell r="J97"/>
          <cell r="K97">
            <v>4</v>
          </cell>
          <cell r="L97">
            <v>10</v>
          </cell>
          <cell r="M97">
            <v>2</v>
          </cell>
          <cell r="N97">
            <v>1</v>
          </cell>
          <cell r="O97">
            <v>200</v>
          </cell>
          <cell r="P97">
            <v>27.661306232019843</v>
          </cell>
          <cell r="Q97"/>
          <cell r="R97"/>
          <cell r="S97" t="str">
            <v>Charter Patrol stream, chum is the target species</v>
          </cell>
          <cell r="T97">
            <v>2</v>
          </cell>
          <cell r="U97">
            <v>2</v>
          </cell>
          <cell r="V97"/>
          <cell r="W97" t="str">
            <v>NI</v>
          </cell>
        </row>
        <row r="98">
          <cell r="C98" t="str">
            <v>COUS CREEK_Chinook</v>
          </cell>
          <cell r="D98" t="str">
            <v>No</v>
          </cell>
          <cell r="E98" t="str">
            <v>No</v>
          </cell>
          <cell r="F98">
            <v>23</v>
          </cell>
          <cell r="G98" t="str">
            <v>COUS CREEK</v>
          </cell>
          <cell r="H98" t="str">
            <v>Chinook</v>
          </cell>
          <cell r="I98"/>
          <cell r="J98"/>
          <cell r="K98">
            <v>4</v>
          </cell>
          <cell r="L98">
            <v>11</v>
          </cell>
          <cell r="M98">
            <v>0</v>
          </cell>
          <cell r="N98" t="e">
            <v>#NUM!</v>
          </cell>
          <cell r="O98">
            <v>25</v>
          </cell>
          <cell r="P98">
            <v>19.807096178377339</v>
          </cell>
          <cell r="Q98"/>
          <cell r="R98"/>
          <cell r="S98" t="str">
            <v>Charter Patrol stream, chum is the target species</v>
          </cell>
          <cell r="T98" t="e">
            <v>#DIV/0!</v>
          </cell>
          <cell r="U98" t="e">
            <v>#DIV/0!</v>
          </cell>
          <cell r="V98"/>
          <cell r="W98" t="str">
            <v>NI</v>
          </cell>
        </row>
        <row r="99">
          <cell r="C99" t="str">
            <v>COUS CREEK_Chum</v>
          </cell>
          <cell r="D99" t="str">
            <v>No</v>
          </cell>
          <cell r="E99" t="str">
            <v>No</v>
          </cell>
          <cell r="F99">
            <v>23</v>
          </cell>
          <cell r="G99" t="str">
            <v>COUS CREEK</v>
          </cell>
          <cell r="H99" t="str">
            <v>Chum</v>
          </cell>
          <cell r="I99"/>
          <cell r="J99"/>
          <cell r="K99">
            <v>4</v>
          </cell>
          <cell r="L99">
            <v>11</v>
          </cell>
          <cell r="M99">
            <v>11</v>
          </cell>
          <cell r="N99">
            <v>5220.7511459202033</v>
          </cell>
          <cell r="O99">
            <v>20000</v>
          </cell>
          <cell r="P99">
            <v>582.01502974524658</v>
          </cell>
          <cell r="Q99"/>
          <cell r="R99"/>
          <cell r="S99" t="str">
            <v>Charter Patrol stream, chum is the target species</v>
          </cell>
          <cell r="T99" t="e">
            <v>#DIV/0!</v>
          </cell>
          <cell r="U99">
            <v>3188</v>
          </cell>
          <cell r="V99"/>
          <cell r="W99" t="str">
            <v>NI</v>
          </cell>
        </row>
        <row r="100">
          <cell r="C100" t="str">
            <v>COUS CREEK_Coho</v>
          </cell>
          <cell r="D100" t="str">
            <v>No</v>
          </cell>
          <cell r="E100" t="str">
            <v>No</v>
          </cell>
          <cell r="F100">
            <v>23</v>
          </cell>
          <cell r="G100" t="str">
            <v>COUS CREEK</v>
          </cell>
          <cell r="H100" t="str">
            <v>Coho</v>
          </cell>
          <cell r="I100"/>
          <cell r="J100"/>
          <cell r="K100">
            <v>4</v>
          </cell>
          <cell r="L100">
            <v>11</v>
          </cell>
          <cell r="M100">
            <v>2</v>
          </cell>
          <cell r="N100">
            <v>79.37005259840997</v>
          </cell>
          <cell r="O100">
            <v>750</v>
          </cell>
          <cell r="P100">
            <v>97.295643055910745</v>
          </cell>
          <cell r="Q100"/>
          <cell r="R100"/>
          <cell r="S100" t="str">
            <v>Charter Patrol stream, chum is the target species</v>
          </cell>
          <cell r="T100" t="e">
            <v>#DIV/0!</v>
          </cell>
          <cell r="U100" t="e">
            <v>#DIV/0!</v>
          </cell>
          <cell r="V100"/>
          <cell r="W100" t="str">
            <v>NI</v>
          </cell>
        </row>
        <row r="101">
          <cell r="C101" t="str">
            <v>DEER CREEK_Chum</v>
          </cell>
          <cell r="D101" t="str">
            <v>No</v>
          </cell>
          <cell r="E101" t="str">
            <v>No</v>
          </cell>
          <cell r="F101">
            <v>23</v>
          </cell>
          <cell r="G101" t="str">
            <v>DEER CREEK</v>
          </cell>
          <cell r="H101" t="str">
            <v>Chum</v>
          </cell>
          <cell r="I101"/>
          <cell r="J101"/>
          <cell r="K101">
            <v>5</v>
          </cell>
          <cell r="L101">
            <v>0</v>
          </cell>
          <cell r="M101"/>
          <cell r="N101" t="e">
            <v>#NUM!</v>
          </cell>
          <cell r="O101">
            <v>0</v>
          </cell>
          <cell r="P101" t="e">
            <v>#NUM!</v>
          </cell>
          <cell r="Q101"/>
          <cell r="R101"/>
          <cell r="S101" t="str">
            <v>Last time stream was surveyed was in 1993</v>
          </cell>
          <cell r="T101" t="e">
            <v>#DIV/0!</v>
          </cell>
          <cell r="U101" t="e">
            <v>#DIV/0!</v>
          </cell>
          <cell r="V101"/>
          <cell r="W101" t="str">
            <v>NI</v>
          </cell>
        </row>
        <row r="102">
          <cell r="C102" t="str">
            <v>DEER CREEK_Coho</v>
          </cell>
          <cell r="D102" t="str">
            <v>No</v>
          </cell>
          <cell r="E102" t="str">
            <v>No</v>
          </cell>
          <cell r="F102">
            <v>23</v>
          </cell>
          <cell r="G102" t="str">
            <v>DEER CREEK</v>
          </cell>
          <cell r="H102" t="str">
            <v>Coho</v>
          </cell>
          <cell r="I102"/>
          <cell r="J102"/>
          <cell r="K102">
            <v>5</v>
          </cell>
          <cell r="L102">
            <v>0</v>
          </cell>
          <cell r="M102"/>
          <cell r="N102" t="e">
            <v>#NUM!</v>
          </cell>
          <cell r="O102">
            <v>15</v>
          </cell>
          <cell r="P102">
            <v>10.954451150103322</v>
          </cell>
          <cell r="Q102"/>
          <cell r="R102"/>
          <cell r="S102" t="str">
            <v>Last time stream was surveyed was in 1993</v>
          </cell>
          <cell r="T102" t="e">
            <v>#DIV/0!</v>
          </cell>
          <cell r="U102" t="e">
            <v>#DIV/0!</v>
          </cell>
          <cell r="V102"/>
          <cell r="W102" t="str">
            <v>NI</v>
          </cell>
        </row>
        <row r="103">
          <cell r="C103" t="str">
            <v>DUTCH HARBOUR CREEK EAST_Chum</v>
          </cell>
          <cell r="D103" t="str">
            <v>No</v>
          </cell>
          <cell r="E103" t="str">
            <v>No</v>
          </cell>
          <cell r="F103">
            <v>23</v>
          </cell>
          <cell r="G103" t="str">
            <v>DUTCH HARBOUR CREEK EAST</v>
          </cell>
          <cell r="H103" t="str">
            <v>Chum</v>
          </cell>
          <cell r="I103"/>
          <cell r="J103"/>
          <cell r="K103">
            <v>4</v>
          </cell>
          <cell r="L103">
            <v>8</v>
          </cell>
          <cell r="M103">
            <v>2</v>
          </cell>
          <cell r="N103">
            <v>20</v>
          </cell>
          <cell r="O103">
            <v>7500</v>
          </cell>
          <cell r="P103">
            <v>510.98339193720057</v>
          </cell>
          <cell r="Q103"/>
          <cell r="R103"/>
          <cell r="S103" t="str">
            <v>Charter Patrol stream, chum is the target species</v>
          </cell>
          <cell r="T103" t="e">
            <v>#DIV/0!</v>
          </cell>
          <cell r="U103" t="e">
            <v>#DIV/0!</v>
          </cell>
          <cell r="V103"/>
          <cell r="W103" t="str">
            <v>NI</v>
          </cell>
        </row>
        <row r="104">
          <cell r="C104" t="str">
            <v>DUTCH HARBOUR CREEK EAST_Coho</v>
          </cell>
          <cell r="D104" t="str">
            <v>No</v>
          </cell>
          <cell r="E104" t="str">
            <v>No</v>
          </cell>
          <cell r="F104">
            <v>23</v>
          </cell>
          <cell r="G104" t="str">
            <v>DUTCH HARBOUR CREEK EAST</v>
          </cell>
          <cell r="H104" t="str">
            <v>Coho</v>
          </cell>
          <cell r="I104"/>
          <cell r="J104"/>
          <cell r="K104">
            <v>4</v>
          </cell>
          <cell r="L104">
            <v>8</v>
          </cell>
          <cell r="M104">
            <v>0</v>
          </cell>
          <cell r="N104" t="e">
            <v>#NUM!</v>
          </cell>
          <cell r="O104">
            <v>400</v>
          </cell>
          <cell r="P104">
            <v>43.616101044830337</v>
          </cell>
          <cell r="Q104"/>
          <cell r="R104"/>
          <cell r="S104" t="str">
            <v>Charter Patrol stream, chum is the target species</v>
          </cell>
          <cell r="T104" t="e">
            <v>#DIV/0!</v>
          </cell>
          <cell r="U104" t="e">
            <v>#DIV/0!</v>
          </cell>
          <cell r="V104"/>
          <cell r="W104" t="str">
            <v>NI</v>
          </cell>
        </row>
        <row r="105">
          <cell r="C105" t="str">
            <v>DUTCH HARBOUR CREEK WEST_Chum</v>
          </cell>
          <cell r="D105" t="str">
            <v>No</v>
          </cell>
          <cell r="E105" t="str">
            <v>No</v>
          </cell>
          <cell r="F105">
            <v>23</v>
          </cell>
          <cell r="G105" t="str">
            <v>DUTCH HARBOUR CREEK WEST</v>
          </cell>
          <cell r="H105" t="str">
            <v>Chum</v>
          </cell>
          <cell r="I105"/>
          <cell r="J105"/>
          <cell r="K105">
            <v>4</v>
          </cell>
          <cell r="L105">
            <v>7</v>
          </cell>
          <cell r="M105">
            <v>2</v>
          </cell>
          <cell r="N105">
            <v>14.142135623730951</v>
          </cell>
          <cell r="O105">
            <v>1500</v>
          </cell>
          <cell r="P105">
            <v>270.98170163725536</v>
          </cell>
          <cell r="Q105"/>
          <cell r="R105"/>
          <cell r="S105" t="str">
            <v>Charter Patrol stream, chum is the target species</v>
          </cell>
          <cell r="T105" t="e">
            <v>#DIV/0!</v>
          </cell>
          <cell r="U105" t="e">
            <v>#DIV/0!</v>
          </cell>
          <cell r="V105"/>
          <cell r="W105" t="str">
            <v>NI</v>
          </cell>
        </row>
        <row r="106">
          <cell r="C106" t="str">
            <v>DUTCH HARBOUR CREEK WEST_Coho</v>
          </cell>
          <cell r="D106" t="str">
            <v>No</v>
          </cell>
          <cell r="E106" t="str">
            <v>No</v>
          </cell>
          <cell r="F106">
            <v>23</v>
          </cell>
          <cell r="G106" t="str">
            <v>DUTCH HARBOUR CREEK WEST</v>
          </cell>
          <cell r="H106" t="str">
            <v>Coho</v>
          </cell>
          <cell r="I106"/>
          <cell r="J106"/>
          <cell r="K106">
            <v>4</v>
          </cell>
          <cell r="L106">
            <v>7</v>
          </cell>
          <cell r="M106">
            <v>2</v>
          </cell>
          <cell r="N106">
            <v>7.0710678118654755</v>
          </cell>
          <cell r="O106">
            <v>400</v>
          </cell>
          <cell r="P106">
            <v>27.550020260955627</v>
          </cell>
          <cell r="Q106"/>
          <cell r="R106"/>
          <cell r="S106" t="str">
            <v>Charter Patrol stream, chum is the target species</v>
          </cell>
          <cell r="T106" t="e">
            <v>#DIV/0!</v>
          </cell>
          <cell r="U106" t="e">
            <v>#DIV/0!</v>
          </cell>
          <cell r="V106"/>
          <cell r="W106" t="str">
            <v>NI</v>
          </cell>
        </row>
        <row r="107">
          <cell r="C107" t="str">
            <v>EFFINGHAM RIVER_Chinook</v>
          </cell>
          <cell r="D107" t="str">
            <v>No</v>
          </cell>
          <cell r="E107" t="str">
            <v>No</v>
          </cell>
          <cell r="F107">
            <v>23</v>
          </cell>
          <cell r="G107" t="str">
            <v>EFFINGHAM RIVER</v>
          </cell>
          <cell r="H107" t="str">
            <v>Chinook</v>
          </cell>
          <cell r="I107"/>
          <cell r="J107"/>
          <cell r="K107">
            <v>4</v>
          </cell>
          <cell r="L107">
            <v>11</v>
          </cell>
          <cell r="M107">
            <v>3</v>
          </cell>
          <cell r="N107">
            <v>39.148676411688633</v>
          </cell>
          <cell r="O107">
            <v>200</v>
          </cell>
          <cell r="P107">
            <v>24.75098903106721</v>
          </cell>
          <cell r="Q107"/>
          <cell r="R107"/>
          <cell r="S107" t="str">
            <v>Charter Patrol stream, chum is the target species</v>
          </cell>
          <cell r="T107">
            <v>12.75</v>
          </cell>
          <cell r="U107">
            <v>21.5</v>
          </cell>
          <cell r="V107"/>
          <cell r="W107">
            <v>11</v>
          </cell>
        </row>
        <row r="108">
          <cell r="C108" t="str">
            <v>EFFINGHAM RIVER_Chum</v>
          </cell>
          <cell r="D108" t="str">
            <v>No</v>
          </cell>
          <cell r="E108" t="str">
            <v>No</v>
          </cell>
          <cell r="F108">
            <v>23</v>
          </cell>
          <cell r="G108" t="str">
            <v>EFFINGHAM RIVER</v>
          </cell>
          <cell r="H108" t="str">
            <v>Chum</v>
          </cell>
          <cell r="I108"/>
          <cell r="J108"/>
          <cell r="K108">
            <v>4</v>
          </cell>
          <cell r="L108">
            <v>11</v>
          </cell>
          <cell r="M108">
            <v>11</v>
          </cell>
          <cell r="N108">
            <v>9888.9149903951693</v>
          </cell>
          <cell r="O108">
            <v>28982</v>
          </cell>
          <cell r="P108">
            <v>4018.7221852699472</v>
          </cell>
          <cell r="Q108"/>
          <cell r="R108"/>
          <cell r="S108" t="str">
            <v>Charter Patrol stream, chum is the target species</v>
          </cell>
          <cell r="T108">
            <v>871</v>
          </cell>
          <cell r="U108">
            <v>683.33333333333337</v>
          </cell>
          <cell r="V108"/>
          <cell r="W108">
            <v>421</v>
          </cell>
        </row>
        <row r="109">
          <cell r="C109" t="str">
            <v>EFFINGHAM RIVER_Coho</v>
          </cell>
          <cell r="D109" t="str">
            <v>No</v>
          </cell>
          <cell r="E109" t="str">
            <v>No</v>
          </cell>
          <cell r="F109">
            <v>23</v>
          </cell>
          <cell r="G109" t="str">
            <v>EFFINGHAM RIVER</v>
          </cell>
          <cell r="H109" t="str">
            <v>Coho</v>
          </cell>
          <cell r="I109"/>
          <cell r="J109"/>
          <cell r="K109">
            <v>4</v>
          </cell>
          <cell r="L109">
            <v>11</v>
          </cell>
          <cell r="M109">
            <v>4</v>
          </cell>
          <cell r="N109">
            <v>104.66351393921056</v>
          </cell>
          <cell r="O109">
            <v>3500</v>
          </cell>
          <cell r="P109">
            <v>488.30425795589611</v>
          </cell>
          <cell r="Q109"/>
          <cell r="R109"/>
          <cell r="S109" t="str">
            <v>Charter Patrol stream, chum is the target species</v>
          </cell>
          <cell r="T109">
            <v>349.25</v>
          </cell>
          <cell r="U109">
            <v>297</v>
          </cell>
          <cell r="V109"/>
          <cell r="W109">
            <v>674</v>
          </cell>
        </row>
        <row r="110">
          <cell r="C110" t="str">
            <v>FRANKLIN RIVER_Chinook</v>
          </cell>
          <cell r="D110" t="str">
            <v>No</v>
          </cell>
          <cell r="E110" t="str">
            <v>No</v>
          </cell>
          <cell r="F110">
            <v>23</v>
          </cell>
          <cell r="G110" t="str">
            <v>FRANKLIN RIVER</v>
          </cell>
          <cell r="H110" t="str">
            <v>Chinook</v>
          </cell>
          <cell r="I110"/>
          <cell r="J110"/>
          <cell r="K110">
            <v>4</v>
          </cell>
          <cell r="L110">
            <v>10</v>
          </cell>
          <cell r="M110">
            <v>4</v>
          </cell>
          <cell r="N110">
            <v>14.142135623730951</v>
          </cell>
          <cell r="O110">
            <v>90</v>
          </cell>
          <cell r="P110">
            <v>20.613428976975939</v>
          </cell>
          <cell r="Q110"/>
          <cell r="R110"/>
          <cell r="S110" t="str">
            <v>Charter Patrol stream, chum is the target species</v>
          </cell>
          <cell r="T110" t="e">
            <v>#DIV/0!</v>
          </cell>
          <cell r="U110" t="e">
            <v>#DIV/0!</v>
          </cell>
          <cell r="V110"/>
          <cell r="W110" t="str">
            <v>NI</v>
          </cell>
        </row>
        <row r="111">
          <cell r="C111" t="str">
            <v>FRANKLIN RIVER_Chum</v>
          </cell>
          <cell r="D111" t="str">
            <v>No</v>
          </cell>
          <cell r="E111" t="str">
            <v>No</v>
          </cell>
          <cell r="F111">
            <v>23</v>
          </cell>
          <cell r="G111" t="str">
            <v>FRANKLIN RIVER</v>
          </cell>
          <cell r="H111" t="str">
            <v>Chum</v>
          </cell>
          <cell r="I111"/>
          <cell r="J111"/>
          <cell r="K111">
            <v>4</v>
          </cell>
          <cell r="L111">
            <v>10</v>
          </cell>
          <cell r="M111">
            <v>9</v>
          </cell>
          <cell r="N111">
            <v>275.05179057277081</v>
          </cell>
          <cell r="O111">
            <v>1853</v>
          </cell>
          <cell r="P111">
            <v>119.3816150938729</v>
          </cell>
          <cell r="Q111"/>
          <cell r="R111"/>
          <cell r="S111" t="str">
            <v>Charter Patrol stream, chum is the target species</v>
          </cell>
          <cell r="T111" t="e">
            <v>#DIV/0!</v>
          </cell>
          <cell r="U111">
            <v>62</v>
          </cell>
          <cell r="V111"/>
          <cell r="W111" t="str">
            <v>NI</v>
          </cell>
        </row>
        <row r="112">
          <cell r="C112" t="str">
            <v>FRANKLIN RIVER_Coho</v>
          </cell>
          <cell r="D112" t="str">
            <v>No</v>
          </cell>
          <cell r="E112" t="str">
            <v>No</v>
          </cell>
          <cell r="F112">
            <v>23</v>
          </cell>
          <cell r="G112" t="str">
            <v>FRANKLIN RIVER</v>
          </cell>
          <cell r="H112" t="str">
            <v>Coho</v>
          </cell>
          <cell r="I112"/>
          <cell r="J112"/>
          <cell r="K112">
            <v>4</v>
          </cell>
          <cell r="L112">
            <v>10</v>
          </cell>
          <cell r="M112">
            <v>5</v>
          </cell>
          <cell r="N112">
            <v>25.508490012515818</v>
          </cell>
          <cell r="O112">
            <v>400</v>
          </cell>
          <cell r="P112">
            <v>57.915359834345153</v>
          </cell>
          <cell r="Q112"/>
          <cell r="R112"/>
          <cell r="S112" t="str">
            <v>Charter Patrol stream, chum is the target species</v>
          </cell>
          <cell r="T112" t="e">
            <v>#DIV/0!</v>
          </cell>
          <cell r="U112">
            <v>42.75</v>
          </cell>
          <cell r="V112"/>
          <cell r="W112" t="str">
            <v>NI</v>
          </cell>
        </row>
        <row r="113">
          <cell r="C113" t="str">
            <v>FREDERICK CREEK_Chum</v>
          </cell>
          <cell r="D113" t="str">
            <v>No</v>
          </cell>
          <cell r="E113" t="str">
            <v>No</v>
          </cell>
          <cell r="F113">
            <v>23</v>
          </cell>
          <cell r="G113" t="str">
            <v>FREDERICK CREEK</v>
          </cell>
          <cell r="H113" t="str">
            <v>Chum</v>
          </cell>
          <cell r="I113"/>
          <cell r="J113"/>
          <cell r="K113">
            <v>5</v>
          </cell>
          <cell r="L113">
            <v>0</v>
          </cell>
          <cell r="M113"/>
          <cell r="N113" t="e">
            <v>#NUM!</v>
          </cell>
          <cell r="O113">
            <v>10800</v>
          </cell>
          <cell r="P113">
            <v>538.23126329281513</v>
          </cell>
          <cell r="Q113"/>
          <cell r="R113"/>
          <cell r="S113" t="str">
            <v>Has not been surveyed since 1992, historically has a large chum run</v>
          </cell>
          <cell r="T113">
            <v>13</v>
          </cell>
          <cell r="U113">
            <v>13</v>
          </cell>
          <cell r="V113"/>
          <cell r="W113" t="str">
            <v>AP</v>
          </cell>
        </row>
        <row r="114">
          <cell r="C114" t="str">
            <v>FREDERICK CREEK_Coho</v>
          </cell>
          <cell r="D114" t="str">
            <v>No</v>
          </cell>
          <cell r="E114" t="str">
            <v>No</v>
          </cell>
          <cell r="F114">
            <v>23</v>
          </cell>
          <cell r="G114" t="str">
            <v>FREDERICK CREEK</v>
          </cell>
          <cell r="H114" t="str">
            <v>Coho</v>
          </cell>
          <cell r="I114"/>
          <cell r="J114"/>
          <cell r="K114">
            <v>5</v>
          </cell>
          <cell r="L114">
            <v>0</v>
          </cell>
          <cell r="M114"/>
          <cell r="N114" t="e">
            <v>#NUM!</v>
          </cell>
          <cell r="O114">
            <v>200</v>
          </cell>
          <cell r="P114">
            <v>76.430960615104098</v>
          </cell>
          <cell r="Q114"/>
          <cell r="R114"/>
          <cell r="S114" t="str">
            <v>Has not been surveyed since 1992, historically has a large chum run</v>
          </cell>
          <cell r="T114">
            <v>11.5</v>
          </cell>
          <cell r="U114">
            <v>11.5</v>
          </cell>
          <cell r="V114"/>
          <cell r="W114">
            <v>10</v>
          </cell>
        </row>
        <row r="115">
          <cell r="C115" t="str">
            <v>HENDERSON LAKE_Chinook</v>
          </cell>
          <cell r="D115" t="str">
            <v>No</v>
          </cell>
          <cell r="E115" t="str">
            <v>No</v>
          </cell>
          <cell r="F115">
            <v>23</v>
          </cell>
          <cell r="G115" t="str">
            <v>HENDERSON LAKE</v>
          </cell>
          <cell r="H115" t="str">
            <v>Chinook</v>
          </cell>
          <cell r="I115"/>
          <cell r="J115"/>
          <cell r="K115">
            <v>3</v>
          </cell>
          <cell r="L115">
            <v>3</v>
          </cell>
          <cell r="M115">
            <v>1</v>
          </cell>
          <cell r="N115">
            <v>2</v>
          </cell>
          <cell r="O115">
            <v>1500</v>
          </cell>
          <cell r="P115">
            <v>281.26811568542405</v>
          </cell>
          <cell r="Q115"/>
          <cell r="R115"/>
          <cell r="S115" t="str">
            <v>Are records indicate that 2002 was the last time surveys were conducted and an estimate was created</v>
          </cell>
          <cell r="T115" t="e">
            <v>#DIV/0!</v>
          </cell>
          <cell r="U115" t="e">
            <v>#DIV/0!</v>
          </cell>
          <cell r="V115"/>
          <cell r="W115" t="str">
            <v>NI</v>
          </cell>
        </row>
        <row r="116">
          <cell r="C116" t="str">
            <v>HENDERSON LAKE_Chum</v>
          </cell>
          <cell r="D116" t="str">
            <v>No</v>
          </cell>
          <cell r="E116" t="str">
            <v>No</v>
          </cell>
          <cell r="F116">
            <v>23</v>
          </cell>
          <cell r="G116" t="str">
            <v>HENDERSON LAKE</v>
          </cell>
          <cell r="H116" t="str">
            <v>Chum</v>
          </cell>
          <cell r="I116"/>
          <cell r="J116"/>
          <cell r="K116">
            <v>3</v>
          </cell>
          <cell r="L116">
            <v>3</v>
          </cell>
          <cell r="M116">
            <v>3</v>
          </cell>
          <cell r="N116">
            <v>269.81475126464085</v>
          </cell>
          <cell r="O116">
            <v>35000</v>
          </cell>
          <cell r="P116">
            <v>2076.5664249108904</v>
          </cell>
          <cell r="Q116"/>
          <cell r="R116"/>
          <cell r="S116" t="str">
            <v>Are records indicate that 2002 was the last time surveys were conducted and an estimate was created</v>
          </cell>
          <cell r="T116" t="e">
            <v>#DIV/0!</v>
          </cell>
          <cell r="U116" t="e">
            <v>#DIV/0!</v>
          </cell>
          <cell r="V116"/>
          <cell r="W116" t="str">
            <v>NI</v>
          </cell>
        </row>
        <row r="117">
          <cell r="C117" t="str">
            <v>HENDERSON LAKE_Coho</v>
          </cell>
          <cell r="D117" t="str">
            <v>No</v>
          </cell>
          <cell r="E117" t="str">
            <v>No</v>
          </cell>
          <cell r="F117">
            <v>23</v>
          </cell>
          <cell r="G117" t="str">
            <v>HENDERSON LAKE</v>
          </cell>
          <cell r="H117" t="str">
            <v>Coho</v>
          </cell>
          <cell r="I117"/>
          <cell r="J117"/>
          <cell r="K117">
            <v>3</v>
          </cell>
          <cell r="L117">
            <v>3</v>
          </cell>
          <cell r="M117">
            <v>0</v>
          </cell>
          <cell r="N117" t="e">
            <v>#NUM!</v>
          </cell>
          <cell r="O117">
            <v>3500</v>
          </cell>
          <cell r="P117">
            <v>890.97345706065539</v>
          </cell>
          <cell r="Q117"/>
          <cell r="R117"/>
          <cell r="S117" t="str">
            <v>Are records indicate that 2002 was the last time surveys were conducted and an estimate was created</v>
          </cell>
          <cell r="T117" t="e">
            <v>#DIV/0!</v>
          </cell>
          <cell r="U117" t="e">
            <v>#DIV/0!</v>
          </cell>
          <cell r="V117"/>
          <cell r="W117" t="str">
            <v>NI</v>
          </cell>
        </row>
        <row r="118">
          <cell r="C118" t="str">
            <v>HENDERSON LAKE_Sockeye</v>
          </cell>
          <cell r="D118" t="str">
            <v>No</v>
          </cell>
          <cell r="E118" t="str">
            <v>No</v>
          </cell>
          <cell r="F118">
            <v>23</v>
          </cell>
          <cell r="G118" t="str">
            <v>HENDERSON LAKE</v>
          </cell>
          <cell r="H118" t="str">
            <v>Sockeye</v>
          </cell>
          <cell r="I118"/>
          <cell r="J118"/>
          <cell r="K118">
            <v>3</v>
          </cell>
          <cell r="L118">
            <v>3</v>
          </cell>
          <cell r="M118">
            <v>3</v>
          </cell>
          <cell r="N118">
            <v>1889.7029463327378</v>
          </cell>
          <cell r="O118">
            <v>123913</v>
          </cell>
          <cell r="P118">
            <v>10778.491657448674</v>
          </cell>
          <cell r="Q118"/>
          <cell r="R118"/>
          <cell r="S118" t="str">
            <v>Are records indicate that 2002 was the last time surveys were conducted and an estimate was created</v>
          </cell>
          <cell r="T118">
            <v>10461.75</v>
          </cell>
          <cell r="U118">
            <v>12800</v>
          </cell>
          <cell r="V118"/>
          <cell r="W118">
            <v>18659</v>
          </cell>
        </row>
        <row r="119">
          <cell r="C119" t="str">
            <v>HILLIER CREEK_Chum</v>
          </cell>
          <cell r="D119" t="str">
            <v>No</v>
          </cell>
          <cell r="E119" t="str">
            <v>No</v>
          </cell>
          <cell r="F119">
            <v>23</v>
          </cell>
          <cell r="G119" t="str">
            <v>HILLIER CREEK</v>
          </cell>
          <cell r="H119" t="str">
            <v>Chum</v>
          </cell>
          <cell r="I119"/>
          <cell r="J119"/>
          <cell r="K119">
            <v>5</v>
          </cell>
          <cell r="L119">
            <v>10</v>
          </cell>
          <cell r="M119">
            <v>8</v>
          </cell>
          <cell r="N119">
            <v>61.988078922896669</v>
          </cell>
          <cell r="O119">
            <v>3500</v>
          </cell>
          <cell r="P119">
            <v>302.56171002004993</v>
          </cell>
          <cell r="Q119"/>
          <cell r="R119"/>
          <cell r="S119" t="str">
            <v>Charter Patrol stream, chum is the target species</v>
          </cell>
          <cell r="T119" t="e">
            <v>#DIV/0!</v>
          </cell>
          <cell r="U119" t="e">
            <v>#DIV/0!</v>
          </cell>
          <cell r="V119"/>
          <cell r="W119" t="str">
            <v>NI</v>
          </cell>
        </row>
        <row r="120">
          <cell r="C120" t="str">
            <v>HILLIER CREEK_Coho</v>
          </cell>
          <cell r="D120" t="str">
            <v>No</v>
          </cell>
          <cell r="E120" t="str">
            <v>No</v>
          </cell>
          <cell r="F120">
            <v>23</v>
          </cell>
          <cell r="G120" t="str">
            <v>HILLIER CREEK</v>
          </cell>
          <cell r="H120" t="str">
            <v>Coho</v>
          </cell>
          <cell r="I120"/>
          <cell r="J120"/>
          <cell r="K120">
            <v>5</v>
          </cell>
          <cell r="L120">
            <v>10</v>
          </cell>
          <cell r="M120">
            <v>2</v>
          </cell>
          <cell r="N120">
            <v>5.4772255750516612</v>
          </cell>
          <cell r="O120">
            <v>10</v>
          </cell>
          <cell r="P120">
            <v>5.4772255750516612</v>
          </cell>
          <cell r="Q120"/>
          <cell r="R120"/>
          <cell r="S120" t="str">
            <v>Charter Patrol stream, chum is the target species</v>
          </cell>
          <cell r="T120" t="e">
            <v>#DIV/0!</v>
          </cell>
          <cell r="U120" t="e">
            <v>#DIV/0!</v>
          </cell>
          <cell r="V120"/>
          <cell r="W120" t="str">
            <v>NI</v>
          </cell>
        </row>
        <row r="121">
          <cell r="C121" t="str">
            <v>HOLFORD CREEK_Chum</v>
          </cell>
          <cell r="D121" t="str">
            <v>No</v>
          </cell>
          <cell r="E121" t="str">
            <v>No</v>
          </cell>
          <cell r="F121">
            <v>23</v>
          </cell>
          <cell r="G121" t="str">
            <v>HOLFORD CREEK</v>
          </cell>
          <cell r="H121" t="str">
            <v>Chum</v>
          </cell>
          <cell r="I121"/>
          <cell r="J121"/>
          <cell r="K121">
            <v>4</v>
          </cell>
          <cell r="L121">
            <v>7</v>
          </cell>
          <cell r="M121">
            <v>1</v>
          </cell>
          <cell r="N121">
            <v>50</v>
          </cell>
          <cell r="O121">
            <v>3500</v>
          </cell>
          <cell r="P121">
            <v>586.29739535583576</v>
          </cell>
          <cell r="Q121"/>
          <cell r="R121"/>
          <cell r="S121" t="str">
            <v>charter Patrol stream, chum is the target species</v>
          </cell>
          <cell r="T121" t="e">
            <v>#DIV/0!</v>
          </cell>
          <cell r="U121" t="e">
            <v>#DIV/0!</v>
          </cell>
          <cell r="V121"/>
          <cell r="W121" t="str">
            <v>NI</v>
          </cell>
        </row>
        <row r="122">
          <cell r="C122" t="str">
            <v>HOLFORD CREEK_Coho</v>
          </cell>
          <cell r="D122" t="str">
            <v>No</v>
          </cell>
          <cell r="E122" t="str">
            <v>No</v>
          </cell>
          <cell r="F122">
            <v>23</v>
          </cell>
          <cell r="G122" t="str">
            <v>HOLFORD CREEK</v>
          </cell>
          <cell r="H122" t="str">
            <v>Coho</v>
          </cell>
          <cell r="I122"/>
          <cell r="J122"/>
          <cell r="K122">
            <v>4</v>
          </cell>
          <cell r="L122">
            <v>7</v>
          </cell>
          <cell r="M122">
            <v>0</v>
          </cell>
          <cell r="N122" t="e">
            <v>#NUM!</v>
          </cell>
          <cell r="O122">
            <v>75</v>
          </cell>
          <cell r="P122">
            <v>34.099885730166683</v>
          </cell>
          <cell r="Q122"/>
          <cell r="R122"/>
          <cell r="S122" t="str">
            <v>Charter Patrol stream, chum is the target species</v>
          </cell>
          <cell r="T122" t="e">
            <v>#DIV/0!</v>
          </cell>
          <cell r="U122" t="e">
            <v>#DIV/0!</v>
          </cell>
          <cell r="V122"/>
          <cell r="W122" t="str">
            <v>NI</v>
          </cell>
        </row>
        <row r="123">
          <cell r="C123" t="str">
            <v>ITATSOO CREEK_Chum</v>
          </cell>
          <cell r="D123" t="str">
            <v>No</v>
          </cell>
          <cell r="E123" t="str">
            <v>No</v>
          </cell>
          <cell r="F123">
            <v>23</v>
          </cell>
          <cell r="G123" t="str">
            <v>ITATSOO CREEK</v>
          </cell>
          <cell r="H123" t="str">
            <v>Chum</v>
          </cell>
          <cell r="I123"/>
          <cell r="J123"/>
          <cell r="K123">
            <v>5</v>
          </cell>
          <cell r="L123">
            <v>4</v>
          </cell>
          <cell r="M123">
            <v>4</v>
          </cell>
          <cell r="N123">
            <v>12.009248561777692</v>
          </cell>
          <cell r="O123">
            <v>450</v>
          </cell>
          <cell r="P123">
            <v>135.06160219184326</v>
          </cell>
          <cell r="Q123"/>
          <cell r="R123"/>
          <cell r="S123" t="str">
            <v>Last survey was conducted in 1999</v>
          </cell>
          <cell r="T123" t="e">
            <v>#DIV/0!</v>
          </cell>
          <cell r="U123" t="e">
            <v>#DIV/0!</v>
          </cell>
          <cell r="V123"/>
          <cell r="W123" t="str">
            <v>NI</v>
          </cell>
        </row>
        <row r="124">
          <cell r="C124" t="str">
            <v>ITATSOO CREEK_Coho</v>
          </cell>
          <cell r="D124" t="str">
            <v>No</v>
          </cell>
          <cell r="E124" t="str">
            <v>No</v>
          </cell>
          <cell r="F124">
            <v>23</v>
          </cell>
          <cell r="G124" t="str">
            <v>ITATSOO CREEK</v>
          </cell>
          <cell r="H124" t="str">
            <v>Coho</v>
          </cell>
          <cell r="I124"/>
          <cell r="J124"/>
          <cell r="K124">
            <v>5</v>
          </cell>
          <cell r="L124">
            <v>4</v>
          </cell>
          <cell r="M124">
            <v>3</v>
          </cell>
          <cell r="N124">
            <v>67.221071198357464</v>
          </cell>
          <cell r="O124">
            <v>150</v>
          </cell>
          <cell r="P124">
            <v>67.221071198357464</v>
          </cell>
          <cell r="Q124"/>
          <cell r="R124"/>
          <cell r="S124" t="str">
            <v>Last survey was conducted in 1999</v>
          </cell>
          <cell r="T124" t="e">
            <v>#DIV/0!</v>
          </cell>
          <cell r="U124" t="e">
            <v>#DIV/0!</v>
          </cell>
          <cell r="V124"/>
          <cell r="W124" t="str">
            <v>NI</v>
          </cell>
        </row>
        <row r="125">
          <cell r="C125" t="str">
            <v>ITATSOO CREEK_Sockeye</v>
          </cell>
          <cell r="D125" t="str">
            <v>No</v>
          </cell>
          <cell r="E125" t="str">
            <v>No</v>
          </cell>
          <cell r="F125">
            <v>23</v>
          </cell>
          <cell r="G125" t="str">
            <v>ITATSOO CREEK</v>
          </cell>
          <cell r="H125" t="str">
            <v>Sockeye</v>
          </cell>
          <cell r="I125"/>
          <cell r="J125"/>
          <cell r="K125">
            <v>5</v>
          </cell>
          <cell r="L125">
            <v>4</v>
          </cell>
          <cell r="M125">
            <v>1</v>
          </cell>
          <cell r="N125">
            <v>132</v>
          </cell>
          <cell r="O125">
            <v>132</v>
          </cell>
          <cell r="P125">
            <v>132</v>
          </cell>
          <cell r="Q125"/>
          <cell r="R125"/>
          <cell r="S125" t="str">
            <v>Last survey was conducted in 1999</v>
          </cell>
          <cell r="T125" t="e">
            <v>#DIV/0!</v>
          </cell>
          <cell r="U125" t="e">
            <v>#DIV/0!</v>
          </cell>
          <cell r="V125"/>
          <cell r="W125" t="str">
            <v>NI</v>
          </cell>
        </row>
        <row r="126">
          <cell r="C126" t="str">
            <v>KITSUCKSUS CREEK_Chum</v>
          </cell>
          <cell r="D126" t="str">
            <v>No</v>
          </cell>
          <cell r="E126" t="str">
            <v>No</v>
          </cell>
          <cell r="F126">
            <v>23</v>
          </cell>
          <cell r="G126" t="str">
            <v>KITSUCKSUS CREEK</v>
          </cell>
          <cell r="H126" t="str">
            <v>Chum</v>
          </cell>
          <cell r="I126"/>
          <cell r="J126"/>
          <cell r="K126">
            <v>3</v>
          </cell>
          <cell r="L126">
            <v>0</v>
          </cell>
          <cell r="M126"/>
          <cell r="N126" t="e">
            <v>#NUM!</v>
          </cell>
          <cell r="O126">
            <v>0</v>
          </cell>
          <cell r="P126" t="e">
            <v>#NUM!</v>
          </cell>
          <cell r="Q126"/>
          <cell r="R126"/>
          <cell r="S126" t="str">
            <v>Coho is the target species</v>
          </cell>
          <cell r="T126" t="e">
            <v>#DIV/0!</v>
          </cell>
          <cell r="U126">
            <v>42</v>
          </cell>
          <cell r="V126"/>
          <cell r="W126" t="str">
            <v>NI</v>
          </cell>
        </row>
        <row r="127">
          <cell r="C127" t="str">
            <v>KITSUCKSUS CREEK_Coho</v>
          </cell>
          <cell r="D127" t="str">
            <v>No</v>
          </cell>
          <cell r="E127" t="str">
            <v>No</v>
          </cell>
          <cell r="F127">
            <v>23</v>
          </cell>
          <cell r="G127" t="str">
            <v>KITSUCKSUS CREEK</v>
          </cell>
          <cell r="H127" t="str">
            <v>Coho</v>
          </cell>
          <cell r="I127"/>
          <cell r="J127"/>
          <cell r="K127">
            <v>3</v>
          </cell>
          <cell r="L127">
            <v>3</v>
          </cell>
          <cell r="M127">
            <v>3</v>
          </cell>
          <cell r="N127">
            <v>944.07780363352128</v>
          </cell>
          <cell r="O127">
            <v>1991</v>
          </cell>
          <cell r="P127">
            <v>944.07780363352128</v>
          </cell>
          <cell r="Q127"/>
          <cell r="R127"/>
          <cell r="S127" t="str">
            <v>Coho surveys conducted for 3 years from 2003 through 2005</v>
          </cell>
          <cell r="T127" t="e">
            <v>#DIV/0!</v>
          </cell>
          <cell r="U127">
            <v>43</v>
          </cell>
          <cell r="V127"/>
          <cell r="W127" t="str">
            <v>NI</v>
          </cell>
        </row>
        <row r="128">
          <cell r="C128" t="str">
            <v>LITTLE MAGGIE RIVER_Chum</v>
          </cell>
          <cell r="D128" t="str">
            <v>No</v>
          </cell>
          <cell r="E128" t="str">
            <v>No</v>
          </cell>
          <cell r="F128">
            <v>23</v>
          </cell>
          <cell r="G128" t="str">
            <v>LITTLE MAGGIE RIVER</v>
          </cell>
          <cell r="H128" t="str">
            <v>Chum</v>
          </cell>
          <cell r="I128"/>
          <cell r="J128"/>
          <cell r="K128">
            <v>5</v>
          </cell>
          <cell r="L128">
            <v>5</v>
          </cell>
          <cell r="M128">
            <v>4</v>
          </cell>
          <cell r="N128">
            <v>11.132630734854963</v>
          </cell>
          <cell r="O128">
            <v>800</v>
          </cell>
          <cell r="P128">
            <v>105.68398207136011</v>
          </cell>
          <cell r="Q128"/>
          <cell r="R128"/>
          <cell r="S128" t="str">
            <v>Missing data for 5 years, unknown if the stream was surveyed or not</v>
          </cell>
          <cell r="T128" t="e">
            <v>#DIV/0!</v>
          </cell>
          <cell r="U128" t="e">
            <v>#DIV/0!</v>
          </cell>
          <cell r="V128"/>
          <cell r="W128" t="str">
            <v>NI</v>
          </cell>
        </row>
        <row r="129">
          <cell r="C129" t="str">
            <v>LITTLE MAGGIE RIVER_Coho</v>
          </cell>
          <cell r="D129" t="str">
            <v>No</v>
          </cell>
          <cell r="E129" t="str">
            <v>No</v>
          </cell>
          <cell r="F129">
            <v>23</v>
          </cell>
          <cell r="G129" t="str">
            <v>LITTLE MAGGIE RIVER</v>
          </cell>
          <cell r="H129" t="str">
            <v>Coho</v>
          </cell>
          <cell r="I129"/>
          <cell r="J129"/>
          <cell r="K129">
            <v>5</v>
          </cell>
          <cell r="L129">
            <v>5</v>
          </cell>
          <cell r="M129">
            <v>5</v>
          </cell>
          <cell r="N129">
            <v>5.7326567532262009</v>
          </cell>
          <cell r="O129">
            <v>90</v>
          </cell>
          <cell r="P129">
            <v>29.436886664883037</v>
          </cell>
          <cell r="Q129"/>
          <cell r="R129"/>
          <cell r="S129" t="str">
            <v>Missing data for 5 years, unknown if the stream was surveyed or not</v>
          </cell>
          <cell r="T129" t="e">
            <v>#DIV/0!</v>
          </cell>
          <cell r="U129" t="e">
            <v>#DIV/0!</v>
          </cell>
          <cell r="V129"/>
          <cell r="W129" t="str">
            <v>NI</v>
          </cell>
        </row>
        <row r="130">
          <cell r="C130" t="str">
            <v>LITTLE TOQUART CREEK_Chum</v>
          </cell>
          <cell r="D130" t="str">
            <v>No</v>
          </cell>
          <cell r="E130" t="str">
            <v>No</v>
          </cell>
          <cell r="F130">
            <v>23</v>
          </cell>
          <cell r="G130" t="str">
            <v>LITTLE TOQUART CREEK</v>
          </cell>
          <cell r="H130" t="str">
            <v>Chum</v>
          </cell>
          <cell r="I130"/>
          <cell r="J130"/>
          <cell r="K130">
            <v>5</v>
          </cell>
          <cell r="L130">
            <v>9</v>
          </cell>
          <cell r="M130">
            <v>9</v>
          </cell>
          <cell r="N130">
            <v>2811.4984480217508</v>
          </cell>
          <cell r="O130">
            <v>15000</v>
          </cell>
          <cell r="P130">
            <v>2355.3196342271017</v>
          </cell>
          <cell r="Q130"/>
          <cell r="R130"/>
          <cell r="S130" t="str">
            <v>Chum is the target species. Missing escapement estimate for 2003</v>
          </cell>
          <cell r="T130">
            <v>2155.5</v>
          </cell>
          <cell r="U130">
            <v>1976.5</v>
          </cell>
          <cell r="V130"/>
          <cell r="W130">
            <v>4056</v>
          </cell>
        </row>
        <row r="131">
          <cell r="C131" t="str">
            <v>LITTLE TOQUART CREEK_Coho</v>
          </cell>
          <cell r="D131" t="str">
            <v>No</v>
          </cell>
          <cell r="E131" t="str">
            <v>No</v>
          </cell>
          <cell r="F131">
            <v>23</v>
          </cell>
          <cell r="G131" t="str">
            <v>LITTLE TOQUART CREEK</v>
          </cell>
          <cell r="H131" t="str">
            <v>Coho</v>
          </cell>
          <cell r="I131"/>
          <cell r="J131"/>
          <cell r="K131">
            <v>5</v>
          </cell>
          <cell r="L131">
            <v>9</v>
          </cell>
          <cell r="M131">
            <v>2</v>
          </cell>
          <cell r="N131">
            <v>28.284271247461902</v>
          </cell>
          <cell r="O131">
            <v>200</v>
          </cell>
          <cell r="P131">
            <v>42.227715488291757</v>
          </cell>
          <cell r="Q131"/>
          <cell r="R131"/>
          <cell r="S131" t="str">
            <v>Chum is the target species. Missing escapement estimate for 2003</v>
          </cell>
          <cell r="T131">
            <v>20</v>
          </cell>
          <cell r="U131">
            <v>18.75</v>
          </cell>
          <cell r="V131"/>
          <cell r="W131">
            <v>9</v>
          </cell>
        </row>
        <row r="132">
          <cell r="C132" t="str">
            <v>LUCKY CREEK_Chum</v>
          </cell>
          <cell r="D132" t="str">
            <v>No</v>
          </cell>
          <cell r="E132" t="str">
            <v>No</v>
          </cell>
          <cell r="F132">
            <v>23</v>
          </cell>
          <cell r="G132" t="str">
            <v>LUCKY CREEK</v>
          </cell>
          <cell r="H132" t="str">
            <v>Chum</v>
          </cell>
          <cell r="I132"/>
          <cell r="J132"/>
          <cell r="K132">
            <v>5</v>
          </cell>
          <cell r="L132">
            <v>5</v>
          </cell>
          <cell r="M132">
            <v>3</v>
          </cell>
          <cell r="N132">
            <v>159.39878537739165</v>
          </cell>
          <cell r="O132">
            <v>3500</v>
          </cell>
          <cell r="P132">
            <v>266.08174948433293</v>
          </cell>
          <cell r="Q132"/>
          <cell r="R132"/>
          <cell r="S132" t="str">
            <v>Chum is the target species, last time stream was surveyed was in 1999</v>
          </cell>
          <cell r="T132" t="e">
            <v>#DIV/0!</v>
          </cell>
          <cell r="U132" t="e">
            <v>#DIV/0!</v>
          </cell>
          <cell r="V132"/>
          <cell r="W132" t="str">
            <v>NI</v>
          </cell>
        </row>
        <row r="133">
          <cell r="C133" t="str">
            <v>LUCKY CREEK_Coho</v>
          </cell>
          <cell r="D133" t="str">
            <v>No</v>
          </cell>
          <cell r="E133" t="str">
            <v>No</v>
          </cell>
          <cell r="F133">
            <v>23</v>
          </cell>
          <cell r="G133" t="str">
            <v>LUCKY CREEK</v>
          </cell>
          <cell r="H133" t="str">
            <v>Coho</v>
          </cell>
          <cell r="I133"/>
          <cell r="J133"/>
          <cell r="K133">
            <v>5</v>
          </cell>
          <cell r="L133">
            <v>5</v>
          </cell>
          <cell r="M133">
            <v>0</v>
          </cell>
          <cell r="N133" t="e">
            <v>#NUM!</v>
          </cell>
          <cell r="O133">
            <v>200</v>
          </cell>
          <cell r="P133">
            <v>39.354315995999649</v>
          </cell>
          <cell r="Q133"/>
          <cell r="R133"/>
          <cell r="S133" t="str">
            <v>Chum is the target species, last time stream was surveyed was in 1999</v>
          </cell>
          <cell r="T133" t="e">
            <v>#DIV/0!</v>
          </cell>
          <cell r="U133" t="e">
            <v>#DIV/0!</v>
          </cell>
          <cell r="V133"/>
          <cell r="W133" t="str">
            <v>NI</v>
          </cell>
        </row>
        <row r="134">
          <cell r="C134" t="str">
            <v>MACKTUSH CREEK_Chinook</v>
          </cell>
          <cell r="D134" t="str">
            <v>No</v>
          </cell>
          <cell r="E134" t="str">
            <v>No</v>
          </cell>
          <cell r="F134">
            <v>23</v>
          </cell>
          <cell r="G134" t="str">
            <v>MACKTUSH CREEK</v>
          </cell>
          <cell r="H134" t="str">
            <v>Chinook</v>
          </cell>
          <cell r="I134"/>
          <cell r="J134"/>
          <cell r="K134">
            <v>4</v>
          </cell>
          <cell r="L134">
            <v>10</v>
          </cell>
          <cell r="M134">
            <v>1</v>
          </cell>
          <cell r="N134">
            <v>2</v>
          </cell>
          <cell r="O134">
            <v>25</v>
          </cell>
          <cell r="P134">
            <v>7.0710678118654755</v>
          </cell>
          <cell r="Q134"/>
          <cell r="R134"/>
          <cell r="S134" t="str">
            <v>Charter Patrol stream, chum is the target species</v>
          </cell>
          <cell r="T134" t="e">
            <v>#DIV/0!</v>
          </cell>
          <cell r="U134" t="e">
            <v>#DIV/0!</v>
          </cell>
          <cell r="V134"/>
          <cell r="W134" t="str">
            <v>NI</v>
          </cell>
        </row>
        <row r="135">
          <cell r="C135" t="str">
            <v>MACKTUSH CREEK_Chum</v>
          </cell>
          <cell r="D135" t="str">
            <v>No</v>
          </cell>
          <cell r="E135" t="str">
            <v>No</v>
          </cell>
          <cell r="F135">
            <v>23</v>
          </cell>
          <cell r="G135" t="str">
            <v>MACKTUSH CREEK</v>
          </cell>
          <cell r="H135" t="str">
            <v>Chum</v>
          </cell>
          <cell r="I135"/>
          <cell r="J135"/>
          <cell r="K135">
            <v>4</v>
          </cell>
          <cell r="L135">
            <v>10</v>
          </cell>
          <cell r="M135">
            <v>9</v>
          </cell>
          <cell r="N135">
            <v>48.659610797765097</v>
          </cell>
          <cell r="O135">
            <v>750</v>
          </cell>
          <cell r="P135">
            <v>44.789002959964357</v>
          </cell>
          <cell r="Q135"/>
          <cell r="R135"/>
          <cell r="S135" t="str">
            <v>Charter Patrol stream, chum is the target species</v>
          </cell>
          <cell r="T135" t="e">
            <v>#DIV/0!</v>
          </cell>
          <cell r="U135">
            <v>935</v>
          </cell>
          <cell r="V135"/>
          <cell r="W135" t="str">
            <v>NI</v>
          </cell>
        </row>
        <row r="136">
          <cell r="C136" t="str">
            <v>MACKTUSH CREEK_Coho</v>
          </cell>
          <cell r="D136" t="str">
            <v>No</v>
          </cell>
          <cell r="E136" t="str">
            <v>No</v>
          </cell>
          <cell r="F136">
            <v>23</v>
          </cell>
          <cell r="G136" t="str">
            <v>MACKTUSH CREEK</v>
          </cell>
          <cell r="H136" t="str">
            <v>Coho</v>
          </cell>
          <cell r="I136"/>
          <cell r="J136"/>
          <cell r="K136">
            <v>4</v>
          </cell>
          <cell r="L136">
            <v>10</v>
          </cell>
          <cell r="M136">
            <v>4</v>
          </cell>
          <cell r="N136">
            <v>17.320508075688775</v>
          </cell>
          <cell r="O136">
            <v>200</v>
          </cell>
          <cell r="P136">
            <v>33.309199060458056</v>
          </cell>
          <cell r="Q136"/>
          <cell r="R136"/>
          <cell r="S136" t="str">
            <v>Charter Patrol stream, chum is the target species</v>
          </cell>
          <cell r="T136" t="e">
            <v>#DIV/0!</v>
          </cell>
          <cell r="U136" t="e">
            <v>#DIV/0!</v>
          </cell>
          <cell r="V136"/>
          <cell r="W136" t="str">
            <v>NI</v>
          </cell>
        </row>
        <row r="137">
          <cell r="C137" t="str">
            <v>MAGGIE RIVER_Chum</v>
          </cell>
          <cell r="D137" t="str">
            <v>No</v>
          </cell>
          <cell r="E137" t="str">
            <v>No</v>
          </cell>
          <cell r="F137">
            <v>23</v>
          </cell>
          <cell r="G137" t="str">
            <v>MAGGIE RIVER</v>
          </cell>
          <cell r="H137" t="str">
            <v>Chum</v>
          </cell>
          <cell r="I137"/>
          <cell r="J137"/>
          <cell r="K137">
            <v>5</v>
          </cell>
          <cell r="L137">
            <v>8</v>
          </cell>
          <cell r="M137">
            <v>5</v>
          </cell>
          <cell r="N137">
            <v>34.094695446820509</v>
          </cell>
          <cell r="O137">
            <v>4000</v>
          </cell>
          <cell r="P137">
            <v>322.57365691787078</v>
          </cell>
          <cell r="Q137"/>
          <cell r="R137"/>
          <cell r="S137" t="str">
            <v>Coho is the target species. Missing 2004 &amp; 2005 estimates.</v>
          </cell>
          <cell r="T137">
            <v>89</v>
          </cell>
          <cell r="U137">
            <v>89</v>
          </cell>
          <cell r="V137"/>
          <cell r="W137">
            <v>89</v>
          </cell>
        </row>
        <row r="138">
          <cell r="C138" t="str">
            <v>MAGGIE RIVER_Coho</v>
          </cell>
          <cell r="D138" t="str">
            <v>No</v>
          </cell>
          <cell r="E138" t="str">
            <v>No</v>
          </cell>
          <cell r="F138">
            <v>23</v>
          </cell>
          <cell r="G138" t="str">
            <v>MAGGIE RIVER</v>
          </cell>
          <cell r="H138" t="str">
            <v>Coho</v>
          </cell>
          <cell r="I138"/>
          <cell r="J138"/>
          <cell r="K138">
            <v>5</v>
          </cell>
          <cell r="L138">
            <v>8</v>
          </cell>
          <cell r="M138">
            <v>8</v>
          </cell>
          <cell r="N138">
            <v>751.19070261160289</v>
          </cell>
          <cell r="O138">
            <v>7500</v>
          </cell>
          <cell r="P138">
            <v>1041.8237220052538</v>
          </cell>
          <cell r="Q138"/>
          <cell r="R138"/>
          <cell r="S138" t="str">
            <v>Coho is the target species. Missing 2004 &amp; 2005 estimates.</v>
          </cell>
          <cell r="T138">
            <v>225.25</v>
          </cell>
          <cell r="U138">
            <v>373.83333333333331</v>
          </cell>
          <cell r="V138"/>
          <cell r="W138">
            <v>226</v>
          </cell>
        </row>
        <row r="139">
          <cell r="C139" t="str">
            <v>MERCANTILE CREEK_Chinook</v>
          </cell>
          <cell r="D139" t="str">
            <v>No</v>
          </cell>
          <cell r="E139" t="str">
            <v>No</v>
          </cell>
          <cell r="F139">
            <v>23</v>
          </cell>
          <cell r="G139" t="str">
            <v>MERCANTILE CREEK</v>
          </cell>
          <cell r="H139" t="str">
            <v>Chinook</v>
          </cell>
          <cell r="I139"/>
          <cell r="J139"/>
          <cell r="K139">
            <v>5</v>
          </cell>
          <cell r="L139">
            <v>10</v>
          </cell>
          <cell r="M139">
            <v>10</v>
          </cell>
          <cell r="N139">
            <v>35.405317929599669</v>
          </cell>
          <cell r="O139">
            <v>135</v>
          </cell>
          <cell r="P139">
            <v>22.986767904280647</v>
          </cell>
          <cell r="Q139"/>
          <cell r="R139"/>
          <cell r="S139" t="str">
            <v>Charter Patrol stream, chum is the target species</v>
          </cell>
          <cell r="T139" t="e">
            <v>#DIV/0!</v>
          </cell>
          <cell r="U139">
            <v>25</v>
          </cell>
          <cell r="V139"/>
          <cell r="W139" t="str">
            <v>NI</v>
          </cell>
        </row>
        <row r="140">
          <cell r="C140" t="str">
            <v>MERCANTILE CREEK_Chum</v>
          </cell>
          <cell r="D140" t="str">
            <v>No</v>
          </cell>
          <cell r="E140" t="str">
            <v>No</v>
          </cell>
          <cell r="F140">
            <v>23</v>
          </cell>
          <cell r="G140" t="str">
            <v>MERCANTILE CREEK</v>
          </cell>
          <cell r="H140" t="str">
            <v>Chum</v>
          </cell>
          <cell r="I140"/>
          <cell r="J140"/>
          <cell r="K140">
            <v>5</v>
          </cell>
          <cell r="L140">
            <v>10</v>
          </cell>
          <cell r="M140">
            <v>10</v>
          </cell>
          <cell r="N140">
            <v>41.543865298620297</v>
          </cell>
          <cell r="O140">
            <v>3032</v>
          </cell>
          <cell r="P140">
            <v>113.84500441182642</v>
          </cell>
          <cell r="Q140"/>
          <cell r="R140"/>
          <cell r="S140" t="str">
            <v>Charter Patrol stream, chum is the target species</v>
          </cell>
          <cell r="T140" t="e">
            <v>#DIV/0!</v>
          </cell>
          <cell r="U140">
            <v>62</v>
          </cell>
          <cell r="V140"/>
          <cell r="W140" t="str">
            <v>NI</v>
          </cell>
        </row>
        <row r="141">
          <cell r="C141" t="str">
            <v>MERCANTILE CREEK_Coho</v>
          </cell>
          <cell r="D141" t="str">
            <v>No</v>
          </cell>
          <cell r="E141" t="str">
            <v>No</v>
          </cell>
          <cell r="F141">
            <v>23</v>
          </cell>
          <cell r="G141" t="str">
            <v>MERCANTILE CREEK</v>
          </cell>
          <cell r="H141" t="str">
            <v>Coho</v>
          </cell>
          <cell r="I141"/>
          <cell r="J141"/>
          <cell r="K141">
            <v>5</v>
          </cell>
          <cell r="L141">
            <v>10</v>
          </cell>
          <cell r="M141">
            <v>9</v>
          </cell>
          <cell r="N141">
            <v>24.772012132946738</v>
          </cell>
          <cell r="O141">
            <v>200</v>
          </cell>
          <cell r="P141">
            <v>32.379238462151548</v>
          </cell>
          <cell r="Q141"/>
          <cell r="R141"/>
          <cell r="S141" t="str">
            <v>Charter Patrol stream, chum is the target species</v>
          </cell>
          <cell r="T141" t="e">
            <v>#DIV/0!</v>
          </cell>
          <cell r="U141" t="e">
            <v>#DIV/0!</v>
          </cell>
          <cell r="V141"/>
          <cell r="W141" t="str">
            <v>NI</v>
          </cell>
        </row>
        <row r="142">
          <cell r="C142" t="str">
            <v>NAHMINT RIVER_Chinook</v>
          </cell>
          <cell r="D142" t="str">
            <v>No</v>
          </cell>
          <cell r="E142" t="str">
            <v>Yes</v>
          </cell>
          <cell r="F142">
            <v>23</v>
          </cell>
          <cell r="G142" t="str">
            <v>NAHMINT RIVER</v>
          </cell>
          <cell r="H142" t="str">
            <v>Chinook</v>
          </cell>
          <cell r="I142"/>
          <cell r="J142"/>
          <cell r="K142">
            <v>3</v>
          </cell>
          <cell r="L142">
            <v>11</v>
          </cell>
          <cell r="M142">
            <v>11</v>
          </cell>
          <cell r="N142">
            <v>289.1558791274669</v>
          </cell>
          <cell r="O142">
            <v>3500</v>
          </cell>
          <cell r="P142">
            <v>400.56759804859439</v>
          </cell>
          <cell r="Q142" t="str">
            <v>B. Other systems: wild or hatchery supplemented.     Intensively surveyed in 1995 and have a fairly complete historic database.</v>
          </cell>
          <cell r="R142"/>
          <cell r="S142" t="str">
            <v>Average Esc from 1995-2005 from file: NEW ESCAPEMENT INDEX.XLS</v>
          </cell>
          <cell r="T142">
            <v>637.75</v>
          </cell>
          <cell r="U142">
            <v>430</v>
          </cell>
          <cell r="V142"/>
          <cell r="W142">
            <v>865</v>
          </cell>
        </row>
        <row r="143">
          <cell r="C143" t="str">
            <v>NAHMINT RIVER_Chum</v>
          </cell>
          <cell r="D143" t="str">
            <v>No</v>
          </cell>
          <cell r="E143" t="str">
            <v>No</v>
          </cell>
          <cell r="F143">
            <v>23</v>
          </cell>
          <cell r="G143" t="str">
            <v>NAHMINT RIVER</v>
          </cell>
          <cell r="H143" t="str">
            <v>Chum</v>
          </cell>
          <cell r="I143"/>
          <cell r="J143"/>
          <cell r="K143">
            <v>3</v>
          </cell>
          <cell r="L143">
            <v>11</v>
          </cell>
          <cell r="M143">
            <v>11</v>
          </cell>
          <cell r="N143">
            <v>23826.158466436751</v>
          </cell>
          <cell r="O143">
            <v>140624</v>
          </cell>
          <cell r="P143">
            <v>21264.82851614918</v>
          </cell>
          <cell r="Q143" t="str">
            <v>B. Other systems: wild or hatchery supplemented.     Intensively surveyed in 1995 and have a fairly complete historic database.</v>
          </cell>
          <cell r="R143"/>
          <cell r="S143" t="str">
            <v>Average Esc from 1995-2005 from file: NEW ESCAPEMENT INDEX.XLS</v>
          </cell>
          <cell r="T143">
            <v>3312.25</v>
          </cell>
          <cell r="U143">
            <v>8573.5833333333339</v>
          </cell>
          <cell r="V143"/>
          <cell r="W143">
            <v>3065</v>
          </cell>
        </row>
        <row r="144">
          <cell r="C144" t="str">
            <v>NAHMINT RIVER_Coho</v>
          </cell>
          <cell r="D144" t="str">
            <v>No</v>
          </cell>
          <cell r="E144" t="str">
            <v>No</v>
          </cell>
          <cell r="F144">
            <v>23</v>
          </cell>
          <cell r="G144" t="str">
            <v>NAHMINT RIVER</v>
          </cell>
          <cell r="H144" t="str">
            <v>Coho</v>
          </cell>
          <cell r="I144"/>
          <cell r="J144"/>
          <cell r="K144">
            <v>3</v>
          </cell>
          <cell r="L144">
            <v>11</v>
          </cell>
          <cell r="M144">
            <v>11</v>
          </cell>
          <cell r="N144">
            <v>238.08160068028934</v>
          </cell>
          <cell r="O144">
            <v>1500</v>
          </cell>
          <cell r="P144">
            <v>238.24974624572209</v>
          </cell>
          <cell r="Q144" t="str">
            <v>B. Other systems: wild or hatchery supplemented.     Intensively surveyed in 1995 and have a fairly complete historic database.</v>
          </cell>
          <cell r="R144"/>
          <cell r="S144" t="str">
            <v>Average Esc from 1995-2005 from file: NEW ESCAPEMENT INDEX.XLS</v>
          </cell>
          <cell r="T144">
            <v>245.5</v>
          </cell>
          <cell r="U144">
            <v>367.08333333333331</v>
          </cell>
          <cell r="V144"/>
          <cell r="W144">
            <v>460</v>
          </cell>
        </row>
        <row r="145">
          <cell r="C145" t="str">
            <v>NAHMINT RIVER_Pink</v>
          </cell>
          <cell r="D145" t="str">
            <v>No</v>
          </cell>
          <cell r="E145" t="str">
            <v>No</v>
          </cell>
          <cell r="F145">
            <v>23</v>
          </cell>
          <cell r="G145" t="str">
            <v>NAHMINT RIVER</v>
          </cell>
          <cell r="H145" t="str">
            <v>Pink</v>
          </cell>
          <cell r="I145"/>
          <cell r="J145"/>
          <cell r="K145">
            <v>3</v>
          </cell>
          <cell r="L145">
            <v>11</v>
          </cell>
          <cell r="M145">
            <v>5</v>
          </cell>
          <cell r="N145">
            <v>3.0501471050777371</v>
          </cell>
          <cell r="O145">
            <v>1500</v>
          </cell>
          <cell r="P145">
            <v>26.227084435885516</v>
          </cell>
          <cell r="Q145" t="str">
            <v>B. Other systems: wild or hatchery supplemented.     Intensively surveyed in 1995 and have a fairly complete historic database.</v>
          </cell>
          <cell r="R145"/>
          <cell r="S145"/>
          <cell r="T145" t="e">
            <v>#DIV/0!</v>
          </cell>
          <cell r="U145">
            <v>7</v>
          </cell>
          <cell r="V145"/>
          <cell r="W145" t="str">
            <v>NO</v>
          </cell>
        </row>
        <row r="146">
          <cell r="C146" t="str">
            <v>NAHMINT RIVER_Sockeye</v>
          </cell>
          <cell r="D146" t="str">
            <v>No</v>
          </cell>
          <cell r="E146" t="str">
            <v>No</v>
          </cell>
          <cell r="F146">
            <v>23</v>
          </cell>
          <cell r="G146" t="str">
            <v>NAHMINT RIVER</v>
          </cell>
          <cell r="H146" t="str">
            <v>Sockeye</v>
          </cell>
          <cell r="I146"/>
          <cell r="J146"/>
          <cell r="K146">
            <v>3</v>
          </cell>
          <cell r="L146">
            <v>11</v>
          </cell>
          <cell r="M146">
            <v>11</v>
          </cell>
          <cell r="N146">
            <v>134.54118591314861</v>
          </cell>
          <cell r="O146">
            <v>2098</v>
          </cell>
          <cell r="P146">
            <v>194.0234484971717</v>
          </cell>
          <cell r="Q146" t="str">
            <v>B. Other systems: wild or hatchery supplemented.     Intensively surveyed in 1995 and have a fairly complete historic database.</v>
          </cell>
          <cell r="R146"/>
          <cell r="S146"/>
          <cell r="T146">
            <v>609.75</v>
          </cell>
          <cell r="U146">
            <v>749.25</v>
          </cell>
          <cell r="V146"/>
          <cell r="W146">
            <v>614</v>
          </cell>
        </row>
        <row r="147">
          <cell r="C147" t="str">
            <v>OWATCHET CREEK_Chum</v>
          </cell>
          <cell r="D147" t="str">
            <v>No</v>
          </cell>
          <cell r="E147" t="str">
            <v>No</v>
          </cell>
          <cell r="F147">
            <v>23</v>
          </cell>
          <cell r="G147" t="str">
            <v>OWATCHET CREEK</v>
          </cell>
          <cell r="H147" t="str">
            <v>Chum</v>
          </cell>
          <cell r="I147"/>
          <cell r="J147"/>
          <cell r="K147">
            <v>5</v>
          </cell>
          <cell r="L147">
            <v>0</v>
          </cell>
          <cell r="M147"/>
          <cell r="N147" t="e">
            <v>#NUM!</v>
          </cell>
          <cell r="O147">
            <v>0</v>
          </cell>
          <cell r="P147" t="e">
            <v>#NUM!</v>
          </cell>
          <cell r="Q147"/>
          <cell r="R147"/>
          <cell r="S147"/>
          <cell r="T147" t="e">
            <v>#DIV/0!</v>
          </cell>
          <cell r="U147" t="e">
            <v>#DIV/0!</v>
          </cell>
          <cell r="V147"/>
          <cell r="W147" t="str">
            <v>NI</v>
          </cell>
        </row>
        <row r="148">
          <cell r="C148" t="str">
            <v>OWATCHET CREEK_Coho</v>
          </cell>
          <cell r="D148" t="str">
            <v>No</v>
          </cell>
          <cell r="E148" t="str">
            <v>No</v>
          </cell>
          <cell r="F148">
            <v>23</v>
          </cell>
          <cell r="G148" t="str">
            <v>OWATCHET CREEK</v>
          </cell>
          <cell r="H148" t="str">
            <v>Coho</v>
          </cell>
          <cell r="I148"/>
          <cell r="J148"/>
          <cell r="K148">
            <v>5</v>
          </cell>
          <cell r="L148">
            <v>1</v>
          </cell>
          <cell r="M148">
            <v>1</v>
          </cell>
          <cell r="N148" t="e">
            <v>#NUM!</v>
          </cell>
          <cell r="O148">
            <v>0</v>
          </cell>
          <cell r="P148" t="e">
            <v>#NUM!</v>
          </cell>
          <cell r="Q148"/>
          <cell r="R148"/>
          <cell r="S148" t="str">
            <v>Adult Presence (AP) entered in 1995, no other estimates.</v>
          </cell>
          <cell r="T148" t="e">
            <v>#DIV/0!</v>
          </cell>
          <cell r="U148" t="e">
            <v>#DIV/0!</v>
          </cell>
          <cell r="V148"/>
          <cell r="W148" t="str">
            <v>NI</v>
          </cell>
        </row>
        <row r="149">
          <cell r="C149" t="str">
            <v>PACHENA RIVER_Chum</v>
          </cell>
          <cell r="D149" t="str">
            <v>No</v>
          </cell>
          <cell r="E149" t="str">
            <v>No</v>
          </cell>
          <cell r="F149">
            <v>23</v>
          </cell>
          <cell r="G149" t="str">
            <v>PACHENA RIVER</v>
          </cell>
          <cell r="H149" t="str">
            <v>Chum</v>
          </cell>
          <cell r="I149"/>
          <cell r="J149"/>
          <cell r="K149">
            <v>5</v>
          </cell>
          <cell r="L149">
            <v>2</v>
          </cell>
          <cell r="M149">
            <v>2</v>
          </cell>
          <cell r="N149">
            <v>38.213023345661199</v>
          </cell>
          <cell r="O149">
            <v>1500</v>
          </cell>
          <cell r="P149">
            <v>231.22745166354218</v>
          </cell>
          <cell r="Q149"/>
          <cell r="R149"/>
          <cell r="S149" t="str">
            <v>Missing estimates for 1999 &amp; 2000</v>
          </cell>
          <cell r="T149">
            <v>37.5</v>
          </cell>
          <cell r="U149">
            <v>37.5</v>
          </cell>
          <cell r="V149"/>
          <cell r="W149" t="str">
            <v>NO</v>
          </cell>
        </row>
        <row r="150">
          <cell r="C150" t="str">
            <v>PACHENA RIVER_Coho</v>
          </cell>
          <cell r="D150" t="str">
            <v>No</v>
          </cell>
          <cell r="E150" t="str">
            <v>No</v>
          </cell>
          <cell r="F150">
            <v>23</v>
          </cell>
          <cell r="G150" t="str">
            <v>PACHENA RIVER</v>
          </cell>
          <cell r="H150" t="str">
            <v>Coho</v>
          </cell>
          <cell r="I150"/>
          <cell r="J150"/>
          <cell r="K150">
            <v>5</v>
          </cell>
          <cell r="L150">
            <v>2</v>
          </cell>
          <cell r="M150">
            <v>2</v>
          </cell>
          <cell r="N150">
            <v>381.12988285940759</v>
          </cell>
          <cell r="O150">
            <v>1500</v>
          </cell>
          <cell r="P150">
            <v>414.05897575646765</v>
          </cell>
          <cell r="Q150"/>
          <cell r="R150"/>
          <cell r="S150" t="str">
            <v>Missing estimates for 1999 &amp; 2000</v>
          </cell>
          <cell r="T150">
            <v>157.66666666666666</v>
          </cell>
          <cell r="U150">
            <v>157.66666666666666</v>
          </cell>
          <cell r="V150"/>
          <cell r="W150">
            <v>41</v>
          </cell>
        </row>
        <row r="151">
          <cell r="C151" t="str">
            <v>PIPESTEAM CREEK_Chum</v>
          </cell>
          <cell r="D151" t="str">
            <v>No</v>
          </cell>
          <cell r="E151" t="str">
            <v>No</v>
          </cell>
          <cell r="F151">
            <v>23</v>
          </cell>
          <cell r="G151" t="str">
            <v>PIPESTEAM CREEK</v>
          </cell>
          <cell r="H151" t="str">
            <v>Chum</v>
          </cell>
          <cell r="I151"/>
          <cell r="J151"/>
          <cell r="K151">
            <v>5</v>
          </cell>
          <cell r="L151">
            <v>5</v>
          </cell>
          <cell r="M151">
            <v>4</v>
          </cell>
          <cell r="N151">
            <v>140.27501764798458</v>
          </cell>
          <cell r="O151">
            <v>3500</v>
          </cell>
          <cell r="P151">
            <v>391.97376325984442</v>
          </cell>
          <cell r="Q151"/>
          <cell r="R151"/>
          <cell r="S151" t="str">
            <v>Chum is the target species, last time stream was surveyed was in 1999</v>
          </cell>
          <cell r="T151" t="e">
            <v>#DIV/0!</v>
          </cell>
          <cell r="U151" t="e">
            <v>#DIV/0!</v>
          </cell>
          <cell r="V151"/>
          <cell r="W151" t="str">
            <v>NI</v>
          </cell>
        </row>
        <row r="152">
          <cell r="C152" t="str">
            <v>PIPESTEAM CREEK_Coho</v>
          </cell>
          <cell r="D152" t="str">
            <v>No</v>
          </cell>
          <cell r="E152" t="str">
            <v>No</v>
          </cell>
          <cell r="F152">
            <v>23</v>
          </cell>
          <cell r="G152" t="str">
            <v>PIPESTEAM CREEK</v>
          </cell>
          <cell r="H152" t="str">
            <v>Coho</v>
          </cell>
          <cell r="I152"/>
          <cell r="J152"/>
          <cell r="K152">
            <v>5</v>
          </cell>
          <cell r="L152">
            <v>5</v>
          </cell>
          <cell r="M152">
            <v>4</v>
          </cell>
          <cell r="N152">
            <v>1.4142135623730949</v>
          </cell>
          <cell r="O152">
            <v>400</v>
          </cell>
          <cell r="P152">
            <v>38.203664587748953</v>
          </cell>
          <cell r="Q152"/>
          <cell r="R152"/>
          <cell r="S152" t="str">
            <v>Chum is the target species, last time stream was surveyed was in 1999</v>
          </cell>
          <cell r="T152" t="e">
            <v>#DIV/0!</v>
          </cell>
          <cell r="U152" t="e">
            <v>#DIV/0!</v>
          </cell>
          <cell r="V152"/>
          <cell r="W152" t="str">
            <v>NI</v>
          </cell>
        </row>
        <row r="153">
          <cell r="C153" t="str">
            <v>POETT NOOK CREEK_Chum</v>
          </cell>
          <cell r="D153" t="str">
            <v>No</v>
          </cell>
          <cell r="E153" t="str">
            <v>No</v>
          </cell>
          <cell r="F153">
            <v>23</v>
          </cell>
          <cell r="G153" t="str">
            <v>POETT NOOK CREEK</v>
          </cell>
          <cell r="H153" t="str">
            <v>Chum</v>
          </cell>
          <cell r="I153"/>
          <cell r="J153"/>
          <cell r="K153">
            <v>4</v>
          </cell>
          <cell r="L153">
            <v>11</v>
          </cell>
          <cell r="M153">
            <v>9</v>
          </cell>
          <cell r="N153">
            <v>297.33424626401489</v>
          </cell>
          <cell r="O153">
            <v>1200</v>
          </cell>
          <cell r="P153">
            <v>324.50011308329539</v>
          </cell>
          <cell r="Q153"/>
          <cell r="R153"/>
          <cell r="S153" t="str">
            <v>Charter Patrol stream, chum is the target species</v>
          </cell>
          <cell r="T153" t="e">
            <v>#DIV/0!</v>
          </cell>
          <cell r="U153">
            <v>10</v>
          </cell>
          <cell r="V153"/>
          <cell r="W153" t="str">
            <v>NI</v>
          </cell>
        </row>
        <row r="154">
          <cell r="C154" t="str">
            <v>POETT NOOK CREEK_Coho</v>
          </cell>
          <cell r="D154" t="str">
            <v>No</v>
          </cell>
          <cell r="E154" t="str">
            <v>No</v>
          </cell>
          <cell r="F154">
            <v>23</v>
          </cell>
          <cell r="G154" t="str">
            <v>POETT NOOK CREEK</v>
          </cell>
          <cell r="H154" t="str">
            <v>Coho</v>
          </cell>
          <cell r="I154"/>
          <cell r="J154"/>
          <cell r="K154">
            <v>4</v>
          </cell>
          <cell r="L154">
            <v>11</v>
          </cell>
          <cell r="M154">
            <v>3</v>
          </cell>
          <cell r="N154">
            <v>17.320508075688775</v>
          </cell>
          <cell r="O154">
            <v>200</v>
          </cell>
          <cell r="P154">
            <v>49.996498965367053</v>
          </cell>
          <cell r="Q154"/>
          <cell r="R154"/>
          <cell r="S154" t="str">
            <v>Charter Patrol stream, chum is the target species</v>
          </cell>
          <cell r="T154" t="e">
            <v>#DIV/0!</v>
          </cell>
          <cell r="U154">
            <v>2</v>
          </cell>
          <cell r="V154"/>
          <cell r="W154" t="str">
            <v>NI</v>
          </cell>
        </row>
        <row r="155">
          <cell r="C155" t="str">
            <v>RITHERDON CREEK_Chum</v>
          </cell>
          <cell r="D155" t="str">
            <v>No</v>
          </cell>
          <cell r="E155" t="str">
            <v>No</v>
          </cell>
          <cell r="F155">
            <v>23</v>
          </cell>
          <cell r="G155" t="str">
            <v>RITHERDON CREEK</v>
          </cell>
          <cell r="H155" t="str">
            <v>Chum</v>
          </cell>
          <cell r="I155"/>
          <cell r="J155"/>
          <cell r="K155">
            <v>4</v>
          </cell>
          <cell r="L155">
            <v>8</v>
          </cell>
          <cell r="M155">
            <v>5</v>
          </cell>
          <cell r="N155">
            <v>112.47461131420948</v>
          </cell>
          <cell r="O155">
            <v>1000</v>
          </cell>
          <cell r="P155">
            <v>75.141308035501822</v>
          </cell>
          <cell r="Q155"/>
          <cell r="R155"/>
          <cell r="S155" t="str">
            <v>Charter Patrol stream, chum is the target species</v>
          </cell>
          <cell r="T155" t="e">
            <v>#DIV/0!</v>
          </cell>
          <cell r="U155">
            <v>6</v>
          </cell>
          <cell r="V155"/>
          <cell r="W155" t="str">
            <v>NI</v>
          </cell>
        </row>
        <row r="156">
          <cell r="C156" t="str">
            <v>RITHERDON CREEK_Coho</v>
          </cell>
          <cell r="D156" t="str">
            <v>No</v>
          </cell>
          <cell r="E156" t="str">
            <v>No</v>
          </cell>
          <cell r="F156">
            <v>23</v>
          </cell>
          <cell r="G156" t="str">
            <v>RITHERDON CREEK</v>
          </cell>
          <cell r="H156" t="str">
            <v>Coho</v>
          </cell>
          <cell r="I156"/>
          <cell r="J156"/>
          <cell r="K156">
            <v>4</v>
          </cell>
          <cell r="L156">
            <v>8</v>
          </cell>
          <cell r="M156">
            <v>3</v>
          </cell>
          <cell r="N156">
            <v>10</v>
          </cell>
          <cell r="O156">
            <v>50</v>
          </cell>
          <cell r="P156">
            <v>10</v>
          </cell>
          <cell r="Q156"/>
          <cell r="R156"/>
          <cell r="S156" t="str">
            <v>Charter Patrol stream, chum is the target species</v>
          </cell>
          <cell r="T156">
            <v>6</v>
          </cell>
          <cell r="U156">
            <v>6</v>
          </cell>
          <cell r="V156"/>
          <cell r="W156" t="str">
            <v>NI</v>
          </cell>
        </row>
        <row r="157">
          <cell r="C157" t="str">
            <v>SARITA RIVER_Chinook</v>
          </cell>
          <cell r="D157" t="str">
            <v>No</v>
          </cell>
          <cell r="E157" t="str">
            <v>Yes</v>
          </cell>
          <cell r="F157">
            <v>23</v>
          </cell>
          <cell r="G157" t="str">
            <v>SARITA RIVER</v>
          </cell>
          <cell r="H157" t="str">
            <v>Chinook</v>
          </cell>
          <cell r="I157"/>
          <cell r="J157"/>
          <cell r="K157">
            <v>3</v>
          </cell>
          <cell r="L157">
            <v>11</v>
          </cell>
          <cell r="M157">
            <v>11</v>
          </cell>
          <cell r="N157">
            <v>1056.3937419515139</v>
          </cell>
          <cell r="O157">
            <v>3380</v>
          </cell>
          <cell r="P157">
            <v>465.18554217670624</v>
          </cell>
          <cell r="Q157" t="str">
            <v>B. Other systems: wild or hatchery supplemented.     Intensively surveyed in 1995 and have a fairly complete historic database.</v>
          </cell>
          <cell r="R157"/>
          <cell r="S157" t="str">
            <v>Average Esc from 1995-2005 from file: NEW ESCAPEMENT INDEX.XLS</v>
          </cell>
          <cell r="T157">
            <v>2323.75</v>
          </cell>
          <cell r="U157">
            <v>1848.8333333333333</v>
          </cell>
          <cell r="V157"/>
          <cell r="W157">
            <v>3081</v>
          </cell>
        </row>
        <row r="158">
          <cell r="C158" t="str">
            <v>SARITA RIVER_Chum</v>
          </cell>
          <cell r="D158" t="str">
            <v>No</v>
          </cell>
          <cell r="E158" t="str">
            <v>No</v>
          </cell>
          <cell r="F158">
            <v>23</v>
          </cell>
          <cell r="G158" t="str">
            <v>SARITA RIVER</v>
          </cell>
          <cell r="H158" t="str">
            <v>Chum</v>
          </cell>
          <cell r="I158"/>
          <cell r="J158"/>
          <cell r="K158">
            <v>3</v>
          </cell>
          <cell r="L158">
            <v>11</v>
          </cell>
          <cell r="M158">
            <v>11</v>
          </cell>
          <cell r="N158">
            <v>8416.2284166754944</v>
          </cell>
          <cell r="O158">
            <v>75000</v>
          </cell>
          <cell r="P158">
            <v>19079.761240788393</v>
          </cell>
          <cell r="Q158" t="str">
            <v>B. Other systems: wild or hatchery supplemented.     Intensively surveyed in 1995 and have a fairly complete historic database.</v>
          </cell>
          <cell r="R158"/>
          <cell r="S158" t="str">
            <v>Average Esc from 1995-2005 from file: NEW ESCAPEMENT INDEX.XLS</v>
          </cell>
          <cell r="T158">
            <v>3872</v>
          </cell>
          <cell r="U158">
            <v>9441</v>
          </cell>
          <cell r="V158"/>
          <cell r="W158">
            <v>1757</v>
          </cell>
        </row>
        <row r="159">
          <cell r="C159" t="str">
            <v>SARITA RIVER_Coho</v>
          </cell>
          <cell r="D159" t="str">
            <v>No</v>
          </cell>
          <cell r="E159" t="str">
            <v>No</v>
          </cell>
          <cell r="F159">
            <v>23</v>
          </cell>
          <cell r="G159" t="str">
            <v>SARITA RIVER</v>
          </cell>
          <cell r="H159" t="str">
            <v>Coho</v>
          </cell>
          <cell r="I159"/>
          <cell r="J159"/>
          <cell r="K159">
            <v>3</v>
          </cell>
          <cell r="L159">
            <v>11</v>
          </cell>
          <cell r="M159">
            <v>11</v>
          </cell>
          <cell r="N159">
            <v>299.64050205826891</v>
          </cell>
          <cell r="O159">
            <v>1863</v>
          </cell>
          <cell r="P159">
            <v>346.37459547934549</v>
          </cell>
          <cell r="Q159" t="str">
            <v>B. Other systems: wild or hatchery supplemented.     Intensively surveyed in 1995 and have a fairly complete historic database.</v>
          </cell>
          <cell r="R159"/>
          <cell r="S159" t="str">
            <v>Average Esc from 1995-2005 from file: NEW ESCAPEMENT INDEX.XLS</v>
          </cell>
          <cell r="T159">
            <v>209.25</v>
          </cell>
          <cell r="U159">
            <v>584.33333333333337</v>
          </cell>
          <cell r="V159"/>
          <cell r="W159">
            <v>231</v>
          </cell>
        </row>
        <row r="160">
          <cell r="C160" t="str">
            <v>SARITA RIVER_Pink</v>
          </cell>
          <cell r="D160" t="str">
            <v>No</v>
          </cell>
          <cell r="E160" t="str">
            <v>No</v>
          </cell>
          <cell r="F160">
            <v>23</v>
          </cell>
          <cell r="G160" t="str">
            <v>SARITA RIVER</v>
          </cell>
          <cell r="H160" t="str">
            <v>Pink</v>
          </cell>
          <cell r="I160"/>
          <cell r="J160"/>
          <cell r="K160">
            <v>3</v>
          </cell>
          <cell r="L160">
            <v>11</v>
          </cell>
          <cell r="M160">
            <v>8</v>
          </cell>
          <cell r="N160">
            <v>4.9310525060881041</v>
          </cell>
          <cell r="O160">
            <v>750</v>
          </cell>
          <cell r="P160">
            <v>23.226219823221594</v>
          </cell>
          <cell r="Q160" t="str">
            <v>B. Other systems: wild or hatchery supplemented.     Intensively surveyed in 1995 and have a fairly complete historic database.</v>
          </cell>
          <cell r="R160"/>
          <cell r="S160"/>
          <cell r="T160">
            <v>2</v>
          </cell>
          <cell r="U160">
            <v>11.142857142857142</v>
          </cell>
          <cell r="V160"/>
          <cell r="W160">
            <v>3</v>
          </cell>
        </row>
        <row r="161">
          <cell r="C161" t="str">
            <v>SARITA RIVER_Sockeye</v>
          </cell>
          <cell r="D161" t="str">
            <v>No</v>
          </cell>
          <cell r="E161" t="str">
            <v>No</v>
          </cell>
          <cell r="F161">
            <v>23</v>
          </cell>
          <cell r="G161" t="str">
            <v>SARITA RIVER</v>
          </cell>
          <cell r="H161" t="str">
            <v>Sockeye</v>
          </cell>
          <cell r="I161"/>
          <cell r="J161"/>
          <cell r="K161">
            <v>3</v>
          </cell>
          <cell r="L161">
            <v>11</v>
          </cell>
          <cell r="M161">
            <v>8</v>
          </cell>
          <cell r="N161">
            <v>11.017167831298368</v>
          </cell>
          <cell r="O161">
            <v>175</v>
          </cell>
          <cell r="P161">
            <v>15.501285504808875</v>
          </cell>
          <cell r="Q161" t="str">
            <v>B. Other systems: wild or hatchery supplemented.     Intensively surveyed in 1995 and have a fairly complete historic database.</v>
          </cell>
          <cell r="R161"/>
          <cell r="S161"/>
          <cell r="T161">
            <v>16.5</v>
          </cell>
          <cell r="U161">
            <v>45.444444444444443</v>
          </cell>
          <cell r="V161"/>
          <cell r="W161">
            <v>51</v>
          </cell>
        </row>
        <row r="162">
          <cell r="C162" t="str">
            <v>SECHART CREEK_Chum</v>
          </cell>
          <cell r="D162" t="str">
            <v>No</v>
          </cell>
          <cell r="E162" t="str">
            <v>No</v>
          </cell>
          <cell r="F162">
            <v>23</v>
          </cell>
          <cell r="G162" t="str">
            <v>SECHART CREEK</v>
          </cell>
          <cell r="H162" t="str">
            <v>Chum</v>
          </cell>
          <cell r="I162"/>
          <cell r="J162"/>
          <cell r="K162">
            <v>5</v>
          </cell>
          <cell r="L162">
            <v>5</v>
          </cell>
          <cell r="M162">
            <v>1</v>
          </cell>
          <cell r="N162">
            <v>30</v>
          </cell>
          <cell r="O162">
            <v>400</v>
          </cell>
          <cell r="P162">
            <v>98.660885761651386</v>
          </cell>
          <cell r="Q162"/>
          <cell r="R162"/>
          <cell r="S162" t="str">
            <v>Last time stream was surveyed was in 2000, only time fish was observed was in between 1995 and 2005 was in 1998</v>
          </cell>
          <cell r="T162" t="e">
            <v>#DIV/0!</v>
          </cell>
          <cell r="U162" t="e">
            <v>#DIV/0!</v>
          </cell>
          <cell r="V162"/>
          <cell r="W162" t="str">
            <v>NI</v>
          </cell>
        </row>
        <row r="163">
          <cell r="C163" t="str">
            <v>SECHART CREEK_Coho</v>
          </cell>
          <cell r="D163" t="str">
            <v>No</v>
          </cell>
          <cell r="E163" t="str">
            <v>No</v>
          </cell>
          <cell r="F163">
            <v>23</v>
          </cell>
          <cell r="G163" t="str">
            <v>SECHART CREEK</v>
          </cell>
          <cell r="H163" t="str">
            <v>Coho</v>
          </cell>
          <cell r="I163"/>
          <cell r="J163"/>
          <cell r="K163">
            <v>5</v>
          </cell>
          <cell r="L163">
            <v>5</v>
          </cell>
          <cell r="M163">
            <v>1</v>
          </cell>
          <cell r="N163">
            <v>20</v>
          </cell>
          <cell r="O163">
            <v>75</v>
          </cell>
          <cell r="P163">
            <v>36.615717231544899</v>
          </cell>
          <cell r="Q163"/>
          <cell r="R163"/>
          <cell r="S163" t="str">
            <v>Last time stream was surveyed was in 2000, only time fish was observed was in between 1995 and 2005 was in 1998</v>
          </cell>
          <cell r="T163" t="e">
            <v>#DIV/0!</v>
          </cell>
          <cell r="U163" t="e">
            <v>#DIV/0!</v>
          </cell>
          <cell r="V163"/>
          <cell r="W163" t="str">
            <v>NI</v>
          </cell>
        </row>
        <row r="164">
          <cell r="C164" t="str">
            <v>SMITH CREEK_Chinook</v>
          </cell>
          <cell r="D164" t="str">
            <v>No</v>
          </cell>
          <cell r="E164" t="str">
            <v>No</v>
          </cell>
          <cell r="F164">
            <v>23</v>
          </cell>
          <cell r="G164" t="str">
            <v>SMITH CREEK</v>
          </cell>
          <cell r="H164" t="str">
            <v>Chinook</v>
          </cell>
          <cell r="I164"/>
          <cell r="J164"/>
          <cell r="K164">
            <v>4</v>
          </cell>
          <cell r="L164">
            <v>10</v>
          </cell>
          <cell r="M164">
            <v>6</v>
          </cell>
          <cell r="N164">
            <v>8.1264103377747627</v>
          </cell>
          <cell r="O164">
            <v>40</v>
          </cell>
          <cell r="P164">
            <v>8.1264103377747627</v>
          </cell>
          <cell r="Q164"/>
          <cell r="R164"/>
          <cell r="S164"/>
          <cell r="T164" t="e">
            <v>#DIV/0!</v>
          </cell>
          <cell r="U164" t="e">
            <v>#DIV/0!</v>
          </cell>
          <cell r="V164"/>
          <cell r="W164" t="str">
            <v>NO</v>
          </cell>
        </row>
        <row r="165">
          <cell r="C165" t="str">
            <v>SMITH CREEK_Chum</v>
          </cell>
          <cell r="D165" t="str">
            <v>No</v>
          </cell>
          <cell r="E165" t="str">
            <v>No</v>
          </cell>
          <cell r="F165">
            <v>23</v>
          </cell>
          <cell r="G165" t="str">
            <v>SMITH CREEK</v>
          </cell>
          <cell r="H165" t="str">
            <v>Chum</v>
          </cell>
          <cell r="I165"/>
          <cell r="J165"/>
          <cell r="K165">
            <v>4</v>
          </cell>
          <cell r="L165">
            <v>10</v>
          </cell>
          <cell r="M165">
            <v>10</v>
          </cell>
          <cell r="N165">
            <v>982.16306856904407</v>
          </cell>
          <cell r="O165">
            <v>15000</v>
          </cell>
          <cell r="P165">
            <v>1314.0943814300424</v>
          </cell>
          <cell r="Q165"/>
          <cell r="R165"/>
          <cell r="S165"/>
          <cell r="T165">
            <v>1234.75</v>
          </cell>
          <cell r="U165">
            <v>1641.6</v>
          </cell>
          <cell r="V165"/>
          <cell r="W165">
            <v>3210</v>
          </cell>
        </row>
        <row r="166">
          <cell r="C166" t="str">
            <v>SMITH CREEK_Coho</v>
          </cell>
          <cell r="D166" t="str">
            <v>No</v>
          </cell>
          <cell r="E166" t="str">
            <v>No</v>
          </cell>
          <cell r="F166">
            <v>23</v>
          </cell>
          <cell r="G166" t="str">
            <v>SMITH CREEK</v>
          </cell>
          <cell r="H166" t="str">
            <v>Coho</v>
          </cell>
          <cell r="I166"/>
          <cell r="J166"/>
          <cell r="K166">
            <v>4</v>
          </cell>
          <cell r="L166">
            <v>10</v>
          </cell>
          <cell r="M166">
            <v>9</v>
          </cell>
          <cell r="N166">
            <v>31.573832840392257</v>
          </cell>
          <cell r="O166">
            <v>400</v>
          </cell>
          <cell r="P166">
            <v>46.126864445705237</v>
          </cell>
          <cell r="Q166"/>
          <cell r="R166"/>
          <cell r="S166"/>
          <cell r="T166">
            <v>15</v>
          </cell>
          <cell r="U166">
            <v>72.5</v>
          </cell>
          <cell r="V166"/>
          <cell r="W166" t="str">
            <v>AP</v>
          </cell>
        </row>
        <row r="167">
          <cell r="C167" t="str">
            <v>SNUG BASIN CREEK_Chum</v>
          </cell>
          <cell r="D167" t="str">
            <v>No</v>
          </cell>
          <cell r="E167" t="str">
            <v>No</v>
          </cell>
          <cell r="F167">
            <v>23</v>
          </cell>
          <cell r="G167" t="str">
            <v>SNUG BASIN CREEK</v>
          </cell>
          <cell r="H167" t="str">
            <v>Chum</v>
          </cell>
          <cell r="I167"/>
          <cell r="J167"/>
          <cell r="K167">
            <v>4</v>
          </cell>
          <cell r="L167">
            <v>11</v>
          </cell>
          <cell r="M167">
            <v>7</v>
          </cell>
          <cell r="N167">
            <v>114.52453965267588</v>
          </cell>
          <cell r="O167">
            <v>3500</v>
          </cell>
          <cell r="P167">
            <v>344.97166100380173</v>
          </cell>
          <cell r="Q167"/>
          <cell r="R167"/>
          <cell r="S167" t="str">
            <v>Charter Patrol stream, chum is the target species</v>
          </cell>
          <cell r="T167" t="e">
            <v>#DIV/0!</v>
          </cell>
          <cell r="U167" t="e">
            <v>#DIV/0!</v>
          </cell>
          <cell r="V167"/>
          <cell r="W167" t="str">
            <v>NI</v>
          </cell>
        </row>
        <row r="168">
          <cell r="C168" t="str">
            <v>SNUG BASIN CREEK_Coho</v>
          </cell>
          <cell r="D168" t="str">
            <v>No</v>
          </cell>
          <cell r="E168" t="str">
            <v>No</v>
          </cell>
          <cell r="F168">
            <v>23</v>
          </cell>
          <cell r="G168" t="str">
            <v>SNUG BASIN CREEK</v>
          </cell>
          <cell r="H168" t="str">
            <v>Coho</v>
          </cell>
          <cell r="I168"/>
          <cell r="J168"/>
          <cell r="K168">
            <v>4</v>
          </cell>
          <cell r="L168">
            <v>11</v>
          </cell>
          <cell r="M168">
            <v>8</v>
          </cell>
          <cell r="N168">
            <v>19.634587827508486</v>
          </cell>
          <cell r="O168">
            <v>200</v>
          </cell>
          <cell r="P168">
            <v>31.86153605825648</v>
          </cell>
          <cell r="Q168"/>
          <cell r="R168"/>
          <cell r="S168" t="str">
            <v>Charter Patrol stream, chum is the target species</v>
          </cell>
          <cell r="T168" t="e">
            <v>#DIV/0!</v>
          </cell>
          <cell r="U168" t="e">
            <v>#DIV/0!</v>
          </cell>
          <cell r="V168"/>
          <cell r="W168" t="str">
            <v>NI</v>
          </cell>
        </row>
        <row r="169">
          <cell r="C169" t="str">
            <v>SOMASS SYSTEM_Chinook</v>
          </cell>
          <cell r="D169" t="str">
            <v>No</v>
          </cell>
          <cell r="E169" t="str">
            <v>No</v>
          </cell>
          <cell r="F169">
            <v>23</v>
          </cell>
          <cell r="G169" t="str">
            <v>SOMASS SYSTEM</v>
          </cell>
          <cell r="H169" t="str">
            <v>Chinook</v>
          </cell>
          <cell r="I169"/>
          <cell r="J169"/>
          <cell r="K169">
            <v>1</v>
          </cell>
          <cell r="L169">
            <v>11</v>
          </cell>
          <cell r="M169">
            <v>11</v>
          </cell>
          <cell r="N169">
            <v>19849.272822061361</v>
          </cell>
          <cell r="O169">
            <v>117249</v>
          </cell>
          <cell r="P169">
            <v>15580.648221356645</v>
          </cell>
          <cell r="Q169" t="str">
            <v>E.   Systems extensively surveyed, with major hatcheries or considerable hatchery contribution</v>
          </cell>
          <cell r="R169"/>
          <cell r="S169" t="str">
            <v>Average Esc from 1995-2005 from file: ESCINDEX.XLS. Total escapement estimate includes counts from Somass River; Upper &amp; Lower Stamp River; Upper and Lower Sproat River; Ash River; Taylor River; McBride Creek; and Drinkwater Creek.</v>
          </cell>
          <cell r="T169">
            <v>14578.75</v>
          </cell>
          <cell r="U169">
            <v>15395.666666666666</v>
          </cell>
          <cell r="V169"/>
          <cell r="W169">
            <v>10490</v>
          </cell>
        </row>
        <row r="170">
          <cell r="C170" t="str">
            <v>SOMASS SYSTEM_Chum</v>
          </cell>
          <cell r="D170" t="str">
            <v>No</v>
          </cell>
          <cell r="E170" t="str">
            <v>No</v>
          </cell>
          <cell r="F170">
            <v>23</v>
          </cell>
          <cell r="G170" t="str">
            <v>SOMASS SYSTEM</v>
          </cell>
          <cell r="H170" t="str">
            <v>Chum</v>
          </cell>
          <cell r="I170"/>
          <cell r="J170"/>
          <cell r="K170">
            <v>1</v>
          </cell>
          <cell r="L170">
            <v>11</v>
          </cell>
          <cell r="M170">
            <v>11</v>
          </cell>
          <cell r="N170">
            <v>183.63046536837339</v>
          </cell>
          <cell r="O170">
            <v>8392</v>
          </cell>
          <cell r="P170">
            <v>608.55602921026718</v>
          </cell>
          <cell r="Q170" t="str">
            <v>E.   Systems extensively surveyed, with major hatcheries or considerable hatchery contribution</v>
          </cell>
          <cell r="R170"/>
          <cell r="S170" t="str">
            <v>Not a reliable average because chum is not a target species in the Somass. Total escapement estimate includes counts from Somass River; Upper &amp; Lower Stamp River; Upper and Lower Sproat River; Ash River; Taylor River; McBride Creek; and Drinkwater Creek.</v>
          </cell>
          <cell r="T170" t="e">
            <v>#DIV/0!</v>
          </cell>
          <cell r="U170">
            <v>95.008333333333326</v>
          </cell>
          <cell r="V170"/>
          <cell r="W170"/>
        </row>
        <row r="171">
          <cell r="C171" t="str">
            <v>SOMASS SYSTEM_Coho</v>
          </cell>
          <cell r="D171" t="str">
            <v>No</v>
          </cell>
          <cell r="E171" t="str">
            <v>No</v>
          </cell>
          <cell r="F171">
            <v>23</v>
          </cell>
          <cell r="G171" t="str">
            <v>SOMASS SYSTEM</v>
          </cell>
          <cell r="H171" t="str">
            <v>Coho</v>
          </cell>
          <cell r="I171"/>
          <cell r="J171"/>
          <cell r="K171">
            <v>1</v>
          </cell>
          <cell r="L171">
            <v>11</v>
          </cell>
          <cell r="M171">
            <v>11</v>
          </cell>
          <cell r="N171">
            <v>10788.994460056238</v>
          </cell>
          <cell r="O171">
            <v>130000</v>
          </cell>
          <cell r="P171">
            <v>29122.370669247219</v>
          </cell>
          <cell r="Q171" t="str">
            <v>E.   Systems extensively surveyed, with major hatcheries or considerable hatchery contribution</v>
          </cell>
          <cell r="R171"/>
          <cell r="S171" t="str">
            <v>Need to get past estimates from Jeff to do 1995-2005 average. Total escapement estimate includes counts from Somass River; Upper &amp; Lower Stamp River; Upper and Lower Sproat River; Ash River; Taylor River; McBride Creek; and Drinkwater Creek.</v>
          </cell>
          <cell r="T171">
            <v>12513.5</v>
          </cell>
          <cell r="U171">
            <v>25776.323702700916</v>
          </cell>
          <cell r="V171"/>
          <cell r="W171">
            <v>18526</v>
          </cell>
        </row>
        <row r="172">
          <cell r="C172" t="str">
            <v>SOMASS SYSTEM_Pink</v>
          </cell>
          <cell r="D172" t="str">
            <v>No</v>
          </cell>
          <cell r="E172" t="str">
            <v>No</v>
          </cell>
          <cell r="F172">
            <v>23</v>
          </cell>
          <cell r="G172" t="str">
            <v>SOMASS SYSTEM</v>
          </cell>
          <cell r="H172" t="str">
            <v>Pink</v>
          </cell>
          <cell r="I172"/>
          <cell r="J172"/>
          <cell r="K172">
            <v>1</v>
          </cell>
          <cell r="L172">
            <v>11</v>
          </cell>
          <cell r="M172">
            <v>9</v>
          </cell>
          <cell r="N172" t="e">
            <v>#NUM!</v>
          </cell>
          <cell r="O172">
            <v>3500</v>
          </cell>
          <cell r="P172" t="e">
            <v>#NUM!</v>
          </cell>
          <cell r="Q172" t="str">
            <v>E.   Systems extensively surveyed, with major hatcheries or considerable hatchery contribution</v>
          </cell>
          <cell r="R172"/>
          <cell r="S172" t="str">
            <v>Not a reliable average because pink is not a target species in the Somass. Total escapement estimate includes counts from Somass River; Upper &amp; Lower Stamp River; Upper and Lower Sproat River; Ash River; Taylor River; McBride Creek; and Drinkwater Creek.</v>
          </cell>
          <cell r="T172" t="e">
            <v>#DIV/0!</v>
          </cell>
          <cell r="U172">
            <v>18.916666666666668</v>
          </cell>
          <cell r="V172"/>
          <cell r="W172"/>
        </row>
        <row r="173">
          <cell r="C173" t="str">
            <v>SOMASS SYSTEM_Sockeye</v>
          </cell>
          <cell r="D173" t="str">
            <v>No</v>
          </cell>
          <cell r="E173" t="str">
            <v>No</v>
          </cell>
          <cell r="F173">
            <v>23</v>
          </cell>
          <cell r="G173" t="str">
            <v>SOMASS SYSTEM</v>
          </cell>
          <cell r="H173" t="str">
            <v>Sockeye</v>
          </cell>
          <cell r="I173"/>
          <cell r="J173"/>
          <cell r="K173">
            <v>1</v>
          </cell>
          <cell r="L173">
            <v>11</v>
          </cell>
          <cell r="M173">
            <v>11</v>
          </cell>
          <cell r="N173">
            <v>252494.9047703477</v>
          </cell>
          <cell r="O173">
            <v>543099</v>
          </cell>
          <cell r="P173">
            <v>97961.825941782066</v>
          </cell>
          <cell r="Q173" t="str">
            <v>E.   Systems extensively surveyed, with major hatcheries or considerable hatchery contribution</v>
          </cell>
          <cell r="R173"/>
          <cell r="S173" t="str">
            <v>Sockeye estimate includes counts from GCL and Sproat Lake</v>
          </cell>
          <cell r="T173">
            <v>325299.25</v>
          </cell>
          <cell r="U173">
            <v>375055.07315252972</v>
          </cell>
          <cell r="V173"/>
          <cell r="W173">
            <v>607643</v>
          </cell>
        </row>
        <row r="174">
          <cell r="C174" t="str">
            <v>SUGSAW CREEK_Chinook</v>
          </cell>
          <cell r="D174" t="str">
            <v>No</v>
          </cell>
          <cell r="E174" t="str">
            <v>No</v>
          </cell>
          <cell r="F174">
            <v>23</v>
          </cell>
          <cell r="G174" t="str">
            <v>SUGSAW CREEK</v>
          </cell>
          <cell r="H174" t="str">
            <v>Chinook</v>
          </cell>
          <cell r="I174"/>
          <cell r="J174"/>
          <cell r="K174">
            <v>4</v>
          </cell>
          <cell r="L174">
            <v>3</v>
          </cell>
          <cell r="M174">
            <v>2</v>
          </cell>
          <cell r="N174">
            <v>4.4721359549995796</v>
          </cell>
          <cell r="O174">
            <v>10</v>
          </cell>
          <cell r="P174">
            <v>4.4721359549995796</v>
          </cell>
          <cell r="Q174"/>
          <cell r="R174"/>
          <cell r="S174" t="str">
            <v>Missing estimates for 1998, 1999, 2000, 2004 &amp; 2005</v>
          </cell>
          <cell r="T174" t="e">
            <v>#DIV/0!</v>
          </cell>
          <cell r="U174" t="e">
            <v>#DIV/0!</v>
          </cell>
          <cell r="V174"/>
          <cell r="W174" t="str">
            <v>NI</v>
          </cell>
        </row>
        <row r="175">
          <cell r="C175" t="str">
            <v>SUGSAW CREEK_Chum</v>
          </cell>
          <cell r="D175" t="str">
            <v>No</v>
          </cell>
          <cell r="E175" t="str">
            <v>No</v>
          </cell>
          <cell r="F175">
            <v>23</v>
          </cell>
          <cell r="G175" t="str">
            <v>SUGSAW CREEK</v>
          </cell>
          <cell r="H175" t="str">
            <v>Chum</v>
          </cell>
          <cell r="I175"/>
          <cell r="J175"/>
          <cell r="K175">
            <v>4</v>
          </cell>
          <cell r="L175">
            <v>3</v>
          </cell>
          <cell r="M175">
            <v>3</v>
          </cell>
          <cell r="N175">
            <v>264.82208189575385</v>
          </cell>
          <cell r="O175">
            <v>14000</v>
          </cell>
          <cell r="P175">
            <v>1612.0413268925645</v>
          </cell>
          <cell r="Q175"/>
          <cell r="R175"/>
          <cell r="S175" t="str">
            <v>Missing estimates for 1998, 1999, 2000, 2004 &amp; 2005</v>
          </cell>
          <cell r="T175">
            <v>353</v>
          </cell>
          <cell r="U175">
            <v>514.75</v>
          </cell>
          <cell r="V175"/>
          <cell r="W175" t="str">
            <v>NI</v>
          </cell>
        </row>
        <row r="176">
          <cell r="C176" t="str">
            <v>SUGSAW CREEK_Coho</v>
          </cell>
          <cell r="D176" t="str">
            <v>No</v>
          </cell>
          <cell r="E176" t="str">
            <v>No</v>
          </cell>
          <cell r="F176">
            <v>23</v>
          </cell>
          <cell r="G176" t="str">
            <v>SUGSAW CREEK</v>
          </cell>
          <cell r="H176" t="str">
            <v>Coho</v>
          </cell>
          <cell r="I176"/>
          <cell r="J176"/>
          <cell r="K176">
            <v>4</v>
          </cell>
          <cell r="L176">
            <v>3</v>
          </cell>
          <cell r="M176">
            <v>2</v>
          </cell>
          <cell r="N176">
            <v>2.4494897427831779</v>
          </cell>
          <cell r="O176">
            <v>200</v>
          </cell>
          <cell r="P176">
            <v>36.8280884098833</v>
          </cell>
          <cell r="Q176"/>
          <cell r="R176"/>
          <cell r="S176" t="str">
            <v>Missing estimates for 1998, 1999, 2000, 2004 &amp; 2005</v>
          </cell>
          <cell r="T176" t="e">
            <v>#DIV/0!</v>
          </cell>
          <cell r="U176" t="e">
            <v>#DIV/0!</v>
          </cell>
          <cell r="V176"/>
          <cell r="W176" t="str">
            <v>NI</v>
          </cell>
        </row>
        <row r="177">
          <cell r="C177" t="str">
            <v>THORNTON CREEK_Chinook</v>
          </cell>
          <cell r="D177" t="str">
            <v>No</v>
          </cell>
          <cell r="E177" t="str">
            <v>No</v>
          </cell>
          <cell r="F177">
            <v>23</v>
          </cell>
          <cell r="G177" t="str">
            <v>THORNTON CREEK</v>
          </cell>
          <cell r="H177" t="str">
            <v>Chinook</v>
          </cell>
          <cell r="I177"/>
          <cell r="J177"/>
          <cell r="K177">
            <v>4</v>
          </cell>
          <cell r="L177">
            <v>10</v>
          </cell>
          <cell r="M177">
            <v>10</v>
          </cell>
          <cell r="N177">
            <v>1056.7575183796889</v>
          </cell>
          <cell r="O177">
            <v>3000</v>
          </cell>
          <cell r="P177">
            <v>865.55879175238135</v>
          </cell>
          <cell r="Q177"/>
          <cell r="R177"/>
          <cell r="S177" t="str">
            <v>Missing escapement estimate for 2003</v>
          </cell>
          <cell r="T177">
            <v>43</v>
          </cell>
          <cell r="U177">
            <v>910</v>
          </cell>
          <cell r="V177"/>
          <cell r="W177">
            <v>43</v>
          </cell>
        </row>
        <row r="178">
          <cell r="C178" t="str">
            <v>THORNTON CREEK_Chum</v>
          </cell>
          <cell r="D178" t="str">
            <v>No</v>
          </cell>
          <cell r="E178" t="str">
            <v>No</v>
          </cell>
          <cell r="F178">
            <v>23</v>
          </cell>
          <cell r="G178" t="str">
            <v>THORNTON CREEK</v>
          </cell>
          <cell r="H178" t="str">
            <v>Chum</v>
          </cell>
          <cell r="I178"/>
          <cell r="J178"/>
          <cell r="K178">
            <v>4</v>
          </cell>
          <cell r="L178">
            <v>10</v>
          </cell>
          <cell r="M178">
            <v>10</v>
          </cell>
          <cell r="N178">
            <v>44.873389199124276</v>
          </cell>
          <cell r="O178">
            <v>583</v>
          </cell>
          <cell r="P178">
            <v>36.442910003713656</v>
          </cell>
          <cell r="Q178"/>
          <cell r="R178"/>
          <cell r="S178" t="str">
            <v>Missing escapement estimate for 2003</v>
          </cell>
          <cell r="T178">
            <v>43</v>
          </cell>
          <cell r="U178">
            <v>31.5</v>
          </cell>
          <cell r="V178"/>
          <cell r="W178">
            <v>43</v>
          </cell>
        </row>
        <row r="179">
          <cell r="C179" t="str">
            <v>THORNTON CREEK_Coho</v>
          </cell>
          <cell r="D179" t="str">
            <v>No</v>
          </cell>
          <cell r="E179" t="str">
            <v>No</v>
          </cell>
          <cell r="F179">
            <v>23</v>
          </cell>
          <cell r="G179" t="str">
            <v>THORNTON CREEK</v>
          </cell>
          <cell r="H179" t="str">
            <v>Coho</v>
          </cell>
          <cell r="I179"/>
          <cell r="J179"/>
          <cell r="K179">
            <v>4</v>
          </cell>
          <cell r="L179">
            <v>10</v>
          </cell>
          <cell r="M179">
            <v>10</v>
          </cell>
          <cell r="N179">
            <v>592.85362247213004</v>
          </cell>
          <cell r="O179">
            <v>2903</v>
          </cell>
          <cell r="P179">
            <v>702.65717535098406</v>
          </cell>
          <cell r="Q179"/>
          <cell r="R179"/>
          <cell r="S179" t="str">
            <v>Missing escapement estimate for 2003</v>
          </cell>
          <cell r="T179" t="e">
            <v>#DIV/0!</v>
          </cell>
          <cell r="U179">
            <v>389</v>
          </cell>
          <cell r="V179"/>
          <cell r="W179" t="str">
            <v>AP</v>
          </cell>
        </row>
        <row r="180">
          <cell r="C180" t="str">
            <v>THORNTON CREEK_Pink</v>
          </cell>
          <cell r="D180" t="str">
            <v>No</v>
          </cell>
          <cell r="E180" t="str">
            <v>No</v>
          </cell>
          <cell r="F180">
            <v>23</v>
          </cell>
          <cell r="G180" t="str">
            <v>THORNTON CREEK</v>
          </cell>
          <cell r="H180" t="str">
            <v>Pink</v>
          </cell>
          <cell r="I180"/>
          <cell r="J180"/>
          <cell r="K180">
            <v>4</v>
          </cell>
          <cell r="L180">
            <v>10</v>
          </cell>
          <cell r="M180">
            <v>3</v>
          </cell>
          <cell r="N180">
            <v>2.6207413942088964</v>
          </cell>
          <cell r="O180">
            <v>3</v>
          </cell>
          <cell r="P180">
            <v>2.6207413942088964</v>
          </cell>
          <cell r="Q180"/>
          <cell r="R180"/>
          <cell r="S180" t="str">
            <v>Missing escapement estimate for 2003</v>
          </cell>
          <cell r="T180" t="e">
            <v>#DIV/0!</v>
          </cell>
          <cell r="U180" t="e">
            <v>#DIV/0!</v>
          </cell>
          <cell r="V180"/>
          <cell r="W180" t="str">
            <v>NO</v>
          </cell>
        </row>
        <row r="181">
          <cell r="C181" t="str">
            <v>TOQUART RIVER_Chinook</v>
          </cell>
          <cell r="D181" t="str">
            <v>No</v>
          </cell>
          <cell r="E181" t="str">
            <v>No</v>
          </cell>
          <cell r="F181">
            <v>23</v>
          </cell>
          <cell r="G181" t="str">
            <v>TOQUART RIVER</v>
          </cell>
          <cell r="H181" t="str">
            <v>Chinook</v>
          </cell>
          <cell r="I181"/>
          <cell r="J181"/>
          <cell r="K181">
            <v>3</v>
          </cell>
          <cell r="L181">
            <v>10</v>
          </cell>
          <cell r="M181">
            <v>10</v>
          </cell>
          <cell r="N181">
            <v>266.52943135301115</v>
          </cell>
          <cell r="O181">
            <v>864</v>
          </cell>
          <cell r="P181">
            <v>73.121180339392396</v>
          </cell>
          <cell r="Q181" t="str">
            <v>C.  Other systems surveyed extensively since 1995, but due to lack of historic info, not included in expanded group (B)</v>
          </cell>
          <cell r="R181"/>
          <cell r="S181" t="str">
            <v>Average Esc from 1995-2005 from file: NEW ESCAPEMENT INDEX.XLS</v>
          </cell>
          <cell r="T181">
            <v>53.75</v>
          </cell>
          <cell r="U181">
            <v>158.45454545454547</v>
          </cell>
          <cell r="V181"/>
          <cell r="W181">
            <v>21</v>
          </cell>
        </row>
        <row r="182">
          <cell r="C182" t="str">
            <v>TOQUART RIVER_Chum</v>
          </cell>
          <cell r="D182" t="str">
            <v>No</v>
          </cell>
          <cell r="E182" t="str">
            <v>No</v>
          </cell>
          <cell r="F182">
            <v>23</v>
          </cell>
          <cell r="G182" t="str">
            <v>TOQUART RIVER</v>
          </cell>
          <cell r="H182" t="str">
            <v>Chum</v>
          </cell>
          <cell r="I182"/>
          <cell r="J182"/>
          <cell r="K182">
            <v>3</v>
          </cell>
          <cell r="L182">
            <v>10</v>
          </cell>
          <cell r="M182">
            <v>10</v>
          </cell>
          <cell r="N182">
            <v>3835.3294160835562</v>
          </cell>
          <cell r="O182">
            <v>75000</v>
          </cell>
          <cell r="P182">
            <v>8193.6781711154235</v>
          </cell>
          <cell r="Q182" t="str">
            <v>C.  Other systems surveyed extensively since 1995, but due to lack of historic info, not included in expanded group (B)</v>
          </cell>
          <cell r="R182"/>
          <cell r="S182" t="str">
            <v>Average Esc from 1995-2005 from file: NEW ESCAPEMENT INDEX.XLS</v>
          </cell>
          <cell r="T182">
            <v>3706.75</v>
          </cell>
          <cell r="U182">
            <v>2514.818181818182</v>
          </cell>
          <cell r="V182"/>
          <cell r="W182">
            <v>5852</v>
          </cell>
        </row>
        <row r="183">
          <cell r="C183" t="str">
            <v>TOQUART RIVER_Coho</v>
          </cell>
          <cell r="D183" t="str">
            <v>No</v>
          </cell>
          <cell r="E183" t="str">
            <v>No</v>
          </cell>
          <cell r="F183">
            <v>23</v>
          </cell>
          <cell r="G183" t="str">
            <v>TOQUART RIVER</v>
          </cell>
          <cell r="H183" t="str">
            <v>Coho</v>
          </cell>
          <cell r="I183"/>
          <cell r="J183"/>
          <cell r="K183">
            <v>3</v>
          </cell>
          <cell r="L183">
            <v>10</v>
          </cell>
          <cell r="M183">
            <v>10</v>
          </cell>
          <cell r="N183">
            <v>747.95577664859468</v>
          </cell>
          <cell r="O183">
            <v>35000</v>
          </cell>
          <cell r="P183">
            <v>1326.7616512828781</v>
          </cell>
          <cell r="Q183" t="str">
            <v>C.  Other systems surveyed extensively since 1995, but due to lack of historic info, not included in expanded group (B)</v>
          </cell>
          <cell r="R183"/>
          <cell r="S183" t="str">
            <v>Average Esc from 1995-2005 from file: NEW ESCAPEMENT INDEX.XLS</v>
          </cell>
          <cell r="T183">
            <v>631.25</v>
          </cell>
          <cell r="U183">
            <v>667.81818181818187</v>
          </cell>
          <cell r="V183"/>
          <cell r="W183">
            <v>961</v>
          </cell>
        </row>
        <row r="184">
          <cell r="C184" t="str">
            <v>TOQUART RIVER_Pink</v>
          </cell>
          <cell r="D184" t="str">
            <v>No</v>
          </cell>
          <cell r="E184" t="str">
            <v>No</v>
          </cell>
          <cell r="F184">
            <v>23</v>
          </cell>
          <cell r="G184" t="str">
            <v>TOQUART RIVER</v>
          </cell>
          <cell r="H184" t="str">
            <v>Pink</v>
          </cell>
          <cell r="I184"/>
          <cell r="J184"/>
          <cell r="K184">
            <v>3</v>
          </cell>
          <cell r="L184">
            <v>10</v>
          </cell>
          <cell r="M184">
            <v>8</v>
          </cell>
          <cell r="N184">
            <v>7.568701853783228</v>
          </cell>
          <cell r="O184">
            <v>200</v>
          </cell>
          <cell r="P184">
            <v>19.07879007463006</v>
          </cell>
          <cell r="Q184" t="str">
            <v>C.  Other systems surveyed extensively since 1995, but due to lack of historic info, not included in expanded group (B)</v>
          </cell>
          <cell r="R184"/>
          <cell r="S184"/>
          <cell r="T184" t="e">
            <v>#DIV/0!</v>
          </cell>
          <cell r="U184">
            <v>35</v>
          </cell>
          <cell r="V184"/>
          <cell r="W184" t="str">
            <v>NO</v>
          </cell>
        </row>
        <row r="185">
          <cell r="C185" t="str">
            <v>TOQUART RIVER_Sockeye</v>
          </cell>
          <cell r="D185" t="str">
            <v>No</v>
          </cell>
          <cell r="E185" t="str">
            <v>No</v>
          </cell>
          <cell r="F185">
            <v>23</v>
          </cell>
          <cell r="G185" t="str">
            <v>TOQUART RIVER</v>
          </cell>
          <cell r="H185" t="str">
            <v>Sockeye</v>
          </cell>
          <cell r="I185"/>
          <cell r="J185"/>
          <cell r="K185">
            <v>3</v>
          </cell>
          <cell r="L185">
            <v>10</v>
          </cell>
          <cell r="M185">
            <v>10</v>
          </cell>
          <cell r="N185">
            <v>10.333969676574528</v>
          </cell>
          <cell r="O185">
            <v>100</v>
          </cell>
          <cell r="P185">
            <v>12.651113924733886</v>
          </cell>
          <cell r="Q185" t="str">
            <v>C.  Other systems surveyed extensively since 1995, but due to lack of historic info, not included in expanded group (B)</v>
          </cell>
          <cell r="R185"/>
          <cell r="S185"/>
          <cell r="T185">
            <v>9.75</v>
          </cell>
          <cell r="U185">
            <v>62.18181818181818</v>
          </cell>
          <cell r="V185"/>
          <cell r="W185">
            <v>19</v>
          </cell>
        </row>
        <row r="186">
          <cell r="C186" t="str">
            <v>TWIN RIVERS EAST CREEK_Chum</v>
          </cell>
          <cell r="D186" t="str">
            <v>No</v>
          </cell>
          <cell r="E186" t="str">
            <v>No</v>
          </cell>
          <cell r="F186">
            <v>23</v>
          </cell>
          <cell r="G186" t="str">
            <v>TWIN RIVERS EAST CREEK</v>
          </cell>
          <cell r="H186" t="str">
            <v>Chum</v>
          </cell>
          <cell r="I186"/>
          <cell r="J186"/>
          <cell r="K186">
            <v>4</v>
          </cell>
          <cell r="L186">
            <v>9</v>
          </cell>
          <cell r="M186">
            <v>9</v>
          </cell>
          <cell r="N186">
            <v>250.60103236964042</v>
          </cell>
          <cell r="O186">
            <v>7500</v>
          </cell>
          <cell r="P186">
            <v>684.63861131816225</v>
          </cell>
          <cell r="Q186"/>
          <cell r="R186"/>
          <cell r="S186" t="str">
            <v>Missing estimate for 2003. Chum is the target species</v>
          </cell>
          <cell r="T186">
            <v>215.5</v>
          </cell>
          <cell r="U186">
            <v>173.71428571428572</v>
          </cell>
          <cell r="V186"/>
          <cell r="W186">
            <v>415</v>
          </cell>
        </row>
        <row r="187">
          <cell r="C187" t="str">
            <v>TWIN RIVERS EAST CREEK_Coho</v>
          </cell>
          <cell r="D187" t="str">
            <v>No</v>
          </cell>
          <cell r="E187" t="str">
            <v>No</v>
          </cell>
          <cell r="F187">
            <v>23</v>
          </cell>
          <cell r="G187" t="str">
            <v>TWIN RIVERS EAST CREEK</v>
          </cell>
          <cell r="H187" t="str">
            <v>Coho</v>
          </cell>
          <cell r="I187"/>
          <cell r="J187"/>
          <cell r="K187">
            <v>4</v>
          </cell>
          <cell r="L187">
            <v>9</v>
          </cell>
          <cell r="M187">
            <v>4</v>
          </cell>
          <cell r="N187">
            <v>8.8405391544249472</v>
          </cell>
          <cell r="O187">
            <v>400</v>
          </cell>
          <cell r="P187">
            <v>38.814237008553576</v>
          </cell>
          <cell r="Q187"/>
          <cell r="R187"/>
          <cell r="S187" t="str">
            <v>Missing estimate for 2003. Chum is the target species</v>
          </cell>
          <cell r="T187">
            <v>30.666666666666668</v>
          </cell>
          <cell r="U187">
            <v>40.4</v>
          </cell>
          <cell r="V187"/>
          <cell r="W187" t="str">
            <v>NO</v>
          </cell>
        </row>
        <row r="188">
          <cell r="C188" t="str">
            <v>TWIN RIVERS WEST CREEK_Chum</v>
          </cell>
          <cell r="D188" t="str">
            <v>No</v>
          </cell>
          <cell r="E188" t="str">
            <v>No</v>
          </cell>
          <cell r="F188">
            <v>23</v>
          </cell>
          <cell r="G188" t="str">
            <v>TWIN RIVERS WEST CREEK</v>
          </cell>
          <cell r="H188" t="str">
            <v>Chum</v>
          </cell>
          <cell r="I188"/>
          <cell r="J188"/>
          <cell r="K188">
            <v>5</v>
          </cell>
          <cell r="L188">
            <v>4</v>
          </cell>
          <cell r="M188">
            <v>4</v>
          </cell>
          <cell r="N188">
            <v>45.269723865652168</v>
          </cell>
          <cell r="O188">
            <v>9000</v>
          </cell>
          <cell r="P188">
            <v>303.83321551962138</v>
          </cell>
          <cell r="Q188"/>
          <cell r="R188"/>
          <cell r="S188" t="str">
            <v>Missing data for 2000 &amp; 2001, last time species was observed was in 1999.</v>
          </cell>
          <cell r="T188" t="e">
            <v>#DIV/0!</v>
          </cell>
          <cell r="U188">
            <v>109</v>
          </cell>
          <cell r="V188"/>
          <cell r="W188" t="str">
            <v>NI</v>
          </cell>
        </row>
        <row r="189">
          <cell r="C189" t="str">
            <v>TWIN RIVERS WEST CREEK_Coho</v>
          </cell>
          <cell r="D189" t="str">
            <v>No</v>
          </cell>
          <cell r="E189" t="str">
            <v>No</v>
          </cell>
          <cell r="F189">
            <v>23</v>
          </cell>
          <cell r="G189" t="str">
            <v>TWIN RIVERS WEST CREEK</v>
          </cell>
          <cell r="H189" t="str">
            <v>Coho</v>
          </cell>
          <cell r="I189"/>
          <cell r="J189"/>
          <cell r="K189">
            <v>5</v>
          </cell>
          <cell r="L189">
            <v>4</v>
          </cell>
          <cell r="M189">
            <v>3</v>
          </cell>
          <cell r="N189">
            <v>1.7320508075688774</v>
          </cell>
          <cell r="O189">
            <v>400</v>
          </cell>
          <cell r="P189">
            <v>41.729961243506061</v>
          </cell>
          <cell r="Q189"/>
          <cell r="R189"/>
          <cell r="S189" t="str">
            <v>Missing data for 2000 &amp; 2001, last time species was observed was in 1999.</v>
          </cell>
          <cell r="T189" t="e">
            <v>#DIV/0!</v>
          </cell>
          <cell r="U189" t="e">
            <v>#DIV/0!</v>
          </cell>
          <cell r="V189"/>
          <cell r="W189" t="str">
            <v>NI</v>
          </cell>
        </row>
        <row r="190">
          <cell r="C190" t="str">
            <v>UCHUCK CREEK_Chinook</v>
          </cell>
          <cell r="D190" t="str">
            <v>No</v>
          </cell>
          <cell r="E190" t="str">
            <v>No</v>
          </cell>
          <cell r="F190">
            <v>23</v>
          </cell>
          <cell r="G190" t="str">
            <v>UCHUCK CREEK</v>
          </cell>
          <cell r="H190" t="str">
            <v>Chinook</v>
          </cell>
          <cell r="I190"/>
          <cell r="J190"/>
          <cell r="K190">
            <v>4</v>
          </cell>
          <cell r="L190">
            <v>11</v>
          </cell>
          <cell r="M190">
            <v>0</v>
          </cell>
          <cell r="N190" t="e">
            <v>#NUM!</v>
          </cell>
          <cell r="O190">
            <v>25</v>
          </cell>
          <cell r="P190">
            <v>25</v>
          </cell>
          <cell r="Q190"/>
          <cell r="R190"/>
          <cell r="S190" t="str">
            <v>Chum is the target species</v>
          </cell>
          <cell r="T190" t="e">
            <v>#DIV/0!</v>
          </cell>
          <cell r="U190" t="e">
            <v>#DIV/0!</v>
          </cell>
          <cell r="V190"/>
          <cell r="W190" t="str">
            <v>NO</v>
          </cell>
        </row>
        <row r="191">
          <cell r="C191" t="str">
            <v>UCHUCK CREEK_Chum</v>
          </cell>
          <cell r="D191" t="str">
            <v>No</v>
          </cell>
          <cell r="E191" t="str">
            <v>No</v>
          </cell>
          <cell r="F191">
            <v>23</v>
          </cell>
          <cell r="G191" t="str">
            <v>UCHUCK CREEK</v>
          </cell>
          <cell r="H191" t="str">
            <v>Chum</v>
          </cell>
          <cell r="I191"/>
          <cell r="J191"/>
          <cell r="K191">
            <v>4</v>
          </cell>
          <cell r="L191">
            <v>11</v>
          </cell>
          <cell r="M191">
            <v>8</v>
          </cell>
          <cell r="N191">
            <v>1456.1521142007714</v>
          </cell>
          <cell r="O191">
            <v>10000</v>
          </cell>
          <cell r="P191">
            <v>2451.8749559469306</v>
          </cell>
          <cell r="Q191"/>
          <cell r="R191"/>
          <cell r="S191" t="str">
            <v>Chum is the target species</v>
          </cell>
          <cell r="T191">
            <v>19</v>
          </cell>
          <cell r="U191">
            <v>111.5</v>
          </cell>
          <cell r="V191"/>
          <cell r="W191">
            <v>19</v>
          </cell>
        </row>
        <row r="192">
          <cell r="C192" t="str">
            <v>UCHUCK CREEK_Coho</v>
          </cell>
          <cell r="D192" t="str">
            <v>No</v>
          </cell>
          <cell r="E192" t="str">
            <v>No</v>
          </cell>
          <cell r="F192">
            <v>23</v>
          </cell>
          <cell r="G192" t="str">
            <v>UCHUCK CREEK</v>
          </cell>
          <cell r="H192" t="str">
            <v>Coho</v>
          </cell>
          <cell r="I192"/>
          <cell r="J192"/>
          <cell r="K192">
            <v>4</v>
          </cell>
          <cell r="L192">
            <v>11</v>
          </cell>
          <cell r="M192">
            <v>2</v>
          </cell>
          <cell r="N192">
            <v>51.234753829797988</v>
          </cell>
          <cell r="O192">
            <v>3500</v>
          </cell>
          <cell r="P192">
            <v>156.3376381578704</v>
          </cell>
          <cell r="Q192"/>
          <cell r="R192"/>
          <cell r="S192" t="str">
            <v>Chum is the target species</v>
          </cell>
          <cell r="T192">
            <v>4</v>
          </cell>
          <cell r="U192">
            <v>20</v>
          </cell>
          <cell r="V192"/>
          <cell r="W192">
            <v>4</v>
          </cell>
        </row>
        <row r="193">
          <cell r="C193" t="str">
            <v>USELESS CREEK_Chum</v>
          </cell>
          <cell r="D193" t="str">
            <v>No</v>
          </cell>
          <cell r="E193" t="str">
            <v>No</v>
          </cell>
          <cell r="F193">
            <v>23</v>
          </cell>
          <cell r="G193" t="str">
            <v>USELESS CREEK</v>
          </cell>
          <cell r="H193" t="str">
            <v>Chum</v>
          </cell>
          <cell r="I193"/>
          <cell r="J193"/>
          <cell r="K193">
            <v>5</v>
          </cell>
          <cell r="L193">
            <v>6</v>
          </cell>
          <cell r="M193">
            <v>3</v>
          </cell>
          <cell r="N193">
            <v>34.641016151377549</v>
          </cell>
          <cell r="O193">
            <v>750</v>
          </cell>
          <cell r="P193">
            <v>142.53164294927632</v>
          </cell>
          <cell r="Q193"/>
          <cell r="R193"/>
          <cell r="S193" t="str">
            <v>Sureyed by Charter Patrol</v>
          </cell>
          <cell r="T193" t="e">
            <v>#DIV/0!</v>
          </cell>
          <cell r="U193" t="e">
            <v>#DIV/0!</v>
          </cell>
          <cell r="V193"/>
          <cell r="W193" t="str">
            <v>NI</v>
          </cell>
        </row>
        <row r="194">
          <cell r="C194" t="str">
            <v>USELESS CREEK_Coho</v>
          </cell>
          <cell r="D194" t="str">
            <v>No</v>
          </cell>
          <cell r="E194" t="str">
            <v>No</v>
          </cell>
          <cell r="F194">
            <v>23</v>
          </cell>
          <cell r="G194" t="str">
            <v>USELESS CREEK</v>
          </cell>
          <cell r="H194" t="str">
            <v>Coho</v>
          </cell>
          <cell r="I194"/>
          <cell r="J194"/>
          <cell r="K194">
            <v>5</v>
          </cell>
          <cell r="L194">
            <v>6</v>
          </cell>
          <cell r="M194">
            <v>1</v>
          </cell>
          <cell r="N194" t="e">
            <v>#NUM!</v>
          </cell>
          <cell r="O194">
            <v>75</v>
          </cell>
          <cell r="P194">
            <v>35.391958210856387</v>
          </cell>
          <cell r="Q194"/>
          <cell r="R194"/>
          <cell r="S194" t="str">
            <v>Sureyed by Charter Patrol</v>
          </cell>
          <cell r="T194" t="e">
            <v>#DIV/0!</v>
          </cell>
          <cell r="U194" t="e">
            <v>#DIV/0!</v>
          </cell>
          <cell r="V194"/>
          <cell r="W194" t="str">
            <v>NI</v>
          </cell>
        </row>
        <row r="195">
          <cell r="C195" t="str">
            <v>VERNON BAY CREEK_Chum</v>
          </cell>
          <cell r="D195" t="str">
            <v>No</v>
          </cell>
          <cell r="E195" t="str">
            <v>No</v>
          </cell>
          <cell r="F195">
            <v>23</v>
          </cell>
          <cell r="G195" t="str">
            <v>VERNON BAY CREEK</v>
          </cell>
          <cell r="H195" t="str">
            <v>Chum</v>
          </cell>
          <cell r="I195"/>
          <cell r="J195"/>
          <cell r="K195">
            <v>5</v>
          </cell>
          <cell r="L195">
            <v>9</v>
          </cell>
          <cell r="M195">
            <v>5</v>
          </cell>
          <cell r="N195">
            <v>35.341188430493951</v>
          </cell>
          <cell r="O195">
            <v>2700</v>
          </cell>
          <cell r="P195">
            <v>133.97309914675057</v>
          </cell>
          <cell r="Q195"/>
          <cell r="R195"/>
          <cell r="S195" t="str">
            <v>Charter Patrol stream, chum is the target species</v>
          </cell>
          <cell r="T195" t="e">
            <v>#DIV/0!</v>
          </cell>
          <cell r="U195" t="e">
            <v>#DIV/0!</v>
          </cell>
          <cell r="V195"/>
          <cell r="W195" t="str">
            <v>NI</v>
          </cell>
        </row>
        <row r="196">
          <cell r="C196" t="str">
            <v>VERNON BAY CREEK_Coho</v>
          </cell>
          <cell r="D196" t="str">
            <v>No</v>
          </cell>
          <cell r="E196" t="str">
            <v>No</v>
          </cell>
          <cell r="F196">
            <v>23</v>
          </cell>
          <cell r="G196" t="str">
            <v>VERNON BAY CREEK</v>
          </cell>
          <cell r="H196" t="str">
            <v>Coho</v>
          </cell>
          <cell r="I196"/>
          <cell r="J196"/>
          <cell r="K196">
            <v>5</v>
          </cell>
          <cell r="L196">
            <v>9</v>
          </cell>
          <cell r="M196">
            <v>5</v>
          </cell>
          <cell r="N196">
            <v>14.416868484808525</v>
          </cell>
          <cell r="O196">
            <v>200</v>
          </cell>
          <cell r="P196">
            <v>35.708725285770569</v>
          </cell>
          <cell r="Q196"/>
          <cell r="R196"/>
          <cell r="S196" t="str">
            <v>Charter Patrol stream, chum is the target species</v>
          </cell>
          <cell r="T196" t="e">
            <v>#DIV/0!</v>
          </cell>
          <cell r="U196" t="e">
            <v>#DIV/0!</v>
          </cell>
          <cell r="V196"/>
          <cell r="W196" t="str">
            <v>NI</v>
          </cell>
        </row>
        <row r="197">
          <cell r="C197" t="str">
            <v>WALLACE CREEK_Chinook</v>
          </cell>
          <cell r="D197" t="str">
            <v>No</v>
          </cell>
          <cell r="E197" t="str">
            <v>No</v>
          </cell>
          <cell r="F197">
            <v>23</v>
          </cell>
          <cell r="G197" t="str">
            <v>WALLACE CREEK</v>
          </cell>
          <cell r="H197" t="str">
            <v>Chinook</v>
          </cell>
          <cell r="I197"/>
          <cell r="J197"/>
          <cell r="K197">
            <v>4</v>
          </cell>
          <cell r="L197">
            <v>9</v>
          </cell>
          <cell r="M197">
            <v>0</v>
          </cell>
          <cell r="N197" t="e">
            <v>#NUM!</v>
          </cell>
          <cell r="O197">
            <v>25</v>
          </cell>
          <cell r="P197">
            <v>25</v>
          </cell>
          <cell r="Q197"/>
          <cell r="R197"/>
          <cell r="S197" t="str">
            <v>Charter Patrol stream, chum is the target species</v>
          </cell>
          <cell r="T197" t="e">
            <v>#DIV/0!</v>
          </cell>
          <cell r="U197" t="e">
            <v>#DIV/0!</v>
          </cell>
          <cell r="V197"/>
          <cell r="W197" t="str">
            <v>NI</v>
          </cell>
        </row>
        <row r="198">
          <cell r="C198" t="str">
            <v>WALLACE CREEK_Chum</v>
          </cell>
          <cell r="D198" t="str">
            <v>No</v>
          </cell>
          <cell r="E198" t="str">
            <v>No</v>
          </cell>
          <cell r="F198">
            <v>23</v>
          </cell>
          <cell r="G198" t="str">
            <v>WALLACE CREEK</v>
          </cell>
          <cell r="H198" t="str">
            <v>Chum</v>
          </cell>
          <cell r="I198"/>
          <cell r="J198"/>
          <cell r="K198">
            <v>4</v>
          </cell>
          <cell r="L198">
            <v>9</v>
          </cell>
          <cell r="M198">
            <v>9</v>
          </cell>
          <cell r="N198">
            <v>2653.1228936772604</v>
          </cell>
          <cell r="O198">
            <v>11685</v>
          </cell>
          <cell r="P198">
            <v>2135.1715756869535</v>
          </cell>
          <cell r="Q198"/>
          <cell r="R198"/>
          <cell r="S198" t="str">
            <v>Charter Patrol stream, chum is the target species</v>
          </cell>
          <cell r="T198" t="e">
            <v>#DIV/0!</v>
          </cell>
          <cell r="U198" t="e">
            <v>#DIV/0!</v>
          </cell>
          <cell r="V198"/>
          <cell r="W198" t="str">
            <v>NI</v>
          </cell>
        </row>
        <row r="199">
          <cell r="C199" t="str">
            <v>WALLACE CREEK_Coho</v>
          </cell>
          <cell r="D199" t="str">
            <v>No</v>
          </cell>
          <cell r="E199" t="str">
            <v>No</v>
          </cell>
          <cell r="F199">
            <v>23</v>
          </cell>
          <cell r="G199" t="str">
            <v>WALLACE CREEK</v>
          </cell>
          <cell r="H199" t="str">
            <v>Coho</v>
          </cell>
          <cell r="I199"/>
          <cell r="J199"/>
          <cell r="K199">
            <v>4</v>
          </cell>
          <cell r="L199">
            <v>9</v>
          </cell>
          <cell r="M199">
            <v>5</v>
          </cell>
          <cell r="N199">
            <v>22.081667224484562</v>
          </cell>
          <cell r="O199">
            <v>200</v>
          </cell>
          <cell r="P199">
            <v>38.290222433170747</v>
          </cell>
          <cell r="Q199"/>
          <cell r="R199"/>
          <cell r="S199" t="str">
            <v>Charter Patrol stream, chum is the target species</v>
          </cell>
          <cell r="T199" t="e">
            <v>#DIV/0!</v>
          </cell>
          <cell r="U199" t="e">
            <v>#DIV/0!</v>
          </cell>
          <cell r="V199"/>
          <cell r="W199" t="str">
            <v>NI</v>
          </cell>
        </row>
        <row r="200">
          <cell r="C200" t="str">
            <v>ANGORA CREEK_Chum</v>
          </cell>
          <cell r="D200" t="str">
            <v>No</v>
          </cell>
          <cell r="E200" t="str">
            <v>No</v>
          </cell>
          <cell r="F200">
            <v>24</v>
          </cell>
          <cell r="G200" t="str">
            <v>ANGORA CREEK</v>
          </cell>
          <cell r="H200" t="str">
            <v>Chum</v>
          </cell>
          <cell r="I200"/>
          <cell r="J200"/>
          <cell r="K200">
            <v>5</v>
          </cell>
          <cell r="L200">
            <v>6</v>
          </cell>
          <cell r="M200">
            <v>0</v>
          </cell>
          <cell r="N200" t="e">
            <v>#NUM!</v>
          </cell>
          <cell r="O200">
            <v>0</v>
          </cell>
          <cell r="P200" t="e">
            <v>#NUM!</v>
          </cell>
          <cell r="Q200"/>
          <cell r="R200"/>
          <cell r="S200" t="str">
            <v>Missing data for 1995 &amp; 1998.</v>
          </cell>
          <cell r="T200" t="e">
            <v>#DIV/0!</v>
          </cell>
          <cell r="U200" t="e">
            <v>#DIV/0!</v>
          </cell>
          <cell r="V200"/>
          <cell r="W200" t="str">
            <v>NI</v>
          </cell>
        </row>
        <row r="201">
          <cell r="C201" t="str">
            <v>ANGORA CREEK_Coho</v>
          </cell>
          <cell r="D201" t="str">
            <v>No</v>
          </cell>
          <cell r="E201" t="str">
            <v>No</v>
          </cell>
          <cell r="F201">
            <v>24</v>
          </cell>
          <cell r="G201" t="str">
            <v>ANGORA CREEK</v>
          </cell>
          <cell r="H201" t="str">
            <v>Coho</v>
          </cell>
          <cell r="I201"/>
          <cell r="J201"/>
          <cell r="K201">
            <v>5</v>
          </cell>
          <cell r="L201">
            <v>6</v>
          </cell>
          <cell r="M201">
            <v>6</v>
          </cell>
          <cell r="N201">
            <v>171.61592846293161</v>
          </cell>
          <cell r="O201">
            <v>575</v>
          </cell>
          <cell r="P201">
            <v>158.87273298704775</v>
          </cell>
          <cell r="Q201"/>
          <cell r="R201"/>
          <cell r="S201" t="str">
            <v>Missing data for 1995 &amp; 1998.</v>
          </cell>
          <cell r="T201" t="e">
            <v>#DIV/0!</v>
          </cell>
          <cell r="U201">
            <v>388.5</v>
          </cell>
          <cell r="V201"/>
          <cell r="W201" t="str">
            <v>NI</v>
          </cell>
        </row>
        <row r="202">
          <cell r="C202" t="str">
            <v>ATLEO RIVER_Chum</v>
          </cell>
          <cell r="D202" t="str">
            <v>No</v>
          </cell>
          <cell r="E202" t="str">
            <v>No</v>
          </cell>
          <cell r="F202">
            <v>24</v>
          </cell>
          <cell r="G202" t="str">
            <v>ATLEO RIVER</v>
          </cell>
          <cell r="H202" t="str">
            <v>Chum</v>
          </cell>
          <cell r="I202"/>
          <cell r="J202"/>
          <cell r="K202">
            <v>4</v>
          </cell>
          <cell r="L202">
            <v>5</v>
          </cell>
          <cell r="M202">
            <v>5</v>
          </cell>
          <cell r="N202">
            <v>1164.0349384296394</v>
          </cell>
          <cell r="O202">
            <v>75000</v>
          </cell>
          <cell r="P202">
            <v>6444.9013522668865</v>
          </cell>
          <cell r="Q202"/>
          <cell r="R202"/>
          <cell r="S202" t="str">
            <v>Chum is the target species. Missing escapement estimate for 1995. Last time stream was surveyed was in 2002.</v>
          </cell>
          <cell r="T202">
            <v>110.5</v>
          </cell>
          <cell r="U202">
            <v>118.8</v>
          </cell>
          <cell r="V202"/>
          <cell r="W202" t="str">
            <v>NI</v>
          </cell>
        </row>
        <row r="203">
          <cell r="C203" t="str">
            <v>ATLEO RIVER_Coho</v>
          </cell>
          <cell r="D203" t="str">
            <v>No</v>
          </cell>
          <cell r="E203" t="str">
            <v>No</v>
          </cell>
          <cell r="F203">
            <v>24</v>
          </cell>
          <cell r="G203" t="str">
            <v>ATLEO RIVER</v>
          </cell>
          <cell r="H203" t="str">
            <v>Coho</v>
          </cell>
          <cell r="I203"/>
          <cell r="J203"/>
          <cell r="K203">
            <v>4</v>
          </cell>
          <cell r="L203">
            <v>5</v>
          </cell>
          <cell r="M203">
            <v>2</v>
          </cell>
          <cell r="N203">
            <v>165.22711641858305</v>
          </cell>
          <cell r="O203">
            <v>750</v>
          </cell>
          <cell r="P203">
            <v>216.40051155349028</v>
          </cell>
          <cell r="Q203"/>
          <cell r="R203"/>
          <cell r="S203" t="str">
            <v>Chum is the target species. Missing escapement estimate for 1995. Last time stream was surveyed was in 2002.</v>
          </cell>
          <cell r="T203">
            <v>163</v>
          </cell>
          <cell r="U203">
            <v>255.8</v>
          </cell>
          <cell r="V203"/>
          <cell r="W203" t="str">
            <v>NI</v>
          </cell>
        </row>
        <row r="204">
          <cell r="C204" t="str">
            <v>BAWDEN CREEK_Chum</v>
          </cell>
          <cell r="D204" t="str">
            <v>No</v>
          </cell>
          <cell r="E204" t="str">
            <v>No</v>
          </cell>
          <cell r="F204">
            <v>24</v>
          </cell>
          <cell r="G204" t="str">
            <v>BAWDEN CREEK</v>
          </cell>
          <cell r="H204" t="str">
            <v>Chum</v>
          </cell>
          <cell r="I204"/>
          <cell r="J204"/>
          <cell r="K204">
            <v>4</v>
          </cell>
          <cell r="L204">
            <v>7</v>
          </cell>
          <cell r="M204">
            <v>6</v>
          </cell>
          <cell r="N204">
            <v>330.50517107063638</v>
          </cell>
          <cell r="O204">
            <v>15000</v>
          </cell>
          <cell r="P204">
            <v>1696.6234336158516</v>
          </cell>
          <cell r="Q204"/>
          <cell r="R204"/>
          <cell r="S204" t="str">
            <v>Chum is the target species. Missing escapement data from 1999. Last time stream was surveyed was in 2002.</v>
          </cell>
          <cell r="T204">
            <v>2</v>
          </cell>
          <cell r="U204">
            <v>2</v>
          </cell>
          <cell r="V204"/>
          <cell r="W204" t="str">
            <v>NI</v>
          </cell>
        </row>
        <row r="205">
          <cell r="C205" t="str">
            <v>BAWDEN CREEK_Coho</v>
          </cell>
          <cell r="D205" t="str">
            <v>No</v>
          </cell>
          <cell r="E205" t="str">
            <v>No</v>
          </cell>
          <cell r="F205">
            <v>24</v>
          </cell>
          <cell r="G205" t="str">
            <v>BAWDEN CREEK</v>
          </cell>
          <cell r="H205" t="str">
            <v>Coho</v>
          </cell>
          <cell r="I205"/>
          <cell r="J205"/>
          <cell r="K205">
            <v>4</v>
          </cell>
          <cell r="L205">
            <v>7</v>
          </cell>
          <cell r="M205">
            <v>1</v>
          </cell>
          <cell r="N205">
            <v>28</v>
          </cell>
          <cell r="O205">
            <v>200</v>
          </cell>
          <cell r="P205">
            <v>71.496451790023755</v>
          </cell>
          <cell r="Q205"/>
          <cell r="R205"/>
          <cell r="S205" t="str">
            <v>Chum is the target species. Missing escapement data from 1999. Last time stream was surveyed was in 2002.</v>
          </cell>
          <cell r="T205" t="e">
            <v>#DIV/0!</v>
          </cell>
          <cell r="U205" t="e">
            <v>#DIV/0!</v>
          </cell>
          <cell r="V205"/>
          <cell r="W205" t="str">
            <v>NI</v>
          </cell>
        </row>
        <row r="206">
          <cell r="C206" t="str">
            <v>BEDINGFIELD BAY CREEK_Chum</v>
          </cell>
          <cell r="D206" t="str">
            <v>No</v>
          </cell>
          <cell r="E206" t="str">
            <v>No</v>
          </cell>
          <cell r="F206">
            <v>24</v>
          </cell>
          <cell r="G206" t="str">
            <v>BEDINGFIELD BAY CREEK</v>
          </cell>
          <cell r="H206" t="str">
            <v>Chum</v>
          </cell>
          <cell r="I206"/>
          <cell r="J206"/>
          <cell r="K206">
            <v>5</v>
          </cell>
          <cell r="L206">
            <v>1</v>
          </cell>
          <cell r="M206">
            <v>1</v>
          </cell>
          <cell r="N206" t="e">
            <v>#NUM!</v>
          </cell>
          <cell r="O206">
            <v>40</v>
          </cell>
          <cell r="P206">
            <v>40</v>
          </cell>
          <cell r="Q206"/>
          <cell r="R206"/>
          <cell r="S206" t="str">
            <v>Only one survey in 1998 - AP entered as the estimate.</v>
          </cell>
          <cell r="T206" t="e">
            <v>#DIV/0!</v>
          </cell>
          <cell r="U206" t="e">
            <v>#DIV/0!</v>
          </cell>
          <cell r="V206"/>
          <cell r="W206" t="str">
            <v>NI</v>
          </cell>
        </row>
        <row r="207">
          <cell r="C207" t="str">
            <v>BEDINGFIELD BAY CREEK_Coho</v>
          </cell>
          <cell r="D207" t="str">
            <v>No</v>
          </cell>
          <cell r="E207" t="str">
            <v>No</v>
          </cell>
          <cell r="F207">
            <v>24</v>
          </cell>
          <cell r="G207" t="str">
            <v>BEDINGFIELD BAY CREEK</v>
          </cell>
          <cell r="H207" t="str">
            <v>Coho</v>
          </cell>
          <cell r="I207"/>
          <cell r="J207"/>
          <cell r="K207">
            <v>5</v>
          </cell>
          <cell r="L207">
            <v>1</v>
          </cell>
          <cell r="M207"/>
          <cell r="N207" t="e">
            <v>#NUM!</v>
          </cell>
          <cell r="O207">
            <v>0</v>
          </cell>
          <cell r="P207" t="e">
            <v>#NUM!</v>
          </cell>
          <cell r="Q207"/>
          <cell r="R207"/>
          <cell r="S207" t="str">
            <v>Only one survey in 1998 - No coho observed.</v>
          </cell>
          <cell r="T207" t="e">
            <v>#DIV/0!</v>
          </cell>
          <cell r="U207" t="e">
            <v>#DIV/0!</v>
          </cell>
          <cell r="V207"/>
          <cell r="W207" t="str">
            <v>NI</v>
          </cell>
        </row>
        <row r="208">
          <cell r="C208" t="str">
            <v>BEDWELL/URSUS_Chinook</v>
          </cell>
          <cell r="D208" t="str">
            <v>No</v>
          </cell>
          <cell r="E208" t="str">
            <v>Yes</v>
          </cell>
          <cell r="F208">
            <v>24</v>
          </cell>
          <cell r="G208" t="str">
            <v>BEDWELL/URSUS</v>
          </cell>
          <cell r="H208" t="str">
            <v>Chinook</v>
          </cell>
          <cell r="I208"/>
          <cell r="J208"/>
          <cell r="K208">
            <v>3</v>
          </cell>
          <cell r="L208">
            <v>11</v>
          </cell>
          <cell r="M208">
            <v>11</v>
          </cell>
          <cell r="N208">
            <v>152.49860249605658</v>
          </cell>
          <cell r="O208">
            <v>750</v>
          </cell>
          <cell r="P208">
            <v>67.305731044978089</v>
          </cell>
          <cell r="Q208" t="str">
            <v>C.  Other systems surveyed extensively since 1995, but due to lack of historic info, not included in expanded group (B)</v>
          </cell>
          <cell r="R208"/>
          <cell r="S208" t="str">
            <v>Estimate includes both the Bedwell River and the Ursus Creek.   Average Esc from 1995-2005 from file: NEW ESCAPEMENT INDEX.XLS</v>
          </cell>
          <cell r="T208">
            <v>319.25</v>
          </cell>
          <cell r="U208">
            <v>441</v>
          </cell>
          <cell r="V208"/>
          <cell r="W208">
            <v>113</v>
          </cell>
        </row>
        <row r="209">
          <cell r="C209" t="str">
            <v>BEDWELL/URSUS_Chum</v>
          </cell>
          <cell r="D209" t="str">
            <v>No</v>
          </cell>
          <cell r="E209" t="str">
            <v>No</v>
          </cell>
          <cell r="F209">
            <v>24</v>
          </cell>
          <cell r="G209" t="str">
            <v>BEDWELL/URSUS</v>
          </cell>
          <cell r="H209" t="str">
            <v>Chum</v>
          </cell>
          <cell r="I209"/>
          <cell r="J209"/>
          <cell r="K209">
            <v>3</v>
          </cell>
          <cell r="L209">
            <v>11</v>
          </cell>
          <cell r="M209">
            <v>11</v>
          </cell>
          <cell r="N209">
            <v>2599.3122342795432</v>
          </cell>
          <cell r="O209">
            <v>8111</v>
          </cell>
          <cell r="P209">
            <v>914.8729152444439</v>
          </cell>
          <cell r="Q209" t="str">
            <v>C.  Other systems surveyed extensively since 1995, but due to lack of historic info, not included in expanded group (B)</v>
          </cell>
          <cell r="R209"/>
          <cell r="S209" t="str">
            <v>Estimate includes both the Bedwell River and the Ursus Creek.   Average Esc from 1995-2005 from file: NEW ESCAPEMENT INDEX.XLS</v>
          </cell>
          <cell r="T209">
            <v>1962</v>
          </cell>
          <cell r="U209">
            <v>2981.5833333333335</v>
          </cell>
          <cell r="V209"/>
          <cell r="W209">
            <v>2040</v>
          </cell>
        </row>
        <row r="210">
          <cell r="C210" t="str">
            <v>BEDWELL/URSUS_Coho</v>
          </cell>
          <cell r="D210" t="str">
            <v>No</v>
          </cell>
          <cell r="E210" t="str">
            <v>No</v>
          </cell>
          <cell r="F210">
            <v>24</v>
          </cell>
          <cell r="G210" t="str">
            <v>BEDWELL/URSUS</v>
          </cell>
          <cell r="H210" t="str">
            <v>Coho</v>
          </cell>
          <cell r="I210"/>
          <cell r="J210"/>
          <cell r="K210">
            <v>3</v>
          </cell>
          <cell r="L210">
            <v>11</v>
          </cell>
          <cell r="M210">
            <v>11</v>
          </cell>
          <cell r="N210">
            <v>1224.0389479764367</v>
          </cell>
          <cell r="O210">
            <v>3689</v>
          </cell>
          <cell r="P210">
            <v>1224.0389479764367</v>
          </cell>
          <cell r="Q210" t="str">
            <v>C.  Other systems surveyed extensively since 1995, but due to lack of historic info, not included in expanded group (B)</v>
          </cell>
          <cell r="R210"/>
          <cell r="S210" t="str">
            <v>Estimate includes both the Bedwell River and the Ursus Creek.   Average Esc from 1995-2005 from file: NEW ESCAPEMENT INDEX.XLS</v>
          </cell>
          <cell r="T210">
            <v>1001.75</v>
          </cell>
          <cell r="U210">
            <v>1351.8333333333333</v>
          </cell>
          <cell r="V210"/>
          <cell r="W210">
            <v>868</v>
          </cell>
        </row>
        <row r="211">
          <cell r="C211" t="str">
            <v>BEDWELL/URSUS_Pink</v>
          </cell>
          <cell r="D211" t="str">
            <v>No</v>
          </cell>
          <cell r="E211" t="str">
            <v>No</v>
          </cell>
          <cell r="F211">
            <v>24</v>
          </cell>
          <cell r="G211" t="str">
            <v>BEDWELL/URSUS</v>
          </cell>
          <cell r="H211" t="str">
            <v>Pink</v>
          </cell>
          <cell r="I211"/>
          <cell r="J211"/>
          <cell r="K211">
            <v>3</v>
          </cell>
          <cell r="L211">
            <v>11</v>
          </cell>
          <cell r="M211">
            <v>10</v>
          </cell>
          <cell r="N211">
            <v>10.273741542314243</v>
          </cell>
          <cell r="O211">
            <v>8500</v>
          </cell>
          <cell r="P211">
            <v>49.374779310924353</v>
          </cell>
          <cell r="Q211" t="str">
            <v>C.  Other systems surveyed extensively since 1995, but due to lack of historic info, not included in expanded group (B)</v>
          </cell>
          <cell r="R211"/>
          <cell r="S211" t="str">
            <v>Estimate includes both the Bedwell River and the Ursus Creek.</v>
          </cell>
          <cell r="T211">
            <v>9</v>
          </cell>
          <cell r="U211">
            <v>40.888888888888886</v>
          </cell>
          <cell r="V211"/>
          <cell r="W211">
            <v>13</v>
          </cell>
        </row>
        <row r="212">
          <cell r="C212" t="str">
            <v>BEDWELL/URSUS_Sockeye</v>
          </cell>
          <cell r="D212" t="str">
            <v>No</v>
          </cell>
          <cell r="E212" t="str">
            <v>No</v>
          </cell>
          <cell r="F212">
            <v>24</v>
          </cell>
          <cell r="G212" t="str">
            <v>BEDWELL/URSUS</v>
          </cell>
          <cell r="H212" t="str">
            <v>Sockeye</v>
          </cell>
          <cell r="I212"/>
          <cell r="J212"/>
          <cell r="K212">
            <v>3</v>
          </cell>
          <cell r="L212">
            <v>11</v>
          </cell>
          <cell r="M212">
            <v>11</v>
          </cell>
          <cell r="N212">
            <v>259.73210754889919</v>
          </cell>
          <cell r="O212">
            <v>1413</v>
          </cell>
          <cell r="P212">
            <v>259.73210754889919</v>
          </cell>
          <cell r="Q212" t="str">
            <v>C.  Other systems surveyed extensively since 1995, but due to lack of historic info, not included in expanded group (B)</v>
          </cell>
          <cell r="R212"/>
          <cell r="S212" t="str">
            <v>Estimate includes both the Bedwell River and the Ursus Creek.</v>
          </cell>
          <cell r="T212">
            <v>137</v>
          </cell>
          <cell r="U212">
            <v>332.58333333333331</v>
          </cell>
          <cell r="V212"/>
          <cell r="W212">
            <v>153</v>
          </cell>
        </row>
        <row r="213">
          <cell r="C213" t="str">
            <v>BULSON CREEK_Chum</v>
          </cell>
          <cell r="D213" t="str">
            <v>No</v>
          </cell>
          <cell r="E213" t="str">
            <v>No</v>
          </cell>
          <cell r="F213">
            <v>24</v>
          </cell>
          <cell r="G213" t="str">
            <v>BULSON CREEK</v>
          </cell>
          <cell r="H213" t="str">
            <v>Chum</v>
          </cell>
          <cell r="I213"/>
          <cell r="J213"/>
          <cell r="K213">
            <v>4</v>
          </cell>
          <cell r="L213">
            <v>5</v>
          </cell>
          <cell r="M213">
            <v>4</v>
          </cell>
          <cell r="N213">
            <v>116.34833857252811</v>
          </cell>
          <cell r="O213">
            <v>700</v>
          </cell>
          <cell r="P213">
            <v>98.160652394051439</v>
          </cell>
          <cell r="Q213"/>
          <cell r="R213"/>
          <cell r="S213" t="str">
            <v>Chum is the target species.  2001 was the last time the steam was surveyed.  Missing 1999 date.</v>
          </cell>
          <cell r="T213" t="e">
            <v>#DIV/0!</v>
          </cell>
          <cell r="U213" t="e">
            <v>#DIV/0!</v>
          </cell>
          <cell r="V213"/>
          <cell r="W213" t="str">
            <v>NI</v>
          </cell>
        </row>
        <row r="214">
          <cell r="C214" t="str">
            <v>BULSON CREEK_Coho</v>
          </cell>
          <cell r="D214" t="str">
            <v>No</v>
          </cell>
          <cell r="E214" t="str">
            <v>No</v>
          </cell>
          <cell r="F214">
            <v>24</v>
          </cell>
          <cell r="G214" t="str">
            <v>BULSON CREEK</v>
          </cell>
          <cell r="H214" t="str">
            <v>Coho</v>
          </cell>
          <cell r="I214"/>
          <cell r="J214"/>
          <cell r="K214">
            <v>4</v>
          </cell>
          <cell r="L214">
            <v>5</v>
          </cell>
          <cell r="M214">
            <v>1</v>
          </cell>
          <cell r="N214" t="e">
            <v>#NUM!</v>
          </cell>
          <cell r="O214">
            <v>50</v>
          </cell>
          <cell r="P214">
            <v>50</v>
          </cell>
          <cell r="Q214"/>
          <cell r="R214"/>
          <cell r="S214" t="str">
            <v>Chum is the target species.  2001 was the last time the steam was surveyed.  Missing 1999 date.</v>
          </cell>
          <cell r="T214" t="e">
            <v>#DIV/0!</v>
          </cell>
          <cell r="U214" t="e">
            <v>#DIV/0!</v>
          </cell>
          <cell r="V214"/>
          <cell r="W214" t="str">
            <v>NI</v>
          </cell>
        </row>
        <row r="215">
          <cell r="C215" t="str">
            <v>CECILIA CREEK_Chum</v>
          </cell>
          <cell r="D215" t="str">
            <v>No</v>
          </cell>
          <cell r="E215" t="str">
            <v>No</v>
          </cell>
          <cell r="F215">
            <v>24</v>
          </cell>
          <cell r="G215" t="str">
            <v>CECILIA CREEK</v>
          </cell>
          <cell r="H215" t="str">
            <v>Chum</v>
          </cell>
          <cell r="I215"/>
          <cell r="J215"/>
          <cell r="K215">
            <v>4</v>
          </cell>
          <cell r="L215">
            <v>6</v>
          </cell>
          <cell r="M215">
            <v>6</v>
          </cell>
          <cell r="N215">
            <v>139.16165654610072</v>
          </cell>
          <cell r="O215">
            <v>1400</v>
          </cell>
          <cell r="P215">
            <v>181.82028038226611</v>
          </cell>
          <cell r="Q215"/>
          <cell r="R215"/>
          <cell r="S215" t="str">
            <v>2001 was the last time this stream was surveyed.</v>
          </cell>
          <cell r="T215" t="e">
            <v>#DIV/0!</v>
          </cell>
          <cell r="U215" t="e">
            <v>#DIV/0!</v>
          </cell>
          <cell r="V215"/>
          <cell r="W215" t="str">
            <v>NI</v>
          </cell>
        </row>
        <row r="216">
          <cell r="C216" t="str">
            <v>CECILIA CREEK_Coho</v>
          </cell>
          <cell r="D216" t="str">
            <v>No</v>
          </cell>
          <cell r="E216" t="str">
            <v>No</v>
          </cell>
          <cell r="F216">
            <v>24</v>
          </cell>
          <cell r="G216" t="str">
            <v>CECILIA CREEK</v>
          </cell>
          <cell r="H216" t="str">
            <v>Coho</v>
          </cell>
          <cell r="I216"/>
          <cell r="J216"/>
          <cell r="K216">
            <v>4</v>
          </cell>
          <cell r="L216">
            <v>6</v>
          </cell>
          <cell r="M216"/>
          <cell r="N216">
            <v>20</v>
          </cell>
          <cell r="O216">
            <v>750</v>
          </cell>
          <cell r="P216">
            <v>124.57309396155173</v>
          </cell>
          <cell r="Q216"/>
          <cell r="R216"/>
          <cell r="S216" t="str">
            <v>2001 was the last time this stream was surveyed.</v>
          </cell>
          <cell r="T216" t="e">
            <v>#DIV/0!</v>
          </cell>
          <cell r="U216" t="e">
            <v>#DIV/0!</v>
          </cell>
          <cell r="V216"/>
          <cell r="W216" t="str">
            <v>NI</v>
          </cell>
        </row>
        <row r="217">
          <cell r="C217" t="str">
            <v>CLAYOQUOT RIVER_Chinook</v>
          </cell>
          <cell r="D217" t="str">
            <v>No</v>
          </cell>
          <cell r="E217" t="str">
            <v>No</v>
          </cell>
          <cell r="F217">
            <v>24</v>
          </cell>
          <cell r="G217" t="str">
            <v>CLAYOQUOT RIVER</v>
          </cell>
          <cell r="H217" t="str">
            <v>Chinook</v>
          </cell>
          <cell r="I217"/>
          <cell r="J217"/>
          <cell r="K217">
            <v>3</v>
          </cell>
          <cell r="L217">
            <v>7</v>
          </cell>
          <cell r="M217">
            <v>6</v>
          </cell>
          <cell r="N217">
            <v>8.0990778145913822</v>
          </cell>
          <cell r="O217">
            <v>22</v>
          </cell>
          <cell r="P217">
            <v>8.0990778145913822</v>
          </cell>
          <cell r="Q217"/>
          <cell r="R217"/>
          <cell r="S217" t="str">
            <v>The estimates include both the Upper and Lower River. Missing data for 3 years (1997, 1998, &amp; 2004).</v>
          </cell>
          <cell r="T217">
            <v>2</v>
          </cell>
          <cell r="U217">
            <v>4</v>
          </cell>
          <cell r="V217"/>
          <cell r="W217" t="str">
            <v>NO</v>
          </cell>
        </row>
        <row r="218">
          <cell r="C218" t="str">
            <v>CLAYOQUOT RIVER_Chum</v>
          </cell>
          <cell r="D218" t="str">
            <v>No</v>
          </cell>
          <cell r="E218" t="str">
            <v>No</v>
          </cell>
          <cell r="F218">
            <v>24</v>
          </cell>
          <cell r="G218" t="str">
            <v>CLAYOQUOT RIVER</v>
          </cell>
          <cell r="H218" t="str">
            <v>Chum</v>
          </cell>
          <cell r="I218"/>
          <cell r="J218"/>
          <cell r="K218">
            <v>3</v>
          </cell>
          <cell r="L218">
            <v>7</v>
          </cell>
          <cell r="M218">
            <v>5</v>
          </cell>
          <cell r="N218">
            <v>5.0914597900436611</v>
          </cell>
          <cell r="O218">
            <v>16</v>
          </cell>
          <cell r="P218">
            <v>5.0914597900436611</v>
          </cell>
          <cell r="Q218"/>
          <cell r="R218"/>
          <cell r="S218" t="str">
            <v>The estimates include both the Upper and Lower River. Missing data for 3 years (1997, 1998, &amp; 2004).</v>
          </cell>
          <cell r="T218" t="e">
            <v>#DIV/0!</v>
          </cell>
          <cell r="U218" t="e">
            <v>#DIV/0!</v>
          </cell>
          <cell r="V218"/>
          <cell r="W218" t="str">
            <v>NO</v>
          </cell>
        </row>
        <row r="219">
          <cell r="C219" t="str">
            <v>CLAYOQUOT RIVER_Coho</v>
          </cell>
          <cell r="D219" t="str">
            <v>No</v>
          </cell>
          <cell r="E219" t="str">
            <v>No</v>
          </cell>
          <cell r="F219">
            <v>24</v>
          </cell>
          <cell r="G219" t="str">
            <v>CLAYOQUOT RIVER</v>
          </cell>
          <cell r="H219" t="str">
            <v>Coho</v>
          </cell>
          <cell r="I219"/>
          <cell r="J219"/>
          <cell r="K219">
            <v>3</v>
          </cell>
          <cell r="L219">
            <v>7</v>
          </cell>
          <cell r="M219">
            <v>6</v>
          </cell>
          <cell r="N219">
            <v>1204.2771027570654</v>
          </cell>
          <cell r="O219">
            <v>2299</v>
          </cell>
          <cell r="P219">
            <v>1204.2771027570654</v>
          </cell>
          <cell r="Q219"/>
          <cell r="R219"/>
          <cell r="S219" t="str">
            <v>The estimates include both the Upper and Lower River. Missing data for 3 years (1997, 1998, &amp; 2004).</v>
          </cell>
          <cell r="T219">
            <v>924</v>
          </cell>
          <cell r="U219">
            <v>758.66666666666663</v>
          </cell>
          <cell r="V219"/>
          <cell r="W219">
            <v>657</v>
          </cell>
        </row>
        <row r="220">
          <cell r="C220" t="str">
            <v>CLAYOQUOT RIVER_Sockeye</v>
          </cell>
          <cell r="D220" t="str">
            <v>No</v>
          </cell>
          <cell r="E220" t="str">
            <v>No</v>
          </cell>
          <cell r="F220">
            <v>24</v>
          </cell>
          <cell r="G220" t="str">
            <v>CLAYOQUOT RIVER</v>
          </cell>
          <cell r="H220" t="str">
            <v>Sockeye</v>
          </cell>
          <cell r="I220"/>
          <cell r="J220"/>
          <cell r="K220">
            <v>3</v>
          </cell>
          <cell r="L220">
            <v>7</v>
          </cell>
          <cell r="M220">
            <v>7</v>
          </cell>
          <cell r="N220">
            <v>1568.3102149660178</v>
          </cell>
          <cell r="O220">
            <v>5594</v>
          </cell>
          <cell r="P220">
            <v>1568.3102149660178</v>
          </cell>
          <cell r="Q220"/>
          <cell r="R220"/>
          <cell r="S220" t="str">
            <v>The estimates include both the Upper and Lower River. Missing data for 3 years (1997, 1998, &amp; 2004).</v>
          </cell>
          <cell r="T220">
            <v>1970</v>
          </cell>
          <cell r="U220">
            <v>1567.3333333333333</v>
          </cell>
          <cell r="V220"/>
          <cell r="W220">
            <v>1799</v>
          </cell>
        </row>
        <row r="221">
          <cell r="C221" t="str">
            <v>CLOSE CREEKS (2)_Chum</v>
          </cell>
          <cell r="D221" t="str">
            <v>No</v>
          </cell>
          <cell r="E221" t="str">
            <v>No</v>
          </cell>
          <cell r="F221">
            <v>24</v>
          </cell>
          <cell r="G221" t="str">
            <v>CLOSE CREEKS (2)</v>
          </cell>
          <cell r="H221" t="str">
            <v>Chum</v>
          </cell>
          <cell r="I221"/>
          <cell r="J221"/>
          <cell r="K221">
            <v>5</v>
          </cell>
          <cell r="L221">
            <v>2</v>
          </cell>
          <cell r="M221">
            <v>2</v>
          </cell>
          <cell r="N221">
            <v>139.64240043768942</v>
          </cell>
          <cell r="O221">
            <v>310</v>
          </cell>
          <cell r="P221">
            <v>134.54045463832571</v>
          </cell>
          <cell r="Q221"/>
          <cell r="R221"/>
          <cell r="S221" t="str">
            <v>Chum is the target species. Missing data for 3 years (1997, 1998 &amp; 1999). 1996 was the last time this stream was inspected.</v>
          </cell>
          <cell r="T221" t="e">
            <v>#DIV/0!</v>
          </cell>
          <cell r="U221" t="e">
            <v>#DIV/0!</v>
          </cell>
          <cell r="V221"/>
          <cell r="W221" t="str">
            <v>NI</v>
          </cell>
        </row>
        <row r="222">
          <cell r="C222" t="str">
            <v>CLOSE CREEKS (2)_Coho</v>
          </cell>
          <cell r="D222" t="str">
            <v>No</v>
          </cell>
          <cell r="E222" t="str">
            <v>No</v>
          </cell>
          <cell r="F222">
            <v>24</v>
          </cell>
          <cell r="G222" t="str">
            <v>CLOSE CREEKS (2)</v>
          </cell>
          <cell r="H222" t="str">
            <v>Coho</v>
          </cell>
          <cell r="I222"/>
          <cell r="J222"/>
          <cell r="K222">
            <v>5</v>
          </cell>
          <cell r="L222">
            <v>2</v>
          </cell>
          <cell r="M222">
            <v>1</v>
          </cell>
          <cell r="N222">
            <v>1</v>
          </cell>
          <cell r="O222">
            <v>1</v>
          </cell>
          <cell r="P222">
            <v>1</v>
          </cell>
          <cell r="Q222"/>
          <cell r="R222"/>
          <cell r="S222" t="str">
            <v>Chum is the target species. Missing data for 3 years (1997, 1998 &amp; 1999). 1996 was the last time this stream was inspected.</v>
          </cell>
          <cell r="T222" t="e">
            <v>#DIV/0!</v>
          </cell>
          <cell r="U222" t="e">
            <v>#DIV/0!</v>
          </cell>
          <cell r="V222"/>
          <cell r="W222" t="str">
            <v>NI</v>
          </cell>
        </row>
        <row r="223">
          <cell r="C223" t="str">
            <v>COHO CREEK_Chum</v>
          </cell>
          <cell r="D223" t="str">
            <v>No</v>
          </cell>
          <cell r="E223" t="str">
            <v>No</v>
          </cell>
          <cell r="F223">
            <v>24</v>
          </cell>
          <cell r="G223" t="str">
            <v>COHO CREEK</v>
          </cell>
          <cell r="H223" t="str">
            <v>Chum</v>
          </cell>
          <cell r="I223"/>
          <cell r="J223"/>
          <cell r="K223"/>
          <cell r="L223"/>
          <cell r="M223"/>
          <cell r="N223"/>
          <cell r="O223"/>
          <cell r="P223"/>
          <cell r="Q223"/>
          <cell r="R223"/>
          <cell r="S223"/>
          <cell r="T223" t="e">
            <v>#DIV/0!</v>
          </cell>
          <cell r="U223" t="e">
            <v>#DIV/0!</v>
          </cell>
          <cell r="V223"/>
          <cell r="W223" t="str">
            <v>NI</v>
          </cell>
        </row>
        <row r="224">
          <cell r="C224" t="str">
            <v>COHO CREEK_Coho</v>
          </cell>
          <cell r="D224" t="str">
            <v>No</v>
          </cell>
          <cell r="E224" t="str">
            <v>No</v>
          </cell>
          <cell r="F224">
            <v>24</v>
          </cell>
          <cell r="G224" t="str">
            <v>COHO CREEK</v>
          </cell>
          <cell r="H224" t="str">
            <v>Coho</v>
          </cell>
          <cell r="I224"/>
          <cell r="J224"/>
          <cell r="K224"/>
          <cell r="L224"/>
          <cell r="M224"/>
          <cell r="N224"/>
          <cell r="O224"/>
          <cell r="P224"/>
          <cell r="Q224"/>
          <cell r="R224"/>
          <cell r="S224"/>
          <cell r="T224" t="e">
            <v>#DIV/0!</v>
          </cell>
          <cell r="U224">
            <v>17</v>
          </cell>
          <cell r="V224"/>
          <cell r="W224" t="str">
            <v>NI</v>
          </cell>
        </row>
        <row r="225">
          <cell r="C225" t="str">
            <v>COLD CREEK_Chum</v>
          </cell>
          <cell r="D225" t="str">
            <v>No</v>
          </cell>
          <cell r="E225" t="str">
            <v>No</v>
          </cell>
          <cell r="F225">
            <v>24</v>
          </cell>
          <cell r="G225" t="str">
            <v>COLD CREEK</v>
          </cell>
          <cell r="H225" t="str">
            <v>Chum</v>
          </cell>
          <cell r="I225"/>
          <cell r="J225"/>
          <cell r="K225">
            <v>5</v>
          </cell>
          <cell r="L225">
            <v>4</v>
          </cell>
          <cell r="M225">
            <v>0</v>
          </cell>
          <cell r="N225" t="e">
            <v>#NUM!</v>
          </cell>
          <cell r="O225">
            <v>0</v>
          </cell>
          <cell r="P225" t="e">
            <v>#NUM!</v>
          </cell>
          <cell r="Q225"/>
          <cell r="R225"/>
          <cell r="S225" t="str">
            <v>Missing data for 4 years (1995, 1997, 1998 &amp; 2000).</v>
          </cell>
          <cell r="T225" t="e">
            <v>#DIV/0!</v>
          </cell>
          <cell r="U225" t="e">
            <v>#DIV/0!</v>
          </cell>
          <cell r="V225"/>
          <cell r="W225" t="str">
            <v>NI</v>
          </cell>
        </row>
        <row r="226">
          <cell r="C226" t="str">
            <v>COLD CREEK_Coho</v>
          </cell>
          <cell r="D226" t="str">
            <v>No</v>
          </cell>
          <cell r="E226" t="str">
            <v>No</v>
          </cell>
          <cell r="F226">
            <v>24</v>
          </cell>
          <cell r="G226" t="str">
            <v>COLD CREEK</v>
          </cell>
          <cell r="H226" t="str">
            <v>Coho</v>
          </cell>
          <cell r="I226"/>
          <cell r="J226"/>
          <cell r="K226">
            <v>5</v>
          </cell>
          <cell r="L226">
            <v>4</v>
          </cell>
          <cell r="M226">
            <v>3</v>
          </cell>
          <cell r="N226">
            <v>8.0617806492788979</v>
          </cell>
          <cell r="O226">
            <v>50</v>
          </cell>
          <cell r="P226">
            <v>15.481542968736774</v>
          </cell>
          <cell r="Q226"/>
          <cell r="R226"/>
          <cell r="S226" t="str">
            <v>Missing data for 4 years (1995, 1997, 1998 &amp; 2000).</v>
          </cell>
          <cell r="T226">
            <v>2</v>
          </cell>
          <cell r="U226">
            <v>12</v>
          </cell>
          <cell r="V226"/>
          <cell r="W226" t="str">
            <v>NI</v>
          </cell>
        </row>
        <row r="227">
          <cell r="C227" t="str">
            <v>COLD CREEK_Sockeye</v>
          </cell>
          <cell r="D227" t="str">
            <v>No</v>
          </cell>
          <cell r="E227" t="str">
            <v>No</v>
          </cell>
          <cell r="F227">
            <v>24</v>
          </cell>
          <cell r="G227" t="str">
            <v>COLD CREEK</v>
          </cell>
          <cell r="H227" t="str">
            <v>Sockeye</v>
          </cell>
          <cell r="I227"/>
          <cell r="J227"/>
          <cell r="K227">
            <v>5</v>
          </cell>
          <cell r="L227">
            <v>4</v>
          </cell>
          <cell r="M227">
            <v>2</v>
          </cell>
          <cell r="N227">
            <v>18.734993995195193</v>
          </cell>
          <cell r="O227">
            <v>7500</v>
          </cell>
          <cell r="P227">
            <v>648.51676273974135</v>
          </cell>
          <cell r="Q227"/>
          <cell r="R227"/>
          <cell r="S227" t="str">
            <v>Missing data for 4 years (1995, 1997, 1998 &amp; 2000).</v>
          </cell>
          <cell r="T227" t="e">
            <v>#DIV/0!</v>
          </cell>
          <cell r="U227" t="e">
            <v>#DIV/0!</v>
          </cell>
          <cell r="V227"/>
          <cell r="W227" t="str">
            <v>NI</v>
          </cell>
        </row>
        <row r="228">
          <cell r="C228" t="str">
            <v>CONE CREEKS (2)_Chum</v>
          </cell>
          <cell r="D228" t="str">
            <v>No</v>
          </cell>
          <cell r="E228" t="str">
            <v>No</v>
          </cell>
          <cell r="F228">
            <v>24</v>
          </cell>
          <cell r="G228" t="str">
            <v>CONE CREEKS (2)</v>
          </cell>
          <cell r="H228" t="str">
            <v>Chum</v>
          </cell>
          <cell r="I228"/>
          <cell r="J228"/>
          <cell r="K228">
            <v>5</v>
          </cell>
          <cell r="L228">
            <v>4</v>
          </cell>
          <cell r="M228">
            <v>4</v>
          </cell>
          <cell r="N228">
            <v>1066.4755002205065</v>
          </cell>
          <cell r="O228">
            <v>3500</v>
          </cell>
          <cell r="P228">
            <v>847.32251786773986</v>
          </cell>
          <cell r="Q228"/>
          <cell r="R228"/>
          <cell r="S228" t="str">
            <v>1997 - 1999 no data. Chum is the target species, 2002 was the last time this stream was surveyed</v>
          </cell>
          <cell r="T228">
            <v>122</v>
          </cell>
          <cell r="U228">
            <v>84.166666666666671</v>
          </cell>
          <cell r="V228"/>
          <cell r="W228">
            <v>356</v>
          </cell>
        </row>
        <row r="229">
          <cell r="C229" t="str">
            <v>CONE CREEKS (2)_Coho</v>
          </cell>
          <cell r="D229" t="str">
            <v>No</v>
          </cell>
          <cell r="E229" t="str">
            <v>No</v>
          </cell>
          <cell r="F229">
            <v>24</v>
          </cell>
          <cell r="G229" t="str">
            <v>CONE CREEKS (2)</v>
          </cell>
          <cell r="H229" t="str">
            <v>Coho</v>
          </cell>
          <cell r="I229"/>
          <cell r="J229"/>
          <cell r="K229">
            <v>5</v>
          </cell>
          <cell r="L229">
            <v>4</v>
          </cell>
          <cell r="M229">
            <v>0</v>
          </cell>
          <cell r="N229" t="e">
            <v>#NUM!</v>
          </cell>
          <cell r="O229">
            <v>0</v>
          </cell>
          <cell r="P229" t="e">
            <v>#NUM!</v>
          </cell>
          <cell r="Q229"/>
          <cell r="R229"/>
          <cell r="S229" t="str">
            <v>1997 - 1999 no data. Chum is the target species, 2002 was the last time this stream was surveyed</v>
          </cell>
          <cell r="T229" t="e">
            <v>#DIV/0!</v>
          </cell>
          <cell r="U229" t="e">
            <v>#DIV/0!</v>
          </cell>
          <cell r="V229"/>
          <cell r="W229" t="str">
            <v>NO</v>
          </cell>
        </row>
        <row r="230">
          <cell r="C230" t="str">
            <v>COW CREEK_Chum</v>
          </cell>
          <cell r="D230" t="str">
            <v>No</v>
          </cell>
          <cell r="E230" t="str">
            <v>No</v>
          </cell>
          <cell r="F230">
            <v>24</v>
          </cell>
          <cell r="G230" t="str">
            <v>COW CREEK</v>
          </cell>
          <cell r="H230" t="str">
            <v>Chum</v>
          </cell>
          <cell r="I230"/>
          <cell r="J230"/>
          <cell r="K230">
            <v>5</v>
          </cell>
          <cell r="L230">
            <v>5</v>
          </cell>
          <cell r="M230">
            <v>5</v>
          </cell>
          <cell r="N230">
            <v>32.008686688809426</v>
          </cell>
          <cell r="O230">
            <v>70</v>
          </cell>
          <cell r="P230">
            <v>32.008686688809426</v>
          </cell>
          <cell r="Q230"/>
          <cell r="R230"/>
          <cell r="S230" t="str">
            <v>No data for 1995. Last time this stream was surveyed was in 2000.</v>
          </cell>
          <cell r="T230">
            <v>9</v>
          </cell>
          <cell r="U230">
            <v>35.4</v>
          </cell>
          <cell r="V230"/>
          <cell r="W230">
            <v>9</v>
          </cell>
        </row>
        <row r="231">
          <cell r="C231" t="str">
            <v>COW CREEK_Coho</v>
          </cell>
          <cell r="D231" t="str">
            <v>No</v>
          </cell>
          <cell r="E231" t="str">
            <v>No</v>
          </cell>
          <cell r="F231">
            <v>24</v>
          </cell>
          <cell r="G231" t="str">
            <v>COW CREEK</v>
          </cell>
          <cell r="H231" t="str">
            <v>Coho</v>
          </cell>
          <cell r="I231"/>
          <cell r="J231"/>
          <cell r="K231">
            <v>5</v>
          </cell>
          <cell r="L231">
            <v>5</v>
          </cell>
          <cell r="M231">
            <v>5</v>
          </cell>
          <cell r="N231">
            <v>86.615361839105276</v>
          </cell>
          <cell r="O231">
            <v>130</v>
          </cell>
          <cell r="P231">
            <v>86.615361839105276</v>
          </cell>
          <cell r="Q231"/>
          <cell r="R231"/>
          <cell r="S231" t="str">
            <v>No data for 1995. Last time this stream was surveyed was in 2000.</v>
          </cell>
          <cell r="T231">
            <v>28</v>
          </cell>
          <cell r="U231">
            <v>70.8</v>
          </cell>
          <cell r="V231"/>
          <cell r="W231">
            <v>28</v>
          </cell>
        </row>
        <row r="232">
          <cell r="C232" t="str">
            <v>CYPRE RIVER_Chinook</v>
          </cell>
          <cell r="D232" t="str">
            <v>No</v>
          </cell>
          <cell r="E232" t="str">
            <v>No</v>
          </cell>
          <cell r="F232">
            <v>24</v>
          </cell>
          <cell r="G232" t="str">
            <v>CYPRE RIVER</v>
          </cell>
          <cell r="H232" t="str">
            <v>Chinook</v>
          </cell>
          <cell r="I232"/>
          <cell r="J232"/>
          <cell r="K232">
            <v>4</v>
          </cell>
          <cell r="L232">
            <v>10</v>
          </cell>
          <cell r="M232">
            <v>10</v>
          </cell>
          <cell r="N232">
            <v>108.2618342479072</v>
          </cell>
          <cell r="O232">
            <v>869</v>
          </cell>
          <cell r="P232">
            <v>59.480169770134275</v>
          </cell>
          <cell r="Q232"/>
          <cell r="R232"/>
          <cell r="S232" t="str">
            <v>Missing 2000 data.</v>
          </cell>
          <cell r="T232">
            <v>103.25</v>
          </cell>
          <cell r="U232">
            <v>972</v>
          </cell>
          <cell r="V232"/>
          <cell r="W232">
            <v>4</v>
          </cell>
        </row>
        <row r="233">
          <cell r="C233" t="str">
            <v>CYPRE RIVER_Chum</v>
          </cell>
          <cell r="D233" t="str">
            <v>No</v>
          </cell>
          <cell r="E233" t="str">
            <v>No</v>
          </cell>
          <cell r="F233">
            <v>24</v>
          </cell>
          <cell r="G233" t="str">
            <v>CYPRE RIVER</v>
          </cell>
          <cell r="H233" t="str">
            <v>Chum</v>
          </cell>
          <cell r="I233"/>
          <cell r="J233"/>
          <cell r="K233">
            <v>4</v>
          </cell>
          <cell r="L233">
            <v>10</v>
          </cell>
          <cell r="M233">
            <v>10</v>
          </cell>
          <cell r="N233">
            <v>2353.0724555797319</v>
          </cell>
          <cell r="O233">
            <v>7500</v>
          </cell>
          <cell r="P233">
            <v>2419.7006195311246</v>
          </cell>
          <cell r="Q233"/>
          <cell r="R233"/>
          <cell r="S233" t="str">
            <v>Missing 2000 data.</v>
          </cell>
          <cell r="T233">
            <v>552</v>
          </cell>
          <cell r="U233">
            <v>1576.1666666666667</v>
          </cell>
          <cell r="V233"/>
          <cell r="W233">
            <v>383</v>
          </cell>
        </row>
        <row r="234">
          <cell r="C234" t="str">
            <v>CYPRE RIVER_Coho</v>
          </cell>
          <cell r="D234" t="str">
            <v>No</v>
          </cell>
          <cell r="E234" t="str">
            <v>No</v>
          </cell>
          <cell r="F234">
            <v>24</v>
          </cell>
          <cell r="G234" t="str">
            <v>CYPRE RIVER</v>
          </cell>
          <cell r="H234" t="str">
            <v>Coho</v>
          </cell>
          <cell r="I234"/>
          <cell r="J234"/>
          <cell r="K234">
            <v>4</v>
          </cell>
          <cell r="L234">
            <v>10</v>
          </cell>
          <cell r="M234">
            <v>10</v>
          </cell>
          <cell r="N234">
            <v>1007.1889666500655</v>
          </cell>
          <cell r="O234">
            <v>3500</v>
          </cell>
          <cell r="P234">
            <v>510.5410414752825</v>
          </cell>
          <cell r="Q234"/>
          <cell r="R234"/>
          <cell r="S234" t="str">
            <v>Missing 2000 data.</v>
          </cell>
          <cell r="T234">
            <v>551.75</v>
          </cell>
          <cell r="U234">
            <v>1036</v>
          </cell>
          <cell r="V234"/>
          <cell r="W234">
            <v>604</v>
          </cell>
        </row>
        <row r="235">
          <cell r="C235" t="str">
            <v>CYPRE RIVER_Pink</v>
          </cell>
          <cell r="D235" t="str">
            <v>No</v>
          </cell>
          <cell r="E235" t="str">
            <v>No</v>
          </cell>
          <cell r="F235">
            <v>24</v>
          </cell>
          <cell r="G235" t="str">
            <v>CYPRE RIVER</v>
          </cell>
          <cell r="H235" t="str">
            <v>Pink</v>
          </cell>
          <cell r="I235"/>
          <cell r="J235"/>
          <cell r="K235">
            <v>4</v>
          </cell>
          <cell r="L235">
            <v>10</v>
          </cell>
          <cell r="M235">
            <v>2</v>
          </cell>
          <cell r="N235">
            <v>1.4422495703074083</v>
          </cell>
          <cell r="O235">
            <v>3500</v>
          </cell>
          <cell r="P235">
            <v>65.45583181004254</v>
          </cell>
          <cell r="Q235"/>
          <cell r="R235"/>
          <cell r="S235" t="str">
            <v>Missing 2000 data.</v>
          </cell>
          <cell r="T235">
            <v>1</v>
          </cell>
          <cell r="U235">
            <v>9.5</v>
          </cell>
          <cell r="V235"/>
          <cell r="W235" t="str">
            <v>AP</v>
          </cell>
        </row>
        <row r="236">
          <cell r="C236" t="str">
            <v>CYPRE RIVER_Sockeye</v>
          </cell>
          <cell r="D236" t="str">
            <v>No</v>
          </cell>
          <cell r="E236" t="str">
            <v>No</v>
          </cell>
          <cell r="F236">
            <v>24</v>
          </cell>
          <cell r="G236" t="str">
            <v>CYPRE RIVER</v>
          </cell>
          <cell r="H236" t="str">
            <v>Sockeye</v>
          </cell>
          <cell r="I236"/>
          <cell r="J236"/>
          <cell r="K236">
            <v>4</v>
          </cell>
          <cell r="L236">
            <v>10</v>
          </cell>
          <cell r="M236">
            <v>5</v>
          </cell>
          <cell r="N236">
            <v>7.0436381117200551</v>
          </cell>
          <cell r="O236">
            <v>40</v>
          </cell>
          <cell r="P236">
            <v>4.82587343561626</v>
          </cell>
          <cell r="Q236"/>
          <cell r="R236"/>
          <cell r="S236" t="str">
            <v>Missing 2000 data.</v>
          </cell>
          <cell r="T236">
            <v>13.333333333333334</v>
          </cell>
          <cell r="U236">
            <v>36</v>
          </cell>
          <cell r="V236"/>
          <cell r="W236" t="str">
            <v>NO</v>
          </cell>
        </row>
        <row r="237">
          <cell r="C237" t="str">
            <v>ENGLISH COVE CREEK_Chum</v>
          </cell>
          <cell r="D237" t="str">
            <v>No</v>
          </cell>
          <cell r="E237" t="str">
            <v>No</v>
          </cell>
          <cell r="F237">
            <v>24</v>
          </cell>
          <cell r="G237" t="str">
            <v>ENGLISH COVE CREEK</v>
          </cell>
          <cell r="H237" t="str">
            <v>Chum</v>
          </cell>
          <cell r="I237"/>
          <cell r="J237"/>
          <cell r="K237"/>
          <cell r="L237"/>
          <cell r="M237"/>
          <cell r="N237"/>
          <cell r="O237"/>
          <cell r="P237"/>
          <cell r="Q237"/>
          <cell r="R237"/>
          <cell r="S237"/>
          <cell r="T237" t="e">
            <v>#DIV/0!</v>
          </cell>
          <cell r="U237" t="e">
            <v>#DIV/0!</v>
          </cell>
          <cell r="V237"/>
          <cell r="W237" t="str">
            <v>NI</v>
          </cell>
        </row>
        <row r="238">
          <cell r="C238" t="str">
            <v>ENGLISH COVE CREEK_Coho</v>
          </cell>
          <cell r="D238" t="str">
            <v>No</v>
          </cell>
          <cell r="E238" t="str">
            <v>No</v>
          </cell>
          <cell r="F238">
            <v>24</v>
          </cell>
          <cell r="G238" t="str">
            <v>ENGLISH COVE CREEK</v>
          </cell>
          <cell r="H238" t="str">
            <v>Coho</v>
          </cell>
          <cell r="I238"/>
          <cell r="J238"/>
          <cell r="K238"/>
          <cell r="L238"/>
          <cell r="M238"/>
          <cell r="N238"/>
          <cell r="O238"/>
          <cell r="P238"/>
          <cell r="Q238"/>
          <cell r="R238"/>
          <cell r="S238"/>
          <cell r="T238" t="e">
            <v>#DIV/0!</v>
          </cell>
          <cell r="U238">
            <v>8</v>
          </cell>
          <cell r="V238"/>
          <cell r="W238" t="str">
            <v>NI</v>
          </cell>
        </row>
        <row r="239">
          <cell r="C239" t="str">
            <v>FUNDY CREEK_Chum</v>
          </cell>
          <cell r="D239" t="str">
            <v>No</v>
          </cell>
          <cell r="E239" t="str">
            <v>No</v>
          </cell>
          <cell r="F239">
            <v>24</v>
          </cell>
          <cell r="G239" t="str">
            <v>FUNDY CREEK</v>
          </cell>
          <cell r="H239" t="str">
            <v>Chum</v>
          </cell>
          <cell r="I239"/>
          <cell r="J239"/>
          <cell r="K239">
            <v>4</v>
          </cell>
          <cell r="L239">
            <v>8</v>
          </cell>
          <cell r="M239">
            <v>8</v>
          </cell>
          <cell r="N239">
            <v>99.2264917211522</v>
          </cell>
          <cell r="O239">
            <v>520</v>
          </cell>
          <cell r="P239">
            <v>148.7747681385172</v>
          </cell>
          <cell r="Q239"/>
          <cell r="R239"/>
          <cell r="S239" t="str">
            <v>Chum is the target species.   Missing 1997 data.</v>
          </cell>
          <cell r="T239">
            <v>2.6666666666666665</v>
          </cell>
          <cell r="U239">
            <v>10.75</v>
          </cell>
          <cell r="V239"/>
          <cell r="W239">
            <v>4</v>
          </cell>
        </row>
        <row r="240">
          <cell r="C240" t="str">
            <v>FUNDY CREEK_Coho</v>
          </cell>
          <cell r="D240" t="str">
            <v>No</v>
          </cell>
          <cell r="E240" t="str">
            <v>No</v>
          </cell>
          <cell r="F240">
            <v>24</v>
          </cell>
          <cell r="G240" t="str">
            <v>FUNDY CREEK</v>
          </cell>
          <cell r="H240" t="str">
            <v>Coho</v>
          </cell>
          <cell r="I240"/>
          <cell r="J240"/>
          <cell r="K240">
            <v>4</v>
          </cell>
          <cell r="L240">
            <v>8</v>
          </cell>
          <cell r="M240">
            <v>1</v>
          </cell>
          <cell r="N240" t="e">
            <v>#NUM!</v>
          </cell>
          <cell r="O240">
            <v>0</v>
          </cell>
          <cell r="P240" t="e">
            <v>#NUM!</v>
          </cell>
          <cell r="Q240"/>
          <cell r="R240"/>
          <cell r="S240" t="str">
            <v>Chum is the target species.   Missing 1997 data.</v>
          </cell>
          <cell r="T240">
            <v>1</v>
          </cell>
          <cell r="U240">
            <v>1</v>
          </cell>
          <cell r="V240"/>
          <cell r="W240" t="str">
            <v>NO</v>
          </cell>
        </row>
        <row r="241">
          <cell r="C241" t="str">
            <v>HESQUIAT HARBOUR #1 CREEKS_Chum</v>
          </cell>
          <cell r="D241" t="str">
            <v>No</v>
          </cell>
          <cell r="E241" t="str">
            <v>No</v>
          </cell>
          <cell r="F241">
            <v>24</v>
          </cell>
          <cell r="G241" t="str">
            <v>HESQUIAT HARBOUR #1 CREEKS</v>
          </cell>
          <cell r="H241" t="str">
            <v>Chum</v>
          </cell>
          <cell r="I241"/>
          <cell r="J241"/>
          <cell r="K241">
            <v>4</v>
          </cell>
          <cell r="L241">
            <v>1</v>
          </cell>
          <cell r="M241">
            <v>0</v>
          </cell>
          <cell r="N241" t="e">
            <v>#NUM!</v>
          </cell>
          <cell r="O241">
            <v>0</v>
          </cell>
          <cell r="P241" t="e">
            <v>#NUM!</v>
          </cell>
          <cell r="Q241"/>
          <cell r="R241"/>
          <cell r="S241" t="str">
            <v>Missing data for 5 years (1995, 1996, 1998, 1999 and 2001), records indicate one estimate in 1997 - no fish were observed.</v>
          </cell>
          <cell r="T241" t="e">
            <v>#DIV/0!</v>
          </cell>
          <cell r="U241" t="e">
            <v>#DIV/0!</v>
          </cell>
          <cell r="V241"/>
          <cell r="W241" t="str">
            <v>NI</v>
          </cell>
        </row>
        <row r="242">
          <cell r="C242" t="str">
            <v>HESQUIAT HARBOUR #1 CREEKS_Coho</v>
          </cell>
          <cell r="D242" t="str">
            <v>No</v>
          </cell>
          <cell r="E242" t="str">
            <v>No</v>
          </cell>
          <cell r="F242">
            <v>24</v>
          </cell>
          <cell r="G242" t="str">
            <v>HESQUIAT HARBOUR #1 CREEKS</v>
          </cell>
          <cell r="H242" t="str">
            <v>Coho</v>
          </cell>
          <cell r="I242"/>
          <cell r="J242"/>
          <cell r="K242">
            <v>4</v>
          </cell>
          <cell r="L242">
            <v>1</v>
          </cell>
          <cell r="M242">
            <v>0</v>
          </cell>
          <cell r="N242" t="e">
            <v>#NUM!</v>
          </cell>
          <cell r="O242">
            <v>0</v>
          </cell>
          <cell r="P242" t="e">
            <v>#NUM!</v>
          </cell>
          <cell r="Q242"/>
          <cell r="R242"/>
          <cell r="S242" t="str">
            <v>Missing data for 5 years (1995, 1996, 1998, 1999 and 2001), record shown one estimate in 1997 - no fish were observed.</v>
          </cell>
          <cell r="T242" t="e">
            <v>#DIV/0!</v>
          </cell>
          <cell r="U242" t="e">
            <v>#DIV/0!</v>
          </cell>
          <cell r="V242"/>
          <cell r="W242" t="str">
            <v>NI</v>
          </cell>
        </row>
        <row r="243">
          <cell r="C243" t="str">
            <v>HESQUIAT HARBOUR #2 CREEKS_Chum</v>
          </cell>
          <cell r="D243" t="str">
            <v>No</v>
          </cell>
          <cell r="E243" t="str">
            <v>No</v>
          </cell>
          <cell r="F243">
            <v>24</v>
          </cell>
          <cell r="G243" t="str">
            <v>HESQUIAT HARBOUR #2 CREEKS</v>
          </cell>
          <cell r="H243" t="str">
            <v>Chum</v>
          </cell>
          <cell r="I243"/>
          <cell r="J243"/>
          <cell r="K243">
            <v>4</v>
          </cell>
          <cell r="L243">
            <v>5</v>
          </cell>
          <cell r="M243">
            <v>5</v>
          </cell>
          <cell r="N243">
            <v>101.10408014734367</v>
          </cell>
          <cell r="O243">
            <v>750</v>
          </cell>
          <cell r="P243">
            <v>144.20314998715338</v>
          </cell>
          <cell r="Q243"/>
          <cell r="R243"/>
          <cell r="S243" t="str">
            <v>Chum is the target species. Missing 3 years of data (1998, 1999 &amp; 2001).  2002 was the last time the stream was surveyed.</v>
          </cell>
          <cell r="T243">
            <v>58</v>
          </cell>
          <cell r="U243">
            <v>186.2</v>
          </cell>
          <cell r="V243"/>
          <cell r="W243">
            <v>58</v>
          </cell>
        </row>
        <row r="244">
          <cell r="C244" t="str">
            <v>HESQUIAT HARBOUR #2 CREEKS_Coho</v>
          </cell>
          <cell r="D244" t="str">
            <v>No</v>
          </cell>
          <cell r="E244" t="str">
            <v>No</v>
          </cell>
          <cell r="F244">
            <v>24</v>
          </cell>
          <cell r="G244" t="str">
            <v>HESQUIAT HARBOUR #2 CREEKS</v>
          </cell>
          <cell r="H244" t="str">
            <v>Coho</v>
          </cell>
          <cell r="I244"/>
          <cell r="J244"/>
          <cell r="K244">
            <v>4</v>
          </cell>
          <cell r="L244">
            <v>5</v>
          </cell>
          <cell r="M244">
            <v>3</v>
          </cell>
          <cell r="N244">
            <v>10</v>
          </cell>
          <cell r="O244">
            <v>300</v>
          </cell>
          <cell r="P244">
            <v>51.362087353024826</v>
          </cell>
          <cell r="Q244"/>
          <cell r="R244"/>
          <cell r="S244" t="str">
            <v>Chum is the target species. Missing 3 years of data (1998, 1999 &amp; 2001). 2002 was the last time the stream was surveyed.</v>
          </cell>
          <cell r="T244">
            <v>14</v>
          </cell>
          <cell r="U244">
            <v>52</v>
          </cell>
          <cell r="V244"/>
          <cell r="W244">
            <v>14</v>
          </cell>
        </row>
        <row r="245">
          <cell r="C245" t="str">
            <v>HESQUIAT HARBOUR #3 CREEKS_Chum</v>
          </cell>
          <cell r="D245" t="str">
            <v>No</v>
          </cell>
          <cell r="E245" t="str">
            <v>No</v>
          </cell>
          <cell r="F245">
            <v>24</v>
          </cell>
          <cell r="G245" t="str">
            <v>HESQUIAT HARBOUR #3 CREEKS</v>
          </cell>
          <cell r="H245" t="str">
            <v>Chum</v>
          </cell>
          <cell r="I245"/>
          <cell r="J245"/>
          <cell r="K245">
            <v>4</v>
          </cell>
          <cell r="L245">
            <v>5</v>
          </cell>
          <cell r="M245">
            <v>1</v>
          </cell>
          <cell r="N245" t="e">
            <v>#NUM!</v>
          </cell>
          <cell r="O245">
            <v>0</v>
          </cell>
          <cell r="P245" t="e">
            <v>#NUM!</v>
          </cell>
          <cell r="Q245"/>
          <cell r="R245"/>
          <cell r="S245" t="str">
            <v>Missing 3 years of data (1998, 1999 &amp; 2001). Chum was only observed once during the five surveys and AP was entered as the estimate. 2002 was the last time the stream was surveyed.</v>
          </cell>
          <cell r="T245" t="e">
            <v>#DIV/0!</v>
          </cell>
          <cell r="U245">
            <v>30</v>
          </cell>
          <cell r="V245"/>
          <cell r="W245" t="str">
            <v>NI</v>
          </cell>
        </row>
        <row r="246">
          <cell r="C246" t="str">
            <v>HESQUIAT HARBOUR #3 CREEKS_Coho</v>
          </cell>
          <cell r="D246" t="str">
            <v>No</v>
          </cell>
          <cell r="E246" t="str">
            <v>No</v>
          </cell>
          <cell r="F246">
            <v>24</v>
          </cell>
          <cell r="G246" t="str">
            <v>HESQUIAT HARBOUR #3 CREEKS</v>
          </cell>
          <cell r="H246" t="str">
            <v>Coho</v>
          </cell>
          <cell r="I246"/>
          <cell r="J246"/>
          <cell r="K246">
            <v>4</v>
          </cell>
          <cell r="L246">
            <v>5</v>
          </cell>
          <cell r="M246">
            <v>0</v>
          </cell>
          <cell r="N246" t="e">
            <v>#NUM!</v>
          </cell>
          <cell r="O246">
            <v>0</v>
          </cell>
          <cell r="P246" t="e">
            <v>#NUM!</v>
          </cell>
          <cell r="Q246"/>
          <cell r="R246"/>
          <cell r="S246" t="str">
            <v>Missing 3 years of data (1998, 1999 &amp; 2001). No coho were observed during the 5 surveys.  2002 was the last time the stream was surveyed.</v>
          </cell>
          <cell r="T246" t="e">
            <v>#DIV/0!</v>
          </cell>
          <cell r="U246">
            <v>3</v>
          </cell>
          <cell r="V246"/>
          <cell r="W246" t="str">
            <v>NI</v>
          </cell>
        </row>
        <row r="247">
          <cell r="C247" t="str">
            <v>HESQUIAT HARBOUR #4 CREEKS_Chum</v>
          </cell>
          <cell r="D247" t="str">
            <v>No</v>
          </cell>
          <cell r="E247" t="str">
            <v>No</v>
          </cell>
          <cell r="F247">
            <v>24</v>
          </cell>
          <cell r="G247" t="str">
            <v>HESQUIAT HARBOUR #4 CREEKS</v>
          </cell>
          <cell r="H247" t="str">
            <v>Chum</v>
          </cell>
          <cell r="I247"/>
          <cell r="J247"/>
          <cell r="K247">
            <v>4</v>
          </cell>
          <cell r="L247">
            <v>5</v>
          </cell>
          <cell r="M247">
            <v>4</v>
          </cell>
          <cell r="N247">
            <v>32.020000771987867</v>
          </cell>
          <cell r="O247">
            <v>219</v>
          </cell>
          <cell r="P247">
            <v>32.020000771987867</v>
          </cell>
          <cell r="Q247"/>
          <cell r="R247"/>
          <cell r="S247" t="str">
            <v>Chum is the target species.  Missing 3 years of data (1998, 1999 &amp; 2001).  2002 was the last time the stream was surveyed.</v>
          </cell>
          <cell r="T247" t="e">
            <v>#DIV/0!</v>
          </cell>
          <cell r="U247">
            <v>64</v>
          </cell>
          <cell r="V247"/>
          <cell r="W247" t="str">
            <v>NI</v>
          </cell>
        </row>
        <row r="248">
          <cell r="C248" t="str">
            <v>HESQUIAT HARBOUR #4 CREEKS_Coho</v>
          </cell>
          <cell r="D248" t="str">
            <v>No</v>
          </cell>
          <cell r="E248" t="str">
            <v>No</v>
          </cell>
          <cell r="F248">
            <v>24</v>
          </cell>
          <cell r="G248" t="str">
            <v>HESQUIAT HARBOUR #4 CREEKS</v>
          </cell>
          <cell r="H248" t="str">
            <v>Coho</v>
          </cell>
          <cell r="I248"/>
          <cell r="J248"/>
          <cell r="K248">
            <v>4</v>
          </cell>
          <cell r="L248">
            <v>5</v>
          </cell>
          <cell r="M248">
            <v>1</v>
          </cell>
          <cell r="N248">
            <v>79</v>
          </cell>
          <cell r="O248">
            <v>79</v>
          </cell>
          <cell r="P248">
            <v>79</v>
          </cell>
          <cell r="Q248"/>
          <cell r="R248"/>
          <cell r="S248" t="str">
            <v>Chum is the target species.  Missing 3 years of data (1998, 1999 &amp; 2001). 1995 was the only year coho was observed - 79 was entered as the estimate.  2002 was the last time the stream was surveyed.</v>
          </cell>
          <cell r="T248" t="e">
            <v>#DIV/0!</v>
          </cell>
          <cell r="U248">
            <v>2</v>
          </cell>
          <cell r="V248"/>
          <cell r="W248" t="str">
            <v>NI</v>
          </cell>
        </row>
        <row r="249">
          <cell r="C249" t="str">
            <v>HESQUIAT LAKE CREEK_Chum</v>
          </cell>
          <cell r="D249" t="str">
            <v>No</v>
          </cell>
          <cell r="E249" t="str">
            <v>No</v>
          </cell>
          <cell r="F249">
            <v>24</v>
          </cell>
          <cell r="G249" t="str">
            <v>HESQUIAT LAKE CREEK</v>
          </cell>
          <cell r="H249" t="str">
            <v>Chum</v>
          </cell>
          <cell r="I249"/>
          <cell r="J249"/>
          <cell r="K249">
            <v>5</v>
          </cell>
          <cell r="L249">
            <v>6</v>
          </cell>
          <cell r="M249">
            <v>5</v>
          </cell>
          <cell r="N249">
            <v>735.8140837284202</v>
          </cell>
          <cell r="O249">
            <v>7500</v>
          </cell>
          <cell r="P249">
            <v>747.54992025270951</v>
          </cell>
          <cell r="Q249"/>
          <cell r="R249"/>
          <cell r="S249" t="str">
            <v>Chum is the target species.  Missing 2 years of data (1998 &amp; 1999).  Our records indicate that 2002 was the last time the stream was surveyed.</v>
          </cell>
          <cell r="T249">
            <v>444</v>
          </cell>
          <cell r="U249">
            <v>1199.5714285714287</v>
          </cell>
          <cell r="V249"/>
          <cell r="W249">
            <v>444</v>
          </cell>
        </row>
        <row r="250">
          <cell r="C250" t="str">
            <v>HESQUIAT LAKE CREEK_Coho</v>
          </cell>
          <cell r="D250" t="str">
            <v>No</v>
          </cell>
          <cell r="E250" t="str">
            <v>No</v>
          </cell>
          <cell r="F250">
            <v>24</v>
          </cell>
          <cell r="G250" t="str">
            <v>HESQUIAT LAKE CREEK</v>
          </cell>
          <cell r="H250" t="str">
            <v>Coho</v>
          </cell>
          <cell r="I250"/>
          <cell r="J250"/>
          <cell r="K250">
            <v>5</v>
          </cell>
          <cell r="L250">
            <v>6</v>
          </cell>
          <cell r="M250">
            <v>1</v>
          </cell>
          <cell r="N250">
            <v>140</v>
          </cell>
          <cell r="O250">
            <v>3500</v>
          </cell>
          <cell r="P250">
            <v>495.1217661549714</v>
          </cell>
          <cell r="Q250"/>
          <cell r="R250"/>
          <cell r="S250" t="str">
            <v>Chum is the target species.  Missing 2 years of data (1998 &amp; 1999). 2001 was the only year an estimate was made, the other 3 years coho was observed - Adults Present was entered as the estimate. Last survey was in 20002.</v>
          </cell>
          <cell r="T250" t="e">
            <v>#DIV/0!</v>
          </cell>
          <cell r="U250">
            <v>827.5</v>
          </cell>
          <cell r="V250"/>
          <cell r="W250" t="str">
            <v>NO</v>
          </cell>
        </row>
        <row r="251">
          <cell r="C251" t="str">
            <v>HESQUIAT POINT CREEK_Chum</v>
          </cell>
          <cell r="D251" t="str">
            <v>No</v>
          </cell>
          <cell r="E251" t="str">
            <v>No</v>
          </cell>
          <cell r="F251">
            <v>24</v>
          </cell>
          <cell r="G251" t="str">
            <v>HESQUIAT POINT CREEK</v>
          </cell>
          <cell r="H251" t="str">
            <v>Chum</v>
          </cell>
          <cell r="I251"/>
          <cell r="J251"/>
          <cell r="K251">
            <v>5</v>
          </cell>
          <cell r="L251">
            <v>1</v>
          </cell>
          <cell r="M251">
            <v>0</v>
          </cell>
          <cell r="N251" t="e">
            <v>#NUM!</v>
          </cell>
          <cell r="O251">
            <v>0</v>
          </cell>
          <cell r="P251" t="e">
            <v>#NUM!</v>
          </cell>
          <cell r="Q251"/>
          <cell r="R251"/>
          <cell r="S251" t="str">
            <v>Missing 4 years data (1996, 1997, 1998 &amp; 1999) . 1995 - None Observed was entered as the escapement estimate.</v>
          </cell>
          <cell r="T251" t="e">
            <v>#DIV/0!</v>
          </cell>
          <cell r="U251" t="e">
            <v>#DIV/0!</v>
          </cell>
          <cell r="V251"/>
          <cell r="W251" t="str">
            <v>NI</v>
          </cell>
        </row>
        <row r="252">
          <cell r="C252" t="str">
            <v>HESQUIAT POINT CREEK_Coho</v>
          </cell>
          <cell r="D252" t="str">
            <v>No</v>
          </cell>
          <cell r="E252" t="str">
            <v>No</v>
          </cell>
          <cell r="F252">
            <v>24</v>
          </cell>
          <cell r="G252" t="str">
            <v>HESQUIAT POINT CREEK</v>
          </cell>
          <cell r="H252" t="str">
            <v>Coho</v>
          </cell>
          <cell r="I252"/>
          <cell r="J252"/>
          <cell r="K252">
            <v>5</v>
          </cell>
          <cell r="L252">
            <v>1</v>
          </cell>
          <cell r="M252">
            <v>0</v>
          </cell>
          <cell r="N252" t="e">
            <v>#NUM!</v>
          </cell>
          <cell r="O252">
            <v>0</v>
          </cell>
          <cell r="P252" t="e">
            <v>#NUM!</v>
          </cell>
          <cell r="Q252"/>
          <cell r="R252"/>
          <cell r="S252" t="str">
            <v>Missing 4 years data (1996, 1997, 1998 &amp; 1999) . 1995 - None Observed was entered as the escapement estimate.</v>
          </cell>
          <cell r="T252" t="e">
            <v>#DIV/0!</v>
          </cell>
          <cell r="U252">
            <v>7</v>
          </cell>
          <cell r="V252"/>
          <cell r="W252" t="str">
            <v>NI</v>
          </cell>
        </row>
        <row r="253">
          <cell r="C253" t="str">
            <v>HOOTLA KOOTLA CREEK_Chum</v>
          </cell>
          <cell r="D253" t="str">
            <v>No</v>
          </cell>
          <cell r="E253" t="str">
            <v>No</v>
          </cell>
          <cell r="F253">
            <v>24</v>
          </cell>
          <cell r="G253" t="str">
            <v>HOOTLA KOOTLA CREEK</v>
          </cell>
          <cell r="H253" t="str">
            <v>Chum</v>
          </cell>
          <cell r="I253"/>
          <cell r="J253"/>
          <cell r="K253">
            <v>4</v>
          </cell>
          <cell r="L253">
            <v>5</v>
          </cell>
          <cell r="M253">
            <v>3</v>
          </cell>
          <cell r="N253">
            <v>135.72088082974534</v>
          </cell>
          <cell r="O253">
            <v>500</v>
          </cell>
          <cell r="P253">
            <v>78.793038334225287</v>
          </cell>
          <cell r="Q253"/>
          <cell r="R253"/>
          <cell r="S253" t="str">
            <v>Missing data for 1999. Last time stream was inspected was in 2001.</v>
          </cell>
          <cell r="T253" t="e">
            <v>#DIV/0!</v>
          </cell>
          <cell r="U253" t="e">
            <v>#DIV/0!</v>
          </cell>
          <cell r="V253"/>
          <cell r="W253" t="str">
            <v>NI</v>
          </cell>
        </row>
        <row r="254">
          <cell r="C254" t="str">
            <v>HOOTLA KOOTLA CREEK_Coho</v>
          </cell>
          <cell r="D254" t="str">
            <v>No</v>
          </cell>
          <cell r="E254" t="str">
            <v>No</v>
          </cell>
          <cell r="F254">
            <v>24</v>
          </cell>
          <cell r="G254" t="str">
            <v>HOOTLA KOOTLA CREEK</v>
          </cell>
          <cell r="H254" t="str">
            <v>Coho</v>
          </cell>
          <cell r="I254"/>
          <cell r="J254"/>
          <cell r="K254">
            <v>4</v>
          </cell>
          <cell r="L254">
            <v>5</v>
          </cell>
          <cell r="M254">
            <v>3</v>
          </cell>
          <cell r="N254">
            <v>34.341427276599958</v>
          </cell>
          <cell r="O254">
            <v>7500</v>
          </cell>
          <cell r="P254">
            <v>151.98428779279203</v>
          </cell>
          <cell r="Q254"/>
          <cell r="R254"/>
          <cell r="S254" t="str">
            <v>Missing data for 1999. Last time stream was inspected was in 2001.</v>
          </cell>
          <cell r="T254" t="e">
            <v>#DIV/0!</v>
          </cell>
          <cell r="U254" t="e">
            <v>#DIV/0!</v>
          </cell>
          <cell r="V254"/>
          <cell r="W254" t="str">
            <v>NI</v>
          </cell>
        </row>
        <row r="255">
          <cell r="C255" t="str">
            <v>HOT SPRINGS COVE CREEK_Chum</v>
          </cell>
          <cell r="D255" t="str">
            <v>No</v>
          </cell>
          <cell r="E255" t="str">
            <v>No</v>
          </cell>
          <cell r="F255">
            <v>24</v>
          </cell>
          <cell r="G255" t="str">
            <v>HOT SPRINGS COVE CREEK</v>
          </cell>
          <cell r="H255" t="str">
            <v>Chum</v>
          </cell>
          <cell r="I255"/>
          <cell r="J255"/>
          <cell r="K255">
            <v>5</v>
          </cell>
          <cell r="L255">
            <v>4</v>
          </cell>
          <cell r="M255">
            <v>1372</v>
          </cell>
          <cell r="N255">
            <v>1337.4408398131111</v>
          </cell>
          <cell r="O255">
            <v>3500</v>
          </cell>
          <cell r="P255">
            <v>437.20091511321448</v>
          </cell>
          <cell r="Q255"/>
          <cell r="R255"/>
          <cell r="S255" t="str">
            <v>Chum is the target species. Missing 3 years of data (1995, 1998 &amp; 1999).  Last time stream was inspected was in 2002. 2 of the estimates are Adults present.</v>
          </cell>
          <cell r="T255" t="e">
            <v>#DIV/0!</v>
          </cell>
          <cell r="U255">
            <v>510</v>
          </cell>
          <cell r="V255"/>
          <cell r="W255" t="str">
            <v>NI</v>
          </cell>
        </row>
        <row r="256">
          <cell r="C256" t="str">
            <v>HOT SPRINGS COVE CREEK_Coho</v>
          </cell>
          <cell r="D256" t="str">
            <v>No</v>
          </cell>
          <cell r="E256" t="str">
            <v>No</v>
          </cell>
          <cell r="F256">
            <v>24</v>
          </cell>
          <cell r="G256" t="str">
            <v>HOT SPRINGS COVE CREEK</v>
          </cell>
          <cell r="H256" t="str">
            <v>Coho</v>
          </cell>
          <cell r="I256"/>
          <cell r="J256"/>
          <cell r="K256">
            <v>5</v>
          </cell>
          <cell r="L256">
            <v>2</v>
          </cell>
          <cell r="M256">
            <v>146</v>
          </cell>
          <cell r="N256">
            <v>107.08874824182044</v>
          </cell>
          <cell r="O256">
            <v>400</v>
          </cell>
          <cell r="P256">
            <v>49.025799539324659</v>
          </cell>
          <cell r="Q256"/>
          <cell r="R256"/>
          <cell r="S256" t="str">
            <v>Chum is the target species. Missing 3 years of data (1995, 1998 &amp; 1999).  Last time stream was inspected was in 2002.</v>
          </cell>
          <cell r="T256" t="e">
            <v>#DIV/0!</v>
          </cell>
          <cell r="U256" t="e">
            <v>#DIV/0!</v>
          </cell>
          <cell r="V256"/>
          <cell r="W256" t="str">
            <v>NI</v>
          </cell>
        </row>
        <row r="257">
          <cell r="C257" t="str">
            <v>ICE RIVER_Chinook</v>
          </cell>
          <cell r="D257" t="str">
            <v>No</v>
          </cell>
          <cell r="E257" t="str">
            <v>No</v>
          </cell>
          <cell r="F257">
            <v>24</v>
          </cell>
          <cell r="G257" t="str">
            <v>ICE RIVER</v>
          </cell>
          <cell r="H257" t="str">
            <v>Chinook</v>
          </cell>
          <cell r="I257"/>
          <cell r="J257"/>
          <cell r="K257">
            <v>4</v>
          </cell>
          <cell r="L257">
            <v>7</v>
          </cell>
          <cell r="M257">
            <v>4</v>
          </cell>
          <cell r="N257">
            <v>27.144176165949062</v>
          </cell>
          <cell r="O257">
            <v>400</v>
          </cell>
          <cell r="P257">
            <v>47.330635765484004</v>
          </cell>
          <cell r="Q257"/>
          <cell r="R257"/>
          <cell r="S257" t="str">
            <v>Missing data for 1999.  Last time stream was inspected was in 2002. Adult present entered as the estimate in 1998.</v>
          </cell>
          <cell r="T257" t="e">
            <v>#DIV/0!</v>
          </cell>
          <cell r="U257" t="e">
            <v>#DIV/0!</v>
          </cell>
          <cell r="V257"/>
          <cell r="W257" t="str">
            <v>NI</v>
          </cell>
        </row>
        <row r="258">
          <cell r="C258" t="str">
            <v>ICE RIVER_Chum</v>
          </cell>
          <cell r="D258" t="str">
            <v>No</v>
          </cell>
          <cell r="E258" t="str">
            <v>No</v>
          </cell>
          <cell r="F258">
            <v>24</v>
          </cell>
          <cell r="G258" t="str">
            <v>ICE RIVER</v>
          </cell>
          <cell r="H258" t="str">
            <v>Chum</v>
          </cell>
          <cell r="I258"/>
          <cell r="J258"/>
          <cell r="K258">
            <v>4</v>
          </cell>
          <cell r="L258">
            <v>7</v>
          </cell>
          <cell r="M258">
            <v>7</v>
          </cell>
          <cell r="N258">
            <v>641.58775772295917</v>
          </cell>
          <cell r="O258">
            <v>4924</v>
          </cell>
          <cell r="P258">
            <v>592.41451656716163</v>
          </cell>
          <cell r="Q258"/>
          <cell r="R258"/>
          <cell r="S258" t="str">
            <v>Missing data for 1999.  Last time stream was inspected was in 2002. Adult present entered as the estimate in 1998.</v>
          </cell>
          <cell r="T258" t="e">
            <v>#DIV/0!</v>
          </cell>
          <cell r="U258" t="e">
            <v>#DIV/0!</v>
          </cell>
          <cell r="V258"/>
          <cell r="W258" t="str">
            <v>NI</v>
          </cell>
        </row>
        <row r="259">
          <cell r="C259" t="str">
            <v>ICE RIVER_Coho</v>
          </cell>
          <cell r="D259" t="str">
            <v>No</v>
          </cell>
          <cell r="E259" t="str">
            <v>No</v>
          </cell>
          <cell r="F259">
            <v>24</v>
          </cell>
          <cell r="G259" t="str">
            <v>ICE RIVER</v>
          </cell>
          <cell r="H259" t="str">
            <v>Coho</v>
          </cell>
          <cell r="I259"/>
          <cell r="J259"/>
          <cell r="K259">
            <v>4</v>
          </cell>
          <cell r="L259">
            <v>7</v>
          </cell>
          <cell r="M259">
            <v>4</v>
          </cell>
          <cell r="N259">
            <v>71.090852983330223</v>
          </cell>
          <cell r="O259">
            <v>750</v>
          </cell>
          <cell r="P259">
            <v>87.080786702837727</v>
          </cell>
          <cell r="Q259"/>
          <cell r="R259"/>
          <cell r="S259" t="str">
            <v>Missing data for 1999.  Last time stream was inspected was in 2002. Adult present entered as the estimate in 1998.</v>
          </cell>
          <cell r="T259" t="e">
            <v>#DIV/0!</v>
          </cell>
          <cell r="U259" t="e">
            <v>#DIV/0!</v>
          </cell>
          <cell r="V259"/>
          <cell r="W259" t="str">
            <v>NI</v>
          </cell>
        </row>
        <row r="260">
          <cell r="C260" t="str">
            <v>ICE RIVER_Sockeye</v>
          </cell>
          <cell r="D260" t="str">
            <v>No</v>
          </cell>
          <cell r="E260" t="str">
            <v>No</v>
          </cell>
          <cell r="F260">
            <v>24</v>
          </cell>
          <cell r="G260" t="str">
            <v>ICE RIVER</v>
          </cell>
          <cell r="H260" t="str">
            <v>Sockeye</v>
          </cell>
          <cell r="I260"/>
          <cell r="J260"/>
          <cell r="K260">
            <v>4</v>
          </cell>
          <cell r="L260">
            <v>7</v>
          </cell>
          <cell r="M260">
            <v>3</v>
          </cell>
          <cell r="N260">
            <v>44.721359549995796</v>
          </cell>
          <cell r="O260">
            <v>50</v>
          </cell>
          <cell r="P260">
            <v>15.518455739153596</v>
          </cell>
          <cell r="Q260"/>
          <cell r="R260"/>
          <cell r="S260" t="str">
            <v>Missing data for 1999.  Last time stream was inspected was in 2002. Adult present entered as the estimate in 2001.</v>
          </cell>
          <cell r="T260" t="e">
            <v>#DIV/0!</v>
          </cell>
          <cell r="U260" t="e">
            <v>#DIV/0!</v>
          </cell>
          <cell r="V260"/>
          <cell r="W260" t="str">
            <v>NI</v>
          </cell>
        </row>
        <row r="261">
          <cell r="C261" t="str">
            <v>KENNEDY LAKE BEACHES_Chum</v>
          </cell>
          <cell r="D261" t="str">
            <v>No</v>
          </cell>
          <cell r="E261" t="str">
            <v>No</v>
          </cell>
          <cell r="F261">
            <v>24</v>
          </cell>
          <cell r="G261" t="str">
            <v>KENNEDY LAKE BEACHES</v>
          </cell>
          <cell r="H261" t="str">
            <v>Chum</v>
          </cell>
          <cell r="I261"/>
          <cell r="J261"/>
          <cell r="K261">
            <v>4</v>
          </cell>
          <cell r="L261">
            <v>5</v>
          </cell>
          <cell r="M261">
            <v>1</v>
          </cell>
          <cell r="N261">
            <v>4</v>
          </cell>
          <cell r="O261">
            <v>4</v>
          </cell>
          <cell r="P261">
            <v>4</v>
          </cell>
          <cell r="Q261"/>
          <cell r="R261"/>
          <cell r="S261" t="str">
            <v>Sockeye is the target Species. Missing estimates for 5 years.</v>
          </cell>
          <cell r="T261" t="e">
            <v>#DIV/0!</v>
          </cell>
          <cell r="U261" t="e">
            <v>#DIV/0!</v>
          </cell>
          <cell r="V261"/>
          <cell r="W261" t="str">
            <v>AP</v>
          </cell>
        </row>
        <row r="262">
          <cell r="C262" t="str">
            <v>KENNEDY LAKE BEACHES_Coho</v>
          </cell>
          <cell r="D262" t="str">
            <v>No</v>
          </cell>
          <cell r="E262" t="str">
            <v>No</v>
          </cell>
          <cell r="F262">
            <v>24</v>
          </cell>
          <cell r="G262" t="str">
            <v>KENNEDY LAKE BEACHES</v>
          </cell>
          <cell r="H262" t="str">
            <v>Coho</v>
          </cell>
          <cell r="I262"/>
          <cell r="J262"/>
          <cell r="K262">
            <v>4</v>
          </cell>
          <cell r="L262">
            <v>5</v>
          </cell>
          <cell r="M262">
            <v>5</v>
          </cell>
          <cell r="N262">
            <v>13.915788418568702</v>
          </cell>
          <cell r="O262">
            <v>3500</v>
          </cell>
          <cell r="P262">
            <v>76.271993081513244</v>
          </cell>
          <cell r="Q262"/>
          <cell r="R262"/>
          <cell r="S262" t="str">
            <v>Sockeye is the target Species. Missing estimates for 5 years.</v>
          </cell>
          <cell r="T262" t="e">
            <v>#DIV/0!</v>
          </cell>
          <cell r="U262">
            <v>215</v>
          </cell>
          <cell r="V262"/>
          <cell r="W262" t="str">
            <v>AP</v>
          </cell>
        </row>
        <row r="263">
          <cell r="C263" t="str">
            <v>KENNEDY LAKE BEACHES_Sockeye</v>
          </cell>
          <cell r="D263" t="str">
            <v>No</v>
          </cell>
          <cell r="E263" t="str">
            <v>No</v>
          </cell>
          <cell r="F263">
            <v>24</v>
          </cell>
          <cell r="G263" t="str">
            <v>KENNEDY LAKE BEACHES</v>
          </cell>
          <cell r="H263" t="str">
            <v>Sockeye</v>
          </cell>
          <cell r="I263"/>
          <cell r="J263"/>
          <cell r="K263">
            <v>4</v>
          </cell>
          <cell r="L263">
            <v>6</v>
          </cell>
          <cell r="M263">
            <v>6</v>
          </cell>
          <cell r="N263">
            <v>2801.9103843836942</v>
          </cell>
          <cell r="O263">
            <v>35000</v>
          </cell>
          <cell r="P263">
            <v>2999.636847164847</v>
          </cell>
          <cell r="Q263"/>
          <cell r="R263"/>
          <cell r="S263" t="str">
            <v>Sockeye is the target Species. Missing estimates for 3 years. Includes CLAYOQUOT ARM BEACHES</v>
          </cell>
          <cell r="T263">
            <v>691.5</v>
          </cell>
          <cell r="U263">
            <v>3330.1666666666665</v>
          </cell>
          <cell r="V263"/>
          <cell r="W263">
            <v>1366</v>
          </cell>
        </row>
        <row r="264">
          <cell r="C264" t="str">
            <v>KENNEDY LAKE FEEDER STREAMS_Chum</v>
          </cell>
          <cell r="D264" t="str">
            <v>No</v>
          </cell>
          <cell r="E264" t="str">
            <v>No</v>
          </cell>
          <cell r="F264">
            <v>24</v>
          </cell>
          <cell r="G264" t="str">
            <v>KENNEDY LAKE FEEDER STREAMS</v>
          </cell>
          <cell r="H264" t="str">
            <v>Chum</v>
          </cell>
          <cell r="I264"/>
          <cell r="J264"/>
          <cell r="K264">
            <v>4</v>
          </cell>
          <cell r="L264">
            <v>2</v>
          </cell>
          <cell r="M264">
            <v>0</v>
          </cell>
          <cell r="N264" t="e">
            <v>#NUM!</v>
          </cell>
          <cell r="O264">
            <v>0</v>
          </cell>
          <cell r="P264" t="e">
            <v>#NUM!</v>
          </cell>
          <cell r="Q264"/>
          <cell r="R264"/>
          <cell r="S264" t="str">
            <v>Only have estimates for 2 years, coho was the only species observed.</v>
          </cell>
          <cell r="T264" t="e">
            <v>#DIV/0!</v>
          </cell>
          <cell r="U264" t="e">
            <v>#DIV/0!</v>
          </cell>
          <cell r="V264"/>
          <cell r="W264" t="str">
            <v>NI</v>
          </cell>
        </row>
        <row r="265">
          <cell r="C265" t="str">
            <v>KENNEDY LAKE FEEDER STREAMS_Coho</v>
          </cell>
          <cell r="D265" t="str">
            <v>No</v>
          </cell>
          <cell r="E265" t="str">
            <v>No</v>
          </cell>
          <cell r="F265">
            <v>24</v>
          </cell>
          <cell r="G265" t="str">
            <v>KENNEDY LAKE FEEDER STREAMS</v>
          </cell>
          <cell r="H265" t="str">
            <v>Coho</v>
          </cell>
          <cell r="I265"/>
          <cell r="J265"/>
          <cell r="K265">
            <v>4</v>
          </cell>
          <cell r="L265">
            <v>2</v>
          </cell>
          <cell r="M265">
            <v>2</v>
          </cell>
          <cell r="N265">
            <v>27.055498516937366</v>
          </cell>
          <cell r="O265">
            <v>1500</v>
          </cell>
          <cell r="P265">
            <v>445.25700372070435</v>
          </cell>
          <cell r="Q265"/>
          <cell r="R265"/>
          <cell r="S265" t="str">
            <v>Only have estimates for 2 years, coho was the only species observed.</v>
          </cell>
          <cell r="T265" t="e">
            <v>#DIV/0!</v>
          </cell>
          <cell r="U265" t="e">
            <v>#DIV/0!</v>
          </cell>
          <cell r="V265"/>
          <cell r="W265" t="str">
            <v>NI</v>
          </cell>
        </row>
        <row r="266">
          <cell r="C266" t="str">
            <v>KENNEDY LAKE FEEDER STREAMS_Sockeye</v>
          </cell>
          <cell r="D266" t="str">
            <v>No</v>
          </cell>
          <cell r="E266" t="str">
            <v>No</v>
          </cell>
          <cell r="F266">
            <v>24</v>
          </cell>
          <cell r="G266" t="str">
            <v>KENNEDY LAKE FEEDER STREAMS</v>
          </cell>
          <cell r="H266" t="str">
            <v>Sockeye</v>
          </cell>
          <cell r="I266"/>
          <cell r="J266"/>
          <cell r="K266">
            <v>4</v>
          </cell>
          <cell r="L266">
            <v>2</v>
          </cell>
          <cell r="M266">
            <v>0</v>
          </cell>
          <cell r="N266" t="e">
            <v>#NUM!</v>
          </cell>
          <cell r="O266">
            <v>1500</v>
          </cell>
          <cell r="P266">
            <v>1024.6950765959598</v>
          </cell>
          <cell r="Q266"/>
          <cell r="R266"/>
          <cell r="S266" t="str">
            <v>Only have estimates for 2 years, coho was the only species observed.</v>
          </cell>
          <cell r="T266" t="e">
            <v>#DIV/0!</v>
          </cell>
          <cell r="U266" t="e">
            <v>#DIV/0!</v>
          </cell>
          <cell r="V266"/>
          <cell r="W266" t="str">
            <v>NI</v>
          </cell>
        </row>
        <row r="267">
          <cell r="C267" t="str">
            <v>KENNEDY RIVER (LOWER)_Chinook</v>
          </cell>
          <cell r="D267" t="str">
            <v>No</v>
          </cell>
          <cell r="E267" t="str">
            <v>No</v>
          </cell>
          <cell r="F267">
            <v>24</v>
          </cell>
          <cell r="G267" t="str">
            <v>KENNEDY RIVER (LOWER)</v>
          </cell>
          <cell r="H267" t="str">
            <v>Chinook</v>
          </cell>
          <cell r="I267"/>
          <cell r="J267"/>
          <cell r="K267">
            <v>3</v>
          </cell>
          <cell r="L267">
            <v>3</v>
          </cell>
          <cell r="M267">
            <v>3</v>
          </cell>
          <cell r="N267">
            <v>243.288079822936</v>
          </cell>
          <cell r="O267">
            <v>1500</v>
          </cell>
          <cell r="P267">
            <v>325.55985606901703</v>
          </cell>
          <cell r="Q267"/>
          <cell r="R267"/>
          <cell r="S267" t="str">
            <v>Missing 1996, 1998 &amp; 2001 escapement data</v>
          </cell>
          <cell r="T267" t="e">
            <v>#DIV/0!</v>
          </cell>
          <cell r="U267" t="e">
            <v>#DIV/0!</v>
          </cell>
          <cell r="V267"/>
          <cell r="W267" t="str">
            <v>NI</v>
          </cell>
        </row>
        <row r="268">
          <cell r="C268" t="str">
            <v>KENNEDY RIVER (LOWER)_Chum</v>
          </cell>
          <cell r="D268" t="str">
            <v>No</v>
          </cell>
          <cell r="E268" t="str">
            <v>No</v>
          </cell>
          <cell r="F268">
            <v>24</v>
          </cell>
          <cell r="G268" t="str">
            <v>KENNEDY RIVER (LOWER)</v>
          </cell>
          <cell r="H268" t="str">
            <v>Chum</v>
          </cell>
          <cell r="I268"/>
          <cell r="J268"/>
          <cell r="K268">
            <v>3</v>
          </cell>
          <cell r="L268">
            <v>3</v>
          </cell>
          <cell r="M268">
            <v>1</v>
          </cell>
          <cell r="N268">
            <v>11</v>
          </cell>
          <cell r="O268">
            <v>1500</v>
          </cell>
          <cell r="P268">
            <v>236.21376779186372</v>
          </cell>
          <cell r="Q268"/>
          <cell r="R268"/>
          <cell r="S268" t="str">
            <v>Missing 1996, 1998 &amp; 2001 escapement data</v>
          </cell>
          <cell r="T268" t="e">
            <v>#DIV/0!</v>
          </cell>
          <cell r="U268" t="e">
            <v>#DIV/0!</v>
          </cell>
          <cell r="V268"/>
          <cell r="W268" t="str">
            <v>NI</v>
          </cell>
        </row>
        <row r="269">
          <cell r="C269" t="str">
            <v>KENNEDY RIVER (LOWER)_Coho</v>
          </cell>
          <cell r="D269" t="str">
            <v>No</v>
          </cell>
          <cell r="E269" t="str">
            <v>No</v>
          </cell>
          <cell r="F269">
            <v>24</v>
          </cell>
          <cell r="G269" t="str">
            <v>KENNEDY RIVER (LOWER)</v>
          </cell>
          <cell r="H269" t="str">
            <v>Coho</v>
          </cell>
          <cell r="I269"/>
          <cell r="J269"/>
          <cell r="K269">
            <v>3</v>
          </cell>
          <cell r="L269">
            <v>3</v>
          </cell>
          <cell r="M269">
            <v>1</v>
          </cell>
          <cell r="N269">
            <v>2760</v>
          </cell>
          <cell r="O269">
            <v>2760</v>
          </cell>
          <cell r="P269">
            <v>410.15659297023473</v>
          </cell>
          <cell r="Q269"/>
          <cell r="R269"/>
          <cell r="S269" t="str">
            <v>Missing 1996, 1998 &amp; 2001 escapement data</v>
          </cell>
          <cell r="T269" t="e">
            <v>#DIV/0!</v>
          </cell>
          <cell r="U269" t="e">
            <v>#DIV/0!</v>
          </cell>
          <cell r="V269"/>
          <cell r="W269" t="str">
            <v>NI</v>
          </cell>
        </row>
        <row r="270">
          <cell r="C270" t="str">
            <v>KENNEDY RIVER (LOWER)_Sockeye</v>
          </cell>
          <cell r="D270" t="str">
            <v>No</v>
          </cell>
          <cell r="E270" t="str">
            <v>No</v>
          </cell>
          <cell r="F270">
            <v>24</v>
          </cell>
          <cell r="G270" t="str">
            <v>KENNEDY RIVER (LOWER)</v>
          </cell>
          <cell r="H270" t="str">
            <v>Sockeye</v>
          </cell>
          <cell r="I270"/>
          <cell r="J270"/>
          <cell r="K270">
            <v>3</v>
          </cell>
          <cell r="L270">
            <v>3</v>
          </cell>
          <cell r="M270">
            <v>1</v>
          </cell>
          <cell r="N270">
            <v>609</v>
          </cell>
          <cell r="O270">
            <v>3500</v>
          </cell>
          <cell r="P270">
            <v>1459.9657530229947</v>
          </cell>
          <cell r="Q270"/>
          <cell r="R270"/>
          <cell r="S270" t="str">
            <v>Missing 1996, 1998 &amp; 2001 escapement data</v>
          </cell>
          <cell r="T270" t="e">
            <v>#DIV/0!</v>
          </cell>
          <cell r="U270" t="e">
            <v>#DIV/0!</v>
          </cell>
          <cell r="V270"/>
          <cell r="W270" t="str">
            <v>NI</v>
          </cell>
        </row>
        <row r="271">
          <cell r="C271" t="str">
            <v>KENNEDY RIVER (UPPER)_Chinook</v>
          </cell>
          <cell r="D271" t="str">
            <v>No</v>
          </cell>
          <cell r="E271" t="str">
            <v>No</v>
          </cell>
          <cell r="F271">
            <v>24</v>
          </cell>
          <cell r="G271" t="str">
            <v>KENNEDY RIVER (UPPER)</v>
          </cell>
          <cell r="H271" t="str">
            <v>Chinook</v>
          </cell>
          <cell r="I271"/>
          <cell r="J271"/>
          <cell r="K271">
            <v>3</v>
          </cell>
          <cell r="L271">
            <v>8</v>
          </cell>
          <cell r="M271">
            <v>7</v>
          </cell>
          <cell r="N271">
            <v>16.336227240591818</v>
          </cell>
          <cell r="O271">
            <v>43</v>
          </cell>
          <cell r="P271">
            <v>12.749371027891797</v>
          </cell>
          <cell r="Q271" t="str">
            <v>D.  Other systems surveyed extensively since 1995.  Not included with group (C) or (B) due to irregular surveys (ie not every year) or due to extremely low total adult escapement</v>
          </cell>
          <cell r="R271"/>
          <cell r="S271" t="str">
            <v>Missing 1995, 1997 &amp; 1998 escapement data</v>
          </cell>
          <cell r="T271">
            <v>3.5</v>
          </cell>
          <cell r="U271">
            <v>6.833333333333333</v>
          </cell>
          <cell r="V271"/>
          <cell r="W271">
            <v>4</v>
          </cell>
        </row>
        <row r="272">
          <cell r="C272" t="str">
            <v>KENNEDY RIVER (UPPER)_Chum</v>
          </cell>
          <cell r="D272" t="str">
            <v>No</v>
          </cell>
          <cell r="E272" t="str">
            <v>No</v>
          </cell>
          <cell r="F272">
            <v>24</v>
          </cell>
          <cell r="G272" t="str">
            <v>KENNEDY RIVER (UPPER)</v>
          </cell>
          <cell r="H272" t="str">
            <v>Chum</v>
          </cell>
          <cell r="I272"/>
          <cell r="J272"/>
          <cell r="K272">
            <v>3</v>
          </cell>
          <cell r="L272">
            <v>8</v>
          </cell>
          <cell r="M272">
            <v>7</v>
          </cell>
          <cell r="N272">
            <v>2.779453841356549</v>
          </cell>
          <cell r="O272">
            <v>22</v>
          </cell>
          <cell r="P272">
            <v>2.779453841356549</v>
          </cell>
          <cell r="Q272" t="str">
            <v>D.  Other systems surveyed extensively since 1995.  Not included with group (C) or (B) due to irregular surveys (ie not every year) or due to extremely low total adult escapement</v>
          </cell>
          <cell r="R272"/>
          <cell r="S272" t="str">
            <v>Missing 1995, 1997 &amp; 1998 escapement data</v>
          </cell>
          <cell r="T272">
            <v>3</v>
          </cell>
          <cell r="U272">
            <v>2.3333333333333335</v>
          </cell>
          <cell r="V272"/>
          <cell r="W272" t="str">
            <v>NO</v>
          </cell>
        </row>
        <row r="273">
          <cell r="C273" t="str">
            <v>KENNEDY RIVER (UPPER)_Coho</v>
          </cell>
          <cell r="D273" t="str">
            <v>No</v>
          </cell>
          <cell r="E273" t="str">
            <v>No</v>
          </cell>
          <cell r="F273">
            <v>24</v>
          </cell>
          <cell r="G273" t="str">
            <v>KENNEDY RIVER (UPPER)</v>
          </cell>
          <cell r="H273" t="str">
            <v>Coho</v>
          </cell>
          <cell r="I273"/>
          <cell r="J273"/>
          <cell r="K273">
            <v>3</v>
          </cell>
          <cell r="L273">
            <v>8</v>
          </cell>
          <cell r="M273">
            <v>8</v>
          </cell>
          <cell r="N273">
            <v>1291.4955281542289</v>
          </cell>
          <cell r="O273">
            <v>3500</v>
          </cell>
          <cell r="P273">
            <v>764.02196304372853</v>
          </cell>
          <cell r="Q273" t="str">
            <v>D.  Other systems surveyed extensively since 1995.  Not included with group (C) or (B) due to irregular surveys (ie not every year) or due to extremely low total adult escapement</v>
          </cell>
          <cell r="R273"/>
          <cell r="S273" t="str">
            <v>Missing 1995, 1997 &amp; 1998 escapement data</v>
          </cell>
          <cell r="T273">
            <v>918.5</v>
          </cell>
          <cell r="U273">
            <v>958.08333333333337</v>
          </cell>
          <cell r="V273"/>
          <cell r="W273">
            <v>422</v>
          </cell>
        </row>
        <row r="274">
          <cell r="C274" t="str">
            <v>KENNEDY RIVER (UPPER)_Sockeye</v>
          </cell>
          <cell r="D274" t="str">
            <v>No</v>
          </cell>
          <cell r="E274" t="str">
            <v>No</v>
          </cell>
          <cell r="F274">
            <v>24</v>
          </cell>
          <cell r="G274" t="str">
            <v>KENNEDY RIVER (UPPER)</v>
          </cell>
          <cell r="H274" t="str">
            <v>Sockeye</v>
          </cell>
          <cell r="I274"/>
          <cell r="J274"/>
          <cell r="K274">
            <v>3</v>
          </cell>
          <cell r="L274">
            <v>8</v>
          </cell>
          <cell r="M274">
            <v>8</v>
          </cell>
          <cell r="N274">
            <v>6028.9671510806847</v>
          </cell>
          <cell r="O274">
            <v>37756</v>
          </cell>
          <cell r="P274">
            <v>2122.7713365446393</v>
          </cell>
          <cell r="Q274" t="str">
            <v>D.  Other systems surveyed extensively since 1995.  Not included with group (C) or (B) due to irregular surveys (ie not every year) or due to extremely low total adult escapement</v>
          </cell>
          <cell r="R274"/>
          <cell r="S274" t="str">
            <v>Missing 1995, 1997 &amp; 1998 escapement data</v>
          </cell>
          <cell r="T274">
            <v>1798.5</v>
          </cell>
          <cell r="U274">
            <v>3450.5833333333335</v>
          </cell>
          <cell r="V274"/>
          <cell r="W274">
            <v>2924</v>
          </cell>
        </row>
        <row r="275">
          <cell r="C275" t="str">
            <v>KOOTOWIS CREEK_Chum</v>
          </cell>
          <cell r="D275" t="str">
            <v>No</v>
          </cell>
          <cell r="E275" t="str">
            <v>No</v>
          </cell>
          <cell r="F275">
            <v>24</v>
          </cell>
          <cell r="G275" t="str">
            <v>KOOTOWIS CREEK</v>
          </cell>
          <cell r="H275" t="str">
            <v>Chum</v>
          </cell>
          <cell r="I275"/>
          <cell r="J275"/>
          <cell r="K275">
            <v>4</v>
          </cell>
          <cell r="L275">
            <v>7</v>
          </cell>
          <cell r="M275">
            <v>7</v>
          </cell>
          <cell r="N275">
            <v>412.02846304113535</v>
          </cell>
          <cell r="O275">
            <v>5000</v>
          </cell>
          <cell r="P275">
            <v>625.52272673986647</v>
          </cell>
          <cell r="Q275"/>
          <cell r="R275"/>
          <cell r="S275" t="str">
            <v>Missing 3 years of data (2001, 2003 &amp; 2004).  Stream was not inspected in 2005 &amp; 2006.</v>
          </cell>
          <cell r="T275" t="e">
            <v>#DIV/0!</v>
          </cell>
          <cell r="U275" t="e">
            <v>#DIV/0!</v>
          </cell>
          <cell r="V275"/>
          <cell r="W275" t="str">
            <v>NI</v>
          </cell>
        </row>
        <row r="276">
          <cell r="C276" t="str">
            <v>KOOTOWIS CREEK_Coho</v>
          </cell>
          <cell r="D276" t="str">
            <v>No</v>
          </cell>
          <cell r="E276" t="str">
            <v>No</v>
          </cell>
          <cell r="F276">
            <v>24</v>
          </cell>
          <cell r="G276" t="str">
            <v>KOOTOWIS CREEK</v>
          </cell>
          <cell r="H276" t="str">
            <v>Coho</v>
          </cell>
          <cell r="I276"/>
          <cell r="J276"/>
          <cell r="K276">
            <v>4</v>
          </cell>
          <cell r="L276">
            <v>7</v>
          </cell>
          <cell r="M276">
            <v>7</v>
          </cell>
          <cell r="N276">
            <v>1698.7551783752626</v>
          </cell>
          <cell r="O276">
            <v>3500</v>
          </cell>
          <cell r="P276">
            <v>631.36587205260867</v>
          </cell>
          <cell r="Q276"/>
          <cell r="R276"/>
          <cell r="S276" t="str">
            <v>Missing 3 years of data (2001, 2003 &amp; 2004).  Stream was not inspected in 2005 &amp; 2006.</v>
          </cell>
          <cell r="T276" t="e">
            <v>#DIV/0!</v>
          </cell>
          <cell r="U276" t="e">
            <v>#DIV/0!</v>
          </cell>
          <cell r="V276"/>
          <cell r="W276" t="str">
            <v>NI</v>
          </cell>
        </row>
        <row r="277">
          <cell r="C277" t="str">
            <v>LITTLE WHITEPINE COVE #1 CREEK_Chum</v>
          </cell>
          <cell r="D277" t="str">
            <v>No</v>
          </cell>
          <cell r="E277" t="str">
            <v>No</v>
          </cell>
          <cell r="F277">
            <v>24</v>
          </cell>
          <cell r="G277" t="str">
            <v>LITTLE WHITEPINE COVE #1 CREEK</v>
          </cell>
          <cell r="H277" t="str">
            <v>Chum</v>
          </cell>
          <cell r="I277"/>
          <cell r="J277"/>
          <cell r="K277">
            <v>4</v>
          </cell>
          <cell r="L277">
            <v>2</v>
          </cell>
          <cell r="M277">
            <v>2</v>
          </cell>
          <cell r="N277">
            <v>350</v>
          </cell>
          <cell r="O277">
            <v>1650</v>
          </cell>
          <cell r="P277">
            <v>80.972536855608681</v>
          </cell>
          <cell r="Q277"/>
          <cell r="R277"/>
          <cell r="S277" t="str">
            <v>Missing 2 years data (1995 &amp; 1999). Last time stream was inspected was in 1998. Adult presence was entered as the estimate in 1998.</v>
          </cell>
          <cell r="T277" t="e">
            <v>#DIV/0!</v>
          </cell>
          <cell r="U277" t="e">
            <v>#DIV/0!</v>
          </cell>
          <cell r="V277"/>
          <cell r="W277" t="str">
            <v>NI</v>
          </cell>
        </row>
        <row r="278">
          <cell r="C278" t="str">
            <v>LITTLE WHITEPINE COVE #1 CREEK_Coho</v>
          </cell>
          <cell r="D278" t="str">
            <v>No</v>
          </cell>
          <cell r="E278" t="str">
            <v>No</v>
          </cell>
          <cell r="F278">
            <v>24</v>
          </cell>
          <cell r="G278" t="str">
            <v>LITTLE WHITEPINE COVE #1 CREEK</v>
          </cell>
          <cell r="H278" t="str">
            <v>Coho</v>
          </cell>
          <cell r="I278"/>
          <cell r="J278"/>
          <cell r="K278">
            <v>4</v>
          </cell>
          <cell r="L278">
            <v>2</v>
          </cell>
          <cell r="M278">
            <v>0</v>
          </cell>
          <cell r="N278" t="e">
            <v>#NUM!</v>
          </cell>
          <cell r="O278">
            <v>0</v>
          </cell>
          <cell r="P278" t="e">
            <v>#NUM!</v>
          </cell>
          <cell r="Q278"/>
          <cell r="R278"/>
          <cell r="S278" t="str">
            <v>Missing 2 years data (1995 &amp; 1999). Last time stream was inspected was in 1998.</v>
          </cell>
          <cell r="T278" t="e">
            <v>#DIV/0!</v>
          </cell>
          <cell r="U278" t="e">
            <v>#DIV/0!</v>
          </cell>
          <cell r="V278"/>
          <cell r="W278" t="str">
            <v>NI</v>
          </cell>
        </row>
        <row r="279">
          <cell r="C279" t="str">
            <v>LOST SHOE CREEK_Chum</v>
          </cell>
          <cell r="D279" t="str">
            <v>No</v>
          </cell>
          <cell r="E279" t="str">
            <v>No</v>
          </cell>
          <cell r="F279">
            <v>24</v>
          </cell>
          <cell r="G279" t="str">
            <v>LOST SHOE CREEK</v>
          </cell>
          <cell r="H279" t="str">
            <v>Chum</v>
          </cell>
          <cell r="I279"/>
          <cell r="J279"/>
          <cell r="K279">
            <v>5</v>
          </cell>
          <cell r="L279">
            <v>3</v>
          </cell>
          <cell r="M279">
            <v>2</v>
          </cell>
          <cell r="N279">
            <v>25.099800796022265</v>
          </cell>
          <cell r="O279">
            <v>400</v>
          </cell>
          <cell r="P279">
            <v>56.072329162507629</v>
          </cell>
          <cell r="Q279"/>
          <cell r="R279"/>
          <cell r="S279" t="str">
            <v>Missing data for 4 years (1998, 1999, 2000 &amp; 2001). Last inspection was in 1997.</v>
          </cell>
          <cell r="T279" t="e">
            <v>#DIV/0!</v>
          </cell>
          <cell r="U279">
            <v>254</v>
          </cell>
          <cell r="V279"/>
          <cell r="W279" t="str">
            <v>NI</v>
          </cell>
        </row>
        <row r="280">
          <cell r="C280" t="str">
            <v>LOST SHOE CREEK_Coho</v>
          </cell>
          <cell r="D280" t="str">
            <v>No</v>
          </cell>
          <cell r="E280" t="str">
            <v>No</v>
          </cell>
          <cell r="F280">
            <v>24</v>
          </cell>
          <cell r="G280" t="str">
            <v>LOST SHOE CREEK</v>
          </cell>
          <cell r="H280" t="str">
            <v>Coho</v>
          </cell>
          <cell r="I280"/>
          <cell r="J280"/>
          <cell r="K280">
            <v>5</v>
          </cell>
          <cell r="L280">
            <v>3</v>
          </cell>
          <cell r="M280">
            <v>1</v>
          </cell>
          <cell r="N280">
            <v>250</v>
          </cell>
          <cell r="O280">
            <v>750</v>
          </cell>
          <cell r="P280">
            <v>164.99483597791229</v>
          </cell>
          <cell r="Q280"/>
          <cell r="R280"/>
          <cell r="S280" t="str">
            <v>Missing data for 4 years (1998, 1999, 2000 &amp; 2001). Last inspection was in 1997.</v>
          </cell>
          <cell r="T280" t="e">
            <v>#DIV/0!</v>
          </cell>
          <cell r="U280">
            <v>21</v>
          </cell>
          <cell r="V280"/>
          <cell r="W280" t="str">
            <v>NI</v>
          </cell>
        </row>
        <row r="281">
          <cell r="C281" t="str">
            <v>MEARES CREEK_Chum</v>
          </cell>
          <cell r="D281" t="str">
            <v>No</v>
          </cell>
          <cell r="E281" t="str">
            <v>No</v>
          </cell>
          <cell r="F281">
            <v>24</v>
          </cell>
          <cell r="G281" t="str">
            <v>MEARES CREEK</v>
          </cell>
          <cell r="H281" t="str">
            <v>Chum</v>
          </cell>
          <cell r="I281"/>
          <cell r="J281"/>
          <cell r="K281"/>
          <cell r="L281"/>
          <cell r="M281"/>
          <cell r="N281"/>
          <cell r="O281"/>
          <cell r="P281"/>
          <cell r="Q281"/>
          <cell r="R281"/>
          <cell r="S281"/>
          <cell r="T281">
            <v>2</v>
          </cell>
          <cell r="U281">
            <v>48.5</v>
          </cell>
          <cell r="V281"/>
          <cell r="W281" t="str">
            <v>AP</v>
          </cell>
        </row>
        <row r="282">
          <cell r="C282" t="str">
            <v>MEARES CREEK_Coho</v>
          </cell>
          <cell r="D282" t="str">
            <v>No</v>
          </cell>
          <cell r="E282" t="str">
            <v>No</v>
          </cell>
          <cell r="F282">
            <v>24</v>
          </cell>
          <cell r="G282" t="str">
            <v>MEARES CREEK</v>
          </cell>
          <cell r="H282" t="str">
            <v>Coho</v>
          </cell>
          <cell r="I282"/>
          <cell r="J282"/>
          <cell r="K282"/>
          <cell r="L282"/>
          <cell r="M282"/>
          <cell r="N282"/>
          <cell r="O282"/>
          <cell r="P282"/>
          <cell r="Q282"/>
          <cell r="R282"/>
          <cell r="S282"/>
          <cell r="T282" t="e">
            <v>#DIV/0!</v>
          </cell>
          <cell r="U282">
            <v>3</v>
          </cell>
          <cell r="V282"/>
          <cell r="W282" t="str">
            <v>NO</v>
          </cell>
        </row>
        <row r="283">
          <cell r="C283" t="str">
            <v>MEGIN RIVER_Chinook</v>
          </cell>
          <cell r="D283" t="str">
            <v>No</v>
          </cell>
          <cell r="E283" t="str">
            <v>Yes</v>
          </cell>
          <cell r="F283">
            <v>24</v>
          </cell>
          <cell r="G283" t="str">
            <v>MEGIN RIVER</v>
          </cell>
          <cell r="H283" t="str">
            <v>Chinook</v>
          </cell>
          <cell r="I283"/>
          <cell r="J283"/>
          <cell r="K283">
            <v>3</v>
          </cell>
          <cell r="L283">
            <v>10</v>
          </cell>
          <cell r="M283">
            <v>10</v>
          </cell>
          <cell r="N283">
            <v>84.892886260049281</v>
          </cell>
          <cell r="O283">
            <v>1500</v>
          </cell>
          <cell r="P283">
            <v>108.88252178031614</v>
          </cell>
          <cell r="Q283" t="str">
            <v>C.  Other systems surveyed extensively since 1995, but due to lack of historic info, not included in expanded group (B)</v>
          </cell>
          <cell r="R283"/>
          <cell r="S283" t="str">
            <v>Average Esc from 1995-2005 from file: NEW ESCAPEMENT INDEX.XLS</v>
          </cell>
          <cell r="T283">
            <v>34.5</v>
          </cell>
          <cell r="U283">
            <v>42.5</v>
          </cell>
          <cell r="V283"/>
          <cell r="W283">
            <v>87</v>
          </cell>
        </row>
        <row r="284">
          <cell r="C284" t="str">
            <v>MEGIN RIVER_Chum</v>
          </cell>
          <cell r="D284" t="str">
            <v>No</v>
          </cell>
          <cell r="E284" t="str">
            <v>No</v>
          </cell>
          <cell r="F284">
            <v>24</v>
          </cell>
          <cell r="G284" t="str">
            <v>MEGIN RIVER</v>
          </cell>
          <cell r="H284" t="str">
            <v>Chum</v>
          </cell>
          <cell r="I284"/>
          <cell r="J284"/>
          <cell r="K284">
            <v>3</v>
          </cell>
          <cell r="L284">
            <v>11</v>
          </cell>
          <cell r="M284">
            <v>11</v>
          </cell>
          <cell r="N284">
            <v>1790.7143357708367</v>
          </cell>
          <cell r="O284">
            <v>30000</v>
          </cell>
          <cell r="P284">
            <v>3399.1464183945409</v>
          </cell>
          <cell r="Q284" t="str">
            <v>C.  Other systems surveyed extensively since 1995, but due to lack of historic info, not included in expanded group (B)</v>
          </cell>
          <cell r="R284"/>
          <cell r="S284" t="str">
            <v>Average Esc from 1995-2005 from file: NEW ESCAPEMENT INDEX.XLS</v>
          </cell>
          <cell r="T284">
            <v>58.75</v>
          </cell>
          <cell r="U284">
            <v>885.5</v>
          </cell>
          <cell r="V284"/>
          <cell r="W284">
            <v>118</v>
          </cell>
        </row>
        <row r="285">
          <cell r="C285" t="str">
            <v>MEGIN RIVER_Coho</v>
          </cell>
          <cell r="D285" t="str">
            <v>No</v>
          </cell>
          <cell r="E285" t="str">
            <v>No</v>
          </cell>
          <cell r="F285">
            <v>24</v>
          </cell>
          <cell r="G285" t="str">
            <v>MEGIN RIVER</v>
          </cell>
          <cell r="H285" t="str">
            <v>Coho</v>
          </cell>
          <cell r="I285"/>
          <cell r="J285"/>
          <cell r="K285">
            <v>3</v>
          </cell>
          <cell r="L285">
            <v>11</v>
          </cell>
          <cell r="M285">
            <v>11</v>
          </cell>
          <cell r="N285">
            <v>975.67661723956405</v>
          </cell>
          <cell r="O285">
            <v>4000</v>
          </cell>
          <cell r="P285">
            <v>569.98013109214764</v>
          </cell>
          <cell r="Q285" t="str">
            <v>C.  Other systems surveyed extensively since 1995, but due to lack of historic info, not included in expanded group (B)</v>
          </cell>
          <cell r="R285"/>
          <cell r="S285" t="str">
            <v>Average Esc from 1995-2005 from file: NEW ESCAPEMENT INDEX.XLS</v>
          </cell>
          <cell r="T285">
            <v>1236.75</v>
          </cell>
          <cell r="U285">
            <v>1205.5</v>
          </cell>
          <cell r="V285"/>
          <cell r="W285">
            <v>2107</v>
          </cell>
        </row>
        <row r="286">
          <cell r="C286" t="str">
            <v>MEGIN RIVER_Pink</v>
          </cell>
          <cell r="D286" t="str">
            <v>No</v>
          </cell>
          <cell r="E286" t="str">
            <v>No</v>
          </cell>
          <cell r="F286">
            <v>24</v>
          </cell>
          <cell r="G286" t="str">
            <v>MEGIN RIVER</v>
          </cell>
          <cell r="H286" t="str">
            <v>Pink</v>
          </cell>
          <cell r="I286"/>
          <cell r="J286"/>
          <cell r="K286">
            <v>3</v>
          </cell>
          <cell r="L286">
            <v>11</v>
          </cell>
          <cell r="M286">
            <v>6</v>
          </cell>
          <cell r="N286">
            <v>4.9877967249083053</v>
          </cell>
          <cell r="O286">
            <v>3500</v>
          </cell>
          <cell r="P286">
            <v>71.002603477899754</v>
          </cell>
          <cell r="Q286" t="str">
            <v>C.  Other systems surveyed extensively since 1995, but due to lack of historic info, not included in expanded group (B)</v>
          </cell>
          <cell r="R286"/>
          <cell r="S286"/>
          <cell r="T286">
            <v>1</v>
          </cell>
          <cell r="U286">
            <v>25.2</v>
          </cell>
          <cell r="V286"/>
          <cell r="W286" t="str">
            <v>NO</v>
          </cell>
        </row>
        <row r="287">
          <cell r="C287" t="str">
            <v>MEGIN RIVER_Sockeye</v>
          </cell>
          <cell r="D287" t="str">
            <v>No</v>
          </cell>
          <cell r="E287" t="str">
            <v>No</v>
          </cell>
          <cell r="F287">
            <v>24</v>
          </cell>
          <cell r="G287" t="str">
            <v>MEGIN RIVER</v>
          </cell>
          <cell r="H287" t="str">
            <v>Sockeye</v>
          </cell>
          <cell r="I287"/>
          <cell r="J287"/>
          <cell r="K287">
            <v>3</v>
          </cell>
          <cell r="L287">
            <v>11</v>
          </cell>
          <cell r="M287">
            <v>11</v>
          </cell>
          <cell r="N287">
            <v>387.55139192047778</v>
          </cell>
          <cell r="O287">
            <v>3500</v>
          </cell>
          <cell r="P287">
            <v>591.5959911851246</v>
          </cell>
          <cell r="Q287" t="str">
            <v>C.  Other systems surveyed extensively since 1995, but due to lack of historic info, not included in expanded group (B)</v>
          </cell>
          <cell r="R287"/>
          <cell r="S287"/>
          <cell r="T287">
            <v>1364</v>
          </cell>
          <cell r="U287">
            <v>1322</v>
          </cell>
          <cell r="V287"/>
          <cell r="W287">
            <v>3214</v>
          </cell>
        </row>
        <row r="288">
          <cell r="C288" t="str">
            <v>MOYEHA RIVER_Chinook</v>
          </cell>
          <cell r="D288" t="str">
            <v>No</v>
          </cell>
          <cell r="E288" t="str">
            <v>Yes</v>
          </cell>
          <cell r="F288">
            <v>24</v>
          </cell>
          <cell r="G288" t="str">
            <v>MOYEHA RIVER</v>
          </cell>
          <cell r="H288" t="str">
            <v>Chinook</v>
          </cell>
          <cell r="I288"/>
          <cell r="J288"/>
          <cell r="K288">
            <v>3</v>
          </cell>
          <cell r="L288">
            <v>11</v>
          </cell>
          <cell r="M288">
            <v>11</v>
          </cell>
          <cell r="N288">
            <v>129.15986056578828</v>
          </cell>
          <cell r="O288">
            <v>750</v>
          </cell>
          <cell r="P288">
            <v>106.84494436146005</v>
          </cell>
          <cell r="Q288" t="str">
            <v>C.  Other systems surveyed extensively since 1995, but due to lack of historic info, not included in expanded group (B)</v>
          </cell>
          <cell r="R288"/>
          <cell r="S288" t="str">
            <v>Average Esc from 1995-2005 from file: NEW ESCAPEMENT INDEX.XLS</v>
          </cell>
          <cell r="T288">
            <v>73.75</v>
          </cell>
          <cell r="U288">
            <v>70.599999999999994</v>
          </cell>
          <cell r="V288"/>
          <cell r="W288">
            <v>131</v>
          </cell>
        </row>
        <row r="289">
          <cell r="C289" t="str">
            <v>MOYEHA RIVER_Chum</v>
          </cell>
          <cell r="D289" t="str">
            <v>No</v>
          </cell>
          <cell r="E289" t="str">
            <v>No</v>
          </cell>
          <cell r="F289">
            <v>24</v>
          </cell>
          <cell r="G289" t="str">
            <v>MOYEHA RIVER</v>
          </cell>
          <cell r="H289" t="str">
            <v>Chum</v>
          </cell>
          <cell r="I289"/>
          <cell r="J289"/>
          <cell r="K289">
            <v>3</v>
          </cell>
          <cell r="L289">
            <v>11</v>
          </cell>
          <cell r="M289">
            <v>11</v>
          </cell>
          <cell r="N289">
            <v>9589.8491634518741</v>
          </cell>
          <cell r="O289">
            <v>24002</v>
          </cell>
          <cell r="P289">
            <v>4312.6128396819922</v>
          </cell>
          <cell r="Q289" t="str">
            <v>C.  Other systems surveyed extensively since 1995, but due to lack of historic info, not included in expanded group (B)</v>
          </cell>
          <cell r="R289"/>
          <cell r="S289" t="str">
            <v>Average Esc from 1995-2005 from file: NEW ESCAPEMENT INDEX.XLS</v>
          </cell>
          <cell r="T289">
            <v>722</v>
          </cell>
          <cell r="U289">
            <v>4584.8999999999996</v>
          </cell>
          <cell r="V289"/>
          <cell r="W289">
            <v>1594</v>
          </cell>
        </row>
        <row r="290">
          <cell r="C290" t="str">
            <v>MOYEHA RIVER_Coho</v>
          </cell>
          <cell r="D290" t="str">
            <v>No</v>
          </cell>
          <cell r="E290" t="str">
            <v>No</v>
          </cell>
          <cell r="F290">
            <v>24</v>
          </cell>
          <cell r="G290" t="str">
            <v>MOYEHA RIVER</v>
          </cell>
          <cell r="H290" t="str">
            <v>Coho</v>
          </cell>
          <cell r="I290"/>
          <cell r="J290"/>
          <cell r="K290">
            <v>3</v>
          </cell>
          <cell r="L290">
            <v>11</v>
          </cell>
          <cell r="M290">
            <v>11</v>
          </cell>
          <cell r="N290">
            <v>2264.785417425076</v>
          </cell>
          <cell r="O290">
            <v>5137</v>
          </cell>
          <cell r="P290">
            <v>762.31322663134654</v>
          </cell>
          <cell r="Q290" t="str">
            <v>C.  Other systems surveyed extensively since 1995, but due to lack of historic info, not included in expanded group (B)</v>
          </cell>
          <cell r="R290"/>
          <cell r="S290" t="str">
            <v>Average Esc from 1995-2005 from file: NEW ESCAPEMENT INDEX.XLS</v>
          </cell>
          <cell r="T290">
            <v>872.75</v>
          </cell>
          <cell r="U290">
            <v>1431.6</v>
          </cell>
          <cell r="V290"/>
          <cell r="W290">
            <v>870</v>
          </cell>
        </row>
        <row r="291">
          <cell r="C291" t="str">
            <v>MOYEHA RIVER_Pink</v>
          </cell>
          <cell r="D291" t="str">
            <v>No</v>
          </cell>
          <cell r="E291" t="str">
            <v>No</v>
          </cell>
          <cell r="F291">
            <v>24</v>
          </cell>
          <cell r="G291" t="str">
            <v>MOYEHA RIVER</v>
          </cell>
          <cell r="H291" t="str">
            <v>Pink</v>
          </cell>
          <cell r="I291"/>
          <cell r="J291"/>
          <cell r="K291">
            <v>3</v>
          </cell>
          <cell r="L291">
            <v>11</v>
          </cell>
          <cell r="M291">
            <v>10</v>
          </cell>
          <cell r="N291">
            <v>5.2438647816018111</v>
          </cell>
          <cell r="O291">
            <v>9000</v>
          </cell>
          <cell r="P291">
            <v>47.287641190364866</v>
          </cell>
          <cell r="Q291" t="str">
            <v>C.  Other systems surveyed extensively since 1995, but due to lack of historic info, not included in expanded group (B)</v>
          </cell>
          <cell r="R291"/>
          <cell r="S291"/>
          <cell r="T291">
            <v>3</v>
          </cell>
          <cell r="U291">
            <v>12.333333333333334</v>
          </cell>
          <cell r="V291"/>
          <cell r="W291" t="str">
            <v>AP</v>
          </cell>
        </row>
        <row r="292">
          <cell r="C292" t="str">
            <v>MOYEHA RIVER_Sockeye</v>
          </cell>
          <cell r="D292" t="str">
            <v>No</v>
          </cell>
          <cell r="E292" t="str">
            <v>No</v>
          </cell>
          <cell r="F292">
            <v>24</v>
          </cell>
          <cell r="G292" t="str">
            <v>MOYEHA RIVER</v>
          </cell>
          <cell r="H292" t="str">
            <v>Sockeye</v>
          </cell>
          <cell r="I292"/>
          <cell r="J292"/>
          <cell r="K292">
            <v>3</v>
          </cell>
          <cell r="L292">
            <v>11</v>
          </cell>
          <cell r="M292">
            <v>11</v>
          </cell>
          <cell r="N292">
            <v>175.4792328077655</v>
          </cell>
          <cell r="O292">
            <v>580</v>
          </cell>
          <cell r="P292">
            <v>95.447063569675578</v>
          </cell>
          <cell r="Q292" t="str">
            <v>C.  Other systems surveyed extensively since 1995, but due to lack of historic info, not included in expanded group (B)</v>
          </cell>
          <cell r="R292"/>
          <cell r="S292"/>
          <cell r="T292">
            <v>178.5</v>
          </cell>
          <cell r="U292">
            <v>219.1</v>
          </cell>
          <cell r="V292"/>
          <cell r="W292">
            <v>149</v>
          </cell>
        </row>
        <row r="293">
          <cell r="C293" t="str">
            <v>MURIEL LAKE CREEK_Sockeye</v>
          </cell>
          <cell r="D293" t="str">
            <v>No</v>
          </cell>
          <cell r="E293" t="str">
            <v>No</v>
          </cell>
          <cell r="F293">
            <v>24</v>
          </cell>
          <cell r="G293" t="str">
            <v>MURIEL LAKE CREEK</v>
          </cell>
          <cell r="H293" t="str">
            <v>Sockeye</v>
          </cell>
          <cell r="I293"/>
          <cell r="J293"/>
          <cell r="K293"/>
          <cell r="L293"/>
          <cell r="M293"/>
          <cell r="N293"/>
          <cell r="O293"/>
          <cell r="P293"/>
          <cell r="Q293"/>
          <cell r="R293"/>
          <cell r="S293"/>
          <cell r="T293">
            <v>69</v>
          </cell>
          <cell r="U293">
            <v>119</v>
          </cell>
          <cell r="V293"/>
          <cell r="W293"/>
        </row>
        <row r="294">
          <cell r="C294" t="str">
            <v>MURIEL S1 CREEK_Coho</v>
          </cell>
          <cell r="D294" t="str">
            <v>No</v>
          </cell>
          <cell r="E294" t="str">
            <v>No</v>
          </cell>
          <cell r="F294">
            <v>24</v>
          </cell>
          <cell r="G294" t="str">
            <v>MURIEL S1 CREEK</v>
          </cell>
          <cell r="H294" t="str">
            <v>Coho</v>
          </cell>
          <cell r="I294"/>
          <cell r="J294"/>
          <cell r="K294"/>
          <cell r="L294"/>
          <cell r="M294"/>
          <cell r="N294"/>
          <cell r="O294"/>
          <cell r="P294"/>
          <cell r="Q294"/>
          <cell r="R294"/>
          <cell r="S294"/>
          <cell r="T294" t="e">
            <v>#DIV/0!</v>
          </cell>
          <cell r="U294" t="e">
            <v>#DIV/0!</v>
          </cell>
          <cell r="V294"/>
          <cell r="W294"/>
        </row>
        <row r="295">
          <cell r="C295" t="str">
            <v>MURIEL S1 CREEK_Sockeye</v>
          </cell>
          <cell r="D295" t="str">
            <v>No</v>
          </cell>
          <cell r="E295" t="str">
            <v>No</v>
          </cell>
          <cell r="F295">
            <v>24</v>
          </cell>
          <cell r="G295" t="str">
            <v>MURIEL S1 CREEK</v>
          </cell>
          <cell r="H295" t="str">
            <v>Sockeye</v>
          </cell>
          <cell r="I295"/>
          <cell r="J295"/>
          <cell r="K295"/>
          <cell r="L295"/>
          <cell r="M295"/>
          <cell r="N295"/>
          <cell r="O295"/>
          <cell r="P295"/>
          <cell r="Q295"/>
          <cell r="R295"/>
          <cell r="S295"/>
          <cell r="T295" t="e">
            <v>#DIV/0!</v>
          </cell>
          <cell r="U295">
            <v>73</v>
          </cell>
          <cell r="V295"/>
          <cell r="W295"/>
        </row>
        <row r="296">
          <cell r="C296" t="str">
            <v>PACILTH CREEK_Chum</v>
          </cell>
          <cell r="D296" t="str">
            <v>No</v>
          </cell>
          <cell r="E296" t="str">
            <v>No</v>
          </cell>
          <cell r="F296">
            <v>24</v>
          </cell>
          <cell r="G296" t="str">
            <v>PACILTH CREEK</v>
          </cell>
          <cell r="H296" t="str">
            <v>Chum</v>
          </cell>
          <cell r="I296"/>
          <cell r="J296"/>
          <cell r="K296"/>
          <cell r="L296"/>
          <cell r="M296"/>
          <cell r="N296"/>
          <cell r="O296"/>
          <cell r="P296"/>
          <cell r="Q296"/>
          <cell r="R296"/>
          <cell r="S296"/>
          <cell r="T296" t="e">
            <v>#DIV/0!</v>
          </cell>
          <cell r="U296" t="e">
            <v>#DIV/0!</v>
          </cell>
          <cell r="V296"/>
          <cell r="W296"/>
        </row>
        <row r="297">
          <cell r="C297" t="str">
            <v>PACILTH CREEK_Coho</v>
          </cell>
          <cell r="D297" t="str">
            <v>No</v>
          </cell>
          <cell r="E297" t="str">
            <v>No</v>
          </cell>
          <cell r="F297">
            <v>24</v>
          </cell>
          <cell r="G297" t="str">
            <v>PACILTH CREEK</v>
          </cell>
          <cell r="H297" t="str">
            <v>Coho</v>
          </cell>
          <cell r="I297"/>
          <cell r="J297"/>
          <cell r="K297"/>
          <cell r="L297"/>
          <cell r="M297"/>
          <cell r="N297"/>
          <cell r="O297"/>
          <cell r="P297"/>
          <cell r="Q297"/>
          <cell r="R297"/>
          <cell r="S297"/>
          <cell r="T297" t="e">
            <v>#DIV/0!</v>
          </cell>
          <cell r="U297" t="e">
            <v>#DIV/0!</v>
          </cell>
          <cell r="V297"/>
          <cell r="W297"/>
        </row>
        <row r="298">
          <cell r="C298" t="str">
            <v>PURDON CREEK_Chum</v>
          </cell>
          <cell r="D298" t="str">
            <v>No</v>
          </cell>
          <cell r="E298" t="str">
            <v>No</v>
          </cell>
          <cell r="F298">
            <v>24</v>
          </cell>
          <cell r="G298" t="str">
            <v>PURDON CREEK</v>
          </cell>
          <cell r="H298" t="str">
            <v>Chum</v>
          </cell>
          <cell r="I298"/>
          <cell r="J298"/>
          <cell r="K298"/>
          <cell r="L298"/>
          <cell r="M298"/>
          <cell r="N298"/>
          <cell r="O298"/>
          <cell r="P298"/>
          <cell r="Q298"/>
          <cell r="R298"/>
          <cell r="S298"/>
          <cell r="T298" t="e">
            <v>#DIV/0!</v>
          </cell>
          <cell r="U298" t="e">
            <v>#DIV/0!</v>
          </cell>
          <cell r="V298"/>
          <cell r="W298"/>
        </row>
        <row r="299">
          <cell r="C299" t="str">
            <v>PURDON CREEK_Coho</v>
          </cell>
          <cell r="D299" t="str">
            <v>No</v>
          </cell>
          <cell r="E299" t="str">
            <v>No</v>
          </cell>
          <cell r="F299">
            <v>24</v>
          </cell>
          <cell r="G299" t="str">
            <v>PURDON CREEK</v>
          </cell>
          <cell r="H299" t="str">
            <v>Coho</v>
          </cell>
          <cell r="I299"/>
          <cell r="J299"/>
          <cell r="K299"/>
          <cell r="L299"/>
          <cell r="M299"/>
          <cell r="N299"/>
          <cell r="O299"/>
          <cell r="P299"/>
          <cell r="Q299"/>
          <cell r="R299"/>
          <cell r="S299"/>
          <cell r="T299" t="e">
            <v>#DIV/0!</v>
          </cell>
          <cell r="U299" t="e">
            <v>#DIV/0!</v>
          </cell>
          <cell r="V299"/>
          <cell r="W299"/>
        </row>
        <row r="300">
          <cell r="C300" t="str">
            <v>RILEY CREEK_Chum</v>
          </cell>
          <cell r="D300" t="str">
            <v>No</v>
          </cell>
          <cell r="E300" t="str">
            <v>No</v>
          </cell>
          <cell r="F300">
            <v>24</v>
          </cell>
          <cell r="G300" t="str">
            <v>RILEY CREEK</v>
          </cell>
          <cell r="H300" t="str">
            <v>Chum</v>
          </cell>
          <cell r="I300"/>
          <cell r="J300"/>
          <cell r="K300">
            <v>4</v>
          </cell>
          <cell r="L300">
            <v>5</v>
          </cell>
          <cell r="M300">
            <v>2</v>
          </cell>
          <cell r="N300">
            <v>2</v>
          </cell>
          <cell r="O300">
            <v>1500</v>
          </cell>
          <cell r="P300">
            <v>102.16674447660652</v>
          </cell>
          <cell r="Q300"/>
          <cell r="R300"/>
          <cell r="S300" t="str">
            <v>One of the two estimates was Adult Present. Last survey was in 2001, no fish were observed.</v>
          </cell>
          <cell r="T300" t="e">
            <v>#DIV/0!</v>
          </cell>
          <cell r="U300" t="e">
            <v>#DIV/0!</v>
          </cell>
          <cell r="V300"/>
          <cell r="W300"/>
        </row>
        <row r="301">
          <cell r="C301" t="str">
            <v>RILEY CREEK_Coho</v>
          </cell>
          <cell r="D301" t="str">
            <v>No</v>
          </cell>
          <cell r="E301" t="str">
            <v>No</v>
          </cell>
          <cell r="F301">
            <v>24</v>
          </cell>
          <cell r="G301" t="str">
            <v>RILEY CREEK</v>
          </cell>
          <cell r="H301" t="str">
            <v>Coho</v>
          </cell>
          <cell r="I301"/>
          <cell r="J301"/>
          <cell r="K301">
            <v>4</v>
          </cell>
          <cell r="L301">
            <v>5</v>
          </cell>
          <cell r="M301">
            <v>1</v>
          </cell>
          <cell r="N301">
            <v>20</v>
          </cell>
          <cell r="O301">
            <v>100</v>
          </cell>
          <cell r="P301">
            <v>35.739929263256613</v>
          </cell>
          <cell r="Q301"/>
          <cell r="R301"/>
          <cell r="S301" t="str">
            <v>Last survey was in 2001, no fish were observed.</v>
          </cell>
          <cell r="T301" t="e">
            <v>#DIV/0!</v>
          </cell>
          <cell r="U301" t="e">
            <v>#DIV/0!</v>
          </cell>
          <cell r="V301"/>
          <cell r="W301"/>
        </row>
        <row r="302">
          <cell r="C302" t="str">
            <v>SAND RIVER_Chinook</v>
          </cell>
          <cell r="D302" t="str">
            <v>No</v>
          </cell>
          <cell r="E302" t="str">
            <v>No</v>
          </cell>
          <cell r="F302">
            <v>24</v>
          </cell>
          <cell r="G302" t="str">
            <v>SAND RIVER</v>
          </cell>
          <cell r="H302" t="str">
            <v>Chinook</v>
          </cell>
          <cell r="I302"/>
          <cell r="J302"/>
          <cell r="K302">
            <v>4</v>
          </cell>
          <cell r="L302">
            <v>5</v>
          </cell>
          <cell r="M302">
            <v>4</v>
          </cell>
          <cell r="N302">
            <v>9.9330217782693371</v>
          </cell>
          <cell r="O302">
            <v>58</v>
          </cell>
          <cell r="P302">
            <v>9.9330217782693371</v>
          </cell>
          <cell r="Q302"/>
          <cell r="R302"/>
          <cell r="S302" t="str">
            <v>Missing data for 4 years (1995, 1997, 1998 &amp; 2000). Last survey was in 2004.</v>
          </cell>
          <cell r="T302">
            <v>1</v>
          </cell>
          <cell r="U302">
            <v>1</v>
          </cell>
          <cell r="V302"/>
          <cell r="W302" t="str">
            <v>NO</v>
          </cell>
        </row>
        <row r="303">
          <cell r="C303" t="str">
            <v>SAND RIVER_Chum</v>
          </cell>
          <cell r="D303" t="str">
            <v>No</v>
          </cell>
          <cell r="E303" t="str">
            <v>No</v>
          </cell>
          <cell r="F303">
            <v>24</v>
          </cell>
          <cell r="G303" t="str">
            <v>SAND RIVER</v>
          </cell>
          <cell r="H303" t="str">
            <v>Chum</v>
          </cell>
          <cell r="I303"/>
          <cell r="J303"/>
          <cell r="K303">
            <v>4</v>
          </cell>
          <cell r="L303">
            <v>5</v>
          </cell>
          <cell r="M303">
            <v>2</v>
          </cell>
          <cell r="N303">
            <v>2</v>
          </cell>
          <cell r="O303">
            <v>2</v>
          </cell>
          <cell r="P303">
            <v>2</v>
          </cell>
          <cell r="Q303"/>
          <cell r="R303"/>
          <cell r="S303" t="str">
            <v>Missing data for 4 years (1995, 1997, 1998 &amp; 2000). Last survey was in 2004. One of the two estimates was Adult Present.</v>
          </cell>
          <cell r="T303" t="e">
            <v>#DIV/0!</v>
          </cell>
          <cell r="U303" t="e">
            <v>#DIV/0!</v>
          </cell>
          <cell r="V303"/>
          <cell r="W303" t="str">
            <v>AP</v>
          </cell>
        </row>
        <row r="304">
          <cell r="C304" t="str">
            <v>SAND RIVER_Coho</v>
          </cell>
          <cell r="D304" t="str">
            <v>No</v>
          </cell>
          <cell r="E304" t="str">
            <v>No</v>
          </cell>
          <cell r="F304">
            <v>24</v>
          </cell>
          <cell r="G304" t="str">
            <v>SAND RIVER</v>
          </cell>
          <cell r="H304" t="str">
            <v>Coho</v>
          </cell>
          <cell r="I304"/>
          <cell r="J304"/>
          <cell r="K304">
            <v>4</v>
          </cell>
          <cell r="L304">
            <v>5</v>
          </cell>
          <cell r="M304">
            <v>5</v>
          </cell>
          <cell r="N304">
            <v>28.274457524759629</v>
          </cell>
          <cell r="O304">
            <v>64</v>
          </cell>
          <cell r="P304">
            <v>28.274457524759629</v>
          </cell>
          <cell r="Q304"/>
          <cell r="R304"/>
          <cell r="S304" t="str">
            <v>Missing data for 4 years (1995, 1997, 1998 &amp; 2000). Last survey was in 2004.</v>
          </cell>
          <cell r="T304">
            <v>11</v>
          </cell>
          <cell r="U304">
            <v>7.666666666666667</v>
          </cell>
          <cell r="V304"/>
          <cell r="W304">
            <v>18</v>
          </cell>
        </row>
        <row r="305">
          <cell r="C305" t="str">
            <v>SAND RIVER_Sockeye</v>
          </cell>
          <cell r="D305" t="str">
            <v>No</v>
          </cell>
          <cell r="E305" t="str">
            <v>No</v>
          </cell>
          <cell r="F305">
            <v>24</v>
          </cell>
          <cell r="G305" t="str">
            <v>SAND RIVER</v>
          </cell>
          <cell r="H305" t="str">
            <v>Sockeye</v>
          </cell>
          <cell r="I305"/>
          <cell r="J305"/>
          <cell r="K305">
            <v>4</v>
          </cell>
          <cell r="L305">
            <v>5</v>
          </cell>
          <cell r="M305">
            <v>4</v>
          </cell>
          <cell r="N305">
            <v>50.447804292278043</v>
          </cell>
          <cell r="O305">
            <v>562</v>
          </cell>
          <cell r="P305">
            <v>50.447804292278043</v>
          </cell>
          <cell r="Q305"/>
          <cell r="R305"/>
          <cell r="S305" t="str">
            <v>Missing data for 4 years (1995, 1997, 1998 &amp; 2000). Last survey was in 2004.</v>
          </cell>
          <cell r="T305" t="e">
            <v>#DIV/0!</v>
          </cell>
          <cell r="U305">
            <v>34</v>
          </cell>
          <cell r="V305"/>
          <cell r="W305" t="str">
            <v>NO</v>
          </cell>
        </row>
        <row r="306">
          <cell r="C306" t="str">
            <v>SANDHILL CREEK_Chum</v>
          </cell>
          <cell r="D306" t="str">
            <v>No</v>
          </cell>
          <cell r="E306" t="str">
            <v>No</v>
          </cell>
          <cell r="F306">
            <v>24</v>
          </cell>
          <cell r="G306" t="str">
            <v>SANDHILL CREEK</v>
          </cell>
          <cell r="H306" t="str">
            <v>Chum</v>
          </cell>
          <cell r="I306"/>
          <cell r="J306"/>
          <cell r="K306">
            <v>5</v>
          </cell>
          <cell r="L306">
            <v>2</v>
          </cell>
          <cell r="M306">
            <v>0</v>
          </cell>
          <cell r="N306" t="e">
            <v>#NUM!</v>
          </cell>
          <cell r="O306">
            <v>100</v>
          </cell>
          <cell r="P306">
            <v>38.729833462074168</v>
          </cell>
          <cell r="Q306"/>
          <cell r="R306"/>
          <cell r="S306" t="str">
            <v>Missing data for 4 years (1995, 1998, 1999 &amp; 2000). Last survey was in 1997.</v>
          </cell>
          <cell r="T306" t="e">
            <v>#DIV/0!</v>
          </cell>
          <cell r="U306">
            <v>32</v>
          </cell>
          <cell r="V306"/>
          <cell r="W306"/>
        </row>
        <row r="307">
          <cell r="C307" t="str">
            <v>SANDHILL CREEK_Coho</v>
          </cell>
          <cell r="D307" t="str">
            <v>No</v>
          </cell>
          <cell r="E307" t="str">
            <v>No</v>
          </cell>
          <cell r="F307">
            <v>24</v>
          </cell>
          <cell r="G307" t="str">
            <v>SANDHILL CREEK</v>
          </cell>
          <cell r="H307" t="str">
            <v>Coho</v>
          </cell>
          <cell r="I307"/>
          <cell r="J307"/>
          <cell r="K307">
            <v>5</v>
          </cell>
          <cell r="L307">
            <v>2</v>
          </cell>
          <cell r="M307">
            <v>2</v>
          </cell>
          <cell r="N307">
            <v>109.54451150103323</v>
          </cell>
          <cell r="O307">
            <v>200</v>
          </cell>
          <cell r="P307">
            <v>62.296852362194997</v>
          </cell>
          <cell r="Q307"/>
          <cell r="R307"/>
          <cell r="S307" t="str">
            <v>Missing data for 4 years (1995, 1998, 1999 &amp; 2000). Last survey was in 1997.</v>
          </cell>
          <cell r="T307" t="e">
            <v>#DIV/0!</v>
          </cell>
          <cell r="U307">
            <v>4</v>
          </cell>
          <cell r="V307"/>
          <cell r="W307"/>
        </row>
        <row r="308">
          <cell r="C308" t="str">
            <v>SATCHIE CREEK_Chum</v>
          </cell>
          <cell r="D308" t="str">
            <v>No</v>
          </cell>
          <cell r="E308" t="str">
            <v>No</v>
          </cell>
          <cell r="F308">
            <v>24</v>
          </cell>
          <cell r="G308" t="str">
            <v>SATCHIE CREEK</v>
          </cell>
          <cell r="H308" t="str">
            <v>Chum</v>
          </cell>
          <cell r="I308"/>
          <cell r="J308"/>
          <cell r="K308"/>
          <cell r="L308"/>
          <cell r="M308"/>
          <cell r="N308"/>
          <cell r="O308"/>
          <cell r="P308"/>
          <cell r="Q308"/>
          <cell r="R308"/>
          <cell r="S308"/>
          <cell r="T308" t="e">
            <v>#DIV/0!</v>
          </cell>
          <cell r="U308">
            <v>0</v>
          </cell>
          <cell r="V308"/>
          <cell r="W308"/>
        </row>
        <row r="309">
          <cell r="C309" t="str">
            <v>SATCHIE CREEK_Coho</v>
          </cell>
          <cell r="D309" t="str">
            <v>No</v>
          </cell>
          <cell r="E309" t="str">
            <v>No</v>
          </cell>
          <cell r="F309">
            <v>24</v>
          </cell>
          <cell r="G309" t="str">
            <v>SATCHIE CREEK</v>
          </cell>
          <cell r="H309" t="str">
            <v>Coho</v>
          </cell>
          <cell r="I309"/>
          <cell r="J309"/>
          <cell r="K309"/>
          <cell r="L309"/>
          <cell r="M309"/>
          <cell r="N309"/>
          <cell r="O309"/>
          <cell r="P309"/>
          <cell r="Q309"/>
          <cell r="R309"/>
          <cell r="S309"/>
          <cell r="T309" t="e">
            <v>#DIV/0!</v>
          </cell>
          <cell r="U309">
            <v>101.5</v>
          </cell>
          <cell r="V309"/>
          <cell r="W309"/>
        </row>
        <row r="310">
          <cell r="C310" t="str">
            <v>SHARP CREEK_Chum</v>
          </cell>
          <cell r="D310" t="str">
            <v>No</v>
          </cell>
          <cell r="E310" t="str">
            <v>No</v>
          </cell>
          <cell r="F310">
            <v>24</v>
          </cell>
          <cell r="G310" t="str">
            <v>SHARP CREEK</v>
          </cell>
          <cell r="H310" t="str">
            <v>Chum</v>
          </cell>
          <cell r="I310"/>
          <cell r="J310"/>
          <cell r="K310"/>
          <cell r="L310"/>
          <cell r="M310"/>
          <cell r="N310"/>
          <cell r="O310"/>
          <cell r="P310"/>
          <cell r="Q310"/>
          <cell r="R310"/>
          <cell r="S310"/>
          <cell r="T310">
            <v>575</v>
          </cell>
          <cell r="U310">
            <v>250.4</v>
          </cell>
          <cell r="V310"/>
          <cell r="W310">
            <v>127</v>
          </cell>
        </row>
        <row r="311">
          <cell r="C311" t="str">
            <v>SHARP CREEK_Coho</v>
          </cell>
          <cell r="D311" t="str">
            <v>No</v>
          </cell>
          <cell r="E311" t="str">
            <v>No</v>
          </cell>
          <cell r="F311">
            <v>24</v>
          </cell>
          <cell r="G311" t="str">
            <v>SHARP CREEK</v>
          </cell>
          <cell r="H311" t="str">
            <v>Coho</v>
          </cell>
          <cell r="I311"/>
          <cell r="J311"/>
          <cell r="K311"/>
          <cell r="L311"/>
          <cell r="M311"/>
          <cell r="N311"/>
          <cell r="O311"/>
          <cell r="P311"/>
          <cell r="Q311"/>
          <cell r="R311"/>
          <cell r="S311"/>
          <cell r="T311" t="e">
            <v>#DIV/0!</v>
          </cell>
          <cell r="U311" t="e">
            <v>#DIV/0!</v>
          </cell>
          <cell r="V311"/>
          <cell r="W311" t="str">
            <v>NO</v>
          </cell>
        </row>
        <row r="312">
          <cell r="C312" t="str">
            <v>SUTTON MILL CREEK_Chum</v>
          </cell>
          <cell r="D312" t="str">
            <v>No</v>
          </cell>
          <cell r="E312" t="str">
            <v>No</v>
          </cell>
          <cell r="F312">
            <v>24</v>
          </cell>
          <cell r="G312" t="str">
            <v>SUTTON MILL CREEK</v>
          </cell>
          <cell r="H312" t="str">
            <v>Chum</v>
          </cell>
          <cell r="I312"/>
          <cell r="J312"/>
          <cell r="K312">
            <v>4</v>
          </cell>
          <cell r="L312">
            <v>8</v>
          </cell>
          <cell r="M312">
            <v>8</v>
          </cell>
          <cell r="N312">
            <v>167.66980770854423</v>
          </cell>
          <cell r="O312">
            <v>3500</v>
          </cell>
          <cell r="P312">
            <v>366.467715903022</v>
          </cell>
          <cell r="Q312"/>
          <cell r="R312"/>
          <cell r="S312" t="str">
            <v xml:space="preserve">Chum is the target species.  Missing 2 years data ( 1997 &amp; 1999). </v>
          </cell>
          <cell r="T312">
            <v>27.333333333333332</v>
          </cell>
          <cell r="U312">
            <v>50.625</v>
          </cell>
          <cell r="V312"/>
          <cell r="W312">
            <v>40</v>
          </cell>
        </row>
        <row r="313">
          <cell r="C313" t="str">
            <v>SUTTON MILL CREEK_Coho</v>
          </cell>
          <cell r="D313" t="str">
            <v>No</v>
          </cell>
          <cell r="E313" t="str">
            <v>No</v>
          </cell>
          <cell r="F313">
            <v>24</v>
          </cell>
          <cell r="G313" t="str">
            <v>SUTTON MILL CREEK</v>
          </cell>
          <cell r="H313" t="str">
            <v>Coho</v>
          </cell>
          <cell r="I313"/>
          <cell r="J313"/>
          <cell r="K313">
            <v>4</v>
          </cell>
          <cell r="L313">
            <v>8</v>
          </cell>
          <cell r="M313">
            <v>1</v>
          </cell>
          <cell r="N313" t="e">
            <v>#NUM!</v>
          </cell>
          <cell r="O313">
            <v>100</v>
          </cell>
          <cell r="P313">
            <v>31.317975743392665</v>
          </cell>
          <cell r="Q313"/>
          <cell r="R313"/>
          <cell r="S313" t="str">
            <v>Chum is the target species.  Missing 2 years data ( 1997 &amp; 1999). Adult Present was entered as the estimate in 2001.</v>
          </cell>
          <cell r="T313" t="e">
            <v>#DIV/0!</v>
          </cell>
          <cell r="U313" t="e">
            <v>#DIV/0!</v>
          </cell>
          <cell r="V313"/>
          <cell r="W313" t="str">
            <v>NO</v>
          </cell>
        </row>
        <row r="314">
          <cell r="C314" t="str">
            <v>SYDNEY RIVER_Chinook</v>
          </cell>
          <cell r="D314" t="str">
            <v>No</v>
          </cell>
          <cell r="E314" t="str">
            <v>No</v>
          </cell>
          <cell r="F314">
            <v>24</v>
          </cell>
          <cell r="G314" t="str">
            <v>SYDNEY RIVER</v>
          </cell>
          <cell r="H314" t="str">
            <v>Chinook</v>
          </cell>
          <cell r="I314"/>
          <cell r="J314"/>
          <cell r="K314">
            <v>4</v>
          </cell>
          <cell r="L314">
            <v>7</v>
          </cell>
          <cell r="M314">
            <v>3</v>
          </cell>
          <cell r="N314">
            <v>17.602234735867867</v>
          </cell>
          <cell r="O314">
            <v>750</v>
          </cell>
          <cell r="P314">
            <v>36.904397385637239</v>
          </cell>
          <cell r="Q314"/>
          <cell r="R314"/>
          <cell r="S314" t="str">
            <v>Chum is the target species.  Last time stream was surveyed was in 2002.</v>
          </cell>
          <cell r="T314" t="e">
            <v>#DIV/0!</v>
          </cell>
          <cell r="U314" t="e">
            <v>#DIV/0!</v>
          </cell>
          <cell r="V314"/>
          <cell r="W314"/>
        </row>
        <row r="315">
          <cell r="C315" t="str">
            <v>SYDNEY RIVER_Chum</v>
          </cell>
          <cell r="D315" t="str">
            <v>No</v>
          </cell>
          <cell r="E315" t="str">
            <v>No</v>
          </cell>
          <cell r="F315">
            <v>24</v>
          </cell>
          <cell r="G315" t="str">
            <v>SYDNEY RIVER</v>
          </cell>
          <cell r="H315" t="str">
            <v>Chum</v>
          </cell>
          <cell r="I315"/>
          <cell r="J315"/>
          <cell r="K315">
            <v>4</v>
          </cell>
          <cell r="L315">
            <v>7</v>
          </cell>
          <cell r="M315">
            <v>7</v>
          </cell>
          <cell r="N315">
            <v>794.48109666233734</v>
          </cell>
          <cell r="O315">
            <v>4000</v>
          </cell>
          <cell r="P315">
            <v>553.55287355082476</v>
          </cell>
          <cell r="Q315"/>
          <cell r="R315"/>
          <cell r="S315" t="str">
            <v>Chum is the target species.  Last time stream was surveyed was in 2002.</v>
          </cell>
          <cell r="T315" t="e">
            <v>#DIV/0!</v>
          </cell>
          <cell r="U315">
            <v>57</v>
          </cell>
          <cell r="V315"/>
          <cell r="W315"/>
        </row>
        <row r="316">
          <cell r="C316" t="str">
            <v>SYDNEY RIVER_Coho</v>
          </cell>
          <cell r="D316" t="str">
            <v>No</v>
          </cell>
          <cell r="E316" t="str">
            <v>No</v>
          </cell>
          <cell r="F316">
            <v>24</v>
          </cell>
          <cell r="G316" t="str">
            <v>SYDNEY RIVER</v>
          </cell>
          <cell r="H316" t="str">
            <v>Coho</v>
          </cell>
          <cell r="I316"/>
          <cell r="J316"/>
          <cell r="K316">
            <v>4</v>
          </cell>
          <cell r="L316">
            <v>7</v>
          </cell>
          <cell r="M316">
            <v>5</v>
          </cell>
          <cell r="N316">
            <v>276.58899214195191</v>
          </cell>
          <cell r="O316">
            <v>1500</v>
          </cell>
          <cell r="P316">
            <v>177.07705545150165</v>
          </cell>
          <cell r="Q316"/>
          <cell r="R316"/>
          <cell r="S316" t="str">
            <v>Chum is the target species.  Last time stream was surveyed was in 2002.</v>
          </cell>
          <cell r="T316" t="e">
            <v>#DIV/0!</v>
          </cell>
          <cell r="U316">
            <v>401</v>
          </cell>
          <cell r="V316"/>
          <cell r="W316"/>
        </row>
        <row r="317">
          <cell r="C317" t="str">
            <v>SYDNEY RIVER_Sockeye</v>
          </cell>
          <cell r="D317" t="str">
            <v>No</v>
          </cell>
          <cell r="E317" t="str">
            <v>No</v>
          </cell>
          <cell r="F317">
            <v>24</v>
          </cell>
          <cell r="G317" t="str">
            <v>SYDNEY RIVER</v>
          </cell>
          <cell r="H317" t="str">
            <v>Sockeye</v>
          </cell>
          <cell r="I317"/>
          <cell r="J317"/>
          <cell r="K317">
            <v>4</v>
          </cell>
          <cell r="L317">
            <v>7</v>
          </cell>
          <cell r="M317">
            <v>4</v>
          </cell>
          <cell r="N317">
            <v>32.582243049968447</v>
          </cell>
          <cell r="O317">
            <v>100</v>
          </cell>
          <cell r="P317">
            <v>15.655725305592764</v>
          </cell>
          <cell r="Q317"/>
          <cell r="R317"/>
          <cell r="S317" t="str">
            <v>Chum is the target species.  Last time stream was surveyed was in 2002.</v>
          </cell>
          <cell r="T317" t="e">
            <v>#DIV/0!</v>
          </cell>
          <cell r="U317">
            <v>25</v>
          </cell>
          <cell r="V317"/>
          <cell r="W317"/>
        </row>
        <row r="318">
          <cell r="C318" t="str">
            <v>TOFINO CREEK_Chinook</v>
          </cell>
          <cell r="D318" t="str">
            <v>No</v>
          </cell>
          <cell r="E318" t="str">
            <v>No</v>
          </cell>
          <cell r="F318">
            <v>24</v>
          </cell>
          <cell r="G318" t="str">
            <v>TOFINO CREEK</v>
          </cell>
          <cell r="H318" t="str">
            <v>Chinook</v>
          </cell>
          <cell r="I318"/>
          <cell r="J318"/>
          <cell r="K318">
            <v>4</v>
          </cell>
          <cell r="L318">
            <v>6</v>
          </cell>
          <cell r="M318">
            <v>2</v>
          </cell>
          <cell r="N318">
            <v>8</v>
          </cell>
          <cell r="O318">
            <v>400</v>
          </cell>
          <cell r="P318">
            <v>55.532451385546494</v>
          </cell>
          <cell r="Q318"/>
          <cell r="R318"/>
          <cell r="S318" t="str">
            <v>Chum is the target species.  Missing data for 2 years (1999 &amp; 2000). One of the two estimates was entered as Adult Present.</v>
          </cell>
          <cell r="T318">
            <v>2</v>
          </cell>
          <cell r="U318">
            <v>1.6666666666666667</v>
          </cell>
          <cell r="V318"/>
          <cell r="W318"/>
        </row>
        <row r="319">
          <cell r="C319" t="str">
            <v>TOFINO CREEK_Chum</v>
          </cell>
          <cell r="D319" t="str">
            <v>No</v>
          </cell>
          <cell r="E319" t="str">
            <v>No</v>
          </cell>
          <cell r="F319">
            <v>24</v>
          </cell>
          <cell r="G319" t="str">
            <v>TOFINO CREEK</v>
          </cell>
          <cell r="H319" t="str">
            <v>Chum</v>
          </cell>
          <cell r="I319"/>
          <cell r="J319"/>
          <cell r="K319">
            <v>4</v>
          </cell>
          <cell r="L319">
            <v>6</v>
          </cell>
          <cell r="M319">
            <v>5</v>
          </cell>
          <cell r="N319">
            <v>246.36488123195437</v>
          </cell>
          <cell r="O319">
            <v>3500</v>
          </cell>
          <cell r="P319">
            <v>190.49661838020921</v>
          </cell>
          <cell r="Q319"/>
          <cell r="R319"/>
          <cell r="S319" t="str">
            <v>Chum is the target species.  Missing data for 2 years (1999 &amp; 2000).</v>
          </cell>
          <cell r="T319">
            <v>17</v>
          </cell>
          <cell r="U319">
            <v>334</v>
          </cell>
          <cell r="V319"/>
          <cell r="W319"/>
        </row>
        <row r="320">
          <cell r="C320" t="str">
            <v>TOFINO CREEK_Coho</v>
          </cell>
          <cell r="D320" t="str">
            <v>No</v>
          </cell>
          <cell r="E320" t="str">
            <v>No</v>
          </cell>
          <cell r="F320">
            <v>24</v>
          </cell>
          <cell r="G320" t="str">
            <v>TOFINO CREEK</v>
          </cell>
          <cell r="H320" t="str">
            <v>Coho</v>
          </cell>
          <cell r="I320"/>
          <cell r="J320"/>
          <cell r="K320">
            <v>4</v>
          </cell>
          <cell r="L320">
            <v>6</v>
          </cell>
          <cell r="M320">
            <v>1</v>
          </cell>
          <cell r="N320">
            <v>35</v>
          </cell>
          <cell r="O320">
            <v>750</v>
          </cell>
          <cell r="P320">
            <v>127.94847864444844</v>
          </cell>
          <cell r="Q320"/>
          <cell r="R320"/>
          <cell r="S320" t="str">
            <v>Chum is the target species.  Missing data for 2 years (1999 &amp; 2000).</v>
          </cell>
          <cell r="T320">
            <v>4</v>
          </cell>
          <cell r="U320">
            <v>8.3333333333333339</v>
          </cell>
          <cell r="V320"/>
          <cell r="W320"/>
        </row>
        <row r="321">
          <cell r="C321" t="str">
            <v>TRANQUIL CREEK_Chinook</v>
          </cell>
          <cell r="D321" t="str">
            <v>No</v>
          </cell>
          <cell r="E321" t="str">
            <v>No</v>
          </cell>
          <cell r="F321">
            <v>24</v>
          </cell>
          <cell r="G321" t="str">
            <v>TRANQUIL CREEK</v>
          </cell>
          <cell r="H321" t="str">
            <v>Chinook</v>
          </cell>
          <cell r="I321"/>
          <cell r="J321"/>
          <cell r="K321">
            <v>1</v>
          </cell>
          <cell r="L321">
            <v>11</v>
          </cell>
          <cell r="M321">
            <v>11</v>
          </cell>
          <cell r="N321">
            <v>659.09214697702726</v>
          </cell>
          <cell r="O321">
            <v>2080</v>
          </cell>
          <cell r="P321">
            <v>144.80827441891998</v>
          </cell>
          <cell r="Q321" t="str">
            <v>E.   Systems extensively surveyed, with major hatcheries or considerable hatchery contribution</v>
          </cell>
          <cell r="R321"/>
          <cell r="S321" t="str">
            <v>Tagging done in this stream to determine survey life for chinook and coho.   Average Esc from 1995-2005 from file: NEW ESCAPEMENT INDEX.XLS</v>
          </cell>
          <cell r="T321">
            <v>174</v>
          </cell>
          <cell r="U321">
            <v>233.08333333333334</v>
          </cell>
          <cell r="V321"/>
          <cell r="W321">
            <v>53</v>
          </cell>
        </row>
        <row r="322">
          <cell r="C322" t="str">
            <v>TRANQUIL CREEK_Chum</v>
          </cell>
          <cell r="D322" t="str">
            <v>No</v>
          </cell>
          <cell r="E322" t="str">
            <v>No</v>
          </cell>
          <cell r="F322">
            <v>24</v>
          </cell>
          <cell r="G322" t="str">
            <v>TRANQUIL CREEK</v>
          </cell>
          <cell r="H322" t="str">
            <v>Chum</v>
          </cell>
          <cell r="I322"/>
          <cell r="J322"/>
          <cell r="K322">
            <v>1</v>
          </cell>
          <cell r="L322">
            <v>11</v>
          </cell>
          <cell r="M322">
            <v>11</v>
          </cell>
          <cell r="N322">
            <v>5467.6963713892128</v>
          </cell>
          <cell r="O322">
            <v>35000</v>
          </cell>
          <cell r="P322">
            <v>3852.4410626083923</v>
          </cell>
          <cell r="Q322" t="str">
            <v>E.   Systems extensively surveyed, with major hatcheries or considerable hatchery contribution</v>
          </cell>
          <cell r="R322"/>
          <cell r="S322" t="str">
            <v>Tagging done in this stream to determine survey life for chinook and coho.   Average Esc from 1995-2005 from file: NEW ESCAPEMENT INDEX.XLS</v>
          </cell>
          <cell r="T322">
            <v>3711</v>
          </cell>
          <cell r="U322">
            <v>6418.333333333333</v>
          </cell>
          <cell r="V322"/>
          <cell r="W322">
            <v>1666</v>
          </cell>
        </row>
        <row r="323">
          <cell r="C323" t="str">
            <v>TRANQUIL CREEK_Coho</v>
          </cell>
          <cell r="D323" t="str">
            <v>No</v>
          </cell>
          <cell r="E323" t="str">
            <v>No</v>
          </cell>
          <cell r="F323">
            <v>24</v>
          </cell>
          <cell r="G323" t="str">
            <v>TRANQUIL CREEK</v>
          </cell>
          <cell r="H323" t="str">
            <v>Coho</v>
          </cell>
          <cell r="I323"/>
          <cell r="J323"/>
          <cell r="K323">
            <v>1</v>
          </cell>
          <cell r="L323">
            <v>11</v>
          </cell>
          <cell r="M323">
            <v>11</v>
          </cell>
          <cell r="N323">
            <v>477.66432157906405</v>
          </cell>
          <cell r="O323">
            <v>3500</v>
          </cell>
          <cell r="P323">
            <v>317.21143145112575</v>
          </cell>
          <cell r="Q323" t="str">
            <v>E.   Systems extensively surveyed, with major hatcheries or considerable hatchery contribution</v>
          </cell>
          <cell r="R323"/>
          <cell r="S323" t="str">
            <v>Tagging done in this stream to determine survey life for chinook and coho.   Average Esc from 1995-2005 from file: NEW ESCAPEMENT INDEX.XLS</v>
          </cell>
          <cell r="T323">
            <v>682.75</v>
          </cell>
          <cell r="U323">
            <v>833.91666666666663</v>
          </cell>
          <cell r="V323"/>
          <cell r="W323">
            <v>509</v>
          </cell>
        </row>
        <row r="324">
          <cell r="C324" t="str">
            <v>TRANQUIL CREEK_Sockeye</v>
          </cell>
          <cell r="D324" t="str">
            <v>No</v>
          </cell>
          <cell r="E324" t="str">
            <v>No</v>
          </cell>
          <cell r="F324">
            <v>24</v>
          </cell>
          <cell r="G324" t="str">
            <v>TRANQUIL CREEK</v>
          </cell>
          <cell r="H324" t="str">
            <v>Sockeye</v>
          </cell>
          <cell r="I324"/>
          <cell r="J324"/>
          <cell r="K324">
            <v>1</v>
          </cell>
          <cell r="L324">
            <v>11</v>
          </cell>
          <cell r="M324">
            <v>9</v>
          </cell>
          <cell r="N324">
            <v>19.277725461816122</v>
          </cell>
          <cell r="O324">
            <v>150</v>
          </cell>
          <cell r="P324">
            <v>11.675171334624395</v>
          </cell>
          <cell r="Q324" t="str">
            <v>E.   Systems extensively surveyed, with major hatcheries or considerable hatchery contribution</v>
          </cell>
          <cell r="R324"/>
          <cell r="S324" t="str">
            <v>Tagging done in this stream to determine survey life for chinook and coho.</v>
          </cell>
          <cell r="T324">
            <v>29.25</v>
          </cell>
          <cell r="U324">
            <v>276.66666666666669</v>
          </cell>
          <cell r="V324"/>
          <cell r="W324">
            <v>23</v>
          </cell>
        </row>
        <row r="325">
          <cell r="C325" t="str">
            <v>WARN BAY CREEK_Chinook</v>
          </cell>
          <cell r="D325" t="str">
            <v>No</v>
          </cell>
          <cell r="E325" t="str">
            <v>No</v>
          </cell>
          <cell r="F325">
            <v>24</v>
          </cell>
          <cell r="G325" t="str">
            <v>WARN BAY CREEK</v>
          </cell>
          <cell r="H325" t="str">
            <v>Chinook</v>
          </cell>
          <cell r="I325"/>
          <cell r="J325"/>
          <cell r="K325">
            <v>4</v>
          </cell>
          <cell r="L325">
            <v>9</v>
          </cell>
          <cell r="M325">
            <v>5</v>
          </cell>
          <cell r="N325">
            <v>6.9135924239888027</v>
          </cell>
          <cell r="O325">
            <v>20</v>
          </cell>
          <cell r="P325">
            <v>5.4376980101880275</v>
          </cell>
          <cell r="Q325"/>
          <cell r="R325"/>
          <cell r="S325" t="str">
            <v>Chum is the target species.  Missing 1999 data.</v>
          </cell>
          <cell r="T325">
            <v>7</v>
          </cell>
          <cell r="U325">
            <v>22.375</v>
          </cell>
          <cell r="V325"/>
          <cell r="W325" t="str">
            <v>NO</v>
          </cell>
        </row>
        <row r="326">
          <cell r="C326" t="str">
            <v>WARN BAY CREEK_Chum</v>
          </cell>
          <cell r="D326" t="str">
            <v>No</v>
          </cell>
          <cell r="E326" t="str">
            <v>No</v>
          </cell>
          <cell r="F326">
            <v>24</v>
          </cell>
          <cell r="G326" t="str">
            <v>WARN BAY CREEK</v>
          </cell>
          <cell r="H326" t="str">
            <v>Chum</v>
          </cell>
          <cell r="I326"/>
          <cell r="J326"/>
          <cell r="K326">
            <v>4</v>
          </cell>
          <cell r="L326">
            <v>9</v>
          </cell>
          <cell r="M326">
            <v>9</v>
          </cell>
          <cell r="N326">
            <v>5579.5706897893724</v>
          </cell>
          <cell r="O326">
            <v>24867</v>
          </cell>
          <cell r="P326">
            <v>2614.3931354860615</v>
          </cell>
          <cell r="Q326"/>
          <cell r="R326"/>
          <cell r="S326" t="str">
            <v>Chum is the target species.  Missing 1999 data.</v>
          </cell>
          <cell r="T326">
            <v>294.5</v>
          </cell>
          <cell r="U326">
            <v>1276.5454545454545</v>
          </cell>
          <cell r="V326"/>
          <cell r="W326">
            <v>162</v>
          </cell>
        </row>
        <row r="327">
          <cell r="C327" t="str">
            <v>WARN BAY CREEK_Coho</v>
          </cell>
          <cell r="D327" t="str">
            <v>No</v>
          </cell>
          <cell r="E327" t="str">
            <v>No</v>
          </cell>
          <cell r="F327">
            <v>24</v>
          </cell>
          <cell r="G327" t="str">
            <v>WARN BAY CREEK</v>
          </cell>
          <cell r="H327" t="str">
            <v>Coho</v>
          </cell>
          <cell r="I327"/>
          <cell r="J327"/>
          <cell r="K327">
            <v>4</v>
          </cell>
          <cell r="L327">
            <v>9</v>
          </cell>
          <cell r="M327">
            <v>5</v>
          </cell>
          <cell r="N327">
            <v>35.394279909029294</v>
          </cell>
          <cell r="O327">
            <v>1500</v>
          </cell>
          <cell r="P327">
            <v>64.429553005524767</v>
          </cell>
          <cell r="Q327"/>
          <cell r="R327"/>
          <cell r="S327" t="str">
            <v>Chum is the target species.  Missing 1999 data.</v>
          </cell>
          <cell r="T327">
            <v>28.25</v>
          </cell>
          <cell r="U327">
            <v>46.81818181818182</v>
          </cell>
          <cell r="V327"/>
          <cell r="W327">
            <v>13</v>
          </cell>
        </row>
        <row r="328">
          <cell r="C328" t="str">
            <v>WATTA CREEK_Chinook</v>
          </cell>
          <cell r="D328" t="str">
            <v>No</v>
          </cell>
          <cell r="E328" t="str">
            <v>No</v>
          </cell>
          <cell r="F328">
            <v>24</v>
          </cell>
          <cell r="G328" t="str">
            <v>WATTA CREEK</v>
          </cell>
          <cell r="H328" t="str">
            <v>Chinook</v>
          </cell>
          <cell r="I328"/>
          <cell r="J328"/>
          <cell r="K328">
            <v>4</v>
          </cell>
          <cell r="L328">
            <v>7</v>
          </cell>
          <cell r="M328">
            <v>2</v>
          </cell>
          <cell r="N328">
            <v>9.2051640825158891</v>
          </cell>
          <cell r="O328">
            <v>200</v>
          </cell>
          <cell r="P328">
            <v>27.649735949578556</v>
          </cell>
          <cell r="Q328"/>
          <cell r="R328"/>
          <cell r="S328" t="str">
            <v>Chum is the target species.  Missing 1999 data.  Last survey was in 2002.</v>
          </cell>
          <cell r="T328" t="e">
            <v>#DIV/0!</v>
          </cell>
          <cell r="U328" t="e">
            <v>#DIV/0!</v>
          </cell>
          <cell r="V328"/>
          <cell r="W328"/>
        </row>
        <row r="329">
          <cell r="C329" t="str">
            <v>WATTA CREEK_Chum</v>
          </cell>
          <cell r="D329" t="str">
            <v>No</v>
          </cell>
          <cell r="E329" t="str">
            <v>No</v>
          </cell>
          <cell r="F329">
            <v>24</v>
          </cell>
          <cell r="G329" t="str">
            <v>WATTA CREEK</v>
          </cell>
          <cell r="H329" t="str">
            <v>Chum</v>
          </cell>
          <cell r="I329"/>
          <cell r="J329"/>
          <cell r="K329">
            <v>4</v>
          </cell>
          <cell r="L329">
            <v>7</v>
          </cell>
          <cell r="M329">
            <v>7</v>
          </cell>
          <cell r="N329">
            <v>1791.3568038132385</v>
          </cell>
          <cell r="O329">
            <v>8500</v>
          </cell>
          <cell r="P329">
            <v>1869.7936076004955</v>
          </cell>
          <cell r="Q329"/>
          <cell r="R329"/>
          <cell r="S329" t="str">
            <v>Chum is the target species.  Missing 1999 data.  Last survey was in 2002.</v>
          </cell>
          <cell r="T329">
            <v>376</v>
          </cell>
          <cell r="U329">
            <v>376</v>
          </cell>
          <cell r="V329"/>
          <cell r="W329"/>
        </row>
        <row r="330">
          <cell r="C330" t="str">
            <v>WATTA CREEK_Coho</v>
          </cell>
          <cell r="D330" t="str">
            <v>No</v>
          </cell>
          <cell r="E330" t="str">
            <v>No</v>
          </cell>
          <cell r="F330">
            <v>24</v>
          </cell>
          <cell r="G330" t="str">
            <v>WATTA CREEK</v>
          </cell>
          <cell r="H330" t="str">
            <v>Coho</v>
          </cell>
          <cell r="I330"/>
          <cell r="J330"/>
          <cell r="K330">
            <v>4</v>
          </cell>
          <cell r="L330">
            <v>7</v>
          </cell>
          <cell r="M330">
            <v>5</v>
          </cell>
          <cell r="N330">
            <v>247.78431817594844</v>
          </cell>
          <cell r="O330">
            <v>400</v>
          </cell>
          <cell r="P330">
            <v>101.66217159107697</v>
          </cell>
          <cell r="Q330"/>
          <cell r="R330"/>
          <cell r="S330" t="str">
            <v>Chum is the target species.  Missing 1999 data.  Last survey was in 2002.</v>
          </cell>
          <cell r="T330">
            <v>5</v>
          </cell>
          <cell r="U330">
            <v>5</v>
          </cell>
          <cell r="V330"/>
          <cell r="W330"/>
        </row>
        <row r="331">
          <cell r="C331" t="str">
            <v>WHITE PINE COVE CREEK_Chinook</v>
          </cell>
          <cell r="D331" t="str">
            <v>No</v>
          </cell>
          <cell r="E331" t="str">
            <v>No</v>
          </cell>
          <cell r="F331">
            <v>24</v>
          </cell>
          <cell r="G331" t="str">
            <v>WHITE PINE COVE CREEK</v>
          </cell>
          <cell r="H331" t="str">
            <v>Chinook</v>
          </cell>
          <cell r="I331"/>
          <cell r="J331"/>
          <cell r="K331">
            <v>4</v>
          </cell>
          <cell r="L331">
            <v>6</v>
          </cell>
          <cell r="M331">
            <v>0</v>
          </cell>
          <cell r="N331" t="e">
            <v>#NUM!</v>
          </cell>
          <cell r="O331">
            <v>0</v>
          </cell>
          <cell r="P331" t="e">
            <v>#NUM!</v>
          </cell>
          <cell r="Q331"/>
          <cell r="R331"/>
          <cell r="S331" t="str">
            <v>Chum is the target Species.  Missing 1999 data.  Last survey 2002.</v>
          </cell>
          <cell r="T331" t="e">
            <v>#DIV/0!</v>
          </cell>
          <cell r="U331" t="e">
            <v>#DIV/0!</v>
          </cell>
          <cell r="V331"/>
          <cell r="W331"/>
        </row>
        <row r="332">
          <cell r="C332" t="str">
            <v>WHITE PINE COVE CREEK_Chum</v>
          </cell>
          <cell r="D332" t="str">
            <v>No</v>
          </cell>
          <cell r="E332" t="str">
            <v>No</v>
          </cell>
          <cell r="F332">
            <v>24</v>
          </cell>
          <cell r="G332" t="str">
            <v>WHITE PINE COVE CREEK</v>
          </cell>
          <cell r="H332" t="str">
            <v>Chum</v>
          </cell>
          <cell r="I332"/>
          <cell r="J332"/>
          <cell r="K332">
            <v>4</v>
          </cell>
          <cell r="L332">
            <v>6</v>
          </cell>
          <cell r="M332">
            <v>6</v>
          </cell>
          <cell r="N332">
            <v>147.12579168128801</v>
          </cell>
          <cell r="O332">
            <v>1500</v>
          </cell>
          <cell r="P332">
            <v>280.41103962948068</v>
          </cell>
          <cell r="Q332"/>
          <cell r="R332"/>
          <cell r="S332" t="str">
            <v>Chum is the target Species.  Missing 1999 data.  Last survey 2002.</v>
          </cell>
          <cell r="T332" t="e">
            <v>#DIV/0!</v>
          </cell>
          <cell r="U332">
            <v>44</v>
          </cell>
          <cell r="V332"/>
          <cell r="W332"/>
        </row>
        <row r="333">
          <cell r="C333" t="str">
            <v>WHITE PINE COVE CREEK_Coho</v>
          </cell>
          <cell r="D333" t="str">
            <v>No</v>
          </cell>
          <cell r="E333" t="str">
            <v>No</v>
          </cell>
          <cell r="F333">
            <v>24</v>
          </cell>
          <cell r="G333" t="str">
            <v>WHITE PINE COVE CREEK</v>
          </cell>
          <cell r="H333" t="str">
            <v>Coho</v>
          </cell>
          <cell r="I333"/>
          <cell r="J333"/>
          <cell r="K333">
            <v>4</v>
          </cell>
          <cell r="L333">
            <v>6</v>
          </cell>
          <cell r="M333">
            <v>0</v>
          </cell>
          <cell r="N333" t="e">
            <v>#NUM!</v>
          </cell>
          <cell r="O333">
            <v>100</v>
          </cell>
          <cell r="P333">
            <v>30.998615670459476</v>
          </cell>
          <cell r="Q333"/>
          <cell r="R333"/>
          <cell r="S333" t="str">
            <v>Chum is the target Species.  Missing 1999 data.  Last survey 2002.</v>
          </cell>
          <cell r="T333" t="e">
            <v>#DIV/0!</v>
          </cell>
          <cell r="U333" t="e">
            <v>#DIV/0!</v>
          </cell>
          <cell r="V333"/>
          <cell r="W333"/>
        </row>
        <row r="334">
          <cell r="C334" t="str">
            <v>BEANO CREEK_Chum</v>
          </cell>
          <cell r="D334" t="str">
            <v>No</v>
          </cell>
          <cell r="E334" t="str">
            <v>No</v>
          </cell>
          <cell r="F334">
            <v>25</v>
          </cell>
          <cell r="G334" t="str">
            <v>BEANO CREEK</v>
          </cell>
          <cell r="H334" t="str">
            <v>Chum</v>
          </cell>
          <cell r="I334"/>
          <cell r="J334"/>
          <cell r="K334">
            <v>5</v>
          </cell>
          <cell r="L334">
            <v>2</v>
          </cell>
          <cell r="M334">
            <v>2</v>
          </cell>
          <cell r="N334">
            <v>144.22205101855957</v>
          </cell>
          <cell r="O334">
            <v>260</v>
          </cell>
          <cell r="P334">
            <v>144.22205101855957</v>
          </cell>
          <cell r="Q334"/>
          <cell r="R334"/>
          <cell r="S334" t="str">
            <v>Only surveyed twice, once in 1997 and again in 2003.</v>
          </cell>
          <cell r="T334" t="e">
            <v>#DIV/0!</v>
          </cell>
          <cell r="U334" t="e">
            <v>#DIV/0!</v>
          </cell>
          <cell r="V334"/>
          <cell r="W334" t="str">
            <v>NI</v>
          </cell>
        </row>
        <row r="335">
          <cell r="C335" t="str">
            <v>BEANO CREEK_Coho</v>
          </cell>
          <cell r="D335" t="str">
            <v>No</v>
          </cell>
          <cell r="E335" t="str">
            <v>No</v>
          </cell>
          <cell r="F335">
            <v>25</v>
          </cell>
          <cell r="G335" t="str">
            <v>BEANO CREEK</v>
          </cell>
          <cell r="H335" t="str">
            <v>Coho</v>
          </cell>
          <cell r="I335"/>
          <cell r="J335"/>
          <cell r="K335">
            <v>5</v>
          </cell>
          <cell r="L335">
            <v>2</v>
          </cell>
          <cell r="M335">
            <v>1</v>
          </cell>
          <cell r="N335">
            <v>20</v>
          </cell>
          <cell r="O335">
            <v>20</v>
          </cell>
          <cell r="P335">
            <v>20</v>
          </cell>
          <cell r="Q335"/>
          <cell r="R335"/>
          <cell r="S335" t="str">
            <v>Only surveyed twice, once in 1997 and again in 2003.</v>
          </cell>
          <cell r="T335" t="e">
            <v>#DIV/0!</v>
          </cell>
          <cell r="U335" t="e">
            <v>#DIV/0!</v>
          </cell>
          <cell r="V335"/>
          <cell r="W335" t="str">
            <v>NI</v>
          </cell>
        </row>
        <row r="336">
          <cell r="C336" t="str">
            <v>BEANO CREEK_Sockeye</v>
          </cell>
          <cell r="D336" t="str">
            <v>No</v>
          </cell>
          <cell r="E336" t="str">
            <v>No</v>
          </cell>
          <cell r="F336">
            <v>25</v>
          </cell>
          <cell r="G336" t="str">
            <v>BEANO CREEK</v>
          </cell>
          <cell r="H336" t="str">
            <v>Sockeye</v>
          </cell>
          <cell r="I336"/>
          <cell r="J336"/>
          <cell r="K336">
            <v>5</v>
          </cell>
          <cell r="L336">
            <v>2</v>
          </cell>
          <cell r="M336">
            <v>1</v>
          </cell>
          <cell r="N336">
            <v>55</v>
          </cell>
          <cell r="O336">
            <v>55</v>
          </cell>
          <cell r="P336">
            <v>55</v>
          </cell>
          <cell r="Q336"/>
          <cell r="R336"/>
          <cell r="S336" t="str">
            <v>Only surveyed twice, once in 1997 and again in 2003.</v>
          </cell>
          <cell r="T336" t="e">
            <v>#DIV/0!</v>
          </cell>
          <cell r="U336" t="e">
            <v>#DIV/0!</v>
          </cell>
          <cell r="V336"/>
          <cell r="W336" t="str">
            <v>NI</v>
          </cell>
        </row>
        <row r="337">
          <cell r="C337" t="str">
            <v>BINGO CREEK_Chum</v>
          </cell>
          <cell r="D337" t="str">
            <v>No</v>
          </cell>
          <cell r="E337" t="str">
            <v>No</v>
          </cell>
          <cell r="F337">
            <v>25</v>
          </cell>
          <cell r="G337" t="str">
            <v>BINGO CREEK</v>
          </cell>
          <cell r="H337" t="str">
            <v>Chum</v>
          </cell>
          <cell r="I337"/>
          <cell r="J337"/>
          <cell r="K337">
            <v>5</v>
          </cell>
          <cell r="L337">
            <v>3</v>
          </cell>
          <cell r="M337">
            <v>2</v>
          </cell>
          <cell r="N337">
            <v>252.48762345905195</v>
          </cell>
          <cell r="O337">
            <v>750</v>
          </cell>
          <cell r="P337">
            <v>157.07761179092748</v>
          </cell>
          <cell r="Q337"/>
          <cell r="R337"/>
          <cell r="S337" t="str">
            <v>Last time stream was surveyed was in 2002, no fish were observed.</v>
          </cell>
          <cell r="T337" t="e">
            <v>#DIV/0!</v>
          </cell>
          <cell r="U337" t="e">
            <v>#DIV/0!</v>
          </cell>
          <cell r="V337"/>
          <cell r="W337" t="str">
            <v>NI</v>
          </cell>
        </row>
        <row r="338">
          <cell r="C338" t="str">
            <v>BINGO CREEK_Coho</v>
          </cell>
          <cell r="D338" t="str">
            <v>No</v>
          </cell>
          <cell r="E338" t="str">
            <v>No</v>
          </cell>
          <cell r="F338">
            <v>25</v>
          </cell>
          <cell r="G338" t="str">
            <v>BINGO CREEK</v>
          </cell>
          <cell r="H338" t="str">
            <v>Coho</v>
          </cell>
          <cell r="I338"/>
          <cell r="J338"/>
          <cell r="K338">
            <v>5</v>
          </cell>
          <cell r="L338">
            <v>3</v>
          </cell>
          <cell r="M338">
            <v>1</v>
          </cell>
          <cell r="N338">
            <v>150</v>
          </cell>
          <cell r="O338">
            <v>150</v>
          </cell>
          <cell r="P338">
            <v>82.54818122236567</v>
          </cell>
          <cell r="Q338"/>
          <cell r="R338"/>
          <cell r="S338" t="str">
            <v>Last time stream was surveyed was in 2002, no fish were observed.</v>
          </cell>
          <cell r="T338" t="e">
            <v>#DIV/0!</v>
          </cell>
          <cell r="U338" t="e">
            <v>#DIV/0!</v>
          </cell>
          <cell r="V338"/>
          <cell r="W338" t="str">
            <v>NI</v>
          </cell>
        </row>
        <row r="339">
          <cell r="C339" t="str">
            <v>BRODICK CREEK_Chum</v>
          </cell>
          <cell r="D339" t="str">
            <v>No</v>
          </cell>
          <cell r="E339" t="str">
            <v>No</v>
          </cell>
          <cell r="F339">
            <v>25</v>
          </cell>
          <cell r="G339" t="str">
            <v>BRODICK CREEK</v>
          </cell>
          <cell r="H339" t="str">
            <v>Chum</v>
          </cell>
          <cell r="I339"/>
          <cell r="J339"/>
          <cell r="K339">
            <v>5</v>
          </cell>
          <cell r="L339">
            <v>6</v>
          </cell>
          <cell r="M339">
            <v>4</v>
          </cell>
          <cell r="N339">
            <v>145.60248383048037</v>
          </cell>
          <cell r="O339">
            <v>4605</v>
          </cell>
          <cell r="P339">
            <v>485.57205592658602</v>
          </cell>
          <cell r="Q339"/>
          <cell r="R339"/>
          <cell r="S339" t="str">
            <v>Chum is the target species.  High chum estimate in 1998.</v>
          </cell>
          <cell r="T339" t="e">
            <v>#DIV/0!</v>
          </cell>
          <cell r="U339">
            <v>221</v>
          </cell>
          <cell r="V339"/>
          <cell r="W339" t="str">
            <v>NI</v>
          </cell>
        </row>
        <row r="340">
          <cell r="C340" t="str">
            <v>BRODICK CREEK_Coho</v>
          </cell>
          <cell r="D340" t="str">
            <v>No</v>
          </cell>
          <cell r="E340" t="str">
            <v>No</v>
          </cell>
          <cell r="F340">
            <v>25</v>
          </cell>
          <cell r="G340" t="str">
            <v>BRODICK CREEK</v>
          </cell>
          <cell r="H340" t="str">
            <v>Coho</v>
          </cell>
          <cell r="I340"/>
          <cell r="J340"/>
          <cell r="K340">
            <v>5</v>
          </cell>
          <cell r="L340">
            <v>6</v>
          </cell>
          <cell r="M340">
            <v>3</v>
          </cell>
          <cell r="N340">
            <v>9.099906246356122</v>
          </cell>
          <cell r="O340">
            <v>750</v>
          </cell>
          <cell r="P340">
            <v>39.267001812268582</v>
          </cell>
          <cell r="Q340"/>
          <cell r="R340"/>
          <cell r="S340" t="str">
            <v>Chum is the target species.</v>
          </cell>
          <cell r="T340" t="e">
            <v>#DIV/0!</v>
          </cell>
          <cell r="U340" t="e">
            <v>#DIV/0!</v>
          </cell>
          <cell r="V340"/>
          <cell r="W340" t="str">
            <v>NI</v>
          </cell>
        </row>
        <row r="341">
          <cell r="C341" t="str">
            <v>BRODICK CREEK_Sockeye</v>
          </cell>
          <cell r="D341" t="str">
            <v>No</v>
          </cell>
          <cell r="E341" t="str">
            <v>No</v>
          </cell>
          <cell r="F341">
            <v>25</v>
          </cell>
          <cell r="G341" t="str">
            <v>BRODICK CREEK</v>
          </cell>
          <cell r="H341" t="str">
            <v>Sockeye</v>
          </cell>
          <cell r="I341"/>
          <cell r="J341"/>
          <cell r="K341">
            <v>5</v>
          </cell>
          <cell r="L341">
            <v>6</v>
          </cell>
          <cell r="M341">
            <v>1</v>
          </cell>
          <cell r="N341">
            <v>175</v>
          </cell>
          <cell r="O341">
            <v>175</v>
          </cell>
          <cell r="P341">
            <v>93.541434669348533</v>
          </cell>
          <cell r="Q341"/>
          <cell r="R341"/>
          <cell r="S341" t="str">
            <v>Chum is the target species.</v>
          </cell>
          <cell r="T341" t="e">
            <v>#DIV/0!</v>
          </cell>
          <cell r="U341">
            <v>5</v>
          </cell>
          <cell r="V341"/>
          <cell r="W341" t="str">
            <v>NI</v>
          </cell>
        </row>
        <row r="342">
          <cell r="C342" t="str">
            <v>BURMAN RIVER_Chinook</v>
          </cell>
          <cell r="D342" t="str">
            <v>Yes</v>
          </cell>
          <cell r="E342" t="str">
            <v>Yes</v>
          </cell>
          <cell r="F342">
            <v>25</v>
          </cell>
          <cell r="G342" t="str">
            <v>BURMAN RIVER</v>
          </cell>
          <cell r="H342" t="str">
            <v>Chinook</v>
          </cell>
          <cell r="I342"/>
          <cell r="J342"/>
          <cell r="K342">
            <v>2</v>
          </cell>
          <cell r="L342">
            <v>11</v>
          </cell>
          <cell r="M342">
            <v>11</v>
          </cell>
          <cell r="N342">
            <v>564.79750825030658</v>
          </cell>
          <cell r="O342">
            <v>3500</v>
          </cell>
          <cell r="P342">
            <v>710.13808097178571</v>
          </cell>
          <cell r="Q342" t="str">
            <v>A.  PSC Indicator stocks.</v>
          </cell>
          <cell r="R342"/>
          <cell r="S342" t="str">
            <v>Average Esc from 1995-2005 from file: NEW ESCAPEMENT INDEX.XLS</v>
          </cell>
          <cell r="T342">
            <v>2347</v>
          </cell>
          <cell r="U342">
            <v>3729.25</v>
          </cell>
          <cell r="V342"/>
          <cell r="W342">
            <v>1131</v>
          </cell>
        </row>
        <row r="343">
          <cell r="C343" t="str">
            <v>BURMAN RIVER_Chum</v>
          </cell>
          <cell r="D343" t="str">
            <v>No</v>
          </cell>
          <cell r="E343" t="str">
            <v>No</v>
          </cell>
          <cell r="F343">
            <v>25</v>
          </cell>
          <cell r="G343" t="str">
            <v>BURMAN RIVER</v>
          </cell>
          <cell r="H343" t="str">
            <v>Chum</v>
          </cell>
          <cell r="I343"/>
          <cell r="J343"/>
          <cell r="K343">
            <v>2</v>
          </cell>
          <cell r="L343">
            <v>11</v>
          </cell>
          <cell r="M343">
            <v>11</v>
          </cell>
          <cell r="N343">
            <v>5796.3819662162596</v>
          </cell>
          <cell r="O343">
            <v>25133</v>
          </cell>
          <cell r="P343">
            <v>4352.4765928422712</v>
          </cell>
          <cell r="Q343" t="str">
            <v>A.  PSC Indicator stocks.</v>
          </cell>
          <cell r="R343"/>
          <cell r="S343" t="str">
            <v>Average Esc from 1995-2005 from file: NEW ESCAPEMENT INDEX.XLS</v>
          </cell>
          <cell r="T343">
            <v>1521</v>
          </cell>
          <cell r="U343">
            <v>3916.5833333333335</v>
          </cell>
          <cell r="V343"/>
          <cell r="W343">
            <v>3240</v>
          </cell>
        </row>
        <row r="344">
          <cell r="C344" t="str">
            <v>BURMAN RIVER_Coho</v>
          </cell>
          <cell r="D344" t="str">
            <v>No</v>
          </cell>
          <cell r="E344" t="str">
            <v>No</v>
          </cell>
          <cell r="F344">
            <v>25</v>
          </cell>
          <cell r="G344" t="str">
            <v>BURMAN RIVER</v>
          </cell>
          <cell r="H344" t="str">
            <v>Coho</v>
          </cell>
          <cell r="I344"/>
          <cell r="J344"/>
          <cell r="K344">
            <v>2</v>
          </cell>
          <cell r="L344">
            <v>11</v>
          </cell>
          <cell r="M344">
            <v>11</v>
          </cell>
          <cell r="N344">
            <v>751.23964187189085</v>
          </cell>
          <cell r="O344">
            <v>4000</v>
          </cell>
          <cell r="P344">
            <v>739.84516247736497</v>
          </cell>
          <cell r="Q344" t="str">
            <v>A.  PSC Indicator stocks.</v>
          </cell>
          <cell r="R344"/>
          <cell r="S344" t="str">
            <v>Average Esc from 1995-2005 from file: NEW ESCAPEMENT INDEX.XLS</v>
          </cell>
          <cell r="T344">
            <v>329</v>
          </cell>
          <cell r="U344">
            <v>825.58333333333337</v>
          </cell>
          <cell r="V344"/>
          <cell r="W344">
            <v>166</v>
          </cell>
        </row>
        <row r="345">
          <cell r="C345" t="str">
            <v>BURMAN RIVER_Pink</v>
          </cell>
          <cell r="D345" t="str">
            <v>No</v>
          </cell>
          <cell r="E345" t="str">
            <v>No</v>
          </cell>
          <cell r="F345">
            <v>25</v>
          </cell>
          <cell r="G345" t="str">
            <v>BURMAN RIVER</v>
          </cell>
          <cell r="H345" t="str">
            <v>Pink</v>
          </cell>
          <cell r="I345"/>
          <cell r="J345"/>
          <cell r="K345">
            <v>2</v>
          </cell>
          <cell r="L345">
            <v>11</v>
          </cell>
          <cell r="M345">
            <v>7</v>
          </cell>
          <cell r="N345">
            <v>4.7367928768793881</v>
          </cell>
          <cell r="O345">
            <v>165000</v>
          </cell>
          <cell r="P345">
            <v>516.66131731335554</v>
          </cell>
          <cell r="Q345" t="str">
            <v>A.  PSC Indicator stocks.</v>
          </cell>
          <cell r="R345"/>
          <cell r="S345"/>
          <cell r="T345">
            <v>2</v>
          </cell>
          <cell r="U345">
            <v>16.8</v>
          </cell>
          <cell r="V345"/>
          <cell r="W345" t="str">
            <v>NO</v>
          </cell>
        </row>
        <row r="346">
          <cell r="C346" t="str">
            <v>BURMAN RIVER_Sockeye</v>
          </cell>
          <cell r="D346" t="str">
            <v>No</v>
          </cell>
          <cell r="E346" t="str">
            <v>No</v>
          </cell>
          <cell r="F346">
            <v>25</v>
          </cell>
          <cell r="G346" t="str">
            <v>BURMAN RIVER</v>
          </cell>
          <cell r="H346" t="str">
            <v>Sockeye</v>
          </cell>
          <cell r="I346"/>
          <cell r="J346"/>
          <cell r="K346">
            <v>2</v>
          </cell>
          <cell r="L346">
            <v>11</v>
          </cell>
          <cell r="M346">
            <v>11</v>
          </cell>
          <cell r="N346">
            <v>302.88512016305276</v>
          </cell>
          <cell r="O346">
            <v>2000</v>
          </cell>
          <cell r="P346">
            <v>204.22216733660068</v>
          </cell>
          <cell r="Q346" t="str">
            <v>A.  PSC Indicator stocks.</v>
          </cell>
          <cell r="R346"/>
          <cell r="S346"/>
          <cell r="T346">
            <v>207</v>
          </cell>
          <cell r="U346">
            <v>725.41666666666663</v>
          </cell>
          <cell r="V346"/>
          <cell r="W346">
            <v>27</v>
          </cell>
        </row>
        <row r="347">
          <cell r="C347" t="str">
            <v>CANTON CREEK_Chinook</v>
          </cell>
          <cell r="D347" t="str">
            <v>No</v>
          </cell>
          <cell r="E347" t="str">
            <v>No</v>
          </cell>
          <cell r="F347">
            <v>25</v>
          </cell>
          <cell r="G347" t="str">
            <v>CANTON CREEK</v>
          </cell>
          <cell r="H347" t="str">
            <v>Chinook</v>
          </cell>
          <cell r="I347"/>
          <cell r="J347"/>
          <cell r="K347">
            <v>1</v>
          </cell>
          <cell r="L347">
            <v>7</v>
          </cell>
          <cell r="M347">
            <v>7</v>
          </cell>
          <cell r="N347">
            <v>370.29483276927289</v>
          </cell>
          <cell r="O347">
            <v>5000</v>
          </cell>
          <cell r="P347">
            <v>172.43282771719279</v>
          </cell>
          <cell r="Q347" t="str">
            <v>E.   Systems extensively surveyed, with major hatcheries or considerable hatchery contribution</v>
          </cell>
          <cell r="R347"/>
          <cell r="S347" t="str">
            <v>Chum is the target species.  2001 was the last year estimates were made for all species.</v>
          </cell>
          <cell r="T347">
            <v>916.75</v>
          </cell>
          <cell r="U347">
            <v>2317.1</v>
          </cell>
          <cell r="V347"/>
          <cell r="W347">
            <v>977</v>
          </cell>
        </row>
        <row r="348">
          <cell r="C348" t="str">
            <v>CANTON CREEK_Chum</v>
          </cell>
          <cell r="D348" t="str">
            <v>No</v>
          </cell>
          <cell r="E348" t="str">
            <v>No</v>
          </cell>
          <cell r="F348">
            <v>25</v>
          </cell>
          <cell r="G348" t="str">
            <v>CANTON CREEK</v>
          </cell>
          <cell r="H348" t="str">
            <v>Chum</v>
          </cell>
          <cell r="I348"/>
          <cell r="J348"/>
          <cell r="K348">
            <v>1</v>
          </cell>
          <cell r="L348">
            <v>10</v>
          </cell>
          <cell r="M348">
            <v>10</v>
          </cell>
          <cell r="N348">
            <v>4916.056263019198</v>
          </cell>
          <cell r="O348">
            <v>40629</v>
          </cell>
          <cell r="P348">
            <v>2217.6422299979699</v>
          </cell>
          <cell r="Q348" t="str">
            <v>E.   Systems extensively surveyed, with major hatcheries or considerable hatchery contribution</v>
          </cell>
          <cell r="R348"/>
          <cell r="S348" t="str">
            <v>Chum is the target species.  2001 was the last year estimates were made for all species.</v>
          </cell>
          <cell r="T348">
            <v>1808.25</v>
          </cell>
          <cell r="U348">
            <v>2110.6363636363635</v>
          </cell>
          <cell r="V348"/>
          <cell r="W348">
            <v>749</v>
          </cell>
        </row>
        <row r="349">
          <cell r="C349" t="str">
            <v>CANTON CREEK_Coho</v>
          </cell>
          <cell r="D349" t="str">
            <v>No</v>
          </cell>
          <cell r="E349" t="str">
            <v>No</v>
          </cell>
          <cell r="F349">
            <v>25</v>
          </cell>
          <cell r="G349" t="str">
            <v>CANTON CREEK</v>
          </cell>
          <cell r="H349" t="str">
            <v>Coho</v>
          </cell>
          <cell r="I349"/>
          <cell r="J349"/>
          <cell r="K349">
            <v>1</v>
          </cell>
          <cell r="L349">
            <v>7</v>
          </cell>
          <cell r="M349">
            <v>7</v>
          </cell>
          <cell r="N349">
            <v>700.61920727999745</v>
          </cell>
          <cell r="O349">
            <v>3418</v>
          </cell>
          <cell r="P349">
            <v>237.11294563688639</v>
          </cell>
          <cell r="Q349" t="str">
            <v>E.   Systems extensively surveyed, with major hatcheries or considerable hatchery contribution</v>
          </cell>
          <cell r="R349"/>
          <cell r="S349" t="str">
            <v>Chum is the target species.  2001 was the last year estimates were made for all species.</v>
          </cell>
          <cell r="T349">
            <v>350.25</v>
          </cell>
          <cell r="U349">
            <v>548.125</v>
          </cell>
          <cell r="V349"/>
          <cell r="W349">
            <v>40</v>
          </cell>
        </row>
        <row r="350">
          <cell r="C350" t="str">
            <v>CANTON CREEK_Sockeye</v>
          </cell>
          <cell r="D350" t="str">
            <v>No</v>
          </cell>
          <cell r="E350" t="str">
            <v>No</v>
          </cell>
          <cell r="F350">
            <v>25</v>
          </cell>
          <cell r="G350" t="str">
            <v>CANTON CREEK</v>
          </cell>
          <cell r="H350" t="str">
            <v>Sockeye</v>
          </cell>
          <cell r="I350"/>
          <cell r="J350"/>
          <cell r="K350">
            <v>1</v>
          </cell>
          <cell r="L350">
            <v>7</v>
          </cell>
          <cell r="M350">
            <v>7</v>
          </cell>
          <cell r="N350">
            <v>26.939987741102705</v>
          </cell>
          <cell r="O350">
            <v>200</v>
          </cell>
          <cell r="P350">
            <v>34.365663337752238</v>
          </cell>
          <cell r="Q350" t="str">
            <v>E.   Systems extensively surveyed, with major hatcheries or considerable hatchery contribution</v>
          </cell>
          <cell r="R350"/>
          <cell r="S350" t="str">
            <v>Chum is the target species.  2001 was the last year estimates were made for all species.</v>
          </cell>
          <cell r="T350">
            <v>13</v>
          </cell>
          <cell r="U350">
            <v>49.833333333333336</v>
          </cell>
          <cell r="V350"/>
          <cell r="W350" t="str">
            <v>NO</v>
          </cell>
        </row>
        <row r="351">
          <cell r="C351" t="str">
            <v>CHUM CREEK_Chinook</v>
          </cell>
          <cell r="D351" t="str">
            <v>No</v>
          </cell>
          <cell r="E351" t="str">
            <v>No</v>
          </cell>
          <cell r="F351">
            <v>25</v>
          </cell>
          <cell r="G351" t="str">
            <v>CHUM CREEK</v>
          </cell>
          <cell r="H351" t="str">
            <v>Chinook</v>
          </cell>
          <cell r="I351"/>
          <cell r="J351"/>
          <cell r="K351">
            <v>4</v>
          </cell>
          <cell r="L351">
            <v>8</v>
          </cell>
          <cell r="M351">
            <v>2</v>
          </cell>
          <cell r="N351">
            <v>16.970562748477139</v>
          </cell>
          <cell r="O351">
            <v>32</v>
          </cell>
          <cell r="P351">
            <v>21.97145175683243</v>
          </cell>
          <cell r="Q351"/>
          <cell r="R351"/>
          <cell r="S351" t="str">
            <v>Chum is the target species.</v>
          </cell>
          <cell r="T351">
            <v>9</v>
          </cell>
          <cell r="U351">
            <v>13</v>
          </cell>
          <cell r="V351"/>
          <cell r="W351" t="str">
            <v>NO</v>
          </cell>
        </row>
        <row r="352">
          <cell r="C352" t="str">
            <v>CHUM CREEK_Chum</v>
          </cell>
          <cell r="D352" t="str">
            <v>No</v>
          </cell>
          <cell r="E352" t="str">
            <v>No</v>
          </cell>
          <cell r="F352">
            <v>25</v>
          </cell>
          <cell r="G352" t="str">
            <v>CHUM CREEK</v>
          </cell>
          <cell r="H352" t="str">
            <v>Chum</v>
          </cell>
          <cell r="I352"/>
          <cell r="J352"/>
          <cell r="K352">
            <v>4</v>
          </cell>
          <cell r="L352">
            <v>8</v>
          </cell>
          <cell r="M352">
            <v>8</v>
          </cell>
          <cell r="N352">
            <v>1030.8984694505775</v>
          </cell>
          <cell r="O352">
            <v>16208</v>
          </cell>
          <cell r="P352">
            <v>1634.5212167904369</v>
          </cell>
          <cell r="Q352"/>
          <cell r="R352"/>
          <cell r="S352" t="str">
            <v>Chum is the target species.</v>
          </cell>
          <cell r="T352">
            <v>191.25</v>
          </cell>
          <cell r="U352">
            <v>1616.75</v>
          </cell>
          <cell r="V352"/>
          <cell r="W352">
            <v>78</v>
          </cell>
        </row>
        <row r="353">
          <cell r="C353" t="str">
            <v>CHUM CREEK_Coho</v>
          </cell>
          <cell r="D353" t="str">
            <v>No</v>
          </cell>
          <cell r="E353" t="str">
            <v>No</v>
          </cell>
          <cell r="F353">
            <v>25</v>
          </cell>
          <cell r="G353" t="str">
            <v>CHUM CREEK</v>
          </cell>
          <cell r="H353" t="str">
            <v>Coho</v>
          </cell>
          <cell r="I353"/>
          <cell r="J353"/>
          <cell r="K353">
            <v>4</v>
          </cell>
          <cell r="L353">
            <v>8</v>
          </cell>
          <cell r="M353">
            <v>6</v>
          </cell>
          <cell r="N353">
            <v>32.656604182919331</v>
          </cell>
          <cell r="O353">
            <v>750</v>
          </cell>
          <cell r="P353">
            <v>54.742052232673011</v>
          </cell>
          <cell r="Q353"/>
          <cell r="R353"/>
          <cell r="S353" t="str">
            <v>Chum is the target species.</v>
          </cell>
          <cell r="T353">
            <v>13.5</v>
          </cell>
          <cell r="U353">
            <v>41.666666666666664</v>
          </cell>
          <cell r="V353"/>
          <cell r="W353" t="str">
            <v>NO</v>
          </cell>
        </row>
        <row r="354">
          <cell r="C354" t="str">
            <v>CHUM CREEK_Sockeye</v>
          </cell>
          <cell r="D354" t="str">
            <v>No</v>
          </cell>
          <cell r="E354" t="str">
            <v>No</v>
          </cell>
          <cell r="F354">
            <v>25</v>
          </cell>
          <cell r="G354" t="str">
            <v>CHUM CREEK</v>
          </cell>
          <cell r="H354" t="str">
            <v>Sockeye</v>
          </cell>
          <cell r="I354"/>
          <cell r="J354"/>
          <cell r="K354">
            <v>4</v>
          </cell>
          <cell r="L354">
            <v>8</v>
          </cell>
          <cell r="M354">
            <v>2</v>
          </cell>
          <cell r="N354">
            <v>48.062459362791664</v>
          </cell>
          <cell r="O354">
            <v>77</v>
          </cell>
          <cell r="P354">
            <v>28.479825673300656</v>
          </cell>
          <cell r="Q354"/>
          <cell r="R354"/>
          <cell r="S354" t="str">
            <v>Chum is the target species.</v>
          </cell>
          <cell r="T354">
            <v>2</v>
          </cell>
          <cell r="U354">
            <v>3.5</v>
          </cell>
          <cell r="V354"/>
          <cell r="W354">
            <v>2</v>
          </cell>
        </row>
        <row r="355">
          <cell r="C355" t="str">
            <v>CONUMA RIVER_Chinook</v>
          </cell>
          <cell r="D355" t="str">
            <v>No</v>
          </cell>
          <cell r="E355" t="str">
            <v>No</v>
          </cell>
          <cell r="F355">
            <v>25</v>
          </cell>
          <cell r="G355" t="str">
            <v>CONUMA RIVER</v>
          </cell>
          <cell r="H355" t="str">
            <v>Chinook</v>
          </cell>
          <cell r="I355"/>
          <cell r="J355"/>
          <cell r="K355">
            <v>1</v>
          </cell>
          <cell r="L355">
            <v>11</v>
          </cell>
          <cell r="M355">
            <v>11</v>
          </cell>
          <cell r="N355">
            <v>16516.896411038415</v>
          </cell>
          <cell r="O355">
            <v>41053</v>
          </cell>
          <cell r="P355">
            <v>1520.6452497483122</v>
          </cell>
          <cell r="Q355" t="str">
            <v>E.   Systems extensively surveyed, with major hatcheries or considerable hatchery contribution</v>
          </cell>
          <cell r="R355"/>
          <cell r="S355" t="str">
            <v>Average Esc from 1995-2005 from file: NEW ESCAPEMENT INDEX.XLS.  In 2004, the only estimate was for chum &amp; chinook. All other species was not inspected.</v>
          </cell>
          <cell r="T355">
            <v>7462.5</v>
          </cell>
          <cell r="U355">
            <v>18535.833333333332</v>
          </cell>
          <cell r="V355"/>
          <cell r="W355">
            <v>12995</v>
          </cell>
        </row>
        <row r="356">
          <cell r="C356" t="str">
            <v>CONUMA RIVER_Chum</v>
          </cell>
          <cell r="D356" t="str">
            <v>No</v>
          </cell>
          <cell r="E356" t="str">
            <v>No</v>
          </cell>
          <cell r="F356">
            <v>25</v>
          </cell>
          <cell r="G356" t="str">
            <v>CONUMA RIVER</v>
          </cell>
          <cell r="H356" t="str">
            <v>Chum</v>
          </cell>
          <cell r="I356"/>
          <cell r="J356"/>
          <cell r="K356">
            <v>1</v>
          </cell>
          <cell r="L356">
            <v>10</v>
          </cell>
          <cell r="M356">
            <v>10</v>
          </cell>
          <cell r="N356">
            <v>22057.221615183455</v>
          </cell>
          <cell r="O356">
            <v>162252</v>
          </cell>
          <cell r="P356">
            <v>11157.603318416579</v>
          </cell>
          <cell r="Q356" t="str">
            <v>E.   Systems extensively surveyed, with major hatcheries or considerable hatchery contribution</v>
          </cell>
          <cell r="R356"/>
          <cell r="S356" t="str">
            <v>Average Esc from 1995-2005 from file: NEW ESCAPEMENT INDEX.XLS.  In 2004, the only estimate was for chum &amp; chinook. All other species was not inspected.</v>
          </cell>
          <cell r="T356">
            <v>9877</v>
          </cell>
          <cell r="U356">
            <v>9013.0833333333339</v>
          </cell>
          <cell r="V356"/>
          <cell r="W356">
            <v>1909</v>
          </cell>
        </row>
        <row r="357">
          <cell r="C357" t="str">
            <v>CONUMA RIVER_Coho</v>
          </cell>
          <cell r="D357" t="str">
            <v>No</v>
          </cell>
          <cell r="E357" t="str">
            <v>No</v>
          </cell>
          <cell r="F357">
            <v>25</v>
          </cell>
          <cell r="G357" t="str">
            <v>CONUMA RIVER</v>
          </cell>
          <cell r="H357" t="str">
            <v>Coho</v>
          </cell>
          <cell r="I357"/>
          <cell r="J357"/>
          <cell r="K357">
            <v>1</v>
          </cell>
          <cell r="L357">
            <v>10</v>
          </cell>
          <cell r="M357">
            <v>10</v>
          </cell>
          <cell r="N357">
            <v>2650.0767807413176</v>
          </cell>
          <cell r="O357">
            <v>10445</v>
          </cell>
          <cell r="P357">
            <v>1244.3620898810882</v>
          </cell>
          <cell r="Q357" t="str">
            <v>E.   Systems extensively surveyed, with major hatcheries or considerable hatchery contribution</v>
          </cell>
          <cell r="R357"/>
          <cell r="S357" t="str">
            <v>Average Esc from 1995-2005 from file: NEW ESCAPEMENT INDEX.XLS.  In 2004, the only estimate was for chum &amp; chinook. All other species was not inspected.</v>
          </cell>
          <cell r="T357">
            <v>3087.75</v>
          </cell>
          <cell r="U357">
            <v>2675</v>
          </cell>
          <cell r="V357"/>
          <cell r="W357">
            <v>748</v>
          </cell>
        </row>
        <row r="358">
          <cell r="C358" t="str">
            <v>CONUMA RIVER_Pink</v>
          </cell>
          <cell r="D358" t="str">
            <v>No</v>
          </cell>
          <cell r="E358" t="str">
            <v>No</v>
          </cell>
          <cell r="F358">
            <v>25</v>
          </cell>
          <cell r="G358" t="str">
            <v>CONUMA RIVER</v>
          </cell>
          <cell r="H358" t="str">
            <v>Pink</v>
          </cell>
          <cell r="I358"/>
          <cell r="J358"/>
          <cell r="K358">
            <v>1</v>
          </cell>
          <cell r="L358">
            <v>10</v>
          </cell>
          <cell r="M358">
            <v>8</v>
          </cell>
          <cell r="N358">
            <v>7.9121442347609348</v>
          </cell>
          <cell r="O358">
            <v>7500</v>
          </cell>
          <cell r="P358">
            <v>70.480414032131918</v>
          </cell>
          <cell r="Q358" t="str">
            <v>E.   Systems extensively surveyed, with major hatcheries or considerable hatchery contribution</v>
          </cell>
          <cell r="R358"/>
          <cell r="S358" t="str">
            <v>In 2004, the only estimate was for chum &amp; chinook. All other species was not inspected.</v>
          </cell>
          <cell r="T358">
            <v>1</v>
          </cell>
          <cell r="U358">
            <v>1.6666666666666667</v>
          </cell>
          <cell r="V358"/>
          <cell r="W358">
            <v>1</v>
          </cell>
        </row>
        <row r="359">
          <cell r="C359" t="str">
            <v>CONUMA RIVER_Sockeye</v>
          </cell>
          <cell r="D359" t="str">
            <v>No</v>
          </cell>
          <cell r="E359" t="str">
            <v>No</v>
          </cell>
          <cell r="F359">
            <v>25</v>
          </cell>
          <cell r="G359" t="str">
            <v>CONUMA RIVER</v>
          </cell>
          <cell r="H359" t="str">
            <v>Sockeye</v>
          </cell>
          <cell r="I359"/>
          <cell r="J359"/>
          <cell r="K359">
            <v>1</v>
          </cell>
          <cell r="L359">
            <v>10</v>
          </cell>
          <cell r="M359">
            <v>10</v>
          </cell>
          <cell r="N359">
            <v>162.2905419576573</v>
          </cell>
          <cell r="O359">
            <v>1000</v>
          </cell>
          <cell r="P359">
            <v>172.27971688367518</v>
          </cell>
          <cell r="Q359" t="str">
            <v>E.   Systems extensively surveyed, with major hatcheries or considerable hatchery contribution</v>
          </cell>
          <cell r="R359"/>
          <cell r="S359" t="str">
            <v>In 2004, the only estimate was for chum &amp; chinook. All other species was not inspected.</v>
          </cell>
          <cell r="T359">
            <v>78.75</v>
          </cell>
          <cell r="U359">
            <v>176.81818181818181</v>
          </cell>
          <cell r="V359"/>
          <cell r="W359">
            <v>123</v>
          </cell>
        </row>
        <row r="360">
          <cell r="C360" t="str">
            <v>COUGAR CREEK_Chum</v>
          </cell>
          <cell r="D360" t="str">
            <v>No</v>
          </cell>
          <cell r="E360" t="str">
            <v>No</v>
          </cell>
          <cell r="F360">
            <v>25</v>
          </cell>
          <cell r="G360" t="str">
            <v>COUGAR CREEK</v>
          </cell>
          <cell r="H360" t="str">
            <v>Chum</v>
          </cell>
          <cell r="I360"/>
          <cell r="J360"/>
          <cell r="K360">
            <v>5</v>
          </cell>
          <cell r="L360">
            <v>5</v>
          </cell>
          <cell r="M360">
            <v>4</v>
          </cell>
          <cell r="N360">
            <v>129.50100320556757</v>
          </cell>
          <cell r="O360">
            <v>13000</v>
          </cell>
          <cell r="P360">
            <v>325.54211198730485</v>
          </cell>
          <cell r="Q360"/>
          <cell r="R360"/>
          <cell r="S360" t="str">
            <v>Last survey was in 2002, no fish were observed.</v>
          </cell>
          <cell r="T360" t="e">
            <v>#DIV/0!</v>
          </cell>
          <cell r="U360">
            <v>62</v>
          </cell>
          <cell r="V360"/>
          <cell r="W360" t="str">
            <v>NI</v>
          </cell>
        </row>
        <row r="361">
          <cell r="C361" t="str">
            <v>COUGAR CREEK_Coho</v>
          </cell>
          <cell r="D361" t="str">
            <v>No</v>
          </cell>
          <cell r="E361" t="str">
            <v>No</v>
          </cell>
          <cell r="F361">
            <v>25</v>
          </cell>
          <cell r="G361" t="str">
            <v>COUGAR CREEK</v>
          </cell>
          <cell r="H361" t="str">
            <v>Coho</v>
          </cell>
          <cell r="I361"/>
          <cell r="J361"/>
          <cell r="K361">
            <v>5</v>
          </cell>
          <cell r="L361">
            <v>5</v>
          </cell>
          <cell r="M361">
            <v>1</v>
          </cell>
          <cell r="N361">
            <v>7</v>
          </cell>
          <cell r="O361">
            <v>200</v>
          </cell>
          <cell r="P361">
            <v>37.416573867739416</v>
          </cell>
          <cell r="Q361"/>
          <cell r="R361"/>
          <cell r="S361" t="str">
            <v>Last survey was in 2002, no fish were observed.</v>
          </cell>
          <cell r="T361" t="e">
            <v>#DIV/0!</v>
          </cell>
          <cell r="U361" t="e">
            <v>#DIV/0!</v>
          </cell>
          <cell r="V361"/>
          <cell r="W361" t="str">
            <v>NI</v>
          </cell>
        </row>
        <row r="362">
          <cell r="C362" t="str">
            <v>DESERTED CREEK_Chinook</v>
          </cell>
          <cell r="D362" t="str">
            <v>No</v>
          </cell>
          <cell r="E362" t="str">
            <v>No</v>
          </cell>
          <cell r="F362">
            <v>25</v>
          </cell>
          <cell r="G362" t="str">
            <v>DESERTED CREEK</v>
          </cell>
          <cell r="H362" t="str">
            <v>Chinook</v>
          </cell>
          <cell r="I362"/>
          <cell r="J362"/>
          <cell r="K362">
            <v>4</v>
          </cell>
          <cell r="L362">
            <v>8</v>
          </cell>
          <cell r="M362">
            <v>3</v>
          </cell>
          <cell r="N362">
            <v>1.8171205928321397</v>
          </cell>
          <cell r="O362">
            <v>750</v>
          </cell>
          <cell r="P362">
            <v>65.524323323836953</v>
          </cell>
          <cell r="Q362"/>
          <cell r="R362"/>
          <cell r="S362" t="str">
            <v>Chum is the target species.  2002 &amp; 2003 chum is the only species that an estimate was made for.</v>
          </cell>
          <cell r="T362" t="e">
            <v>#DIV/0!</v>
          </cell>
          <cell r="U362" t="e">
            <v>#DIV/0!</v>
          </cell>
          <cell r="V362"/>
          <cell r="W362" t="str">
            <v>NI</v>
          </cell>
        </row>
        <row r="363">
          <cell r="C363" t="str">
            <v>DESERTED CREEK_Chum</v>
          </cell>
          <cell r="D363" t="str">
            <v>No</v>
          </cell>
          <cell r="E363" t="str">
            <v>No</v>
          </cell>
          <cell r="F363">
            <v>25</v>
          </cell>
          <cell r="G363" t="str">
            <v>DESERTED CREEK</v>
          </cell>
          <cell r="H363" t="str">
            <v>Chum</v>
          </cell>
          <cell r="I363"/>
          <cell r="J363"/>
          <cell r="K363">
            <v>4</v>
          </cell>
          <cell r="L363">
            <v>10</v>
          </cell>
          <cell r="M363">
            <v>10</v>
          </cell>
          <cell r="N363">
            <v>3130.9882868017753</v>
          </cell>
          <cell r="O363">
            <v>38000</v>
          </cell>
          <cell r="P363">
            <v>5347.8459635246172</v>
          </cell>
          <cell r="Q363"/>
          <cell r="R363"/>
          <cell r="S363" t="str">
            <v>Chum is the target species.  2002 &amp; 2003 chum is the only species that an estimate was made for.</v>
          </cell>
          <cell r="T363" t="e">
            <v>#DIV/0!</v>
          </cell>
          <cell r="U363">
            <v>770.33333333333337</v>
          </cell>
          <cell r="V363"/>
          <cell r="W363" t="str">
            <v>NI</v>
          </cell>
        </row>
        <row r="364">
          <cell r="C364" t="str">
            <v>DESERTED CREEK_Coho</v>
          </cell>
          <cell r="D364" t="str">
            <v>No</v>
          </cell>
          <cell r="E364" t="str">
            <v>No</v>
          </cell>
          <cell r="F364">
            <v>25</v>
          </cell>
          <cell r="G364" t="str">
            <v>DESERTED CREEK</v>
          </cell>
          <cell r="H364" t="str">
            <v>Coho</v>
          </cell>
          <cell r="I364"/>
          <cell r="J364"/>
          <cell r="K364">
            <v>4</v>
          </cell>
          <cell r="L364">
            <v>8</v>
          </cell>
          <cell r="M364">
            <v>6</v>
          </cell>
          <cell r="N364">
            <v>25.516790645261771</v>
          </cell>
          <cell r="O364">
            <v>750</v>
          </cell>
          <cell r="P364">
            <v>83.949997494648116</v>
          </cell>
          <cell r="Q364"/>
          <cell r="R364"/>
          <cell r="S364" t="str">
            <v>Chum is the target species.  2002 &amp; 2003 chum is the only species that an estimate was made for.</v>
          </cell>
          <cell r="T364" t="e">
            <v>#DIV/0!</v>
          </cell>
          <cell r="U364">
            <v>6</v>
          </cell>
          <cell r="V364"/>
          <cell r="W364" t="str">
            <v>NI</v>
          </cell>
        </row>
        <row r="365">
          <cell r="C365" t="str">
            <v>DESERTED CREEK_Sockeye</v>
          </cell>
          <cell r="D365" t="str">
            <v>No</v>
          </cell>
          <cell r="E365" t="str">
            <v>No</v>
          </cell>
          <cell r="F365">
            <v>25</v>
          </cell>
          <cell r="G365" t="str">
            <v>DESERTED CREEK</v>
          </cell>
          <cell r="H365" t="str">
            <v>Sockeye</v>
          </cell>
          <cell r="I365"/>
          <cell r="J365"/>
          <cell r="K365">
            <v>4</v>
          </cell>
          <cell r="L365">
            <v>8</v>
          </cell>
          <cell r="M365">
            <v>3</v>
          </cell>
          <cell r="N365">
            <v>12.018490013834734</v>
          </cell>
          <cell r="O365">
            <v>400</v>
          </cell>
          <cell r="P365">
            <v>40.342092510083866</v>
          </cell>
          <cell r="Q365"/>
          <cell r="R365"/>
          <cell r="S365" t="str">
            <v>Chum is the target species.  2002 &amp; 2003 chum is the only species that an estimate was made for.</v>
          </cell>
          <cell r="T365" t="e">
            <v>#DIV/0!</v>
          </cell>
          <cell r="U365" t="e">
            <v>#DIV/0!</v>
          </cell>
          <cell r="V365"/>
          <cell r="W365" t="str">
            <v>NI</v>
          </cell>
        </row>
        <row r="366">
          <cell r="C366" t="str">
            <v>ELIZA CREEK_Chum</v>
          </cell>
          <cell r="D366" t="str">
            <v>No</v>
          </cell>
          <cell r="E366" t="str">
            <v>No</v>
          </cell>
          <cell r="F366">
            <v>25</v>
          </cell>
          <cell r="G366" t="str">
            <v>ELIZA CREEK</v>
          </cell>
          <cell r="H366" t="str">
            <v>Chum</v>
          </cell>
          <cell r="I366"/>
          <cell r="J366"/>
          <cell r="K366">
            <v>4</v>
          </cell>
          <cell r="L366">
            <v>3</v>
          </cell>
          <cell r="M366">
            <v>3</v>
          </cell>
          <cell r="N366">
            <v>536.6563145999495</v>
          </cell>
          <cell r="O366">
            <v>6500</v>
          </cell>
          <cell r="P366">
            <v>1168.4161287300674</v>
          </cell>
          <cell r="Q366"/>
          <cell r="R366"/>
          <cell r="S366" t="str">
            <v>Last time stream was surveyed was in 2000, no coho were observed and chum was entered as Adult Present (AP).</v>
          </cell>
          <cell r="T366">
            <v>37</v>
          </cell>
          <cell r="U366">
            <v>1170.5</v>
          </cell>
          <cell r="V366"/>
          <cell r="W366" t="str">
            <v>NI</v>
          </cell>
        </row>
        <row r="367">
          <cell r="C367" t="str">
            <v>ELIZA CREEK_Coho</v>
          </cell>
          <cell r="D367" t="str">
            <v>No</v>
          </cell>
          <cell r="E367" t="str">
            <v>No</v>
          </cell>
          <cell r="F367">
            <v>25</v>
          </cell>
          <cell r="G367" t="str">
            <v>ELIZA CREEK</v>
          </cell>
          <cell r="H367" t="str">
            <v>Coho</v>
          </cell>
          <cell r="I367"/>
          <cell r="J367"/>
          <cell r="K367">
            <v>4</v>
          </cell>
          <cell r="L367">
            <v>3</v>
          </cell>
          <cell r="M367">
            <v>1</v>
          </cell>
          <cell r="N367">
            <v>10</v>
          </cell>
          <cell r="O367">
            <v>400</v>
          </cell>
          <cell r="P367">
            <v>51.459954753363348</v>
          </cell>
          <cell r="Q367"/>
          <cell r="R367"/>
          <cell r="S367" t="str">
            <v>Last time stream was surveyed was in 2000, no coho were observed and chum was entered as Adult Present (AP).</v>
          </cell>
          <cell r="T367">
            <v>12</v>
          </cell>
          <cell r="U367">
            <v>10</v>
          </cell>
          <cell r="V367"/>
          <cell r="W367" t="str">
            <v>NI</v>
          </cell>
        </row>
        <row r="368">
          <cell r="C368" t="str">
            <v>ESCALANTE RIVER_Chum</v>
          </cell>
          <cell r="D368" t="str">
            <v>No</v>
          </cell>
          <cell r="E368" t="str">
            <v>No</v>
          </cell>
          <cell r="F368">
            <v>25</v>
          </cell>
          <cell r="G368" t="str">
            <v>ESCALANTE RIVER</v>
          </cell>
          <cell r="H368" t="str">
            <v>Chum</v>
          </cell>
          <cell r="I368"/>
          <cell r="J368"/>
          <cell r="K368"/>
          <cell r="L368"/>
          <cell r="M368"/>
          <cell r="N368"/>
          <cell r="O368"/>
          <cell r="P368"/>
          <cell r="Q368"/>
          <cell r="R368"/>
          <cell r="S368"/>
          <cell r="T368">
            <v>32</v>
          </cell>
          <cell r="U368">
            <v>32</v>
          </cell>
          <cell r="V368"/>
          <cell r="W368" t="str">
            <v>NI</v>
          </cell>
        </row>
        <row r="369">
          <cell r="C369" t="str">
            <v>ESCALANTE RIVER_Coho</v>
          </cell>
          <cell r="D369" t="str">
            <v>No</v>
          </cell>
          <cell r="E369" t="str">
            <v>No</v>
          </cell>
          <cell r="F369">
            <v>25</v>
          </cell>
          <cell r="G369" t="str">
            <v>ESCALANTE RIVER</v>
          </cell>
          <cell r="H369" t="str">
            <v>Coho</v>
          </cell>
          <cell r="I369"/>
          <cell r="J369"/>
          <cell r="K369"/>
          <cell r="L369"/>
          <cell r="M369"/>
          <cell r="N369"/>
          <cell r="O369"/>
          <cell r="P369"/>
          <cell r="Q369"/>
          <cell r="R369"/>
          <cell r="S369"/>
          <cell r="T369">
            <v>478</v>
          </cell>
          <cell r="U369">
            <v>478</v>
          </cell>
          <cell r="V369"/>
          <cell r="W369" t="str">
            <v>NI</v>
          </cell>
        </row>
        <row r="370">
          <cell r="C370" t="str">
            <v>ESPINOSA CREEK_Chinook</v>
          </cell>
          <cell r="D370" t="str">
            <v>No</v>
          </cell>
          <cell r="E370" t="str">
            <v>No</v>
          </cell>
          <cell r="F370">
            <v>25</v>
          </cell>
          <cell r="G370" t="str">
            <v>ESPINOSA CREEK</v>
          </cell>
          <cell r="H370" t="str">
            <v>Chinook</v>
          </cell>
          <cell r="I370"/>
          <cell r="J370"/>
          <cell r="K370">
            <v>4</v>
          </cell>
          <cell r="L370">
            <v>9</v>
          </cell>
          <cell r="M370">
            <v>6</v>
          </cell>
          <cell r="N370">
            <v>16.727094633133639</v>
          </cell>
          <cell r="O370">
            <v>400</v>
          </cell>
          <cell r="P370">
            <v>26.364496143316501</v>
          </cell>
          <cell r="Q370"/>
          <cell r="R370"/>
          <cell r="S370" t="str">
            <v>1 of the 6 observations was entered as Adult Present (AP).</v>
          </cell>
          <cell r="T370">
            <v>62.25</v>
          </cell>
          <cell r="U370">
            <v>40.625</v>
          </cell>
          <cell r="V370"/>
          <cell r="W370">
            <v>5</v>
          </cell>
        </row>
        <row r="371">
          <cell r="C371" t="str">
            <v>ESPINOSA CREEK_Chum</v>
          </cell>
          <cell r="D371" t="str">
            <v>No</v>
          </cell>
          <cell r="E371" t="str">
            <v>No</v>
          </cell>
          <cell r="F371">
            <v>25</v>
          </cell>
          <cell r="G371" t="str">
            <v>ESPINOSA CREEK</v>
          </cell>
          <cell r="H371" t="str">
            <v>Chum</v>
          </cell>
          <cell r="I371"/>
          <cell r="J371"/>
          <cell r="K371">
            <v>4</v>
          </cell>
          <cell r="L371">
            <v>9</v>
          </cell>
          <cell r="M371">
            <v>7</v>
          </cell>
          <cell r="N371">
            <v>3436.6130817682515</v>
          </cell>
          <cell r="O371">
            <v>25538</v>
          </cell>
          <cell r="P371">
            <v>2190.5518813015415</v>
          </cell>
          <cell r="Q371"/>
          <cell r="R371"/>
          <cell r="S371" t="str">
            <v>2 of the 9 observations was entered as Adult Present (AP).</v>
          </cell>
          <cell r="T371">
            <v>1036.75</v>
          </cell>
          <cell r="U371">
            <v>1782.9</v>
          </cell>
          <cell r="V371"/>
          <cell r="W371">
            <v>525</v>
          </cell>
        </row>
        <row r="372">
          <cell r="C372" t="str">
            <v>ESPINOSA CREEK_Coho</v>
          </cell>
          <cell r="D372" t="str">
            <v>No</v>
          </cell>
          <cell r="E372" t="str">
            <v>No</v>
          </cell>
          <cell r="F372">
            <v>25</v>
          </cell>
          <cell r="G372" t="str">
            <v>ESPINOSA CREEK</v>
          </cell>
          <cell r="H372" t="str">
            <v>Coho</v>
          </cell>
          <cell r="I372"/>
          <cell r="J372"/>
          <cell r="K372">
            <v>4</v>
          </cell>
          <cell r="L372">
            <v>9</v>
          </cell>
          <cell r="M372">
            <v>8</v>
          </cell>
          <cell r="N372">
            <v>36.298480863747407</v>
          </cell>
          <cell r="O372">
            <v>750</v>
          </cell>
          <cell r="P372">
            <v>54.246837466855268</v>
          </cell>
          <cell r="Q372"/>
          <cell r="R372"/>
          <cell r="S372" t="str">
            <v>2 of the 8 observations was entered as Adult Present (AP).</v>
          </cell>
          <cell r="T372">
            <v>63.666666666666664</v>
          </cell>
          <cell r="U372">
            <v>86.833333333333329</v>
          </cell>
          <cell r="V372"/>
          <cell r="W372" t="str">
            <v>NO</v>
          </cell>
        </row>
        <row r="373">
          <cell r="C373" t="str">
            <v>ESPINOSA CREEK_Pink</v>
          </cell>
          <cell r="D373" t="str">
            <v>No</v>
          </cell>
          <cell r="E373" t="str">
            <v>No</v>
          </cell>
          <cell r="F373">
            <v>25</v>
          </cell>
          <cell r="G373" t="str">
            <v>ESPINOSA CREEK</v>
          </cell>
          <cell r="H373" t="str">
            <v>Pink</v>
          </cell>
          <cell r="I373"/>
          <cell r="J373"/>
          <cell r="K373">
            <v>4</v>
          </cell>
          <cell r="L373">
            <v>9</v>
          </cell>
          <cell r="M373">
            <v>3</v>
          </cell>
          <cell r="N373">
            <v>5.2800917653597237</v>
          </cell>
          <cell r="O373">
            <v>7500</v>
          </cell>
          <cell r="P373">
            <v>155.04300454207325</v>
          </cell>
          <cell r="Q373"/>
          <cell r="R373"/>
          <cell r="S373"/>
          <cell r="T373" t="e">
            <v>#DIV/0!</v>
          </cell>
          <cell r="U373">
            <v>10.75</v>
          </cell>
          <cell r="V373"/>
          <cell r="W373" t="str">
            <v>NO</v>
          </cell>
        </row>
        <row r="374">
          <cell r="C374" t="str">
            <v>ESPINOSA CREEK_Sockeye</v>
          </cell>
          <cell r="D374" t="str">
            <v>No</v>
          </cell>
          <cell r="E374" t="str">
            <v>No</v>
          </cell>
          <cell r="F374">
            <v>25</v>
          </cell>
          <cell r="G374" t="str">
            <v>ESPINOSA CREEK</v>
          </cell>
          <cell r="H374" t="str">
            <v>Sockeye</v>
          </cell>
          <cell r="I374"/>
          <cell r="J374"/>
          <cell r="K374">
            <v>4</v>
          </cell>
          <cell r="L374">
            <v>9</v>
          </cell>
          <cell r="M374">
            <v>6</v>
          </cell>
          <cell r="N374">
            <v>26.321027831390843</v>
          </cell>
          <cell r="O374">
            <v>293</v>
          </cell>
          <cell r="P374">
            <v>16.535847648206115</v>
          </cell>
          <cell r="Q374"/>
          <cell r="R374"/>
          <cell r="S374" t="str">
            <v>1 of the 6 observations was entered as Adult Present (AP).</v>
          </cell>
          <cell r="T374">
            <v>22.25</v>
          </cell>
          <cell r="U374">
            <v>26</v>
          </cell>
          <cell r="V374"/>
          <cell r="W374">
            <v>21</v>
          </cell>
        </row>
        <row r="375">
          <cell r="C375" t="str">
            <v>GOLD RIVER_Chinook</v>
          </cell>
          <cell r="D375" t="str">
            <v>No</v>
          </cell>
          <cell r="E375" t="str">
            <v>No</v>
          </cell>
          <cell r="F375">
            <v>25</v>
          </cell>
          <cell r="G375" t="str">
            <v>GOLD RIVER</v>
          </cell>
          <cell r="H375" t="str">
            <v>Chinook</v>
          </cell>
          <cell r="I375"/>
          <cell r="J375"/>
          <cell r="K375">
            <v>2</v>
          </cell>
          <cell r="L375">
            <v>10</v>
          </cell>
          <cell r="M375">
            <v>10</v>
          </cell>
          <cell r="N375">
            <v>2143.409358101856</v>
          </cell>
          <cell r="O375">
            <v>14654</v>
          </cell>
          <cell r="P375">
            <v>1202.4634886002407</v>
          </cell>
          <cell r="Q375" t="str">
            <v>A.  PSC Indicator stocks.</v>
          </cell>
          <cell r="R375"/>
          <cell r="S375" t="str">
            <v>Average Esc from 1995-2005 from file: NEW ESCAPEMENT INDEX.XLS</v>
          </cell>
          <cell r="T375">
            <v>5256.5</v>
          </cell>
          <cell r="U375">
            <v>2740</v>
          </cell>
          <cell r="V375"/>
          <cell r="W375">
            <v>6895</v>
          </cell>
        </row>
        <row r="376">
          <cell r="C376" t="str">
            <v>GOLD RIVER_Chum</v>
          </cell>
          <cell r="D376" t="str">
            <v>No</v>
          </cell>
          <cell r="E376" t="str">
            <v>No</v>
          </cell>
          <cell r="F376">
            <v>25</v>
          </cell>
          <cell r="G376" t="str">
            <v>GOLD RIVER</v>
          </cell>
          <cell r="H376" t="str">
            <v>Chum</v>
          </cell>
          <cell r="I376"/>
          <cell r="J376"/>
          <cell r="K376">
            <v>2</v>
          </cell>
          <cell r="L376">
            <v>5</v>
          </cell>
          <cell r="M376">
            <v>3</v>
          </cell>
          <cell r="N376">
            <v>491.15272573813536</v>
          </cell>
          <cell r="O376">
            <v>7500</v>
          </cell>
          <cell r="P376">
            <v>1337.3830232655603</v>
          </cell>
          <cell r="Q376" t="str">
            <v>A.  PSC Indicator stocks.</v>
          </cell>
          <cell r="R376"/>
          <cell r="S376" t="str">
            <v>Missing data from 5 years (1999, 2000, 2002, 2003, &amp;2004). 1 of the 3 observations was entered as Adult Present (AP).</v>
          </cell>
          <cell r="T376">
            <v>113</v>
          </cell>
          <cell r="U376">
            <v>113</v>
          </cell>
          <cell r="V376"/>
          <cell r="W376">
            <v>113</v>
          </cell>
        </row>
        <row r="377">
          <cell r="C377" t="str">
            <v>GOLD RIVER_Coho</v>
          </cell>
          <cell r="D377" t="str">
            <v>No</v>
          </cell>
          <cell r="E377" t="str">
            <v>No</v>
          </cell>
          <cell r="F377">
            <v>25</v>
          </cell>
          <cell r="G377" t="str">
            <v>GOLD RIVER</v>
          </cell>
          <cell r="H377" t="str">
            <v>Coho</v>
          </cell>
          <cell r="I377"/>
          <cell r="J377"/>
          <cell r="K377">
            <v>2</v>
          </cell>
          <cell r="L377">
            <v>5</v>
          </cell>
          <cell r="M377">
            <v>4</v>
          </cell>
          <cell r="N377">
            <v>1335.5015699152159</v>
          </cell>
          <cell r="O377">
            <v>10000</v>
          </cell>
          <cell r="P377">
            <v>1454.7623749575832</v>
          </cell>
          <cell r="Q377" t="str">
            <v>A.  PSC Indicator stocks.</v>
          </cell>
          <cell r="R377"/>
          <cell r="S377" t="str">
            <v>Missing data from 5 years (1999, 2000, 2002, 2003, &amp;2004).</v>
          </cell>
          <cell r="T377">
            <v>2975</v>
          </cell>
          <cell r="U377">
            <v>2781.25</v>
          </cell>
          <cell r="V377"/>
          <cell r="W377">
            <v>6867</v>
          </cell>
        </row>
        <row r="378">
          <cell r="C378" t="str">
            <v>GOLD RIVER_Sockeye</v>
          </cell>
          <cell r="D378" t="str">
            <v>No</v>
          </cell>
          <cell r="E378" t="str">
            <v>No</v>
          </cell>
          <cell r="F378">
            <v>25</v>
          </cell>
          <cell r="G378" t="str">
            <v>GOLD RIVER</v>
          </cell>
          <cell r="H378" t="str">
            <v>Sockeye</v>
          </cell>
          <cell r="I378"/>
          <cell r="J378"/>
          <cell r="K378">
            <v>2</v>
          </cell>
          <cell r="L378">
            <v>5</v>
          </cell>
          <cell r="M378">
            <v>3</v>
          </cell>
          <cell r="N378">
            <v>2731.4552007808229</v>
          </cell>
          <cell r="O378">
            <v>15000</v>
          </cell>
          <cell r="P378">
            <v>2325.1833503104008</v>
          </cell>
          <cell r="Q378" t="str">
            <v>A.  PSC Indicator stocks.</v>
          </cell>
          <cell r="R378"/>
          <cell r="S378" t="str">
            <v>Missing data from 5 years (1999, 2000, 2002, 2003, &amp;2004).</v>
          </cell>
          <cell r="T378">
            <v>1105.5</v>
          </cell>
          <cell r="U378">
            <v>1105.5</v>
          </cell>
          <cell r="V378"/>
          <cell r="W378">
            <v>464</v>
          </cell>
        </row>
        <row r="379">
          <cell r="C379" t="str">
            <v>GUISE CREEK_Chum</v>
          </cell>
          <cell r="D379" t="str">
            <v>No</v>
          </cell>
          <cell r="E379" t="str">
            <v>No</v>
          </cell>
          <cell r="F379">
            <v>25</v>
          </cell>
          <cell r="G379" t="str">
            <v>GUISE CREEK</v>
          </cell>
          <cell r="H379" t="str">
            <v>Chum</v>
          </cell>
          <cell r="I379"/>
          <cell r="J379"/>
          <cell r="K379">
            <v>5</v>
          </cell>
          <cell r="L379">
            <v>3</v>
          </cell>
          <cell r="M379">
            <v>2</v>
          </cell>
          <cell r="N379">
            <v>100.99504938362078</v>
          </cell>
          <cell r="O379">
            <v>700</v>
          </cell>
          <cell r="P379">
            <v>200.16223657932758</v>
          </cell>
          <cell r="Q379"/>
          <cell r="R379"/>
          <cell r="S379" t="str">
            <v>Last time stream was surveyed was in 2002.</v>
          </cell>
          <cell r="T379" t="e">
            <v>#DIV/0!</v>
          </cell>
          <cell r="U379">
            <v>39</v>
          </cell>
          <cell r="V379"/>
          <cell r="W379" t="str">
            <v>NI</v>
          </cell>
        </row>
        <row r="380">
          <cell r="C380" t="str">
            <v>GUISE CREEK_Coho</v>
          </cell>
          <cell r="D380" t="str">
            <v>No</v>
          </cell>
          <cell r="E380" t="str">
            <v>No</v>
          </cell>
          <cell r="F380">
            <v>25</v>
          </cell>
          <cell r="G380" t="str">
            <v>GUISE CREEK</v>
          </cell>
          <cell r="H380" t="str">
            <v>Coho</v>
          </cell>
          <cell r="I380"/>
          <cell r="J380"/>
          <cell r="K380">
            <v>5</v>
          </cell>
          <cell r="L380">
            <v>3</v>
          </cell>
          <cell r="M380">
            <v>1</v>
          </cell>
          <cell r="N380">
            <v>3</v>
          </cell>
          <cell r="O380">
            <v>10</v>
          </cell>
          <cell r="P380">
            <v>5.4772255750516612</v>
          </cell>
          <cell r="Q380"/>
          <cell r="R380"/>
          <cell r="S380" t="str">
            <v>Last time stream was surveyed was in 2002, no coho were observed.</v>
          </cell>
          <cell r="T380" t="e">
            <v>#DIV/0!</v>
          </cell>
          <cell r="U380" t="e">
            <v>#DIV/0!</v>
          </cell>
          <cell r="V380"/>
          <cell r="W380" t="str">
            <v>NI</v>
          </cell>
        </row>
        <row r="381">
          <cell r="C381" t="str">
            <v>HAMMOND CREEK_Chinook</v>
          </cell>
          <cell r="D381" t="str">
            <v>No</v>
          </cell>
          <cell r="E381" t="str">
            <v>No</v>
          </cell>
          <cell r="F381">
            <v>25</v>
          </cell>
          <cell r="G381" t="str">
            <v>HAMMOND CREEK</v>
          </cell>
          <cell r="H381" t="str">
            <v>Chinook</v>
          </cell>
          <cell r="I381"/>
          <cell r="J381"/>
          <cell r="K381">
            <v>4</v>
          </cell>
          <cell r="L381">
            <v>9</v>
          </cell>
          <cell r="M381">
            <v>2</v>
          </cell>
          <cell r="N381">
            <v>5.5178483527622415</v>
          </cell>
          <cell r="O381">
            <v>25</v>
          </cell>
          <cell r="P381">
            <v>10.069943706001002</v>
          </cell>
          <cell r="Q381"/>
          <cell r="R381"/>
          <cell r="S381"/>
          <cell r="T381">
            <v>1</v>
          </cell>
          <cell r="U381">
            <v>1</v>
          </cell>
          <cell r="V381"/>
          <cell r="W381" t="str">
            <v>NO</v>
          </cell>
        </row>
        <row r="382">
          <cell r="C382" t="str">
            <v>HAMMOND CREEK_Chum</v>
          </cell>
          <cell r="D382" t="str">
            <v>No</v>
          </cell>
          <cell r="E382" t="str">
            <v>No</v>
          </cell>
          <cell r="F382">
            <v>25</v>
          </cell>
          <cell r="G382" t="str">
            <v>HAMMOND CREEK</v>
          </cell>
          <cell r="H382" t="str">
            <v>Chum</v>
          </cell>
          <cell r="I382"/>
          <cell r="J382"/>
          <cell r="K382">
            <v>4</v>
          </cell>
          <cell r="L382">
            <v>9</v>
          </cell>
          <cell r="M382">
            <v>8</v>
          </cell>
          <cell r="N382">
            <v>305.30856950550515</v>
          </cell>
          <cell r="O382">
            <v>7500</v>
          </cell>
          <cell r="P382">
            <v>488.29091072955134</v>
          </cell>
          <cell r="Q382"/>
          <cell r="R382"/>
          <cell r="S382"/>
          <cell r="T382">
            <v>16</v>
          </cell>
          <cell r="U382">
            <v>288</v>
          </cell>
          <cell r="V382"/>
          <cell r="W382">
            <v>16</v>
          </cell>
        </row>
        <row r="383">
          <cell r="C383" t="str">
            <v>HAMMOND CREEK_Coho</v>
          </cell>
          <cell r="D383" t="str">
            <v>No</v>
          </cell>
          <cell r="E383" t="str">
            <v>No</v>
          </cell>
          <cell r="F383">
            <v>25</v>
          </cell>
          <cell r="G383" t="str">
            <v>HAMMOND CREEK</v>
          </cell>
          <cell r="H383" t="str">
            <v>Coho</v>
          </cell>
          <cell r="I383"/>
          <cell r="J383"/>
          <cell r="K383">
            <v>4</v>
          </cell>
          <cell r="L383">
            <v>9</v>
          </cell>
          <cell r="M383">
            <v>9</v>
          </cell>
          <cell r="N383">
            <v>57.998032649796826</v>
          </cell>
          <cell r="O383">
            <v>750</v>
          </cell>
          <cell r="P383">
            <v>45.960982676359627</v>
          </cell>
          <cell r="Q383"/>
          <cell r="R383"/>
          <cell r="S383"/>
          <cell r="T383">
            <v>23</v>
          </cell>
          <cell r="U383">
            <v>33.333333333333336</v>
          </cell>
          <cell r="V383"/>
          <cell r="W383">
            <v>5</v>
          </cell>
        </row>
        <row r="384">
          <cell r="C384" t="str">
            <v>HAMMOND CREEK_Sockeye</v>
          </cell>
          <cell r="D384" t="str">
            <v>No</v>
          </cell>
          <cell r="E384" t="str">
            <v>No</v>
          </cell>
          <cell r="F384">
            <v>25</v>
          </cell>
          <cell r="G384" t="str">
            <v>HAMMOND CREEK</v>
          </cell>
          <cell r="H384" t="str">
            <v>Sockeye</v>
          </cell>
          <cell r="I384"/>
          <cell r="J384"/>
          <cell r="K384">
            <v>4</v>
          </cell>
          <cell r="L384">
            <v>9</v>
          </cell>
          <cell r="M384">
            <v>5</v>
          </cell>
          <cell r="N384">
            <v>18.169084221029262</v>
          </cell>
          <cell r="O384">
            <v>150</v>
          </cell>
          <cell r="P384">
            <v>13.875019406522908</v>
          </cell>
          <cell r="Q384"/>
          <cell r="R384"/>
          <cell r="S384"/>
          <cell r="T384" t="e">
            <v>#DIV/0!</v>
          </cell>
          <cell r="U384">
            <v>1</v>
          </cell>
          <cell r="V384"/>
          <cell r="W384" t="str">
            <v>NO</v>
          </cell>
        </row>
        <row r="385">
          <cell r="C385" t="str">
            <v>HOISS CREEK_Chinook</v>
          </cell>
          <cell r="D385" t="str">
            <v>No</v>
          </cell>
          <cell r="E385" t="str">
            <v>No</v>
          </cell>
          <cell r="F385">
            <v>25</v>
          </cell>
          <cell r="G385" t="str">
            <v>HOISS CREEK</v>
          </cell>
          <cell r="H385" t="str">
            <v>Chinook</v>
          </cell>
          <cell r="I385"/>
          <cell r="J385"/>
          <cell r="K385">
            <v>4</v>
          </cell>
          <cell r="L385">
            <v>11</v>
          </cell>
          <cell r="M385">
            <v>6</v>
          </cell>
          <cell r="N385">
            <v>3.6986223885946474</v>
          </cell>
          <cell r="O385">
            <v>50</v>
          </cell>
          <cell r="P385">
            <v>10.187692651215061</v>
          </cell>
          <cell r="Q385"/>
          <cell r="R385"/>
          <cell r="S385"/>
          <cell r="T385" t="e">
            <v>#DIV/0!</v>
          </cell>
          <cell r="U385">
            <v>1</v>
          </cell>
          <cell r="V385"/>
          <cell r="W385" t="str">
            <v>NI</v>
          </cell>
        </row>
        <row r="386">
          <cell r="C386" t="str">
            <v>HOISS CREEK_Chum</v>
          </cell>
          <cell r="D386" t="str">
            <v>No</v>
          </cell>
          <cell r="E386" t="str">
            <v>No</v>
          </cell>
          <cell r="F386">
            <v>25</v>
          </cell>
          <cell r="G386" t="str">
            <v>HOISS CREEK</v>
          </cell>
          <cell r="H386" t="str">
            <v>Chum</v>
          </cell>
          <cell r="I386"/>
          <cell r="J386"/>
          <cell r="K386">
            <v>4</v>
          </cell>
          <cell r="L386">
            <v>11</v>
          </cell>
          <cell r="M386">
            <v>11</v>
          </cell>
          <cell r="N386">
            <v>489.51847246897518</v>
          </cell>
          <cell r="O386">
            <v>6210</v>
          </cell>
          <cell r="P386">
            <v>678.73834263479796</v>
          </cell>
          <cell r="Q386"/>
          <cell r="R386"/>
          <cell r="S386"/>
          <cell r="T386" t="e">
            <v>#DIV/0!</v>
          </cell>
          <cell r="U386">
            <v>361</v>
          </cell>
          <cell r="V386"/>
          <cell r="W386" t="str">
            <v>NI</v>
          </cell>
        </row>
        <row r="387">
          <cell r="C387" t="str">
            <v>HOISS CREEK_Coho</v>
          </cell>
          <cell r="D387" t="str">
            <v>No</v>
          </cell>
          <cell r="E387" t="str">
            <v>No</v>
          </cell>
          <cell r="F387">
            <v>25</v>
          </cell>
          <cell r="G387" t="str">
            <v>HOISS CREEK</v>
          </cell>
          <cell r="H387" t="str">
            <v>Coho</v>
          </cell>
          <cell r="I387"/>
          <cell r="J387"/>
          <cell r="K387">
            <v>4</v>
          </cell>
          <cell r="L387">
            <v>11</v>
          </cell>
          <cell r="M387">
            <v>9</v>
          </cell>
          <cell r="N387">
            <v>46.77294447910608</v>
          </cell>
          <cell r="O387">
            <v>750</v>
          </cell>
          <cell r="P387">
            <v>58.298383597692258</v>
          </cell>
          <cell r="Q387"/>
          <cell r="R387"/>
          <cell r="S387"/>
          <cell r="T387" t="e">
            <v>#DIV/0!</v>
          </cell>
          <cell r="U387">
            <v>48</v>
          </cell>
          <cell r="V387"/>
          <cell r="W387" t="str">
            <v>NI</v>
          </cell>
        </row>
        <row r="388">
          <cell r="C388" t="str">
            <v>HOISS CREEK_Sockeye</v>
          </cell>
          <cell r="D388" t="str">
            <v>No</v>
          </cell>
          <cell r="E388" t="str">
            <v>No</v>
          </cell>
          <cell r="F388">
            <v>25</v>
          </cell>
          <cell r="G388" t="str">
            <v>HOISS CREEK</v>
          </cell>
          <cell r="H388" t="str">
            <v>Sockeye</v>
          </cell>
          <cell r="I388"/>
          <cell r="J388"/>
          <cell r="K388">
            <v>4</v>
          </cell>
          <cell r="L388">
            <v>11</v>
          </cell>
          <cell r="M388">
            <v>4</v>
          </cell>
          <cell r="N388">
            <v>16.41939711447576</v>
          </cell>
          <cell r="O388">
            <v>450</v>
          </cell>
          <cell r="P388">
            <v>23.604774435999058</v>
          </cell>
          <cell r="Q388"/>
          <cell r="R388"/>
          <cell r="S388"/>
          <cell r="T388" t="e">
            <v>#DIV/0!</v>
          </cell>
          <cell r="U388">
            <v>4</v>
          </cell>
          <cell r="V388"/>
          <cell r="W388" t="str">
            <v>NI</v>
          </cell>
        </row>
        <row r="389">
          <cell r="C389" t="str">
            <v>INNER BASIN CREEK (Black C)_Chum</v>
          </cell>
          <cell r="D389" t="str">
            <v>No</v>
          </cell>
          <cell r="E389" t="str">
            <v>No</v>
          </cell>
          <cell r="F389">
            <v>25</v>
          </cell>
          <cell r="G389" t="str">
            <v>INNER BASIN CREEK (Black C)</v>
          </cell>
          <cell r="H389" t="str">
            <v>Chum</v>
          </cell>
          <cell r="I389"/>
          <cell r="J389"/>
          <cell r="K389">
            <v>4</v>
          </cell>
          <cell r="L389">
            <v>11</v>
          </cell>
          <cell r="M389">
            <v>11</v>
          </cell>
          <cell r="N389">
            <v>2936.7627638091526</v>
          </cell>
          <cell r="O389">
            <v>20000</v>
          </cell>
          <cell r="P389">
            <v>4170.0758467368778</v>
          </cell>
          <cell r="Q389"/>
          <cell r="R389"/>
          <cell r="S389" t="str">
            <v>Chum is the target species.</v>
          </cell>
          <cell r="T389" t="e">
            <v>#DIV/0!</v>
          </cell>
          <cell r="U389">
            <v>3362.5</v>
          </cell>
          <cell r="V389"/>
          <cell r="W389" t="str">
            <v>NI</v>
          </cell>
        </row>
        <row r="390">
          <cell r="C390" t="str">
            <v>INNER BASIN CREEK (Black C)_Coho</v>
          </cell>
          <cell r="D390" t="str">
            <v>No</v>
          </cell>
          <cell r="E390" t="str">
            <v>No</v>
          </cell>
          <cell r="F390">
            <v>25</v>
          </cell>
          <cell r="G390" t="str">
            <v>INNER BASIN CREEK (Black C)</v>
          </cell>
          <cell r="H390" t="str">
            <v>Coho</v>
          </cell>
          <cell r="I390"/>
          <cell r="J390"/>
          <cell r="K390">
            <v>4</v>
          </cell>
          <cell r="L390">
            <v>11</v>
          </cell>
          <cell r="M390">
            <v>9</v>
          </cell>
          <cell r="N390">
            <v>41.27416708686264</v>
          </cell>
          <cell r="O390">
            <v>200</v>
          </cell>
          <cell r="P390">
            <v>55.51615816448232</v>
          </cell>
          <cell r="Q390"/>
          <cell r="R390"/>
          <cell r="S390" t="str">
            <v>Chum is the target species.</v>
          </cell>
          <cell r="T390" t="e">
            <v>#DIV/0!</v>
          </cell>
          <cell r="U390">
            <v>63.5</v>
          </cell>
          <cell r="V390"/>
          <cell r="W390" t="str">
            <v>NI</v>
          </cell>
        </row>
        <row r="391">
          <cell r="C391" t="str">
            <v>INNER BASIN CREEK (Black C)_Sockeye</v>
          </cell>
          <cell r="D391" t="str">
            <v>No</v>
          </cell>
          <cell r="E391" t="str">
            <v>No</v>
          </cell>
          <cell r="F391">
            <v>25</v>
          </cell>
          <cell r="G391" t="str">
            <v>INNER BASIN CREEK (Black C)</v>
          </cell>
          <cell r="H391" t="str">
            <v>Sockeye</v>
          </cell>
          <cell r="I391"/>
          <cell r="J391"/>
          <cell r="K391">
            <v>4</v>
          </cell>
          <cell r="L391">
            <v>11</v>
          </cell>
          <cell r="M391">
            <v>2</v>
          </cell>
          <cell r="N391">
            <v>54.772255750516614</v>
          </cell>
          <cell r="O391">
            <v>150</v>
          </cell>
          <cell r="P391">
            <v>54.772255750516614</v>
          </cell>
          <cell r="Q391"/>
          <cell r="R391"/>
          <cell r="S391" t="str">
            <v>Chum is the target species.</v>
          </cell>
          <cell r="T391" t="e">
            <v>#DIV/0!</v>
          </cell>
          <cell r="U391">
            <v>14</v>
          </cell>
          <cell r="V391"/>
          <cell r="W391" t="str">
            <v>NI</v>
          </cell>
        </row>
        <row r="392">
          <cell r="C392" t="str">
            <v>INNER BASIN RIVER (Ransom C)_Chinook</v>
          </cell>
          <cell r="D392" t="str">
            <v>No</v>
          </cell>
          <cell r="E392" t="str">
            <v>No</v>
          </cell>
          <cell r="F392">
            <v>25</v>
          </cell>
          <cell r="G392" t="str">
            <v>INNER BASIN RIVER (Ransom C)</v>
          </cell>
          <cell r="H392" t="str">
            <v>Chinook</v>
          </cell>
          <cell r="I392"/>
          <cell r="J392"/>
          <cell r="K392">
            <v>5</v>
          </cell>
          <cell r="L392">
            <v>10</v>
          </cell>
          <cell r="M392">
            <v>0</v>
          </cell>
          <cell r="N392" t="e">
            <v>#NUM!</v>
          </cell>
          <cell r="O392">
            <v>25</v>
          </cell>
          <cell r="P392">
            <v>25</v>
          </cell>
          <cell r="Q392"/>
          <cell r="R392"/>
          <cell r="S392"/>
          <cell r="T392" t="e">
            <v>#DIV/0!</v>
          </cell>
          <cell r="U392">
            <v>1</v>
          </cell>
          <cell r="V392"/>
          <cell r="W392" t="str">
            <v>NI</v>
          </cell>
        </row>
        <row r="393">
          <cell r="C393" t="str">
            <v>INNER BASIN RIVER (Ransom C)_Chum</v>
          </cell>
          <cell r="D393" t="str">
            <v>No</v>
          </cell>
          <cell r="E393" t="str">
            <v>No</v>
          </cell>
          <cell r="F393">
            <v>25</v>
          </cell>
          <cell r="G393" t="str">
            <v>INNER BASIN RIVER (Ransom C)</v>
          </cell>
          <cell r="H393" t="str">
            <v>Chum</v>
          </cell>
          <cell r="I393"/>
          <cell r="J393"/>
          <cell r="K393">
            <v>5</v>
          </cell>
          <cell r="L393">
            <v>10</v>
          </cell>
          <cell r="M393">
            <v>9</v>
          </cell>
          <cell r="N393">
            <v>193.07671753004723</v>
          </cell>
          <cell r="O393">
            <v>35000</v>
          </cell>
          <cell r="P393">
            <v>2102.4944393412648</v>
          </cell>
          <cell r="Q393"/>
          <cell r="R393"/>
          <cell r="S393"/>
          <cell r="T393" t="e">
            <v>#DIV/0!</v>
          </cell>
          <cell r="U393">
            <v>140</v>
          </cell>
          <cell r="V393"/>
          <cell r="W393" t="str">
            <v>NI</v>
          </cell>
        </row>
        <row r="394">
          <cell r="C394" t="str">
            <v>INNER BASIN RIVER (Ransom C)_Coho</v>
          </cell>
          <cell r="D394" t="str">
            <v>No</v>
          </cell>
          <cell r="E394" t="str">
            <v>No</v>
          </cell>
          <cell r="F394">
            <v>25</v>
          </cell>
          <cell r="G394" t="str">
            <v>INNER BASIN RIVER (Ransom C)</v>
          </cell>
          <cell r="H394" t="str">
            <v>Coho</v>
          </cell>
          <cell r="I394"/>
          <cell r="J394"/>
          <cell r="K394">
            <v>5</v>
          </cell>
          <cell r="L394">
            <v>10</v>
          </cell>
          <cell r="M394">
            <v>7</v>
          </cell>
          <cell r="N394">
            <v>44.803680854217006</v>
          </cell>
          <cell r="O394">
            <v>1500</v>
          </cell>
          <cell r="P394">
            <v>97.760300527492049</v>
          </cell>
          <cell r="Q394"/>
          <cell r="R394"/>
          <cell r="S394"/>
          <cell r="T394" t="e">
            <v>#DIV/0!</v>
          </cell>
          <cell r="U394">
            <v>145</v>
          </cell>
          <cell r="V394"/>
          <cell r="W394" t="str">
            <v>NI</v>
          </cell>
        </row>
        <row r="395">
          <cell r="C395" t="str">
            <v>INNER BASIN RIVER (Ransom C)_Sockeye</v>
          </cell>
          <cell r="D395" t="str">
            <v>No</v>
          </cell>
          <cell r="E395" t="str">
            <v>No</v>
          </cell>
          <cell r="F395">
            <v>25</v>
          </cell>
          <cell r="G395" t="str">
            <v>INNER BASIN RIVER (Ransom C)</v>
          </cell>
          <cell r="H395" t="str">
            <v>Sockeye</v>
          </cell>
          <cell r="I395"/>
          <cell r="J395"/>
          <cell r="K395">
            <v>5</v>
          </cell>
          <cell r="L395">
            <v>10</v>
          </cell>
          <cell r="M395">
            <v>3</v>
          </cell>
          <cell r="N395">
            <v>18.171205928321395</v>
          </cell>
          <cell r="O395">
            <v>60</v>
          </cell>
          <cell r="P395">
            <v>18.171205928321395</v>
          </cell>
          <cell r="Q395"/>
          <cell r="R395"/>
          <cell r="S395"/>
          <cell r="T395" t="e">
            <v>#DIV/0!</v>
          </cell>
          <cell r="U395" t="e">
            <v>#DIV/0!</v>
          </cell>
          <cell r="V395"/>
          <cell r="W395" t="str">
            <v>NI</v>
          </cell>
        </row>
        <row r="396">
          <cell r="C396" t="str">
            <v>KENDRICK CREEK_Chum</v>
          </cell>
          <cell r="D396" t="str">
            <v>No</v>
          </cell>
          <cell r="E396" t="str">
            <v>No</v>
          </cell>
          <cell r="F396">
            <v>25</v>
          </cell>
          <cell r="G396" t="str">
            <v>KENDRICK CREEK</v>
          </cell>
          <cell r="H396" t="str">
            <v>Chum</v>
          </cell>
          <cell r="I396"/>
          <cell r="J396"/>
          <cell r="K396">
            <v>4</v>
          </cell>
          <cell r="L396">
            <v>5</v>
          </cell>
          <cell r="M396">
            <v>5</v>
          </cell>
          <cell r="N396">
            <v>288.44991406148165</v>
          </cell>
          <cell r="O396">
            <v>4000</v>
          </cell>
          <cell r="P396">
            <v>485.59658150967755</v>
          </cell>
          <cell r="Q396"/>
          <cell r="R396"/>
          <cell r="S396" t="str">
            <v>Chum is the target species. 2 of the 5 estimates are entered as Adult Present (AP).</v>
          </cell>
          <cell r="T396" t="e">
            <v>#DIV/0!</v>
          </cell>
          <cell r="U396">
            <v>656</v>
          </cell>
          <cell r="V396"/>
          <cell r="W396" t="str">
            <v>NI</v>
          </cell>
        </row>
        <row r="397">
          <cell r="C397" t="str">
            <v>KENDRICK CREEK_Coho</v>
          </cell>
          <cell r="D397" t="str">
            <v>No</v>
          </cell>
          <cell r="E397" t="str">
            <v>No</v>
          </cell>
          <cell r="F397">
            <v>25</v>
          </cell>
          <cell r="G397" t="str">
            <v>KENDRICK CREEK</v>
          </cell>
          <cell r="H397" t="str">
            <v>Coho</v>
          </cell>
          <cell r="I397"/>
          <cell r="J397"/>
          <cell r="K397">
            <v>4</v>
          </cell>
          <cell r="L397">
            <v>5</v>
          </cell>
          <cell r="M397">
            <v>0</v>
          </cell>
          <cell r="N397" t="e">
            <v>#NUM!</v>
          </cell>
          <cell r="O397">
            <v>110</v>
          </cell>
          <cell r="P397">
            <v>41.052515840380934</v>
          </cell>
          <cell r="Q397"/>
          <cell r="R397"/>
          <cell r="S397" t="str">
            <v>Chum is the target species, no coho observed.</v>
          </cell>
          <cell r="T397" t="e">
            <v>#DIV/0!</v>
          </cell>
          <cell r="U397">
            <v>28</v>
          </cell>
          <cell r="V397"/>
          <cell r="W397" t="str">
            <v>NI</v>
          </cell>
        </row>
        <row r="398">
          <cell r="C398" t="str">
            <v>KLEEPTEE CREEK_Chinook</v>
          </cell>
          <cell r="D398" t="str">
            <v>No</v>
          </cell>
          <cell r="E398" t="str">
            <v>No</v>
          </cell>
          <cell r="F398">
            <v>25</v>
          </cell>
          <cell r="G398" t="str">
            <v>KLEEPTEE CREEK</v>
          </cell>
          <cell r="H398" t="str">
            <v>Chinook</v>
          </cell>
          <cell r="I398"/>
          <cell r="J398"/>
          <cell r="K398">
            <v>4</v>
          </cell>
          <cell r="L398">
            <v>9</v>
          </cell>
          <cell r="M398">
            <v>5</v>
          </cell>
          <cell r="N398">
            <v>42.08862706137068</v>
          </cell>
          <cell r="O398">
            <v>300</v>
          </cell>
          <cell r="P398">
            <v>33.879188393865981</v>
          </cell>
          <cell r="Q398"/>
          <cell r="R398"/>
          <cell r="S398" t="str">
            <v>Chum is the target species.</v>
          </cell>
          <cell r="T398">
            <v>23</v>
          </cell>
          <cell r="U398">
            <v>28.333333333333332</v>
          </cell>
          <cell r="V398"/>
          <cell r="W398">
            <v>23</v>
          </cell>
        </row>
        <row r="399">
          <cell r="C399" t="str">
            <v>KLEEPTEE CREEK_Chum</v>
          </cell>
          <cell r="D399" t="str">
            <v>No</v>
          </cell>
          <cell r="E399" t="str">
            <v>No</v>
          </cell>
          <cell r="F399">
            <v>25</v>
          </cell>
          <cell r="G399" t="str">
            <v>KLEEPTEE CREEK</v>
          </cell>
          <cell r="H399" t="str">
            <v>Chum</v>
          </cell>
          <cell r="I399"/>
          <cell r="J399"/>
          <cell r="K399">
            <v>4</v>
          </cell>
          <cell r="L399">
            <v>9</v>
          </cell>
          <cell r="M399">
            <v>9</v>
          </cell>
          <cell r="N399">
            <v>1789.213310494373</v>
          </cell>
          <cell r="O399">
            <v>15000</v>
          </cell>
          <cell r="P399">
            <v>1487.5425064438775</v>
          </cell>
          <cell r="Q399"/>
          <cell r="R399"/>
          <cell r="S399" t="str">
            <v>Chum is the target species.</v>
          </cell>
          <cell r="T399">
            <v>16</v>
          </cell>
          <cell r="U399">
            <v>820.75</v>
          </cell>
          <cell r="V399"/>
          <cell r="W399">
            <v>16</v>
          </cell>
        </row>
        <row r="400">
          <cell r="C400" t="str">
            <v>KLEEPTEE CREEK_Coho</v>
          </cell>
          <cell r="D400" t="str">
            <v>No</v>
          </cell>
          <cell r="E400" t="str">
            <v>No</v>
          </cell>
          <cell r="F400">
            <v>25</v>
          </cell>
          <cell r="G400" t="str">
            <v>KLEEPTEE CREEK</v>
          </cell>
          <cell r="H400" t="str">
            <v>Coho</v>
          </cell>
          <cell r="I400"/>
          <cell r="J400"/>
          <cell r="K400">
            <v>4</v>
          </cell>
          <cell r="L400">
            <v>9</v>
          </cell>
          <cell r="M400">
            <v>8</v>
          </cell>
          <cell r="N400">
            <v>122.99315787121138</v>
          </cell>
          <cell r="O400">
            <v>400</v>
          </cell>
          <cell r="P400">
            <v>87.677487213331474</v>
          </cell>
          <cell r="Q400"/>
          <cell r="R400"/>
          <cell r="S400" t="str">
            <v>Chum is the target species.</v>
          </cell>
          <cell r="T400" t="e">
            <v>#DIV/0!</v>
          </cell>
          <cell r="U400">
            <v>148</v>
          </cell>
          <cell r="V400"/>
          <cell r="W400" t="str">
            <v>NO</v>
          </cell>
        </row>
        <row r="401">
          <cell r="C401" t="str">
            <v>KLEEPTEE CREEK_Sockeye</v>
          </cell>
          <cell r="D401" t="str">
            <v>No</v>
          </cell>
          <cell r="E401" t="str">
            <v>No</v>
          </cell>
          <cell r="F401">
            <v>25</v>
          </cell>
          <cell r="G401" t="str">
            <v>KLEEPTEE CREEK</v>
          </cell>
          <cell r="H401" t="str">
            <v>Sockeye</v>
          </cell>
          <cell r="I401"/>
          <cell r="J401"/>
          <cell r="K401">
            <v>4</v>
          </cell>
          <cell r="L401">
            <v>9</v>
          </cell>
          <cell r="M401">
            <v>5</v>
          </cell>
          <cell r="N401">
            <v>16.54544252816958</v>
          </cell>
          <cell r="O401">
            <v>250</v>
          </cell>
          <cell r="P401">
            <v>21.711865484129785</v>
          </cell>
          <cell r="Q401"/>
          <cell r="R401"/>
          <cell r="S401" t="str">
            <v>Chum is the target species.</v>
          </cell>
          <cell r="T401" t="e">
            <v>#DIV/0!</v>
          </cell>
          <cell r="U401">
            <v>26.5</v>
          </cell>
          <cell r="V401"/>
          <cell r="W401" t="str">
            <v>AP</v>
          </cell>
        </row>
        <row r="402">
          <cell r="C402" t="str">
            <v>LEINER RIVER_Chinook</v>
          </cell>
          <cell r="D402" t="str">
            <v>No</v>
          </cell>
          <cell r="E402" t="str">
            <v>Yes</v>
          </cell>
          <cell r="F402">
            <v>25</v>
          </cell>
          <cell r="G402" t="str">
            <v>LEINER RIVER</v>
          </cell>
          <cell r="H402" t="str">
            <v>Chinook</v>
          </cell>
          <cell r="I402"/>
          <cell r="J402"/>
          <cell r="K402">
            <v>3</v>
          </cell>
          <cell r="L402">
            <v>11</v>
          </cell>
          <cell r="M402">
            <v>11</v>
          </cell>
          <cell r="N402">
            <v>361.74817644155593</v>
          </cell>
          <cell r="O402">
            <v>1500</v>
          </cell>
          <cell r="P402">
            <v>184.74876285443739</v>
          </cell>
          <cell r="Q402" t="str">
            <v>B. Other systems: wild or hatchery supplemented.     Intensively surveyed in 1995 and have a fairly complete historic database.</v>
          </cell>
          <cell r="R402"/>
          <cell r="S402" t="str">
            <v>Average Esc from 1995-2005 from file: NEW ESCAPEMENT INDEX.XLS</v>
          </cell>
          <cell r="T402">
            <v>704.5</v>
          </cell>
          <cell r="U402">
            <v>762.83333333333337</v>
          </cell>
          <cell r="V402"/>
          <cell r="W402">
            <v>466</v>
          </cell>
        </row>
        <row r="403">
          <cell r="C403" t="str">
            <v>LEINER RIVER_Chum</v>
          </cell>
          <cell r="D403" t="str">
            <v>No</v>
          </cell>
          <cell r="E403" t="str">
            <v>No</v>
          </cell>
          <cell r="F403">
            <v>25</v>
          </cell>
          <cell r="G403" t="str">
            <v>LEINER RIVER</v>
          </cell>
          <cell r="H403" t="str">
            <v>Chum</v>
          </cell>
          <cell r="I403"/>
          <cell r="J403"/>
          <cell r="K403">
            <v>3</v>
          </cell>
          <cell r="L403">
            <v>11</v>
          </cell>
          <cell r="M403">
            <v>11</v>
          </cell>
          <cell r="N403">
            <v>3653.6015168048866</v>
          </cell>
          <cell r="O403">
            <v>22052</v>
          </cell>
          <cell r="P403">
            <v>4511.8918316804311</v>
          </cell>
          <cell r="Q403" t="str">
            <v>B. Other systems: wild or hatchery supplemented.     Intensively surveyed in 1995 and have a fairly complete historic database.</v>
          </cell>
          <cell r="R403"/>
          <cell r="S403" t="str">
            <v>Average Esc from 1995-2005 from file: NEW ESCAPEMENT INDEX.XLS</v>
          </cell>
          <cell r="T403">
            <v>1162.75</v>
          </cell>
          <cell r="U403">
            <v>2380.75</v>
          </cell>
          <cell r="V403"/>
          <cell r="W403">
            <v>1348</v>
          </cell>
        </row>
        <row r="404">
          <cell r="C404" t="str">
            <v>LEINER RIVER_Coho</v>
          </cell>
          <cell r="D404" t="str">
            <v>No</v>
          </cell>
          <cell r="E404" t="str">
            <v>No</v>
          </cell>
          <cell r="F404">
            <v>25</v>
          </cell>
          <cell r="G404" t="str">
            <v>LEINER RIVER</v>
          </cell>
          <cell r="H404" t="str">
            <v>Coho</v>
          </cell>
          <cell r="I404"/>
          <cell r="J404"/>
          <cell r="K404">
            <v>3</v>
          </cell>
          <cell r="L404">
            <v>11</v>
          </cell>
          <cell r="M404">
            <v>11</v>
          </cell>
          <cell r="N404">
            <v>457.43469984563575</v>
          </cell>
          <cell r="O404">
            <v>7500</v>
          </cell>
          <cell r="P404">
            <v>371.36360288402523</v>
          </cell>
          <cell r="Q404" t="str">
            <v>B. Other systems: wild or hatchery supplemented.     Intensively surveyed in 1995 and have a fairly complete historic database.</v>
          </cell>
          <cell r="R404"/>
          <cell r="S404" t="str">
            <v>Average Esc from 1995-2005 from file: NEW ESCAPEMENT INDEX.XLS</v>
          </cell>
          <cell r="T404">
            <v>691.75</v>
          </cell>
          <cell r="U404">
            <v>945.91666666666663</v>
          </cell>
          <cell r="V404"/>
          <cell r="W404">
            <v>1364</v>
          </cell>
        </row>
        <row r="405">
          <cell r="C405" t="str">
            <v>LEINER RIVER_Pink</v>
          </cell>
          <cell r="D405" t="str">
            <v>No</v>
          </cell>
          <cell r="E405" t="str">
            <v>No</v>
          </cell>
          <cell r="F405">
            <v>25</v>
          </cell>
          <cell r="G405" t="str">
            <v>LEINER RIVER</v>
          </cell>
          <cell r="H405" t="str">
            <v>Pink</v>
          </cell>
          <cell r="I405"/>
          <cell r="J405"/>
          <cell r="K405">
            <v>3</v>
          </cell>
          <cell r="L405">
            <v>11</v>
          </cell>
          <cell r="M405">
            <v>8</v>
          </cell>
          <cell r="N405">
            <v>4.0959098577410735</v>
          </cell>
          <cell r="O405">
            <v>15000</v>
          </cell>
          <cell r="P405">
            <v>109.68816004041288</v>
          </cell>
          <cell r="Q405" t="str">
            <v>B. Other systems: wild or hatchery supplemented.     Intensively surveyed in 1995 and have a fairly complete historic database.</v>
          </cell>
          <cell r="R405"/>
          <cell r="S405"/>
          <cell r="T405">
            <v>3</v>
          </cell>
          <cell r="U405">
            <v>4</v>
          </cell>
          <cell r="V405"/>
          <cell r="W405">
            <v>2</v>
          </cell>
        </row>
        <row r="406">
          <cell r="C406" t="str">
            <v>LEINER RIVER_Sockeye</v>
          </cell>
          <cell r="D406" t="str">
            <v>No</v>
          </cell>
          <cell r="E406" t="str">
            <v>No</v>
          </cell>
          <cell r="F406">
            <v>25</v>
          </cell>
          <cell r="G406" t="str">
            <v>LEINER RIVER</v>
          </cell>
          <cell r="H406" t="str">
            <v>Sockeye</v>
          </cell>
          <cell r="I406"/>
          <cell r="J406"/>
          <cell r="K406">
            <v>3</v>
          </cell>
          <cell r="L406">
            <v>11</v>
          </cell>
          <cell r="M406">
            <v>11</v>
          </cell>
          <cell r="N406">
            <v>581.33504645730352</v>
          </cell>
          <cell r="O406">
            <v>6417</v>
          </cell>
          <cell r="P406">
            <v>390.40221869231522</v>
          </cell>
          <cell r="Q406" t="str">
            <v>B. Other systems: wild or hatchery supplemented.     Intensively surveyed in 1995 and have a fairly complete historic database.</v>
          </cell>
          <cell r="R406"/>
          <cell r="S406"/>
          <cell r="T406">
            <v>684.25</v>
          </cell>
          <cell r="U406">
            <v>825.66666666666663</v>
          </cell>
          <cell r="V406"/>
          <cell r="W406">
            <v>820</v>
          </cell>
        </row>
        <row r="407">
          <cell r="C407" t="str">
            <v>LITTLE ZEBALLOS RIVER_Chinook</v>
          </cell>
          <cell r="D407" t="str">
            <v>No</v>
          </cell>
          <cell r="E407" t="str">
            <v>No</v>
          </cell>
          <cell r="F407">
            <v>25</v>
          </cell>
          <cell r="G407" t="str">
            <v>LITTLE ZEBALLOS RIVER</v>
          </cell>
          <cell r="H407" t="str">
            <v>Chinook</v>
          </cell>
          <cell r="I407"/>
          <cell r="J407"/>
          <cell r="K407">
            <v>4</v>
          </cell>
          <cell r="L407">
            <v>10</v>
          </cell>
          <cell r="M407">
            <v>8</v>
          </cell>
          <cell r="N407">
            <v>16.615695711315105</v>
          </cell>
          <cell r="O407">
            <v>900</v>
          </cell>
          <cell r="P407">
            <v>31.983203592092615</v>
          </cell>
          <cell r="Q407"/>
          <cell r="R407"/>
          <cell r="S407"/>
          <cell r="T407">
            <v>30</v>
          </cell>
          <cell r="U407">
            <v>33.5</v>
          </cell>
          <cell r="V407"/>
          <cell r="W407" t="str">
            <v>NI</v>
          </cell>
        </row>
        <row r="408">
          <cell r="C408" t="str">
            <v>LITTLE ZEBALLOS RIVER_Chum</v>
          </cell>
          <cell r="D408" t="str">
            <v>No</v>
          </cell>
          <cell r="E408" t="str">
            <v>No</v>
          </cell>
          <cell r="F408">
            <v>25</v>
          </cell>
          <cell r="G408" t="str">
            <v>LITTLE ZEBALLOS RIVER</v>
          </cell>
          <cell r="H408" t="str">
            <v>Chum</v>
          </cell>
          <cell r="I408"/>
          <cell r="J408"/>
          <cell r="K408">
            <v>4</v>
          </cell>
          <cell r="L408">
            <v>10</v>
          </cell>
          <cell r="M408">
            <v>10</v>
          </cell>
          <cell r="N408">
            <v>1484.7447120462298</v>
          </cell>
          <cell r="O408">
            <v>23580</v>
          </cell>
          <cell r="P408">
            <v>1190.031548695827</v>
          </cell>
          <cell r="Q408"/>
          <cell r="R408"/>
          <cell r="S408"/>
          <cell r="T408">
            <v>608</v>
          </cell>
          <cell r="U408">
            <v>2564.4</v>
          </cell>
          <cell r="V408"/>
          <cell r="W408" t="str">
            <v>NI</v>
          </cell>
        </row>
        <row r="409">
          <cell r="C409" t="str">
            <v>LITTLE ZEBALLOS RIVER_Coho</v>
          </cell>
          <cell r="D409" t="str">
            <v>No</v>
          </cell>
          <cell r="E409" t="str">
            <v>No</v>
          </cell>
          <cell r="F409">
            <v>25</v>
          </cell>
          <cell r="G409" t="str">
            <v>LITTLE ZEBALLOS RIVER</v>
          </cell>
          <cell r="H409" t="str">
            <v>Coho</v>
          </cell>
          <cell r="I409"/>
          <cell r="J409"/>
          <cell r="K409">
            <v>4</v>
          </cell>
          <cell r="L409">
            <v>10</v>
          </cell>
          <cell r="M409">
            <v>10</v>
          </cell>
          <cell r="N409">
            <v>395.59648098658727</v>
          </cell>
          <cell r="O409">
            <v>3500</v>
          </cell>
          <cell r="P409">
            <v>225.89383620733105</v>
          </cell>
          <cell r="Q409"/>
          <cell r="R409"/>
          <cell r="S409"/>
          <cell r="T409">
            <v>72</v>
          </cell>
          <cell r="U409">
            <v>329.9</v>
          </cell>
          <cell r="V409"/>
          <cell r="W409" t="str">
            <v>NI</v>
          </cell>
        </row>
        <row r="410">
          <cell r="C410" t="str">
            <v>LITTLE ZEBALLOS RIVER_Sockeye</v>
          </cell>
          <cell r="D410" t="str">
            <v>No</v>
          </cell>
          <cell r="E410" t="str">
            <v>No</v>
          </cell>
          <cell r="F410">
            <v>25</v>
          </cell>
          <cell r="G410" t="str">
            <v>LITTLE ZEBALLOS RIVER</v>
          </cell>
          <cell r="H410" t="str">
            <v>Sockeye</v>
          </cell>
          <cell r="I410"/>
          <cell r="J410"/>
          <cell r="K410">
            <v>4</v>
          </cell>
          <cell r="L410">
            <v>10</v>
          </cell>
          <cell r="M410">
            <v>9</v>
          </cell>
          <cell r="N410">
            <v>49.199633350250835</v>
          </cell>
          <cell r="O410">
            <v>1629</v>
          </cell>
          <cell r="P410">
            <v>53.928299200015317</v>
          </cell>
          <cell r="Q410"/>
          <cell r="R410"/>
          <cell r="S410"/>
          <cell r="T410">
            <v>21</v>
          </cell>
          <cell r="U410">
            <v>55.285714285714285</v>
          </cell>
          <cell r="V410"/>
          <cell r="W410" t="str">
            <v>NI</v>
          </cell>
        </row>
        <row r="411">
          <cell r="C411" t="str">
            <v>LORD CREEK_Chum</v>
          </cell>
          <cell r="D411" t="str">
            <v>No</v>
          </cell>
          <cell r="E411" t="str">
            <v>No</v>
          </cell>
          <cell r="F411">
            <v>25</v>
          </cell>
          <cell r="G411" t="str">
            <v>LORD CREEK</v>
          </cell>
          <cell r="H411" t="str">
            <v>Chum</v>
          </cell>
          <cell r="I411"/>
          <cell r="J411"/>
          <cell r="K411">
            <v>4</v>
          </cell>
          <cell r="L411">
            <v>10</v>
          </cell>
          <cell r="M411">
            <v>10</v>
          </cell>
          <cell r="N411">
            <v>170.9076443547153</v>
          </cell>
          <cell r="O411">
            <v>3500</v>
          </cell>
          <cell r="P411">
            <v>340.24800237545634</v>
          </cell>
          <cell r="Q411"/>
          <cell r="R411"/>
          <cell r="S411" t="str">
            <v>Chum is the target species.</v>
          </cell>
          <cell r="T411" t="e">
            <v>#DIV/0!</v>
          </cell>
          <cell r="U411">
            <v>68</v>
          </cell>
          <cell r="V411"/>
          <cell r="W411" t="str">
            <v>NI</v>
          </cell>
        </row>
        <row r="412">
          <cell r="C412" t="str">
            <v>LORD CREEK_Coho</v>
          </cell>
          <cell r="D412" t="str">
            <v>No</v>
          </cell>
          <cell r="E412" t="str">
            <v>No</v>
          </cell>
          <cell r="F412">
            <v>25</v>
          </cell>
          <cell r="G412" t="str">
            <v>LORD CREEK</v>
          </cell>
          <cell r="H412" t="str">
            <v>Coho</v>
          </cell>
          <cell r="I412"/>
          <cell r="J412"/>
          <cell r="K412">
            <v>4</v>
          </cell>
          <cell r="L412">
            <v>10</v>
          </cell>
          <cell r="M412">
            <v>6</v>
          </cell>
          <cell r="N412">
            <v>13.335841376699976</v>
          </cell>
          <cell r="O412">
            <v>75</v>
          </cell>
          <cell r="P412">
            <v>24.558138359066991</v>
          </cell>
          <cell r="Q412"/>
          <cell r="R412"/>
          <cell r="S412" t="str">
            <v>Chum is the target species.</v>
          </cell>
          <cell r="T412" t="e">
            <v>#DIV/0!</v>
          </cell>
          <cell r="U412">
            <v>205</v>
          </cell>
          <cell r="V412"/>
          <cell r="W412" t="str">
            <v>NI</v>
          </cell>
        </row>
        <row r="413">
          <cell r="C413" t="str">
            <v>LORD CREEK_Sockeye</v>
          </cell>
          <cell r="D413" t="str">
            <v>No</v>
          </cell>
          <cell r="E413" t="str">
            <v>No</v>
          </cell>
          <cell r="F413">
            <v>25</v>
          </cell>
          <cell r="G413" t="str">
            <v>LORD CREEK</v>
          </cell>
          <cell r="H413" t="str">
            <v>Sockeye</v>
          </cell>
          <cell r="I413"/>
          <cell r="J413"/>
          <cell r="K413">
            <v>4</v>
          </cell>
          <cell r="L413">
            <v>10</v>
          </cell>
          <cell r="M413">
            <v>2</v>
          </cell>
          <cell r="N413">
            <v>18.165902124584949</v>
          </cell>
          <cell r="O413">
            <v>30</v>
          </cell>
          <cell r="P413">
            <v>18.757774553669034</v>
          </cell>
          <cell r="Q413"/>
          <cell r="R413"/>
          <cell r="S413" t="str">
            <v>Chum is the target species.</v>
          </cell>
          <cell r="T413" t="e">
            <v>#DIV/0!</v>
          </cell>
          <cell r="U413">
            <v>8</v>
          </cell>
          <cell r="V413"/>
          <cell r="W413" t="str">
            <v>NI</v>
          </cell>
        </row>
        <row r="414">
          <cell r="C414" t="str">
            <v>MAMAT CREEK_Chinook</v>
          </cell>
          <cell r="D414" t="str">
            <v>No</v>
          </cell>
          <cell r="E414" t="str">
            <v>No</v>
          </cell>
          <cell r="F414">
            <v>25</v>
          </cell>
          <cell r="G414" t="str">
            <v>MAMAT CREEK</v>
          </cell>
          <cell r="H414" t="str">
            <v>Chinook</v>
          </cell>
          <cell r="I414"/>
          <cell r="J414"/>
          <cell r="K414">
            <v>4</v>
          </cell>
          <cell r="L414">
            <v>9</v>
          </cell>
          <cell r="M414">
            <v>0</v>
          </cell>
          <cell r="N414" t="e">
            <v>#NUM!</v>
          </cell>
          <cell r="O414">
            <v>75</v>
          </cell>
          <cell r="P414">
            <v>32.292708552268664</v>
          </cell>
          <cell r="Q414"/>
          <cell r="R414"/>
          <cell r="S414" t="str">
            <v>Last time stream was surveyed was in 2004.</v>
          </cell>
          <cell r="T414" t="e">
            <v>#DIV/0!</v>
          </cell>
          <cell r="U414" t="e">
            <v>#DIV/0!</v>
          </cell>
          <cell r="V414"/>
          <cell r="W414" t="str">
            <v>NI</v>
          </cell>
        </row>
        <row r="415">
          <cell r="C415" t="str">
            <v>MAMAT CREEK_Chum</v>
          </cell>
          <cell r="D415" t="str">
            <v>No</v>
          </cell>
          <cell r="E415" t="str">
            <v>No</v>
          </cell>
          <cell r="F415">
            <v>25</v>
          </cell>
          <cell r="G415" t="str">
            <v>MAMAT CREEK</v>
          </cell>
          <cell r="H415" t="str">
            <v>Chum</v>
          </cell>
          <cell r="I415"/>
          <cell r="J415"/>
          <cell r="K415">
            <v>4</v>
          </cell>
          <cell r="L415">
            <v>9</v>
          </cell>
          <cell r="M415">
            <v>9</v>
          </cell>
          <cell r="N415">
            <v>391.44562968477527</v>
          </cell>
          <cell r="O415">
            <v>7500</v>
          </cell>
          <cell r="P415">
            <v>549.4612696873595</v>
          </cell>
          <cell r="Q415"/>
          <cell r="R415"/>
          <cell r="S415" t="str">
            <v>Last time stream was surveyed was in 2004.</v>
          </cell>
          <cell r="T415" t="e">
            <v>#DIV/0!</v>
          </cell>
          <cell r="U415">
            <v>1698.5</v>
          </cell>
          <cell r="V415"/>
          <cell r="W415" t="str">
            <v>NI</v>
          </cell>
        </row>
        <row r="416">
          <cell r="C416" t="str">
            <v>MAMAT CREEK_Coho</v>
          </cell>
          <cell r="D416" t="str">
            <v>No</v>
          </cell>
          <cell r="E416" t="str">
            <v>No</v>
          </cell>
          <cell r="F416">
            <v>25</v>
          </cell>
          <cell r="G416" t="str">
            <v>MAMAT CREEK</v>
          </cell>
          <cell r="H416" t="str">
            <v>Coho</v>
          </cell>
          <cell r="I416"/>
          <cell r="J416"/>
          <cell r="K416">
            <v>4</v>
          </cell>
          <cell r="L416">
            <v>9</v>
          </cell>
          <cell r="M416">
            <v>7</v>
          </cell>
          <cell r="N416">
            <v>29.033059524329214</v>
          </cell>
          <cell r="O416">
            <v>3500</v>
          </cell>
          <cell r="P416">
            <v>82.989987360628419</v>
          </cell>
          <cell r="Q416"/>
          <cell r="R416"/>
          <cell r="S416" t="str">
            <v>Last time stream was surveyed was in 2004.</v>
          </cell>
          <cell r="T416" t="e">
            <v>#DIV/0!</v>
          </cell>
          <cell r="U416">
            <v>117.5</v>
          </cell>
          <cell r="V416"/>
          <cell r="W416" t="str">
            <v>NI</v>
          </cell>
        </row>
        <row r="417">
          <cell r="C417" t="str">
            <v>MARVINAS BAY CREEK_Chinook</v>
          </cell>
          <cell r="D417" t="str">
            <v>No</v>
          </cell>
          <cell r="E417" t="str">
            <v>No</v>
          </cell>
          <cell r="F417">
            <v>25</v>
          </cell>
          <cell r="G417" t="str">
            <v>MARVINAS BAY CREEK</v>
          </cell>
          <cell r="H417" t="str">
            <v>Chinook</v>
          </cell>
          <cell r="I417"/>
          <cell r="J417"/>
          <cell r="K417">
            <v>4</v>
          </cell>
          <cell r="L417">
            <v>11</v>
          </cell>
          <cell r="M417">
            <v>4</v>
          </cell>
          <cell r="N417">
            <v>9.715595521393098</v>
          </cell>
          <cell r="O417">
            <v>22</v>
          </cell>
          <cell r="P417">
            <v>9.715595521393098</v>
          </cell>
          <cell r="Q417"/>
          <cell r="R417"/>
          <cell r="S417"/>
          <cell r="T417" t="e">
            <v>#DIV/0!</v>
          </cell>
          <cell r="U417">
            <v>3</v>
          </cell>
          <cell r="V417"/>
          <cell r="W417" t="str">
            <v>NI</v>
          </cell>
        </row>
        <row r="418">
          <cell r="C418" t="str">
            <v>MARVINAS BAY CREEK_Chum</v>
          </cell>
          <cell r="D418" t="str">
            <v>No</v>
          </cell>
          <cell r="E418" t="str">
            <v>No</v>
          </cell>
          <cell r="F418">
            <v>25</v>
          </cell>
          <cell r="G418" t="str">
            <v>MARVINAS BAY CREEK</v>
          </cell>
          <cell r="H418" t="str">
            <v>Chum</v>
          </cell>
          <cell r="I418"/>
          <cell r="J418"/>
          <cell r="K418">
            <v>4</v>
          </cell>
          <cell r="L418">
            <v>11</v>
          </cell>
          <cell r="M418">
            <v>10</v>
          </cell>
          <cell r="N418">
            <v>151.09436348855141</v>
          </cell>
          <cell r="O418">
            <v>7500</v>
          </cell>
          <cell r="P418">
            <v>289.61031024680375</v>
          </cell>
          <cell r="Q418"/>
          <cell r="R418"/>
          <cell r="S418"/>
          <cell r="T418" t="e">
            <v>#DIV/0!</v>
          </cell>
          <cell r="U418">
            <v>135</v>
          </cell>
          <cell r="V418"/>
          <cell r="W418" t="str">
            <v>NI</v>
          </cell>
        </row>
        <row r="419">
          <cell r="C419" t="str">
            <v>MARVINAS BAY CREEK_Coho</v>
          </cell>
          <cell r="D419" t="str">
            <v>No</v>
          </cell>
          <cell r="E419" t="str">
            <v>No</v>
          </cell>
          <cell r="F419">
            <v>25</v>
          </cell>
          <cell r="G419" t="str">
            <v>MARVINAS BAY CREEK</v>
          </cell>
          <cell r="H419" t="str">
            <v>Coho</v>
          </cell>
          <cell r="I419"/>
          <cell r="J419"/>
          <cell r="K419">
            <v>4</v>
          </cell>
          <cell r="L419">
            <v>11</v>
          </cell>
          <cell r="M419">
            <v>8</v>
          </cell>
          <cell r="N419">
            <v>57.983814175240518</v>
          </cell>
          <cell r="O419">
            <v>750</v>
          </cell>
          <cell r="P419">
            <v>62.720956201598575</v>
          </cell>
          <cell r="Q419"/>
          <cell r="R419"/>
          <cell r="S419"/>
          <cell r="T419" t="e">
            <v>#DIV/0!</v>
          </cell>
          <cell r="U419">
            <v>94</v>
          </cell>
          <cell r="V419"/>
          <cell r="W419" t="str">
            <v>NI</v>
          </cell>
        </row>
        <row r="420">
          <cell r="C420" t="str">
            <v>MARVINAS BAY CREEK_Sockeye</v>
          </cell>
          <cell r="D420" t="str">
            <v>No</v>
          </cell>
          <cell r="E420" t="str">
            <v>No</v>
          </cell>
          <cell r="F420">
            <v>25</v>
          </cell>
          <cell r="G420" t="str">
            <v>MARVINAS BAY CREEK</v>
          </cell>
          <cell r="H420" t="str">
            <v>Sockeye</v>
          </cell>
          <cell r="I420"/>
          <cell r="J420"/>
          <cell r="K420">
            <v>4</v>
          </cell>
          <cell r="L420">
            <v>11</v>
          </cell>
          <cell r="M420">
            <v>8</v>
          </cell>
          <cell r="N420">
            <v>19.490506543992538</v>
          </cell>
          <cell r="O420">
            <v>100</v>
          </cell>
          <cell r="P420">
            <v>13.398915851389605</v>
          </cell>
          <cell r="Q420"/>
          <cell r="R420"/>
          <cell r="S420"/>
          <cell r="T420" t="e">
            <v>#DIV/0!</v>
          </cell>
          <cell r="U420" t="e">
            <v>#DIV/0!</v>
          </cell>
          <cell r="V420"/>
          <cell r="W420" t="str">
            <v>NI</v>
          </cell>
        </row>
        <row r="421">
          <cell r="C421" t="str">
            <v>MCCURDY CREEK_Chum</v>
          </cell>
          <cell r="D421" t="str">
            <v>No</v>
          </cell>
          <cell r="E421" t="str">
            <v>No</v>
          </cell>
          <cell r="F421">
            <v>25</v>
          </cell>
          <cell r="G421" t="str">
            <v>MCCURDY CREEK</v>
          </cell>
          <cell r="H421" t="str">
            <v>Chum</v>
          </cell>
          <cell r="I421"/>
          <cell r="J421"/>
          <cell r="K421">
            <v>5</v>
          </cell>
          <cell r="L421">
            <v>1</v>
          </cell>
          <cell r="M421">
            <v>0</v>
          </cell>
          <cell r="N421" t="e">
            <v>#NUM!</v>
          </cell>
          <cell r="O421">
            <v>300</v>
          </cell>
          <cell r="P421">
            <v>64.863948349011622</v>
          </cell>
          <cell r="Q421"/>
          <cell r="R421"/>
          <cell r="S421" t="str">
            <v>NI</v>
          </cell>
          <cell r="T421" t="e">
            <v>#DIV/0!</v>
          </cell>
          <cell r="U421">
            <v>13</v>
          </cell>
          <cell r="V421"/>
          <cell r="W421" t="str">
            <v>NI</v>
          </cell>
        </row>
        <row r="422">
          <cell r="C422" t="str">
            <v>MCCURDY CREEK_Coho</v>
          </cell>
          <cell r="D422" t="str">
            <v>No</v>
          </cell>
          <cell r="E422" t="str">
            <v>No</v>
          </cell>
          <cell r="F422">
            <v>25</v>
          </cell>
          <cell r="G422" t="str">
            <v>MCCURDY CREEK</v>
          </cell>
          <cell r="H422" t="str">
            <v>Coho</v>
          </cell>
          <cell r="I422"/>
          <cell r="J422"/>
          <cell r="K422">
            <v>5</v>
          </cell>
          <cell r="L422">
            <v>1</v>
          </cell>
          <cell r="M422">
            <v>0</v>
          </cell>
          <cell r="N422" t="e">
            <v>#NUM!</v>
          </cell>
          <cell r="O422">
            <v>100</v>
          </cell>
          <cell r="P422">
            <v>37.827143735572541</v>
          </cell>
          <cell r="Q422"/>
          <cell r="R422"/>
          <cell r="S422" t="str">
            <v>Stream was only surveyed once in 1999, None Observed (NO) was entered for coho and Adult Present (AP) was entered for chum.</v>
          </cell>
          <cell r="T422" t="e">
            <v>#DIV/0!</v>
          </cell>
          <cell r="U422" t="e">
            <v>#DIV/0!</v>
          </cell>
          <cell r="V422"/>
          <cell r="W422" t="str">
            <v>NI</v>
          </cell>
        </row>
        <row r="423">
          <cell r="C423" t="str">
            <v>MIDDLE ELIZA CREEK_Chum</v>
          </cell>
          <cell r="D423" t="str">
            <v>No</v>
          </cell>
          <cell r="E423" t="str">
            <v>No</v>
          </cell>
          <cell r="F423">
            <v>25</v>
          </cell>
          <cell r="G423" t="str">
            <v>MIDDLE ELIZA CREEK</v>
          </cell>
          <cell r="H423" t="str">
            <v>Chum</v>
          </cell>
          <cell r="I423"/>
          <cell r="J423"/>
          <cell r="K423">
            <v>5</v>
          </cell>
          <cell r="L423">
            <v>2</v>
          </cell>
          <cell r="M423">
            <v>2</v>
          </cell>
          <cell r="N423">
            <v>351.78118198675719</v>
          </cell>
          <cell r="O423">
            <v>825</v>
          </cell>
          <cell r="P423">
            <v>351.78118198675719</v>
          </cell>
          <cell r="Q423"/>
          <cell r="R423"/>
          <cell r="S423" t="str">
            <v>Stream was only surveyed twice, once in 1996 then again in 1997.</v>
          </cell>
          <cell r="T423" t="e">
            <v>#DIV/0!</v>
          </cell>
          <cell r="U423" t="e">
            <v>#DIV/0!</v>
          </cell>
          <cell r="V423"/>
          <cell r="W423" t="str">
            <v>NI</v>
          </cell>
        </row>
        <row r="424">
          <cell r="C424" t="str">
            <v>MIDDLE ELIZA CREEK_Coho</v>
          </cell>
          <cell r="D424" t="str">
            <v>No</v>
          </cell>
          <cell r="E424" t="str">
            <v>No</v>
          </cell>
          <cell r="F424">
            <v>25</v>
          </cell>
          <cell r="G424" t="str">
            <v>MIDDLE ELIZA CREEK</v>
          </cell>
          <cell r="H424" t="str">
            <v>Coho</v>
          </cell>
          <cell r="I424"/>
          <cell r="J424"/>
          <cell r="K424">
            <v>5</v>
          </cell>
          <cell r="L424">
            <v>2</v>
          </cell>
          <cell r="M424">
            <v>2</v>
          </cell>
          <cell r="N424">
            <v>52.915026221291818</v>
          </cell>
          <cell r="O424">
            <v>80</v>
          </cell>
          <cell r="P424">
            <v>52.915026221291818</v>
          </cell>
          <cell r="Q424"/>
          <cell r="R424"/>
          <cell r="S424" t="str">
            <v>Stream was only surveyed twice, once in 1996 then again in 1997.</v>
          </cell>
          <cell r="T424" t="e">
            <v>#DIV/0!</v>
          </cell>
          <cell r="U424" t="e">
            <v>#DIV/0!</v>
          </cell>
          <cell r="V424"/>
          <cell r="W424" t="str">
            <v>NI</v>
          </cell>
        </row>
        <row r="425">
          <cell r="C425" t="str">
            <v>MOOYAH RIVER_Chinook</v>
          </cell>
          <cell r="D425" t="str">
            <v>No</v>
          </cell>
          <cell r="E425" t="str">
            <v>No</v>
          </cell>
          <cell r="F425">
            <v>25</v>
          </cell>
          <cell r="G425" t="str">
            <v>MOOYAH RIVER</v>
          </cell>
          <cell r="H425" t="str">
            <v>Chinook</v>
          </cell>
          <cell r="I425"/>
          <cell r="J425"/>
          <cell r="K425">
            <v>4</v>
          </cell>
          <cell r="L425">
            <v>9</v>
          </cell>
          <cell r="M425">
            <v>7</v>
          </cell>
          <cell r="N425">
            <v>18.73770816927934</v>
          </cell>
          <cell r="O425">
            <v>700</v>
          </cell>
          <cell r="P425">
            <v>45.480638807987312</v>
          </cell>
          <cell r="Q425"/>
          <cell r="R425"/>
          <cell r="S425"/>
          <cell r="T425" t="e">
            <v>#DIV/0!</v>
          </cell>
          <cell r="U425">
            <v>17</v>
          </cell>
          <cell r="V425"/>
          <cell r="W425" t="str">
            <v>NO</v>
          </cell>
        </row>
        <row r="426">
          <cell r="C426" t="str">
            <v>MOOYAH RIVER_Chum</v>
          </cell>
          <cell r="D426" t="str">
            <v>No</v>
          </cell>
          <cell r="E426" t="str">
            <v>No</v>
          </cell>
          <cell r="F426">
            <v>25</v>
          </cell>
          <cell r="G426" t="str">
            <v>MOOYAH RIVER</v>
          </cell>
          <cell r="H426" t="str">
            <v>Chum</v>
          </cell>
          <cell r="I426"/>
          <cell r="J426"/>
          <cell r="K426">
            <v>4</v>
          </cell>
          <cell r="L426">
            <v>9</v>
          </cell>
          <cell r="M426">
            <v>8</v>
          </cell>
          <cell r="N426">
            <v>100.85338564058557</v>
          </cell>
          <cell r="O426">
            <v>15000</v>
          </cell>
          <cell r="P426">
            <v>657.22083711858124</v>
          </cell>
          <cell r="Q426"/>
          <cell r="R426"/>
          <cell r="S426"/>
          <cell r="T426">
            <v>40</v>
          </cell>
          <cell r="U426">
            <v>161</v>
          </cell>
          <cell r="V426"/>
          <cell r="W426">
            <v>40</v>
          </cell>
        </row>
        <row r="427">
          <cell r="C427" t="str">
            <v>MOOYAH RIVER_Coho</v>
          </cell>
          <cell r="D427" t="str">
            <v>No</v>
          </cell>
          <cell r="E427" t="str">
            <v>No</v>
          </cell>
          <cell r="F427">
            <v>25</v>
          </cell>
          <cell r="G427" t="str">
            <v>MOOYAH RIVER</v>
          </cell>
          <cell r="H427" t="str">
            <v>Coho</v>
          </cell>
          <cell r="I427"/>
          <cell r="J427"/>
          <cell r="K427">
            <v>4</v>
          </cell>
          <cell r="L427">
            <v>9</v>
          </cell>
          <cell r="M427">
            <v>8</v>
          </cell>
          <cell r="N427">
            <v>118.54313898007661</v>
          </cell>
          <cell r="O427">
            <v>1000</v>
          </cell>
          <cell r="P427">
            <v>138.91446496830082</v>
          </cell>
          <cell r="Q427"/>
          <cell r="R427"/>
          <cell r="S427"/>
          <cell r="T427" t="e">
            <v>#DIV/0!</v>
          </cell>
          <cell r="U427">
            <v>223</v>
          </cell>
          <cell r="V427"/>
          <cell r="W427" t="str">
            <v>NO</v>
          </cell>
        </row>
        <row r="428">
          <cell r="C428" t="str">
            <v>MOOYAH RIVER_Sockeye</v>
          </cell>
          <cell r="D428" t="str">
            <v>No</v>
          </cell>
          <cell r="E428" t="str">
            <v>No</v>
          </cell>
          <cell r="F428">
            <v>25</v>
          </cell>
          <cell r="G428" t="str">
            <v>MOOYAH RIVER</v>
          </cell>
          <cell r="H428" t="str">
            <v>Sockeye</v>
          </cell>
          <cell r="I428"/>
          <cell r="J428"/>
          <cell r="K428">
            <v>4</v>
          </cell>
          <cell r="L428">
            <v>9</v>
          </cell>
          <cell r="M428">
            <v>8</v>
          </cell>
          <cell r="N428">
            <v>16.669827627188095</v>
          </cell>
          <cell r="O428">
            <v>120</v>
          </cell>
          <cell r="P428">
            <v>20.650412667842371</v>
          </cell>
          <cell r="Q428"/>
          <cell r="R428"/>
          <cell r="S428"/>
          <cell r="T428">
            <v>2</v>
          </cell>
          <cell r="U428">
            <v>23.5</v>
          </cell>
          <cell r="V428"/>
          <cell r="W428">
            <v>2</v>
          </cell>
        </row>
        <row r="429">
          <cell r="C429" t="str">
            <v>MUCHALAT RIVER_Chinook</v>
          </cell>
          <cell r="D429" t="str">
            <v>No</v>
          </cell>
          <cell r="E429" t="str">
            <v>No</v>
          </cell>
          <cell r="F429">
            <v>25</v>
          </cell>
          <cell r="G429" t="str">
            <v>MUCHALAT RIVER</v>
          </cell>
          <cell r="H429" t="str">
            <v>Chinook</v>
          </cell>
          <cell r="I429"/>
          <cell r="J429"/>
          <cell r="K429">
            <v>5</v>
          </cell>
          <cell r="L429">
            <v>1</v>
          </cell>
          <cell r="M429">
            <v>1</v>
          </cell>
          <cell r="N429">
            <v>10</v>
          </cell>
          <cell r="O429">
            <v>75</v>
          </cell>
          <cell r="P429">
            <v>30.8900425283706</v>
          </cell>
          <cell r="Q429"/>
          <cell r="R429"/>
          <cell r="S429" t="str">
            <v>Missing 8 years of data (1995, 1996, 1997, 1998, 1999, 2000, 2003 &amp; 2004). Our records indicate that in 2001 the stream was inspected for all species then in 2002 the only species inspected for was chum.</v>
          </cell>
          <cell r="T429">
            <v>427.5</v>
          </cell>
          <cell r="U429">
            <v>427.5</v>
          </cell>
          <cell r="V429"/>
          <cell r="W429">
            <v>49</v>
          </cell>
        </row>
        <row r="430">
          <cell r="C430" t="str">
            <v>MUCHALAT RIVER_Chum</v>
          </cell>
          <cell r="D430" t="str">
            <v>No</v>
          </cell>
          <cell r="E430" t="str">
            <v>No</v>
          </cell>
          <cell r="F430">
            <v>25</v>
          </cell>
          <cell r="G430" t="str">
            <v>MUCHALAT RIVER</v>
          </cell>
          <cell r="H430" t="str">
            <v>Chum</v>
          </cell>
          <cell r="I430"/>
          <cell r="J430"/>
          <cell r="K430">
            <v>5</v>
          </cell>
          <cell r="L430">
            <v>2</v>
          </cell>
          <cell r="M430">
            <v>1</v>
          </cell>
          <cell r="N430">
            <v>500</v>
          </cell>
          <cell r="O430">
            <v>500</v>
          </cell>
          <cell r="P430">
            <v>155.36162529769294</v>
          </cell>
          <cell r="Q430"/>
          <cell r="R430"/>
          <cell r="S430" t="str">
            <v>Missing 8 years of data (1995, 1996, 1997, 1998, 1999, 2000, 2003 &amp; 2004). Our records indicate that in 2001 the stream was inspected for all species then in 2002 the only species inspected for was chum.</v>
          </cell>
          <cell r="T430">
            <v>23</v>
          </cell>
          <cell r="U430">
            <v>23</v>
          </cell>
          <cell r="V430"/>
          <cell r="W430" t="str">
            <v>NO</v>
          </cell>
        </row>
        <row r="431">
          <cell r="C431" t="str">
            <v>MUCHALAT RIVER_Coho</v>
          </cell>
          <cell r="D431" t="str">
            <v>No</v>
          </cell>
          <cell r="E431" t="str">
            <v>No</v>
          </cell>
          <cell r="F431">
            <v>25</v>
          </cell>
          <cell r="G431" t="str">
            <v>MUCHALAT RIVER</v>
          </cell>
          <cell r="H431" t="str">
            <v>Coho</v>
          </cell>
          <cell r="I431"/>
          <cell r="J431"/>
          <cell r="K431">
            <v>5</v>
          </cell>
          <cell r="L431">
            <v>1</v>
          </cell>
          <cell r="M431">
            <v>1</v>
          </cell>
          <cell r="N431">
            <v>29</v>
          </cell>
          <cell r="O431">
            <v>300</v>
          </cell>
          <cell r="P431">
            <v>65.692585899141022</v>
          </cell>
          <cell r="Q431"/>
          <cell r="R431"/>
          <cell r="S431" t="str">
            <v>Missing 8 years of data (1995, 1996, 1997, 1998, 1999, 2000, 2003 &amp; 2004). Our records indicate that in 2001 the stream was inspected for all species then in 2002 the only species inspected for was chum.</v>
          </cell>
          <cell r="T431">
            <v>62.25</v>
          </cell>
          <cell r="U431">
            <v>62.25</v>
          </cell>
          <cell r="V431"/>
          <cell r="W431">
            <v>60</v>
          </cell>
        </row>
        <row r="432">
          <cell r="C432" t="str">
            <v>MUCHALAT RIVER_Sockeye</v>
          </cell>
          <cell r="D432" t="str">
            <v>No</v>
          </cell>
          <cell r="E432" t="str">
            <v>No</v>
          </cell>
          <cell r="F432">
            <v>25</v>
          </cell>
          <cell r="G432" t="str">
            <v>MUCHALAT RIVER</v>
          </cell>
          <cell r="H432" t="str">
            <v>Sockeye</v>
          </cell>
          <cell r="I432"/>
          <cell r="J432"/>
          <cell r="K432">
            <v>5</v>
          </cell>
          <cell r="L432">
            <v>1</v>
          </cell>
          <cell r="M432">
            <v>1</v>
          </cell>
          <cell r="N432">
            <v>13</v>
          </cell>
          <cell r="O432">
            <v>3500</v>
          </cell>
          <cell r="P432">
            <v>306.06132707987507</v>
          </cell>
          <cell r="Q432"/>
          <cell r="R432"/>
          <cell r="S432" t="str">
            <v>Missing 8 years of data (1995, 1996, 1997, 1998, 1999, 2000, 2003 &amp; 2004). Our records indicate that in 2001 the stream was inspected for all species then in 2002 the only species inspected for was chum.</v>
          </cell>
          <cell r="T432">
            <v>76.5</v>
          </cell>
          <cell r="U432">
            <v>76.5</v>
          </cell>
          <cell r="V432"/>
          <cell r="W432">
            <v>48</v>
          </cell>
        </row>
        <row r="433">
          <cell r="C433" t="str">
            <v>OKTWANCH RIVER_Chinook</v>
          </cell>
          <cell r="D433" t="str">
            <v>No</v>
          </cell>
          <cell r="E433" t="str">
            <v>No</v>
          </cell>
          <cell r="F433">
            <v>25</v>
          </cell>
          <cell r="G433" t="str">
            <v>OKTWANCH RIVER</v>
          </cell>
          <cell r="H433" t="str">
            <v>Chinook</v>
          </cell>
          <cell r="I433"/>
          <cell r="J433"/>
          <cell r="K433">
            <v>3</v>
          </cell>
          <cell r="L433">
            <v>2</v>
          </cell>
          <cell r="M433">
            <v>2</v>
          </cell>
          <cell r="N433">
            <v>12.961481396815721</v>
          </cell>
          <cell r="O433">
            <v>25</v>
          </cell>
          <cell r="P433">
            <v>18.00102871839254</v>
          </cell>
          <cell r="Q433"/>
          <cell r="R433"/>
          <cell r="S433"/>
          <cell r="T433">
            <v>144.33333333333334</v>
          </cell>
          <cell r="U433">
            <v>91.5</v>
          </cell>
          <cell r="V433"/>
          <cell r="W433" t="str">
            <v>NO</v>
          </cell>
        </row>
        <row r="434">
          <cell r="C434" t="str">
            <v>OKTWANCH RIVER_Chum</v>
          </cell>
          <cell r="D434" t="str">
            <v>No</v>
          </cell>
          <cell r="E434" t="str">
            <v>No</v>
          </cell>
          <cell r="F434">
            <v>25</v>
          </cell>
          <cell r="G434" t="str">
            <v>OKTWANCH RIVER</v>
          </cell>
          <cell r="H434" t="str">
            <v>Chum</v>
          </cell>
          <cell r="I434"/>
          <cell r="J434"/>
          <cell r="K434">
            <v>3</v>
          </cell>
          <cell r="L434">
            <v>2</v>
          </cell>
          <cell r="M434">
            <v>0</v>
          </cell>
          <cell r="N434" t="e">
            <v>#NUM!</v>
          </cell>
          <cell r="O434">
            <v>0</v>
          </cell>
          <cell r="P434" t="e">
            <v>#NUM!</v>
          </cell>
          <cell r="Q434"/>
          <cell r="R434"/>
          <cell r="S434"/>
          <cell r="T434">
            <v>169.66666666666666</v>
          </cell>
          <cell r="U434">
            <v>169.66666666666666</v>
          </cell>
          <cell r="V434"/>
          <cell r="W434">
            <v>63</v>
          </cell>
        </row>
        <row r="435">
          <cell r="C435" t="str">
            <v>OKTWANCH RIVER_Coho</v>
          </cell>
          <cell r="D435" t="str">
            <v>No</v>
          </cell>
          <cell r="E435" t="str">
            <v>No</v>
          </cell>
          <cell r="F435">
            <v>25</v>
          </cell>
          <cell r="G435" t="str">
            <v>OKTWANCH RIVER</v>
          </cell>
          <cell r="H435" t="str">
            <v>Coho</v>
          </cell>
          <cell r="I435"/>
          <cell r="J435"/>
          <cell r="K435">
            <v>3</v>
          </cell>
          <cell r="L435">
            <v>2</v>
          </cell>
          <cell r="M435">
            <v>2</v>
          </cell>
          <cell r="N435">
            <v>211.06870919205434</v>
          </cell>
          <cell r="O435">
            <v>750</v>
          </cell>
          <cell r="P435">
            <v>216.43190121517799</v>
          </cell>
          <cell r="Q435"/>
          <cell r="R435"/>
          <cell r="S435"/>
          <cell r="T435">
            <v>76.333333333333329</v>
          </cell>
          <cell r="U435">
            <v>83.2</v>
          </cell>
          <cell r="V435"/>
          <cell r="W435">
            <v>15</v>
          </cell>
        </row>
        <row r="436">
          <cell r="C436" t="str">
            <v>OKTWANCH RIVER_Sockeye</v>
          </cell>
          <cell r="D436" t="str">
            <v>No</v>
          </cell>
          <cell r="E436" t="str">
            <v>No</v>
          </cell>
          <cell r="F436">
            <v>25</v>
          </cell>
          <cell r="G436" t="str">
            <v>OKTWANCH RIVER</v>
          </cell>
          <cell r="H436" t="str">
            <v>Sockeye</v>
          </cell>
          <cell r="I436"/>
          <cell r="J436"/>
          <cell r="K436">
            <v>3</v>
          </cell>
          <cell r="L436">
            <v>2</v>
          </cell>
          <cell r="M436">
            <v>2</v>
          </cell>
          <cell r="N436">
            <v>653.46920355897419</v>
          </cell>
          <cell r="O436">
            <v>15000</v>
          </cell>
          <cell r="P436">
            <v>2220.9056178788019</v>
          </cell>
          <cell r="Q436"/>
          <cell r="R436"/>
          <cell r="S436" t="str">
            <v>Missing 7 years of data (1995, 1997, 1998, 1999, 2000, 2003 &amp; 2004).</v>
          </cell>
          <cell r="T436">
            <v>725</v>
          </cell>
          <cell r="U436">
            <v>511</v>
          </cell>
          <cell r="V436"/>
          <cell r="W436">
            <v>337</v>
          </cell>
        </row>
        <row r="437">
          <cell r="C437" t="str">
            <v>OWOSSITSA CREEK_Chinook</v>
          </cell>
          <cell r="D437" t="str">
            <v>No</v>
          </cell>
          <cell r="E437" t="str">
            <v>No</v>
          </cell>
          <cell r="F437">
            <v>25</v>
          </cell>
          <cell r="G437" t="str">
            <v>OWOSSITSA CREEK</v>
          </cell>
          <cell r="H437" t="str">
            <v>Chinook</v>
          </cell>
          <cell r="I437"/>
          <cell r="J437"/>
          <cell r="K437">
            <v>5</v>
          </cell>
          <cell r="L437">
            <v>7</v>
          </cell>
          <cell r="M437">
            <v>0</v>
          </cell>
          <cell r="N437" t="e">
            <v>#NUM!</v>
          </cell>
          <cell r="O437">
            <v>200</v>
          </cell>
          <cell r="P437">
            <v>78.254229003664364</v>
          </cell>
          <cell r="Q437"/>
          <cell r="R437"/>
          <cell r="S437" t="str">
            <v>Missing data for 1995.</v>
          </cell>
          <cell r="T437" t="e">
            <v>#DIV/0!</v>
          </cell>
          <cell r="U437" t="e">
            <v>#DIV/0!</v>
          </cell>
          <cell r="V437"/>
          <cell r="W437" t="str">
            <v>NI</v>
          </cell>
        </row>
        <row r="438">
          <cell r="C438" t="str">
            <v>OWOSSITSA CREEK_Chum</v>
          </cell>
          <cell r="D438" t="str">
            <v>No</v>
          </cell>
          <cell r="E438" t="str">
            <v>No</v>
          </cell>
          <cell r="F438">
            <v>25</v>
          </cell>
          <cell r="G438" t="str">
            <v>OWOSSITSA CREEK</v>
          </cell>
          <cell r="H438" t="str">
            <v>Chum</v>
          </cell>
          <cell r="I438"/>
          <cell r="J438"/>
          <cell r="K438">
            <v>5</v>
          </cell>
          <cell r="L438">
            <v>7</v>
          </cell>
          <cell r="M438">
            <v>5</v>
          </cell>
          <cell r="N438">
            <v>238.66235925278681</v>
          </cell>
          <cell r="O438">
            <v>15000</v>
          </cell>
          <cell r="P438">
            <v>835.22638673297922</v>
          </cell>
          <cell r="Q438"/>
          <cell r="R438"/>
          <cell r="S438" t="str">
            <v>Missing data for 1995.</v>
          </cell>
          <cell r="T438" t="e">
            <v>#DIV/0!</v>
          </cell>
          <cell r="U438">
            <v>537</v>
          </cell>
          <cell r="V438"/>
          <cell r="W438" t="str">
            <v>NI</v>
          </cell>
        </row>
        <row r="439">
          <cell r="C439" t="str">
            <v>OWOSSITSA CREEK_Coho</v>
          </cell>
          <cell r="D439" t="str">
            <v>No</v>
          </cell>
          <cell r="E439" t="str">
            <v>No</v>
          </cell>
          <cell r="F439">
            <v>25</v>
          </cell>
          <cell r="G439" t="str">
            <v>OWOSSITSA CREEK</v>
          </cell>
          <cell r="H439" t="str">
            <v>Coho</v>
          </cell>
          <cell r="I439"/>
          <cell r="J439"/>
          <cell r="K439">
            <v>5</v>
          </cell>
          <cell r="L439">
            <v>7</v>
          </cell>
          <cell r="M439">
            <v>4</v>
          </cell>
          <cell r="N439">
            <v>8.5823109691696047</v>
          </cell>
          <cell r="O439">
            <v>1000</v>
          </cell>
          <cell r="P439">
            <v>82.061932735918745</v>
          </cell>
          <cell r="Q439"/>
          <cell r="R439"/>
          <cell r="S439" t="str">
            <v>Missing data for 1995.</v>
          </cell>
          <cell r="T439" t="e">
            <v>#DIV/0!</v>
          </cell>
          <cell r="U439">
            <v>4</v>
          </cell>
          <cell r="V439"/>
          <cell r="W439" t="str">
            <v>NI</v>
          </cell>
        </row>
        <row r="440">
          <cell r="C440" t="str">
            <v>OWOSSITSA CREEK_Sockeye</v>
          </cell>
          <cell r="D440" t="str">
            <v>No</v>
          </cell>
          <cell r="E440" t="str">
            <v>No</v>
          </cell>
          <cell r="F440">
            <v>25</v>
          </cell>
          <cell r="G440" t="str">
            <v>OWOSSITSA CREEK</v>
          </cell>
          <cell r="H440" t="str">
            <v>Sockeye</v>
          </cell>
          <cell r="I440"/>
          <cell r="J440"/>
          <cell r="K440">
            <v>5</v>
          </cell>
          <cell r="L440">
            <v>7</v>
          </cell>
          <cell r="M440">
            <v>1</v>
          </cell>
          <cell r="N440">
            <v>125</v>
          </cell>
          <cell r="O440">
            <v>2000</v>
          </cell>
          <cell r="P440">
            <v>463.18347499214269</v>
          </cell>
          <cell r="Q440"/>
          <cell r="R440"/>
          <cell r="S440" t="str">
            <v>Missing data for 1995.</v>
          </cell>
          <cell r="T440" t="e">
            <v>#DIV/0!</v>
          </cell>
          <cell r="U440" t="e">
            <v>#DIV/0!</v>
          </cell>
          <cell r="V440"/>
          <cell r="W440" t="str">
            <v>NI</v>
          </cell>
        </row>
        <row r="441">
          <cell r="C441" t="str">
            <v>PARK RIVER_Chinook</v>
          </cell>
          <cell r="D441" t="str">
            <v>No</v>
          </cell>
          <cell r="E441" t="str">
            <v>No</v>
          </cell>
          <cell r="F441">
            <v>25</v>
          </cell>
          <cell r="G441" t="str">
            <v>PARK RIVER</v>
          </cell>
          <cell r="H441" t="str">
            <v>Chinook</v>
          </cell>
          <cell r="I441"/>
          <cell r="J441"/>
          <cell r="K441">
            <v>4</v>
          </cell>
          <cell r="L441">
            <v>11</v>
          </cell>
          <cell r="M441">
            <v>0</v>
          </cell>
          <cell r="N441" t="e">
            <v>#NUM!</v>
          </cell>
          <cell r="O441">
            <v>200</v>
          </cell>
          <cell r="P441">
            <v>38.601258668102425</v>
          </cell>
          <cell r="Q441"/>
          <cell r="R441"/>
          <cell r="S441"/>
          <cell r="T441" t="e">
            <v>#DIV/0!</v>
          </cell>
          <cell r="U441" t="e">
            <v>#DIV/0!</v>
          </cell>
          <cell r="V441"/>
          <cell r="W441" t="str">
            <v>NI</v>
          </cell>
        </row>
        <row r="442">
          <cell r="C442" t="str">
            <v>PARK RIVER_Chum</v>
          </cell>
          <cell r="D442" t="str">
            <v>No</v>
          </cell>
          <cell r="E442" t="str">
            <v>No</v>
          </cell>
          <cell r="F442">
            <v>25</v>
          </cell>
          <cell r="G442" t="str">
            <v>PARK RIVER</v>
          </cell>
          <cell r="H442" t="str">
            <v>Chum</v>
          </cell>
          <cell r="I442"/>
          <cell r="J442"/>
          <cell r="K442">
            <v>4</v>
          </cell>
          <cell r="L442">
            <v>11</v>
          </cell>
          <cell r="M442">
            <v>11</v>
          </cell>
          <cell r="N442">
            <v>2870.0342266082534</v>
          </cell>
          <cell r="O442">
            <v>23352</v>
          </cell>
          <cell r="P442">
            <v>3920.6114202671406</v>
          </cell>
          <cell r="Q442"/>
          <cell r="R442"/>
          <cell r="S442"/>
          <cell r="T442">
            <v>290</v>
          </cell>
          <cell r="U442">
            <v>4463.5</v>
          </cell>
          <cell r="V442"/>
          <cell r="W442" t="str">
            <v>NI</v>
          </cell>
        </row>
        <row r="443">
          <cell r="C443" t="str">
            <v>PARK RIVER_Coho</v>
          </cell>
          <cell r="D443" t="str">
            <v>No</v>
          </cell>
          <cell r="E443" t="str">
            <v>No</v>
          </cell>
          <cell r="F443">
            <v>25</v>
          </cell>
          <cell r="G443" t="str">
            <v>PARK RIVER</v>
          </cell>
          <cell r="H443" t="str">
            <v>Coho</v>
          </cell>
          <cell r="I443"/>
          <cell r="J443"/>
          <cell r="K443">
            <v>4</v>
          </cell>
          <cell r="L443">
            <v>11</v>
          </cell>
          <cell r="M443">
            <v>11</v>
          </cell>
          <cell r="N443">
            <v>80.162181671068282</v>
          </cell>
          <cell r="O443">
            <v>1000</v>
          </cell>
          <cell r="P443">
            <v>101.47281910692743</v>
          </cell>
          <cell r="Q443"/>
          <cell r="R443"/>
          <cell r="S443"/>
          <cell r="T443">
            <v>40</v>
          </cell>
          <cell r="U443">
            <v>172.5</v>
          </cell>
          <cell r="V443"/>
          <cell r="W443" t="str">
            <v>NI</v>
          </cell>
        </row>
        <row r="444">
          <cell r="C444" t="str">
            <v>PARK RIVER_Sockeye</v>
          </cell>
          <cell r="D444" t="str">
            <v>No</v>
          </cell>
          <cell r="E444" t="str">
            <v>No</v>
          </cell>
          <cell r="F444">
            <v>25</v>
          </cell>
          <cell r="G444" t="str">
            <v>PARK RIVER</v>
          </cell>
          <cell r="H444" t="str">
            <v>Sockeye</v>
          </cell>
          <cell r="I444"/>
          <cell r="J444"/>
          <cell r="K444">
            <v>4</v>
          </cell>
          <cell r="L444">
            <v>11</v>
          </cell>
          <cell r="M444">
            <v>2</v>
          </cell>
          <cell r="N444">
            <v>95.393920141694565</v>
          </cell>
          <cell r="O444">
            <v>4000</v>
          </cell>
          <cell r="P444">
            <v>470.65603004222316</v>
          </cell>
          <cell r="Q444"/>
          <cell r="R444"/>
          <cell r="S444"/>
          <cell r="T444">
            <v>6</v>
          </cell>
          <cell r="U444">
            <v>30.5</v>
          </cell>
          <cell r="V444"/>
          <cell r="W444" t="str">
            <v>NI</v>
          </cell>
        </row>
        <row r="445">
          <cell r="C445" t="str">
            <v>SUCWOA RIVER_Chinook</v>
          </cell>
          <cell r="D445" t="str">
            <v>No</v>
          </cell>
          <cell r="E445" t="str">
            <v>No</v>
          </cell>
          <cell r="F445">
            <v>25</v>
          </cell>
          <cell r="G445" t="str">
            <v>SUCWOA RIVER</v>
          </cell>
          <cell r="H445" t="str">
            <v>Chinook</v>
          </cell>
          <cell r="I445"/>
          <cell r="J445"/>
          <cell r="K445">
            <v>1</v>
          </cell>
          <cell r="L445">
            <v>10</v>
          </cell>
          <cell r="M445">
            <v>10</v>
          </cell>
          <cell r="N445">
            <v>71.061739706936322</v>
          </cell>
          <cell r="O445">
            <v>1500</v>
          </cell>
          <cell r="P445">
            <v>102.24734247930277</v>
          </cell>
          <cell r="Q445" t="str">
            <v>E.   Systems extensively surveyed, with major hatcheries or considerable hatchery contribution</v>
          </cell>
          <cell r="R445"/>
          <cell r="S445" t="str">
            <v xml:space="preserve">Average Esc from 1995-2005 from file: NEW ESCAPEMENT INDEX.XLS.  In 2004 &amp; 2005 estimates were made for chum and chinook only. </v>
          </cell>
          <cell r="T445" t="e">
            <v>#DIV/0!</v>
          </cell>
          <cell r="U445">
            <v>79.25</v>
          </cell>
          <cell r="V445"/>
          <cell r="W445" t="str">
            <v>NI</v>
          </cell>
        </row>
        <row r="446">
          <cell r="C446" t="str">
            <v>SUCWOA RIVER_Chum</v>
          </cell>
          <cell r="D446" t="str">
            <v>No</v>
          </cell>
          <cell r="E446" t="str">
            <v>No</v>
          </cell>
          <cell r="F446">
            <v>25</v>
          </cell>
          <cell r="G446" t="str">
            <v>SUCWOA RIVER</v>
          </cell>
          <cell r="H446" t="str">
            <v>Chum</v>
          </cell>
          <cell r="I446"/>
          <cell r="J446"/>
          <cell r="K446">
            <v>1</v>
          </cell>
          <cell r="L446">
            <v>10</v>
          </cell>
          <cell r="M446">
            <v>10</v>
          </cell>
          <cell r="N446">
            <v>4108.7500631897019</v>
          </cell>
          <cell r="O446">
            <v>53835</v>
          </cell>
          <cell r="P446">
            <v>3836.0519478922647</v>
          </cell>
          <cell r="Q446" t="str">
            <v>E.   Systems extensively surveyed, with major hatcheries or considerable hatchery contribution</v>
          </cell>
          <cell r="R446"/>
          <cell r="S446" t="str">
            <v xml:space="preserve">Average Esc from 1995-2005 from file: NEW ESCAPEMENT INDEX.XLS.  In 2004 &amp; 2005 estimates were made for chum and chinook only. </v>
          </cell>
          <cell r="T446" t="e">
            <v>#DIV/0!</v>
          </cell>
          <cell r="U446">
            <v>849.25</v>
          </cell>
          <cell r="V446"/>
          <cell r="W446" t="str">
            <v>NI</v>
          </cell>
        </row>
        <row r="447">
          <cell r="C447" t="str">
            <v>SUCWOA RIVER_Coho</v>
          </cell>
          <cell r="D447" t="str">
            <v>No</v>
          </cell>
          <cell r="E447" t="str">
            <v>No</v>
          </cell>
          <cell r="F447">
            <v>25</v>
          </cell>
          <cell r="G447" t="str">
            <v>SUCWOA RIVER</v>
          </cell>
          <cell r="H447" t="str">
            <v>Coho</v>
          </cell>
          <cell r="I447"/>
          <cell r="J447"/>
          <cell r="K447">
            <v>1</v>
          </cell>
          <cell r="L447">
            <v>9</v>
          </cell>
          <cell r="M447">
            <v>8</v>
          </cell>
          <cell r="N447">
            <v>339.86530166919329</v>
          </cell>
          <cell r="O447">
            <v>3500</v>
          </cell>
          <cell r="P447">
            <v>206.79865784024364</v>
          </cell>
          <cell r="Q447" t="str">
            <v>E.   Systems extensively surveyed, with major hatcheries or considerable hatchery contribution</v>
          </cell>
          <cell r="R447"/>
          <cell r="S447" t="str">
            <v xml:space="preserve">Average Esc from 1995-2005 from file: NEW ESCAPEMENT INDEX.XLS.  In 2004 &amp; 2005 estimates were made for chum and chinook only. </v>
          </cell>
          <cell r="T447" t="e">
            <v>#DIV/0!</v>
          </cell>
          <cell r="U447">
            <v>303.5</v>
          </cell>
          <cell r="V447"/>
          <cell r="W447" t="str">
            <v>NI</v>
          </cell>
        </row>
        <row r="448">
          <cell r="C448" t="str">
            <v>SUCWOA RIVER_Pink</v>
          </cell>
          <cell r="D448" t="str">
            <v>No</v>
          </cell>
          <cell r="E448" t="str">
            <v>No</v>
          </cell>
          <cell r="F448">
            <v>25</v>
          </cell>
          <cell r="G448" t="str">
            <v>SUCWOA RIVER</v>
          </cell>
          <cell r="H448" t="str">
            <v>Pink</v>
          </cell>
          <cell r="I448"/>
          <cell r="J448"/>
          <cell r="K448">
            <v>1</v>
          </cell>
          <cell r="L448">
            <v>9</v>
          </cell>
          <cell r="M448">
            <v>5</v>
          </cell>
          <cell r="N448">
            <v>4.6745395443384457</v>
          </cell>
          <cell r="O448">
            <v>3500</v>
          </cell>
          <cell r="P448">
            <v>52.418000689568252</v>
          </cell>
          <cell r="Q448" t="str">
            <v>E.   Systems extensively surveyed, with major hatcheries or considerable hatchery contribution</v>
          </cell>
          <cell r="R448"/>
          <cell r="S448" t="str">
            <v xml:space="preserve">In 2004 &amp; 2005 estimates were made for chum and chinook only. </v>
          </cell>
          <cell r="T448" t="e">
            <v>#DIV/0!</v>
          </cell>
          <cell r="U448">
            <v>5</v>
          </cell>
          <cell r="V448"/>
          <cell r="W448" t="str">
            <v>NI</v>
          </cell>
        </row>
        <row r="449">
          <cell r="C449" t="str">
            <v>SUCWOA RIVER_Sockeye</v>
          </cell>
          <cell r="D449" t="str">
            <v>No</v>
          </cell>
          <cell r="E449" t="str">
            <v>No</v>
          </cell>
          <cell r="F449">
            <v>25</v>
          </cell>
          <cell r="G449" t="str">
            <v>SUCWOA RIVER</v>
          </cell>
          <cell r="H449" t="str">
            <v>Sockeye</v>
          </cell>
          <cell r="I449"/>
          <cell r="J449"/>
          <cell r="K449">
            <v>1</v>
          </cell>
          <cell r="L449">
            <v>9</v>
          </cell>
          <cell r="M449">
            <v>9</v>
          </cell>
          <cell r="N449">
            <v>82.786974897502702</v>
          </cell>
          <cell r="O449">
            <v>1357</v>
          </cell>
          <cell r="P449">
            <v>72.404399560267237</v>
          </cell>
          <cell r="Q449" t="str">
            <v>E.   Systems extensively surveyed, with major hatcheries or considerable hatchery contribution</v>
          </cell>
          <cell r="R449"/>
          <cell r="S449" t="str">
            <v xml:space="preserve">In 2004 &amp; 2005 estimates were made for chum and chinook only. </v>
          </cell>
          <cell r="T449" t="e">
            <v>#DIV/0!</v>
          </cell>
          <cell r="U449">
            <v>336</v>
          </cell>
          <cell r="V449"/>
          <cell r="W449" t="str">
            <v>NI</v>
          </cell>
        </row>
        <row r="450">
          <cell r="C450" t="str">
            <v>TAHSIS RIVER_Chinook</v>
          </cell>
          <cell r="D450" t="str">
            <v>Yes</v>
          </cell>
          <cell r="E450" t="str">
            <v>Yes</v>
          </cell>
          <cell r="F450">
            <v>25</v>
          </cell>
          <cell r="G450" t="str">
            <v>TAHSIS RIVER</v>
          </cell>
          <cell r="H450" t="str">
            <v>Chinook</v>
          </cell>
          <cell r="I450"/>
          <cell r="J450"/>
          <cell r="K450">
            <v>2</v>
          </cell>
          <cell r="L450">
            <v>11</v>
          </cell>
          <cell r="M450">
            <v>11</v>
          </cell>
          <cell r="N450">
            <v>452.36390113635633</v>
          </cell>
          <cell r="O450">
            <v>1606</v>
          </cell>
          <cell r="P450">
            <v>234.79055901452955</v>
          </cell>
          <cell r="Q450" t="str">
            <v>A.  PSC Indicator stocks.</v>
          </cell>
          <cell r="R450"/>
          <cell r="S450" t="str">
            <v>Average Esc from 1995-2005 from file: NEW ESCAPEMENT INDEX.XLS</v>
          </cell>
          <cell r="T450">
            <v>992.25</v>
          </cell>
          <cell r="U450">
            <v>621.16666666666663</v>
          </cell>
          <cell r="V450"/>
          <cell r="W450">
            <v>263</v>
          </cell>
        </row>
        <row r="451">
          <cell r="C451" t="str">
            <v>TAHSIS RIVER_Chum</v>
          </cell>
          <cell r="D451" t="str">
            <v>No</v>
          </cell>
          <cell r="E451" t="str">
            <v>No</v>
          </cell>
          <cell r="F451">
            <v>25</v>
          </cell>
          <cell r="G451" t="str">
            <v>TAHSIS RIVER</v>
          </cell>
          <cell r="H451" t="str">
            <v>Chum</v>
          </cell>
          <cell r="I451"/>
          <cell r="J451"/>
          <cell r="K451">
            <v>2</v>
          </cell>
          <cell r="L451">
            <v>11</v>
          </cell>
          <cell r="M451">
            <v>11</v>
          </cell>
          <cell r="N451">
            <v>7626.8862296860689</v>
          </cell>
          <cell r="O451">
            <v>35000</v>
          </cell>
          <cell r="P451">
            <v>8312.5645354220123</v>
          </cell>
          <cell r="Q451" t="str">
            <v>A.  PSC Indicator stocks.</v>
          </cell>
          <cell r="R451"/>
          <cell r="S451" t="str">
            <v>Average Esc from 1995-2005 from file: NEW ESCAPEMENT INDEX.XLS</v>
          </cell>
          <cell r="T451">
            <v>1230</v>
          </cell>
          <cell r="U451">
            <v>3492.1666666666665</v>
          </cell>
          <cell r="V451"/>
          <cell r="W451">
            <v>1230</v>
          </cell>
        </row>
        <row r="452">
          <cell r="C452" t="str">
            <v>TAHSIS RIVER_Coho</v>
          </cell>
          <cell r="D452" t="str">
            <v>No</v>
          </cell>
          <cell r="E452" t="str">
            <v>No</v>
          </cell>
          <cell r="F452">
            <v>25</v>
          </cell>
          <cell r="G452" t="str">
            <v>TAHSIS RIVER</v>
          </cell>
          <cell r="H452" t="str">
            <v>Coho</v>
          </cell>
          <cell r="I452"/>
          <cell r="J452"/>
          <cell r="K452">
            <v>2</v>
          </cell>
          <cell r="L452">
            <v>11</v>
          </cell>
          <cell r="M452">
            <v>11</v>
          </cell>
          <cell r="N452">
            <v>811.99791966394457</v>
          </cell>
          <cell r="O452">
            <v>3500</v>
          </cell>
          <cell r="P452">
            <v>690.31924748090523</v>
          </cell>
          <cell r="Q452" t="str">
            <v>A.  PSC Indicator stocks.</v>
          </cell>
          <cell r="R452"/>
          <cell r="S452" t="str">
            <v>Average Esc from 1995-2005 from file: NEW ESCAPEMENT INDEX.XLS</v>
          </cell>
          <cell r="T452">
            <v>1143.5</v>
          </cell>
          <cell r="U452">
            <v>1274.3333333333333</v>
          </cell>
          <cell r="V452"/>
          <cell r="W452">
            <v>1234</v>
          </cell>
        </row>
        <row r="453">
          <cell r="C453" t="str">
            <v>TAHSIS RIVER_Pink</v>
          </cell>
          <cell r="D453" t="str">
            <v>No</v>
          </cell>
          <cell r="E453" t="str">
            <v>No</v>
          </cell>
          <cell r="F453">
            <v>25</v>
          </cell>
          <cell r="G453" t="str">
            <v>TAHSIS RIVER</v>
          </cell>
          <cell r="H453" t="str">
            <v>Pink</v>
          </cell>
          <cell r="I453"/>
          <cell r="J453"/>
          <cell r="K453">
            <v>2</v>
          </cell>
          <cell r="L453">
            <v>11</v>
          </cell>
          <cell r="M453">
            <v>7</v>
          </cell>
          <cell r="N453">
            <v>1.9679896712654303</v>
          </cell>
          <cell r="O453">
            <v>17000</v>
          </cell>
          <cell r="P453">
            <v>72.478359848875883</v>
          </cell>
          <cell r="Q453" t="str">
            <v>A.  PSC Indicator stocks.</v>
          </cell>
          <cell r="R453"/>
          <cell r="S453"/>
          <cell r="T453">
            <v>4.333333333333333</v>
          </cell>
          <cell r="U453">
            <v>3.75</v>
          </cell>
          <cell r="V453"/>
          <cell r="W453" t="str">
            <v>AP</v>
          </cell>
        </row>
        <row r="454">
          <cell r="C454" t="str">
            <v>TAHSIS RIVER_Sockeye</v>
          </cell>
          <cell r="D454" t="str">
            <v>No</v>
          </cell>
          <cell r="E454" t="str">
            <v>No</v>
          </cell>
          <cell r="F454">
            <v>25</v>
          </cell>
          <cell r="G454" t="str">
            <v>TAHSIS RIVER</v>
          </cell>
          <cell r="H454" t="str">
            <v>Sockeye</v>
          </cell>
          <cell r="I454"/>
          <cell r="J454"/>
          <cell r="K454">
            <v>2</v>
          </cell>
          <cell r="L454">
            <v>11</v>
          </cell>
          <cell r="M454">
            <v>11</v>
          </cell>
          <cell r="N454">
            <v>187.29600967829273</v>
          </cell>
          <cell r="O454">
            <v>1005</v>
          </cell>
          <cell r="P454">
            <v>149.21534562868169</v>
          </cell>
          <cell r="Q454" t="str">
            <v>A.  PSC Indicator stocks.</v>
          </cell>
          <cell r="R454"/>
          <cell r="S454"/>
          <cell r="T454">
            <v>461.5</v>
          </cell>
          <cell r="U454">
            <v>426.16666666666669</v>
          </cell>
          <cell r="V454"/>
          <cell r="W454">
            <v>401</v>
          </cell>
        </row>
        <row r="455">
          <cell r="C455" t="str">
            <v>TLUPANA RIVER_Chinook</v>
          </cell>
          <cell r="D455" t="str">
            <v>No</v>
          </cell>
          <cell r="E455" t="str">
            <v>No</v>
          </cell>
          <cell r="F455">
            <v>25</v>
          </cell>
          <cell r="G455" t="str">
            <v>TLUPANA RIVER</v>
          </cell>
          <cell r="H455" t="str">
            <v>Chinook</v>
          </cell>
          <cell r="I455"/>
          <cell r="J455"/>
          <cell r="K455">
            <v>1</v>
          </cell>
          <cell r="L455">
            <v>10</v>
          </cell>
          <cell r="M455">
            <v>10</v>
          </cell>
          <cell r="N455">
            <v>186.37851035554789</v>
          </cell>
          <cell r="O455">
            <v>1160</v>
          </cell>
          <cell r="P455">
            <v>63.703183022146654</v>
          </cell>
          <cell r="Q455" t="str">
            <v>E.   Systems extensively surveyed, with major hatcheries or considerable hatchery contribution</v>
          </cell>
          <cell r="R455"/>
          <cell r="S455" t="str">
            <v xml:space="preserve">Average Esc from 1995-2005 from file: NEW ESCAPEMENT INDEX.XLS.  In 2004 &amp; 2005 estimates were made for chum and chinook only. </v>
          </cell>
          <cell r="T455">
            <v>23</v>
          </cell>
          <cell r="U455">
            <v>578.57142857142856</v>
          </cell>
          <cell r="V455"/>
          <cell r="W455" t="str">
            <v>NI</v>
          </cell>
        </row>
        <row r="456">
          <cell r="C456" t="str">
            <v>TLUPANA RIVER_Chum</v>
          </cell>
          <cell r="D456" t="str">
            <v>No</v>
          </cell>
          <cell r="E456" t="str">
            <v>No</v>
          </cell>
          <cell r="F456">
            <v>25</v>
          </cell>
          <cell r="G456" t="str">
            <v>TLUPANA RIVER</v>
          </cell>
          <cell r="H456" t="str">
            <v>Chum</v>
          </cell>
          <cell r="I456"/>
          <cell r="J456"/>
          <cell r="K456">
            <v>1</v>
          </cell>
          <cell r="L456">
            <v>10</v>
          </cell>
          <cell r="M456">
            <v>10</v>
          </cell>
          <cell r="N456">
            <v>9494.9669033170157</v>
          </cell>
          <cell r="O456">
            <v>34786</v>
          </cell>
          <cell r="P456">
            <v>2648.1338644608868</v>
          </cell>
          <cell r="Q456" t="str">
            <v>E.   Systems extensively surveyed, with major hatcheries or considerable hatchery contribution</v>
          </cell>
          <cell r="R456"/>
          <cell r="S456" t="str">
            <v xml:space="preserve">Average Esc from 1995-2005 from file: NEW ESCAPEMENT INDEX.XLS.  In 2004 &amp; 2005 estimates were made for chum and chinook only. </v>
          </cell>
          <cell r="T456">
            <v>496.5</v>
          </cell>
          <cell r="U456">
            <v>2542.5</v>
          </cell>
          <cell r="V456"/>
          <cell r="W456" t="str">
            <v>NI</v>
          </cell>
        </row>
        <row r="457">
          <cell r="C457" t="str">
            <v>TLUPANA RIVER_Coho</v>
          </cell>
          <cell r="D457" t="str">
            <v>No</v>
          </cell>
          <cell r="E457" t="str">
            <v>No</v>
          </cell>
          <cell r="F457">
            <v>25</v>
          </cell>
          <cell r="G457" t="str">
            <v>TLUPANA RIVER</v>
          </cell>
          <cell r="H457" t="str">
            <v>Coho</v>
          </cell>
          <cell r="I457"/>
          <cell r="J457"/>
          <cell r="K457">
            <v>1</v>
          </cell>
          <cell r="L457">
            <v>9</v>
          </cell>
          <cell r="M457">
            <v>9</v>
          </cell>
          <cell r="N457">
            <v>382.80579011747551</v>
          </cell>
          <cell r="O457">
            <v>1980</v>
          </cell>
          <cell r="P457">
            <v>175.30606815939825</v>
          </cell>
          <cell r="Q457" t="str">
            <v>E.   Systems extensively surveyed, with major hatcheries or considerable hatchery contribution</v>
          </cell>
          <cell r="R457"/>
          <cell r="S457" t="str">
            <v xml:space="preserve">In 2004 &amp; 2005 estimates were made for chum and chinook only. </v>
          </cell>
          <cell r="T457" t="e">
            <v>#DIV/0!</v>
          </cell>
          <cell r="U457">
            <v>490</v>
          </cell>
          <cell r="V457"/>
          <cell r="W457" t="str">
            <v>NI</v>
          </cell>
        </row>
        <row r="458">
          <cell r="C458" t="str">
            <v>TLUPANA RIVER_Pink</v>
          </cell>
          <cell r="D458" t="str">
            <v>No</v>
          </cell>
          <cell r="E458" t="str">
            <v>No</v>
          </cell>
          <cell r="F458">
            <v>25</v>
          </cell>
          <cell r="G458" t="str">
            <v>TLUPANA RIVER</v>
          </cell>
          <cell r="H458" t="str">
            <v>Pink</v>
          </cell>
          <cell r="I458"/>
          <cell r="J458"/>
          <cell r="K458">
            <v>1</v>
          </cell>
          <cell r="L458">
            <v>9</v>
          </cell>
          <cell r="M458">
            <v>6</v>
          </cell>
          <cell r="N458">
            <v>3.308686650258204</v>
          </cell>
          <cell r="O458">
            <v>1000</v>
          </cell>
          <cell r="P458">
            <v>27.830306146522194</v>
          </cell>
          <cell r="Q458" t="str">
            <v>E.   Systems extensively surveyed, with major hatcheries or considerable hatchery contribution</v>
          </cell>
          <cell r="R458"/>
          <cell r="S458" t="str">
            <v xml:space="preserve">In 2004 &amp; 2005 estimates were made for chum and chinook only. </v>
          </cell>
          <cell r="T458" t="e">
            <v>#DIV/0!</v>
          </cell>
          <cell r="U458">
            <v>2</v>
          </cell>
          <cell r="V458"/>
          <cell r="W458" t="str">
            <v>NI</v>
          </cell>
        </row>
        <row r="459">
          <cell r="C459" t="str">
            <v>TLUPANA RIVER_Sockeye</v>
          </cell>
          <cell r="D459" t="str">
            <v>No</v>
          </cell>
          <cell r="E459" t="str">
            <v>No</v>
          </cell>
          <cell r="F459">
            <v>25</v>
          </cell>
          <cell r="G459" t="str">
            <v>TLUPANA RIVER</v>
          </cell>
          <cell r="H459" t="str">
            <v>Sockeye</v>
          </cell>
          <cell r="I459"/>
          <cell r="J459"/>
          <cell r="K459">
            <v>1</v>
          </cell>
          <cell r="L459">
            <v>9</v>
          </cell>
          <cell r="M459">
            <v>8</v>
          </cell>
          <cell r="N459">
            <v>110.19163356765864</v>
          </cell>
          <cell r="O459">
            <v>778</v>
          </cell>
          <cell r="P459">
            <v>84.980950126047475</v>
          </cell>
          <cell r="Q459" t="str">
            <v>E.   Systems extensively surveyed, with major hatcheries or considerable hatchery contribution</v>
          </cell>
          <cell r="R459"/>
          <cell r="S459" t="str">
            <v xml:space="preserve">In 2004 &amp; 2005 estimates were made for chum and chinook only. </v>
          </cell>
          <cell r="T459" t="e">
            <v>#DIV/0!</v>
          </cell>
          <cell r="U459">
            <v>19.5</v>
          </cell>
          <cell r="V459"/>
          <cell r="W459" t="str">
            <v>NI</v>
          </cell>
        </row>
        <row r="460">
          <cell r="C460" t="str">
            <v>TSOWWIN RIVER_Chinook</v>
          </cell>
          <cell r="D460" t="str">
            <v>No</v>
          </cell>
          <cell r="E460" t="str">
            <v>No</v>
          </cell>
          <cell r="F460">
            <v>25</v>
          </cell>
          <cell r="G460" t="str">
            <v>TSOWWIN RIVER</v>
          </cell>
          <cell r="H460" t="str">
            <v>Chinook</v>
          </cell>
          <cell r="I460"/>
          <cell r="J460"/>
          <cell r="K460">
            <v>3</v>
          </cell>
          <cell r="L460">
            <v>9</v>
          </cell>
          <cell r="M460">
            <v>8</v>
          </cell>
          <cell r="N460">
            <v>4.4169339390322664</v>
          </cell>
          <cell r="O460">
            <v>750</v>
          </cell>
          <cell r="P460">
            <v>28.180537305271496</v>
          </cell>
          <cell r="Q460" t="str">
            <v>D.  Other systems surveyed extensively since 1995.  Not included with group (C) or (B) due to irregular surveys (ie not every year) or due to extremely low total adult escapement</v>
          </cell>
          <cell r="R460"/>
          <cell r="S460"/>
          <cell r="T460">
            <v>29</v>
          </cell>
          <cell r="U460">
            <v>26.2</v>
          </cell>
          <cell r="V460"/>
          <cell r="W460" t="str">
            <v>NO</v>
          </cell>
        </row>
        <row r="461">
          <cell r="C461" t="str">
            <v>TSOWWIN RIVER_Chum</v>
          </cell>
          <cell r="D461" t="str">
            <v>No</v>
          </cell>
          <cell r="E461" t="str">
            <v>No</v>
          </cell>
          <cell r="F461">
            <v>25</v>
          </cell>
          <cell r="G461" t="str">
            <v>TSOWWIN RIVER</v>
          </cell>
          <cell r="H461" t="str">
            <v>Chum</v>
          </cell>
          <cell r="I461"/>
          <cell r="J461"/>
          <cell r="K461">
            <v>3</v>
          </cell>
          <cell r="L461">
            <v>9</v>
          </cell>
          <cell r="M461">
            <v>9</v>
          </cell>
          <cell r="N461">
            <v>3655.6887628560876</v>
          </cell>
          <cell r="O461">
            <v>45000</v>
          </cell>
          <cell r="P461">
            <v>5301.9972214825093</v>
          </cell>
          <cell r="Q461" t="str">
            <v>D.  Other systems surveyed extensively since 1995.  Not included with group (C) or (B) due to irregular surveys (ie not every year) or due to extremely low total adult escapement</v>
          </cell>
          <cell r="R461"/>
          <cell r="S461"/>
          <cell r="T461">
            <v>301</v>
          </cell>
          <cell r="U461">
            <v>1040.7142857142858</v>
          </cell>
          <cell r="V461"/>
          <cell r="W461" t="str">
            <v>NO</v>
          </cell>
        </row>
        <row r="462">
          <cell r="C462" t="str">
            <v>TSOWWIN RIVER_Coho</v>
          </cell>
          <cell r="D462" t="str">
            <v>No</v>
          </cell>
          <cell r="E462" t="str">
            <v>No</v>
          </cell>
          <cell r="F462">
            <v>25</v>
          </cell>
          <cell r="G462" t="str">
            <v>TSOWWIN RIVER</v>
          </cell>
          <cell r="H462" t="str">
            <v>Coho</v>
          </cell>
          <cell r="I462"/>
          <cell r="J462"/>
          <cell r="K462">
            <v>3</v>
          </cell>
          <cell r="L462">
            <v>9</v>
          </cell>
          <cell r="M462">
            <v>8</v>
          </cell>
          <cell r="N462">
            <v>431.0203651449915</v>
          </cell>
          <cell r="O462">
            <v>3500</v>
          </cell>
          <cell r="P462">
            <v>270.80211028049393</v>
          </cell>
          <cell r="Q462" t="str">
            <v>D.  Other systems surveyed extensively since 1995.  Not included with group (C) or (B) due to irregular surveys (ie not every year) or due to extremely low total adult escapement</v>
          </cell>
          <cell r="R462"/>
          <cell r="S462"/>
          <cell r="T462">
            <v>79</v>
          </cell>
          <cell r="U462">
            <v>224.42857142857142</v>
          </cell>
          <cell r="V462"/>
          <cell r="W462" t="str">
            <v>NO</v>
          </cell>
        </row>
        <row r="463">
          <cell r="C463" t="str">
            <v>TSOWWIN RIVER_Sockeye</v>
          </cell>
          <cell r="D463" t="str">
            <v>No</v>
          </cell>
          <cell r="E463" t="str">
            <v>No</v>
          </cell>
          <cell r="F463">
            <v>25</v>
          </cell>
          <cell r="G463" t="str">
            <v>TSOWWIN RIVER</v>
          </cell>
          <cell r="H463" t="str">
            <v>Sockeye</v>
          </cell>
          <cell r="I463"/>
          <cell r="J463"/>
          <cell r="K463">
            <v>3</v>
          </cell>
          <cell r="L463">
            <v>9</v>
          </cell>
          <cell r="M463">
            <v>8</v>
          </cell>
          <cell r="N463">
            <v>19.517148940500341</v>
          </cell>
          <cell r="O463">
            <v>275</v>
          </cell>
          <cell r="P463">
            <v>20.220308664150682</v>
          </cell>
          <cell r="Q463" t="str">
            <v>D.  Other systems surveyed extensively since 1995.  Not included with group (C) or (B) due to irregular surveys (ie not every year) or due to extremely low total adult escapement</v>
          </cell>
          <cell r="R463"/>
          <cell r="S463"/>
          <cell r="T463">
            <v>18.666666666666668</v>
          </cell>
          <cell r="U463">
            <v>21.6</v>
          </cell>
          <cell r="V463"/>
          <cell r="W463" t="str">
            <v>NO</v>
          </cell>
        </row>
        <row r="464">
          <cell r="C464" t="str">
            <v>ZEBALLOS RIVER_Chinook</v>
          </cell>
          <cell r="D464" t="str">
            <v>No</v>
          </cell>
          <cell r="E464" t="str">
            <v>No</v>
          </cell>
          <cell r="F464">
            <v>25</v>
          </cell>
          <cell r="G464" t="str">
            <v>ZEBALLOS RIVER</v>
          </cell>
          <cell r="H464" t="str">
            <v>Chinook</v>
          </cell>
          <cell r="I464"/>
          <cell r="J464"/>
          <cell r="K464">
            <v>3</v>
          </cell>
          <cell r="L464">
            <v>11</v>
          </cell>
          <cell r="M464">
            <v>11</v>
          </cell>
          <cell r="N464">
            <v>234.93701147489654</v>
          </cell>
          <cell r="O464">
            <v>862</v>
          </cell>
          <cell r="P464">
            <v>103.38083138777687</v>
          </cell>
          <cell r="Q464" t="str">
            <v>B. Other systems: wild or hatchery supplemented.     Intensively surveyed in 1995 and have a fairly complete historic database.</v>
          </cell>
          <cell r="R464"/>
          <cell r="S464" t="str">
            <v>Average Esc from 1995-2005 from file: NEW ESCAPEMENT INDEX.XLS</v>
          </cell>
          <cell r="T464">
            <v>143.33333333333334</v>
          </cell>
          <cell r="U464">
            <v>241.09090909090909</v>
          </cell>
          <cell r="V464"/>
          <cell r="W464">
            <v>32</v>
          </cell>
        </row>
        <row r="465">
          <cell r="C465" t="str">
            <v>ZEBALLOS RIVER_Chum</v>
          </cell>
          <cell r="D465" t="str">
            <v>No</v>
          </cell>
          <cell r="E465" t="str">
            <v>No</v>
          </cell>
          <cell r="F465">
            <v>25</v>
          </cell>
          <cell r="G465" t="str">
            <v>ZEBALLOS RIVER</v>
          </cell>
          <cell r="H465" t="str">
            <v>Chum</v>
          </cell>
          <cell r="I465"/>
          <cell r="J465"/>
          <cell r="K465">
            <v>3</v>
          </cell>
          <cell r="L465">
            <v>11</v>
          </cell>
          <cell r="M465">
            <v>11</v>
          </cell>
          <cell r="N465">
            <v>6953.0887235336413</v>
          </cell>
          <cell r="O465">
            <v>23700</v>
          </cell>
          <cell r="P465">
            <v>5817.7224980121828</v>
          </cell>
          <cell r="Q465" t="str">
            <v>B. Other systems: wild or hatchery supplemented.     Intensively surveyed in 1995 and have a fairly complete historic database.</v>
          </cell>
          <cell r="R465"/>
          <cell r="S465" t="str">
            <v>Average Esc from 1995-2005 from file: NEW ESCAPEMENT INDEX.XLS</v>
          </cell>
          <cell r="T465">
            <v>2976.5</v>
          </cell>
          <cell r="U465">
            <v>5983.666666666667</v>
          </cell>
          <cell r="V465"/>
          <cell r="W465">
            <v>3439</v>
          </cell>
        </row>
        <row r="466">
          <cell r="C466" t="str">
            <v>ZEBALLOS RIVER_Coho</v>
          </cell>
          <cell r="D466" t="str">
            <v>No</v>
          </cell>
          <cell r="E466" t="str">
            <v>No</v>
          </cell>
          <cell r="F466">
            <v>25</v>
          </cell>
          <cell r="G466" t="str">
            <v>ZEBALLOS RIVER</v>
          </cell>
          <cell r="H466" t="str">
            <v>Coho</v>
          </cell>
          <cell r="I466"/>
          <cell r="J466"/>
          <cell r="K466">
            <v>3</v>
          </cell>
          <cell r="L466">
            <v>11</v>
          </cell>
          <cell r="M466">
            <v>11</v>
          </cell>
          <cell r="N466">
            <v>280.91524299821612</v>
          </cell>
          <cell r="O466">
            <v>7500</v>
          </cell>
          <cell r="P466">
            <v>294.9887224120651</v>
          </cell>
          <cell r="Q466" t="str">
            <v>B. Other systems: wild or hatchery supplemented.     Intensively surveyed in 1995 and have a fairly complete historic database.</v>
          </cell>
          <cell r="R466"/>
          <cell r="S466" t="str">
            <v>Average Esc from 1995-2005 from file: NEW ESCAPEMENT INDEX.XLS</v>
          </cell>
          <cell r="T466">
            <v>149.5</v>
          </cell>
          <cell r="U466">
            <v>328.08333333333331</v>
          </cell>
          <cell r="V466"/>
          <cell r="W466">
            <v>100</v>
          </cell>
        </row>
        <row r="467">
          <cell r="C467" t="str">
            <v>ZEBALLOS RIVER_Pink</v>
          </cell>
          <cell r="D467" t="str">
            <v>No</v>
          </cell>
          <cell r="E467" t="str">
            <v>No</v>
          </cell>
          <cell r="F467">
            <v>25</v>
          </cell>
          <cell r="G467" t="str">
            <v>ZEBALLOS RIVER</v>
          </cell>
          <cell r="H467" t="str">
            <v>Pink</v>
          </cell>
          <cell r="I467"/>
          <cell r="J467"/>
          <cell r="K467">
            <v>3</v>
          </cell>
          <cell r="L467">
            <v>11</v>
          </cell>
          <cell r="M467">
            <v>9</v>
          </cell>
          <cell r="N467">
            <v>19.700553619922214</v>
          </cell>
          <cell r="O467">
            <v>17000</v>
          </cell>
          <cell r="P467">
            <v>200.70491271130882</v>
          </cell>
          <cell r="Q467" t="str">
            <v>B. Other systems: wild or hatchery supplemented.     Intensively surveyed in 1995 and have a fairly complete historic database.</v>
          </cell>
          <cell r="R467"/>
          <cell r="S467"/>
          <cell r="T467" t="e">
            <v>#DIV/0!</v>
          </cell>
          <cell r="U467">
            <v>43.666666666666664</v>
          </cell>
          <cell r="V467"/>
          <cell r="W467" t="str">
            <v>NO</v>
          </cell>
        </row>
        <row r="468">
          <cell r="C468" t="str">
            <v>ZEBALLOS RIVER_Sockeye</v>
          </cell>
          <cell r="D468" t="str">
            <v>No</v>
          </cell>
          <cell r="E468" t="str">
            <v>No</v>
          </cell>
          <cell r="F468">
            <v>25</v>
          </cell>
          <cell r="G468" t="str">
            <v>ZEBALLOS RIVER</v>
          </cell>
          <cell r="H468" t="str">
            <v>Sockeye</v>
          </cell>
          <cell r="I468"/>
          <cell r="J468"/>
          <cell r="K468">
            <v>3</v>
          </cell>
          <cell r="L468">
            <v>11</v>
          </cell>
          <cell r="M468">
            <v>11</v>
          </cell>
          <cell r="N468">
            <v>992.19806866376996</v>
          </cell>
          <cell r="O468">
            <v>15451</v>
          </cell>
          <cell r="P468">
            <v>411.49796748299997</v>
          </cell>
          <cell r="Q468" t="str">
            <v>B. Other systems: wild or hatchery supplemented.     Intensively surveyed in 1995 and have a fairly complete historic database.</v>
          </cell>
          <cell r="R468"/>
          <cell r="S468"/>
          <cell r="T468">
            <v>792.5</v>
          </cell>
          <cell r="U468">
            <v>1364.4166666666667</v>
          </cell>
          <cell r="V468"/>
          <cell r="W468">
            <v>982</v>
          </cell>
        </row>
        <row r="469">
          <cell r="C469" t="str">
            <v>AMAI CREEK_Chinook</v>
          </cell>
          <cell r="D469" t="str">
            <v>No</v>
          </cell>
          <cell r="E469" t="str">
            <v>No</v>
          </cell>
          <cell r="F469">
            <v>26</v>
          </cell>
          <cell r="G469" t="str">
            <v>AMAI CREEK</v>
          </cell>
          <cell r="H469" t="str">
            <v>Chinook</v>
          </cell>
          <cell r="I469"/>
          <cell r="J469"/>
          <cell r="K469">
            <v>3</v>
          </cell>
          <cell r="L469">
            <v>8</v>
          </cell>
          <cell r="M469">
            <v>3</v>
          </cell>
          <cell r="N469">
            <v>4</v>
          </cell>
          <cell r="O469">
            <v>25</v>
          </cell>
          <cell r="P469">
            <v>16.950582301078729</v>
          </cell>
          <cell r="Q469"/>
          <cell r="R469"/>
          <cell r="S469" t="str">
            <v>2 of the 3 estimates are Adult Present (AP). Last time stream was surveyed was in 2002.</v>
          </cell>
          <cell r="T469">
            <v>7</v>
          </cell>
          <cell r="U469">
            <v>4.5</v>
          </cell>
          <cell r="V469"/>
          <cell r="W469" t="str">
            <v>NI</v>
          </cell>
        </row>
        <row r="470">
          <cell r="C470" t="str">
            <v>AMAI CREEK_Chum</v>
          </cell>
          <cell r="D470" t="str">
            <v>No</v>
          </cell>
          <cell r="E470" t="str">
            <v>No</v>
          </cell>
          <cell r="F470">
            <v>26</v>
          </cell>
          <cell r="G470" t="str">
            <v>AMAI CREEK</v>
          </cell>
          <cell r="H470" t="str">
            <v>Chum</v>
          </cell>
          <cell r="I470"/>
          <cell r="J470"/>
          <cell r="K470">
            <v>3</v>
          </cell>
          <cell r="L470">
            <v>8</v>
          </cell>
          <cell r="M470">
            <v>7</v>
          </cell>
          <cell r="N470">
            <v>1147.1295575726967</v>
          </cell>
          <cell r="O470">
            <v>8000</v>
          </cell>
          <cell r="P470">
            <v>1149.476615737937</v>
          </cell>
          <cell r="Q470"/>
          <cell r="R470"/>
          <cell r="S470" t="str">
            <v>1 of the 7 estimates are Adult Present (AP). Last time stream was surveyed was in 2002.</v>
          </cell>
          <cell r="T470">
            <v>259</v>
          </cell>
          <cell r="U470">
            <v>560.28571428571433</v>
          </cell>
          <cell r="V470"/>
          <cell r="W470" t="str">
            <v>NI</v>
          </cell>
        </row>
        <row r="471">
          <cell r="C471" t="str">
            <v>AMAI CREEK_Coho</v>
          </cell>
          <cell r="D471" t="str">
            <v>No</v>
          </cell>
          <cell r="E471" t="str">
            <v>No</v>
          </cell>
          <cell r="F471">
            <v>26</v>
          </cell>
          <cell r="G471" t="str">
            <v>AMAI CREEK</v>
          </cell>
          <cell r="H471" t="str">
            <v>Coho</v>
          </cell>
          <cell r="I471"/>
          <cell r="J471"/>
          <cell r="K471">
            <v>3</v>
          </cell>
          <cell r="L471">
            <v>8</v>
          </cell>
          <cell r="M471">
            <v>7</v>
          </cell>
          <cell r="N471">
            <v>79.56167817206024</v>
          </cell>
          <cell r="O471">
            <v>1500</v>
          </cell>
          <cell r="P471">
            <v>114.07254983037973</v>
          </cell>
          <cell r="Q471"/>
          <cell r="R471"/>
          <cell r="S471" t="str">
            <v>2 of the 7 estimates are Adult Present (AP). Last time stream was surveyed was in 2002.</v>
          </cell>
          <cell r="T471">
            <v>53</v>
          </cell>
          <cell r="U471">
            <v>192.85714285714286</v>
          </cell>
          <cell r="V471"/>
          <cell r="W471" t="str">
            <v>NI</v>
          </cell>
        </row>
        <row r="472">
          <cell r="C472" t="str">
            <v>AMAI CREEK_Sockeye</v>
          </cell>
          <cell r="D472" t="str">
            <v>No</v>
          </cell>
          <cell r="E472" t="str">
            <v>No</v>
          </cell>
          <cell r="F472">
            <v>26</v>
          </cell>
          <cell r="G472" t="str">
            <v>AMAI CREEK</v>
          </cell>
          <cell r="H472" t="str">
            <v>Sockeye</v>
          </cell>
          <cell r="I472"/>
          <cell r="J472"/>
          <cell r="K472">
            <v>3</v>
          </cell>
          <cell r="L472">
            <v>8</v>
          </cell>
          <cell r="M472">
            <v>4</v>
          </cell>
          <cell r="N472">
            <v>28.284271247461902</v>
          </cell>
          <cell r="O472">
            <v>200</v>
          </cell>
          <cell r="P472">
            <v>25.198420997897461</v>
          </cell>
          <cell r="Q472"/>
          <cell r="R472"/>
          <cell r="S472" t="str">
            <v>2 of the 4 estimates are Adult Present (AP). Last time stream was surveyed was in 2002.</v>
          </cell>
          <cell r="T472">
            <v>4</v>
          </cell>
          <cell r="U472">
            <v>4</v>
          </cell>
          <cell r="V472"/>
          <cell r="W472" t="str">
            <v>NI</v>
          </cell>
        </row>
        <row r="473">
          <cell r="C473" t="str">
            <v>ARTLISH RIVER_Chinook</v>
          </cell>
          <cell r="D473" t="str">
            <v>Yes</v>
          </cell>
          <cell r="E473" t="str">
            <v>Yes</v>
          </cell>
          <cell r="F473">
            <v>26</v>
          </cell>
          <cell r="G473" t="str">
            <v>ARTLISH RIVER</v>
          </cell>
          <cell r="H473" t="str">
            <v>Chinook</v>
          </cell>
          <cell r="I473"/>
          <cell r="J473"/>
          <cell r="K473">
            <v>2</v>
          </cell>
          <cell r="L473">
            <v>11</v>
          </cell>
          <cell r="M473">
            <v>11</v>
          </cell>
          <cell r="N473">
            <v>178.57068689754246</v>
          </cell>
          <cell r="O473">
            <v>3500</v>
          </cell>
          <cell r="P473">
            <v>168.92127501355648</v>
          </cell>
          <cell r="Q473" t="str">
            <v>A.  PSC Indicator stocks.</v>
          </cell>
          <cell r="R473"/>
          <cell r="S473" t="str">
            <v>Average Esc from 1995-2005 from file: NEW ESCAPEMENT INDEX.XLS</v>
          </cell>
          <cell r="T473">
            <v>257.75</v>
          </cell>
          <cell r="U473">
            <v>321.58333333333331</v>
          </cell>
          <cell r="V473"/>
          <cell r="W473">
            <v>231</v>
          </cell>
        </row>
        <row r="474">
          <cell r="C474" t="str">
            <v>ARTLISH RIVER_Chum</v>
          </cell>
          <cell r="D474" t="str">
            <v>No</v>
          </cell>
          <cell r="E474" t="str">
            <v>No</v>
          </cell>
          <cell r="F474">
            <v>26</v>
          </cell>
          <cell r="G474" t="str">
            <v>ARTLISH RIVER</v>
          </cell>
          <cell r="H474" t="str">
            <v>Chum</v>
          </cell>
          <cell r="I474"/>
          <cell r="J474"/>
          <cell r="K474">
            <v>2</v>
          </cell>
          <cell r="L474">
            <v>11</v>
          </cell>
          <cell r="M474">
            <v>11</v>
          </cell>
          <cell r="N474">
            <v>1877.0867478966532</v>
          </cell>
          <cell r="O474">
            <v>10392</v>
          </cell>
          <cell r="P474">
            <v>1093.5503157175031</v>
          </cell>
          <cell r="Q474" t="str">
            <v>A.  PSC Indicator stocks.</v>
          </cell>
          <cell r="R474"/>
          <cell r="S474" t="str">
            <v>Average Esc from 1995-2005 from file: NEW ESCAPEMENT INDEX.XLS</v>
          </cell>
          <cell r="T474">
            <v>2491.75</v>
          </cell>
          <cell r="U474">
            <v>4772.416666666667</v>
          </cell>
          <cell r="V474"/>
          <cell r="W474">
            <v>1328</v>
          </cell>
        </row>
        <row r="475">
          <cell r="C475" t="str">
            <v>ARTLISH RIVER_Coho</v>
          </cell>
          <cell r="D475" t="str">
            <v>No</v>
          </cell>
          <cell r="E475" t="str">
            <v>No</v>
          </cell>
          <cell r="F475">
            <v>26</v>
          </cell>
          <cell r="G475" t="str">
            <v>ARTLISH RIVER</v>
          </cell>
          <cell r="H475" t="str">
            <v>Coho</v>
          </cell>
          <cell r="I475"/>
          <cell r="J475"/>
          <cell r="K475">
            <v>2</v>
          </cell>
          <cell r="L475">
            <v>11</v>
          </cell>
          <cell r="M475">
            <v>11</v>
          </cell>
          <cell r="N475">
            <v>694.56632445321259</v>
          </cell>
          <cell r="O475">
            <v>7500</v>
          </cell>
          <cell r="P475">
            <v>382.71249084210382</v>
          </cell>
          <cell r="Q475" t="str">
            <v>A.  PSC Indicator stocks.</v>
          </cell>
          <cell r="R475"/>
          <cell r="S475" t="str">
            <v>Average Esc from 1995-2005 from file: NEW ESCAPEMENT INDEX.XLS</v>
          </cell>
          <cell r="T475">
            <v>1884.25</v>
          </cell>
          <cell r="U475">
            <v>1833.9166666666667</v>
          </cell>
          <cell r="V475"/>
          <cell r="W475">
            <v>2479</v>
          </cell>
        </row>
        <row r="476">
          <cell r="C476" t="str">
            <v>ARTLISH RIVER_Sockeye</v>
          </cell>
          <cell r="D476" t="str">
            <v>No</v>
          </cell>
          <cell r="E476" t="str">
            <v>No</v>
          </cell>
          <cell r="F476">
            <v>26</v>
          </cell>
          <cell r="G476" t="str">
            <v>ARTLISH RIVER</v>
          </cell>
          <cell r="H476" t="str">
            <v>Sockeye</v>
          </cell>
          <cell r="I476"/>
          <cell r="J476"/>
          <cell r="K476">
            <v>2</v>
          </cell>
          <cell r="L476">
            <v>11</v>
          </cell>
          <cell r="M476">
            <v>11</v>
          </cell>
          <cell r="N476">
            <v>11.300945838159425</v>
          </cell>
          <cell r="O476">
            <v>329</v>
          </cell>
          <cell r="P476">
            <v>16.248750851431769</v>
          </cell>
          <cell r="Q476" t="str">
            <v>A.  PSC Indicator stocks.</v>
          </cell>
          <cell r="R476"/>
          <cell r="S476"/>
          <cell r="T476">
            <v>10</v>
          </cell>
          <cell r="U476">
            <v>11.545454545454545</v>
          </cell>
          <cell r="V476"/>
          <cell r="W476">
            <v>24</v>
          </cell>
        </row>
        <row r="477">
          <cell r="C477" t="str">
            <v>BATTLE BAY RIVER_Chum</v>
          </cell>
          <cell r="D477" t="str">
            <v>No</v>
          </cell>
          <cell r="E477" t="str">
            <v>No</v>
          </cell>
          <cell r="F477">
            <v>26</v>
          </cell>
          <cell r="G477" t="str">
            <v>BATTLE BAY RIVER</v>
          </cell>
          <cell r="H477" t="str">
            <v>Chum</v>
          </cell>
          <cell r="I477"/>
          <cell r="J477"/>
          <cell r="K477"/>
          <cell r="L477"/>
          <cell r="M477"/>
          <cell r="N477"/>
          <cell r="O477"/>
          <cell r="P477"/>
          <cell r="Q477"/>
          <cell r="R477"/>
          <cell r="S477"/>
          <cell r="T477" t="e">
            <v>#DIV/0!</v>
          </cell>
          <cell r="U477" t="e">
            <v>#DIV/0!</v>
          </cell>
          <cell r="V477"/>
          <cell r="W477" t="str">
            <v>NI</v>
          </cell>
        </row>
        <row r="478">
          <cell r="C478" t="str">
            <v>BATTLE BAY RIVER_Coho</v>
          </cell>
          <cell r="D478" t="str">
            <v>No</v>
          </cell>
          <cell r="E478" t="str">
            <v>No</v>
          </cell>
          <cell r="F478">
            <v>26</v>
          </cell>
          <cell r="G478" t="str">
            <v>BATTLE BAY RIVER</v>
          </cell>
          <cell r="H478" t="str">
            <v>Coho</v>
          </cell>
          <cell r="I478"/>
          <cell r="J478"/>
          <cell r="K478"/>
          <cell r="L478"/>
          <cell r="M478"/>
          <cell r="N478"/>
          <cell r="O478"/>
          <cell r="P478"/>
          <cell r="Q478"/>
          <cell r="R478"/>
          <cell r="S478"/>
          <cell r="T478" t="e">
            <v>#DIV/0!</v>
          </cell>
          <cell r="U478" t="e">
            <v>#DIV/0!</v>
          </cell>
          <cell r="V478"/>
          <cell r="W478" t="str">
            <v>NI</v>
          </cell>
        </row>
        <row r="479">
          <cell r="C479" t="str">
            <v>CACHALOT CREEK_Chum</v>
          </cell>
          <cell r="D479" t="str">
            <v>No</v>
          </cell>
          <cell r="E479" t="str">
            <v>No</v>
          </cell>
          <cell r="F479">
            <v>26</v>
          </cell>
          <cell r="G479" t="str">
            <v>CACHALOT CREEK</v>
          </cell>
          <cell r="H479" t="str">
            <v>Chum</v>
          </cell>
          <cell r="I479"/>
          <cell r="J479"/>
          <cell r="K479">
            <v>3</v>
          </cell>
          <cell r="L479">
            <v>9</v>
          </cell>
          <cell r="M479">
            <v>9</v>
          </cell>
          <cell r="N479">
            <v>511.2601291909553</v>
          </cell>
          <cell r="O479">
            <v>4900</v>
          </cell>
          <cell r="P479">
            <v>457.16167148798428</v>
          </cell>
          <cell r="Q479"/>
          <cell r="R479"/>
          <cell r="S479" t="str">
            <v>2 of the 9 estimates are Adult Present (AP). Last time stream was surveyed was in 2003.</v>
          </cell>
          <cell r="T479" t="e">
            <v>#DIV/0!</v>
          </cell>
          <cell r="U479">
            <v>298.25</v>
          </cell>
          <cell r="V479"/>
          <cell r="W479" t="str">
            <v>NI</v>
          </cell>
        </row>
        <row r="480">
          <cell r="C480" t="str">
            <v>CACHALOT CREEK_Coho</v>
          </cell>
          <cell r="D480" t="str">
            <v>No</v>
          </cell>
          <cell r="E480" t="str">
            <v>No</v>
          </cell>
          <cell r="F480">
            <v>26</v>
          </cell>
          <cell r="G480" t="str">
            <v>CACHALOT CREEK</v>
          </cell>
          <cell r="H480" t="str">
            <v>Coho</v>
          </cell>
          <cell r="I480"/>
          <cell r="J480"/>
          <cell r="K480">
            <v>3</v>
          </cell>
          <cell r="L480">
            <v>9</v>
          </cell>
          <cell r="M480">
            <v>5</v>
          </cell>
          <cell r="N480">
            <v>267.20154794303261</v>
          </cell>
          <cell r="O480">
            <v>423</v>
          </cell>
          <cell r="P480">
            <v>68.998780369180125</v>
          </cell>
          <cell r="Q480"/>
          <cell r="R480"/>
          <cell r="S480" t="str">
            <v>2 of the 4 estimates are Adult Present (AP). Last time stream was surveyed was in 2003.</v>
          </cell>
          <cell r="T480" t="e">
            <v>#DIV/0!</v>
          </cell>
          <cell r="U480">
            <v>36.25</v>
          </cell>
          <cell r="V480"/>
          <cell r="W480" t="str">
            <v>NI</v>
          </cell>
        </row>
        <row r="481">
          <cell r="C481" t="str">
            <v>CHAMISS CREEK_Chum</v>
          </cell>
          <cell r="D481" t="str">
            <v>No</v>
          </cell>
          <cell r="E481" t="str">
            <v>No</v>
          </cell>
          <cell r="F481">
            <v>26</v>
          </cell>
          <cell r="G481" t="str">
            <v>CHAMISS CREEK</v>
          </cell>
          <cell r="H481" t="str">
            <v>Chum</v>
          </cell>
          <cell r="I481"/>
          <cell r="J481"/>
          <cell r="K481">
            <v>3</v>
          </cell>
          <cell r="L481">
            <v>9</v>
          </cell>
          <cell r="M481">
            <v>8</v>
          </cell>
          <cell r="N481">
            <v>3582.0679633377781</v>
          </cell>
          <cell r="O481">
            <v>16600</v>
          </cell>
          <cell r="P481">
            <v>4276.8243913733222</v>
          </cell>
          <cell r="Q481"/>
          <cell r="R481"/>
          <cell r="S481" t="str">
            <v>3 of the 8 estimates are Adult Present (AP).  2004 was the last time this stream was surveyed.</v>
          </cell>
          <cell r="T481">
            <v>372.66666666666669</v>
          </cell>
          <cell r="U481">
            <v>2383.625</v>
          </cell>
          <cell r="V481"/>
          <cell r="W481" t="str">
            <v>NI</v>
          </cell>
        </row>
        <row r="482">
          <cell r="C482" t="str">
            <v>CHAMISS CREEK_Coho</v>
          </cell>
          <cell r="D482" t="str">
            <v>No</v>
          </cell>
          <cell r="E482" t="str">
            <v>No</v>
          </cell>
          <cell r="F482">
            <v>26</v>
          </cell>
          <cell r="G482" t="str">
            <v>CHAMISS CREEK</v>
          </cell>
          <cell r="H482" t="str">
            <v>Coho</v>
          </cell>
          <cell r="I482"/>
          <cell r="J482"/>
          <cell r="K482">
            <v>3</v>
          </cell>
          <cell r="L482">
            <v>9</v>
          </cell>
          <cell r="M482">
            <v>8</v>
          </cell>
          <cell r="N482">
            <v>26.580800682993335</v>
          </cell>
          <cell r="O482">
            <v>1500</v>
          </cell>
          <cell r="P482">
            <v>80.151192466915433</v>
          </cell>
          <cell r="Q482"/>
          <cell r="R482"/>
          <cell r="S482" t="str">
            <v>2 of the 8 estimates are Adult Present (AP).  2004 was the last time this stream was surveyed.</v>
          </cell>
          <cell r="T482">
            <v>101.33333333333333</v>
          </cell>
          <cell r="U482">
            <v>78.625</v>
          </cell>
          <cell r="V482"/>
          <cell r="W482" t="str">
            <v>NI</v>
          </cell>
        </row>
        <row r="483">
          <cell r="C483" t="str">
            <v>CLANNINICK CREEK_Chum</v>
          </cell>
          <cell r="D483" t="str">
            <v>No</v>
          </cell>
          <cell r="E483" t="str">
            <v>No</v>
          </cell>
          <cell r="F483">
            <v>26</v>
          </cell>
          <cell r="G483" t="str">
            <v>CLANNINICK CREEK</v>
          </cell>
          <cell r="H483" t="str">
            <v>Chum</v>
          </cell>
          <cell r="I483"/>
          <cell r="J483"/>
          <cell r="K483">
            <v>5</v>
          </cell>
          <cell r="L483">
            <v>3</v>
          </cell>
          <cell r="M483">
            <v>3</v>
          </cell>
          <cell r="N483">
            <v>1379.9153487247138</v>
          </cell>
          <cell r="O483">
            <v>35000</v>
          </cell>
          <cell r="P483">
            <v>2278.729251587923</v>
          </cell>
          <cell r="Q483"/>
          <cell r="R483"/>
          <cell r="S483" t="str">
            <v>Chum is the target species. Last time stream was surveyed was in 2003.</v>
          </cell>
          <cell r="T483">
            <v>254</v>
          </cell>
          <cell r="U483">
            <v>4723.2</v>
          </cell>
          <cell r="V483"/>
          <cell r="W483" t="str">
            <v>NI</v>
          </cell>
        </row>
        <row r="484">
          <cell r="C484" t="str">
            <v>CLANNINICK CREEK_Coho</v>
          </cell>
          <cell r="D484" t="str">
            <v>No</v>
          </cell>
          <cell r="E484" t="str">
            <v>No</v>
          </cell>
          <cell r="F484">
            <v>26</v>
          </cell>
          <cell r="G484" t="str">
            <v>CLANNINICK CREEK</v>
          </cell>
          <cell r="H484" t="str">
            <v>Coho</v>
          </cell>
          <cell r="I484"/>
          <cell r="J484"/>
          <cell r="K484">
            <v>5</v>
          </cell>
          <cell r="L484">
            <v>3</v>
          </cell>
          <cell r="M484">
            <v>2</v>
          </cell>
          <cell r="N484">
            <v>119.49895397031726</v>
          </cell>
          <cell r="O484">
            <v>750</v>
          </cell>
          <cell r="P484">
            <v>209.84501423042798</v>
          </cell>
          <cell r="Q484"/>
          <cell r="R484"/>
          <cell r="S484" t="str">
            <v>Chum is the target species. Last time stream was surveyed was in 2003.</v>
          </cell>
          <cell r="T484">
            <v>138</v>
          </cell>
          <cell r="U484">
            <v>227.71428571428572</v>
          </cell>
          <cell r="V484"/>
          <cell r="W484" t="str">
            <v>NI</v>
          </cell>
        </row>
        <row r="485">
          <cell r="C485" t="str">
            <v>EASY CREEK_Chinook</v>
          </cell>
          <cell r="D485" t="str">
            <v>No</v>
          </cell>
          <cell r="E485" t="str">
            <v>No</v>
          </cell>
          <cell r="F485">
            <v>26</v>
          </cell>
          <cell r="G485" t="str">
            <v>EASY CREEK</v>
          </cell>
          <cell r="H485" t="str">
            <v>Chinook</v>
          </cell>
          <cell r="I485"/>
          <cell r="J485"/>
          <cell r="K485">
            <v>3</v>
          </cell>
          <cell r="L485">
            <v>10</v>
          </cell>
          <cell r="M485">
            <v>4</v>
          </cell>
          <cell r="N485">
            <v>4.7026693754415154</v>
          </cell>
          <cell r="O485">
            <v>400</v>
          </cell>
          <cell r="P485">
            <v>20.269662097057399</v>
          </cell>
          <cell r="Q485"/>
          <cell r="R485"/>
          <cell r="S485" t="str">
            <v>Chum is the target species. 1 of the 4 estimates are Adult Present (AP).  Last time stream was surveyed was in 2004.</v>
          </cell>
          <cell r="T485">
            <v>7.666666666666667</v>
          </cell>
          <cell r="U485">
            <v>11.666666666666666</v>
          </cell>
          <cell r="V485"/>
          <cell r="W485" t="str">
            <v>NI</v>
          </cell>
        </row>
        <row r="486">
          <cell r="C486" t="str">
            <v>EASY CREEK_Chum</v>
          </cell>
          <cell r="D486" t="str">
            <v>No</v>
          </cell>
          <cell r="E486" t="str">
            <v>No</v>
          </cell>
          <cell r="F486">
            <v>26</v>
          </cell>
          <cell r="G486" t="str">
            <v>EASY CREEK</v>
          </cell>
          <cell r="H486" t="str">
            <v>Chum</v>
          </cell>
          <cell r="I486"/>
          <cell r="J486"/>
          <cell r="K486">
            <v>3</v>
          </cell>
          <cell r="L486">
            <v>10</v>
          </cell>
          <cell r="M486">
            <v>8</v>
          </cell>
          <cell r="N486">
            <v>1608.3980365363666</v>
          </cell>
          <cell r="O486">
            <v>12000</v>
          </cell>
          <cell r="P486">
            <v>1915.749787729156</v>
          </cell>
          <cell r="Q486"/>
          <cell r="R486"/>
          <cell r="S486" t="str">
            <v>Chum is the target species. 2 of the 8 estimates are Adult Present (AP).  Last time stream was surveyed was in 2004.</v>
          </cell>
          <cell r="T486">
            <v>196</v>
          </cell>
          <cell r="U486">
            <v>2370.8888888888887</v>
          </cell>
          <cell r="V486"/>
          <cell r="W486" t="str">
            <v>NI</v>
          </cell>
        </row>
        <row r="487">
          <cell r="C487" t="str">
            <v>EASY CREEK_Coho</v>
          </cell>
          <cell r="D487" t="str">
            <v>No</v>
          </cell>
          <cell r="E487" t="str">
            <v>No</v>
          </cell>
          <cell r="F487">
            <v>26</v>
          </cell>
          <cell r="G487" t="str">
            <v>EASY CREEK</v>
          </cell>
          <cell r="H487" t="str">
            <v>Coho</v>
          </cell>
          <cell r="I487"/>
          <cell r="J487"/>
          <cell r="K487">
            <v>3</v>
          </cell>
          <cell r="L487">
            <v>10</v>
          </cell>
          <cell r="M487">
            <v>7</v>
          </cell>
          <cell r="N487">
            <v>81.507587349123369</v>
          </cell>
          <cell r="O487">
            <v>1500</v>
          </cell>
          <cell r="P487">
            <v>103.98553219962241</v>
          </cell>
          <cell r="Q487"/>
          <cell r="R487"/>
          <cell r="S487" t="str">
            <v>Chum is the target species. 2 of the 7 estimates are Adult Present (AP).  Last time stream was surveyed was in 2004.</v>
          </cell>
          <cell r="T487">
            <v>53</v>
          </cell>
          <cell r="U487">
            <v>173</v>
          </cell>
          <cell r="V487"/>
          <cell r="W487" t="str">
            <v>NI</v>
          </cell>
        </row>
        <row r="488">
          <cell r="C488" t="str">
            <v>ELAINE CREEK_Chum</v>
          </cell>
          <cell r="D488" t="str">
            <v>No</v>
          </cell>
          <cell r="E488" t="str">
            <v>No</v>
          </cell>
          <cell r="F488">
            <v>26</v>
          </cell>
          <cell r="G488" t="str">
            <v>ELAINE CREEK</v>
          </cell>
          <cell r="H488" t="str">
            <v>Chum</v>
          </cell>
          <cell r="I488"/>
          <cell r="J488"/>
          <cell r="K488">
            <v>5</v>
          </cell>
          <cell r="L488">
            <v>4</v>
          </cell>
          <cell r="M488">
            <v>4</v>
          </cell>
          <cell r="N488">
            <v>182.37416686341621</v>
          </cell>
          <cell r="O488">
            <v>1600</v>
          </cell>
          <cell r="P488">
            <v>269.4270746035221</v>
          </cell>
          <cell r="Q488"/>
          <cell r="R488"/>
          <cell r="S488" t="str">
            <v>Chum is the target species. Last time stream was surveyed was in 2004.</v>
          </cell>
          <cell r="T488" t="e">
            <v>#DIV/0!</v>
          </cell>
          <cell r="U488" t="e">
            <v>#DIV/0!</v>
          </cell>
          <cell r="V488"/>
          <cell r="W488" t="str">
            <v>NI</v>
          </cell>
        </row>
        <row r="489">
          <cell r="C489" t="str">
            <v>ELAINE CREEK_Coho</v>
          </cell>
          <cell r="D489" t="str">
            <v>No</v>
          </cell>
          <cell r="E489" t="str">
            <v>No</v>
          </cell>
          <cell r="F489">
            <v>26</v>
          </cell>
          <cell r="G489" t="str">
            <v>ELAINE CREEK</v>
          </cell>
          <cell r="H489" t="str">
            <v>Coho</v>
          </cell>
          <cell r="I489"/>
          <cell r="J489"/>
          <cell r="K489">
            <v>5</v>
          </cell>
          <cell r="L489">
            <v>4</v>
          </cell>
          <cell r="M489">
            <v>0</v>
          </cell>
          <cell r="N489" t="e">
            <v>#NUM!</v>
          </cell>
          <cell r="O489">
            <v>400</v>
          </cell>
          <cell r="P489">
            <v>74.38689130822452</v>
          </cell>
          <cell r="Q489"/>
          <cell r="R489"/>
          <cell r="S489" t="str">
            <v>Chum is the target species. Last time stream was surveyed was in 2004.</v>
          </cell>
          <cell r="T489" t="e">
            <v>#DIV/0!</v>
          </cell>
          <cell r="U489" t="e">
            <v>#DIV/0!</v>
          </cell>
          <cell r="V489"/>
          <cell r="W489" t="str">
            <v>NI</v>
          </cell>
        </row>
        <row r="490">
          <cell r="C490" t="str">
            <v>JANSEN LAKE CREEK_Chum</v>
          </cell>
          <cell r="D490" t="str">
            <v>No</v>
          </cell>
          <cell r="E490" t="str">
            <v>No</v>
          </cell>
          <cell r="F490">
            <v>26</v>
          </cell>
          <cell r="G490" t="str">
            <v>JANSEN LAKE CREEK</v>
          </cell>
          <cell r="H490" t="str">
            <v>Chum</v>
          </cell>
          <cell r="I490"/>
          <cell r="J490"/>
          <cell r="K490">
            <v>3</v>
          </cell>
          <cell r="L490">
            <v>1</v>
          </cell>
          <cell r="M490">
            <v>0</v>
          </cell>
          <cell r="N490" t="e">
            <v>#NUM!</v>
          </cell>
          <cell r="O490">
            <v>750</v>
          </cell>
          <cell r="P490">
            <v>69.601492338469257</v>
          </cell>
          <cell r="Q490"/>
          <cell r="R490"/>
          <cell r="S490" t="str">
            <v>1996 is the only estimate we have for this stream and 3 coho was the only estimate made, no sockeye or chum were observed.</v>
          </cell>
          <cell r="T490" t="e">
            <v>#DIV/0!</v>
          </cell>
          <cell r="U490" t="e">
            <v>#DIV/0!</v>
          </cell>
          <cell r="V490"/>
          <cell r="W490" t="str">
            <v>NI</v>
          </cell>
        </row>
        <row r="491">
          <cell r="C491" t="str">
            <v>JANSEN LAKE CREEK_Coho</v>
          </cell>
          <cell r="D491" t="str">
            <v>No</v>
          </cell>
          <cell r="E491" t="str">
            <v>No</v>
          </cell>
          <cell r="F491">
            <v>26</v>
          </cell>
          <cell r="G491" t="str">
            <v>JANSEN LAKE CREEK</v>
          </cell>
          <cell r="H491" t="str">
            <v>Coho</v>
          </cell>
          <cell r="I491"/>
          <cell r="J491"/>
          <cell r="K491">
            <v>3</v>
          </cell>
          <cell r="L491">
            <v>1</v>
          </cell>
          <cell r="M491">
            <v>1</v>
          </cell>
          <cell r="N491">
            <v>3</v>
          </cell>
          <cell r="O491">
            <v>3500</v>
          </cell>
          <cell r="P491">
            <v>113.02487718206393</v>
          </cell>
          <cell r="Q491"/>
          <cell r="R491"/>
          <cell r="S491" t="str">
            <v>1996 is the only estimate we have for this stream and 3 coho was the only estimate made, no sockeye or chum were observed.</v>
          </cell>
          <cell r="T491" t="e">
            <v>#DIV/0!</v>
          </cell>
          <cell r="U491">
            <v>144.19999999999999</v>
          </cell>
          <cell r="V491"/>
          <cell r="W491" t="str">
            <v>NI</v>
          </cell>
        </row>
        <row r="492">
          <cell r="C492" t="str">
            <v>JANSEN LAKE CREEK_Sockeye</v>
          </cell>
          <cell r="D492" t="str">
            <v>No</v>
          </cell>
          <cell r="E492" t="str">
            <v>No</v>
          </cell>
          <cell r="F492">
            <v>26</v>
          </cell>
          <cell r="G492" t="str">
            <v>JANSEN LAKE CREEK</v>
          </cell>
          <cell r="H492" t="str">
            <v>Sockeye</v>
          </cell>
          <cell r="I492"/>
          <cell r="J492"/>
          <cell r="K492">
            <v>3</v>
          </cell>
          <cell r="L492">
            <v>1</v>
          </cell>
          <cell r="M492">
            <v>0</v>
          </cell>
          <cell r="N492" t="e">
            <v>#NUM!</v>
          </cell>
          <cell r="O492">
            <v>5000</v>
          </cell>
          <cell r="P492">
            <v>1508.4440982315039</v>
          </cell>
          <cell r="Q492"/>
          <cell r="R492"/>
          <cell r="S492" t="str">
            <v>1996 is the only estimate we have for this stream and 3 coho was the only estimate made, no sockeye or chum were observed.</v>
          </cell>
          <cell r="T492" t="e">
            <v>#DIV/0!</v>
          </cell>
          <cell r="U492" t="e">
            <v>#DIV/0!</v>
          </cell>
          <cell r="V492"/>
          <cell r="W492" t="str">
            <v>NI</v>
          </cell>
        </row>
        <row r="493">
          <cell r="C493" t="str">
            <v>KAOUK RIVER_Chinook</v>
          </cell>
          <cell r="D493" t="str">
            <v>Yes</v>
          </cell>
          <cell r="E493" t="str">
            <v>Yes</v>
          </cell>
          <cell r="F493">
            <v>26</v>
          </cell>
          <cell r="G493" t="str">
            <v>KAOUK RIVER</v>
          </cell>
          <cell r="H493" t="str">
            <v>Chinook</v>
          </cell>
          <cell r="I493"/>
          <cell r="J493"/>
          <cell r="K493">
            <v>2</v>
          </cell>
          <cell r="L493">
            <v>11</v>
          </cell>
          <cell r="M493">
            <v>11</v>
          </cell>
          <cell r="N493">
            <v>330.7918418102326</v>
          </cell>
          <cell r="O493">
            <v>3500</v>
          </cell>
          <cell r="P493">
            <v>239.75480102694783</v>
          </cell>
          <cell r="Q493" t="str">
            <v>A.  PSC Indicator stocks.</v>
          </cell>
          <cell r="R493"/>
          <cell r="S493" t="str">
            <v>Average Esc from 1995-2005 from file: NEW ESCAPEMENT INDEX.XLS</v>
          </cell>
          <cell r="T493">
            <v>420</v>
          </cell>
          <cell r="U493">
            <v>363.58333333333331</v>
          </cell>
          <cell r="V493"/>
          <cell r="W493">
            <v>739</v>
          </cell>
        </row>
        <row r="494">
          <cell r="C494" t="str">
            <v>KAOUK RIVER_Chum</v>
          </cell>
          <cell r="D494" t="str">
            <v>No</v>
          </cell>
          <cell r="E494" t="str">
            <v>No</v>
          </cell>
          <cell r="F494">
            <v>26</v>
          </cell>
          <cell r="G494" t="str">
            <v>KAOUK RIVER</v>
          </cell>
          <cell r="H494" t="str">
            <v>Chum</v>
          </cell>
          <cell r="I494"/>
          <cell r="J494"/>
          <cell r="K494">
            <v>2</v>
          </cell>
          <cell r="L494">
            <v>11</v>
          </cell>
          <cell r="M494">
            <v>11</v>
          </cell>
          <cell r="N494">
            <v>5201.4543317617909</v>
          </cell>
          <cell r="O494">
            <v>25940</v>
          </cell>
          <cell r="P494">
            <v>3421.9527891255811</v>
          </cell>
          <cell r="Q494" t="str">
            <v>A.  PSC Indicator stocks.</v>
          </cell>
          <cell r="R494"/>
          <cell r="S494" t="str">
            <v>Average Esc from 1995-2005 from file: NEW ESCAPEMENT INDEX.XLS</v>
          </cell>
          <cell r="T494">
            <v>2967.75</v>
          </cell>
          <cell r="U494">
            <v>6111.166666666667</v>
          </cell>
          <cell r="V494"/>
          <cell r="W494">
            <v>3764</v>
          </cell>
        </row>
        <row r="495">
          <cell r="C495" t="str">
            <v>KAOUK RIVER_Coho</v>
          </cell>
          <cell r="D495" t="str">
            <v>No</v>
          </cell>
          <cell r="E495" t="str">
            <v>No</v>
          </cell>
          <cell r="F495">
            <v>26</v>
          </cell>
          <cell r="G495" t="str">
            <v>KAOUK RIVER</v>
          </cell>
          <cell r="H495" t="str">
            <v>Coho</v>
          </cell>
          <cell r="I495"/>
          <cell r="J495"/>
          <cell r="K495">
            <v>2</v>
          </cell>
          <cell r="L495">
            <v>11</v>
          </cell>
          <cell r="M495">
            <v>11</v>
          </cell>
          <cell r="N495">
            <v>1611.8742189403451</v>
          </cell>
          <cell r="O495">
            <v>5077</v>
          </cell>
          <cell r="P495">
            <v>740.70010116189792</v>
          </cell>
          <cell r="Q495" t="str">
            <v>A.  PSC Indicator stocks.</v>
          </cell>
          <cell r="R495"/>
          <cell r="S495" t="str">
            <v>Average Esc from 1995-2005 from file: NEW ESCAPEMENT INDEX.XLS</v>
          </cell>
          <cell r="T495">
            <v>2988</v>
          </cell>
          <cell r="U495">
            <v>2814.8333333333335</v>
          </cell>
          <cell r="V495"/>
          <cell r="W495">
            <v>4765</v>
          </cell>
        </row>
        <row r="496">
          <cell r="C496" t="str">
            <v>KAOUK RIVER_Pink</v>
          </cell>
          <cell r="D496" t="str">
            <v>No</v>
          </cell>
          <cell r="E496" t="str">
            <v>No</v>
          </cell>
          <cell r="F496">
            <v>26</v>
          </cell>
          <cell r="G496" t="str">
            <v>KAOUK RIVER</v>
          </cell>
          <cell r="H496" t="str">
            <v>Pink</v>
          </cell>
          <cell r="I496"/>
          <cell r="J496"/>
          <cell r="K496">
            <v>2</v>
          </cell>
          <cell r="L496">
            <v>11</v>
          </cell>
          <cell r="M496">
            <v>7</v>
          </cell>
          <cell r="N496">
            <v>3.9620182380484676</v>
          </cell>
          <cell r="O496">
            <v>75000</v>
          </cell>
          <cell r="P496">
            <v>295.36516445643667</v>
          </cell>
          <cell r="Q496" t="str">
            <v>A.  PSC Indicator stocks.</v>
          </cell>
          <cell r="R496"/>
          <cell r="S496"/>
          <cell r="T496">
            <v>4</v>
          </cell>
          <cell r="U496">
            <v>5.666666666666667</v>
          </cell>
          <cell r="V496"/>
          <cell r="W496" t="str">
            <v>NO</v>
          </cell>
        </row>
        <row r="497">
          <cell r="C497" t="str">
            <v>KAOUK RIVER_Sockeye</v>
          </cell>
          <cell r="D497" t="str">
            <v>No</v>
          </cell>
          <cell r="E497" t="str">
            <v>No</v>
          </cell>
          <cell r="F497">
            <v>26</v>
          </cell>
          <cell r="G497" t="str">
            <v>KAOUK RIVER</v>
          </cell>
          <cell r="H497" t="str">
            <v>Sockeye</v>
          </cell>
          <cell r="I497"/>
          <cell r="J497"/>
          <cell r="K497">
            <v>2</v>
          </cell>
          <cell r="L497">
            <v>11</v>
          </cell>
          <cell r="M497">
            <v>10</v>
          </cell>
          <cell r="N497">
            <v>26.672348996468944</v>
          </cell>
          <cell r="O497">
            <v>534</v>
          </cell>
          <cell r="P497">
            <v>33.681471195692303</v>
          </cell>
          <cell r="Q497" t="str">
            <v>A.  PSC Indicator stocks.</v>
          </cell>
          <cell r="R497"/>
          <cell r="S497"/>
          <cell r="T497">
            <v>26.25</v>
          </cell>
          <cell r="U497">
            <v>63.083333333333336</v>
          </cell>
          <cell r="V497"/>
          <cell r="W497">
            <v>25</v>
          </cell>
        </row>
        <row r="498">
          <cell r="C498" t="str">
            <v>KASHUTL RIVER_Chinook</v>
          </cell>
          <cell r="D498" t="str">
            <v>No</v>
          </cell>
          <cell r="E498" t="str">
            <v>No</v>
          </cell>
          <cell r="F498">
            <v>26</v>
          </cell>
          <cell r="G498" t="str">
            <v>KASHUTL RIVER</v>
          </cell>
          <cell r="H498" t="str">
            <v>Chinook</v>
          </cell>
          <cell r="I498"/>
          <cell r="J498"/>
          <cell r="K498">
            <v>3</v>
          </cell>
          <cell r="L498">
            <v>10</v>
          </cell>
          <cell r="M498">
            <v>6</v>
          </cell>
          <cell r="N498">
            <v>48.989794855663561</v>
          </cell>
          <cell r="O498">
            <v>75</v>
          </cell>
          <cell r="P498">
            <v>28.862735021655563</v>
          </cell>
          <cell r="Q498" t="str">
            <v>D.  Other systems surveyed extensively since 1995.  Not included with group (C) or (B) due to irregular surveys (ie not every year) or due to extremely low total adult escapement</v>
          </cell>
          <cell r="R498"/>
          <cell r="S498" t="str">
            <v>3 of the 6 estimates are Adult Present (AP).  2004 was the last time this stream was surveyed.</v>
          </cell>
          <cell r="T498">
            <v>1</v>
          </cell>
          <cell r="U498">
            <v>2.8</v>
          </cell>
          <cell r="V498"/>
          <cell r="W498" t="str">
            <v>NI</v>
          </cell>
        </row>
        <row r="499">
          <cell r="C499" t="str">
            <v>KASHUTL RIVER_Chum</v>
          </cell>
          <cell r="D499" t="str">
            <v>No</v>
          </cell>
          <cell r="E499" t="str">
            <v>No</v>
          </cell>
          <cell r="F499">
            <v>26</v>
          </cell>
          <cell r="G499" t="str">
            <v>KASHUTL RIVER</v>
          </cell>
          <cell r="H499" t="str">
            <v>Chum</v>
          </cell>
          <cell r="I499"/>
          <cell r="J499"/>
          <cell r="K499">
            <v>3</v>
          </cell>
          <cell r="L499">
            <v>10</v>
          </cell>
          <cell r="M499">
            <v>10</v>
          </cell>
          <cell r="N499">
            <v>1744.528730325924</v>
          </cell>
          <cell r="O499">
            <v>19000</v>
          </cell>
          <cell r="P499">
            <v>2583.8663635856092</v>
          </cell>
          <cell r="Q499" t="str">
            <v>D.  Other systems surveyed extensively since 1995.  Not included with group (C) or (B) due to irregular surveys (ie not every year) or due to extremely low total adult escapement</v>
          </cell>
          <cell r="R499"/>
          <cell r="S499" t="str">
            <v>2 of the 10 estimates are Adult Present (AP).  2004 was the last time this stream was surveyed.</v>
          </cell>
          <cell r="T499">
            <v>97</v>
          </cell>
          <cell r="U499">
            <v>1674.3</v>
          </cell>
          <cell r="V499"/>
          <cell r="W499" t="str">
            <v>NI</v>
          </cell>
        </row>
        <row r="500">
          <cell r="C500" t="str">
            <v>KASHUTL RIVER_Coho</v>
          </cell>
          <cell r="D500" t="str">
            <v>No</v>
          </cell>
          <cell r="E500" t="str">
            <v>No</v>
          </cell>
          <cell r="F500">
            <v>26</v>
          </cell>
          <cell r="G500" t="str">
            <v>KASHUTL RIVER</v>
          </cell>
          <cell r="H500" t="str">
            <v>Coho</v>
          </cell>
          <cell r="I500"/>
          <cell r="J500"/>
          <cell r="K500">
            <v>3</v>
          </cell>
          <cell r="L500">
            <v>10</v>
          </cell>
          <cell r="M500">
            <v>9</v>
          </cell>
          <cell r="N500">
            <v>84.081801705198231</v>
          </cell>
          <cell r="O500">
            <v>1500</v>
          </cell>
          <cell r="P500">
            <v>98.010895274563993</v>
          </cell>
          <cell r="Q500" t="str">
            <v>D.  Other systems surveyed extensively since 1995.  Not included with group (C) or (B) due to irregular surveys (ie not every year) or due to extremely low total adult escapement</v>
          </cell>
          <cell r="R500"/>
          <cell r="S500" t="str">
            <v>2 of the 9 estimates are Adult Present (AP).  2004 was the last time this stream was surveyed.</v>
          </cell>
          <cell r="T500">
            <v>103</v>
          </cell>
          <cell r="U500">
            <v>189.8</v>
          </cell>
          <cell r="V500"/>
          <cell r="W500" t="str">
            <v>NI</v>
          </cell>
        </row>
        <row r="501">
          <cell r="C501" t="str">
            <v>KASHUTL RIVER_Sockeye</v>
          </cell>
          <cell r="D501" t="str">
            <v>No</v>
          </cell>
          <cell r="E501" t="str">
            <v>No</v>
          </cell>
          <cell r="F501">
            <v>26</v>
          </cell>
          <cell r="G501" t="str">
            <v>KASHUTL RIVER</v>
          </cell>
          <cell r="H501" t="str">
            <v>Sockeye</v>
          </cell>
          <cell r="I501"/>
          <cell r="J501"/>
          <cell r="K501">
            <v>3</v>
          </cell>
          <cell r="L501">
            <v>10</v>
          </cell>
          <cell r="M501">
            <v>4</v>
          </cell>
          <cell r="N501">
            <v>12.12309302805974</v>
          </cell>
          <cell r="O501">
            <v>150</v>
          </cell>
          <cell r="P501">
            <v>17.196088028966763</v>
          </cell>
          <cell r="Q501" t="str">
            <v>D.  Other systems surveyed extensively since 1995.  Not included with group (C) or (B) due to irregular surveys (ie not every year) or due to extremely low total adult escapement</v>
          </cell>
          <cell r="R501"/>
          <cell r="S501" t="str">
            <v>2004 was the last time this stream was surveyed.</v>
          </cell>
          <cell r="T501">
            <v>3</v>
          </cell>
          <cell r="U501">
            <v>17.75</v>
          </cell>
          <cell r="V501"/>
          <cell r="W501" t="str">
            <v>NI</v>
          </cell>
        </row>
        <row r="502">
          <cell r="C502" t="str">
            <v>KAUWINCH RIVER_Chinook</v>
          </cell>
          <cell r="D502" t="str">
            <v>No</v>
          </cell>
          <cell r="E502" t="str">
            <v>No</v>
          </cell>
          <cell r="F502">
            <v>26</v>
          </cell>
          <cell r="G502" t="str">
            <v>KAUWINCH RIVER</v>
          </cell>
          <cell r="H502" t="str">
            <v>Chinook</v>
          </cell>
          <cell r="I502"/>
          <cell r="J502"/>
          <cell r="K502">
            <v>3</v>
          </cell>
          <cell r="L502">
            <v>10</v>
          </cell>
          <cell r="M502">
            <v>7</v>
          </cell>
          <cell r="N502">
            <v>12.773084445875398</v>
          </cell>
          <cell r="O502">
            <v>750</v>
          </cell>
          <cell r="P502">
            <v>51.178212576367493</v>
          </cell>
          <cell r="Q502"/>
          <cell r="R502"/>
          <cell r="S502" t="str">
            <v>2 of the 7 estimates were Adult Present (AP).  2004 was the last time this stream was surveyed.</v>
          </cell>
          <cell r="T502">
            <v>17</v>
          </cell>
          <cell r="U502">
            <v>109.66666666666667</v>
          </cell>
          <cell r="V502"/>
          <cell r="W502" t="str">
            <v>NI</v>
          </cell>
        </row>
        <row r="503">
          <cell r="C503" t="str">
            <v>KAUWINCH RIVER_Chum</v>
          </cell>
          <cell r="D503" t="str">
            <v>No</v>
          </cell>
          <cell r="E503" t="str">
            <v>No</v>
          </cell>
          <cell r="F503">
            <v>26</v>
          </cell>
          <cell r="G503" t="str">
            <v>KAUWINCH RIVER</v>
          </cell>
          <cell r="H503" t="str">
            <v>Chum</v>
          </cell>
          <cell r="I503"/>
          <cell r="J503"/>
          <cell r="K503">
            <v>3</v>
          </cell>
          <cell r="L503">
            <v>10</v>
          </cell>
          <cell r="M503">
            <v>10</v>
          </cell>
          <cell r="N503">
            <v>1819.8806427492545</v>
          </cell>
          <cell r="O503">
            <v>25000</v>
          </cell>
          <cell r="P503">
            <v>2910.8208861024609</v>
          </cell>
          <cell r="Q503"/>
          <cell r="R503"/>
          <cell r="S503" t="str">
            <v>2 of the 10 estimates were Adult Present (AP).  2004 was the last time this stream was surveyed.</v>
          </cell>
          <cell r="T503">
            <v>506</v>
          </cell>
          <cell r="U503">
            <v>1441.090909090909</v>
          </cell>
          <cell r="V503"/>
          <cell r="W503" t="str">
            <v>NI</v>
          </cell>
        </row>
        <row r="504">
          <cell r="C504" t="str">
            <v>KAUWINCH RIVER_Coho</v>
          </cell>
          <cell r="D504" t="str">
            <v>No</v>
          </cell>
          <cell r="E504" t="str">
            <v>No</v>
          </cell>
          <cell r="F504">
            <v>26</v>
          </cell>
          <cell r="G504" t="str">
            <v>KAUWINCH RIVER</v>
          </cell>
          <cell r="H504" t="str">
            <v>Coho</v>
          </cell>
          <cell r="I504"/>
          <cell r="J504"/>
          <cell r="K504">
            <v>3</v>
          </cell>
          <cell r="L504">
            <v>10</v>
          </cell>
          <cell r="M504">
            <v>7</v>
          </cell>
          <cell r="N504">
            <v>234.37154188808097</v>
          </cell>
          <cell r="O504">
            <v>1500</v>
          </cell>
          <cell r="P504">
            <v>252.00057935065101</v>
          </cell>
          <cell r="Q504"/>
          <cell r="R504"/>
          <cell r="S504" t="str">
            <v>1 of the 7 estimates were Adult Present (AP).  2004 was the last time this stream was surveyed.</v>
          </cell>
          <cell r="T504">
            <v>74.333333333333329</v>
          </cell>
          <cell r="U504">
            <v>973.4545454545455</v>
          </cell>
          <cell r="V504"/>
          <cell r="W504" t="str">
            <v>NI</v>
          </cell>
        </row>
        <row r="505">
          <cell r="C505" t="str">
            <v>KAUWINCH RIVER_Sockeye</v>
          </cell>
          <cell r="D505" t="str">
            <v>No</v>
          </cell>
          <cell r="E505" t="str">
            <v>No</v>
          </cell>
          <cell r="F505">
            <v>26</v>
          </cell>
          <cell r="G505" t="str">
            <v>KAUWINCH RIVER</v>
          </cell>
          <cell r="H505" t="str">
            <v>Sockeye</v>
          </cell>
          <cell r="I505"/>
          <cell r="J505"/>
          <cell r="K505">
            <v>3</v>
          </cell>
          <cell r="L505">
            <v>10</v>
          </cell>
          <cell r="M505">
            <v>2</v>
          </cell>
          <cell r="N505">
            <v>20</v>
          </cell>
          <cell r="O505">
            <v>100</v>
          </cell>
          <cell r="P505">
            <v>36.840314986403868</v>
          </cell>
          <cell r="Q505"/>
          <cell r="R505"/>
          <cell r="S505" t="str">
            <v>1 of the 2 estimates are Adult Present (AP).  2004 was the last time this stream was surveyed.</v>
          </cell>
          <cell r="T505">
            <v>3</v>
          </cell>
          <cell r="U505">
            <v>21.857142857142858</v>
          </cell>
          <cell r="V505"/>
          <cell r="W505" t="str">
            <v>NI</v>
          </cell>
        </row>
        <row r="506">
          <cell r="C506" t="str">
            <v>MALKSOPE RIVER_Chinook</v>
          </cell>
          <cell r="D506" t="str">
            <v>No</v>
          </cell>
          <cell r="E506" t="str">
            <v>No</v>
          </cell>
          <cell r="F506">
            <v>26</v>
          </cell>
          <cell r="G506" t="str">
            <v>MALKSOPE RIVER</v>
          </cell>
          <cell r="H506" t="str">
            <v>Chinook</v>
          </cell>
          <cell r="I506"/>
          <cell r="J506"/>
          <cell r="K506">
            <v>3</v>
          </cell>
          <cell r="L506">
            <v>7</v>
          </cell>
          <cell r="M506">
            <v>7</v>
          </cell>
          <cell r="N506">
            <v>6.9253727724466625</v>
          </cell>
          <cell r="O506">
            <v>400</v>
          </cell>
          <cell r="P506">
            <v>42.373755333778</v>
          </cell>
          <cell r="Q506" t="str">
            <v>D.  Other systems surveyed extensively since 1995.  Not included with group (C) or (B) due to irregular surveys (ie not every year) or due to extremely low total adult escapement</v>
          </cell>
          <cell r="R506"/>
          <cell r="S506" t="str">
            <v>2 of the 7 estimates are Adult Present (AP).  2003 was the last time this stream was surveyed.</v>
          </cell>
          <cell r="T506">
            <v>18.25</v>
          </cell>
          <cell r="U506">
            <v>21.833333333333332</v>
          </cell>
          <cell r="V506"/>
          <cell r="W506">
            <v>26</v>
          </cell>
        </row>
        <row r="507">
          <cell r="C507" t="str">
            <v>MALKSOPE RIVER_Chum</v>
          </cell>
          <cell r="D507" t="str">
            <v>No</v>
          </cell>
          <cell r="E507" t="str">
            <v>No</v>
          </cell>
          <cell r="F507">
            <v>26</v>
          </cell>
          <cell r="G507" t="str">
            <v>MALKSOPE RIVER</v>
          </cell>
          <cell r="H507" t="str">
            <v>Chum</v>
          </cell>
          <cell r="I507"/>
          <cell r="J507"/>
          <cell r="K507">
            <v>3</v>
          </cell>
          <cell r="L507">
            <v>7</v>
          </cell>
          <cell r="M507">
            <v>7</v>
          </cell>
          <cell r="N507">
            <v>2967.4694438319425</v>
          </cell>
          <cell r="O507">
            <v>35000</v>
          </cell>
          <cell r="P507">
            <v>4932.1979830157197</v>
          </cell>
          <cell r="Q507" t="str">
            <v>D.  Other systems surveyed extensively since 1995.  Not included with group (C) or (B) due to irregular surveys (ie not every year) or due to extremely low total adult escapement</v>
          </cell>
          <cell r="R507"/>
          <cell r="S507" t="str">
            <v>2 of the 7 estimates are Adult Present (AP).  2003 was the last time this stream was surveyed.</v>
          </cell>
          <cell r="T507">
            <v>2624.5</v>
          </cell>
          <cell r="U507">
            <v>5747.75</v>
          </cell>
          <cell r="V507"/>
          <cell r="W507">
            <v>2749</v>
          </cell>
        </row>
        <row r="508">
          <cell r="C508" t="str">
            <v>MALKSOPE RIVER_Coho</v>
          </cell>
          <cell r="D508" t="str">
            <v>No</v>
          </cell>
          <cell r="E508" t="str">
            <v>No</v>
          </cell>
          <cell r="F508">
            <v>26</v>
          </cell>
          <cell r="G508" t="str">
            <v>MALKSOPE RIVER</v>
          </cell>
          <cell r="H508" t="str">
            <v>Coho</v>
          </cell>
          <cell r="I508"/>
          <cell r="J508"/>
          <cell r="K508">
            <v>3</v>
          </cell>
          <cell r="L508">
            <v>7</v>
          </cell>
          <cell r="M508">
            <v>7</v>
          </cell>
          <cell r="N508">
            <v>353.14062204727588</v>
          </cell>
          <cell r="O508">
            <v>3500</v>
          </cell>
          <cell r="P508">
            <v>345.68586648255172</v>
          </cell>
          <cell r="Q508" t="str">
            <v>D.  Other systems surveyed extensively since 1995.  Not included with group (C) or (B) due to irregular surveys (ie not every year) or due to extremely low total adult escapement</v>
          </cell>
          <cell r="R508"/>
          <cell r="S508" t="str">
            <v>2 of the 7 estimates are Adult Present (AP).  2003 was the last time this stream was surveyed.</v>
          </cell>
          <cell r="T508">
            <v>991.5</v>
          </cell>
          <cell r="U508">
            <v>1851.6666666666667</v>
          </cell>
          <cell r="V508"/>
          <cell r="W508">
            <v>1319</v>
          </cell>
        </row>
        <row r="509">
          <cell r="C509" t="str">
            <v>MALKSOPE RIVER_Sockeye</v>
          </cell>
          <cell r="D509" t="str">
            <v>No</v>
          </cell>
          <cell r="E509" t="str">
            <v>No</v>
          </cell>
          <cell r="F509">
            <v>26</v>
          </cell>
          <cell r="G509" t="str">
            <v>MALKSOPE RIVER</v>
          </cell>
          <cell r="H509" t="str">
            <v>Sockeye</v>
          </cell>
          <cell r="I509"/>
          <cell r="J509"/>
          <cell r="K509">
            <v>3</v>
          </cell>
          <cell r="L509"/>
          <cell r="M509"/>
          <cell r="N509" t="e">
            <v>#NUM!</v>
          </cell>
          <cell r="O509">
            <v>0</v>
          </cell>
          <cell r="P509" t="e">
            <v>#NUM!</v>
          </cell>
          <cell r="Q509" t="str">
            <v>D.  Other systems surveyed extensively since 1995.  Not included with group (C) or (B) due to irregular surveys (ie not every year) or due to extremely low total adult escapement</v>
          </cell>
          <cell r="R509"/>
          <cell r="S509"/>
          <cell r="T509">
            <v>8.5</v>
          </cell>
          <cell r="U509">
            <v>8.3333333333333339</v>
          </cell>
          <cell r="V509"/>
          <cell r="W509">
            <v>14</v>
          </cell>
        </row>
        <row r="510">
          <cell r="C510" t="str">
            <v>MCKAY COVE CREEK_Chinook</v>
          </cell>
          <cell r="D510" t="str">
            <v>No</v>
          </cell>
          <cell r="E510" t="str">
            <v>No</v>
          </cell>
          <cell r="F510">
            <v>26</v>
          </cell>
          <cell r="G510" t="str">
            <v>MCKAY COVE CREEK</v>
          </cell>
          <cell r="H510" t="str">
            <v>Chinook</v>
          </cell>
          <cell r="I510"/>
          <cell r="J510"/>
          <cell r="K510"/>
          <cell r="L510"/>
          <cell r="M510"/>
          <cell r="N510"/>
          <cell r="O510"/>
          <cell r="P510"/>
          <cell r="Q510"/>
          <cell r="R510"/>
          <cell r="S510"/>
          <cell r="T510" t="e">
            <v>#DIV/0!</v>
          </cell>
          <cell r="U510" t="e">
            <v>#DIV/0!</v>
          </cell>
          <cell r="V510"/>
          <cell r="W510" t="str">
            <v>NI</v>
          </cell>
        </row>
        <row r="511">
          <cell r="C511" t="str">
            <v>MCKAY COVE CREEK_Chum</v>
          </cell>
          <cell r="D511" t="str">
            <v>No</v>
          </cell>
          <cell r="E511" t="str">
            <v>No</v>
          </cell>
          <cell r="F511">
            <v>26</v>
          </cell>
          <cell r="G511" t="str">
            <v>MCKAY COVE CREEK</v>
          </cell>
          <cell r="H511" t="str">
            <v>Chum</v>
          </cell>
          <cell r="I511"/>
          <cell r="J511"/>
          <cell r="K511"/>
          <cell r="L511"/>
          <cell r="M511"/>
          <cell r="N511"/>
          <cell r="O511"/>
          <cell r="P511"/>
          <cell r="Q511"/>
          <cell r="R511"/>
          <cell r="S511"/>
          <cell r="T511" t="e">
            <v>#DIV/0!</v>
          </cell>
          <cell r="U511" t="e">
            <v>#DIV/0!</v>
          </cell>
          <cell r="V511"/>
          <cell r="W511" t="str">
            <v>NI</v>
          </cell>
        </row>
        <row r="512">
          <cell r="C512" t="str">
            <v>MCKAY COVE CREEK_Coho</v>
          </cell>
          <cell r="D512" t="str">
            <v>No</v>
          </cell>
          <cell r="E512" t="str">
            <v>No</v>
          </cell>
          <cell r="F512">
            <v>26</v>
          </cell>
          <cell r="G512" t="str">
            <v>MCKAY COVE CREEK</v>
          </cell>
          <cell r="H512" t="str">
            <v>Coho</v>
          </cell>
          <cell r="I512"/>
          <cell r="J512"/>
          <cell r="K512"/>
          <cell r="L512"/>
          <cell r="M512"/>
          <cell r="N512"/>
          <cell r="O512"/>
          <cell r="P512"/>
          <cell r="Q512"/>
          <cell r="R512"/>
          <cell r="S512"/>
          <cell r="T512" t="e">
            <v>#DIV/0!</v>
          </cell>
          <cell r="U512" t="e">
            <v>#DIV/0!</v>
          </cell>
          <cell r="V512"/>
          <cell r="W512" t="str">
            <v>NI</v>
          </cell>
        </row>
        <row r="513">
          <cell r="C513" t="str">
            <v>NARROWGUT CREEK_Chinook</v>
          </cell>
          <cell r="D513" t="str">
            <v>No</v>
          </cell>
          <cell r="E513" t="str">
            <v>No</v>
          </cell>
          <cell r="F513">
            <v>26</v>
          </cell>
          <cell r="G513" t="str">
            <v>NARROWGUT CREEK</v>
          </cell>
          <cell r="H513" t="str">
            <v>Chinook</v>
          </cell>
          <cell r="I513"/>
          <cell r="J513"/>
          <cell r="K513">
            <v>3</v>
          </cell>
          <cell r="L513">
            <v>7</v>
          </cell>
          <cell r="M513">
            <v>2</v>
          </cell>
          <cell r="N513">
            <v>4.8989794855663558</v>
          </cell>
          <cell r="O513">
            <v>200</v>
          </cell>
          <cell r="P513">
            <v>24.497146846178467</v>
          </cell>
          <cell r="Q513"/>
          <cell r="R513"/>
          <cell r="S513" t="str">
            <v>Last surveyed in 2004.</v>
          </cell>
          <cell r="T513" t="e">
            <v>#DIV/0!</v>
          </cell>
          <cell r="U513">
            <v>2</v>
          </cell>
          <cell r="V513"/>
          <cell r="W513" t="str">
            <v>NI</v>
          </cell>
        </row>
        <row r="514">
          <cell r="C514" t="str">
            <v>NARROWGUT CREEK_Chum</v>
          </cell>
          <cell r="D514" t="str">
            <v>No</v>
          </cell>
          <cell r="E514" t="str">
            <v>No</v>
          </cell>
          <cell r="F514">
            <v>26</v>
          </cell>
          <cell r="G514" t="str">
            <v>NARROWGUT CREEK</v>
          </cell>
          <cell r="H514" t="str">
            <v>Chum</v>
          </cell>
          <cell r="I514"/>
          <cell r="J514"/>
          <cell r="K514">
            <v>3</v>
          </cell>
          <cell r="L514">
            <v>7</v>
          </cell>
          <cell r="M514">
            <v>7</v>
          </cell>
          <cell r="N514">
            <v>1773.8373674478664</v>
          </cell>
          <cell r="O514">
            <v>13400</v>
          </cell>
          <cell r="P514">
            <v>1799.3227366112374</v>
          </cell>
          <cell r="Q514"/>
          <cell r="R514"/>
          <cell r="S514" t="str">
            <v>2 of the 7 estimates was Adult Present (AP). Last surveyed in 2004.</v>
          </cell>
          <cell r="T514" t="e">
            <v>#DIV/0!</v>
          </cell>
          <cell r="U514">
            <v>1658.25</v>
          </cell>
          <cell r="V514"/>
          <cell r="W514" t="str">
            <v>NI</v>
          </cell>
        </row>
        <row r="515">
          <cell r="C515" t="str">
            <v>NARROWGUT CREEK_Coho</v>
          </cell>
          <cell r="D515" t="str">
            <v>No</v>
          </cell>
          <cell r="E515" t="str">
            <v>No</v>
          </cell>
          <cell r="F515">
            <v>26</v>
          </cell>
          <cell r="G515" t="str">
            <v>NARROWGUT CREEK</v>
          </cell>
          <cell r="H515" t="str">
            <v>Coho</v>
          </cell>
          <cell r="I515"/>
          <cell r="J515"/>
          <cell r="K515">
            <v>3</v>
          </cell>
          <cell r="L515">
            <v>7</v>
          </cell>
          <cell r="M515">
            <v>6</v>
          </cell>
          <cell r="N515">
            <v>277.97252721393818</v>
          </cell>
          <cell r="O515">
            <v>1055</v>
          </cell>
          <cell r="P515">
            <v>167.82338628421851</v>
          </cell>
          <cell r="Q515"/>
          <cell r="R515"/>
          <cell r="S515" t="str">
            <v>2 of the 6 estimates was Adult Present (AP). Last surveyed in 2004.</v>
          </cell>
          <cell r="T515" t="e">
            <v>#DIV/0!</v>
          </cell>
          <cell r="U515">
            <v>313.8</v>
          </cell>
          <cell r="V515"/>
          <cell r="W515" t="str">
            <v>NI</v>
          </cell>
        </row>
        <row r="516">
          <cell r="C516" t="str">
            <v>NARROWGUT CREEK_Sockeye</v>
          </cell>
          <cell r="D516" t="str">
            <v>No</v>
          </cell>
          <cell r="E516" t="str">
            <v>No</v>
          </cell>
          <cell r="F516">
            <v>26</v>
          </cell>
          <cell r="G516" t="str">
            <v>NARROWGUT CREEK</v>
          </cell>
          <cell r="H516" t="str">
            <v>Sockeye</v>
          </cell>
          <cell r="I516"/>
          <cell r="J516"/>
          <cell r="K516">
            <v>3</v>
          </cell>
          <cell r="L516">
            <v>7</v>
          </cell>
          <cell r="M516">
            <v>3</v>
          </cell>
          <cell r="N516">
            <v>70.710678118654755</v>
          </cell>
          <cell r="O516">
            <v>200</v>
          </cell>
          <cell r="P516">
            <v>36.936397939434613</v>
          </cell>
          <cell r="Q516"/>
          <cell r="R516"/>
          <cell r="S516" t="str">
            <v>1 of the 3 estimates was Adult Present (AP). Last surveyed in 2004.</v>
          </cell>
          <cell r="T516" t="e">
            <v>#DIV/0!</v>
          </cell>
          <cell r="U516" t="e">
            <v>#DIV/0!</v>
          </cell>
          <cell r="V516"/>
          <cell r="W516" t="str">
            <v>NI</v>
          </cell>
        </row>
        <row r="517">
          <cell r="C517" t="str">
            <v>NASPARTI RIVER_Chum</v>
          </cell>
          <cell r="D517" t="str">
            <v>No</v>
          </cell>
          <cell r="E517" t="str">
            <v>No</v>
          </cell>
          <cell r="F517">
            <v>26</v>
          </cell>
          <cell r="G517" t="str">
            <v>NASPARTI RIVER</v>
          </cell>
          <cell r="H517" t="str">
            <v>Chum</v>
          </cell>
          <cell r="I517"/>
          <cell r="J517"/>
          <cell r="K517"/>
          <cell r="L517"/>
          <cell r="M517"/>
          <cell r="N517"/>
          <cell r="O517"/>
          <cell r="P517"/>
          <cell r="Q517"/>
          <cell r="R517"/>
          <cell r="S517"/>
          <cell r="T517" t="e">
            <v>#DIV/0!</v>
          </cell>
          <cell r="U517" t="e">
            <v>#DIV/0!</v>
          </cell>
          <cell r="V517"/>
          <cell r="W517" t="str">
            <v>NI</v>
          </cell>
        </row>
        <row r="518">
          <cell r="C518" t="str">
            <v>NASPARTI RIVER_Coho</v>
          </cell>
          <cell r="D518" t="str">
            <v>No</v>
          </cell>
          <cell r="E518" t="str">
            <v>No</v>
          </cell>
          <cell r="F518">
            <v>26</v>
          </cell>
          <cell r="G518" t="str">
            <v>NASPARTI RIVER</v>
          </cell>
          <cell r="H518" t="str">
            <v>Coho</v>
          </cell>
          <cell r="I518"/>
          <cell r="J518"/>
          <cell r="K518"/>
          <cell r="L518"/>
          <cell r="M518"/>
          <cell r="N518"/>
          <cell r="O518"/>
          <cell r="P518"/>
          <cell r="Q518"/>
          <cell r="R518"/>
          <cell r="S518"/>
          <cell r="T518" t="e">
            <v>#DIV/0!</v>
          </cell>
          <cell r="U518" t="e">
            <v>#DIV/0!</v>
          </cell>
          <cell r="V518"/>
          <cell r="W518" t="str">
            <v>NI</v>
          </cell>
        </row>
        <row r="519">
          <cell r="C519" t="str">
            <v>OUOUKINSH RIVER_Chinook</v>
          </cell>
          <cell r="D519" t="str">
            <v>No</v>
          </cell>
          <cell r="E519" t="str">
            <v>No</v>
          </cell>
          <cell r="F519">
            <v>26</v>
          </cell>
          <cell r="G519" t="str">
            <v>OUOUKINSH RIVER</v>
          </cell>
          <cell r="H519" t="str">
            <v>Chinook</v>
          </cell>
          <cell r="I519"/>
          <cell r="J519"/>
          <cell r="K519">
            <v>5</v>
          </cell>
          <cell r="L519">
            <v>4</v>
          </cell>
          <cell r="M519">
            <v>4</v>
          </cell>
          <cell r="N519">
            <v>20.082988502465085</v>
          </cell>
          <cell r="O519">
            <v>400</v>
          </cell>
          <cell r="P519">
            <v>57.884640129844676</v>
          </cell>
          <cell r="Q519"/>
          <cell r="R519"/>
          <cell r="S519" t="str">
            <v>1 of the 4 estimates are Adult Present (AP).  Last surveyed in 2002.</v>
          </cell>
          <cell r="T519">
            <v>30</v>
          </cell>
          <cell r="U519">
            <v>18.5</v>
          </cell>
          <cell r="V519"/>
          <cell r="W519" t="str">
            <v>NI</v>
          </cell>
        </row>
        <row r="520">
          <cell r="C520" t="str">
            <v>OUOUKINSH RIVER_Chum</v>
          </cell>
          <cell r="D520" t="str">
            <v>No</v>
          </cell>
          <cell r="E520" t="str">
            <v>No</v>
          </cell>
          <cell r="F520">
            <v>26</v>
          </cell>
          <cell r="G520" t="str">
            <v>OUOUKINSH RIVER</v>
          </cell>
          <cell r="H520" t="str">
            <v>Chum</v>
          </cell>
          <cell r="I520"/>
          <cell r="J520"/>
          <cell r="K520">
            <v>5</v>
          </cell>
          <cell r="L520">
            <v>4</v>
          </cell>
          <cell r="M520">
            <v>4</v>
          </cell>
          <cell r="N520">
            <v>2534.0410457344669</v>
          </cell>
          <cell r="O520">
            <v>15000</v>
          </cell>
          <cell r="P520">
            <v>1946.7765352086217</v>
          </cell>
          <cell r="Q520"/>
          <cell r="R520"/>
          <cell r="S520" t="str">
            <v>1 of the 4 estimates are Adult Present (AP).  Last surveyed in 2002.</v>
          </cell>
          <cell r="T520">
            <v>456</v>
          </cell>
          <cell r="U520">
            <v>5451</v>
          </cell>
          <cell r="V520"/>
          <cell r="W520" t="str">
            <v>NI</v>
          </cell>
        </row>
        <row r="521">
          <cell r="C521" t="str">
            <v>OUOUKINSH RIVER_Coho</v>
          </cell>
          <cell r="D521" t="str">
            <v>No</v>
          </cell>
          <cell r="E521" t="str">
            <v>No</v>
          </cell>
          <cell r="F521">
            <v>26</v>
          </cell>
          <cell r="G521" t="str">
            <v>OUOUKINSH RIVER</v>
          </cell>
          <cell r="H521" t="str">
            <v>Coho</v>
          </cell>
          <cell r="I521"/>
          <cell r="J521"/>
          <cell r="K521">
            <v>5</v>
          </cell>
          <cell r="L521">
            <v>4</v>
          </cell>
          <cell r="M521">
            <v>4</v>
          </cell>
          <cell r="N521">
            <v>168.39316458470751</v>
          </cell>
          <cell r="O521">
            <v>750</v>
          </cell>
          <cell r="P521">
            <v>169.08772681861356</v>
          </cell>
          <cell r="Q521"/>
          <cell r="R521"/>
          <cell r="S521" t="str">
            <v>1 of the 4 estimates are Adult Present (AP).  Last surveyed in 2002.</v>
          </cell>
          <cell r="T521">
            <v>266</v>
          </cell>
          <cell r="U521">
            <v>466</v>
          </cell>
          <cell r="V521"/>
          <cell r="W521" t="str">
            <v>NI</v>
          </cell>
        </row>
        <row r="522">
          <cell r="C522" t="str">
            <v>POWER RIVER_Chum</v>
          </cell>
          <cell r="D522" t="str">
            <v>No</v>
          </cell>
          <cell r="E522" t="str">
            <v>No</v>
          </cell>
          <cell r="F522">
            <v>26</v>
          </cell>
          <cell r="G522" t="str">
            <v>POWER RIVER</v>
          </cell>
          <cell r="H522" t="str">
            <v>Chum</v>
          </cell>
          <cell r="I522"/>
          <cell r="J522"/>
          <cell r="K522"/>
          <cell r="L522"/>
          <cell r="M522"/>
          <cell r="N522"/>
          <cell r="O522"/>
          <cell r="P522"/>
          <cell r="Q522"/>
          <cell r="R522"/>
          <cell r="S522"/>
          <cell r="T522">
            <v>27</v>
          </cell>
          <cell r="U522">
            <v>31.5</v>
          </cell>
          <cell r="V522"/>
          <cell r="W522"/>
        </row>
        <row r="523">
          <cell r="C523" t="str">
            <v>POWER RIVER_Coho</v>
          </cell>
          <cell r="D523" t="str">
            <v>No</v>
          </cell>
          <cell r="E523" t="str">
            <v>No</v>
          </cell>
          <cell r="F523">
            <v>26</v>
          </cell>
          <cell r="G523" t="str">
            <v>POWER RIVER</v>
          </cell>
          <cell r="H523" t="str">
            <v>Coho</v>
          </cell>
          <cell r="I523"/>
          <cell r="J523"/>
          <cell r="K523"/>
          <cell r="L523"/>
          <cell r="M523"/>
          <cell r="N523"/>
          <cell r="O523"/>
          <cell r="P523"/>
          <cell r="Q523"/>
          <cell r="R523"/>
          <cell r="S523"/>
          <cell r="T523">
            <v>314</v>
          </cell>
          <cell r="U523">
            <v>138.25</v>
          </cell>
          <cell r="V523"/>
          <cell r="W523"/>
        </row>
        <row r="524">
          <cell r="C524" t="str">
            <v>POWER RIVER_Sockeye</v>
          </cell>
          <cell r="D524" t="str">
            <v>No</v>
          </cell>
          <cell r="E524" t="str">
            <v>No</v>
          </cell>
          <cell r="F524">
            <v>26</v>
          </cell>
          <cell r="G524" t="str">
            <v>POWER RIVER</v>
          </cell>
          <cell r="H524" t="str">
            <v>Sockeye</v>
          </cell>
          <cell r="I524"/>
          <cell r="J524"/>
          <cell r="K524"/>
          <cell r="L524"/>
          <cell r="M524"/>
          <cell r="N524"/>
          <cell r="O524"/>
          <cell r="P524"/>
          <cell r="Q524"/>
          <cell r="R524"/>
          <cell r="S524"/>
          <cell r="T524" t="e">
            <v>#DIV/0!</v>
          </cell>
          <cell r="U524">
            <v>55.5</v>
          </cell>
          <cell r="V524"/>
          <cell r="W524"/>
        </row>
        <row r="525">
          <cell r="C525" t="str">
            <v>SOATWOON CREEK_Chum</v>
          </cell>
          <cell r="D525" t="str">
            <v>No</v>
          </cell>
          <cell r="E525" t="str">
            <v>No</v>
          </cell>
          <cell r="F525">
            <v>26</v>
          </cell>
          <cell r="G525" t="str">
            <v>SOATWOON CREEK</v>
          </cell>
          <cell r="H525" t="str">
            <v>Chum</v>
          </cell>
          <cell r="I525"/>
          <cell r="J525"/>
          <cell r="K525"/>
          <cell r="L525"/>
          <cell r="M525"/>
          <cell r="N525"/>
          <cell r="O525"/>
          <cell r="P525"/>
          <cell r="Q525"/>
          <cell r="R525"/>
          <cell r="S525"/>
          <cell r="T525" t="e">
            <v>#DIV/0!</v>
          </cell>
          <cell r="U525" t="e">
            <v>#DIV/0!</v>
          </cell>
          <cell r="V525"/>
          <cell r="W525" t="str">
            <v>NI</v>
          </cell>
        </row>
        <row r="526">
          <cell r="C526" t="str">
            <v>SOATWOON CREEK_Coho</v>
          </cell>
          <cell r="D526" t="str">
            <v>No</v>
          </cell>
          <cell r="E526" t="str">
            <v>No</v>
          </cell>
          <cell r="F526">
            <v>26</v>
          </cell>
          <cell r="G526" t="str">
            <v>SOATWOON CREEK</v>
          </cell>
          <cell r="H526" t="str">
            <v>Coho</v>
          </cell>
          <cell r="I526"/>
          <cell r="J526"/>
          <cell r="K526"/>
          <cell r="L526"/>
          <cell r="M526"/>
          <cell r="N526"/>
          <cell r="O526"/>
          <cell r="P526"/>
          <cell r="Q526"/>
          <cell r="R526"/>
          <cell r="S526"/>
          <cell r="T526" t="e">
            <v>#DIV/0!</v>
          </cell>
          <cell r="U526" t="e">
            <v>#DIV/0!</v>
          </cell>
          <cell r="V526"/>
          <cell r="W526" t="str">
            <v>NI</v>
          </cell>
        </row>
        <row r="527">
          <cell r="C527" t="str">
            <v>TAHSISH RIVER_Chinook</v>
          </cell>
          <cell r="D527" t="str">
            <v>Yes</v>
          </cell>
          <cell r="E527" t="str">
            <v>Yes</v>
          </cell>
          <cell r="F527">
            <v>26</v>
          </cell>
          <cell r="G527" t="str">
            <v>TAHSISH RIVER</v>
          </cell>
          <cell r="H527" t="str">
            <v>Chinook</v>
          </cell>
          <cell r="I527"/>
          <cell r="J527"/>
          <cell r="K527">
            <v>2</v>
          </cell>
          <cell r="L527">
            <v>11</v>
          </cell>
          <cell r="M527">
            <v>11</v>
          </cell>
          <cell r="N527">
            <v>358.42065755483799</v>
          </cell>
          <cell r="O527">
            <v>3500</v>
          </cell>
          <cell r="P527">
            <v>513.06354128952478</v>
          </cell>
          <cell r="Q527" t="str">
            <v>A.  PSC Indicator stocks.</v>
          </cell>
          <cell r="R527"/>
          <cell r="S527" t="str">
            <v>Average Esc from 1995-2005 from file: NEW ESCAPEMENT INDEX.XLS</v>
          </cell>
          <cell r="T527">
            <v>1123</v>
          </cell>
          <cell r="U527">
            <v>813.16666666666663</v>
          </cell>
          <cell r="V527"/>
          <cell r="W527">
            <v>1460</v>
          </cell>
        </row>
        <row r="528">
          <cell r="C528" t="str">
            <v>TAHSISH RIVER_Chum</v>
          </cell>
          <cell r="D528" t="str">
            <v>No</v>
          </cell>
          <cell r="E528" t="str">
            <v>No</v>
          </cell>
          <cell r="F528">
            <v>26</v>
          </cell>
          <cell r="G528" t="str">
            <v>TAHSISH RIVER</v>
          </cell>
          <cell r="H528" t="str">
            <v>Chum</v>
          </cell>
          <cell r="I528"/>
          <cell r="J528"/>
          <cell r="K528">
            <v>2</v>
          </cell>
          <cell r="L528">
            <v>11</v>
          </cell>
          <cell r="M528">
            <v>11</v>
          </cell>
          <cell r="N528">
            <v>4068.3788808375079</v>
          </cell>
          <cell r="O528">
            <v>31000</v>
          </cell>
          <cell r="P528">
            <v>6259.6908672010477</v>
          </cell>
          <cell r="Q528" t="str">
            <v>A.  PSC Indicator stocks.</v>
          </cell>
          <cell r="R528"/>
          <cell r="S528" t="str">
            <v>Average Esc from 1995-2005 from file: NEW ESCAPEMENT INDEX.XLS</v>
          </cell>
          <cell r="T528">
            <v>4310</v>
          </cell>
          <cell r="U528">
            <v>4867.916666666667</v>
          </cell>
          <cell r="V528"/>
          <cell r="W528">
            <v>7200</v>
          </cell>
        </row>
        <row r="529">
          <cell r="C529" t="str">
            <v>TAHSISH RIVER_Coho</v>
          </cell>
          <cell r="D529" t="str">
            <v>No</v>
          </cell>
          <cell r="E529" t="str">
            <v>No</v>
          </cell>
          <cell r="F529">
            <v>26</v>
          </cell>
          <cell r="G529" t="str">
            <v>TAHSISH RIVER</v>
          </cell>
          <cell r="H529" t="str">
            <v>Coho</v>
          </cell>
          <cell r="I529"/>
          <cell r="J529"/>
          <cell r="K529">
            <v>2</v>
          </cell>
          <cell r="L529">
            <v>11</v>
          </cell>
          <cell r="M529">
            <v>11</v>
          </cell>
          <cell r="N529">
            <v>1335.2783234365888</v>
          </cell>
          <cell r="O529">
            <v>7500</v>
          </cell>
          <cell r="P529">
            <v>842.00353058187022</v>
          </cell>
          <cell r="Q529" t="str">
            <v>A.  PSC Indicator stocks.</v>
          </cell>
          <cell r="R529"/>
          <cell r="S529" t="str">
            <v>Average Esc from 1995-2005 from file: NEW ESCAPEMENT INDEX.XLS</v>
          </cell>
          <cell r="T529">
            <v>3520.25</v>
          </cell>
          <cell r="U529">
            <v>3358.1666666666665</v>
          </cell>
          <cell r="V529"/>
          <cell r="W529">
            <v>5114</v>
          </cell>
        </row>
        <row r="530">
          <cell r="C530" t="str">
            <v>TAHSISH RIVER_Pink</v>
          </cell>
          <cell r="D530" t="str">
            <v>No</v>
          </cell>
          <cell r="E530" t="str">
            <v>No</v>
          </cell>
          <cell r="F530">
            <v>26</v>
          </cell>
          <cell r="G530" t="str">
            <v>TAHSISH RIVER</v>
          </cell>
          <cell r="H530" t="str">
            <v>Pink</v>
          </cell>
          <cell r="I530"/>
          <cell r="J530"/>
          <cell r="K530">
            <v>2</v>
          </cell>
          <cell r="L530">
            <v>11</v>
          </cell>
          <cell r="M530">
            <v>7</v>
          </cell>
          <cell r="N530">
            <v>3.0668330722110375</v>
          </cell>
          <cell r="O530">
            <v>3500</v>
          </cell>
          <cell r="P530">
            <v>73.743147167616755</v>
          </cell>
          <cell r="Q530" t="str">
            <v>A.  PSC Indicator stocks.</v>
          </cell>
          <cell r="R530"/>
          <cell r="S530"/>
          <cell r="T530" t="e">
            <v>#DIV/0!</v>
          </cell>
          <cell r="U530">
            <v>8.6</v>
          </cell>
          <cell r="V530"/>
          <cell r="W530" t="str">
            <v>NO</v>
          </cell>
        </row>
        <row r="531">
          <cell r="C531" t="str">
            <v>TAHSISH RIVER_Sockeye</v>
          </cell>
          <cell r="D531" t="str">
            <v>No</v>
          </cell>
          <cell r="E531" t="str">
            <v>No</v>
          </cell>
          <cell r="F531">
            <v>26</v>
          </cell>
          <cell r="G531" t="str">
            <v>TAHSISH RIVER</v>
          </cell>
          <cell r="H531" t="str">
            <v>Sockeye</v>
          </cell>
          <cell r="I531"/>
          <cell r="J531"/>
          <cell r="K531">
            <v>2</v>
          </cell>
          <cell r="L531">
            <v>11</v>
          </cell>
          <cell r="M531">
            <v>11</v>
          </cell>
          <cell r="N531">
            <v>26.47085424672737</v>
          </cell>
          <cell r="O531">
            <v>750</v>
          </cell>
          <cell r="P531">
            <v>53.580536377509269</v>
          </cell>
          <cell r="Q531" t="str">
            <v>A.  PSC Indicator stocks.</v>
          </cell>
          <cell r="R531"/>
          <cell r="S531"/>
          <cell r="T531">
            <v>24.5</v>
          </cell>
          <cell r="U531">
            <v>82.5</v>
          </cell>
          <cell r="V531"/>
          <cell r="W531">
            <v>39</v>
          </cell>
        </row>
        <row r="532">
          <cell r="C532" t="str">
            <v>TATCHU CREEK_Chum</v>
          </cell>
          <cell r="D532" t="str">
            <v>No</v>
          </cell>
          <cell r="E532" t="str">
            <v>No</v>
          </cell>
          <cell r="F532">
            <v>26</v>
          </cell>
          <cell r="G532" t="str">
            <v>TATCHU CREEK</v>
          </cell>
          <cell r="H532" t="str">
            <v>Chum</v>
          </cell>
          <cell r="I532"/>
          <cell r="J532"/>
          <cell r="K532"/>
          <cell r="L532"/>
          <cell r="M532"/>
          <cell r="N532"/>
          <cell r="O532"/>
          <cell r="P532"/>
          <cell r="Q532"/>
          <cell r="R532"/>
          <cell r="S532"/>
          <cell r="T532" t="e">
            <v>#DIV/0!</v>
          </cell>
          <cell r="U532" t="e">
            <v>#DIV/0!</v>
          </cell>
          <cell r="V532"/>
          <cell r="W532" t="str">
            <v>NI</v>
          </cell>
        </row>
        <row r="533">
          <cell r="C533" t="str">
            <v>TATCHU CREEK_Coho</v>
          </cell>
          <cell r="D533" t="str">
            <v>No</v>
          </cell>
          <cell r="E533" t="str">
            <v>No</v>
          </cell>
          <cell r="F533">
            <v>26</v>
          </cell>
          <cell r="G533" t="str">
            <v>TATCHU CREEK</v>
          </cell>
          <cell r="H533" t="str">
            <v>Coho</v>
          </cell>
          <cell r="I533"/>
          <cell r="J533"/>
          <cell r="K533"/>
          <cell r="L533"/>
          <cell r="M533"/>
          <cell r="N533"/>
          <cell r="O533"/>
          <cell r="P533"/>
          <cell r="Q533"/>
          <cell r="R533"/>
          <cell r="S533"/>
          <cell r="T533" t="e">
            <v>#DIV/0!</v>
          </cell>
          <cell r="U533" t="e">
            <v>#DIV/0!</v>
          </cell>
          <cell r="V533"/>
          <cell r="W533" t="str">
            <v>NI</v>
          </cell>
        </row>
        <row r="534">
          <cell r="C534" t="str">
            <v>YAKU RIVER_Chum</v>
          </cell>
          <cell r="D534" t="str">
            <v>No</v>
          </cell>
          <cell r="E534" t="str">
            <v>No</v>
          </cell>
          <cell r="F534">
            <v>26</v>
          </cell>
          <cell r="G534" t="str">
            <v>YAKU RIVER</v>
          </cell>
          <cell r="H534" t="str">
            <v>Chum</v>
          </cell>
          <cell r="I534"/>
          <cell r="J534"/>
          <cell r="K534">
            <v>5</v>
          </cell>
          <cell r="L534">
            <v>5</v>
          </cell>
          <cell r="M534">
            <v>5</v>
          </cell>
          <cell r="N534">
            <v>19.669239166628596</v>
          </cell>
          <cell r="O534">
            <v>1610</v>
          </cell>
          <cell r="P534">
            <v>180.48333728397313</v>
          </cell>
          <cell r="Q534"/>
          <cell r="R534"/>
          <cell r="S534" t="str">
            <v>Chum is the target species. Last surveyed in 2004.</v>
          </cell>
          <cell r="T534" t="e">
            <v>#DIV/0!</v>
          </cell>
          <cell r="U534" t="e">
            <v>#DIV/0!</v>
          </cell>
          <cell r="V534"/>
          <cell r="W534" t="str">
            <v>NI</v>
          </cell>
        </row>
        <row r="535">
          <cell r="C535" t="str">
            <v>YAKU RIVER_Coho</v>
          </cell>
          <cell r="D535" t="str">
            <v>No</v>
          </cell>
          <cell r="E535" t="str">
            <v>No</v>
          </cell>
          <cell r="F535">
            <v>26</v>
          </cell>
          <cell r="G535" t="str">
            <v>YAKU RIVER</v>
          </cell>
          <cell r="H535" t="str">
            <v>Coho</v>
          </cell>
          <cell r="I535"/>
          <cell r="J535"/>
          <cell r="K535">
            <v>5</v>
          </cell>
          <cell r="L535">
            <v>5</v>
          </cell>
          <cell r="M535">
            <v>0</v>
          </cell>
          <cell r="N535" t="e">
            <v>#NUM!</v>
          </cell>
          <cell r="O535">
            <v>75</v>
          </cell>
          <cell r="P535">
            <v>50.248146578660183</v>
          </cell>
          <cell r="Q535"/>
          <cell r="R535"/>
          <cell r="S535" t="str">
            <v>Chum is the target species. Last surveyed in 2004.</v>
          </cell>
          <cell r="T535" t="e">
            <v>#DIV/0!</v>
          </cell>
          <cell r="U535" t="e">
            <v>#DIV/0!</v>
          </cell>
          <cell r="V535"/>
          <cell r="W535" t="str">
            <v>NI</v>
          </cell>
        </row>
        <row r="536">
          <cell r="C536" t="str">
            <v>BENSON RIVER_Chinook</v>
          </cell>
          <cell r="D536" t="str">
            <v>No</v>
          </cell>
          <cell r="E536" t="str">
            <v>No</v>
          </cell>
          <cell r="F536">
            <v>27</v>
          </cell>
          <cell r="G536" t="str">
            <v>BENSON RIVER</v>
          </cell>
          <cell r="H536" t="str">
            <v>Chinook</v>
          </cell>
          <cell r="I536"/>
          <cell r="J536"/>
          <cell r="K536">
            <v>3</v>
          </cell>
          <cell r="L536">
            <v>7</v>
          </cell>
          <cell r="M536">
            <v>3</v>
          </cell>
          <cell r="N536">
            <v>5.6568542494923797</v>
          </cell>
          <cell r="O536">
            <v>8</v>
          </cell>
          <cell r="P536">
            <v>5.6568542494923797</v>
          </cell>
          <cell r="Q536"/>
          <cell r="R536"/>
          <cell r="S536" t="str">
            <v>1995 and 2000 data missing. Last survey in 2003.</v>
          </cell>
          <cell r="T536" t="e">
            <v>#DIV/0!</v>
          </cell>
          <cell r="U536">
            <v>2</v>
          </cell>
          <cell r="V536"/>
          <cell r="W536"/>
        </row>
        <row r="537">
          <cell r="C537" t="str">
            <v>BENSON RIVER_Coho</v>
          </cell>
          <cell r="D537" t="str">
            <v>No</v>
          </cell>
          <cell r="E537" t="str">
            <v>No</v>
          </cell>
          <cell r="F537">
            <v>27</v>
          </cell>
          <cell r="G537" t="str">
            <v>BENSON RIVER</v>
          </cell>
          <cell r="H537" t="str">
            <v>Coho</v>
          </cell>
          <cell r="I537"/>
          <cell r="J537"/>
          <cell r="K537">
            <v>3</v>
          </cell>
          <cell r="L537">
            <v>7</v>
          </cell>
          <cell r="M537">
            <v>7</v>
          </cell>
          <cell r="N537">
            <v>101.70332845355685</v>
          </cell>
          <cell r="O537">
            <v>888</v>
          </cell>
          <cell r="P537">
            <v>101.70332845355685</v>
          </cell>
          <cell r="Q537"/>
          <cell r="R537"/>
          <cell r="S537" t="str">
            <v>1995 and 2000 data missing. Last survey in 2003.</v>
          </cell>
          <cell r="T537" t="e">
            <v>#DIV/0!</v>
          </cell>
          <cell r="U537">
            <v>27</v>
          </cell>
          <cell r="V537"/>
          <cell r="W537"/>
        </row>
        <row r="538">
          <cell r="C538" t="str">
            <v>COLONIAL/CAYEGHLE CREEKS_Chinook</v>
          </cell>
          <cell r="D538" t="str">
            <v>No</v>
          </cell>
          <cell r="E538" t="str">
            <v>Yes</v>
          </cell>
          <cell r="F538">
            <v>27</v>
          </cell>
          <cell r="G538" t="str">
            <v>COLONIAL/CAYEGHLE CREEKS</v>
          </cell>
          <cell r="H538" t="str">
            <v>Chinook</v>
          </cell>
          <cell r="I538"/>
          <cell r="J538"/>
          <cell r="K538">
            <v>3</v>
          </cell>
          <cell r="L538">
            <v>8</v>
          </cell>
          <cell r="M538">
            <v>8</v>
          </cell>
          <cell r="N538">
            <v>258.23654259533402</v>
          </cell>
          <cell r="O538">
            <v>1369</v>
          </cell>
          <cell r="P538">
            <v>258.23654259533402</v>
          </cell>
          <cell r="Q538" t="str">
            <v>C.  Other systems surveyed extensively since 1995, but due to lack of historic info, not included in expanded group (B)</v>
          </cell>
          <cell r="R538"/>
          <cell r="S538" t="str">
            <v>2005 data missing.</v>
          </cell>
          <cell r="T538">
            <v>334</v>
          </cell>
          <cell r="U538">
            <v>360.91666666666669</v>
          </cell>
          <cell r="V538"/>
          <cell r="W538">
            <v>121</v>
          </cell>
        </row>
        <row r="539">
          <cell r="C539" t="str">
            <v>COLONIAL/CAYEGHLE CREEKS_Chum</v>
          </cell>
          <cell r="D539" t="str">
            <v>No</v>
          </cell>
          <cell r="E539" t="str">
            <v>No</v>
          </cell>
          <cell r="F539">
            <v>27</v>
          </cell>
          <cell r="G539" t="str">
            <v>COLONIAL/CAYEGHLE CREEKS</v>
          </cell>
          <cell r="H539" t="str">
            <v>Chum</v>
          </cell>
          <cell r="I539"/>
          <cell r="J539"/>
          <cell r="K539">
            <v>3</v>
          </cell>
          <cell r="L539">
            <v>10</v>
          </cell>
          <cell r="M539">
            <v>10</v>
          </cell>
          <cell r="N539">
            <v>5837.6625797493371</v>
          </cell>
          <cell r="O539">
            <v>18385</v>
          </cell>
          <cell r="P539">
            <v>5837.6625797493371</v>
          </cell>
          <cell r="Q539" t="str">
            <v>C.  Other systems surveyed extensively since 1995, but due to lack of historic info, not included in expanded group (B)</v>
          </cell>
          <cell r="R539"/>
          <cell r="S539" t="str">
            <v>2005 data missing.</v>
          </cell>
          <cell r="T539">
            <v>3542.25</v>
          </cell>
          <cell r="U539">
            <v>8212.5833333333339</v>
          </cell>
          <cell r="V539"/>
          <cell r="W539">
            <v>1909</v>
          </cell>
        </row>
        <row r="540">
          <cell r="C540" t="str">
            <v>COLONIAL/CAYEGHLE CREEKS_Coho</v>
          </cell>
          <cell r="D540" t="str">
            <v>No</v>
          </cell>
          <cell r="E540" t="str">
            <v>No</v>
          </cell>
          <cell r="F540">
            <v>27</v>
          </cell>
          <cell r="G540" t="str">
            <v>COLONIAL/CAYEGHLE CREEKS</v>
          </cell>
          <cell r="H540" t="str">
            <v>Coho</v>
          </cell>
          <cell r="I540"/>
          <cell r="J540"/>
          <cell r="K540">
            <v>3</v>
          </cell>
          <cell r="L540">
            <v>10</v>
          </cell>
          <cell r="M540">
            <v>10</v>
          </cell>
          <cell r="N540">
            <v>742.4993489280389</v>
          </cell>
          <cell r="O540">
            <v>3541</v>
          </cell>
          <cell r="P540">
            <v>742.4993489280389</v>
          </cell>
          <cell r="Q540" t="str">
            <v>C.  Other systems surveyed extensively since 1995, but due to lack of historic info, not included in expanded group (B)</v>
          </cell>
          <cell r="R540"/>
          <cell r="S540" t="str">
            <v>2005 data missing.</v>
          </cell>
          <cell r="T540">
            <v>1467.6666666666667</v>
          </cell>
          <cell r="U540">
            <v>1003.1818181818181</v>
          </cell>
          <cell r="V540"/>
          <cell r="W540">
            <v>1719</v>
          </cell>
        </row>
        <row r="541">
          <cell r="C541" t="str">
            <v>COLONIAL/CAYEGHLE CREEKS_Pink</v>
          </cell>
          <cell r="D541" t="str">
            <v>No</v>
          </cell>
          <cell r="E541" t="str">
            <v>No</v>
          </cell>
          <cell r="F541">
            <v>27</v>
          </cell>
          <cell r="G541" t="str">
            <v>COLONIAL/CAYEGHLE CREEKS</v>
          </cell>
          <cell r="H541" t="str">
            <v>Pink</v>
          </cell>
          <cell r="I541"/>
          <cell r="J541"/>
          <cell r="K541">
            <v>3</v>
          </cell>
          <cell r="L541">
            <v>10</v>
          </cell>
          <cell r="M541">
            <v>4</v>
          </cell>
          <cell r="N541">
            <v>4.6439843790034585</v>
          </cell>
          <cell r="O541">
            <v>30</v>
          </cell>
          <cell r="P541">
            <v>4.6439843790034585</v>
          </cell>
          <cell r="Q541" t="str">
            <v>C.  Other systems surveyed extensively since 1995, but due to lack of historic info, not included in expanded group (B)</v>
          </cell>
          <cell r="R541"/>
          <cell r="S541" t="str">
            <v>2005 data missing.</v>
          </cell>
          <cell r="T541">
            <v>2.5</v>
          </cell>
          <cell r="U541">
            <v>8.8571428571428577</v>
          </cell>
          <cell r="V541"/>
          <cell r="W541">
            <v>2</v>
          </cell>
        </row>
        <row r="542">
          <cell r="C542" t="str">
            <v>COLONIAL/CAYEGHLE CREEKS_Sockeye</v>
          </cell>
          <cell r="D542" t="str">
            <v>No</v>
          </cell>
          <cell r="E542" t="str">
            <v>No</v>
          </cell>
          <cell r="F542">
            <v>27</v>
          </cell>
          <cell r="G542" t="str">
            <v>COLONIAL/CAYEGHLE CREEKS</v>
          </cell>
          <cell r="H542" t="str">
            <v>Sockeye</v>
          </cell>
          <cell r="I542"/>
          <cell r="J542"/>
          <cell r="K542">
            <v>3</v>
          </cell>
          <cell r="L542">
            <v>10</v>
          </cell>
          <cell r="M542">
            <v>10</v>
          </cell>
          <cell r="N542">
            <v>9.3441518523275384</v>
          </cell>
          <cell r="O542">
            <v>62</v>
          </cell>
          <cell r="P542">
            <v>9.3441518523275384</v>
          </cell>
          <cell r="Q542" t="str">
            <v>C.  Other systems surveyed extensively since 1995, but due to lack of historic info, not included in expanded group (B)</v>
          </cell>
          <cell r="R542"/>
          <cell r="S542" t="str">
            <v>2005 data missing.</v>
          </cell>
          <cell r="T542">
            <v>8</v>
          </cell>
          <cell r="U542">
            <v>5.5</v>
          </cell>
          <cell r="V542"/>
          <cell r="W542">
            <v>8</v>
          </cell>
        </row>
        <row r="543">
          <cell r="C543" t="str">
            <v>MARBLE RIVER_Chinook</v>
          </cell>
          <cell r="D543" t="str">
            <v>Yes</v>
          </cell>
          <cell r="E543" t="str">
            <v>Yes</v>
          </cell>
          <cell r="F543">
            <v>27</v>
          </cell>
          <cell r="G543" t="str">
            <v>MARBLE RIVER</v>
          </cell>
          <cell r="H543" t="str">
            <v>Chinook</v>
          </cell>
          <cell r="I543"/>
          <cell r="J543"/>
          <cell r="K543">
            <v>2</v>
          </cell>
          <cell r="L543">
            <v>11</v>
          </cell>
          <cell r="M543">
            <v>11</v>
          </cell>
          <cell r="N543">
            <v>2510.9637994659656</v>
          </cell>
          <cell r="O543">
            <v>7500</v>
          </cell>
          <cell r="P543">
            <v>1074.0910421520909</v>
          </cell>
          <cell r="Q543" t="str">
            <v>A.  PSC Indicator stocks.</v>
          </cell>
          <cell r="R543"/>
          <cell r="S543" t="str">
            <v>Average Esc from 1995-2005 from file: NEW ESCAPEMENT INDEX.XLS.  Includes the Link River</v>
          </cell>
          <cell r="T543">
            <v>2669.25</v>
          </cell>
          <cell r="U543">
            <v>2844.5833333333335</v>
          </cell>
          <cell r="V543"/>
          <cell r="W543">
            <v>2032</v>
          </cell>
        </row>
        <row r="544">
          <cell r="C544" t="str">
            <v>MARBLE RIVER_Chum</v>
          </cell>
          <cell r="D544" t="str">
            <v>No</v>
          </cell>
          <cell r="E544" t="str">
            <v>No</v>
          </cell>
          <cell r="F544">
            <v>27</v>
          </cell>
          <cell r="G544" t="str">
            <v>MARBLE RIVER</v>
          </cell>
          <cell r="H544" t="str">
            <v>Chum</v>
          </cell>
          <cell r="I544"/>
          <cell r="J544"/>
          <cell r="K544">
            <v>2</v>
          </cell>
          <cell r="L544">
            <v>11</v>
          </cell>
          <cell r="M544">
            <v>6</v>
          </cell>
          <cell r="N544">
            <v>25.443577019193263</v>
          </cell>
          <cell r="O544">
            <v>5000</v>
          </cell>
          <cell r="P544">
            <v>334.03233095171851</v>
          </cell>
          <cell r="Q544" t="str">
            <v>A.  PSC Indicator stocks.</v>
          </cell>
          <cell r="R544"/>
          <cell r="S544" t="str">
            <v>Includes the Link River</v>
          </cell>
          <cell r="T544" t="e">
            <v>#DIV/0!</v>
          </cell>
          <cell r="U544">
            <v>3</v>
          </cell>
          <cell r="V544"/>
          <cell r="W544" t="str">
            <v>NO</v>
          </cell>
        </row>
        <row r="545">
          <cell r="C545" t="str">
            <v>MARBLE RIVER_Coho</v>
          </cell>
          <cell r="D545" t="str">
            <v>No</v>
          </cell>
          <cell r="E545" t="str">
            <v>No</v>
          </cell>
          <cell r="F545">
            <v>27</v>
          </cell>
          <cell r="G545" t="str">
            <v>MARBLE RIVER</v>
          </cell>
          <cell r="H545" t="str">
            <v>Coho</v>
          </cell>
          <cell r="I545"/>
          <cell r="J545"/>
          <cell r="K545">
            <v>2</v>
          </cell>
          <cell r="L545">
            <v>11</v>
          </cell>
          <cell r="M545">
            <v>11</v>
          </cell>
          <cell r="N545">
            <v>1241.256069669035</v>
          </cell>
          <cell r="O545">
            <v>20000</v>
          </cell>
          <cell r="P545">
            <v>1877.8576987952049</v>
          </cell>
          <cell r="Q545" t="str">
            <v>A.  PSC Indicator stocks.</v>
          </cell>
          <cell r="R545"/>
          <cell r="S545" t="str">
            <v>Includes the Link River</v>
          </cell>
          <cell r="T545">
            <v>753.25</v>
          </cell>
          <cell r="U545">
            <v>1173</v>
          </cell>
          <cell r="V545"/>
          <cell r="W545">
            <v>754</v>
          </cell>
        </row>
        <row r="546">
          <cell r="C546" t="str">
            <v>MARBLE RIVER_Pink</v>
          </cell>
          <cell r="D546" t="str">
            <v>No</v>
          </cell>
          <cell r="E546" t="str">
            <v>No</v>
          </cell>
          <cell r="F546">
            <v>27</v>
          </cell>
          <cell r="G546" t="str">
            <v>MARBLE RIVER</v>
          </cell>
          <cell r="H546" t="str">
            <v>Pink</v>
          </cell>
          <cell r="I546"/>
          <cell r="J546"/>
          <cell r="K546">
            <v>2</v>
          </cell>
          <cell r="L546">
            <v>11</v>
          </cell>
          <cell r="M546">
            <v>2</v>
          </cell>
          <cell r="N546">
            <v>1</v>
          </cell>
          <cell r="O546">
            <v>1500</v>
          </cell>
          <cell r="P546">
            <v>34.07716031211983</v>
          </cell>
          <cell r="Q546" t="str">
            <v>A.  PSC Indicator stocks.</v>
          </cell>
          <cell r="R546"/>
          <cell r="S546" t="str">
            <v>Includes the Link River</v>
          </cell>
          <cell r="T546" t="e">
            <v>#DIV/0!</v>
          </cell>
          <cell r="U546">
            <v>7</v>
          </cell>
          <cell r="V546"/>
          <cell r="W546" t="str">
            <v>NO</v>
          </cell>
        </row>
        <row r="547">
          <cell r="C547" t="str">
            <v>MARBLE RIVER_Sockeye</v>
          </cell>
          <cell r="D547" t="str">
            <v>No</v>
          </cell>
          <cell r="E547" t="str">
            <v>No</v>
          </cell>
          <cell r="F547">
            <v>27</v>
          </cell>
          <cell r="G547" t="str">
            <v>MARBLE RIVER</v>
          </cell>
          <cell r="H547" t="str">
            <v>Sockeye</v>
          </cell>
          <cell r="I547"/>
          <cell r="J547"/>
          <cell r="K547">
            <v>2</v>
          </cell>
          <cell r="L547">
            <v>11</v>
          </cell>
          <cell r="M547">
            <v>2</v>
          </cell>
          <cell r="N547">
            <v>1.7320508075688774</v>
          </cell>
          <cell r="O547">
            <v>2000</v>
          </cell>
          <cell r="P547">
            <v>143.00057571866478</v>
          </cell>
          <cell r="Q547" t="str">
            <v>A.  PSC Indicator stocks.</v>
          </cell>
          <cell r="R547"/>
          <cell r="S547" t="str">
            <v>Includes the Link River</v>
          </cell>
          <cell r="T547" t="e">
            <v>#DIV/0!</v>
          </cell>
          <cell r="U547" t="e">
            <v>#DIV/0!</v>
          </cell>
          <cell r="V547"/>
          <cell r="W547" t="str">
            <v>NO</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persons/person.xml><?xml version="1.0" encoding="utf-8"?>
<personList xmlns="http://schemas.microsoft.com/office/spreadsheetml/2018/threadedcomments" xmlns:x="http://schemas.openxmlformats.org/spreadsheetml/2006/main">
  <person displayName="McHugh, Diana" id="{309CC792-3EC4-4EAE-A24D-65423A62E481}" userId="S::Diana.McHugh@dfo-mpo.gc.ca::4ad9e063-6055-4c73-abb8-e7556ff38394" providerId="AD"/>
  <person displayName="Matwichuk, Kiana (DFO/MPO)" id="{0BA23209-48D4-49B2-9E1F-CC4E37053BD0}" userId="S::Kiana.Matwichuk@dfo-mpo.gc.ca::f693c8a9-fb4e-4b62-8ea8-0b636656989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L10" dT="2024-01-29T22:02:31.73" personId="{309CC792-3EC4-4EAE-A24D-65423A62E481}" id="{9EA25C6C-489F-4E86-A589-63CED4651B72}">
    <text>No estimate, I'd go with PL+D, Type 4 given the timing</text>
  </threadedComment>
  <threadedComment ref="AL11" dT="2024-01-27T00:50:17.59" personId="{309CC792-3EC4-4EAE-A24D-65423A62E481}" id="{035939ED-64CD-4B44-BC05-0E4CF9DB17AD}">
    <text>In the SIL+AUC database, the estimate should be -1 to equate to None Observed</text>
  </threadedComment>
  <threadedComment ref="AO22" dT="2024-01-29T22:06:53.31" personId="{309CC792-3EC4-4EAE-A24D-65423A62E481}" id="{8D343F69-BECC-4CF2-981E-E4CD46C39107}">
    <text>Type 4 given the timing?  A decent portion of the peak should have been present during that swim</text>
  </threadedComment>
  <threadedComment ref="AL23" dT="2024-01-27T00:50:17.59" personId="{309CC792-3EC4-4EAE-A24D-65423A62E481}" id="{AD318A90-FFD8-41E2-8160-0ABDB5D4DA60}">
    <text>In the SIL+AUC database, the estimate should be -1 to equate to None Observed</text>
  </threadedComment>
  <threadedComment ref="AL29" dT="2024-01-29T21:57:35.24" personId="{309CC792-3EC4-4EAE-A24D-65423A62E481}" id="{13309ADF-77C3-441E-A7C7-84940AD451C3}">
    <text>Recommended estimate should be -1 to represent "None Observed"</text>
  </threadedComment>
  <threadedComment ref="AL31" dT="2024-01-29T22:00:10.49" personId="{309CC792-3EC4-4EAE-A24D-65423A62E481}" id="{A3E86449-443D-4CA1-B4C8-1DB5E43DE5F5}">
    <text>No estimate, I'd go with PL+D, Type 5 given the timing</text>
  </threadedComment>
  <threadedComment ref="AL33" dT="2024-01-29T21:54:21.43" personId="{309CC792-3EC4-4EAE-A24D-65423A62E481}" id="{546D35DA-164C-4433-9B04-07EBE6E8AD4E}">
    <text>In the calculation, why are the SK expanded twice?  Was there a section of the river not covered?</text>
  </threadedComment>
  <threadedComment ref="AL35" dT="2024-01-27T00:50:17.59" personId="{309CC792-3EC4-4EAE-A24D-65423A62E481}" id="{68A0354D-B19E-49B7-A445-8A99B604C70B}">
    <text>In the SIL+AUC database, the estimate should be -1 to equate to None Observed</text>
  </threadedComment>
  <threadedComment ref="AJ37" dT="2024-01-29T22:01:49.39" personId="{309CC792-3EC4-4EAE-A24D-65423A62E481}" id="{6E2D8DCE-5A0F-4783-9624-4BF85EE17519}">
    <text>Brood removal?</text>
  </threadedComment>
  <threadedComment ref="AO64" dT="2024-01-29T22:12:37.00" personId="{309CC792-3EC4-4EAE-A24D-65423A62E481}" id="{B31A84C6-2D0F-44B8-A6B8-F5EA54523377}">
    <text>Type 4 based on the timing?  A decent proportion of the peak should have been present during the surveys.</text>
  </threadedComment>
  <threadedComment ref="AL65" dT="2024-01-27T00:50:17.59" personId="{309CC792-3EC4-4EAE-A24D-65423A62E481}" id="{AE415ABA-F747-43C0-A008-2928F274C1DE}">
    <text>In the SIL+AUC database, the estimate should be -1 to equate to None Observed</text>
  </threadedComment>
  <threadedComment ref="AL66" dT="2024-01-29T22:17:19.86" personId="{309CC792-3EC4-4EAE-A24D-65423A62E481}" id="{7A1C6B27-316E-4E4F-999E-111A68933D38}">
    <text>Missing the Nov 1st survey (Helen emailed summary Nov 1, but didn't attach SIL</text>
  </threadedComment>
  <threadedComment ref="AL67" dT="2024-01-29T22:17:19.86" personId="{309CC792-3EC4-4EAE-A24D-65423A62E481}" id="{BB48C492-4BAC-4DB6-922B-5E4ECDFB0FE0}">
    <text>Missing the Nov 1st survey (Helen emailed summary Nov 1, but didn't attach SIL</text>
  </threadedComment>
  <threadedComment ref="AL201" dT="2024-01-29T22:55:05.09" personId="{309CC792-3EC4-4EAE-A24D-65423A62E481}" id="{007B0CAE-5EA7-402B-B709-3760CE2546C7}">
    <text>Need a NO estimate, Presence/Absence, Type 6</text>
  </threadedComment>
  <threadedComment ref="AL202" dT="2024-01-29T23:02:13.22" personId="{309CC792-3EC4-4EAE-A24D-65423A62E481}" id="{FF516217-1D3C-4447-8EBD-8435E11550E2}">
    <text>Need an estimate (PL+D), SIL was in the A23 folder since Huu-ay-aht did the survey, but the system is in Area 21.  I've put a copy in the Area 21-22 folder</text>
  </threadedComment>
  <threadedComment ref="AL204" dT="2024-01-29T22:55:17.10" personId="{309CC792-3EC4-4EAE-A24D-65423A62E481}" id="{4AA676E0-A0C3-4CC7-8A72-6FDA1D3C308D}">
    <text>Need a NO estimate, Presence/Absence, Type 6</text>
  </threadedComment>
  <threadedComment ref="AL205" dT="2024-01-29T22:55:24.75" personId="{309CC792-3EC4-4EAE-A24D-65423A62E481}" id="{C364367C-2C23-4157-9527-F39C64DBBB09}">
    <text>Need a NO estimate, Presence/Absence, Type 6</text>
  </threadedComment>
  <threadedComment ref="AL220" dT="2024-01-29T22:42:05.56" personId="{309CC792-3EC4-4EAE-A24D-65423A62E481}" id="{15620AC4-C7B6-436F-AFCC-00401AB712AD}">
    <text>Go with the peak count, Type 5 , but don't expand it twice (have to calculate the AUC to update the PL+D even though you don’t want to use it)</text>
  </threadedComment>
  <threadedComment ref="AL222" dT="2024-01-29T22:42:05.56" personId="{309CC792-3EC4-4EAE-A24D-65423A62E481}" id="{F41DE8FA-D3F3-4068-81FA-5321C1AFEC02}">
    <text>Go with the peak count, Type 4 given the timing, but don't expand it twice (have to calculate the AUC to update the PL+D even though you don’t want to use it)</text>
  </threadedComment>
  <threadedComment ref="AL237" dT="2024-01-29T22:35:34.15" personId="{309CC792-3EC4-4EAE-A24D-65423A62E481}" id="{868FB00C-A688-4779-B167-3FE2FEF7EE7A}">
    <text>Based on big expansion (5% Pop in Aug 11 survey), the normal max expansion is 50%</text>
  </threadedComment>
  <threadedComment ref="AL238" dT="2024-01-29T22:39:14.46" personId="{309CC792-3EC4-4EAE-A24D-65423A62E481}" id="{BEFB7B76-C2CC-43F6-882A-8E55F8222D37}">
    <text>There should be a None Observed Coho estimate</text>
  </threadedComment>
  <threadedComment ref="AL240" dT="2024-01-29T22:37:59.91" personId="{309CC792-3EC4-4EAE-A24D-65423A62E481}" id="{4910D904-AAD4-41C9-96AF-9E18D363F1E7}">
    <text>Go with the peak count, but don’t expand the Oct 31 survey counts twice unless they missed 20% of the survey area.</text>
  </threadedComment>
  <threadedComment ref="AL417" dT="2024-01-23T19:34:51.47" personId="{309CC792-3EC4-4EAE-A24D-65423A62E481}" id="{48E93757-4DAD-4E69-9162-8B6414FB84D4}">
    <text>Estimate is less than the peak, either go with the peak or reduce the SL to fit.</text>
  </threadedComment>
  <threadedComment ref="AL418" dT="2024-01-23T19:34:51.47" personId="{309CC792-3EC4-4EAE-A24D-65423A62E481}" id="{9DC85E7F-1729-4BFB-80E4-D8EED473338A}">
    <text>Estimate is less than the peak, either go with the peak or reduce the SL to fit.</text>
  </threadedComment>
  <threadedComment ref="AN460" dT="2024-02-01T17:37:47.65" personId="{309CC792-3EC4-4EAE-A24D-65423A62E481}" id="{8CDE1F7A-A126-4785-9930-B666A1786D09}">
    <text>Nov 8 Expanded twice, though it didn't change the peak count</text>
  </threadedComment>
  <threadedComment ref="AN486" dT="2024-02-01T17:30:10.95" personId="{309CC792-3EC4-4EAE-A24D-65423A62E481}" id="{2240B7F6-0838-4F9F-B293-6C04AF68712B}">
    <text xml:space="preserve">Expanding twice </text>
  </threadedComment>
  <threadedComment ref="AL580" dT="2024-01-31T00:53:15.23" personId="{309CC792-3EC4-4EAE-A24D-65423A62E481}" id="{D0E6FE8C-1CB4-4E0B-966F-AEC7DDB62FC5}">
    <text>Expanded twice, the OE should be reset to 100% for the calculation, unless they missed a portion of the normal survey area.</text>
  </threadedComment>
  <threadedComment ref="AL625" dT="2024-01-24T00:28:08.98" personId="{309CC792-3EC4-4EAE-A24D-65423A62E481}" id="{C5BF98C2-180C-4C7E-8576-F0424E76090E}">
    <text>Estimate is less than the expanded peak count, is the peak unreliable?</text>
  </threadedComment>
  <threadedComment ref="AN696" dT="2024-02-01T17:46:13.92" personId="{309CC792-3EC4-4EAE-A24D-65423A62E481}" id="{EC0692A0-F2FA-4FBF-A5BC-C0C681F96EB6}">
    <text>Nothing from Doug on Cow Creek?  Usually get a season summary from the folks that live out there.</text>
  </threadedComment>
  <threadedComment ref="AN924" dT="2024-01-29T23:41:36.87" personId="{309CC792-3EC4-4EAE-A24D-65423A62E481}" id="{E9D16BF8-B3F5-414B-9825-FBCCC4AE1AC0}">
    <text>79 dead in the Oct 22 SIL summary, but not in the database (which needs to be corrected?)</text>
  </threadedComment>
  <threadedComment ref="AO1151" dT="2024-01-25T23:53:03.01" personId="{309CC792-3EC4-4EAE-A24D-65423A62E481}" id="{82C30009-928C-4744-A7A3-F507BD66183A}">
    <text>Should be Type-6</text>
  </threadedComment>
  <threadedComment ref="P1153" dT="2023-11-30T22:50:46.38" personId="{0BA23209-48D4-49B2-9E1F-CC4E37053BD0}" id="{67E281F5-4C58-4EBD-9B38-78CD9725BF97}">
    <text>3 jks</text>
  </threadedComment>
  <threadedComment ref="R1153" dT="2023-11-30T22:51:04.19" personId="{0BA23209-48D4-49B2-9E1F-CC4E37053BD0}" id="{423070CA-6F6C-4DAC-9AF3-75D3B17FC7C8}">
    <text>6 jks</text>
  </threadedComment>
  <threadedComment ref="AO1153" dT="2024-01-26T17:34:49.54" personId="{309CC792-3EC4-4EAE-A24D-65423A62E481}" id="{607A6359-E966-405C-826B-3EC44CBAA9F9}">
    <text>Type 4? For CN the timing wasn’t terrible.</text>
  </threadedComment>
  <threadedComment ref="AL1162" dT="2024-01-26T19:21:33.26" personId="{309CC792-3EC4-4EAE-A24D-65423A62E481}" id="{3352B362-DE10-4314-A2E4-6677A213C1AC}">
    <text>Nov 29th expanded twice. On purpose since they didn’t to the last couple sections?</text>
  </threadedComment>
  <threadedComment ref="AO1162" dT="2024-01-26T19:29:49.64" personId="{309CC792-3EC4-4EAE-A24D-65423A62E481}" id="{1F20014C-5B4E-4373-AFDD-5C939F6E065F}">
    <text>Type 4 perhaps?  Based on previous years as significant portion of the peak CO abundance should have been present during both of those surveys.</text>
  </threadedComment>
  <threadedComment ref="N1165" dT="2023-12-01T00:23:41.07" personId="{0BA23209-48D4-49B2-9E1F-CC4E37053BD0}" id="{09BD4204-0215-4B21-9590-EE2CA56EDFD1}">
    <text>No access due to low water levels</text>
  </threadedComment>
  <threadedComment ref="AL1171" dT="2024-01-26T17:46:15.10" personId="{309CC792-3EC4-4EAE-A24D-65423A62E481}" id="{1D04E486-428F-40FD-AE1F-C39A0E61A9E6}">
    <text>Why unexpanded?  Was this where you though perhaps come CO were mis-ID'd?
Compared to 2019 (~290 in week 9-1), the estimate was ~1,000, so the estimate seems reasonable even without putting too much faith in the peak count.</text>
  </threadedComment>
  <threadedComment ref="AL1180" dT="2024-01-26T18:56:35.00" personId="{309CC792-3EC4-4EAE-A24D-65423A62E481}" id="{4178E1B2-AEE1-4681-B1D8-A49B91658B53}">
    <text>Did you expand the Nov 7th count twice on purpose, or was that an error?</text>
  </threadedComment>
  <threadedComment ref="AL1182" dT="2024-01-26T19:00:40.94" personId="{309CC792-3EC4-4EAE-A24D-65423A62E481}" id="{4FA708DC-F821-4172-AC71-C913D3D60BA4}">
    <text>Did you expand the Nov 7th count intentionally?</text>
  </threadedComment>
  <threadedComment ref="AL1183" dT="2024-01-26T19:20:15.37" personId="{309CC792-3EC4-4EAE-A24D-65423A62E481}" id="{5A8E1422-C617-45E9-A26C-F2BCB4676807}">
    <text>Missing the Oct 11th survey scan from the SIL folder</text>
  </threadedComment>
  <threadedComment ref="AO1191" dT="2024-01-26T17:51:33.20" personId="{309CC792-3EC4-4EAE-A24D-65423A62E481}" id="{CB171F1C-EE14-4835-8FBC-24DF0DA5EC06}">
    <text>For Easy, the only persistent salmon populations in the record (based on checking WCVI Streams) are CN, CM, and CO, so the other estimates can be deleted.</text>
  </threadedComment>
  <threadedComment ref="AO1191" dT="2024-01-26T17:53:44.19" personId="{309CC792-3EC4-4EAE-A24D-65423A62E481}" id="{B47FE089-5A82-439A-A11F-48880CC0AC7B}" parentId="{CB171F1C-EE14-4835-8FBC-24DF0DA5EC06}">
    <text>Verified in NuSEDs, no SK or PK pop in Easy</text>
  </threadedComment>
  <threadedComment ref="AO1192" dT="2024-01-26T18:12:52.22" personId="{309CC792-3EC4-4EAE-A24D-65423A62E481}" id="{B9E40550-25FC-4E2E-BE17-D7FD92EEE1B6}">
    <text>Timing wasn't terrible for CO, but they only surveyed from 4-0, so likely missed a good portion of the CO (9-0 was recommended in the 2014 LGL post season report, if we wanted a good CO count).</text>
  </threadedComment>
  <threadedComment ref="AO1193" dT="2024-01-26T17:51:33.20" personId="{309CC792-3EC4-4EAE-A24D-65423A62E481}" id="{99B0472C-1988-457F-9D89-B33F73073A5D}">
    <text>For Easy, the only persistent salmon populations in the record (based on checking WCVI Streams) are CN, CM, and CO, so the other estimates can be deleted.</text>
  </threadedComment>
  <threadedComment ref="AO1193" dT="2024-01-26T17:53:44.19" personId="{309CC792-3EC4-4EAE-A24D-65423A62E481}" id="{8ACB63AA-00CD-4BD5-9C84-BED47E7A24FF}" parentId="{99B0472C-1988-457F-9D89-B33F73073A5D}">
    <text>Verified in NuSEDs, no SK or PK pop in Easy</text>
  </threadedComment>
  <threadedComment ref="AO1194" dT="2024-01-26T17:59:16.89" personId="{309CC792-3EC4-4EAE-A24D-65423A62E481}" id="{33FDBE98-22E6-4CC8-B7C3-6ED69381CE8E}">
    <text>Agreed, the 2012 counts support the conclusion we missed the peak, though we could pull the water levels for 2012 to see if the pattern were broadly similar.</text>
  </threadedComment>
  <threadedComment ref="U1240" dT="2024-01-30T19:22:41.47" personId="{0BA23209-48D4-49B2-9E1F-CC4E37053BD0}" id="{51B0D8B9-5EA6-4520-B8AD-AF4B35311CB2}">
    <text>15 jks</text>
  </threadedComment>
  <threadedComment ref="T1243" dT="2023-12-01T01:12:58.03" personId="{0BA23209-48D4-49B2-9E1F-CC4E37053BD0}" id="{8231186D-C36D-4291-B535-AD919AC32283}">
    <text>5 jk</text>
  </threadedComment>
  <threadedComment ref="U1243" dT="2023-12-01T01:13:12.97" personId="{0BA23209-48D4-49B2-9E1F-CC4E37053BD0}" id="{5AC5AD44-689D-4492-BDE7-7753CE581456}">
    <text>1 jk</text>
  </threadedComment>
  <threadedComment ref="AI1249" dT="2024-01-29T21:50:25.73" personId="{309CC792-3EC4-4EAE-A24D-65423A62E481}" id="{0D600308-BCA2-447F-9CE4-4996FB191367}">
    <text>Jk "Long" SL set as 3 days, should probably be 30</text>
  </threadedComment>
  <threadedComment ref="AJ1249" dT="2024-01-29T21:51:16.59" personId="{309CC792-3EC4-4EAE-A24D-65423A62E481}" id="{09E7BEE9-6FED-46D3-B894-429244874378}">
    <text>Was any brood collected?</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tabColor rgb="FF92D050"/>
    <pageSetUpPr fitToPage="1"/>
  </sheetPr>
  <dimension ref="A1:BO1523"/>
  <sheetViews>
    <sheetView zoomScaleNormal="100" workbookViewId="0">
      <selection activeCell="J136" sqref="J136"/>
    </sheetView>
  </sheetViews>
  <sheetFormatPr defaultRowHeight="12.75" outlineLevelCol="1" x14ac:dyDescent="0.2"/>
  <cols>
    <col min="1" max="1" width="6" customWidth="1"/>
    <col min="2" max="2" width="4.28515625" bestFit="1" customWidth="1"/>
    <col min="3" max="3" width="5.5703125" style="2" customWidth="1"/>
    <col min="4" max="4" width="10.5703125" style="2" customWidth="1"/>
    <col min="5" max="5" width="17.42578125" customWidth="1"/>
    <col min="6" max="6" width="11.5703125" style="12" bestFit="1" customWidth="1"/>
    <col min="7" max="8" width="5.28515625" style="12" customWidth="1"/>
    <col min="9" max="9" width="5.5703125" style="14" customWidth="1"/>
    <col min="10" max="10" width="5.42578125" style="14" customWidth="1"/>
    <col min="11" max="11" width="5.5703125" style="14" customWidth="1"/>
    <col min="12" max="13" width="5.28515625" style="12" customWidth="1"/>
    <col min="14" max="14" width="4.28515625" style="12" customWidth="1"/>
    <col min="15" max="15" width="5.5703125" style="12" customWidth="1"/>
    <col min="16" max="16" width="5.28515625" style="12" customWidth="1"/>
    <col min="17" max="17" width="5.7109375" style="12" customWidth="1"/>
    <col min="18" max="18" width="4.7109375" style="12" customWidth="1"/>
    <col min="19" max="19" width="3.7109375" style="12" customWidth="1"/>
    <col min="20" max="20" width="4.5703125" style="12" customWidth="1"/>
    <col min="21" max="21" width="5.28515625" style="12" customWidth="1"/>
    <col min="22" max="22" width="4.7109375" style="12" customWidth="1"/>
    <col min="23" max="23" width="5.7109375" style="12" customWidth="1"/>
    <col min="24" max="24" width="5.85546875" style="12" customWidth="1"/>
    <col min="25" max="26" width="5.85546875" customWidth="1" outlineLevel="1"/>
    <col min="27" max="28" width="5.85546875" style="24" customWidth="1" outlineLevel="1"/>
    <col min="29" max="29" width="5.85546875" style="122" customWidth="1" outlineLevel="1"/>
    <col min="30" max="31" width="11" style="122" bestFit="1" customWidth="1" outlineLevel="1"/>
    <col min="32" max="32" width="13.7109375" style="122" bestFit="1" customWidth="1" outlineLevel="1"/>
    <col min="33" max="33" width="9.28515625" style="122" bestFit="1" customWidth="1" outlineLevel="1"/>
    <col min="34" max="34" width="20.5703125" style="122" bestFit="1" customWidth="1" outlineLevel="1"/>
    <col min="35" max="35" width="33.85546875" style="122" bestFit="1" customWidth="1" outlineLevel="1"/>
    <col min="36" max="36" width="18.28515625" style="122" bestFit="1" customWidth="1" outlineLevel="1"/>
    <col min="37" max="37" width="16.28515625" style="24" bestFit="1" customWidth="1" outlineLevel="1"/>
    <col min="38" max="38" width="14.85546875" style="24" bestFit="1" customWidth="1" outlineLevel="1"/>
    <col min="39" max="39" width="11.5703125" style="24" bestFit="1" customWidth="1" outlineLevel="1"/>
    <col min="40" max="40" width="10.28515625" style="24" bestFit="1" customWidth="1" outlineLevel="1"/>
    <col min="41" max="41" width="10.7109375" style="38" bestFit="1" customWidth="1" outlineLevel="1"/>
    <col min="42" max="42" width="11.85546875" style="256" bestFit="1" customWidth="1" outlineLevel="1"/>
    <col min="43" max="43" width="50.85546875" bestFit="1" customWidth="1" outlineLevel="1"/>
    <col min="44" max="44" width="11.5703125" bestFit="1" customWidth="1" outlineLevel="1"/>
    <col min="45" max="45" width="13.7109375" bestFit="1" customWidth="1" outlineLevel="1"/>
    <col min="46" max="46" width="8.5703125" bestFit="1" customWidth="1" outlineLevel="1"/>
    <col min="47" max="47" width="8.85546875" bestFit="1" customWidth="1" outlineLevel="1"/>
    <col min="48" max="48" width="8.42578125" style="24" bestFit="1" customWidth="1" outlineLevel="1"/>
    <col min="49" max="49" width="12.28515625" style="24" bestFit="1" customWidth="1" outlineLevel="1"/>
    <col min="50" max="50" width="50.85546875" style="24" bestFit="1" customWidth="1" outlineLevel="1"/>
    <col min="51" max="51" width="14.7109375" style="24" bestFit="1" customWidth="1" outlineLevel="1"/>
    <col min="52" max="52" width="12.28515625" style="24" bestFit="1" customWidth="1" outlineLevel="1"/>
    <col min="53" max="53" width="12.42578125" style="24" bestFit="1" customWidth="1" outlineLevel="1"/>
    <col min="54" max="54" width="16.28515625" style="31" bestFit="1" customWidth="1" outlineLevel="1"/>
    <col min="55" max="55" width="13.42578125" style="31" bestFit="1" customWidth="1" outlineLevel="1"/>
    <col min="56" max="56" width="13.7109375" style="31" bestFit="1" customWidth="1" outlineLevel="1"/>
    <col min="57" max="57" width="17" style="31" bestFit="1" customWidth="1" outlineLevel="1"/>
    <col min="58" max="58" width="41.7109375" style="31" bestFit="1" customWidth="1" outlineLevel="1"/>
    <col min="59" max="59" width="10.42578125" style="31" bestFit="1" customWidth="1" outlineLevel="1"/>
    <col min="60" max="60" width="13.140625" style="31" bestFit="1" customWidth="1" outlineLevel="1"/>
    <col min="61" max="61" width="10.42578125" style="31" bestFit="1" customWidth="1" outlineLevel="1"/>
    <col min="62" max="62" width="14.42578125" style="31" bestFit="1" customWidth="1" outlineLevel="1"/>
    <col min="63" max="63" width="9.28515625" customWidth="1"/>
    <col min="64" max="64" width="11.28515625" customWidth="1"/>
    <col min="65" max="65" width="6.7109375" style="31" bestFit="1" customWidth="1"/>
    <col min="66" max="66" width="4.42578125" style="31" customWidth="1"/>
    <col min="67" max="67" width="4.5703125" style="31" bestFit="1" customWidth="1"/>
  </cols>
  <sheetData>
    <row r="1" spans="1:67" ht="15.75" x14ac:dyDescent="0.25">
      <c r="C1" s="1"/>
      <c r="D1" s="1"/>
      <c r="I1" s="2"/>
      <c r="J1" s="2"/>
      <c r="K1" s="2"/>
      <c r="L1"/>
      <c r="M1"/>
      <c r="N1"/>
      <c r="O1" s="3" t="s">
        <v>0</v>
      </c>
      <c r="P1"/>
      <c r="Q1"/>
      <c r="R1"/>
      <c r="S1"/>
      <c r="T1"/>
      <c r="U1"/>
      <c r="V1"/>
      <c r="W1"/>
      <c r="X1"/>
      <c r="Z1" s="15"/>
      <c r="AA1" s="57"/>
      <c r="AB1" s="54"/>
      <c r="AC1" s="120"/>
      <c r="AD1" s="120"/>
      <c r="AE1" s="120"/>
      <c r="AF1" s="120"/>
      <c r="AG1" s="120"/>
      <c r="AH1" s="120"/>
      <c r="AI1" s="120"/>
      <c r="AJ1" s="120"/>
      <c r="AK1" s="54"/>
      <c r="AL1" s="54"/>
      <c r="AM1" s="54"/>
      <c r="AN1" s="54"/>
      <c r="AO1" s="257"/>
      <c r="AP1" s="252"/>
      <c r="AQ1" s="15"/>
      <c r="AT1" s="136"/>
      <c r="AU1" s="137"/>
      <c r="AV1" s="137"/>
      <c r="AW1" s="136"/>
      <c r="AX1"/>
      <c r="AY1"/>
      <c r="AZ1"/>
      <c r="BA1"/>
    </row>
    <row r="2" spans="1:67" x14ac:dyDescent="0.2">
      <c r="F2" s="96" t="s">
        <v>352</v>
      </c>
      <c r="I2" s="135" t="s">
        <v>331</v>
      </c>
      <c r="K2" s="2"/>
      <c r="L2"/>
      <c r="M2"/>
      <c r="N2"/>
      <c r="O2" s="4"/>
      <c r="P2"/>
      <c r="Q2"/>
      <c r="R2"/>
      <c r="S2"/>
      <c r="T2"/>
      <c r="U2"/>
      <c r="V2"/>
      <c r="W2"/>
      <c r="X2"/>
      <c r="Z2" s="15"/>
      <c r="AB2" s="54"/>
      <c r="AC2" s="120"/>
      <c r="AD2" s="120"/>
      <c r="AE2" s="120"/>
      <c r="AF2" s="120"/>
      <c r="AG2" s="120"/>
      <c r="AH2" s="120"/>
      <c r="AI2" s="120"/>
      <c r="AJ2" s="120"/>
      <c r="AK2" s="54"/>
      <c r="AL2" s="54"/>
      <c r="AM2" s="54"/>
      <c r="AN2" s="54"/>
      <c r="AO2" s="257"/>
      <c r="AP2" s="253"/>
      <c r="AQ2" s="15"/>
      <c r="AT2" s="16"/>
      <c r="AU2" s="138"/>
      <c r="AV2" s="138"/>
      <c r="AW2" s="16"/>
      <c r="AX2"/>
      <c r="AY2"/>
      <c r="AZ2"/>
      <c r="BA2"/>
    </row>
    <row r="3" spans="1:67" ht="15" x14ac:dyDescent="0.25">
      <c r="C3" s="5">
        <v>2020</v>
      </c>
      <c r="D3" s="5"/>
      <c r="F3" s="97" t="s">
        <v>267</v>
      </c>
      <c r="I3" s="118" t="s">
        <v>311</v>
      </c>
      <c r="K3" s="2"/>
      <c r="L3" s="72" t="s">
        <v>1</v>
      </c>
      <c r="M3" s="73" t="s">
        <v>2</v>
      </c>
      <c r="N3" s="74"/>
      <c r="O3" s="72" t="s">
        <v>1</v>
      </c>
      <c r="P3" s="73" t="s">
        <v>2</v>
      </c>
      <c r="Q3" s="74"/>
      <c r="R3" s="72" t="s">
        <v>1</v>
      </c>
      <c r="S3" s="75" t="s">
        <v>2</v>
      </c>
      <c r="T3" s="76"/>
      <c r="U3" s="72" t="s">
        <v>1</v>
      </c>
      <c r="V3" s="73" t="s">
        <v>2</v>
      </c>
      <c r="W3" s="77"/>
      <c r="X3" s="78"/>
      <c r="Y3" s="40"/>
      <c r="AB3" s="41"/>
      <c r="AC3" s="121"/>
      <c r="AD3" s="121"/>
      <c r="AE3" s="121"/>
      <c r="AF3" s="121"/>
      <c r="AG3" s="121"/>
      <c r="AH3" s="121"/>
      <c r="AI3" s="121"/>
      <c r="AJ3" s="121"/>
      <c r="AK3" s="41"/>
      <c r="AL3" s="41"/>
      <c r="AM3" s="41"/>
      <c r="AN3" s="41"/>
      <c r="AP3" s="247"/>
      <c r="AQ3" s="15"/>
      <c r="AT3" s="15"/>
      <c r="AU3" s="139"/>
      <c r="AV3" s="140"/>
      <c r="AW3" s="55"/>
      <c r="AX3"/>
      <c r="AY3"/>
      <c r="AZ3"/>
      <c r="BA3"/>
    </row>
    <row r="4" spans="1:67" ht="15" x14ac:dyDescent="0.25">
      <c r="C4" s="6" t="s">
        <v>3</v>
      </c>
      <c r="D4" s="6"/>
      <c r="F4" s="99" t="s">
        <v>286</v>
      </c>
      <c r="I4" s="117" t="s">
        <v>310</v>
      </c>
      <c r="K4" s="2"/>
      <c r="L4" s="79">
        <v>1</v>
      </c>
      <c r="M4" s="73" t="s">
        <v>4</v>
      </c>
      <c r="N4" s="74"/>
      <c r="O4" s="80">
        <v>4</v>
      </c>
      <c r="P4" s="73" t="s">
        <v>5</v>
      </c>
      <c r="Q4" s="74"/>
      <c r="R4" s="81">
        <v>7</v>
      </c>
      <c r="S4" s="75" t="s">
        <v>6</v>
      </c>
      <c r="T4" s="76"/>
      <c r="U4" s="82">
        <v>10</v>
      </c>
      <c r="V4" s="21" t="s">
        <v>7</v>
      </c>
      <c r="W4" s="83"/>
      <c r="X4" s="84"/>
      <c r="Y4" s="188"/>
      <c r="AB4" s="54"/>
      <c r="AC4" s="120"/>
      <c r="AD4" s="120"/>
      <c r="AE4" s="120"/>
      <c r="AF4" s="120"/>
      <c r="AG4" s="120"/>
      <c r="AH4" s="120"/>
      <c r="AI4" s="120"/>
      <c r="AJ4" s="120"/>
      <c r="AK4" s="54"/>
      <c r="AL4" s="54"/>
      <c r="AM4" s="54"/>
      <c r="AN4" s="54"/>
      <c r="AP4" s="247"/>
      <c r="AQ4" s="15"/>
      <c r="AT4" s="15"/>
      <c r="AU4" s="139"/>
      <c r="AV4" s="140"/>
      <c r="AW4" s="55"/>
      <c r="AX4"/>
      <c r="AY4"/>
      <c r="AZ4"/>
      <c r="BA4"/>
    </row>
    <row r="5" spans="1:67" ht="15" x14ac:dyDescent="0.25">
      <c r="C5" s="6" t="s">
        <v>201</v>
      </c>
      <c r="D5" s="6"/>
      <c r="F5" s="189" t="s">
        <v>287</v>
      </c>
      <c r="I5" s="134" t="s">
        <v>309</v>
      </c>
      <c r="K5" s="2"/>
      <c r="L5" s="85">
        <v>2</v>
      </c>
      <c r="M5" s="73" t="s">
        <v>8</v>
      </c>
      <c r="N5" s="74"/>
      <c r="O5" s="81">
        <v>5</v>
      </c>
      <c r="P5" s="73" t="s">
        <v>9</v>
      </c>
      <c r="Q5" s="74"/>
      <c r="R5" s="86">
        <v>8</v>
      </c>
      <c r="S5" s="75" t="s">
        <v>10</v>
      </c>
      <c r="T5" s="76"/>
      <c r="U5" s="71">
        <v>11</v>
      </c>
      <c r="V5" s="87" t="s">
        <v>11</v>
      </c>
      <c r="W5" s="88"/>
      <c r="X5" s="74"/>
      <c r="Y5" s="42"/>
      <c r="AB5" s="54"/>
      <c r="AC5" s="120"/>
      <c r="AD5" s="120"/>
      <c r="AE5" s="120"/>
      <c r="AF5" s="120"/>
      <c r="AG5" s="120"/>
      <c r="AH5" s="120"/>
      <c r="AI5" s="120"/>
      <c r="AJ5" s="120"/>
      <c r="AK5" s="54"/>
      <c r="AL5" s="54"/>
      <c r="AM5" s="54"/>
      <c r="AN5" s="54"/>
      <c r="AP5" s="247"/>
      <c r="AQ5" s="15"/>
      <c r="AT5" s="15"/>
      <c r="AU5" s="139"/>
      <c r="AV5" s="140"/>
      <c r="AW5" s="55"/>
      <c r="AX5"/>
      <c r="AY5"/>
      <c r="AZ5"/>
      <c r="BA5"/>
    </row>
    <row r="6" spans="1:67" ht="13.5" thickBot="1" x14ac:dyDescent="0.25">
      <c r="C6" s="1"/>
      <c r="D6" s="1"/>
      <c r="E6" s="190" t="s">
        <v>362</v>
      </c>
      <c r="F6" s="202"/>
      <c r="I6" s="2"/>
      <c r="J6" s="2"/>
      <c r="K6" s="2"/>
      <c r="L6" s="89">
        <v>3</v>
      </c>
      <c r="M6" s="73" t="s">
        <v>12</v>
      </c>
      <c r="N6" s="74"/>
      <c r="O6" s="90">
        <v>6</v>
      </c>
      <c r="P6" s="73" t="s">
        <v>13</v>
      </c>
      <c r="Q6" s="74"/>
      <c r="R6" s="91">
        <v>9</v>
      </c>
      <c r="S6" s="75" t="s">
        <v>14</v>
      </c>
      <c r="T6" s="76"/>
      <c r="U6" s="92">
        <v>12</v>
      </c>
      <c r="V6" s="87" t="s">
        <v>218</v>
      </c>
      <c r="W6" s="77"/>
      <c r="X6" s="78"/>
      <c r="Y6" s="40"/>
      <c r="Z6" s="17"/>
      <c r="AA6" s="17"/>
      <c r="AB6" s="54"/>
      <c r="AC6" s="120"/>
      <c r="AD6" s="120"/>
      <c r="AE6" s="120"/>
      <c r="AF6" s="120"/>
      <c r="AG6" s="120"/>
      <c r="AH6" s="120"/>
      <c r="AI6" s="120"/>
      <c r="AJ6" s="120"/>
      <c r="AK6" s="54"/>
      <c r="AN6" s="54"/>
      <c r="AP6" s="247"/>
      <c r="AQ6" s="58"/>
      <c r="AR6">
        <v>2</v>
      </c>
      <c r="AS6">
        <v>3</v>
      </c>
      <c r="AT6" s="15"/>
      <c r="AU6" s="139"/>
      <c r="AV6" s="140"/>
      <c r="AW6" s="55"/>
      <c r="AX6"/>
      <c r="AY6"/>
      <c r="AZ6"/>
      <c r="BA6"/>
      <c r="BC6" s="17"/>
    </row>
    <row r="7" spans="1:67" ht="15" customHeight="1" thickTop="1" thickBot="1" x14ac:dyDescent="0.3">
      <c r="C7" s="7" t="s">
        <v>213</v>
      </c>
      <c r="D7" s="7"/>
      <c r="G7" s="274" t="s">
        <v>397</v>
      </c>
      <c r="H7" s="276" t="s">
        <v>398</v>
      </c>
      <c r="I7" s="278" t="s">
        <v>399</v>
      </c>
      <c r="J7" s="274" t="s">
        <v>400</v>
      </c>
      <c r="K7" s="274" t="s">
        <v>401</v>
      </c>
      <c r="L7" s="276" t="s">
        <v>402</v>
      </c>
      <c r="M7" s="278" t="s">
        <v>403</v>
      </c>
      <c r="N7" s="281" t="s">
        <v>404</v>
      </c>
      <c r="O7" s="281" t="s">
        <v>405</v>
      </c>
      <c r="P7" s="281" t="s">
        <v>406</v>
      </c>
      <c r="Q7" s="283" t="s">
        <v>407</v>
      </c>
      <c r="R7" s="285" t="s">
        <v>408</v>
      </c>
      <c r="S7" s="281" t="s">
        <v>409</v>
      </c>
      <c r="T7" s="274" t="s">
        <v>410</v>
      </c>
      <c r="U7" s="274" t="s">
        <v>411</v>
      </c>
      <c r="V7" s="276" t="s">
        <v>412</v>
      </c>
      <c r="W7" s="278" t="s">
        <v>413</v>
      </c>
      <c r="X7" s="274" t="s">
        <v>414</v>
      </c>
      <c r="AA7" s="17"/>
      <c r="AD7" s="862" t="s">
        <v>325</v>
      </c>
      <c r="AE7" s="862"/>
      <c r="AP7" s="254"/>
      <c r="AQ7" s="26" t="s">
        <v>217</v>
      </c>
      <c r="AR7" s="26"/>
      <c r="AS7" s="25"/>
      <c r="AV7"/>
      <c r="AW7"/>
      <c r="AX7" s="47" t="s">
        <v>237</v>
      </c>
      <c r="AY7" s="47"/>
      <c r="AZ7" s="47"/>
      <c r="BA7"/>
      <c r="BF7" s="50" t="s">
        <v>239</v>
      </c>
      <c r="BG7" s="50"/>
      <c r="BH7" s="50"/>
      <c r="BI7" s="50"/>
      <c r="BJ7" s="50"/>
    </row>
    <row r="8" spans="1:67" s="9" customFormat="1" ht="31.5" customHeight="1" thickTop="1" thickBot="1" x14ac:dyDescent="0.25">
      <c r="A8" s="27" t="s">
        <v>214</v>
      </c>
      <c r="B8" s="27" t="s">
        <v>212</v>
      </c>
      <c r="C8" s="8" t="s">
        <v>16</v>
      </c>
      <c r="D8" s="8" t="s">
        <v>353</v>
      </c>
      <c r="E8" s="8" t="s">
        <v>15</v>
      </c>
      <c r="F8" s="30" t="s">
        <v>206</v>
      </c>
      <c r="G8" s="275" t="s">
        <v>504</v>
      </c>
      <c r="H8" s="277" t="s">
        <v>505</v>
      </c>
      <c r="I8" s="279" t="s">
        <v>506</v>
      </c>
      <c r="J8" s="275" t="s">
        <v>507</v>
      </c>
      <c r="K8" s="275" t="s">
        <v>508</v>
      </c>
      <c r="L8" s="280" t="s">
        <v>509</v>
      </c>
      <c r="M8" s="286" t="s">
        <v>510</v>
      </c>
      <c r="N8" s="282" t="s">
        <v>511</v>
      </c>
      <c r="O8" s="282" t="s">
        <v>512</v>
      </c>
      <c r="P8" s="282" t="s">
        <v>513</v>
      </c>
      <c r="Q8" s="284" t="s">
        <v>514</v>
      </c>
      <c r="R8" s="279" t="s">
        <v>515</v>
      </c>
      <c r="S8" s="275" t="s">
        <v>516</v>
      </c>
      <c r="T8" s="275" t="s">
        <v>517</v>
      </c>
      <c r="U8" s="275" t="s">
        <v>518</v>
      </c>
      <c r="V8" s="280" t="s">
        <v>519</v>
      </c>
      <c r="W8" s="286" t="s">
        <v>520</v>
      </c>
      <c r="X8" s="282" t="s">
        <v>521</v>
      </c>
      <c r="Y8" s="282" t="s">
        <v>522</v>
      </c>
      <c r="Z8" s="329" t="s">
        <v>523</v>
      </c>
      <c r="AA8" s="279" t="s">
        <v>524</v>
      </c>
      <c r="AB8" s="275" t="s">
        <v>525</v>
      </c>
      <c r="AC8" s="275" t="s">
        <v>526</v>
      </c>
      <c r="AD8" s="119" t="s">
        <v>323</v>
      </c>
      <c r="AE8" s="119" t="s">
        <v>324</v>
      </c>
      <c r="AF8" s="119" t="s">
        <v>326</v>
      </c>
      <c r="AG8" s="248" t="s">
        <v>16</v>
      </c>
      <c r="AH8" s="248" t="s">
        <v>353</v>
      </c>
      <c r="AI8" s="248" t="s">
        <v>15</v>
      </c>
      <c r="AJ8" s="248" t="s">
        <v>417</v>
      </c>
      <c r="AK8" s="249" t="s">
        <v>396</v>
      </c>
      <c r="AL8" s="249" t="s">
        <v>382</v>
      </c>
      <c r="AM8" s="249" t="s">
        <v>200</v>
      </c>
      <c r="AN8" s="249" t="s">
        <v>383</v>
      </c>
      <c r="AO8" s="258" t="s">
        <v>381</v>
      </c>
      <c r="AP8" s="249" t="s">
        <v>285</v>
      </c>
      <c r="AQ8" s="25" t="s">
        <v>206</v>
      </c>
      <c r="AR8" s="25" t="s">
        <v>215</v>
      </c>
      <c r="AS8" s="25" t="s">
        <v>216</v>
      </c>
      <c r="AT8" s="9" t="s">
        <v>232</v>
      </c>
      <c r="AU8" s="9" t="s">
        <v>233</v>
      </c>
      <c r="AV8"/>
      <c r="AW8" s="9" t="s">
        <v>235</v>
      </c>
      <c r="AX8" s="48" t="s">
        <v>206</v>
      </c>
      <c r="AY8" s="48" t="s">
        <v>308</v>
      </c>
      <c r="AZ8" s="48" t="s">
        <v>238</v>
      </c>
      <c r="BA8" s="188" t="s">
        <v>363</v>
      </c>
      <c r="BB8" s="188" t="s">
        <v>364</v>
      </c>
      <c r="BC8" s="191" t="s">
        <v>375</v>
      </c>
      <c r="BD8" s="191" t="s">
        <v>376</v>
      </c>
      <c r="BE8" s="191" t="s">
        <v>377</v>
      </c>
      <c r="BF8" s="50" t="s">
        <v>206</v>
      </c>
      <c r="BG8" s="192" t="s">
        <v>378</v>
      </c>
      <c r="BH8" s="192" t="s">
        <v>379</v>
      </c>
      <c r="BI8" s="192" t="s">
        <v>350</v>
      </c>
      <c r="BJ8" s="192" t="s">
        <v>380</v>
      </c>
      <c r="BK8" s="9" t="s">
        <v>439</v>
      </c>
      <c r="BL8" s="9" t="s">
        <v>440</v>
      </c>
      <c r="BM8" s="188" t="s">
        <v>442</v>
      </c>
      <c r="BN8" s="188" t="s">
        <v>443</v>
      </c>
      <c r="BO8" s="188" t="s">
        <v>444</v>
      </c>
    </row>
    <row r="9" spans="1:67" ht="17.25" hidden="1" customHeight="1" x14ac:dyDescent="0.2">
      <c r="A9" s="29">
        <v>1</v>
      </c>
      <c r="B9" s="29">
        <v>1</v>
      </c>
      <c r="C9" s="13">
        <v>23</v>
      </c>
      <c r="D9" s="128" t="s">
        <v>293</v>
      </c>
      <c r="E9" s="10" t="s">
        <v>27</v>
      </c>
      <c r="F9" s="10" t="s">
        <v>207</v>
      </c>
      <c r="G9" s="141"/>
      <c r="H9" s="153"/>
      <c r="I9" s="165"/>
      <c r="J9" s="108"/>
      <c r="K9" s="108"/>
      <c r="L9" s="168"/>
      <c r="M9" s="160"/>
      <c r="N9" s="108"/>
      <c r="O9" s="108"/>
      <c r="P9" s="108"/>
      <c r="Q9" s="168"/>
      <c r="R9" s="160"/>
      <c r="S9" s="95"/>
      <c r="T9" s="95"/>
      <c r="U9" s="95"/>
      <c r="V9" s="167"/>
      <c r="W9" s="165"/>
      <c r="X9" s="95"/>
      <c r="Y9" s="44"/>
      <c r="Z9" s="44"/>
      <c r="AA9" s="100"/>
      <c r="AB9" s="100"/>
      <c r="AG9" s="69">
        <v>23</v>
      </c>
      <c r="AH9" s="195" t="s">
        <v>293</v>
      </c>
      <c r="AI9" s="243" t="s">
        <v>27</v>
      </c>
      <c r="AJ9" s="243" t="s">
        <v>418</v>
      </c>
      <c r="AK9" s="244" t="s">
        <v>365</v>
      </c>
      <c r="AL9" s="43" t="str">
        <f>IF(BE9=" ",IF(BD9=" ", IF(BC9=" ","-",BC9),BD9), BE9)</f>
        <v>-</v>
      </c>
      <c r="AM9" s="43">
        <f t="shared" ref="AM9:AN40" si="0">AR9</f>
        <v>0</v>
      </c>
      <c r="AN9" s="193">
        <f t="shared" si="0"/>
        <v>0</v>
      </c>
      <c r="AO9" s="44"/>
      <c r="AP9" s="245" t="str">
        <f t="shared" ref="AP9:AP56" si="1">BJ9</f>
        <v>-</v>
      </c>
      <c r="AQ9" s="26" t="str">
        <f t="shared" ref="AQ9:AQ72" si="2">CONCATENATE(E9,F9)</f>
        <v>CARNATION CREEKSockeye</v>
      </c>
      <c r="AR9" s="26">
        <f t="shared" ref="AR9:AR72" si="3">COUNT(G9:X9)</f>
        <v>0</v>
      </c>
      <c r="AS9" s="33">
        <f t="shared" ref="AS9:AS32" si="4">SUM(G9:X9)</f>
        <v>0</v>
      </c>
      <c r="AV9"/>
      <c r="AW9"/>
      <c r="AX9" s="47" t="str">
        <f t="shared" ref="AX9:AX72" si="5">CONCATENATE(E9,F9)</f>
        <v>CARNATION CREEKSockeye</v>
      </c>
      <c r="AY9" s="49">
        <f t="shared" ref="AY9:AY72" si="6">Z9</f>
        <v>0</v>
      </c>
      <c r="AZ9" s="49">
        <f t="shared" ref="AZ9:AZ72" si="7">Y9</f>
        <v>0</v>
      </c>
      <c r="BA9" s="31">
        <v>2016</v>
      </c>
      <c r="BB9" s="188" t="str">
        <f t="shared" ref="BB9:BB72" si="8">AK9</f>
        <v>BC</v>
      </c>
      <c r="BC9" s="188" t="str">
        <f>IF(ISNUMBER(M9),M$8,IF(ISNUMBER(L9),L$8,IF(ISNUMBER(K9),K$8,IF(ISNUMBER(J9),J$8,IF(ISNUMBER(I9),I$8,IF(ISNUMBER(H9),H$8, IF(ISNUMBER(G9),G$8," ")))))))</f>
        <v xml:space="preserve"> </v>
      </c>
      <c r="BD9" s="188" t="str">
        <f>IF(ISNUMBER(S9),S$8,IF(ISNUMBER(R9),R$8,IF(ISNUMBER(Q9),Q$8,IF(ISNUMBER(P9),P$8,IF(ISNUMBER(O9),O$8,IF(ISNUMBER(N9),N$8," "))))))</f>
        <v xml:space="preserve"> </v>
      </c>
      <c r="BE9" s="188" t="str">
        <f>IF(ISNUMBER(X9),X$8,IF(ISNUMBER(W9),W$8,IF(ISNUMBER(V9),V$8,IF(ISNUMBER(U9),U$8,IF(ISNUMBER(T9),T$8," ")))))</f>
        <v xml:space="preserve"> </v>
      </c>
      <c r="BF9" s="50" t="str">
        <f t="shared" ref="BF9:BF50" si="9">CONCATENATE(E9,"_",F9)</f>
        <v>CARNATION CREEK_Sockeye</v>
      </c>
      <c r="BG9" s="50" t="str">
        <f>IFERROR(VLOOKUP(BF9,'[1]WCVI Esc'!$C$5:$W$534,18,FALSE),"-")</f>
        <v>-</v>
      </c>
      <c r="BH9" s="50" t="str">
        <f t="shared" ref="BH9:BH72" si="10">IFERROR(ROUND(BG9,-1),"-")</f>
        <v>-</v>
      </c>
      <c r="BI9" s="50" t="str">
        <f>IFERROR(VLOOKUP(BF9,'[1]WCVI Esc'!$C$5:$W$534,19,FALSE),"-")</f>
        <v>-</v>
      </c>
      <c r="BJ9" s="50" t="str">
        <f t="shared" ref="BJ9:BJ72" si="11">IFERROR(ROUND(BI9,-1),"-")</f>
        <v>-</v>
      </c>
    </row>
    <row r="10" spans="1:67" ht="16.5" hidden="1" customHeight="1" x14ac:dyDescent="0.2">
      <c r="A10" s="29">
        <v>1</v>
      </c>
      <c r="B10" s="29">
        <v>2</v>
      </c>
      <c r="C10" s="13">
        <v>23</v>
      </c>
      <c r="D10" s="128" t="s">
        <v>293</v>
      </c>
      <c r="E10" s="10" t="s">
        <v>27</v>
      </c>
      <c r="F10" s="10" t="s">
        <v>219</v>
      </c>
      <c r="G10" s="141"/>
      <c r="H10" s="153"/>
      <c r="I10" s="165"/>
      <c r="J10" s="108"/>
      <c r="K10" s="108"/>
      <c r="L10" s="168"/>
      <c r="M10" s="160"/>
      <c r="N10" s="108"/>
      <c r="O10" s="95"/>
      <c r="P10" s="95"/>
      <c r="Q10" s="167"/>
      <c r="R10" s="165"/>
      <c r="S10" s="95"/>
      <c r="T10" s="95"/>
      <c r="U10" s="95"/>
      <c r="V10" s="167"/>
      <c r="W10" s="165"/>
      <c r="X10" s="95"/>
      <c r="Y10" s="45"/>
      <c r="Z10" s="44"/>
      <c r="AA10" s="100">
        <f>Y10/AP10</f>
        <v>0</v>
      </c>
      <c r="AB10" s="100">
        <f>AS10/AP10</f>
        <v>0</v>
      </c>
      <c r="AC10" s="123"/>
      <c r="AD10" s="123"/>
      <c r="AE10" s="123"/>
      <c r="AF10" s="123"/>
      <c r="AG10" s="69">
        <v>23</v>
      </c>
      <c r="AH10" s="195" t="s">
        <v>293</v>
      </c>
      <c r="AI10" s="243" t="s">
        <v>27</v>
      </c>
      <c r="AJ10" s="243" t="s">
        <v>418</v>
      </c>
      <c r="AK10" s="244" t="s">
        <v>365</v>
      </c>
      <c r="AL10" s="43" t="str">
        <f t="shared" ref="AL10:AL73" si="12">IF(BE10=" ",IF(BD10=" ", IF(BC10=" ","-",BC10),BD10), BE10)</f>
        <v>-</v>
      </c>
      <c r="AM10" s="43">
        <f t="shared" si="0"/>
        <v>0</v>
      </c>
      <c r="AN10" s="193">
        <f t="shared" si="0"/>
        <v>0</v>
      </c>
      <c r="AO10" s="270">
        <f t="shared" ref="AO10:AO73" si="13">BH10</f>
        <v>70</v>
      </c>
      <c r="AP10" s="265">
        <f t="shared" si="1"/>
        <v>110</v>
      </c>
      <c r="AQ10" s="26" t="str">
        <f t="shared" si="2"/>
        <v>CARNATION CREEKCoho</v>
      </c>
      <c r="AR10" s="26">
        <f t="shared" si="3"/>
        <v>0</v>
      </c>
      <c r="AS10" s="33">
        <f t="shared" si="4"/>
        <v>0</v>
      </c>
      <c r="AV10"/>
      <c r="AX10" s="47" t="str">
        <f t="shared" si="5"/>
        <v>CARNATION CREEKCoho</v>
      </c>
      <c r="AY10" s="49">
        <f t="shared" si="6"/>
        <v>0</v>
      </c>
      <c r="AZ10" s="49">
        <f t="shared" si="7"/>
        <v>0</v>
      </c>
      <c r="BA10" s="31">
        <v>2016</v>
      </c>
      <c r="BB10" s="188" t="str">
        <f t="shared" si="8"/>
        <v>BC</v>
      </c>
      <c r="BC10" s="188" t="str">
        <f t="shared" ref="BC10:BC73" si="14">IF(ISNUMBER(M10),M$8,IF(ISNUMBER(L10),L$8,IF(ISNUMBER(K10),K$8,IF(ISNUMBER(J10),J$8,IF(ISNUMBER(I10),I$8,IF(ISNUMBER(H10),H$8, IF(ISNUMBER(G10),G$8," ")))))))</f>
        <v xml:space="preserve"> </v>
      </c>
      <c r="BD10" s="188" t="str">
        <f t="shared" ref="BD10:BD73" si="15">IF(ISNUMBER(S10),S$8,IF(ISNUMBER(R10),R$8,IF(ISNUMBER(Q10),Q$8,IF(ISNUMBER(P10),P$8,IF(ISNUMBER(O10),O$8,IF(ISNUMBER(N10),N$8," "))))))</f>
        <v xml:space="preserve"> </v>
      </c>
      <c r="BE10" s="188" t="str">
        <f t="shared" ref="BE10:BE73" si="16">IF(ISNUMBER(X10),X$8,IF(ISNUMBER(W10),W$8,IF(ISNUMBER(V10),V$8,IF(ISNUMBER(U10),U$8,IF(ISNUMBER(T10),T$8," ")))))</f>
        <v xml:space="preserve"> </v>
      </c>
      <c r="BF10" s="50" t="str">
        <f t="shared" si="9"/>
        <v>CARNATION CREEK_Coho</v>
      </c>
      <c r="BG10" s="50">
        <f>IFERROR(VLOOKUP(BF10,'[1]WCVI Esc'!$C$5:$W$534,18,FALSE),"-")</f>
        <v>69</v>
      </c>
      <c r="BH10" s="50">
        <f t="shared" si="10"/>
        <v>70</v>
      </c>
      <c r="BI10" s="50">
        <f>IFERROR(VLOOKUP(BF10,'[1]WCVI Esc'!$C$5:$W$534,19,FALSE),"-")</f>
        <v>108.08333333333333</v>
      </c>
      <c r="BJ10" s="50">
        <f t="shared" si="11"/>
        <v>110</v>
      </c>
    </row>
    <row r="11" spans="1:67" ht="14.25" hidden="1" customHeight="1" x14ac:dyDescent="0.2">
      <c r="A11" s="29">
        <v>3</v>
      </c>
      <c r="B11" s="29">
        <v>3</v>
      </c>
      <c r="C11" s="13">
        <v>23</v>
      </c>
      <c r="D11" s="128" t="s">
        <v>293</v>
      </c>
      <c r="E11" s="10" t="s">
        <v>27</v>
      </c>
      <c r="F11" s="10" t="s">
        <v>208</v>
      </c>
      <c r="G11" s="141"/>
      <c r="H11" s="153"/>
      <c r="I11" s="165"/>
      <c r="J11" s="108"/>
      <c r="K11" s="108"/>
      <c r="L11" s="168"/>
      <c r="M11" s="160"/>
      <c r="N11" s="108"/>
      <c r="O11" s="95"/>
      <c r="P11" s="95"/>
      <c r="Q11" s="167"/>
      <c r="R11" s="165"/>
      <c r="S11" s="95"/>
      <c r="T11" s="95"/>
      <c r="U11" s="95"/>
      <c r="V11" s="167"/>
      <c r="W11" s="165"/>
      <c r="X11" s="95"/>
      <c r="Y11" s="45"/>
      <c r="Z11" s="44"/>
      <c r="AA11" s="100"/>
      <c r="AB11" s="100"/>
      <c r="AC11" s="100"/>
      <c r="AD11" s="100"/>
      <c r="AE11" s="100"/>
      <c r="AF11" s="100"/>
      <c r="AG11" s="69">
        <v>23</v>
      </c>
      <c r="AH11" s="195" t="s">
        <v>293</v>
      </c>
      <c r="AI11" s="243" t="s">
        <v>27</v>
      </c>
      <c r="AJ11" s="243" t="s">
        <v>419</v>
      </c>
      <c r="AK11" s="244" t="s">
        <v>365</v>
      </c>
      <c r="AL11" s="43" t="str">
        <f t="shared" si="12"/>
        <v>-</v>
      </c>
      <c r="AM11" s="43">
        <f t="shared" si="0"/>
        <v>0</v>
      </c>
      <c r="AN11" s="193">
        <f t="shared" si="0"/>
        <v>0</v>
      </c>
      <c r="AO11" s="44" t="str">
        <f t="shared" si="13"/>
        <v>-</v>
      </c>
      <c r="AP11" s="245" t="str">
        <f t="shared" si="1"/>
        <v>-</v>
      </c>
      <c r="AQ11" s="26" t="str">
        <f t="shared" si="2"/>
        <v>CARNATION CREEKPink</v>
      </c>
      <c r="AR11" s="26">
        <f t="shared" si="3"/>
        <v>0</v>
      </c>
      <c r="AS11" s="33">
        <f t="shared" si="4"/>
        <v>0</v>
      </c>
      <c r="AV11"/>
      <c r="AX11" s="47" t="str">
        <f t="shared" si="5"/>
        <v>CARNATION CREEKPink</v>
      </c>
      <c r="AY11" s="49">
        <f t="shared" si="6"/>
        <v>0</v>
      </c>
      <c r="AZ11" s="49">
        <f t="shared" si="7"/>
        <v>0</v>
      </c>
      <c r="BA11" s="31">
        <v>0</v>
      </c>
      <c r="BB11" s="188" t="str">
        <f t="shared" si="8"/>
        <v>BC</v>
      </c>
      <c r="BC11" s="188" t="str">
        <f t="shared" si="14"/>
        <v xml:space="preserve"> </v>
      </c>
      <c r="BD11" s="188" t="str">
        <f t="shared" si="15"/>
        <v xml:space="preserve"> </v>
      </c>
      <c r="BE11" s="188" t="str">
        <f t="shared" si="16"/>
        <v xml:space="preserve"> </v>
      </c>
      <c r="BF11" s="50" t="str">
        <f t="shared" si="9"/>
        <v>CARNATION CREEK_Pink</v>
      </c>
      <c r="BG11" s="50" t="str">
        <f>IFERROR(VLOOKUP(BF11,'[1]WCVI Esc'!$C$5:$W$534,18,FALSE),"-")</f>
        <v>-</v>
      </c>
      <c r="BH11" s="50" t="str">
        <f t="shared" si="10"/>
        <v>-</v>
      </c>
      <c r="BI11" s="50" t="str">
        <f>IFERROR(VLOOKUP(BF11,'[1]WCVI Esc'!$C$5:$W$534,19,FALSE),"-")</f>
        <v>-</v>
      </c>
      <c r="BJ11" s="50" t="str">
        <f t="shared" si="11"/>
        <v>-</v>
      </c>
    </row>
    <row r="12" spans="1:67" ht="15.75" hidden="1" customHeight="1" x14ac:dyDescent="0.2">
      <c r="A12" s="29">
        <v>3</v>
      </c>
      <c r="B12" s="29">
        <v>4</v>
      </c>
      <c r="C12" s="13">
        <v>23</v>
      </c>
      <c r="D12" s="128" t="s">
        <v>293</v>
      </c>
      <c r="E12" s="10" t="s">
        <v>27</v>
      </c>
      <c r="F12" s="10" t="s">
        <v>209</v>
      </c>
      <c r="G12" s="141"/>
      <c r="H12" s="153"/>
      <c r="I12" s="165"/>
      <c r="J12" s="108"/>
      <c r="K12" s="108"/>
      <c r="L12" s="168"/>
      <c r="M12" s="160"/>
      <c r="N12" s="108"/>
      <c r="O12" s="95"/>
      <c r="P12" s="95"/>
      <c r="Q12" s="167"/>
      <c r="R12" s="165"/>
      <c r="S12" s="95"/>
      <c r="T12" s="95"/>
      <c r="U12" s="95"/>
      <c r="V12" s="167"/>
      <c r="W12" s="165"/>
      <c r="X12" s="95"/>
      <c r="Y12" s="45"/>
      <c r="Z12" s="44"/>
      <c r="AA12" s="100">
        <f>Y12/AP12</f>
        <v>0</v>
      </c>
      <c r="AB12" s="100">
        <f>AS12/AP12</f>
        <v>0</v>
      </c>
      <c r="AC12" s="123"/>
      <c r="AD12" s="123"/>
      <c r="AE12" s="123"/>
      <c r="AF12" s="123"/>
      <c r="AG12" s="69">
        <v>23</v>
      </c>
      <c r="AH12" s="195" t="s">
        <v>293</v>
      </c>
      <c r="AI12" s="243" t="s">
        <v>27</v>
      </c>
      <c r="AJ12" s="243" t="s">
        <v>419</v>
      </c>
      <c r="AK12" s="244" t="s">
        <v>365</v>
      </c>
      <c r="AL12" s="43" t="str">
        <f t="shared" si="12"/>
        <v>-</v>
      </c>
      <c r="AM12" s="43">
        <f t="shared" si="0"/>
        <v>0</v>
      </c>
      <c r="AN12" s="193">
        <f t="shared" si="0"/>
        <v>0</v>
      </c>
      <c r="AO12" s="270">
        <f t="shared" si="13"/>
        <v>10</v>
      </c>
      <c r="AP12" s="265">
        <f t="shared" si="1"/>
        <v>170</v>
      </c>
      <c r="AQ12" s="26" t="str">
        <f t="shared" si="2"/>
        <v>CARNATION CREEKChum</v>
      </c>
      <c r="AR12" s="26">
        <f t="shared" si="3"/>
        <v>0</v>
      </c>
      <c r="AS12" s="33">
        <f t="shared" si="4"/>
        <v>0</v>
      </c>
      <c r="AV12"/>
      <c r="AX12" s="47" t="str">
        <f t="shared" si="5"/>
        <v>CARNATION CREEKChum</v>
      </c>
      <c r="AY12" s="49">
        <f t="shared" si="6"/>
        <v>0</v>
      </c>
      <c r="AZ12" s="49">
        <f t="shared" si="7"/>
        <v>0</v>
      </c>
      <c r="BA12" s="31">
        <v>2016</v>
      </c>
      <c r="BB12" s="188" t="str">
        <f t="shared" si="8"/>
        <v>BC</v>
      </c>
      <c r="BC12" s="188" t="str">
        <f t="shared" si="14"/>
        <v xml:space="preserve"> </v>
      </c>
      <c r="BD12" s="188" t="str">
        <f t="shared" si="15"/>
        <v xml:space="preserve"> </v>
      </c>
      <c r="BE12" s="188" t="str">
        <f t="shared" si="16"/>
        <v xml:space="preserve"> </v>
      </c>
      <c r="BF12" s="50" t="str">
        <f t="shared" si="9"/>
        <v>CARNATION CREEK_Chum</v>
      </c>
      <c r="BG12" s="50">
        <f>IFERROR(VLOOKUP(BF12,'[1]WCVI Esc'!$C$5:$W$534,18,FALSE),"-")</f>
        <v>12</v>
      </c>
      <c r="BH12" s="50">
        <f t="shared" si="10"/>
        <v>10</v>
      </c>
      <c r="BI12" s="50">
        <f>IFERROR(VLOOKUP(BF12,'[1]WCVI Esc'!$C$5:$W$534,19,FALSE),"-")</f>
        <v>170</v>
      </c>
      <c r="BJ12" s="50">
        <f t="shared" si="11"/>
        <v>170</v>
      </c>
    </row>
    <row r="13" spans="1:67" ht="14.25" hidden="1" customHeight="1" x14ac:dyDescent="0.2">
      <c r="A13" s="29">
        <v>3</v>
      </c>
      <c r="B13" s="29">
        <v>5</v>
      </c>
      <c r="C13" s="13">
        <v>23</v>
      </c>
      <c r="D13" s="128" t="s">
        <v>293</v>
      </c>
      <c r="E13" s="10" t="s">
        <v>27</v>
      </c>
      <c r="F13" s="10" t="s">
        <v>210</v>
      </c>
      <c r="G13" s="141"/>
      <c r="H13" s="153"/>
      <c r="I13" s="165"/>
      <c r="J13" s="108"/>
      <c r="K13" s="108"/>
      <c r="L13" s="168"/>
      <c r="M13" s="160"/>
      <c r="N13" s="108"/>
      <c r="O13" s="95"/>
      <c r="P13" s="95"/>
      <c r="Q13" s="167"/>
      <c r="R13" s="165"/>
      <c r="S13" s="95"/>
      <c r="T13" s="95"/>
      <c r="U13" s="95"/>
      <c r="V13" s="167"/>
      <c r="W13" s="165"/>
      <c r="X13" s="95"/>
      <c r="Y13" s="45"/>
      <c r="Z13" s="44"/>
      <c r="AA13" s="100"/>
      <c r="AB13" s="100"/>
      <c r="AC13" s="100"/>
      <c r="AD13" s="100"/>
      <c r="AE13" s="100"/>
      <c r="AF13" s="100"/>
      <c r="AG13" s="69">
        <v>23</v>
      </c>
      <c r="AH13" s="195" t="s">
        <v>293</v>
      </c>
      <c r="AI13" s="243" t="s">
        <v>27</v>
      </c>
      <c r="AJ13" s="243" t="s">
        <v>419</v>
      </c>
      <c r="AK13" s="244" t="s">
        <v>365</v>
      </c>
      <c r="AL13" s="43" t="str">
        <f t="shared" si="12"/>
        <v>-</v>
      </c>
      <c r="AM13" s="43">
        <f t="shared" si="0"/>
        <v>0</v>
      </c>
      <c r="AN13" s="193">
        <f t="shared" si="0"/>
        <v>0</v>
      </c>
      <c r="AO13" s="44" t="str">
        <f t="shared" si="13"/>
        <v>-</v>
      </c>
      <c r="AP13" s="245" t="str">
        <f t="shared" si="1"/>
        <v>-</v>
      </c>
      <c r="AQ13" s="26" t="str">
        <f t="shared" si="2"/>
        <v>CARNATION CREEKChinook</v>
      </c>
      <c r="AR13" s="26">
        <f t="shared" si="3"/>
        <v>0</v>
      </c>
      <c r="AS13" s="33">
        <f t="shared" si="4"/>
        <v>0</v>
      </c>
      <c r="AV13"/>
      <c r="AX13" s="47" t="str">
        <f t="shared" si="5"/>
        <v>CARNATION CREEKChinook</v>
      </c>
      <c r="AY13" s="49">
        <f t="shared" si="6"/>
        <v>0</v>
      </c>
      <c r="AZ13" s="49">
        <f t="shared" si="7"/>
        <v>0</v>
      </c>
      <c r="BA13" s="31">
        <v>2016</v>
      </c>
      <c r="BB13" s="188" t="str">
        <f t="shared" si="8"/>
        <v>BC</v>
      </c>
      <c r="BC13" s="188" t="str">
        <f t="shared" si="14"/>
        <v xml:space="preserve"> </v>
      </c>
      <c r="BD13" s="188" t="str">
        <f t="shared" si="15"/>
        <v xml:space="preserve"> </v>
      </c>
      <c r="BE13" s="188" t="str">
        <f t="shared" si="16"/>
        <v xml:space="preserve"> </v>
      </c>
      <c r="BF13" s="50" t="str">
        <f t="shared" si="9"/>
        <v>CARNATION CREEK_Chinook</v>
      </c>
      <c r="BG13" s="50" t="str">
        <f>IFERROR(VLOOKUP(BF13,'[1]WCVI Esc'!$C$5:$W$534,18,FALSE),"-")</f>
        <v>-</v>
      </c>
      <c r="BH13" s="50" t="str">
        <f t="shared" si="10"/>
        <v>-</v>
      </c>
      <c r="BI13" s="50" t="str">
        <f>IFERROR(VLOOKUP(BF13,'[1]WCVI Esc'!$C$5:$W$534,19,FALSE),"-")</f>
        <v>-</v>
      </c>
      <c r="BJ13" s="50" t="str">
        <f t="shared" si="11"/>
        <v>-</v>
      </c>
      <c r="BK13" t="s">
        <v>441</v>
      </c>
      <c r="BL13" t="s">
        <v>365</v>
      </c>
      <c r="BO13" s="31">
        <v>1</v>
      </c>
    </row>
    <row r="14" spans="1:67" ht="13.5" hidden="1" customHeight="1" x14ac:dyDescent="0.2">
      <c r="A14" s="29">
        <v>1</v>
      </c>
      <c r="B14" s="29">
        <v>6</v>
      </c>
      <c r="C14" s="13">
        <v>23</v>
      </c>
      <c r="D14" s="128" t="s">
        <v>293</v>
      </c>
      <c r="E14" s="10" t="s">
        <v>27</v>
      </c>
      <c r="F14" s="10" t="s">
        <v>211</v>
      </c>
      <c r="G14" s="141"/>
      <c r="H14" s="153"/>
      <c r="I14" s="165"/>
      <c r="J14" s="108"/>
      <c r="K14" s="108"/>
      <c r="L14" s="168"/>
      <c r="M14" s="160"/>
      <c r="N14" s="108"/>
      <c r="O14" s="95"/>
      <c r="P14" s="95"/>
      <c r="Q14" s="167"/>
      <c r="R14" s="165"/>
      <c r="S14" s="95"/>
      <c r="T14" s="95"/>
      <c r="U14" s="95"/>
      <c r="V14" s="167"/>
      <c r="W14" s="165"/>
      <c r="X14" s="95"/>
      <c r="Y14" s="45"/>
      <c r="Z14" s="44"/>
      <c r="AA14" s="100"/>
      <c r="AB14" s="100"/>
      <c r="AC14" s="100"/>
      <c r="AD14" s="100"/>
      <c r="AE14" s="100"/>
      <c r="AF14" s="100"/>
      <c r="AG14" s="69">
        <v>23</v>
      </c>
      <c r="AH14" s="195" t="s">
        <v>293</v>
      </c>
      <c r="AI14" s="243" t="s">
        <v>27</v>
      </c>
      <c r="AJ14" s="243" t="s">
        <v>418</v>
      </c>
      <c r="AK14" s="244" t="s">
        <v>365</v>
      </c>
      <c r="AL14" s="43" t="str">
        <f t="shared" si="12"/>
        <v>-</v>
      </c>
      <c r="AM14" s="43">
        <f t="shared" si="0"/>
        <v>0</v>
      </c>
      <c r="AN14" s="193">
        <f t="shared" si="0"/>
        <v>0</v>
      </c>
      <c r="AO14" s="44" t="str">
        <f t="shared" si="13"/>
        <v>-</v>
      </c>
      <c r="AP14" s="245" t="str">
        <f t="shared" si="1"/>
        <v>-</v>
      </c>
      <c r="AQ14" s="26" t="str">
        <f t="shared" si="2"/>
        <v>CARNATION CREEKSteelhead</v>
      </c>
      <c r="AR14" s="26">
        <f t="shared" si="3"/>
        <v>0</v>
      </c>
      <c r="AS14" s="33">
        <f t="shared" si="4"/>
        <v>0</v>
      </c>
      <c r="AV14"/>
      <c r="AX14" s="47" t="str">
        <f t="shared" si="5"/>
        <v>CARNATION CREEKSteelhead</v>
      </c>
      <c r="AY14" s="49">
        <f t="shared" si="6"/>
        <v>0</v>
      </c>
      <c r="AZ14" s="49">
        <f t="shared" si="7"/>
        <v>0</v>
      </c>
      <c r="BA14" s="31">
        <v>0</v>
      </c>
      <c r="BB14" s="188" t="str">
        <f t="shared" si="8"/>
        <v>BC</v>
      </c>
      <c r="BC14" s="188" t="str">
        <f t="shared" si="14"/>
        <v xml:space="preserve"> </v>
      </c>
      <c r="BD14" s="188" t="str">
        <f t="shared" si="15"/>
        <v xml:space="preserve"> </v>
      </c>
      <c r="BE14" s="188" t="str">
        <f t="shared" si="16"/>
        <v xml:space="preserve"> </v>
      </c>
      <c r="BF14" s="50" t="str">
        <f t="shared" si="9"/>
        <v>CARNATION CREEK_Steelhead</v>
      </c>
      <c r="BG14" s="50" t="str">
        <f>IFERROR(VLOOKUP(BF14,'[1]WCVI Esc'!$C$5:$W$534,18,FALSE),"-")</f>
        <v>-</v>
      </c>
      <c r="BH14" s="50" t="str">
        <f t="shared" si="10"/>
        <v>-</v>
      </c>
      <c r="BI14" s="50" t="str">
        <f>IFERROR(VLOOKUP(BF14,'[1]WCVI Esc'!$C$5:$W$534,19,FALSE),"-")</f>
        <v>-</v>
      </c>
      <c r="BJ14" s="50" t="str">
        <f t="shared" si="11"/>
        <v>-</v>
      </c>
    </row>
    <row r="15" spans="1:67" hidden="1" x14ac:dyDescent="0.2">
      <c r="A15" s="29">
        <v>3</v>
      </c>
      <c r="B15" s="29">
        <v>1</v>
      </c>
      <c r="C15" s="13">
        <v>23</v>
      </c>
      <c r="D15" s="13" t="s">
        <v>354</v>
      </c>
      <c r="E15" s="10" t="s">
        <v>221</v>
      </c>
      <c r="F15" s="10" t="s">
        <v>207</v>
      </c>
      <c r="G15" s="10"/>
      <c r="H15" s="152"/>
      <c r="I15" s="164"/>
      <c r="J15" s="62"/>
      <c r="K15" s="94"/>
      <c r="L15" s="64"/>
      <c r="M15" s="164"/>
      <c r="N15" s="94"/>
      <c r="O15" s="62"/>
      <c r="P15" s="62"/>
      <c r="Q15" s="64"/>
      <c r="R15" s="164"/>
      <c r="S15" s="62"/>
      <c r="T15" s="62"/>
      <c r="U15" s="62"/>
      <c r="V15" s="64"/>
      <c r="W15" s="164"/>
      <c r="X15" s="62"/>
      <c r="Y15" s="45"/>
      <c r="Z15" s="44"/>
      <c r="AA15" s="100"/>
      <c r="AB15" s="100"/>
      <c r="AC15" s="123"/>
      <c r="AD15" s="123"/>
      <c r="AE15" s="123"/>
      <c r="AF15" s="123"/>
      <c r="AG15" s="69">
        <v>23</v>
      </c>
      <c r="AH15" s="69" t="s">
        <v>354</v>
      </c>
      <c r="AI15" s="243" t="s">
        <v>221</v>
      </c>
      <c r="AJ15" s="243" t="s">
        <v>419</v>
      </c>
      <c r="AK15" s="244" t="s">
        <v>366</v>
      </c>
      <c r="AL15" s="43" t="str">
        <f t="shared" si="12"/>
        <v>-</v>
      </c>
      <c r="AM15" s="43">
        <f t="shared" si="0"/>
        <v>0</v>
      </c>
      <c r="AN15" s="193">
        <f t="shared" si="0"/>
        <v>0</v>
      </c>
      <c r="AO15" s="44" t="str">
        <f t="shared" si="13"/>
        <v>-</v>
      </c>
      <c r="AP15" s="245" t="str">
        <f t="shared" si="1"/>
        <v>-</v>
      </c>
      <c r="AQ15" s="26" t="str">
        <f t="shared" si="2"/>
        <v>SOMASS RIVER (Lower)Sockeye</v>
      </c>
      <c r="AR15" s="26">
        <f t="shared" si="3"/>
        <v>0</v>
      </c>
      <c r="AS15" s="33">
        <f t="shared" si="4"/>
        <v>0</v>
      </c>
      <c r="AV15"/>
      <c r="AX15" s="47" t="str">
        <f t="shared" si="5"/>
        <v>SOMASS RIVER (Lower)Sockeye</v>
      </c>
      <c r="AY15" s="49">
        <f t="shared" si="6"/>
        <v>0</v>
      </c>
      <c r="AZ15" s="49">
        <f t="shared" si="7"/>
        <v>0</v>
      </c>
      <c r="BA15" s="31">
        <v>2016</v>
      </c>
      <c r="BB15" s="188" t="str">
        <f t="shared" si="8"/>
        <v>Hup/StAD</v>
      </c>
      <c r="BC15" s="188" t="str">
        <f t="shared" si="14"/>
        <v xml:space="preserve"> </v>
      </c>
      <c r="BD15" s="188" t="str">
        <f t="shared" si="15"/>
        <v xml:space="preserve"> </v>
      </c>
      <c r="BE15" s="188" t="str">
        <f t="shared" si="16"/>
        <v xml:space="preserve"> </v>
      </c>
      <c r="BF15" s="50" t="str">
        <f t="shared" si="9"/>
        <v>SOMASS RIVER (Lower)_Sockeye</v>
      </c>
      <c r="BG15" s="50" t="str">
        <f>IFERROR(VLOOKUP(BF15,'[1]WCVI Esc'!$C$5:$W$534,18,FALSE),"-")</f>
        <v>-</v>
      </c>
      <c r="BH15" s="50" t="str">
        <f t="shared" si="10"/>
        <v>-</v>
      </c>
      <c r="BI15" s="50" t="str">
        <f>IFERROR(VLOOKUP(BF15,'[1]WCVI Esc'!$C$5:$W$534,19,FALSE),"-")</f>
        <v>-</v>
      </c>
      <c r="BJ15" s="50" t="str">
        <f t="shared" si="11"/>
        <v>-</v>
      </c>
    </row>
    <row r="16" spans="1:67" hidden="1" x14ac:dyDescent="0.2">
      <c r="A16" s="29">
        <v>3</v>
      </c>
      <c r="B16" s="29">
        <v>2</v>
      </c>
      <c r="C16" s="13">
        <v>23</v>
      </c>
      <c r="D16" s="13" t="s">
        <v>354</v>
      </c>
      <c r="E16" s="10" t="s">
        <v>221</v>
      </c>
      <c r="F16" s="10" t="s">
        <v>219</v>
      </c>
      <c r="G16" s="10"/>
      <c r="H16" s="152"/>
      <c r="I16" s="164"/>
      <c r="J16" s="62"/>
      <c r="K16" s="94"/>
      <c r="L16" s="64"/>
      <c r="M16" s="164"/>
      <c r="N16" s="94"/>
      <c r="O16" s="62"/>
      <c r="P16" s="62"/>
      <c r="Q16" s="64"/>
      <c r="R16" s="164"/>
      <c r="S16" s="62"/>
      <c r="T16" s="62"/>
      <c r="U16" s="62"/>
      <c r="V16" s="64"/>
      <c r="W16" s="164"/>
      <c r="X16" s="62"/>
      <c r="Y16" s="45"/>
      <c r="Z16" s="44"/>
      <c r="AA16" s="100"/>
      <c r="AB16" s="100"/>
      <c r="AC16" s="123"/>
      <c r="AD16" s="123"/>
      <c r="AE16" s="123"/>
      <c r="AF16" s="123"/>
      <c r="AG16" s="69">
        <v>23</v>
      </c>
      <c r="AH16" s="69" t="s">
        <v>354</v>
      </c>
      <c r="AI16" s="243" t="s">
        <v>221</v>
      </c>
      <c r="AJ16" s="243" t="s">
        <v>419</v>
      </c>
      <c r="AK16" s="244" t="s">
        <v>366</v>
      </c>
      <c r="AL16" s="43" t="str">
        <f t="shared" si="12"/>
        <v>-</v>
      </c>
      <c r="AM16" s="43">
        <f t="shared" si="0"/>
        <v>0</v>
      </c>
      <c r="AN16" s="193">
        <f t="shared" si="0"/>
        <v>0</v>
      </c>
      <c r="AO16" s="44" t="str">
        <f t="shared" si="13"/>
        <v>-</v>
      </c>
      <c r="AP16" s="245" t="str">
        <f t="shared" si="1"/>
        <v>-</v>
      </c>
      <c r="AQ16" s="26" t="str">
        <f t="shared" si="2"/>
        <v>SOMASS RIVER (Lower)Coho</v>
      </c>
      <c r="AR16" s="26">
        <f t="shared" si="3"/>
        <v>0</v>
      </c>
      <c r="AS16" s="33">
        <f t="shared" si="4"/>
        <v>0</v>
      </c>
      <c r="AV16"/>
      <c r="AX16" s="47" t="str">
        <f t="shared" si="5"/>
        <v>SOMASS RIVER (Lower)Coho</v>
      </c>
      <c r="AY16" s="49">
        <f t="shared" si="6"/>
        <v>0</v>
      </c>
      <c r="AZ16" s="49">
        <f t="shared" si="7"/>
        <v>0</v>
      </c>
      <c r="BA16" s="31">
        <v>2016</v>
      </c>
      <c r="BB16" s="188" t="str">
        <f t="shared" si="8"/>
        <v>Hup/StAD</v>
      </c>
      <c r="BC16" s="188" t="str">
        <f t="shared" si="14"/>
        <v xml:space="preserve"> </v>
      </c>
      <c r="BD16" s="188" t="str">
        <f t="shared" si="15"/>
        <v xml:space="preserve"> </v>
      </c>
      <c r="BE16" s="188" t="str">
        <f t="shared" si="16"/>
        <v xml:space="preserve"> </v>
      </c>
      <c r="BF16" s="50" t="str">
        <f t="shared" si="9"/>
        <v>SOMASS RIVER (Lower)_Coho</v>
      </c>
      <c r="BG16" s="50" t="str">
        <f>IFERROR(VLOOKUP(BF16,'[1]WCVI Esc'!$C$5:$W$534,18,FALSE),"-")</f>
        <v>-</v>
      </c>
      <c r="BH16" s="50" t="str">
        <f t="shared" si="10"/>
        <v>-</v>
      </c>
      <c r="BI16" s="50" t="str">
        <f>IFERROR(VLOOKUP(BF16,'[1]WCVI Esc'!$C$5:$W$534,19,FALSE),"-")</f>
        <v>-</v>
      </c>
      <c r="BJ16" s="50" t="str">
        <f t="shared" si="11"/>
        <v>-</v>
      </c>
    </row>
    <row r="17" spans="1:67" hidden="1" x14ac:dyDescent="0.2">
      <c r="A17" s="29">
        <v>3</v>
      </c>
      <c r="B17" s="29">
        <v>3</v>
      </c>
      <c r="C17" s="13">
        <v>23</v>
      </c>
      <c r="D17" s="13" t="s">
        <v>354</v>
      </c>
      <c r="E17" s="10" t="s">
        <v>221</v>
      </c>
      <c r="F17" s="10" t="s">
        <v>208</v>
      </c>
      <c r="G17" s="10"/>
      <c r="H17" s="152"/>
      <c r="I17" s="164"/>
      <c r="J17" s="62"/>
      <c r="K17" s="94"/>
      <c r="L17" s="64"/>
      <c r="M17" s="164"/>
      <c r="N17" s="94"/>
      <c r="O17" s="62"/>
      <c r="P17" s="62"/>
      <c r="Q17" s="64"/>
      <c r="R17" s="164"/>
      <c r="S17" s="62"/>
      <c r="T17" s="62"/>
      <c r="U17" s="62"/>
      <c r="V17" s="64"/>
      <c r="W17" s="164"/>
      <c r="X17" s="62"/>
      <c r="Y17" s="45"/>
      <c r="Z17" s="44"/>
      <c r="AA17" s="100"/>
      <c r="AB17" s="100"/>
      <c r="AC17" s="123"/>
      <c r="AD17" s="123"/>
      <c r="AE17" s="123"/>
      <c r="AF17" s="123"/>
      <c r="AG17" s="69">
        <v>23</v>
      </c>
      <c r="AH17" s="69" t="s">
        <v>354</v>
      </c>
      <c r="AI17" s="243" t="s">
        <v>221</v>
      </c>
      <c r="AJ17" s="243" t="s">
        <v>419</v>
      </c>
      <c r="AK17" s="244" t="s">
        <v>366</v>
      </c>
      <c r="AL17" s="43" t="str">
        <f t="shared" si="12"/>
        <v>-</v>
      </c>
      <c r="AM17" s="43">
        <f t="shared" si="0"/>
        <v>0</v>
      </c>
      <c r="AN17" s="193">
        <f t="shared" si="0"/>
        <v>0</v>
      </c>
      <c r="AO17" s="44" t="str">
        <f t="shared" si="13"/>
        <v>-</v>
      </c>
      <c r="AP17" s="245" t="str">
        <f t="shared" si="1"/>
        <v>-</v>
      </c>
      <c r="AQ17" s="26" t="str">
        <f t="shared" si="2"/>
        <v>SOMASS RIVER (Lower)Pink</v>
      </c>
      <c r="AR17" s="26">
        <f t="shared" si="3"/>
        <v>0</v>
      </c>
      <c r="AS17" s="33">
        <f t="shared" si="4"/>
        <v>0</v>
      </c>
      <c r="AV17"/>
      <c r="AX17" s="47" t="str">
        <f t="shared" si="5"/>
        <v>SOMASS RIVER (Lower)Pink</v>
      </c>
      <c r="AY17" s="49">
        <f t="shared" si="6"/>
        <v>0</v>
      </c>
      <c r="AZ17" s="49">
        <f t="shared" si="7"/>
        <v>0</v>
      </c>
      <c r="BA17" s="31">
        <v>2004</v>
      </c>
      <c r="BB17" s="188" t="str">
        <f t="shared" si="8"/>
        <v>Hup/StAD</v>
      </c>
      <c r="BC17" s="188" t="str">
        <f t="shared" si="14"/>
        <v xml:space="preserve"> </v>
      </c>
      <c r="BD17" s="188" t="str">
        <f t="shared" si="15"/>
        <v xml:space="preserve"> </v>
      </c>
      <c r="BE17" s="188" t="str">
        <f t="shared" si="16"/>
        <v xml:space="preserve"> </v>
      </c>
      <c r="BF17" s="50" t="str">
        <f t="shared" si="9"/>
        <v>SOMASS RIVER (Lower)_Pink</v>
      </c>
      <c r="BG17" s="50" t="str">
        <f>IFERROR(VLOOKUP(BF17,'[1]WCVI Esc'!$C$5:$W$534,18,FALSE),"-")</f>
        <v>-</v>
      </c>
      <c r="BH17" s="50" t="str">
        <f t="shared" si="10"/>
        <v>-</v>
      </c>
      <c r="BI17" s="50" t="str">
        <f>IFERROR(VLOOKUP(BF17,'[1]WCVI Esc'!$C$5:$W$534,19,FALSE),"-")</f>
        <v>-</v>
      </c>
      <c r="BJ17" s="50" t="str">
        <f t="shared" si="11"/>
        <v>-</v>
      </c>
    </row>
    <row r="18" spans="1:67" hidden="1" x14ac:dyDescent="0.2">
      <c r="A18" s="29">
        <v>3</v>
      </c>
      <c r="B18" s="29">
        <v>4</v>
      </c>
      <c r="C18" s="13">
        <v>23</v>
      </c>
      <c r="D18" s="13" t="s">
        <v>354</v>
      </c>
      <c r="E18" s="10" t="s">
        <v>221</v>
      </c>
      <c r="F18" s="10" t="s">
        <v>209</v>
      </c>
      <c r="G18" s="10"/>
      <c r="H18" s="152"/>
      <c r="I18" s="164"/>
      <c r="J18" s="62"/>
      <c r="K18" s="94"/>
      <c r="L18" s="64"/>
      <c r="M18" s="164"/>
      <c r="N18" s="94"/>
      <c r="O18" s="62"/>
      <c r="P18" s="62"/>
      <c r="Q18" s="64"/>
      <c r="R18" s="164"/>
      <c r="S18" s="62"/>
      <c r="T18" s="62"/>
      <c r="U18" s="62"/>
      <c r="V18" s="64"/>
      <c r="W18" s="164"/>
      <c r="X18" s="62"/>
      <c r="Y18" s="45"/>
      <c r="Z18" s="44"/>
      <c r="AA18" s="100"/>
      <c r="AB18" s="100"/>
      <c r="AC18" s="123"/>
      <c r="AD18" s="123"/>
      <c r="AE18" s="123"/>
      <c r="AF18" s="123"/>
      <c r="AG18" s="69">
        <v>23</v>
      </c>
      <c r="AH18" s="69" t="s">
        <v>354</v>
      </c>
      <c r="AI18" s="243" t="s">
        <v>221</v>
      </c>
      <c r="AJ18" s="243" t="s">
        <v>419</v>
      </c>
      <c r="AK18" s="244" t="s">
        <v>366</v>
      </c>
      <c r="AL18" s="43" t="str">
        <f t="shared" si="12"/>
        <v>-</v>
      </c>
      <c r="AM18" s="43">
        <f t="shared" si="0"/>
        <v>0</v>
      </c>
      <c r="AN18" s="193">
        <f t="shared" si="0"/>
        <v>0</v>
      </c>
      <c r="AO18" s="44" t="str">
        <f t="shared" si="13"/>
        <v>-</v>
      </c>
      <c r="AP18" s="245" t="str">
        <f t="shared" si="1"/>
        <v>-</v>
      </c>
      <c r="AQ18" s="26" t="str">
        <f t="shared" si="2"/>
        <v>SOMASS RIVER (Lower)Chum</v>
      </c>
      <c r="AR18" s="26">
        <f t="shared" si="3"/>
        <v>0</v>
      </c>
      <c r="AS18" s="33">
        <f t="shared" si="4"/>
        <v>0</v>
      </c>
      <c r="AV18"/>
      <c r="AW18"/>
      <c r="AX18" s="47" t="str">
        <f t="shared" si="5"/>
        <v>SOMASS RIVER (Lower)Chum</v>
      </c>
      <c r="AY18" s="49">
        <f t="shared" si="6"/>
        <v>0</v>
      </c>
      <c r="AZ18" s="49">
        <f t="shared" si="7"/>
        <v>0</v>
      </c>
      <c r="BA18" s="31">
        <v>2016</v>
      </c>
      <c r="BB18" s="188" t="str">
        <f t="shared" si="8"/>
        <v>Hup/StAD</v>
      </c>
      <c r="BC18" s="188" t="str">
        <f t="shared" si="14"/>
        <v xml:space="preserve"> </v>
      </c>
      <c r="BD18" s="188" t="str">
        <f t="shared" si="15"/>
        <v xml:space="preserve"> </v>
      </c>
      <c r="BE18" s="188" t="str">
        <f t="shared" si="16"/>
        <v xml:space="preserve"> </v>
      </c>
      <c r="BF18" s="50" t="str">
        <f t="shared" si="9"/>
        <v>SOMASS RIVER (Lower)_Chum</v>
      </c>
      <c r="BG18" s="50" t="str">
        <f>IFERROR(VLOOKUP(BF18,'[1]WCVI Esc'!$C$5:$W$534,18,FALSE),"-")</f>
        <v>-</v>
      </c>
      <c r="BH18" s="50" t="str">
        <f t="shared" si="10"/>
        <v>-</v>
      </c>
      <c r="BI18" s="50" t="str">
        <f>IFERROR(VLOOKUP(BF18,'[1]WCVI Esc'!$C$5:$W$534,19,FALSE),"-")</f>
        <v>-</v>
      </c>
      <c r="BJ18" s="50" t="str">
        <f t="shared" si="11"/>
        <v>-</v>
      </c>
    </row>
    <row r="19" spans="1:67" hidden="1" x14ac:dyDescent="0.2">
      <c r="A19" s="29">
        <v>3</v>
      </c>
      <c r="B19" s="29">
        <v>5</v>
      </c>
      <c r="C19" s="13">
        <v>23</v>
      </c>
      <c r="D19" s="13" t="s">
        <v>354</v>
      </c>
      <c r="E19" s="10" t="s">
        <v>221</v>
      </c>
      <c r="F19" s="10" t="s">
        <v>210</v>
      </c>
      <c r="G19" s="10"/>
      <c r="H19" s="152"/>
      <c r="I19" s="164"/>
      <c r="J19" s="62"/>
      <c r="K19" s="94"/>
      <c r="L19" s="64"/>
      <c r="M19" s="164"/>
      <c r="N19" s="94"/>
      <c r="O19" s="62"/>
      <c r="P19" s="62"/>
      <c r="Q19" s="64"/>
      <c r="R19" s="164"/>
      <c r="S19" s="62"/>
      <c r="T19" s="62"/>
      <c r="U19" s="62"/>
      <c r="V19" s="64"/>
      <c r="W19" s="164"/>
      <c r="X19" s="62"/>
      <c r="Y19" s="45"/>
      <c r="Z19" s="44"/>
      <c r="AA19" s="100"/>
      <c r="AB19" s="100"/>
      <c r="AC19" s="123"/>
      <c r="AD19" s="123">
        <v>4298</v>
      </c>
      <c r="AE19" s="123">
        <v>1264</v>
      </c>
      <c r="AF19" s="123"/>
      <c r="AG19" s="69">
        <v>23</v>
      </c>
      <c r="AH19" s="69" t="s">
        <v>354</v>
      </c>
      <c r="AI19" s="243" t="s">
        <v>221</v>
      </c>
      <c r="AJ19" s="243" t="s">
        <v>419</v>
      </c>
      <c r="AK19" s="244" t="s">
        <v>366</v>
      </c>
      <c r="AL19" s="43" t="str">
        <f t="shared" si="12"/>
        <v>-</v>
      </c>
      <c r="AM19" s="43">
        <f t="shared" si="0"/>
        <v>0</v>
      </c>
      <c r="AN19" s="193">
        <f t="shared" si="0"/>
        <v>0</v>
      </c>
      <c r="AO19" s="44" t="str">
        <f t="shared" si="13"/>
        <v>-</v>
      </c>
      <c r="AP19" s="245" t="str">
        <f t="shared" si="1"/>
        <v>-</v>
      </c>
      <c r="AQ19" s="26" t="str">
        <f t="shared" si="2"/>
        <v>SOMASS RIVER (Lower)Chinook</v>
      </c>
      <c r="AR19" s="26">
        <f t="shared" si="3"/>
        <v>0</v>
      </c>
      <c r="AS19" s="33">
        <f t="shared" si="4"/>
        <v>0</v>
      </c>
      <c r="AV19"/>
      <c r="AW19"/>
      <c r="AX19" s="47" t="str">
        <f t="shared" si="5"/>
        <v>SOMASS RIVER (Lower)Chinook</v>
      </c>
      <c r="AY19" s="49">
        <f t="shared" si="6"/>
        <v>0</v>
      </c>
      <c r="AZ19" s="49">
        <f t="shared" si="7"/>
        <v>0</v>
      </c>
      <c r="BA19" s="31">
        <v>2016</v>
      </c>
      <c r="BB19" s="188" t="str">
        <f t="shared" si="8"/>
        <v>Hup/StAD</v>
      </c>
      <c r="BC19" s="188" t="str">
        <f t="shared" si="14"/>
        <v xml:space="preserve"> </v>
      </c>
      <c r="BD19" s="188" t="str">
        <f t="shared" si="15"/>
        <v xml:space="preserve"> </v>
      </c>
      <c r="BE19" s="188" t="str">
        <f t="shared" si="16"/>
        <v xml:space="preserve"> </v>
      </c>
      <c r="BF19" s="50" t="str">
        <f t="shared" si="9"/>
        <v>SOMASS RIVER (Lower)_Chinook</v>
      </c>
      <c r="BG19" s="50" t="str">
        <f>IFERROR(VLOOKUP(BF19,'[1]WCVI Esc'!$C$5:$W$534,18,FALSE),"-")</f>
        <v>-</v>
      </c>
      <c r="BH19" s="50" t="str">
        <f t="shared" si="10"/>
        <v>-</v>
      </c>
      <c r="BI19" s="50" t="str">
        <f>IFERROR(VLOOKUP(BF19,'[1]WCVI Esc'!$C$5:$W$534,19,FALSE),"-")</f>
        <v>-</v>
      </c>
      <c r="BJ19" s="50" t="str">
        <f t="shared" si="11"/>
        <v>-</v>
      </c>
      <c r="BK19">
        <v>4</v>
      </c>
      <c r="BL19" t="s">
        <v>354</v>
      </c>
      <c r="BN19" s="31">
        <v>1</v>
      </c>
    </row>
    <row r="20" spans="1:67" hidden="1" x14ac:dyDescent="0.2">
      <c r="A20" s="29">
        <v>3</v>
      </c>
      <c r="B20" s="29">
        <v>6</v>
      </c>
      <c r="C20" s="13">
        <v>23</v>
      </c>
      <c r="D20" s="13" t="s">
        <v>354</v>
      </c>
      <c r="E20" s="10" t="s">
        <v>221</v>
      </c>
      <c r="F20" s="10" t="s">
        <v>211</v>
      </c>
      <c r="G20" s="10"/>
      <c r="H20" s="152"/>
      <c r="I20" s="164"/>
      <c r="J20" s="62"/>
      <c r="K20" s="94"/>
      <c r="L20" s="64"/>
      <c r="M20" s="164"/>
      <c r="N20" s="94"/>
      <c r="O20" s="62"/>
      <c r="P20" s="62"/>
      <c r="Q20" s="64"/>
      <c r="R20" s="164"/>
      <c r="S20" s="62"/>
      <c r="T20" s="62"/>
      <c r="U20" s="62"/>
      <c r="V20" s="64"/>
      <c r="W20" s="164"/>
      <c r="X20" s="62"/>
      <c r="Y20" s="45"/>
      <c r="Z20" s="44"/>
      <c r="AA20" s="100"/>
      <c r="AB20" s="100"/>
      <c r="AC20" s="123"/>
      <c r="AD20" s="123"/>
      <c r="AE20" s="123"/>
      <c r="AF20" s="123"/>
      <c r="AG20" s="69">
        <v>23</v>
      </c>
      <c r="AH20" s="69" t="s">
        <v>354</v>
      </c>
      <c r="AI20" s="243" t="s">
        <v>221</v>
      </c>
      <c r="AJ20" s="243" t="s">
        <v>419</v>
      </c>
      <c r="AK20" s="244" t="s">
        <v>366</v>
      </c>
      <c r="AL20" s="43" t="str">
        <f t="shared" si="12"/>
        <v>-</v>
      </c>
      <c r="AM20" s="43">
        <f t="shared" si="0"/>
        <v>0</v>
      </c>
      <c r="AN20" s="193">
        <f t="shared" si="0"/>
        <v>0</v>
      </c>
      <c r="AO20" s="44" t="str">
        <f t="shared" si="13"/>
        <v>-</v>
      </c>
      <c r="AP20" s="245" t="str">
        <f t="shared" si="1"/>
        <v>-</v>
      </c>
      <c r="AQ20" s="26" t="str">
        <f t="shared" si="2"/>
        <v>SOMASS RIVER (Lower)Steelhead</v>
      </c>
      <c r="AR20" s="26">
        <f t="shared" si="3"/>
        <v>0</v>
      </c>
      <c r="AS20" s="33">
        <f t="shared" si="4"/>
        <v>0</v>
      </c>
      <c r="AT20" s="17"/>
      <c r="AV20"/>
      <c r="AW20"/>
      <c r="AX20" s="47" t="str">
        <f t="shared" si="5"/>
        <v>SOMASS RIVER (Lower)Steelhead</v>
      </c>
      <c r="AY20" s="49">
        <f t="shared" si="6"/>
        <v>0</v>
      </c>
      <c r="AZ20" s="49">
        <f t="shared" si="7"/>
        <v>0</v>
      </c>
      <c r="BA20" s="31">
        <v>0</v>
      </c>
      <c r="BB20" s="188" t="str">
        <f t="shared" si="8"/>
        <v>Hup/StAD</v>
      </c>
      <c r="BC20" s="188" t="str">
        <f t="shared" si="14"/>
        <v xml:space="preserve"> </v>
      </c>
      <c r="BD20" s="188" t="str">
        <f t="shared" si="15"/>
        <v xml:space="preserve"> </v>
      </c>
      <c r="BE20" s="188" t="str">
        <f t="shared" si="16"/>
        <v xml:space="preserve"> </v>
      </c>
      <c r="BF20" s="50" t="str">
        <f t="shared" si="9"/>
        <v>SOMASS RIVER (Lower)_Steelhead</v>
      </c>
      <c r="BG20" s="50" t="str">
        <f>IFERROR(VLOOKUP(BF20,'[1]WCVI Esc'!$C$5:$W$534,18,FALSE),"-")</f>
        <v>-</v>
      </c>
      <c r="BH20" s="50" t="str">
        <f t="shared" si="10"/>
        <v>-</v>
      </c>
      <c r="BI20" s="50" t="str">
        <f>IFERROR(VLOOKUP(BF20,'[1]WCVI Esc'!$C$5:$W$534,19,FALSE),"-")</f>
        <v>-</v>
      </c>
      <c r="BJ20" s="50" t="str">
        <f t="shared" si="11"/>
        <v>-</v>
      </c>
    </row>
    <row r="21" spans="1:67" hidden="1" x14ac:dyDescent="0.2">
      <c r="A21" s="29">
        <v>3</v>
      </c>
      <c r="B21" s="29">
        <v>1</v>
      </c>
      <c r="C21" s="13">
        <v>23</v>
      </c>
      <c r="D21" s="13" t="s">
        <v>354</v>
      </c>
      <c r="E21" s="10" t="s">
        <v>34</v>
      </c>
      <c r="F21" s="10" t="s">
        <v>207</v>
      </c>
      <c r="G21" s="141"/>
      <c r="H21" s="167"/>
      <c r="I21" s="165"/>
      <c r="J21" s="95"/>
      <c r="K21" s="95"/>
      <c r="L21" s="167"/>
      <c r="M21" s="165"/>
      <c r="N21" s="95"/>
      <c r="O21" s="95"/>
      <c r="P21" s="95"/>
      <c r="Q21" s="167"/>
      <c r="R21" s="290"/>
      <c r="S21" s="95"/>
      <c r="T21" s="95"/>
      <c r="U21" s="62"/>
      <c r="V21" s="64"/>
      <c r="W21" s="164"/>
      <c r="X21" s="62"/>
      <c r="Y21" s="45"/>
      <c r="Z21" s="45"/>
      <c r="AA21" s="100"/>
      <c r="AB21" s="100"/>
      <c r="AC21" s="100"/>
      <c r="AD21" s="100"/>
      <c r="AE21" s="100"/>
      <c r="AF21" s="100"/>
      <c r="AG21" s="69">
        <v>23</v>
      </c>
      <c r="AH21" s="69" t="s">
        <v>354</v>
      </c>
      <c r="AI21" s="243" t="s">
        <v>34</v>
      </c>
      <c r="AJ21" s="243" t="s">
        <v>419</v>
      </c>
      <c r="AK21" s="244" t="s">
        <v>366</v>
      </c>
      <c r="AL21" s="43" t="str">
        <f t="shared" si="12"/>
        <v>-</v>
      </c>
      <c r="AM21" s="43">
        <f t="shared" si="0"/>
        <v>0</v>
      </c>
      <c r="AN21" s="193">
        <f t="shared" si="0"/>
        <v>0</v>
      </c>
      <c r="AO21" s="259" t="str">
        <f t="shared" si="13"/>
        <v>-</v>
      </c>
      <c r="AP21" s="245" t="str">
        <f t="shared" si="1"/>
        <v>-</v>
      </c>
      <c r="AQ21" s="26" t="str">
        <f t="shared" si="2"/>
        <v>SPROAT RIVERSockeye</v>
      </c>
      <c r="AR21" s="26">
        <f t="shared" si="3"/>
        <v>0</v>
      </c>
      <c r="AS21" s="33">
        <f t="shared" si="4"/>
        <v>0</v>
      </c>
      <c r="AT21" s="38"/>
      <c r="AV21"/>
      <c r="AW21"/>
      <c r="AX21" s="47" t="str">
        <f t="shared" si="5"/>
        <v>SPROAT RIVERSockeye</v>
      </c>
      <c r="AY21" s="49">
        <f t="shared" si="6"/>
        <v>0</v>
      </c>
      <c r="AZ21" s="49">
        <f t="shared" si="7"/>
        <v>0</v>
      </c>
      <c r="BA21" s="31">
        <v>2016</v>
      </c>
      <c r="BB21" s="188" t="str">
        <f t="shared" si="8"/>
        <v>Hup/StAD</v>
      </c>
      <c r="BC21" s="188" t="str">
        <f t="shared" si="14"/>
        <v xml:space="preserve"> </v>
      </c>
      <c r="BD21" s="188" t="str">
        <f t="shared" si="15"/>
        <v xml:space="preserve"> </v>
      </c>
      <c r="BE21" s="188" t="str">
        <f t="shared" si="16"/>
        <v xml:space="preserve"> </v>
      </c>
      <c r="BF21" s="50" t="str">
        <f t="shared" si="9"/>
        <v>SPROAT RIVER_Sockeye</v>
      </c>
      <c r="BG21" s="50" t="str">
        <f>IFERROR(VLOOKUP(BF21,'[1]WCVI Esc'!$C$5:$W$534,18,FALSE),"-")</f>
        <v>-</v>
      </c>
      <c r="BH21" s="50" t="str">
        <f t="shared" si="10"/>
        <v>-</v>
      </c>
      <c r="BI21" s="50" t="str">
        <f>IFERROR(VLOOKUP(BF21,'[1]WCVI Esc'!$C$5:$W$534,19,FALSE),"-")</f>
        <v>-</v>
      </c>
      <c r="BJ21" s="50" t="str">
        <f t="shared" si="11"/>
        <v>-</v>
      </c>
    </row>
    <row r="22" spans="1:67" hidden="1" x14ac:dyDescent="0.2">
      <c r="A22" s="29">
        <v>3</v>
      </c>
      <c r="B22" s="29">
        <v>2</v>
      </c>
      <c r="C22" s="13">
        <v>23</v>
      </c>
      <c r="D22" s="13" t="s">
        <v>354</v>
      </c>
      <c r="E22" s="10" t="s">
        <v>34</v>
      </c>
      <c r="F22" s="10" t="s">
        <v>219</v>
      </c>
      <c r="G22" s="141"/>
      <c r="H22" s="167"/>
      <c r="I22" s="165"/>
      <c r="J22" s="95"/>
      <c r="K22" s="95"/>
      <c r="L22" s="167"/>
      <c r="M22" s="165"/>
      <c r="N22" s="95"/>
      <c r="O22" s="95"/>
      <c r="P22" s="95"/>
      <c r="Q22" s="167"/>
      <c r="R22" s="290"/>
      <c r="S22" s="95"/>
      <c r="T22" s="95"/>
      <c r="U22" s="62"/>
      <c r="V22" s="64"/>
      <c r="W22" s="164"/>
      <c r="X22" s="62"/>
      <c r="Y22" s="45"/>
      <c r="Z22" s="45"/>
      <c r="AA22" s="100"/>
      <c r="AB22" s="100"/>
      <c r="AC22" s="100"/>
      <c r="AD22" s="100"/>
      <c r="AE22" s="100"/>
      <c r="AF22" s="100"/>
      <c r="AG22" s="69">
        <v>23</v>
      </c>
      <c r="AH22" s="69" t="s">
        <v>354</v>
      </c>
      <c r="AI22" s="243" t="s">
        <v>34</v>
      </c>
      <c r="AJ22" s="243" t="s">
        <v>419</v>
      </c>
      <c r="AK22" s="244" t="s">
        <v>366</v>
      </c>
      <c r="AL22" s="43" t="str">
        <f t="shared" si="12"/>
        <v>-</v>
      </c>
      <c r="AM22" s="43">
        <f t="shared" si="0"/>
        <v>0</v>
      </c>
      <c r="AN22" s="193">
        <f t="shared" si="0"/>
        <v>0</v>
      </c>
      <c r="AO22" s="259" t="str">
        <f t="shared" si="13"/>
        <v>-</v>
      </c>
      <c r="AP22" s="245" t="str">
        <f t="shared" si="1"/>
        <v>-</v>
      </c>
      <c r="AQ22" s="26" t="str">
        <f t="shared" si="2"/>
        <v>SPROAT RIVERCoho</v>
      </c>
      <c r="AR22" s="26">
        <f t="shared" si="3"/>
        <v>0</v>
      </c>
      <c r="AS22" s="33">
        <f t="shared" si="4"/>
        <v>0</v>
      </c>
      <c r="AV22"/>
      <c r="AW22"/>
      <c r="AX22" s="47" t="str">
        <f t="shared" si="5"/>
        <v>SPROAT RIVERCoho</v>
      </c>
      <c r="AY22" s="49">
        <f t="shared" si="6"/>
        <v>0</v>
      </c>
      <c r="AZ22" s="49">
        <f t="shared" si="7"/>
        <v>0</v>
      </c>
      <c r="BA22" s="31">
        <v>2016</v>
      </c>
      <c r="BB22" s="188" t="str">
        <f t="shared" si="8"/>
        <v>Hup/StAD</v>
      </c>
      <c r="BC22" s="188" t="str">
        <f t="shared" si="14"/>
        <v xml:space="preserve"> </v>
      </c>
      <c r="BD22" s="188" t="str">
        <f t="shared" si="15"/>
        <v xml:space="preserve"> </v>
      </c>
      <c r="BE22" s="188" t="str">
        <f t="shared" si="16"/>
        <v xml:space="preserve"> </v>
      </c>
      <c r="BF22" s="50" t="str">
        <f t="shared" si="9"/>
        <v>SPROAT RIVER_Coho</v>
      </c>
      <c r="BG22" s="50" t="str">
        <f>IFERROR(VLOOKUP(BF22,'[1]WCVI Esc'!$C$5:$W$534,18,FALSE),"-")</f>
        <v>-</v>
      </c>
      <c r="BH22" s="50" t="str">
        <f t="shared" si="10"/>
        <v>-</v>
      </c>
      <c r="BI22" s="50" t="str">
        <f>IFERROR(VLOOKUP(BF22,'[1]WCVI Esc'!$C$5:$W$534,19,FALSE),"-")</f>
        <v>-</v>
      </c>
      <c r="BJ22" s="50" t="str">
        <f t="shared" si="11"/>
        <v>-</v>
      </c>
    </row>
    <row r="23" spans="1:67" hidden="1" x14ac:dyDescent="0.2">
      <c r="A23" s="29">
        <v>3</v>
      </c>
      <c r="B23" s="29">
        <v>3</v>
      </c>
      <c r="C23" s="13">
        <v>23</v>
      </c>
      <c r="D23" s="13" t="s">
        <v>354</v>
      </c>
      <c r="E23" s="10" t="s">
        <v>34</v>
      </c>
      <c r="F23" s="10" t="s">
        <v>208</v>
      </c>
      <c r="G23" s="141"/>
      <c r="H23" s="167"/>
      <c r="I23" s="165"/>
      <c r="J23" s="95"/>
      <c r="K23" s="95"/>
      <c r="L23" s="167"/>
      <c r="M23" s="165"/>
      <c r="N23" s="95"/>
      <c r="O23" s="95"/>
      <c r="P23" s="95"/>
      <c r="Q23" s="167"/>
      <c r="R23" s="290"/>
      <c r="S23" s="95"/>
      <c r="T23" s="95"/>
      <c r="U23" s="62"/>
      <c r="V23" s="64"/>
      <c r="W23" s="164"/>
      <c r="X23" s="62"/>
      <c r="Y23" s="45"/>
      <c r="Z23" s="45"/>
      <c r="AA23" s="100"/>
      <c r="AB23" s="100"/>
      <c r="AC23" s="100"/>
      <c r="AD23" s="100"/>
      <c r="AE23" s="100"/>
      <c r="AF23" s="100"/>
      <c r="AG23" s="69">
        <v>23</v>
      </c>
      <c r="AH23" s="69" t="s">
        <v>354</v>
      </c>
      <c r="AI23" s="243" t="s">
        <v>34</v>
      </c>
      <c r="AJ23" s="243" t="s">
        <v>419</v>
      </c>
      <c r="AK23" s="244" t="s">
        <v>366</v>
      </c>
      <c r="AL23" s="43" t="str">
        <f t="shared" si="12"/>
        <v>-</v>
      </c>
      <c r="AM23" s="43">
        <f t="shared" si="0"/>
        <v>0</v>
      </c>
      <c r="AN23" s="193">
        <f t="shared" si="0"/>
        <v>0</v>
      </c>
      <c r="AO23" s="259" t="str">
        <f t="shared" si="13"/>
        <v>-</v>
      </c>
      <c r="AP23" s="245" t="str">
        <f t="shared" si="1"/>
        <v>-</v>
      </c>
      <c r="AQ23" s="26" t="str">
        <f t="shared" si="2"/>
        <v>SPROAT RIVERPink</v>
      </c>
      <c r="AR23" s="26">
        <f t="shared" si="3"/>
        <v>0</v>
      </c>
      <c r="AS23" s="33">
        <f t="shared" si="4"/>
        <v>0</v>
      </c>
      <c r="AV23"/>
      <c r="AW23"/>
      <c r="AX23" s="47" t="str">
        <f t="shared" si="5"/>
        <v>SPROAT RIVERPink</v>
      </c>
      <c r="AY23" s="49">
        <f t="shared" si="6"/>
        <v>0</v>
      </c>
      <c r="AZ23" s="49">
        <f t="shared" si="7"/>
        <v>0</v>
      </c>
      <c r="BA23" s="31">
        <v>0</v>
      </c>
      <c r="BB23" s="188" t="str">
        <f t="shared" si="8"/>
        <v>Hup/StAD</v>
      </c>
      <c r="BC23" s="188" t="str">
        <f t="shared" si="14"/>
        <v xml:space="preserve"> </v>
      </c>
      <c r="BD23" s="188" t="str">
        <f t="shared" si="15"/>
        <v xml:space="preserve"> </v>
      </c>
      <c r="BE23" s="188" t="str">
        <f t="shared" si="16"/>
        <v xml:space="preserve"> </v>
      </c>
      <c r="BF23" s="50" t="str">
        <f t="shared" si="9"/>
        <v>SPROAT RIVER_Pink</v>
      </c>
      <c r="BG23" s="50" t="str">
        <f>IFERROR(VLOOKUP(BF23,'[1]WCVI Esc'!$C$5:$W$534,18,FALSE),"-")</f>
        <v>-</v>
      </c>
      <c r="BH23" s="50" t="str">
        <f t="shared" si="10"/>
        <v>-</v>
      </c>
      <c r="BI23" s="50" t="str">
        <f>IFERROR(VLOOKUP(BF23,'[1]WCVI Esc'!$C$5:$W$534,19,FALSE),"-")</f>
        <v>-</v>
      </c>
      <c r="BJ23" s="50" t="str">
        <f t="shared" si="11"/>
        <v>-</v>
      </c>
    </row>
    <row r="24" spans="1:67" hidden="1" x14ac:dyDescent="0.2">
      <c r="A24" s="29">
        <v>3</v>
      </c>
      <c r="B24" s="29">
        <v>4</v>
      </c>
      <c r="C24" s="13">
        <v>23</v>
      </c>
      <c r="D24" s="13" t="s">
        <v>354</v>
      </c>
      <c r="E24" s="10" t="s">
        <v>34</v>
      </c>
      <c r="F24" s="10" t="s">
        <v>209</v>
      </c>
      <c r="G24" s="141"/>
      <c r="H24" s="167"/>
      <c r="I24" s="165"/>
      <c r="J24" s="95"/>
      <c r="K24" s="95"/>
      <c r="L24" s="167"/>
      <c r="M24" s="165"/>
      <c r="N24" s="95"/>
      <c r="O24" s="95"/>
      <c r="P24" s="95"/>
      <c r="Q24" s="167"/>
      <c r="R24" s="290"/>
      <c r="S24" s="95"/>
      <c r="T24" s="95"/>
      <c r="U24" s="62"/>
      <c r="V24" s="64"/>
      <c r="W24" s="164"/>
      <c r="X24" s="62"/>
      <c r="Y24" s="45"/>
      <c r="Z24" s="45"/>
      <c r="AA24" s="100"/>
      <c r="AB24" s="100"/>
      <c r="AC24" s="100"/>
      <c r="AD24" s="100"/>
      <c r="AE24" s="100"/>
      <c r="AF24" s="100"/>
      <c r="AG24" s="69">
        <v>23</v>
      </c>
      <c r="AH24" s="69" t="s">
        <v>354</v>
      </c>
      <c r="AI24" s="243" t="s">
        <v>34</v>
      </c>
      <c r="AJ24" s="243" t="s">
        <v>419</v>
      </c>
      <c r="AK24" s="244" t="s">
        <v>366</v>
      </c>
      <c r="AL24" s="43" t="str">
        <f t="shared" si="12"/>
        <v>-</v>
      </c>
      <c r="AM24" s="43">
        <f t="shared" si="0"/>
        <v>0</v>
      </c>
      <c r="AN24" s="193">
        <f t="shared" si="0"/>
        <v>0</v>
      </c>
      <c r="AO24" s="259" t="str">
        <f t="shared" si="13"/>
        <v>-</v>
      </c>
      <c r="AP24" s="245" t="str">
        <f t="shared" si="1"/>
        <v>-</v>
      </c>
      <c r="AQ24" s="26" t="str">
        <f t="shared" si="2"/>
        <v>SPROAT RIVERChum</v>
      </c>
      <c r="AR24" s="26">
        <f t="shared" si="3"/>
        <v>0</v>
      </c>
      <c r="AS24" s="33">
        <f t="shared" si="4"/>
        <v>0</v>
      </c>
      <c r="AV24"/>
      <c r="AW24"/>
      <c r="AX24" s="47" t="str">
        <f t="shared" si="5"/>
        <v>SPROAT RIVERChum</v>
      </c>
      <c r="AY24" s="49">
        <f t="shared" si="6"/>
        <v>0</v>
      </c>
      <c r="AZ24" s="49">
        <f t="shared" si="7"/>
        <v>0</v>
      </c>
      <c r="BA24" s="31">
        <v>2016</v>
      </c>
      <c r="BB24" s="188" t="str">
        <f t="shared" si="8"/>
        <v>Hup/StAD</v>
      </c>
      <c r="BC24" s="188" t="str">
        <f t="shared" si="14"/>
        <v xml:space="preserve"> </v>
      </c>
      <c r="BD24" s="188" t="str">
        <f t="shared" si="15"/>
        <v xml:space="preserve"> </v>
      </c>
      <c r="BE24" s="188" t="str">
        <f t="shared" si="16"/>
        <v xml:space="preserve"> </v>
      </c>
      <c r="BF24" s="50" t="str">
        <f t="shared" si="9"/>
        <v>SPROAT RIVER_Chum</v>
      </c>
      <c r="BG24" s="50" t="str">
        <f>IFERROR(VLOOKUP(BF24,'[1]WCVI Esc'!$C$5:$W$534,18,FALSE),"-")</f>
        <v>-</v>
      </c>
      <c r="BH24" s="50" t="str">
        <f t="shared" si="10"/>
        <v>-</v>
      </c>
      <c r="BI24" s="50" t="str">
        <f>IFERROR(VLOOKUP(BF24,'[1]WCVI Esc'!$C$5:$W$534,19,FALSE),"-")</f>
        <v>-</v>
      </c>
      <c r="BJ24" s="50" t="str">
        <f t="shared" si="11"/>
        <v>-</v>
      </c>
    </row>
    <row r="25" spans="1:67" hidden="1" x14ac:dyDescent="0.2">
      <c r="A25" s="29">
        <v>3</v>
      </c>
      <c r="B25" s="29">
        <v>5</v>
      </c>
      <c r="C25" s="13">
        <v>23</v>
      </c>
      <c r="D25" s="13" t="s">
        <v>354</v>
      </c>
      <c r="E25" s="10" t="s">
        <v>34</v>
      </c>
      <c r="F25" s="10" t="s">
        <v>210</v>
      </c>
      <c r="G25" s="141"/>
      <c r="H25" s="295"/>
      <c r="I25" s="296"/>
      <c r="J25" s="297"/>
      <c r="K25" s="297"/>
      <c r="L25" s="295"/>
      <c r="M25" s="296"/>
      <c r="N25" s="297"/>
      <c r="O25" s="297"/>
      <c r="P25" s="95"/>
      <c r="Q25" s="167"/>
      <c r="R25" s="290"/>
      <c r="S25" s="95"/>
      <c r="T25" s="95"/>
      <c r="U25" s="62"/>
      <c r="V25" s="64"/>
      <c r="W25" s="164"/>
      <c r="X25" s="62"/>
      <c r="Y25" s="45"/>
      <c r="Z25" s="45"/>
      <c r="AA25" s="100"/>
      <c r="AB25" s="100"/>
      <c r="AC25" s="100"/>
      <c r="AD25" s="100"/>
      <c r="AE25" s="100"/>
      <c r="AF25" s="100"/>
      <c r="AG25" s="69">
        <v>23</v>
      </c>
      <c r="AH25" s="69" t="s">
        <v>354</v>
      </c>
      <c r="AI25" s="243" t="s">
        <v>34</v>
      </c>
      <c r="AJ25" s="243" t="s">
        <v>419</v>
      </c>
      <c r="AK25" s="244" t="s">
        <v>366</v>
      </c>
      <c r="AL25" s="43" t="str">
        <f t="shared" si="12"/>
        <v>-</v>
      </c>
      <c r="AM25" s="43">
        <f t="shared" si="0"/>
        <v>0</v>
      </c>
      <c r="AN25" s="193">
        <f t="shared" si="0"/>
        <v>0</v>
      </c>
      <c r="AO25" s="259" t="str">
        <f t="shared" si="13"/>
        <v>-</v>
      </c>
      <c r="AP25" s="245" t="str">
        <f t="shared" si="1"/>
        <v>-</v>
      </c>
      <c r="AQ25" s="26" t="str">
        <f t="shared" si="2"/>
        <v>SPROAT RIVERChinook</v>
      </c>
      <c r="AR25" s="26">
        <f t="shared" si="3"/>
        <v>0</v>
      </c>
      <c r="AS25" s="33">
        <f t="shared" si="4"/>
        <v>0</v>
      </c>
      <c r="AV25"/>
      <c r="AW25"/>
      <c r="AX25" s="47" t="str">
        <f t="shared" si="5"/>
        <v>SPROAT RIVERChinook</v>
      </c>
      <c r="AY25" s="49">
        <f t="shared" si="6"/>
        <v>0</v>
      </c>
      <c r="AZ25" s="49">
        <f t="shared" si="7"/>
        <v>0</v>
      </c>
      <c r="BA25" s="31">
        <v>2016</v>
      </c>
      <c r="BB25" s="188" t="str">
        <f t="shared" si="8"/>
        <v>Hup/StAD</v>
      </c>
      <c r="BC25" s="188" t="str">
        <f t="shared" si="14"/>
        <v xml:space="preserve"> </v>
      </c>
      <c r="BD25" s="188" t="str">
        <f t="shared" si="15"/>
        <v xml:space="preserve"> </v>
      </c>
      <c r="BE25" s="188" t="str">
        <f t="shared" si="16"/>
        <v xml:space="preserve"> </v>
      </c>
      <c r="BF25" s="50" t="str">
        <f t="shared" si="9"/>
        <v>SPROAT RIVER_Chinook</v>
      </c>
      <c r="BG25" s="50" t="str">
        <f>IFERROR(VLOOKUP(BF25,'[1]WCVI Esc'!$C$5:$W$534,18,FALSE),"-")</f>
        <v>-</v>
      </c>
      <c r="BH25" s="50" t="str">
        <f t="shared" si="10"/>
        <v>-</v>
      </c>
      <c r="BI25" s="50" t="str">
        <f>IFERROR(VLOOKUP(BF25,'[1]WCVI Esc'!$C$5:$W$534,19,FALSE),"-")</f>
        <v>-</v>
      </c>
      <c r="BJ25" s="50" t="str">
        <f t="shared" si="11"/>
        <v>-</v>
      </c>
      <c r="BK25" t="s">
        <v>448</v>
      </c>
      <c r="BL25" t="s">
        <v>449</v>
      </c>
      <c r="BO25" s="31">
        <v>1</v>
      </c>
    </row>
    <row r="26" spans="1:67" hidden="1" x14ac:dyDescent="0.2">
      <c r="A26" s="29">
        <v>3</v>
      </c>
      <c r="B26" s="29">
        <v>6</v>
      </c>
      <c r="C26" s="13">
        <v>23</v>
      </c>
      <c r="D26" s="13" t="s">
        <v>354</v>
      </c>
      <c r="E26" s="10" t="s">
        <v>34</v>
      </c>
      <c r="F26" s="10" t="s">
        <v>211</v>
      </c>
      <c r="G26" s="141"/>
      <c r="H26" s="167"/>
      <c r="I26" s="165"/>
      <c r="J26" s="95"/>
      <c r="K26" s="95"/>
      <c r="L26" s="167"/>
      <c r="M26" s="165"/>
      <c r="N26" s="95"/>
      <c r="O26" s="95"/>
      <c r="P26" s="95"/>
      <c r="Q26" s="167"/>
      <c r="R26" s="290"/>
      <c r="S26" s="95"/>
      <c r="T26" s="95"/>
      <c r="U26" s="62"/>
      <c r="V26" s="64"/>
      <c r="W26" s="164"/>
      <c r="X26" s="62"/>
      <c r="Y26" s="45"/>
      <c r="Z26" s="45"/>
      <c r="AA26" s="100"/>
      <c r="AB26" s="100"/>
      <c r="AC26" s="100"/>
      <c r="AD26" s="100"/>
      <c r="AE26" s="100"/>
      <c r="AF26" s="100"/>
      <c r="AG26" s="69">
        <v>23</v>
      </c>
      <c r="AH26" s="69" t="s">
        <v>354</v>
      </c>
      <c r="AI26" s="243" t="s">
        <v>34</v>
      </c>
      <c r="AJ26" s="243" t="s">
        <v>419</v>
      </c>
      <c r="AK26" s="244" t="s">
        <v>366</v>
      </c>
      <c r="AL26" s="43" t="str">
        <f t="shared" si="12"/>
        <v>-</v>
      </c>
      <c r="AM26" s="43">
        <f t="shared" si="0"/>
        <v>0</v>
      </c>
      <c r="AN26" s="193">
        <f t="shared" si="0"/>
        <v>0</v>
      </c>
      <c r="AO26" s="259" t="str">
        <f t="shared" si="13"/>
        <v>-</v>
      </c>
      <c r="AP26" s="245" t="str">
        <f t="shared" si="1"/>
        <v>-</v>
      </c>
      <c r="AQ26" s="26" t="str">
        <f t="shared" si="2"/>
        <v>SPROAT RIVERSteelhead</v>
      </c>
      <c r="AR26" s="26">
        <f t="shared" si="3"/>
        <v>0</v>
      </c>
      <c r="AS26" s="33">
        <f t="shared" si="4"/>
        <v>0</v>
      </c>
      <c r="AV26"/>
      <c r="AW26"/>
      <c r="AX26" s="47" t="str">
        <f t="shared" si="5"/>
        <v>SPROAT RIVERSteelhead</v>
      </c>
      <c r="AY26" s="49">
        <f t="shared" si="6"/>
        <v>0</v>
      </c>
      <c r="AZ26" s="49">
        <f t="shared" si="7"/>
        <v>0</v>
      </c>
      <c r="BA26" s="31">
        <v>0</v>
      </c>
      <c r="BB26" s="188" t="str">
        <f t="shared" si="8"/>
        <v>Hup/StAD</v>
      </c>
      <c r="BC26" s="188" t="str">
        <f t="shared" si="14"/>
        <v xml:space="preserve"> </v>
      </c>
      <c r="BD26" s="188" t="str">
        <f t="shared" si="15"/>
        <v xml:space="preserve"> </v>
      </c>
      <c r="BE26" s="188" t="str">
        <f t="shared" si="16"/>
        <v xml:space="preserve"> </v>
      </c>
      <c r="BF26" s="50" t="str">
        <f t="shared" si="9"/>
        <v>SPROAT RIVER_Steelhead</v>
      </c>
      <c r="BG26" s="50" t="str">
        <f>IFERROR(VLOOKUP(BF26,'[1]WCVI Esc'!$C$5:$W$534,18,FALSE),"-")</f>
        <v>-</v>
      </c>
      <c r="BH26" s="50" t="str">
        <f t="shared" si="10"/>
        <v>-</v>
      </c>
      <c r="BI26" s="50" t="str">
        <f>IFERROR(VLOOKUP(BF26,'[1]WCVI Esc'!$C$5:$W$534,19,FALSE),"-")</f>
        <v>-</v>
      </c>
      <c r="BJ26" s="50" t="str">
        <f t="shared" si="11"/>
        <v>-</v>
      </c>
    </row>
    <row r="27" spans="1:67" hidden="1" x14ac:dyDescent="0.2">
      <c r="A27" s="29">
        <v>1</v>
      </c>
      <c r="B27" s="29">
        <v>1</v>
      </c>
      <c r="C27" s="13">
        <v>23</v>
      </c>
      <c r="D27" s="13" t="s">
        <v>354</v>
      </c>
      <c r="E27" s="10" t="s">
        <v>416</v>
      </c>
      <c r="F27" s="10" t="s">
        <v>207</v>
      </c>
      <c r="G27" s="141"/>
      <c r="H27" s="167"/>
      <c r="I27" s="165"/>
      <c r="J27" s="95"/>
      <c r="K27" s="95"/>
      <c r="L27" s="167"/>
      <c r="M27" s="165"/>
      <c r="N27" s="95"/>
      <c r="O27" s="95"/>
      <c r="P27" s="95"/>
      <c r="Q27" s="167"/>
      <c r="R27" s="290"/>
      <c r="S27" s="95"/>
      <c r="T27" s="95"/>
      <c r="U27" s="62"/>
      <c r="V27" s="64"/>
      <c r="W27" s="164"/>
      <c r="X27" s="62"/>
      <c r="Y27" s="45"/>
      <c r="Z27" s="45"/>
      <c r="AA27" s="100"/>
      <c r="AB27" s="100"/>
      <c r="AC27" s="100"/>
      <c r="AD27" s="100"/>
      <c r="AE27" s="100"/>
      <c r="AF27" s="100"/>
      <c r="AG27" s="69">
        <v>23</v>
      </c>
      <c r="AH27" s="69" t="s">
        <v>354</v>
      </c>
      <c r="AI27" s="243" t="str">
        <f t="shared" ref="AI27:AI32" si="17">E27</f>
        <v>SOMASS SYSTEM</v>
      </c>
      <c r="AJ27" s="243" t="s">
        <v>418</v>
      </c>
      <c r="AK27" s="244" t="s">
        <v>366</v>
      </c>
      <c r="AL27" s="43" t="str">
        <f t="shared" si="12"/>
        <v>-</v>
      </c>
      <c r="AM27" s="43">
        <f t="shared" si="0"/>
        <v>0</v>
      </c>
      <c r="AN27" s="193">
        <f t="shared" si="0"/>
        <v>0</v>
      </c>
      <c r="AO27" s="270">
        <f t="shared" si="13"/>
        <v>325300</v>
      </c>
      <c r="AP27" s="265">
        <f t="shared" si="1"/>
        <v>375060</v>
      </c>
      <c r="AQ27" s="26" t="str">
        <f t="shared" si="2"/>
        <v>SOMASS SYSTEMSockeye</v>
      </c>
      <c r="AR27" s="26">
        <f t="shared" si="3"/>
        <v>0</v>
      </c>
      <c r="AS27" s="33">
        <f t="shared" si="4"/>
        <v>0</v>
      </c>
      <c r="AT27" s="34"/>
      <c r="AV27"/>
      <c r="AW27"/>
      <c r="AX27" s="47" t="str">
        <f t="shared" si="5"/>
        <v>SOMASS SYSTEMSockeye</v>
      </c>
      <c r="AY27" s="49">
        <f t="shared" si="6"/>
        <v>0</v>
      </c>
      <c r="AZ27" s="49">
        <f t="shared" si="7"/>
        <v>0</v>
      </c>
      <c r="BA27" s="31">
        <v>2016</v>
      </c>
      <c r="BB27" s="188" t="str">
        <f t="shared" si="8"/>
        <v>Hup/StAD</v>
      </c>
      <c r="BC27" s="188" t="str">
        <f t="shared" si="14"/>
        <v xml:space="preserve"> </v>
      </c>
      <c r="BD27" s="188" t="str">
        <f t="shared" si="15"/>
        <v xml:space="preserve"> </v>
      </c>
      <c r="BE27" s="188" t="str">
        <f t="shared" si="16"/>
        <v xml:space="preserve"> </v>
      </c>
      <c r="BF27" s="50" t="str">
        <f t="shared" si="9"/>
        <v>SOMASS SYSTEM_Sockeye</v>
      </c>
      <c r="BG27" s="50">
        <f>IFERROR(VLOOKUP(BF27,'[1]WCVI Esc'!$C$5:$W$534,18,FALSE),"-")</f>
        <v>325299.25</v>
      </c>
      <c r="BH27" s="50">
        <f t="shared" si="10"/>
        <v>325300</v>
      </c>
      <c r="BI27" s="50">
        <f>IFERROR(VLOOKUP(BF27,'[1]WCVI Esc'!$C$5:$W$534,19,FALSE),"-")</f>
        <v>375055.07315252972</v>
      </c>
      <c r="BJ27" s="50">
        <f t="shared" si="11"/>
        <v>375060</v>
      </c>
    </row>
    <row r="28" spans="1:67" hidden="1" x14ac:dyDescent="0.2">
      <c r="A28" s="29">
        <v>1</v>
      </c>
      <c r="B28" s="29">
        <v>2</v>
      </c>
      <c r="C28" s="13">
        <v>23</v>
      </c>
      <c r="D28" s="13" t="s">
        <v>354</v>
      </c>
      <c r="E28" s="10" t="s">
        <v>416</v>
      </c>
      <c r="F28" s="10" t="s">
        <v>219</v>
      </c>
      <c r="G28" s="141"/>
      <c r="H28" s="167"/>
      <c r="I28" s="165"/>
      <c r="J28" s="95"/>
      <c r="K28" s="95"/>
      <c r="L28" s="167"/>
      <c r="M28" s="165"/>
      <c r="N28" s="95"/>
      <c r="O28" s="95"/>
      <c r="P28" s="95"/>
      <c r="Q28" s="167"/>
      <c r="R28" s="290"/>
      <c r="S28" s="95"/>
      <c r="T28" s="95"/>
      <c r="U28" s="62"/>
      <c r="V28" s="64"/>
      <c r="W28" s="164"/>
      <c r="X28" s="62"/>
      <c r="Y28" s="45"/>
      <c r="Z28" s="45"/>
      <c r="AA28" s="100"/>
      <c r="AB28" s="100"/>
      <c r="AC28" s="100"/>
      <c r="AD28" s="100"/>
      <c r="AE28" s="100"/>
      <c r="AF28" s="100"/>
      <c r="AG28" s="69">
        <v>23</v>
      </c>
      <c r="AH28" s="69" t="s">
        <v>354</v>
      </c>
      <c r="AI28" s="243" t="str">
        <f t="shared" si="17"/>
        <v>SOMASS SYSTEM</v>
      </c>
      <c r="AJ28" s="243" t="s">
        <v>418</v>
      </c>
      <c r="AK28" s="244" t="s">
        <v>366</v>
      </c>
      <c r="AL28" s="43" t="str">
        <f t="shared" si="12"/>
        <v>-</v>
      </c>
      <c r="AM28" s="43">
        <f t="shared" si="0"/>
        <v>0</v>
      </c>
      <c r="AN28" s="193">
        <f t="shared" si="0"/>
        <v>0</v>
      </c>
      <c r="AO28" s="270">
        <f t="shared" si="13"/>
        <v>12510</v>
      </c>
      <c r="AP28" s="265">
        <f t="shared" si="1"/>
        <v>25780</v>
      </c>
      <c r="AQ28" s="26" t="str">
        <f t="shared" si="2"/>
        <v>SOMASS SYSTEMCoho</v>
      </c>
      <c r="AR28" s="26">
        <f t="shared" si="3"/>
        <v>0</v>
      </c>
      <c r="AS28" s="33">
        <f t="shared" si="4"/>
        <v>0</v>
      </c>
      <c r="AV28"/>
      <c r="AW28"/>
      <c r="AX28" s="47" t="str">
        <f t="shared" si="5"/>
        <v>SOMASS SYSTEMCoho</v>
      </c>
      <c r="AY28" s="49">
        <f t="shared" si="6"/>
        <v>0</v>
      </c>
      <c r="AZ28" s="49">
        <f t="shared" si="7"/>
        <v>0</v>
      </c>
      <c r="BA28" s="31">
        <v>2016</v>
      </c>
      <c r="BB28" s="188" t="str">
        <f t="shared" si="8"/>
        <v>Hup/StAD</v>
      </c>
      <c r="BC28" s="188" t="str">
        <f t="shared" si="14"/>
        <v xml:space="preserve"> </v>
      </c>
      <c r="BD28" s="188" t="str">
        <f t="shared" si="15"/>
        <v xml:space="preserve"> </v>
      </c>
      <c r="BE28" s="188" t="str">
        <f t="shared" si="16"/>
        <v xml:space="preserve"> </v>
      </c>
      <c r="BF28" s="50" t="str">
        <f t="shared" si="9"/>
        <v>SOMASS SYSTEM_Coho</v>
      </c>
      <c r="BG28" s="50">
        <f>IFERROR(VLOOKUP(BF28,'[1]WCVI Esc'!$C$5:$W$534,18,FALSE),"-")</f>
        <v>12513.5</v>
      </c>
      <c r="BH28" s="50">
        <f t="shared" si="10"/>
        <v>12510</v>
      </c>
      <c r="BI28" s="50">
        <f>IFERROR(VLOOKUP(BF28,'[1]WCVI Esc'!$C$5:$W$534,19,FALSE),"-")</f>
        <v>25776.323702700916</v>
      </c>
      <c r="BJ28" s="50">
        <f t="shared" si="11"/>
        <v>25780</v>
      </c>
    </row>
    <row r="29" spans="1:67" hidden="1" x14ac:dyDescent="0.2">
      <c r="A29" s="29">
        <v>3</v>
      </c>
      <c r="B29" s="29">
        <v>3</v>
      </c>
      <c r="C29" s="13">
        <v>23</v>
      </c>
      <c r="D29" s="13" t="s">
        <v>354</v>
      </c>
      <c r="E29" s="10" t="s">
        <v>416</v>
      </c>
      <c r="F29" s="10" t="s">
        <v>208</v>
      </c>
      <c r="G29" s="141"/>
      <c r="H29" s="167"/>
      <c r="I29" s="165"/>
      <c r="J29" s="95"/>
      <c r="K29" s="95"/>
      <c r="L29" s="167"/>
      <c r="M29" s="165"/>
      <c r="N29" s="95"/>
      <c r="O29" s="95"/>
      <c r="P29" s="95"/>
      <c r="Q29" s="167"/>
      <c r="R29" s="290"/>
      <c r="S29" s="95"/>
      <c r="T29" s="95"/>
      <c r="U29" s="62"/>
      <c r="V29" s="64"/>
      <c r="W29" s="164"/>
      <c r="X29" s="62"/>
      <c r="Y29" s="45"/>
      <c r="Z29" s="45"/>
      <c r="AA29" s="100"/>
      <c r="AB29" s="100"/>
      <c r="AC29" s="100"/>
      <c r="AD29" s="100"/>
      <c r="AE29" s="100"/>
      <c r="AF29" s="100"/>
      <c r="AG29" s="69">
        <v>23</v>
      </c>
      <c r="AH29" s="69" t="s">
        <v>354</v>
      </c>
      <c r="AI29" s="243" t="str">
        <f t="shared" si="17"/>
        <v>SOMASS SYSTEM</v>
      </c>
      <c r="AJ29" s="243" t="s">
        <v>418</v>
      </c>
      <c r="AK29" s="244" t="s">
        <v>366</v>
      </c>
      <c r="AL29" s="43" t="str">
        <f t="shared" si="12"/>
        <v>-</v>
      </c>
      <c r="AM29" s="43">
        <f t="shared" si="0"/>
        <v>0</v>
      </c>
      <c r="AN29" s="193">
        <f t="shared" si="0"/>
        <v>0</v>
      </c>
      <c r="AO29" s="270" t="str">
        <f t="shared" si="13"/>
        <v>-</v>
      </c>
      <c r="AP29" s="265">
        <f t="shared" si="1"/>
        <v>20</v>
      </c>
      <c r="AQ29" s="26" t="str">
        <f t="shared" si="2"/>
        <v>SOMASS SYSTEMPink</v>
      </c>
      <c r="AR29" s="26">
        <f t="shared" si="3"/>
        <v>0</v>
      </c>
      <c r="AS29" s="33">
        <f t="shared" si="4"/>
        <v>0</v>
      </c>
      <c r="AV29"/>
      <c r="AW29"/>
      <c r="AX29" s="47" t="str">
        <f t="shared" si="5"/>
        <v>SOMASS SYSTEMPink</v>
      </c>
      <c r="AY29" s="49">
        <f t="shared" si="6"/>
        <v>0</v>
      </c>
      <c r="AZ29" s="49">
        <f t="shared" si="7"/>
        <v>0</v>
      </c>
      <c r="BA29" s="31">
        <v>0</v>
      </c>
      <c r="BB29" s="188" t="str">
        <f t="shared" si="8"/>
        <v>Hup/StAD</v>
      </c>
      <c r="BC29" s="188" t="str">
        <f t="shared" si="14"/>
        <v xml:space="preserve"> </v>
      </c>
      <c r="BD29" s="188" t="str">
        <f t="shared" si="15"/>
        <v xml:space="preserve"> </v>
      </c>
      <c r="BE29" s="188" t="str">
        <f t="shared" si="16"/>
        <v xml:space="preserve"> </v>
      </c>
      <c r="BF29" s="50" t="str">
        <f t="shared" si="9"/>
        <v>SOMASS SYSTEM_Pink</v>
      </c>
      <c r="BG29" s="50" t="str">
        <f>IFERROR(VLOOKUP(BF29,'[1]WCVI Esc'!$C$5:$W$534,18,FALSE),"-")</f>
        <v>-</v>
      </c>
      <c r="BH29" s="50" t="str">
        <f t="shared" si="10"/>
        <v>-</v>
      </c>
      <c r="BI29" s="50">
        <f>IFERROR(VLOOKUP(BF29,'[1]WCVI Esc'!$C$5:$W$534,19,FALSE),"-")</f>
        <v>18.916666666666668</v>
      </c>
      <c r="BJ29" s="50">
        <f t="shared" si="11"/>
        <v>20</v>
      </c>
    </row>
    <row r="30" spans="1:67" hidden="1" x14ac:dyDescent="0.2">
      <c r="A30" s="29">
        <v>3</v>
      </c>
      <c r="B30" s="29">
        <v>4</v>
      </c>
      <c r="C30" s="13">
        <v>23</v>
      </c>
      <c r="D30" s="13" t="s">
        <v>354</v>
      </c>
      <c r="E30" s="10" t="s">
        <v>416</v>
      </c>
      <c r="F30" s="10" t="s">
        <v>209</v>
      </c>
      <c r="G30" s="141"/>
      <c r="H30" s="167"/>
      <c r="I30" s="165"/>
      <c r="J30" s="95"/>
      <c r="K30" s="95"/>
      <c r="L30" s="167"/>
      <c r="M30" s="165"/>
      <c r="N30" s="95"/>
      <c r="O30" s="95"/>
      <c r="P30" s="95"/>
      <c r="Q30" s="167"/>
      <c r="R30" s="290"/>
      <c r="S30" s="95"/>
      <c r="T30" s="95"/>
      <c r="U30" s="62"/>
      <c r="V30" s="64"/>
      <c r="W30" s="164"/>
      <c r="X30" s="62"/>
      <c r="Y30" s="45"/>
      <c r="Z30" s="45"/>
      <c r="AA30" s="100"/>
      <c r="AB30" s="100"/>
      <c r="AC30" s="100"/>
      <c r="AD30" s="100"/>
      <c r="AE30" s="100"/>
      <c r="AF30" s="100"/>
      <c r="AG30" s="69">
        <v>23</v>
      </c>
      <c r="AH30" s="69" t="s">
        <v>354</v>
      </c>
      <c r="AI30" s="243" t="str">
        <f t="shared" si="17"/>
        <v>SOMASS SYSTEM</v>
      </c>
      <c r="AJ30" s="243" t="s">
        <v>418</v>
      </c>
      <c r="AK30" s="244" t="s">
        <v>366</v>
      </c>
      <c r="AL30" s="43" t="str">
        <f t="shared" si="12"/>
        <v>-</v>
      </c>
      <c r="AM30" s="43">
        <f t="shared" si="0"/>
        <v>0</v>
      </c>
      <c r="AN30" s="193">
        <f t="shared" si="0"/>
        <v>0</v>
      </c>
      <c r="AO30" s="270" t="str">
        <f t="shared" si="13"/>
        <v>-</v>
      </c>
      <c r="AP30" s="265">
        <f t="shared" si="1"/>
        <v>100</v>
      </c>
      <c r="AQ30" s="26" t="str">
        <f t="shared" si="2"/>
        <v>SOMASS SYSTEMChum</v>
      </c>
      <c r="AR30" s="26">
        <f t="shared" si="3"/>
        <v>0</v>
      </c>
      <c r="AS30" s="33">
        <f t="shared" si="4"/>
        <v>0</v>
      </c>
      <c r="AV30"/>
      <c r="AW30"/>
      <c r="AX30" s="47" t="str">
        <f t="shared" si="5"/>
        <v>SOMASS SYSTEMChum</v>
      </c>
      <c r="AY30" s="49">
        <f t="shared" si="6"/>
        <v>0</v>
      </c>
      <c r="AZ30" s="49">
        <f t="shared" si="7"/>
        <v>0</v>
      </c>
      <c r="BA30" s="31">
        <v>2016</v>
      </c>
      <c r="BB30" s="188" t="str">
        <f t="shared" si="8"/>
        <v>Hup/StAD</v>
      </c>
      <c r="BC30" s="188" t="str">
        <f t="shared" si="14"/>
        <v xml:space="preserve"> </v>
      </c>
      <c r="BD30" s="188" t="str">
        <f t="shared" si="15"/>
        <v xml:space="preserve"> </v>
      </c>
      <c r="BE30" s="188" t="str">
        <f t="shared" si="16"/>
        <v xml:space="preserve"> </v>
      </c>
      <c r="BF30" s="50" t="str">
        <f t="shared" si="9"/>
        <v>SOMASS SYSTEM_Chum</v>
      </c>
      <c r="BG30" s="50" t="str">
        <f>IFERROR(VLOOKUP(BF30,'[1]WCVI Esc'!$C$5:$W$534,18,FALSE),"-")</f>
        <v>-</v>
      </c>
      <c r="BH30" s="50" t="str">
        <f t="shared" si="10"/>
        <v>-</v>
      </c>
      <c r="BI30" s="50">
        <f>IFERROR(VLOOKUP(BF30,'[1]WCVI Esc'!$C$5:$W$534,19,FALSE),"-")</f>
        <v>95.008333333333326</v>
      </c>
      <c r="BJ30" s="50">
        <f t="shared" si="11"/>
        <v>100</v>
      </c>
    </row>
    <row r="31" spans="1:67" hidden="1" x14ac:dyDescent="0.2">
      <c r="A31" s="29">
        <v>1</v>
      </c>
      <c r="B31" s="29">
        <v>5</v>
      </c>
      <c r="C31" s="13">
        <v>23</v>
      </c>
      <c r="D31" s="13" t="s">
        <v>354</v>
      </c>
      <c r="E31" s="10" t="s">
        <v>416</v>
      </c>
      <c r="F31" s="10" t="s">
        <v>210</v>
      </c>
      <c r="G31" s="141"/>
      <c r="H31" s="295"/>
      <c r="I31" s="296"/>
      <c r="J31" s="297"/>
      <c r="K31" s="297"/>
      <c r="L31" s="295"/>
      <c r="M31" s="296"/>
      <c r="N31" s="297"/>
      <c r="O31" s="297"/>
      <c r="P31" s="95"/>
      <c r="Q31" s="295"/>
      <c r="R31" s="290"/>
      <c r="S31" s="95"/>
      <c r="T31" s="95"/>
      <c r="U31" s="62"/>
      <c r="V31" s="64"/>
      <c r="W31" s="164"/>
      <c r="X31" s="62"/>
      <c r="Y31" s="45"/>
      <c r="Z31" s="45"/>
      <c r="AA31" s="100"/>
      <c r="AB31" s="100"/>
      <c r="AC31" s="100"/>
      <c r="AD31" s="100"/>
      <c r="AE31" s="100"/>
      <c r="AF31" s="100"/>
      <c r="AG31" s="69">
        <v>23</v>
      </c>
      <c r="AH31" s="69" t="s">
        <v>354</v>
      </c>
      <c r="AI31" s="243" t="str">
        <f t="shared" si="17"/>
        <v>SOMASS SYSTEM</v>
      </c>
      <c r="AJ31" s="243" t="s">
        <v>418</v>
      </c>
      <c r="AK31" s="244" t="s">
        <v>366</v>
      </c>
      <c r="AL31" s="43" t="str">
        <f t="shared" si="12"/>
        <v>-</v>
      </c>
      <c r="AM31" s="43" t="s">
        <v>242</v>
      </c>
      <c r="AN31" s="193">
        <f t="shared" si="0"/>
        <v>0</v>
      </c>
      <c r="AO31" s="264">
        <f t="shared" si="13"/>
        <v>14580</v>
      </c>
      <c r="AP31" s="264">
        <f t="shared" si="1"/>
        <v>15400</v>
      </c>
      <c r="AQ31" s="26" t="str">
        <f t="shared" si="2"/>
        <v>SOMASS SYSTEMChinook</v>
      </c>
      <c r="AR31" s="26">
        <f t="shared" si="3"/>
        <v>0</v>
      </c>
      <c r="AS31" s="33">
        <f t="shared" si="4"/>
        <v>0</v>
      </c>
      <c r="AV31"/>
      <c r="AW31"/>
      <c r="AX31" s="47" t="str">
        <f t="shared" si="5"/>
        <v>SOMASS SYSTEMChinook</v>
      </c>
      <c r="AY31" s="49">
        <f t="shared" si="6"/>
        <v>0</v>
      </c>
      <c r="AZ31" s="49">
        <f t="shared" si="7"/>
        <v>0</v>
      </c>
      <c r="BA31" s="31">
        <v>2016</v>
      </c>
      <c r="BB31" s="188" t="str">
        <f t="shared" si="8"/>
        <v>Hup/StAD</v>
      </c>
      <c r="BC31" s="188" t="str">
        <f t="shared" si="14"/>
        <v xml:space="preserve"> </v>
      </c>
      <c r="BD31" s="188" t="str">
        <f t="shared" si="15"/>
        <v xml:space="preserve"> </v>
      </c>
      <c r="BE31" s="188" t="str">
        <f t="shared" si="16"/>
        <v xml:space="preserve"> </v>
      </c>
      <c r="BF31" s="50" t="str">
        <f t="shared" si="9"/>
        <v>SOMASS SYSTEM_Chinook</v>
      </c>
      <c r="BG31" s="50">
        <f>IFERROR(VLOOKUP(BF31,'[1]WCVI Esc'!$C$5:$W$534,18,FALSE),"-")</f>
        <v>14578.75</v>
      </c>
      <c r="BH31" s="50">
        <f t="shared" si="10"/>
        <v>14580</v>
      </c>
      <c r="BI31" s="50">
        <f>IFERROR(VLOOKUP(BF31,'[1]WCVI Esc'!$C$5:$W$534,19,FALSE),"-")</f>
        <v>15395.666666666666</v>
      </c>
      <c r="BJ31" s="50">
        <f t="shared" si="11"/>
        <v>15400</v>
      </c>
      <c r="BK31" t="s">
        <v>448</v>
      </c>
      <c r="BL31" t="s">
        <v>449</v>
      </c>
      <c r="BO31" s="31">
        <v>1</v>
      </c>
    </row>
    <row r="32" spans="1:67" hidden="1" x14ac:dyDescent="0.2">
      <c r="A32" s="29">
        <v>1</v>
      </c>
      <c r="B32" s="29">
        <v>6</v>
      </c>
      <c r="C32" s="13">
        <v>23</v>
      </c>
      <c r="D32" s="13" t="s">
        <v>354</v>
      </c>
      <c r="E32" s="10" t="s">
        <v>416</v>
      </c>
      <c r="F32" s="10" t="s">
        <v>211</v>
      </c>
      <c r="G32" s="141"/>
      <c r="H32" s="167"/>
      <c r="I32" s="165"/>
      <c r="J32" s="95"/>
      <c r="K32" s="95"/>
      <c r="L32" s="167"/>
      <c r="M32" s="165"/>
      <c r="N32" s="95"/>
      <c r="O32" s="95"/>
      <c r="P32" s="95"/>
      <c r="Q32" s="167"/>
      <c r="R32" s="290"/>
      <c r="S32" s="95"/>
      <c r="T32" s="95"/>
      <c r="U32" s="62"/>
      <c r="V32" s="64"/>
      <c r="W32" s="164"/>
      <c r="X32" s="62"/>
      <c r="Y32" s="45"/>
      <c r="Z32" s="45"/>
      <c r="AA32" s="100"/>
      <c r="AB32" s="100"/>
      <c r="AC32" s="100"/>
      <c r="AD32" s="100"/>
      <c r="AE32" s="100"/>
      <c r="AF32" s="100"/>
      <c r="AG32" s="69">
        <v>23</v>
      </c>
      <c r="AH32" s="69" t="s">
        <v>354</v>
      </c>
      <c r="AI32" s="243" t="str">
        <f t="shared" si="17"/>
        <v>SOMASS SYSTEM</v>
      </c>
      <c r="AJ32" s="243" t="s">
        <v>418</v>
      </c>
      <c r="AK32" s="244" t="s">
        <v>366</v>
      </c>
      <c r="AL32" s="43" t="str">
        <f t="shared" si="12"/>
        <v>-</v>
      </c>
      <c r="AM32" s="43">
        <f t="shared" si="0"/>
        <v>0</v>
      </c>
      <c r="AN32" s="193">
        <f t="shared" si="0"/>
        <v>0</v>
      </c>
      <c r="AO32" s="44" t="str">
        <f t="shared" si="13"/>
        <v>-</v>
      </c>
      <c r="AP32" s="245" t="str">
        <f t="shared" si="1"/>
        <v>-</v>
      </c>
      <c r="AQ32" s="26" t="str">
        <f t="shared" si="2"/>
        <v>SOMASS SYSTEMSteelhead</v>
      </c>
      <c r="AR32" s="26">
        <f t="shared" si="3"/>
        <v>0</v>
      </c>
      <c r="AS32" s="33">
        <f t="shared" si="4"/>
        <v>0</v>
      </c>
      <c r="AV32"/>
      <c r="AW32"/>
      <c r="AX32" s="47" t="str">
        <f t="shared" si="5"/>
        <v>SOMASS SYSTEMSteelhead</v>
      </c>
      <c r="AY32" s="49">
        <f t="shared" si="6"/>
        <v>0</v>
      </c>
      <c r="AZ32" s="49">
        <f t="shared" si="7"/>
        <v>0</v>
      </c>
      <c r="BA32" s="31">
        <v>0</v>
      </c>
      <c r="BB32" s="188" t="str">
        <f t="shared" si="8"/>
        <v>Hup/StAD</v>
      </c>
      <c r="BC32" s="188" t="str">
        <f t="shared" si="14"/>
        <v xml:space="preserve"> </v>
      </c>
      <c r="BD32" s="188" t="str">
        <f t="shared" si="15"/>
        <v xml:space="preserve"> </v>
      </c>
      <c r="BE32" s="188" t="str">
        <f t="shared" si="16"/>
        <v xml:space="preserve"> </v>
      </c>
      <c r="BF32" s="50" t="str">
        <f t="shared" si="9"/>
        <v>SOMASS SYSTEM_Steelhead</v>
      </c>
      <c r="BG32" s="50" t="str">
        <f>IFERROR(VLOOKUP(BF32,'[1]WCVI Esc'!$C$5:$W$534,18,FALSE),"-")</f>
        <v>-</v>
      </c>
      <c r="BH32" s="50" t="str">
        <f t="shared" si="10"/>
        <v>-</v>
      </c>
      <c r="BI32" s="50" t="str">
        <f>IFERROR(VLOOKUP(BF32,'[1]WCVI Esc'!$C$5:$W$534,19,FALSE),"-")</f>
        <v>-</v>
      </c>
      <c r="BJ32" s="50" t="str">
        <f t="shared" si="11"/>
        <v>-</v>
      </c>
    </row>
    <row r="33" spans="1:65" hidden="1" x14ac:dyDescent="0.2">
      <c r="A33" s="29">
        <v>2</v>
      </c>
      <c r="B33" s="29">
        <v>1</v>
      </c>
      <c r="C33" s="13">
        <v>23</v>
      </c>
      <c r="D33" s="13" t="s">
        <v>294</v>
      </c>
      <c r="E33" s="10" t="s">
        <v>29</v>
      </c>
      <c r="F33" s="10" t="s">
        <v>207</v>
      </c>
      <c r="G33" s="61"/>
      <c r="H33" s="300"/>
      <c r="I33" s="223"/>
      <c r="J33" s="224"/>
      <c r="K33" s="241"/>
      <c r="L33" s="300"/>
      <c r="M33" s="335"/>
      <c r="N33" s="336"/>
      <c r="O33" s="336"/>
      <c r="P33" s="333"/>
      <c r="Q33" s="334"/>
      <c r="R33" s="287"/>
      <c r="S33" s="328"/>
      <c r="T33" s="65"/>
      <c r="U33" s="62"/>
      <c r="V33" s="62"/>
      <c r="W33" s="62"/>
      <c r="X33" s="62"/>
      <c r="Y33" s="45"/>
      <c r="Z33" s="44"/>
      <c r="AA33" s="100"/>
      <c r="AB33" s="100"/>
      <c r="AC33" s="123">
        <v>2</v>
      </c>
      <c r="AD33" s="123"/>
      <c r="AE33" s="123"/>
      <c r="AF33" s="123"/>
      <c r="AG33" s="69">
        <v>23</v>
      </c>
      <c r="AH33" s="69" t="s">
        <v>294</v>
      </c>
      <c r="AI33" s="243" t="s">
        <v>29</v>
      </c>
      <c r="AJ33" s="243" t="s">
        <v>419</v>
      </c>
      <c r="AK33" s="244" t="s">
        <v>373</v>
      </c>
      <c r="AL33" s="43" t="str">
        <f t="shared" si="12"/>
        <v>-</v>
      </c>
      <c r="AM33" s="43">
        <f t="shared" si="0"/>
        <v>0</v>
      </c>
      <c r="AN33" s="193">
        <f t="shared" si="0"/>
        <v>0</v>
      </c>
      <c r="AO33" s="264">
        <f t="shared" si="13"/>
        <v>9860</v>
      </c>
      <c r="AP33" s="265">
        <f t="shared" si="1"/>
        <v>14560</v>
      </c>
      <c r="AQ33" s="26" t="str">
        <f t="shared" si="2"/>
        <v>CLEMENS CREEKSockeye</v>
      </c>
      <c r="AR33" s="26">
        <f t="shared" si="3"/>
        <v>0</v>
      </c>
      <c r="AS33" s="33">
        <f t="shared" ref="AS33:AS96" si="18">MAX(G33:X33)</f>
        <v>0</v>
      </c>
      <c r="AW33" s="34"/>
      <c r="AX33" s="47" t="str">
        <f t="shared" si="5"/>
        <v>CLEMENS CREEKSockeye</v>
      </c>
      <c r="AY33" s="49">
        <f t="shared" si="6"/>
        <v>0</v>
      </c>
      <c r="AZ33" s="49">
        <f t="shared" si="7"/>
        <v>0</v>
      </c>
      <c r="BA33" s="31">
        <v>2016</v>
      </c>
      <c r="BB33" s="188" t="str">
        <f t="shared" si="8"/>
        <v>BCCF</v>
      </c>
      <c r="BC33" s="188" t="str">
        <f t="shared" si="14"/>
        <v xml:space="preserve"> </v>
      </c>
      <c r="BD33" s="188" t="str">
        <f t="shared" si="15"/>
        <v xml:space="preserve"> </v>
      </c>
      <c r="BE33" s="188" t="str">
        <f t="shared" si="16"/>
        <v xml:space="preserve"> </v>
      </c>
      <c r="BF33" s="50" t="str">
        <f t="shared" si="9"/>
        <v>CLEMENS CREEK_Sockeye</v>
      </c>
      <c r="BG33" s="50">
        <v>9858.75</v>
      </c>
      <c r="BH33" s="50">
        <f t="shared" si="10"/>
        <v>9860</v>
      </c>
      <c r="BI33" s="50">
        <v>14560.083333333334</v>
      </c>
      <c r="BJ33" s="50">
        <f t="shared" si="11"/>
        <v>14560</v>
      </c>
    </row>
    <row r="34" spans="1:65" hidden="1" x14ac:dyDescent="0.2">
      <c r="A34" s="29">
        <v>2</v>
      </c>
      <c r="B34" s="29">
        <v>2</v>
      </c>
      <c r="C34" s="13">
        <v>23</v>
      </c>
      <c r="D34" s="13" t="s">
        <v>294</v>
      </c>
      <c r="E34" s="10" t="s">
        <v>29</v>
      </c>
      <c r="F34" s="10" t="s">
        <v>219</v>
      </c>
      <c r="G34" s="21"/>
      <c r="H34" s="158"/>
      <c r="I34" s="155"/>
      <c r="J34" s="106"/>
      <c r="K34" s="94"/>
      <c r="L34" s="158"/>
      <c r="M34" s="161"/>
      <c r="N34" s="106"/>
      <c r="O34" s="106"/>
      <c r="P34" s="63"/>
      <c r="Q34" s="162"/>
      <c r="R34" s="164"/>
      <c r="S34" s="62"/>
      <c r="T34" s="63"/>
      <c r="U34" s="62"/>
      <c r="V34" s="62"/>
      <c r="W34" s="62"/>
      <c r="X34" s="62"/>
      <c r="Y34" s="45"/>
      <c r="Z34" s="44"/>
      <c r="AA34" s="100">
        <f>Y34/AP34</f>
        <v>0</v>
      </c>
      <c r="AB34" s="100">
        <f>AS34/AP34</f>
        <v>0</v>
      </c>
      <c r="AC34" s="123">
        <v>2</v>
      </c>
      <c r="AD34" s="123"/>
      <c r="AE34" s="123"/>
      <c r="AF34" s="123"/>
      <c r="AG34" s="69">
        <v>23</v>
      </c>
      <c r="AH34" s="69" t="s">
        <v>294</v>
      </c>
      <c r="AI34" s="243" t="s">
        <v>29</v>
      </c>
      <c r="AJ34" s="243" t="s">
        <v>419</v>
      </c>
      <c r="AK34" s="244" t="s">
        <v>373</v>
      </c>
      <c r="AL34" s="43" t="str">
        <f t="shared" si="12"/>
        <v>-</v>
      </c>
      <c r="AM34" s="43">
        <f t="shared" si="0"/>
        <v>0</v>
      </c>
      <c r="AN34" s="193">
        <f t="shared" si="0"/>
        <v>0</v>
      </c>
      <c r="AO34" s="264">
        <f t="shared" si="13"/>
        <v>750</v>
      </c>
      <c r="AP34" s="265">
        <f t="shared" si="1"/>
        <v>1520</v>
      </c>
      <c r="AQ34" s="26" t="str">
        <f t="shared" si="2"/>
        <v>CLEMENS CREEKCoho</v>
      </c>
      <c r="AR34" s="26">
        <f t="shared" si="3"/>
        <v>0</v>
      </c>
      <c r="AS34" s="33">
        <f t="shared" si="18"/>
        <v>0</v>
      </c>
      <c r="AW34" s="34"/>
      <c r="AX34" s="47" t="str">
        <f t="shared" si="5"/>
        <v>CLEMENS CREEKCoho</v>
      </c>
      <c r="AY34" s="49">
        <f t="shared" si="6"/>
        <v>0</v>
      </c>
      <c r="AZ34" s="49">
        <f t="shared" si="7"/>
        <v>0</v>
      </c>
      <c r="BA34" s="31">
        <v>2016</v>
      </c>
      <c r="BB34" s="188" t="str">
        <f t="shared" si="8"/>
        <v>BCCF</v>
      </c>
      <c r="BC34" s="188" t="str">
        <f t="shared" si="14"/>
        <v xml:space="preserve"> </v>
      </c>
      <c r="BD34" s="188" t="str">
        <f t="shared" si="15"/>
        <v xml:space="preserve"> </v>
      </c>
      <c r="BE34" s="188" t="str">
        <f t="shared" si="16"/>
        <v xml:space="preserve"> </v>
      </c>
      <c r="BF34" s="50" t="str">
        <f t="shared" si="9"/>
        <v>CLEMENS CREEK_Coho</v>
      </c>
      <c r="BG34" s="50">
        <f>IFERROR(VLOOKUP(BF34,'[1]WCVI Esc'!$C$5:$W$534,18,FALSE),"-")</f>
        <v>746.75</v>
      </c>
      <c r="BH34" s="50">
        <f t="shared" si="10"/>
        <v>750</v>
      </c>
      <c r="BI34" s="50">
        <f>IFERROR(VLOOKUP(BF34,'[1]WCVI Esc'!$C$5:$W$534,19,FALSE),"-")</f>
        <v>1523.25</v>
      </c>
      <c r="BJ34" s="50">
        <f t="shared" si="11"/>
        <v>1520</v>
      </c>
    </row>
    <row r="35" spans="1:65" hidden="1" x14ac:dyDescent="0.2">
      <c r="A35" s="102">
        <v>2</v>
      </c>
      <c r="B35" s="104">
        <v>3</v>
      </c>
      <c r="C35" s="105">
        <v>23</v>
      </c>
      <c r="D35" s="105" t="s">
        <v>294</v>
      </c>
      <c r="E35" s="61" t="s">
        <v>29</v>
      </c>
      <c r="F35" s="61" t="s">
        <v>208</v>
      </c>
      <c r="G35" s="10"/>
      <c r="H35" s="158"/>
      <c r="I35" s="155"/>
      <c r="J35" s="106"/>
      <c r="K35" s="94"/>
      <c r="L35" s="158"/>
      <c r="M35" s="161"/>
      <c r="N35" s="106"/>
      <c r="O35" s="106"/>
      <c r="P35" s="63"/>
      <c r="Q35" s="162"/>
      <c r="R35" s="164"/>
      <c r="S35" s="62"/>
      <c r="T35" s="62"/>
      <c r="U35" s="65"/>
      <c r="V35" s="288"/>
      <c r="W35" s="289"/>
      <c r="X35" s="65"/>
      <c r="Y35" s="45"/>
      <c r="Z35" s="44"/>
      <c r="AA35" s="100"/>
      <c r="AB35" s="100"/>
      <c r="AC35" s="123"/>
      <c r="AD35" s="123"/>
      <c r="AE35" s="123"/>
      <c r="AF35" s="123"/>
      <c r="AG35" s="69">
        <v>23</v>
      </c>
      <c r="AH35" s="69" t="s">
        <v>294</v>
      </c>
      <c r="AI35" s="243" t="s">
        <v>29</v>
      </c>
      <c r="AJ35" s="243" t="s">
        <v>419</v>
      </c>
      <c r="AK35" s="244" t="s">
        <v>373</v>
      </c>
      <c r="AL35" s="43" t="str">
        <f t="shared" si="12"/>
        <v>-</v>
      </c>
      <c r="AM35" s="43">
        <f t="shared" si="0"/>
        <v>0</v>
      </c>
      <c r="AN35" s="193">
        <f t="shared" si="0"/>
        <v>0</v>
      </c>
      <c r="AO35" s="264" t="str">
        <f t="shared" si="13"/>
        <v>-</v>
      </c>
      <c r="AP35" s="265" t="str">
        <f t="shared" si="1"/>
        <v>-</v>
      </c>
      <c r="AQ35" s="26" t="str">
        <f t="shared" si="2"/>
        <v>CLEMENS CREEKPink</v>
      </c>
      <c r="AR35" s="26">
        <f t="shared" si="3"/>
        <v>0</v>
      </c>
      <c r="AS35" s="33">
        <f t="shared" si="18"/>
        <v>0</v>
      </c>
      <c r="AW35" s="34"/>
      <c r="AX35" s="47" t="str">
        <f t="shared" si="5"/>
        <v>CLEMENS CREEKPink</v>
      </c>
      <c r="AY35" s="49">
        <f t="shared" si="6"/>
        <v>0</v>
      </c>
      <c r="AZ35" s="49">
        <f t="shared" si="7"/>
        <v>0</v>
      </c>
      <c r="BA35" s="31">
        <v>0</v>
      </c>
      <c r="BB35" s="188" t="str">
        <f t="shared" si="8"/>
        <v>BCCF</v>
      </c>
      <c r="BC35" s="188" t="str">
        <f t="shared" si="14"/>
        <v xml:space="preserve"> </v>
      </c>
      <c r="BD35" s="188" t="str">
        <f t="shared" si="15"/>
        <v xml:space="preserve"> </v>
      </c>
      <c r="BE35" s="188" t="str">
        <f t="shared" si="16"/>
        <v xml:space="preserve"> </v>
      </c>
      <c r="BF35" s="50" t="str">
        <f t="shared" si="9"/>
        <v>CLEMENS CREEK_Pink</v>
      </c>
      <c r="BG35" s="50" t="str">
        <f>IFERROR(VLOOKUP(BF35,'[1]WCVI Esc'!$C$5:$W$534,18,FALSE),"-")</f>
        <v>-</v>
      </c>
      <c r="BH35" s="50" t="str">
        <f t="shared" si="10"/>
        <v>-</v>
      </c>
      <c r="BI35" s="50" t="str">
        <f>IFERROR(VLOOKUP(BF35,'[1]WCVI Esc'!$C$5:$W$534,19,FALSE),"-")</f>
        <v>-</v>
      </c>
      <c r="BJ35" s="50" t="str">
        <f t="shared" si="11"/>
        <v>-</v>
      </c>
    </row>
    <row r="36" spans="1:65" hidden="1" x14ac:dyDescent="0.2">
      <c r="A36" s="29">
        <v>2</v>
      </c>
      <c r="B36" s="29">
        <v>4</v>
      </c>
      <c r="C36" s="13">
        <v>23</v>
      </c>
      <c r="D36" s="147" t="s">
        <v>294</v>
      </c>
      <c r="E36" s="21" t="s">
        <v>29</v>
      </c>
      <c r="F36" s="21" t="s">
        <v>209</v>
      </c>
      <c r="G36" s="21"/>
      <c r="H36" s="158"/>
      <c r="I36" s="155"/>
      <c r="J36" s="106"/>
      <c r="K36" s="94"/>
      <c r="L36" s="158"/>
      <c r="M36" s="161"/>
      <c r="N36" s="106"/>
      <c r="O36" s="106"/>
      <c r="P36" s="63"/>
      <c r="Q36" s="162"/>
      <c r="R36" s="164"/>
      <c r="S36" s="62"/>
      <c r="T36" s="63"/>
      <c r="U36" s="62"/>
      <c r="V36" s="64"/>
      <c r="W36" s="164"/>
      <c r="X36" s="62"/>
      <c r="Y36" s="45"/>
      <c r="Z36" s="44"/>
      <c r="AA36" s="100">
        <f>Y36/AP36</f>
        <v>0</v>
      </c>
      <c r="AB36" s="100">
        <f>AS36/AP36</f>
        <v>0</v>
      </c>
      <c r="AC36" s="123">
        <v>2</v>
      </c>
      <c r="AD36" s="123"/>
      <c r="AE36" s="123"/>
      <c r="AF36" s="123"/>
      <c r="AG36" s="69">
        <v>23</v>
      </c>
      <c r="AH36" s="69" t="s">
        <v>294</v>
      </c>
      <c r="AI36" s="243" t="s">
        <v>29</v>
      </c>
      <c r="AJ36" s="243" t="s">
        <v>419</v>
      </c>
      <c r="AK36" s="244" t="s">
        <v>373</v>
      </c>
      <c r="AL36" s="43" t="str">
        <f t="shared" si="12"/>
        <v>-</v>
      </c>
      <c r="AM36" s="43">
        <f t="shared" si="0"/>
        <v>0</v>
      </c>
      <c r="AN36" s="193">
        <f t="shared" si="0"/>
        <v>0</v>
      </c>
      <c r="AO36" s="264">
        <f t="shared" si="13"/>
        <v>40</v>
      </c>
      <c r="AP36" s="265">
        <f t="shared" si="1"/>
        <v>110</v>
      </c>
      <c r="AQ36" s="26" t="str">
        <f t="shared" si="2"/>
        <v>CLEMENS CREEKChum</v>
      </c>
      <c r="AR36" s="26">
        <f t="shared" si="3"/>
        <v>0</v>
      </c>
      <c r="AS36" s="33">
        <f t="shared" si="18"/>
        <v>0</v>
      </c>
      <c r="AW36" s="34"/>
      <c r="AX36" s="47" t="str">
        <f t="shared" si="5"/>
        <v>CLEMENS CREEKChum</v>
      </c>
      <c r="AY36" s="49">
        <f t="shared" si="6"/>
        <v>0</v>
      </c>
      <c r="AZ36" s="49">
        <f t="shared" si="7"/>
        <v>0</v>
      </c>
      <c r="BA36" s="31">
        <v>2016</v>
      </c>
      <c r="BB36" s="188" t="str">
        <f t="shared" si="8"/>
        <v>BCCF</v>
      </c>
      <c r="BC36" s="188" t="str">
        <f t="shared" si="14"/>
        <v xml:space="preserve"> </v>
      </c>
      <c r="BD36" s="188" t="str">
        <f t="shared" si="15"/>
        <v xml:space="preserve"> </v>
      </c>
      <c r="BE36" s="188" t="str">
        <f t="shared" si="16"/>
        <v xml:space="preserve"> </v>
      </c>
      <c r="BF36" s="50" t="str">
        <f t="shared" si="9"/>
        <v>CLEMENS CREEK_Chum</v>
      </c>
      <c r="BG36" s="50">
        <f>IFERROR(VLOOKUP(BF36,'[1]WCVI Esc'!$C$5:$W$534,18,FALSE),"-")</f>
        <v>36.25</v>
      </c>
      <c r="BH36" s="50">
        <f t="shared" si="10"/>
        <v>40</v>
      </c>
      <c r="BI36" s="50">
        <f>IFERROR(VLOOKUP(BF36,'[1]WCVI Esc'!$C$5:$W$534,19,FALSE),"-")</f>
        <v>111.25</v>
      </c>
      <c r="BJ36" s="50">
        <f t="shared" si="11"/>
        <v>110</v>
      </c>
    </row>
    <row r="37" spans="1:65" hidden="1" x14ac:dyDescent="0.2">
      <c r="A37" s="29">
        <v>2</v>
      </c>
      <c r="B37" s="29">
        <v>5</v>
      </c>
      <c r="C37" s="13">
        <v>23</v>
      </c>
      <c r="D37" s="147" t="s">
        <v>294</v>
      </c>
      <c r="E37" s="21" t="s">
        <v>29</v>
      </c>
      <c r="F37" s="10" t="s">
        <v>210</v>
      </c>
      <c r="G37" s="10"/>
      <c r="H37" s="158"/>
      <c r="I37" s="155"/>
      <c r="J37" s="106"/>
      <c r="K37" s="94"/>
      <c r="L37" s="158"/>
      <c r="M37" s="161"/>
      <c r="N37" s="106"/>
      <c r="O37" s="106"/>
      <c r="P37" s="63"/>
      <c r="Q37" s="162"/>
      <c r="R37" s="164"/>
      <c r="S37" s="62"/>
      <c r="T37" s="62"/>
      <c r="U37" s="62"/>
      <c r="V37" s="64"/>
      <c r="W37" s="164"/>
      <c r="X37" s="62"/>
      <c r="Y37" s="45"/>
      <c r="Z37" s="44"/>
      <c r="AA37" s="100">
        <f>Y37/AP37</f>
        <v>0</v>
      </c>
      <c r="AB37" s="100">
        <f>AS37/AP37</f>
        <v>0</v>
      </c>
      <c r="AC37" s="123">
        <v>2</v>
      </c>
      <c r="AD37" s="123"/>
      <c r="AE37" s="123"/>
      <c r="AF37" s="123">
        <f>Y37</f>
        <v>0</v>
      </c>
      <c r="AG37" s="69">
        <v>23</v>
      </c>
      <c r="AH37" s="69" t="s">
        <v>294</v>
      </c>
      <c r="AI37" s="243" t="s">
        <v>29</v>
      </c>
      <c r="AJ37" s="243" t="s">
        <v>419</v>
      </c>
      <c r="AK37" s="244" t="s">
        <v>373</v>
      </c>
      <c r="AL37" s="43" t="str">
        <f t="shared" si="12"/>
        <v>-</v>
      </c>
      <c r="AM37" s="43">
        <f t="shared" si="0"/>
        <v>0</v>
      </c>
      <c r="AN37" s="193">
        <f t="shared" si="0"/>
        <v>0</v>
      </c>
      <c r="AO37" s="264">
        <f t="shared" si="13"/>
        <v>30</v>
      </c>
      <c r="AP37" s="265">
        <f t="shared" si="1"/>
        <v>90</v>
      </c>
      <c r="AQ37" s="26" t="str">
        <f t="shared" si="2"/>
        <v>CLEMENS CREEKChinook</v>
      </c>
      <c r="AR37" s="26">
        <f t="shared" si="3"/>
        <v>0</v>
      </c>
      <c r="AS37" s="33">
        <f t="shared" si="18"/>
        <v>0</v>
      </c>
      <c r="AT37" s="34"/>
      <c r="AU37" s="34"/>
      <c r="AW37" s="34">
        <f>SUM(AT37:AU37)/2</f>
        <v>0</v>
      </c>
      <c r="AX37" s="47" t="str">
        <f t="shared" si="5"/>
        <v>CLEMENS CREEKChinook</v>
      </c>
      <c r="AY37" s="49">
        <f t="shared" si="6"/>
        <v>0</v>
      </c>
      <c r="AZ37" s="49">
        <f t="shared" si="7"/>
        <v>0</v>
      </c>
      <c r="BA37" s="31">
        <v>2016</v>
      </c>
      <c r="BB37" s="188" t="str">
        <f t="shared" si="8"/>
        <v>BCCF</v>
      </c>
      <c r="BC37" s="188" t="str">
        <f t="shared" si="14"/>
        <v xml:space="preserve"> </v>
      </c>
      <c r="BD37" s="188" t="str">
        <f t="shared" si="15"/>
        <v xml:space="preserve"> </v>
      </c>
      <c r="BE37" s="188" t="str">
        <f t="shared" si="16"/>
        <v xml:space="preserve"> </v>
      </c>
      <c r="BF37" s="50" t="str">
        <f t="shared" si="9"/>
        <v>CLEMENS CREEK_Chinook</v>
      </c>
      <c r="BG37" s="50">
        <f>IFERROR(VLOOKUP(BF37,'[1]WCVI Esc'!$C$5:$W$534,18,FALSE),"-")</f>
        <v>26.5</v>
      </c>
      <c r="BH37" s="50">
        <f t="shared" si="10"/>
        <v>30</v>
      </c>
      <c r="BI37" s="50">
        <f>IFERROR(VLOOKUP(BF37,'[1]WCVI Esc'!$C$5:$W$534,19,FALSE),"-")</f>
        <v>88.5</v>
      </c>
      <c r="BJ37" s="50">
        <f t="shared" si="11"/>
        <v>90</v>
      </c>
      <c r="BK37">
        <v>10</v>
      </c>
      <c r="BL37" s="17" t="s">
        <v>454</v>
      </c>
      <c r="BM37" s="31">
        <v>1</v>
      </c>
    </row>
    <row r="38" spans="1:65" hidden="1" x14ac:dyDescent="0.2">
      <c r="A38" s="29">
        <v>2</v>
      </c>
      <c r="B38" s="29">
        <v>6</v>
      </c>
      <c r="C38" s="13">
        <v>23</v>
      </c>
      <c r="D38" s="147" t="s">
        <v>294</v>
      </c>
      <c r="E38" s="21" t="s">
        <v>29</v>
      </c>
      <c r="F38" s="21" t="s">
        <v>211</v>
      </c>
      <c r="G38" s="21"/>
      <c r="H38" s="158"/>
      <c r="I38" s="155"/>
      <c r="J38" s="106"/>
      <c r="K38" s="94"/>
      <c r="L38" s="158"/>
      <c r="M38" s="161"/>
      <c r="N38" s="106"/>
      <c r="O38" s="106"/>
      <c r="P38" s="63"/>
      <c r="Q38" s="162"/>
      <c r="R38" s="169"/>
      <c r="S38" s="62"/>
      <c r="T38" s="62"/>
      <c r="U38" s="62"/>
      <c r="V38" s="64"/>
      <c r="W38" s="164"/>
      <c r="X38" s="62"/>
      <c r="Y38" s="45"/>
      <c r="Z38" s="44"/>
      <c r="AA38" s="100"/>
      <c r="AB38" s="100"/>
      <c r="AC38" s="123"/>
      <c r="AD38" s="123"/>
      <c r="AE38" s="123"/>
      <c r="AF38" s="123"/>
      <c r="AG38" s="69">
        <v>23</v>
      </c>
      <c r="AH38" s="69" t="s">
        <v>294</v>
      </c>
      <c r="AI38" s="243" t="s">
        <v>29</v>
      </c>
      <c r="AJ38" s="243" t="s">
        <v>419</v>
      </c>
      <c r="AK38" s="244" t="s">
        <v>373</v>
      </c>
      <c r="AL38" s="43" t="str">
        <f t="shared" si="12"/>
        <v>-</v>
      </c>
      <c r="AM38" s="43">
        <f t="shared" si="0"/>
        <v>0</v>
      </c>
      <c r="AN38" s="193">
        <f t="shared" si="0"/>
        <v>0</v>
      </c>
      <c r="AO38" s="264" t="str">
        <f t="shared" si="13"/>
        <v>-</v>
      </c>
      <c r="AP38" s="265" t="str">
        <f t="shared" si="1"/>
        <v>-</v>
      </c>
      <c r="AQ38" s="26" t="str">
        <f t="shared" si="2"/>
        <v>CLEMENS CREEKSteelhead</v>
      </c>
      <c r="AR38" s="26">
        <f t="shared" si="3"/>
        <v>0</v>
      </c>
      <c r="AS38" s="33">
        <f t="shared" si="18"/>
        <v>0</v>
      </c>
      <c r="AW38" s="34"/>
      <c r="AX38" s="47" t="str">
        <f t="shared" si="5"/>
        <v>CLEMENS CREEKSteelhead</v>
      </c>
      <c r="AY38" s="49">
        <f t="shared" si="6"/>
        <v>0</v>
      </c>
      <c r="AZ38" s="49">
        <f t="shared" si="7"/>
        <v>0</v>
      </c>
      <c r="BA38" s="31">
        <v>0</v>
      </c>
      <c r="BB38" s="188" t="str">
        <f t="shared" si="8"/>
        <v>BCCF</v>
      </c>
      <c r="BC38" s="188" t="str">
        <f t="shared" si="14"/>
        <v xml:space="preserve"> </v>
      </c>
      <c r="BD38" s="188" t="str">
        <f t="shared" si="15"/>
        <v xml:space="preserve"> </v>
      </c>
      <c r="BE38" s="188" t="str">
        <f t="shared" si="16"/>
        <v xml:space="preserve"> </v>
      </c>
      <c r="BF38" s="50" t="str">
        <f t="shared" si="9"/>
        <v>CLEMENS CREEK_Steelhead</v>
      </c>
      <c r="BG38" s="50" t="str">
        <f>IFERROR(VLOOKUP(BF38,'[1]WCVI Esc'!$C$5:$W$534,18,FALSE),"-")</f>
        <v>-</v>
      </c>
      <c r="BH38" s="50" t="str">
        <f t="shared" si="10"/>
        <v>-</v>
      </c>
      <c r="BI38" s="50" t="str">
        <f>IFERROR(VLOOKUP(BF38,'[1]WCVI Esc'!$C$5:$W$534,19,FALSE),"-")</f>
        <v>-</v>
      </c>
      <c r="BJ38" s="50" t="str">
        <f t="shared" si="11"/>
        <v>-</v>
      </c>
    </row>
    <row r="39" spans="1:65" hidden="1" x14ac:dyDescent="0.2">
      <c r="A39" s="29">
        <v>2</v>
      </c>
      <c r="B39" s="29">
        <v>1</v>
      </c>
      <c r="C39" s="13">
        <v>23</v>
      </c>
      <c r="D39" s="149" t="s">
        <v>355</v>
      </c>
      <c r="E39" s="21" t="s">
        <v>32</v>
      </c>
      <c r="F39" s="21" t="s">
        <v>207</v>
      </c>
      <c r="G39" s="21"/>
      <c r="H39" s="152"/>
      <c r="I39" s="155"/>
      <c r="J39" s="106"/>
      <c r="K39" s="94"/>
      <c r="L39" s="158"/>
      <c r="M39" s="161"/>
      <c r="N39" s="106"/>
      <c r="O39" s="106"/>
      <c r="P39" s="63"/>
      <c r="Q39" s="334"/>
      <c r="R39" s="164"/>
      <c r="S39" s="62"/>
      <c r="T39" s="63"/>
      <c r="U39" s="62"/>
      <c r="V39" s="64"/>
      <c r="W39" s="164"/>
      <c r="X39" s="62"/>
      <c r="Y39" s="45"/>
      <c r="Z39" s="44"/>
      <c r="AA39" s="100">
        <f>Y39/AP39</f>
        <v>0</v>
      </c>
      <c r="AB39" s="100">
        <f>AS39/AP39</f>
        <v>0</v>
      </c>
      <c r="AC39" s="123">
        <v>2</v>
      </c>
      <c r="AD39" s="123"/>
      <c r="AE39" s="123"/>
      <c r="AF39" s="123"/>
      <c r="AG39" s="69">
        <v>23</v>
      </c>
      <c r="AH39" s="69" t="s">
        <v>355</v>
      </c>
      <c r="AI39" s="243" t="s">
        <v>32</v>
      </c>
      <c r="AJ39" s="243" t="s">
        <v>419</v>
      </c>
      <c r="AK39" s="244" t="s">
        <v>373</v>
      </c>
      <c r="AL39" s="43" t="str">
        <f t="shared" si="12"/>
        <v>-</v>
      </c>
      <c r="AM39" s="43">
        <f t="shared" si="0"/>
        <v>0</v>
      </c>
      <c r="AN39" s="193">
        <f t="shared" si="0"/>
        <v>0</v>
      </c>
      <c r="AO39" s="264">
        <f t="shared" si="13"/>
        <v>610</v>
      </c>
      <c r="AP39" s="265">
        <f t="shared" si="1"/>
        <v>750</v>
      </c>
      <c r="AQ39" s="26" t="str">
        <f t="shared" si="2"/>
        <v>NAHMINT RIVERSockeye</v>
      </c>
      <c r="AR39" s="26">
        <f t="shared" si="3"/>
        <v>0</v>
      </c>
      <c r="AS39" s="33">
        <f t="shared" si="18"/>
        <v>0</v>
      </c>
      <c r="AW39" s="34"/>
      <c r="AX39" s="47" t="str">
        <f t="shared" si="5"/>
        <v>NAHMINT RIVERSockeye</v>
      </c>
      <c r="AY39" s="49">
        <f t="shared" si="6"/>
        <v>0</v>
      </c>
      <c r="AZ39" s="49">
        <f t="shared" si="7"/>
        <v>0</v>
      </c>
      <c r="BA39" s="31">
        <v>2016</v>
      </c>
      <c r="BB39" s="188" t="str">
        <f t="shared" si="8"/>
        <v>BCCF</v>
      </c>
      <c r="BC39" s="188" t="str">
        <f t="shared" si="14"/>
        <v xml:space="preserve"> </v>
      </c>
      <c r="BD39" s="188" t="str">
        <f t="shared" si="15"/>
        <v xml:space="preserve"> </v>
      </c>
      <c r="BE39" s="188" t="str">
        <f t="shared" si="16"/>
        <v xml:space="preserve"> </v>
      </c>
      <c r="BF39" s="50" t="str">
        <f t="shared" si="9"/>
        <v>NAHMINT RIVER_Sockeye</v>
      </c>
      <c r="BG39" s="50">
        <f>IFERROR(VLOOKUP(BF39,'[1]WCVI Esc'!$C$5:$W$534,18,FALSE),"-")</f>
        <v>609.75</v>
      </c>
      <c r="BH39" s="50">
        <f t="shared" si="10"/>
        <v>610</v>
      </c>
      <c r="BI39" s="50">
        <f>IFERROR(VLOOKUP(BF39,'[1]WCVI Esc'!$C$5:$W$534,19,FALSE),"-")</f>
        <v>749.25</v>
      </c>
      <c r="BJ39" s="50">
        <f t="shared" si="11"/>
        <v>750</v>
      </c>
    </row>
    <row r="40" spans="1:65" hidden="1" x14ac:dyDescent="0.2">
      <c r="A40" s="29">
        <v>2</v>
      </c>
      <c r="B40" s="29">
        <v>2</v>
      </c>
      <c r="C40" s="13">
        <v>23</v>
      </c>
      <c r="D40" s="149" t="s">
        <v>355</v>
      </c>
      <c r="E40" s="21" t="s">
        <v>32</v>
      </c>
      <c r="F40" s="21" t="s">
        <v>219</v>
      </c>
      <c r="G40" s="21"/>
      <c r="H40" s="152"/>
      <c r="I40" s="155"/>
      <c r="J40" s="106"/>
      <c r="K40" s="94"/>
      <c r="L40" s="158"/>
      <c r="M40" s="161"/>
      <c r="N40" s="106"/>
      <c r="O40" s="106"/>
      <c r="P40" s="63"/>
      <c r="Q40" s="162"/>
      <c r="R40" s="164"/>
      <c r="S40" s="62"/>
      <c r="T40" s="63"/>
      <c r="U40" s="62"/>
      <c r="V40" s="64"/>
      <c r="W40" s="164"/>
      <c r="X40" s="62"/>
      <c r="Y40" s="45"/>
      <c r="Z40" s="44"/>
      <c r="AA40" s="100">
        <f>Y40/AP40</f>
        <v>0</v>
      </c>
      <c r="AB40" s="100">
        <f>AS40/AP40</f>
        <v>0</v>
      </c>
      <c r="AC40" s="123">
        <v>2</v>
      </c>
      <c r="AD40" s="123"/>
      <c r="AE40" s="123"/>
      <c r="AF40" s="123"/>
      <c r="AG40" s="69">
        <v>23</v>
      </c>
      <c r="AH40" s="69" t="s">
        <v>355</v>
      </c>
      <c r="AI40" s="243" t="s">
        <v>32</v>
      </c>
      <c r="AJ40" s="243" t="s">
        <v>419</v>
      </c>
      <c r="AK40" s="244" t="s">
        <v>373</v>
      </c>
      <c r="AL40" s="43" t="str">
        <f t="shared" si="12"/>
        <v>-</v>
      </c>
      <c r="AM40" s="43">
        <f t="shared" si="0"/>
        <v>0</v>
      </c>
      <c r="AN40" s="193">
        <f t="shared" si="0"/>
        <v>0</v>
      </c>
      <c r="AO40" s="264">
        <f t="shared" si="13"/>
        <v>250</v>
      </c>
      <c r="AP40" s="265">
        <f t="shared" si="1"/>
        <v>370</v>
      </c>
      <c r="AQ40" s="26" t="str">
        <f t="shared" si="2"/>
        <v>NAHMINT RIVERCoho</v>
      </c>
      <c r="AR40" s="26">
        <f t="shared" si="3"/>
        <v>0</v>
      </c>
      <c r="AS40" s="33">
        <f t="shared" si="18"/>
        <v>0</v>
      </c>
      <c r="AW40" s="34"/>
      <c r="AX40" s="47" t="str">
        <f t="shared" si="5"/>
        <v>NAHMINT RIVERCoho</v>
      </c>
      <c r="AY40" s="49">
        <f t="shared" si="6"/>
        <v>0</v>
      </c>
      <c r="AZ40" s="49">
        <f t="shared" si="7"/>
        <v>0</v>
      </c>
      <c r="BA40" s="31">
        <v>2016</v>
      </c>
      <c r="BB40" s="188" t="str">
        <f t="shared" si="8"/>
        <v>BCCF</v>
      </c>
      <c r="BC40" s="188" t="str">
        <f t="shared" si="14"/>
        <v xml:space="preserve"> </v>
      </c>
      <c r="BD40" s="188" t="str">
        <f t="shared" si="15"/>
        <v xml:space="preserve"> </v>
      </c>
      <c r="BE40" s="188" t="str">
        <f t="shared" si="16"/>
        <v xml:space="preserve"> </v>
      </c>
      <c r="BF40" s="50" t="str">
        <f t="shared" si="9"/>
        <v>NAHMINT RIVER_Coho</v>
      </c>
      <c r="BG40" s="50">
        <f>IFERROR(VLOOKUP(BF40,'[1]WCVI Esc'!$C$5:$W$534,18,FALSE),"-")</f>
        <v>245.5</v>
      </c>
      <c r="BH40" s="50">
        <f t="shared" si="10"/>
        <v>250</v>
      </c>
      <c r="BI40" s="50">
        <f>IFERROR(VLOOKUP(BF40,'[1]WCVI Esc'!$C$5:$W$534,19,FALSE),"-")</f>
        <v>367.08333333333331</v>
      </c>
      <c r="BJ40" s="50">
        <f t="shared" si="11"/>
        <v>370</v>
      </c>
    </row>
    <row r="41" spans="1:65" hidden="1" x14ac:dyDescent="0.2">
      <c r="A41" s="29">
        <v>2</v>
      </c>
      <c r="B41" s="29">
        <v>3</v>
      </c>
      <c r="C41" s="13">
        <v>23</v>
      </c>
      <c r="D41" s="149" t="s">
        <v>355</v>
      </c>
      <c r="E41" s="21" t="s">
        <v>32</v>
      </c>
      <c r="F41" s="21" t="s">
        <v>208</v>
      </c>
      <c r="G41" s="21"/>
      <c r="H41" s="152"/>
      <c r="I41" s="155"/>
      <c r="J41" s="106"/>
      <c r="K41" s="94"/>
      <c r="L41" s="158"/>
      <c r="M41" s="161"/>
      <c r="N41" s="106"/>
      <c r="O41" s="106"/>
      <c r="P41" s="63"/>
      <c r="Q41" s="162"/>
      <c r="R41" s="169"/>
      <c r="S41" s="62"/>
      <c r="T41" s="63"/>
      <c r="U41" s="62"/>
      <c r="V41" s="64"/>
      <c r="W41" s="164"/>
      <c r="X41" s="62"/>
      <c r="Y41" s="53"/>
      <c r="Z41" s="44"/>
      <c r="AA41" s="100">
        <f>Y41/AP41</f>
        <v>0</v>
      </c>
      <c r="AB41" s="100">
        <f>AS41/AP41</f>
        <v>0</v>
      </c>
      <c r="AC41" s="123"/>
      <c r="AD41" s="123"/>
      <c r="AE41" s="123"/>
      <c r="AF41" s="123"/>
      <c r="AG41" s="69">
        <v>23</v>
      </c>
      <c r="AH41" s="69" t="s">
        <v>355</v>
      </c>
      <c r="AI41" s="243" t="s">
        <v>32</v>
      </c>
      <c r="AJ41" s="243" t="s">
        <v>419</v>
      </c>
      <c r="AK41" s="244" t="s">
        <v>373</v>
      </c>
      <c r="AL41" s="43" t="str">
        <f t="shared" si="12"/>
        <v>-</v>
      </c>
      <c r="AM41" s="43">
        <f t="shared" ref="AM41:AN72" si="19">AR41</f>
        <v>0</v>
      </c>
      <c r="AN41" s="193">
        <f t="shared" si="19"/>
        <v>0</v>
      </c>
      <c r="AO41" s="264" t="str">
        <f t="shared" si="13"/>
        <v>-</v>
      </c>
      <c r="AP41" s="265">
        <f t="shared" si="1"/>
        <v>10</v>
      </c>
      <c r="AQ41" s="26" t="str">
        <f t="shared" si="2"/>
        <v>NAHMINT RIVERPink</v>
      </c>
      <c r="AR41" s="26">
        <f t="shared" si="3"/>
        <v>0</v>
      </c>
      <c r="AS41" s="33">
        <f t="shared" si="18"/>
        <v>0</v>
      </c>
      <c r="AW41" s="34"/>
      <c r="AX41" s="47" t="str">
        <f t="shared" si="5"/>
        <v>NAHMINT RIVERPink</v>
      </c>
      <c r="AY41" s="49">
        <f t="shared" si="6"/>
        <v>0</v>
      </c>
      <c r="AZ41" s="49">
        <f t="shared" si="7"/>
        <v>0</v>
      </c>
      <c r="BA41" s="31">
        <v>2016</v>
      </c>
      <c r="BB41" s="188" t="str">
        <f t="shared" si="8"/>
        <v>BCCF</v>
      </c>
      <c r="BC41" s="188" t="str">
        <f t="shared" si="14"/>
        <v xml:space="preserve"> </v>
      </c>
      <c r="BD41" s="188" t="str">
        <f t="shared" si="15"/>
        <v xml:space="preserve"> </v>
      </c>
      <c r="BE41" s="188" t="str">
        <f t="shared" si="16"/>
        <v xml:space="preserve"> </v>
      </c>
      <c r="BF41" s="50" t="str">
        <f t="shared" si="9"/>
        <v>NAHMINT RIVER_Pink</v>
      </c>
      <c r="BG41" s="50" t="str">
        <f>IFERROR(VLOOKUP(BF41,'[1]WCVI Esc'!$C$5:$W$534,18,FALSE),"-")</f>
        <v>-</v>
      </c>
      <c r="BH41" s="50" t="str">
        <f t="shared" si="10"/>
        <v>-</v>
      </c>
      <c r="BI41" s="50">
        <f>IFERROR(VLOOKUP(BF41,'[1]WCVI Esc'!$C$5:$W$534,19,FALSE),"-")</f>
        <v>7</v>
      </c>
      <c r="BJ41" s="50">
        <f t="shared" si="11"/>
        <v>10</v>
      </c>
    </row>
    <row r="42" spans="1:65" hidden="1" x14ac:dyDescent="0.2">
      <c r="A42" s="29">
        <v>2</v>
      </c>
      <c r="B42" s="29">
        <v>4</v>
      </c>
      <c r="C42" s="13">
        <v>23</v>
      </c>
      <c r="D42" s="149" t="s">
        <v>355</v>
      </c>
      <c r="E42" s="21" t="s">
        <v>32</v>
      </c>
      <c r="F42" s="21" t="s">
        <v>209</v>
      </c>
      <c r="G42" s="21"/>
      <c r="H42" s="152"/>
      <c r="I42" s="155"/>
      <c r="J42" s="106"/>
      <c r="K42" s="94"/>
      <c r="L42" s="158"/>
      <c r="M42" s="161"/>
      <c r="N42" s="106"/>
      <c r="O42" s="106"/>
      <c r="P42" s="63"/>
      <c r="Q42" s="162"/>
      <c r="R42" s="164"/>
      <c r="S42" s="62"/>
      <c r="T42" s="63"/>
      <c r="U42" s="62"/>
      <c r="V42" s="64"/>
      <c r="W42" s="164"/>
      <c r="X42" s="62"/>
      <c r="Y42" s="53"/>
      <c r="Z42" s="44"/>
      <c r="AA42" s="100">
        <f>Y42/AP42</f>
        <v>0</v>
      </c>
      <c r="AB42" s="100">
        <f>AS42/AP42</f>
        <v>0</v>
      </c>
      <c r="AC42" s="123">
        <v>2</v>
      </c>
      <c r="AD42" s="123"/>
      <c r="AE42" s="123"/>
      <c r="AF42" s="123"/>
      <c r="AG42" s="69">
        <v>23</v>
      </c>
      <c r="AH42" s="69" t="s">
        <v>355</v>
      </c>
      <c r="AI42" s="243" t="s">
        <v>32</v>
      </c>
      <c r="AJ42" s="243" t="s">
        <v>419</v>
      </c>
      <c r="AK42" s="244" t="s">
        <v>373</v>
      </c>
      <c r="AL42" s="43" t="str">
        <f t="shared" si="12"/>
        <v>-</v>
      </c>
      <c r="AM42" s="43">
        <f t="shared" si="19"/>
        <v>0</v>
      </c>
      <c r="AN42" s="193">
        <f t="shared" si="19"/>
        <v>0</v>
      </c>
      <c r="AO42" s="264">
        <f t="shared" si="13"/>
        <v>3310</v>
      </c>
      <c r="AP42" s="265">
        <f t="shared" si="1"/>
        <v>8570</v>
      </c>
      <c r="AQ42" s="26" t="str">
        <f t="shared" si="2"/>
        <v>NAHMINT RIVERChum</v>
      </c>
      <c r="AR42" s="26">
        <f t="shared" si="3"/>
        <v>0</v>
      </c>
      <c r="AS42" s="33">
        <f t="shared" si="18"/>
        <v>0</v>
      </c>
      <c r="AW42" s="34"/>
      <c r="AX42" s="47" t="str">
        <f t="shared" si="5"/>
        <v>NAHMINT RIVERChum</v>
      </c>
      <c r="AY42" s="49">
        <f t="shared" si="6"/>
        <v>0</v>
      </c>
      <c r="AZ42" s="49">
        <f t="shared" si="7"/>
        <v>0</v>
      </c>
      <c r="BA42" s="31">
        <v>2016</v>
      </c>
      <c r="BB42" s="188" t="str">
        <f t="shared" si="8"/>
        <v>BCCF</v>
      </c>
      <c r="BC42" s="188" t="str">
        <f t="shared" si="14"/>
        <v xml:space="preserve"> </v>
      </c>
      <c r="BD42" s="188" t="str">
        <f t="shared" si="15"/>
        <v xml:space="preserve"> </v>
      </c>
      <c r="BE42" s="188" t="str">
        <f t="shared" si="16"/>
        <v xml:space="preserve"> </v>
      </c>
      <c r="BF42" s="50" t="str">
        <f t="shared" si="9"/>
        <v>NAHMINT RIVER_Chum</v>
      </c>
      <c r="BG42" s="50">
        <f>IFERROR(VLOOKUP(BF42,'[1]WCVI Esc'!$C$5:$W$534,18,FALSE),"-")</f>
        <v>3312.25</v>
      </c>
      <c r="BH42" s="50">
        <f t="shared" si="10"/>
        <v>3310</v>
      </c>
      <c r="BI42" s="50">
        <f>IFERROR(VLOOKUP(BF42,'[1]WCVI Esc'!$C$5:$W$534,19,FALSE),"-")</f>
        <v>8573.5833333333339</v>
      </c>
      <c r="BJ42" s="50">
        <f t="shared" si="11"/>
        <v>8570</v>
      </c>
    </row>
    <row r="43" spans="1:65" hidden="1" x14ac:dyDescent="0.2">
      <c r="A43" s="29">
        <v>2</v>
      </c>
      <c r="B43" s="29">
        <v>5</v>
      </c>
      <c r="C43" s="13">
        <v>23</v>
      </c>
      <c r="D43" s="149" t="s">
        <v>355</v>
      </c>
      <c r="E43" s="21" t="s">
        <v>32</v>
      </c>
      <c r="F43" s="10" t="s">
        <v>210</v>
      </c>
      <c r="G43" s="10"/>
      <c r="H43" s="152"/>
      <c r="I43" s="155"/>
      <c r="J43" s="106"/>
      <c r="K43" s="94"/>
      <c r="L43" s="158"/>
      <c r="M43" s="161"/>
      <c r="N43" s="106"/>
      <c r="O43" s="106"/>
      <c r="P43" s="63"/>
      <c r="Q43" s="162"/>
      <c r="R43" s="164"/>
      <c r="S43" s="62"/>
      <c r="T43" s="63"/>
      <c r="U43" s="62"/>
      <c r="V43" s="64"/>
      <c r="W43" s="164"/>
      <c r="X43" s="62"/>
      <c r="Y43" s="45"/>
      <c r="Z43" s="44"/>
      <c r="AA43" s="100">
        <f>Y43/AP43</f>
        <v>0</v>
      </c>
      <c r="AB43" s="100">
        <f>AS43/AP43</f>
        <v>0</v>
      </c>
      <c r="AC43" s="123">
        <v>2</v>
      </c>
      <c r="AD43" s="123">
        <v>921</v>
      </c>
      <c r="AE43" s="123">
        <v>271</v>
      </c>
      <c r="AF43" s="123">
        <f>Y43</f>
        <v>0</v>
      </c>
      <c r="AG43" s="69">
        <v>23</v>
      </c>
      <c r="AH43" s="69" t="s">
        <v>355</v>
      </c>
      <c r="AI43" s="243" t="s">
        <v>32</v>
      </c>
      <c r="AJ43" s="243" t="s">
        <v>419</v>
      </c>
      <c r="AK43" s="244" t="s">
        <v>373</v>
      </c>
      <c r="AL43" s="43" t="str">
        <f t="shared" si="12"/>
        <v>-</v>
      </c>
      <c r="AM43" s="43">
        <f t="shared" si="19"/>
        <v>0</v>
      </c>
      <c r="AN43" s="193">
        <f t="shared" si="19"/>
        <v>0</v>
      </c>
      <c r="AO43" s="264">
        <f t="shared" si="13"/>
        <v>640</v>
      </c>
      <c r="AP43" s="265">
        <f t="shared" si="1"/>
        <v>430</v>
      </c>
      <c r="AQ43" s="26" t="str">
        <f t="shared" si="2"/>
        <v>NAHMINT RIVERChinook</v>
      </c>
      <c r="AR43" s="26">
        <f t="shared" si="3"/>
        <v>0</v>
      </c>
      <c r="AS43" s="33">
        <f t="shared" si="18"/>
        <v>0</v>
      </c>
      <c r="AT43" s="34">
        <f>AS43*1.14</f>
        <v>0</v>
      </c>
      <c r="AU43" s="34">
        <f>AS43*2.88</f>
        <v>0</v>
      </c>
      <c r="AV43" s="37"/>
      <c r="AW43" s="34">
        <f>SUM(AT43:AU43)/2</f>
        <v>0</v>
      </c>
      <c r="AX43" s="47" t="str">
        <f t="shared" si="5"/>
        <v>NAHMINT RIVERChinook</v>
      </c>
      <c r="AY43" s="49">
        <f t="shared" si="6"/>
        <v>0</v>
      </c>
      <c r="AZ43" s="49">
        <f t="shared" si="7"/>
        <v>0</v>
      </c>
      <c r="BA43" s="31">
        <v>2016</v>
      </c>
      <c r="BB43" s="188" t="str">
        <f t="shared" si="8"/>
        <v>BCCF</v>
      </c>
      <c r="BC43" s="188" t="str">
        <f t="shared" si="14"/>
        <v xml:space="preserve"> </v>
      </c>
      <c r="BD43" s="188" t="str">
        <f t="shared" si="15"/>
        <v xml:space="preserve"> </v>
      </c>
      <c r="BE43" s="188" t="str">
        <f t="shared" si="16"/>
        <v xml:space="preserve"> </v>
      </c>
      <c r="BF43" s="50" t="str">
        <f t="shared" si="9"/>
        <v>NAHMINT RIVER_Chinook</v>
      </c>
      <c r="BG43" s="50">
        <f>IFERROR(VLOOKUP(BF43,'[1]WCVI Esc'!$C$5:$W$534,18,FALSE),"-")</f>
        <v>637.75</v>
      </c>
      <c r="BH43" s="50">
        <f t="shared" si="10"/>
        <v>640</v>
      </c>
      <c r="BI43" s="50">
        <f>IFERROR(VLOOKUP(BF43,'[1]WCVI Esc'!$C$5:$W$534,19,FALSE),"-")</f>
        <v>430</v>
      </c>
      <c r="BJ43" s="50">
        <f t="shared" si="11"/>
        <v>430</v>
      </c>
      <c r="BK43">
        <v>8</v>
      </c>
      <c r="BL43" s="17" t="s">
        <v>454</v>
      </c>
      <c r="BM43" s="31">
        <v>1</v>
      </c>
    </row>
    <row r="44" spans="1:65" hidden="1" x14ac:dyDescent="0.2">
      <c r="A44" s="29">
        <v>2</v>
      </c>
      <c r="B44" s="29">
        <v>6</v>
      </c>
      <c r="C44" s="13">
        <v>23</v>
      </c>
      <c r="D44" s="149" t="s">
        <v>355</v>
      </c>
      <c r="E44" s="21" t="s">
        <v>32</v>
      </c>
      <c r="F44" s="21" t="s">
        <v>211</v>
      </c>
      <c r="G44" s="21"/>
      <c r="H44" s="152"/>
      <c r="I44" s="155"/>
      <c r="J44" s="106"/>
      <c r="K44" s="94"/>
      <c r="L44" s="158"/>
      <c r="M44" s="161"/>
      <c r="N44" s="106"/>
      <c r="O44" s="106"/>
      <c r="P44" s="63"/>
      <c r="Q44" s="162"/>
      <c r="R44" s="169"/>
      <c r="S44" s="62"/>
      <c r="T44" s="63"/>
      <c r="U44" s="62"/>
      <c r="V44" s="64"/>
      <c r="W44" s="164"/>
      <c r="X44" s="62"/>
      <c r="Y44" s="53"/>
      <c r="Z44" s="44"/>
      <c r="AA44" s="100"/>
      <c r="AB44" s="100"/>
      <c r="AC44" s="123"/>
      <c r="AD44" s="123"/>
      <c r="AE44" s="123"/>
      <c r="AF44" s="123"/>
      <c r="AG44" s="69">
        <v>23</v>
      </c>
      <c r="AH44" s="69" t="s">
        <v>355</v>
      </c>
      <c r="AI44" s="243" t="s">
        <v>32</v>
      </c>
      <c r="AJ44" s="243" t="s">
        <v>419</v>
      </c>
      <c r="AK44" s="244" t="s">
        <v>373</v>
      </c>
      <c r="AL44" s="43" t="str">
        <f t="shared" si="12"/>
        <v>-</v>
      </c>
      <c r="AM44" s="43">
        <f t="shared" si="19"/>
        <v>0</v>
      </c>
      <c r="AN44" s="193">
        <f t="shared" si="19"/>
        <v>0</v>
      </c>
      <c r="AO44" s="264" t="str">
        <f t="shared" si="13"/>
        <v>-</v>
      </c>
      <c r="AP44" s="265" t="str">
        <f t="shared" si="1"/>
        <v>-</v>
      </c>
      <c r="AQ44" s="26" t="str">
        <f t="shared" si="2"/>
        <v>NAHMINT RIVERSteelhead</v>
      </c>
      <c r="AR44" s="26">
        <f t="shared" si="3"/>
        <v>0</v>
      </c>
      <c r="AS44" s="33">
        <f t="shared" si="18"/>
        <v>0</v>
      </c>
      <c r="AW44" s="34"/>
      <c r="AX44" s="47" t="str">
        <f t="shared" si="5"/>
        <v>NAHMINT RIVERSteelhead</v>
      </c>
      <c r="AY44" s="49">
        <f t="shared" si="6"/>
        <v>0</v>
      </c>
      <c r="AZ44" s="49">
        <f t="shared" si="7"/>
        <v>0</v>
      </c>
      <c r="BA44" s="31">
        <v>0</v>
      </c>
      <c r="BB44" s="188" t="str">
        <f t="shared" si="8"/>
        <v>BCCF</v>
      </c>
      <c r="BC44" s="188" t="str">
        <f t="shared" si="14"/>
        <v xml:space="preserve"> </v>
      </c>
      <c r="BD44" s="188" t="str">
        <f t="shared" si="15"/>
        <v xml:space="preserve"> </v>
      </c>
      <c r="BE44" s="188" t="str">
        <f t="shared" si="16"/>
        <v xml:space="preserve"> </v>
      </c>
      <c r="BF44" s="50" t="str">
        <f t="shared" si="9"/>
        <v>NAHMINT RIVER_Steelhead</v>
      </c>
      <c r="BG44" s="50" t="str">
        <f>IFERROR(VLOOKUP(BF44,'[1]WCVI Esc'!$C$5:$W$534,18,FALSE),"-")</f>
        <v>-</v>
      </c>
      <c r="BH44" s="50" t="str">
        <f t="shared" si="10"/>
        <v>-</v>
      </c>
      <c r="BI44" s="50" t="str">
        <f>IFERROR(VLOOKUP(BF44,'[1]WCVI Esc'!$C$5:$W$534,19,FALSE),"-")</f>
        <v>-</v>
      </c>
      <c r="BJ44" s="50" t="str">
        <f t="shared" si="11"/>
        <v>-</v>
      </c>
    </row>
    <row r="45" spans="1:65" hidden="1" x14ac:dyDescent="0.2">
      <c r="A45" s="29">
        <v>2</v>
      </c>
      <c r="B45" s="29">
        <v>1</v>
      </c>
      <c r="C45" s="13">
        <v>23</v>
      </c>
      <c r="D45" s="147" t="s">
        <v>293</v>
      </c>
      <c r="E45" s="21" t="s">
        <v>33</v>
      </c>
      <c r="F45" s="21" t="s">
        <v>207</v>
      </c>
      <c r="G45" s="21"/>
      <c r="H45" s="152"/>
      <c r="I45" s="155"/>
      <c r="J45" s="106"/>
      <c r="K45" s="94"/>
      <c r="L45" s="158"/>
      <c r="M45" s="161"/>
      <c r="N45" s="106"/>
      <c r="O45" s="106"/>
      <c r="P45" s="63"/>
      <c r="Q45" s="162"/>
      <c r="R45" s="169"/>
      <c r="S45" s="62"/>
      <c r="T45" s="62"/>
      <c r="U45" s="62"/>
      <c r="V45" s="64"/>
      <c r="W45" s="164"/>
      <c r="X45" s="62"/>
      <c r="Y45" s="45"/>
      <c r="Z45" s="44"/>
      <c r="AA45" s="100">
        <f>Y45/AP45</f>
        <v>0</v>
      </c>
      <c r="AB45" s="100">
        <f>AS45/AP45</f>
        <v>0</v>
      </c>
      <c r="AC45" s="123">
        <v>3</v>
      </c>
      <c r="AD45" s="123"/>
      <c r="AE45" s="123"/>
      <c r="AF45" s="123"/>
      <c r="AG45" s="69">
        <v>23</v>
      </c>
      <c r="AH45" s="69" t="s">
        <v>293</v>
      </c>
      <c r="AI45" s="243" t="s">
        <v>33</v>
      </c>
      <c r="AJ45" s="243" t="s">
        <v>419</v>
      </c>
      <c r="AK45" s="244" t="s">
        <v>374</v>
      </c>
      <c r="AL45" s="43" t="str">
        <f t="shared" si="12"/>
        <v>-</v>
      </c>
      <c r="AM45" s="43">
        <f t="shared" si="19"/>
        <v>0</v>
      </c>
      <c r="AN45" s="193">
        <f t="shared" si="19"/>
        <v>0</v>
      </c>
      <c r="AO45" s="264">
        <f t="shared" si="13"/>
        <v>20</v>
      </c>
      <c r="AP45" s="265">
        <f t="shared" si="1"/>
        <v>50</v>
      </c>
      <c r="AQ45" s="26" t="str">
        <f t="shared" si="2"/>
        <v>SARITA RIVERSockeye</v>
      </c>
      <c r="AR45" s="26">
        <f t="shared" si="3"/>
        <v>0</v>
      </c>
      <c r="AS45" s="33">
        <f t="shared" si="18"/>
        <v>0</v>
      </c>
      <c r="AW45" s="34"/>
      <c r="AX45" s="47" t="str">
        <f t="shared" si="5"/>
        <v>SARITA RIVERSockeye</v>
      </c>
      <c r="AY45" s="49">
        <f t="shared" si="6"/>
        <v>0</v>
      </c>
      <c r="AZ45" s="49">
        <f t="shared" si="7"/>
        <v>0</v>
      </c>
      <c r="BA45" s="31">
        <v>2016</v>
      </c>
      <c r="BB45" s="188" t="str">
        <f t="shared" si="8"/>
        <v>HFN</v>
      </c>
      <c r="BC45" s="188" t="str">
        <f t="shared" si="14"/>
        <v xml:space="preserve"> </v>
      </c>
      <c r="BD45" s="188" t="str">
        <f t="shared" si="15"/>
        <v xml:space="preserve"> </v>
      </c>
      <c r="BE45" s="188" t="str">
        <f t="shared" si="16"/>
        <v xml:space="preserve"> </v>
      </c>
      <c r="BF45" s="50" t="str">
        <f t="shared" si="9"/>
        <v>SARITA RIVER_Sockeye</v>
      </c>
      <c r="BG45" s="50">
        <f>IFERROR(VLOOKUP(BF45,'[1]WCVI Esc'!$C$5:$W$534,18,FALSE),"-")</f>
        <v>16.5</v>
      </c>
      <c r="BH45" s="50">
        <f t="shared" si="10"/>
        <v>20</v>
      </c>
      <c r="BI45" s="50">
        <f>IFERROR(VLOOKUP(BF45,'[1]WCVI Esc'!$C$5:$W$534,19,FALSE),"-")</f>
        <v>45.444444444444443</v>
      </c>
      <c r="BJ45" s="50">
        <f t="shared" si="11"/>
        <v>50</v>
      </c>
    </row>
    <row r="46" spans="1:65" hidden="1" x14ac:dyDescent="0.2">
      <c r="A46" s="29">
        <v>2</v>
      </c>
      <c r="B46" s="29">
        <v>2</v>
      </c>
      <c r="C46" s="13">
        <v>23</v>
      </c>
      <c r="D46" s="147" t="s">
        <v>293</v>
      </c>
      <c r="E46" s="21" t="s">
        <v>33</v>
      </c>
      <c r="F46" s="21" t="s">
        <v>219</v>
      </c>
      <c r="G46" s="21"/>
      <c r="H46" s="152"/>
      <c r="I46" s="155"/>
      <c r="J46" s="106"/>
      <c r="K46" s="94"/>
      <c r="L46" s="158"/>
      <c r="M46" s="161"/>
      <c r="N46" s="106"/>
      <c r="O46" s="106"/>
      <c r="P46" s="63"/>
      <c r="Q46" s="162"/>
      <c r="R46" s="164"/>
      <c r="S46" s="62"/>
      <c r="T46" s="63"/>
      <c r="U46" s="62"/>
      <c r="V46" s="64"/>
      <c r="W46" s="164"/>
      <c r="X46" s="62"/>
      <c r="Y46" s="45"/>
      <c r="Z46" s="44"/>
      <c r="AA46" s="100">
        <f>Y46/AP46</f>
        <v>0</v>
      </c>
      <c r="AB46" s="100">
        <f>AS46/AP46</f>
        <v>0</v>
      </c>
      <c r="AC46" s="123">
        <v>2</v>
      </c>
      <c r="AD46" s="123"/>
      <c r="AE46" s="123"/>
      <c r="AF46" s="123"/>
      <c r="AG46" s="69">
        <v>23</v>
      </c>
      <c r="AH46" s="69" t="s">
        <v>293</v>
      </c>
      <c r="AI46" s="243" t="s">
        <v>33</v>
      </c>
      <c r="AJ46" s="243" t="s">
        <v>419</v>
      </c>
      <c r="AK46" s="244" t="s">
        <v>374</v>
      </c>
      <c r="AL46" s="43" t="str">
        <f t="shared" si="12"/>
        <v>-</v>
      </c>
      <c r="AM46" s="43">
        <f t="shared" si="19"/>
        <v>0</v>
      </c>
      <c r="AN46" s="193">
        <f t="shared" si="19"/>
        <v>0</v>
      </c>
      <c r="AO46" s="264">
        <f t="shared" si="13"/>
        <v>210</v>
      </c>
      <c r="AP46" s="265">
        <f t="shared" si="1"/>
        <v>580</v>
      </c>
      <c r="AQ46" s="26" t="str">
        <f t="shared" si="2"/>
        <v>SARITA RIVERCoho</v>
      </c>
      <c r="AR46" s="26">
        <f t="shared" si="3"/>
        <v>0</v>
      </c>
      <c r="AS46" s="33">
        <f t="shared" si="18"/>
        <v>0</v>
      </c>
      <c r="AW46" s="34"/>
      <c r="AX46" s="47" t="str">
        <f t="shared" si="5"/>
        <v>SARITA RIVERCoho</v>
      </c>
      <c r="AY46" s="49">
        <f t="shared" si="6"/>
        <v>0</v>
      </c>
      <c r="AZ46" s="49">
        <f t="shared" si="7"/>
        <v>0</v>
      </c>
      <c r="BA46" s="31">
        <v>2016</v>
      </c>
      <c r="BB46" s="188" t="str">
        <f t="shared" si="8"/>
        <v>HFN</v>
      </c>
      <c r="BC46" s="188" t="str">
        <f t="shared" si="14"/>
        <v xml:space="preserve"> </v>
      </c>
      <c r="BD46" s="188" t="str">
        <f t="shared" si="15"/>
        <v xml:space="preserve"> </v>
      </c>
      <c r="BE46" s="188" t="str">
        <f t="shared" si="16"/>
        <v xml:space="preserve"> </v>
      </c>
      <c r="BF46" s="50" t="str">
        <f t="shared" si="9"/>
        <v>SARITA RIVER_Coho</v>
      </c>
      <c r="BG46" s="50">
        <f>IFERROR(VLOOKUP(BF46,'[1]WCVI Esc'!$C$5:$W$534,18,FALSE),"-")</f>
        <v>209.25</v>
      </c>
      <c r="BH46" s="50">
        <f t="shared" si="10"/>
        <v>210</v>
      </c>
      <c r="BI46" s="50">
        <f>IFERROR(VLOOKUP(BF46,'[1]WCVI Esc'!$C$5:$W$534,19,FALSE),"-")</f>
        <v>584.33333333333337</v>
      </c>
      <c r="BJ46" s="50">
        <f t="shared" si="11"/>
        <v>580</v>
      </c>
    </row>
    <row r="47" spans="1:65" hidden="1" x14ac:dyDescent="0.2">
      <c r="A47" s="29">
        <v>2</v>
      </c>
      <c r="B47" s="29">
        <v>3</v>
      </c>
      <c r="C47" s="13">
        <v>23</v>
      </c>
      <c r="D47" s="147" t="s">
        <v>293</v>
      </c>
      <c r="E47" s="21" t="s">
        <v>33</v>
      </c>
      <c r="F47" s="21" t="s">
        <v>208</v>
      </c>
      <c r="G47" s="21"/>
      <c r="H47" s="152"/>
      <c r="I47" s="155"/>
      <c r="J47" s="106"/>
      <c r="K47" s="94"/>
      <c r="L47" s="158"/>
      <c r="M47" s="161"/>
      <c r="N47" s="106"/>
      <c r="O47" s="106"/>
      <c r="P47" s="63"/>
      <c r="Q47" s="162"/>
      <c r="R47" s="169"/>
      <c r="S47" s="62"/>
      <c r="T47" s="62"/>
      <c r="U47" s="62"/>
      <c r="V47" s="64"/>
      <c r="W47" s="164"/>
      <c r="X47" s="62"/>
      <c r="Y47" s="46"/>
      <c r="Z47" s="44"/>
      <c r="AA47" s="100">
        <f>Y47/AP47</f>
        <v>0</v>
      </c>
      <c r="AB47" s="100">
        <f>AS47/AP47</f>
        <v>0</v>
      </c>
      <c r="AC47" s="123"/>
      <c r="AD47" s="123"/>
      <c r="AE47" s="123"/>
      <c r="AF47" s="123"/>
      <c r="AG47" s="69">
        <v>23</v>
      </c>
      <c r="AH47" s="69" t="s">
        <v>293</v>
      </c>
      <c r="AI47" s="243" t="s">
        <v>33</v>
      </c>
      <c r="AJ47" s="243" t="s">
        <v>419</v>
      </c>
      <c r="AK47" s="244" t="s">
        <v>374</v>
      </c>
      <c r="AL47" s="43" t="str">
        <f t="shared" si="12"/>
        <v>-</v>
      </c>
      <c r="AM47" s="43">
        <f t="shared" si="19"/>
        <v>0</v>
      </c>
      <c r="AN47" s="193">
        <f t="shared" si="19"/>
        <v>0</v>
      </c>
      <c r="AO47" s="264">
        <f t="shared" si="13"/>
        <v>0</v>
      </c>
      <c r="AP47" s="265">
        <f t="shared" si="1"/>
        <v>10</v>
      </c>
      <c r="AQ47" s="26" t="str">
        <f t="shared" si="2"/>
        <v>SARITA RIVERPink</v>
      </c>
      <c r="AR47" s="26">
        <f t="shared" si="3"/>
        <v>0</v>
      </c>
      <c r="AS47" s="33">
        <f t="shared" si="18"/>
        <v>0</v>
      </c>
      <c r="AW47" s="34"/>
      <c r="AX47" s="47" t="str">
        <f t="shared" si="5"/>
        <v>SARITA RIVERPink</v>
      </c>
      <c r="AY47" s="49">
        <f t="shared" si="6"/>
        <v>0</v>
      </c>
      <c r="AZ47" s="49">
        <f t="shared" si="7"/>
        <v>0</v>
      </c>
      <c r="BA47" s="31">
        <v>2016</v>
      </c>
      <c r="BB47" s="188" t="str">
        <f t="shared" si="8"/>
        <v>HFN</v>
      </c>
      <c r="BC47" s="188" t="str">
        <f t="shared" si="14"/>
        <v xml:space="preserve"> </v>
      </c>
      <c r="BD47" s="188" t="str">
        <f t="shared" si="15"/>
        <v xml:space="preserve"> </v>
      </c>
      <c r="BE47" s="188" t="str">
        <f t="shared" si="16"/>
        <v xml:space="preserve"> </v>
      </c>
      <c r="BF47" s="50" t="str">
        <f t="shared" si="9"/>
        <v>SARITA RIVER_Pink</v>
      </c>
      <c r="BG47" s="50">
        <f>IFERROR(VLOOKUP(BF47,'[1]WCVI Esc'!$C$5:$W$534,18,FALSE),"-")</f>
        <v>2</v>
      </c>
      <c r="BH47" s="50">
        <f t="shared" si="10"/>
        <v>0</v>
      </c>
      <c r="BI47" s="50">
        <f>IFERROR(VLOOKUP(BF47,'[1]WCVI Esc'!$C$5:$W$534,19,FALSE),"-")</f>
        <v>11.142857142857142</v>
      </c>
      <c r="BJ47" s="50">
        <f t="shared" si="11"/>
        <v>10</v>
      </c>
    </row>
    <row r="48" spans="1:65" hidden="1" x14ac:dyDescent="0.2">
      <c r="A48" s="29">
        <v>2</v>
      </c>
      <c r="B48" s="29">
        <v>4</v>
      </c>
      <c r="C48" s="13">
        <v>23</v>
      </c>
      <c r="D48" s="13" t="s">
        <v>293</v>
      </c>
      <c r="E48" s="21" t="s">
        <v>33</v>
      </c>
      <c r="F48" s="21" t="s">
        <v>209</v>
      </c>
      <c r="G48" s="21"/>
      <c r="H48" s="152"/>
      <c r="I48" s="155"/>
      <c r="J48" s="106"/>
      <c r="K48" s="94"/>
      <c r="L48" s="158"/>
      <c r="M48" s="161"/>
      <c r="N48" s="106"/>
      <c r="O48" s="106"/>
      <c r="P48" s="63"/>
      <c r="Q48" s="162"/>
      <c r="R48" s="164"/>
      <c r="S48" s="62"/>
      <c r="T48" s="63"/>
      <c r="U48" s="62"/>
      <c r="V48" s="64"/>
      <c r="W48" s="164"/>
      <c r="X48" s="62"/>
      <c r="Y48" s="46"/>
      <c r="Z48" s="44"/>
      <c r="AA48" s="100">
        <f>Y48/AP48</f>
        <v>0</v>
      </c>
      <c r="AB48" s="100">
        <f>AS48/AP48</f>
        <v>0</v>
      </c>
      <c r="AC48" s="123">
        <v>2</v>
      </c>
      <c r="AD48" s="123"/>
      <c r="AE48" s="123"/>
      <c r="AF48" s="123"/>
      <c r="AG48" s="69">
        <v>23</v>
      </c>
      <c r="AH48" s="69" t="s">
        <v>293</v>
      </c>
      <c r="AI48" s="243" t="s">
        <v>33</v>
      </c>
      <c r="AJ48" s="243" t="s">
        <v>419</v>
      </c>
      <c r="AK48" s="244" t="s">
        <v>374</v>
      </c>
      <c r="AL48" s="43" t="str">
        <f t="shared" si="12"/>
        <v>-</v>
      </c>
      <c r="AM48" s="43">
        <f t="shared" si="19"/>
        <v>0</v>
      </c>
      <c r="AN48" s="193">
        <f t="shared" si="19"/>
        <v>0</v>
      </c>
      <c r="AO48" s="264">
        <f t="shared" si="13"/>
        <v>3870</v>
      </c>
      <c r="AP48" s="265">
        <f t="shared" si="1"/>
        <v>9440</v>
      </c>
      <c r="AQ48" s="26" t="str">
        <f t="shared" si="2"/>
        <v>SARITA RIVERChum</v>
      </c>
      <c r="AR48" s="26">
        <f t="shared" si="3"/>
        <v>0</v>
      </c>
      <c r="AS48" s="33">
        <f t="shared" si="18"/>
        <v>0</v>
      </c>
      <c r="AW48" s="34"/>
      <c r="AX48" s="47" t="str">
        <f t="shared" si="5"/>
        <v>SARITA RIVERChum</v>
      </c>
      <c r="AY48" s="49">
        <f t="shared" si="6"/>
        <v>0</v>
      </c>
      <c r="AZ48" s="49">
        <f t="shared" si="7"/>
        <v>0</v>
      </c>
      <c r="BA48" s="31">
        <v>2016</v>
      </c>
      <c r="BB48" s="188" t="str">
        <f t="shared" si="8"/>
        <v>HFN</v>
      </c>
      <c r="BC48" s="188" t="str">
        <f t="shared" si="14"/>
        <v xml:space="preserve"> </v>
      </c>
      <c r="BD48" s="188" t="str">
        <f t="shared" si="15"/>
        <v xml:space="preserve"> </v>
      </c>
      <c r="BE48" s="188" t="str">
        <f t="shared" si="16"/>
        <v xml:space="preserve"> </v>
      </c>
      <c r="BF48" s="50" t="str">
        <f t="shared" si="9"/>
        <v>SARITA RIVER_Chum</v>
      </c>
      <c r="BG48" s="50">
        <f>IFERROR(VLOOKUP(BF48,'[1]WCVI Esc'!$C$5:$W$534,18,FALSE),"-")</f>
        <v>3872</v>
      </c>
      <c r="BH48" s="50">
        <f t="shared" si="10"/>
        <v>3870</v>
      </c>
      <c r="BI48" s="50">
        <f>IFERROR(VLOOKUP(BF48,'[1]WCVI Esc'!$C$5:$W$534,19,FALSE),"-")</f>
        <v>9441</v>
      </c>
      <c r="BJ48" s="50">
        <f t="shared" si="11"/>
        <v>9440</v>
      </c>
    </row>
    <row r="49" spans="1:65" hidden="1" x14ac:dyDescent="0.2">
      <c r="A49" s="29">
        <v>2</v>
      </c>
      <c r="B49" s="29">
        <v>5</v>
      </c>
      <c r="C49" s="13">
        <v>23</v>
      </c>
      <c r="D49" s="13" t="s">
        <v>293</v>
      </c>
      <c r="E49" s="21" t="s">
        <v>33</v>
      </c>
      <c r="F49" s="10" t="s">
        <v>210</v>
      </c>
      <c r="G49" s="21"/>
      <c r="H49" s="152"/>
      <c r="I49" s="155"/>
      <c r="J49" s="106"/>
      <c r="K49" s="94"/>
      <c r="L49" s="158"/>
      <c r="M49" s="161"/>
      <c r="N49" s="106"/>
      <c r="O49" s="106"/>
      <c r="P49" s="63"/>
      <c r="Q49" s="162"/>
      <c r="R49" s="169"/>
      <c r="S49" s="62"/>
      <c r="T49" s="63"/>
      <c r="U49" s="62"/>
      <c r="V49" s="64"/>
      <c r="W49" s="164"/>
      <c r="X49" s="62"/>
      <c r="Y49" s="45"/>
      <c r="Z49" s="44"/>
      <c r="AA49" s="100">
        <f>Y49/AP49</f>
        <v>0</v>
      </c>
      <c r="AB49" s="100">
        <f>AS49/AP49</f>
        <v>0</v>
      </c>
      <c r="AC49" s="123">
        <v>2</v>
      </c>
      <c r="AD49" s="123">
        <v>496</v>
      </c>
      <c r="AE49" s="123">
        <v>146</v>
      </c>
      <c r="AF49" s="123">
        <f>Y49</f>
        <v>0</v>
      </c>
      <c r="AG49" s="69">
        <v>23</v>
      </c>
      <c r="AH49" s="69" t="s">
        <v>293</v>
      </c>
      <c r="AI49" s="243" t="s">
        <v>33</v>
      </c>
      <c r="AJ49" s="243" t="s">
        <v>419</v>
      </c>
      <c r="AK49" s="244" t="s">
        <v>374</v>
      </c>
      <c r="AL49" s="43" t="str">
        <f t="shared" si="12"/>
        <v>-</v>
      </c>
      <c r="AM49" s="43">
        <f t="shared" si="19"/>
        <v>0</v>
      </c>
      <c r="AN49" s="193">
        <f t="shared" si="19"/>
        <v>0</v>
      </c>
      <c r="AO49" s="264">
        <f t="shared" si="13"/>
        <v>2320</v>
      </c>
      <c r="AP49" s="265">
        <f t="shared" si="1"/>
        <v>1850</v>
      </c>
      <c r="AQ49" s="26" t="str">
        <f t="shared" si="2"/>
        <v>SARITA RIVERChinook</v>
      </c>
      <c r="AR49" s="26">
        <f t="shared" si="3"/>
        <v>0</v>
      </c>
      <c r="AS49" s="33">
        <f t="shared" si="18"/>
        <v>0</v>
      </c>
      <c r="AT49" s="34">
        <f>AS49*1.14</f>
        <v>0</v>
      </c>
      <c r="AU49" s="34">
        <f>AS49*2.88</f>
        <v>0</v>
      </c>
      <c r="AV49" s="36"/>
      <c r="AW49" s="34">
        <f>SUM(AT49:AU49)/2</f>
        <v>0</v>
      </c>
      <c r="AX49" s="47" t="str">
        <f t="shared" si="5"/>
        <v>SARITA RIVERChinook</v>
      </c>
      <c r="AY49" s="49">
        <f t="shared" si="6"/>
        <v>0</v>
      </c>
      <c r="AZ49" s="49">
        <f t="shared" si="7"/>
        <v>0</v>
      </c>
      <c r="BA49" s="31">
        <v>2016</v>
      </c>
      <c r="BB49" s="188" t="str">
        <f t="shared" si="8"/>
        <v>HFN</v>
      </c>
      <c r="BC49" s="188" t="str">
        <f t="shared" si="14"/>
        <v xml:space="preserve"> </v>
      </c>
      <c r="BD49" s="188" t="str">
        <f t="shared" si="15"/>
        <v xml:space="preserve"> </v>
      </c>
      <c r="BE49" s="188" t="str">
        <f t="shared" si="16"/>
        <v xml:space="preserve"> </v>
      </c>
      <c r="BF49" s="50" t="str">
        <f t="shared" si="9"/>
        <v>SARITA RIVER_Chinook</v>
      </c>
      <c r="BG49" s="50">
        <f>IFERROR(VLOOKUP(BF49,'[1]WCVI Esc'!$C$5:$W$534,18,FALSE),"-")</f>
        <v>2323.75</v>
      </c>
      <c r="BH49" s="50">
        <f t="shared" si="10"/>
        <v>2320</v>
      </c>
      <c r="BI49" s="50">
        <f>IFERROR(VLOOKUP(BF49,'[1]WCVI Esc'!$C$5:$W$534,19,FALSE),"-")</f>
        <v>1848.8333333333333</v>
      </c>
      <c r="BJ49" s="50">
        <f t="shared" si="11"/>
        <v>1850</v>
      </c>
      <c r="BK49">
        <v>8</v>
      </c>
      <c r="BL49" s="17" t="s">
        <v>319</v>
      </c>
      <c r="BM49" s="31">
        <v>1</v>
      </c>
    </row>
    <row r="50" spans="1:65" hidden="1" x14ac:dyDescent="0.2">
      <c r="A50" s="29">
        <v>2</v>
      </c>
      <c r="B50" s="29">
        <v>6</v>
      </c>
      <c r="C50" s="13">
        <v>23</v>
      </c>
      <c r="D50" s="13" t="s">
        <v>293</v>
      </c>
      <c r="E50" s="21" t="s">
        <v>33</v>
      </c>
      <c r="F50" s="21" t="s">
        <v>211</v>
      </c>
      <c r="G50" s="21"/>
      <c r="H50" s="152"/>
      <c r="I50" s="155"/>
      <c r="J50" s="106"/>
      <c r="K50" s="94"/>
      <c r="L50" s="158"/>
      <c r="M50" s="161"/>
      <c r="N50" s="106"/>
      <c r="O50" s="106"/>
      <c r="P50" s="63"/>
      <c r="Q50" s="162"/>
      <c r="R50" s="169"/>
      <c r="S50" s="62"/>
      <c r="T50" s="62"/>
      <c r="U50" s="62"/>
      <c r="V50" s="64"/>
      <c r="W50" s="164"/>
      <c r="X50" s="62"/>
      <c r="Y50" s="46"/>
      <c r="Z50" s="44"/>
      <c r="AA50" s="100"/>
      <c r="AB50" s="100"/>
      <c r="AC50" s="123"/>
      <c r="AD50" s="123"/>
      <c r="AE50" s="123"/>
      <c r="AF50" s="123"/>
      <c r="AG50" s="69">
        <v>23</v>
      </c>
      <c r="AH50" s="69" t="s">
        <v>293</v>
      </c>
      <c r="AI50" s="243" t="s">
        <v>33</v>
      </c>
      <c r="AJ50" s="243" t="s">
        <v>419</v>
      </c>
      <c r="AK50" s="244" t="s">
        <v>374</v>
      </c>
      <c r="AL50" s="43" t="str">
        <f t="shared" si="12"/>
        <v>-</v>
      </c>
      <c r="AM50" s="43">
        <f t="shared" si="19"/>
        <v>0</v>
      </c>
      <c r="AN50" s="193">
        <f t="shared" si="19"/>
        <v>0</v>
      </c>
      <c r="AO50" s="264" t="str">
        <f t="shared" si="13"/>
        <v>-</v>
      </c>
      <c r="AP50" s="265" t="str">
        <f t="shared" si="1"/>
        <v>-</v>
      </c>
      <c r="AQ50" s="26" t="str">
        <f t="shared" si="2"/>
        <v>SARITA RIVERSteelhead</v>
      </c>
      <c r="AR50" s="26">
        <f t="shared" si="3"/>
        <v>0</v>
      </c>
      <c r="AS50" s="33">
        <f t="shared" si="18"/>
        <v>0</v>
      </c>
      <c r="AW50" s="34"/>
      <c r="AX50" s="47" t="str">
        <f t="shared" si="5"/>
        <v>SARITA RIVERSteelhead</v>
      </c>
      <c r="AY50" s="49">
        <f t="shared" si="6"/>
        <v>0</v>
      </c>
      <c r="AZ50" s="49">
        <f t="shared" si="7"/>
        <v>0</v>
      </c>
      <c r="BA50" s="31">
        <v>0</v>
      </c>
      <c r="BB50" s="188" t="str">
        <f t="shared" si="8"/>
        <v>HFN</v>
      </c>
      <c r="BC50" s="188" t="str">
        <f t="shared" si="14"/>
        <v xml:space="preserve"> </v>
      </c>
      <c r="BD50" s="188" t="str">
        <f t="shared" si="15"/>
        <v xml:space="preserve"> </v>
      </c>
      <c r="BE50" s="188" t="str">
        <f t="shared" si="16"/>
        <v xml:space="preserve"> </v>
      </c>
      <c r="BF50" s="50" t="str">
        <f t="shared" si="9"/>
        <v>SARITA RIVER_Steelhead</v>
      </c>
      <c r="BG50" s="50" t="str">
        <f>IFERROR(VLOOKUP(BF50,'[1]WCVI Esc'!$C$5:$W$534,18,FALSE),"-")</f>
        <v>-</v>
      </c>
      <c r="BH50" s="50" t="str">
        <f t="shared" si="10"/>
        <v>-</v>
      </c>
      <c r="BI50" s="50" t="str">
        <f>IFERROR(VLOOKUP(BF50,'[1]WCVI Esc'!$C$5:$W$534,19,FALSE),"-")</f>
        <v>-</v>
      </c>
      <c r="BJ50" s="50" t="str">
        <f t="shared" si="11"/>
        <v>-</v>
      </c>
    </row>
    <row r="51" spans="1:65" hidden="1" x14ac:dyDescent="0.2">
      <c r="A51" s="29">
        <v>2</v>
      </c>
      <c r="B51" s="29">
        <v>1</v>
      </c>
      <c r="C51" s="13">
        <v>24</v>
      </c>
      <c r="D51" s="13" t="s">
        <v>297</v>
      </c>
      <c r="E51" s="21" t="s">
        <v>35</v>
      </c>
      <c r="F51" s="21" t="s">
        <v>207</v>
      </c>
      <c r="G51" s="21"/>
      <c r="H51" s="152"/>
      <c r="I51" s="155"/>
      <c r="J51" s="106"/>
      <c r="K51" s="94"/>
      <c r="L51" s="158"/>
      <c r="M51" s="161"/>
      <c r="N51" s="106"/>
      <c r="O51" s="106"/>
      <c r="P51" s="63"/>
      <c r="Q51" s="162"/>
      <c r="R51" s="164"/>
      <c r="S51" s="62"/>
      <c r="T51" s="63"/>
      <c r="U51" s="62"/>
      <c r="V51" s="64"/>
      <c r="W51" s="164"/>
      <c r="X51" s="62"/>
      <c r="Y51" s="45"/>
      <c r="Z51" s="44"/>
      <c r="AA51" s="100"/>
      <c r="AB51" s="100"/>
      <c r="AC51" s="123">
        <v>2</v>
      </c>
      <c r="AD51" s="123"/>
      <c r="AE51" s="123"/>
      <c r="AF51" s="123"/>
      <c r="AG51" s="69">
        <v>24</v>
      </c>
      <c r="AH51" s="69" t="s">
        <v>297</v>
      </c>
      <c r="AI51" s="243" t="s">
        <v>35</v>
      </c>
      <c r="AJ51" s="243" t="s">
        <v>419</v>
      </c>
      <c r="AK51" s="244" t="s">
        <v>289</v>
      </c>
      <c r="AL51" s="43" t="str">
        <f t="shared" si="12"/>
        <v>-</v>
      </c>
      <c r="AM51" s="43">
        <f t="shared" si="19"/>
        <v>0</v>
      </c>
      <c r="AN51" s="193">
        <f t="shared" si="19"/>
        <v>0</v>
      </c>
      <c r="AO51" s="264">
        <f t="shared" si="13"/>
        <v>140</v>
      </c>
      <c r="AP51" s="265">
        <f t="shared" si="1"/>
        <v>330</v>
      </c>
      <c r="AQ51" s="26" t="str">
        <f t="shared" si="2"/>
        <v>BEDWELL RIVERSockeye</v>
      </c>
      <c r="AR51" s="26">
        <f t="shared" si="3"/>
        <v>0</v>
      </c>
      <c r="AS51" s="33">
        <f t="shared" si="18"/>
        <v>0</v>
      </c>
      <c r="AW51" s="34"/>
      <c r="AX51" s="47" t="str">
        <f t="shared" si="5"/>
        <v>BEDWELL RIVERSockeye</v>
      </c>
      <c r="AY51" s="49">
        <f t="shared" si="6"/>
        <v>0</v>
      </c>
      <c r="AZ51" s="49">
        <f t="shared" si="7"/>
        <v>0</v>
      </c>
      <c r="BA51" s="31">
        <v>2016</v>
      </c>
      <c r="BB51" s="188" t="str">
        <f t="shared" si="8"/>
        <v>TCES</v>
      </c>
      <c r="BC51" s="188" t="str">
        <f t="shared" si="14"/>
        <v xml:space="preserve"> </v>
      </c>
      <c r="BD51" s="188" t="str">
        <f t="shared" si="15"/>
        <v xml:space="preserve"> </v>
      </c>
      <c r="BE51" s="188" t="str">
        <f t="shared" si="16"/>
        <v xml:space="preserve"> </v>
      </c>
      <c r="BF51" s="50" t="s">
        <v>390</v>
      </c>
      <c r="BG51" s="50">
        <f>IFERROR(VLOOKUP(BF51,'[1]WCVI Esc'!$C$5:$W$534,18,FALSE),"-")</f>
        <v>137</v>
      </c>
      <c r="BH51" s="50">
        <f t="shared" si="10"/>
        <v>140</v>
      </c>
      <c r="BI51" s="50">
        <f>IFERROR(VLOOKUP(BF51,'[1]WCVI Esc'!$C$5:$W$534,19,FALSE),"-")</f>
        <v>332.58333333333331</v>
      </c>
      <c r="BJ51" s="50">
        <f t="shared" si="11"/>
        <v>330</v>
      </c>
    </row>
    <row r="52" spans="1:65" hidden="1" x14ac:dyDescent="0.2">
      <c r="A52" s="29">
        <v>2</v>
      </c>
      <c r="B52" s="29">
        <v>2</v>
      </c>
      <c r="C52" s="13">
        <v>24</v>
      </c>
      <c r="D52" s="13" t="s">
        <v>297</v>
      </c>
      <c r="E52" s="21" t="s">
        <v>35</v>
      </c>
      <c r="F52" s="21" t="s">
        <v>219</v>
      </c>
      <c r="G52" s="21"/>
      <c r="H52" s="152"/>
      <c r="I52" s="155"/>
      <c r="J52" s="106"/>
      <c r="K52" s="94"/>
      <c r="L52" s="158"/>
      <c r="M52" s="161"/>
      <c r="N52" s="106"/>
      <c r="O52" s="106"/>
      <c r="P52" s="63"/>
      <c r="Q52" s="162"/>
      <c r="R52" s="164"/>
      <c r="S52" s="62"/>
      <c r="T52" s="63"/>
      <c r="U52" s="62"/>
      <c r="V52" s="64"/>
      <c r="W52" s="164"/>
      <c r="X52" s="62"/>
      <c r="Y52" s="45"/>
      <c r="Z52" s="44"/>
      <c r="AA52" s="100"/>
      <c r="AB52" s="100"/>
      <c r="AC52" s="100"/>
      <c r="AD52" s="100"/>
      <c r="AE52" s="100"/>
      <c r="AF52" s="100"/>
      <c r="AG52" s="69">
        <v>24</v>
      </c>
      <c r="AH52" s="69" t="s">
        <v>297</v>
      </c>
      <c r="AI52" s="243" t="s">
        <v>35</v>
      </c>
      <c r="AJ52" s="243" t="s">
        <v>419</v>
      </c>
      <c r="AK52" s="244" t="s">
        <v>289</v>
      </c>
      <c r="AL52" s="43" t="str">
        <f t="shared" si="12"/>
        <v>-</v>
      </c>
      <c r="AM52" s="43">
        <f t="shared" si="19"/>
        <v>0</v>
      </c>
      <c r="AN52" s="193">
        <f t="shared" si="19"/>
        <v>0</v>
      </c>
      <c r="AO52" s="264">
        <f t="shared" si="13"/>
        <v>1000</v>
      </c>
      <c r="AP52" s="265">
        <f t="shared" si="1"/>
        <v>1350</v>
      </c>
      <c r="AQ52" s="26" t="str">
        <f t="shared" si="2"/>
        <v>BEDWELL RIVERCoho</v>
      </c>
      <c r="AR52" s="26">
        <f t="shared" si="3"/>
        <v>0</v>
      </c>
      <c r="AS52" s="33">
        <f t="shared" si="18"/>
        <v>0</v>
      </c>
      <c r="AW52" s="34"/>
      <c r="AX52" s="47" t="str">
        <f t="shared" si="5"/>
        <v>BEDWELL RIVERCoho</v>
      </c>
      <c r="AY52" s="49">
        <f t="shared" si="6"/>
        <v>0</v>
      </c>
      <c r="AZ52" s="49">
        <f t="shared" si="7"/>
        <v>0</v>
      </c>
      <c r="BA52" s="31">
        <v>2016</v>
      </c>
      <c r="BB52" s="188" t="str">
        <f t="shared" si="8"/>
        <v>TCES</v>
      </c>
      <c r="BC52" s="188" t="str">
        <f t="shared" si="14"/>
        <v xml:space="preserve"> </v>
      </c>
      <c r="BD52" s="188" t="str">
        <f t="shared" si="15"/>
        <v xml:space="preserve"> </v>
      </c>
      <c r="BE52" s="188" t="str">
        <f t="shared" si="16"/>
        <v xml:space="preserve"> </v>
      </c>
      <c r="BF52" s="50" t="s">
        <v>391</v>
      </c>
      <c r="BG52" s="50">
        <f>IFERROR(VLOOKUP(BF52,'[1]WCVI Esc'!$C$5:$W$534,18,FALSE),"-")</f>
        <v>1001.75</v>
      </c>
      <c r="BH52" s="50">
        <f t="shared" si="10"/>
        <v>1000</v>
      </c>
      <c r="BI52" s="50">
        <f>IFERROR(VLOOKUP(BF52,'[1]WCVI Esc'!$C$5:$W$534,19,FALSE),"-")</f>
        <v>1351.8333333333333</v>
      </c>
      <c r="BJ52" s="50">
        <f t="shared" si="11"/>
        <v>1350</v>
      </c>
    </row>
    <row r="53" spans="1:65" hidden="1" x14ac:dyDescent="0.2">
      <c r="A53" s="29">
        <v>2</v>
      </c>
      <c r="B53" s="29">
        <v>3</v>
      </c>
      <c r="C53" s="13">
        <v>24</v>
      </c>
      <c r="D53" s="13" t="s">
        <v>297</v>
      </c>
      <c r="E53" s="21" t="s">
        <v>35</v>
      </c>
      <c r="F53" s="21" t="s">
        <v>208</v>
      </c>
      <c r="G53" s="21"/>
      <c r="H53" s="152"/>
      <c r="I53" s="155"/>
      <c r="J53" s="106"/>
      <c r="K53" s="94"/>
      <c r="L53" s="158"/>
      <c r="M53" s="161"/>
      <c r="N53" s="106"/>
      <c r="O53" s="106"/>
      <c r="P53" s="63"/>
      <c r="Q53" s="162"/>
      <c r="R53" s="169"/>
      <c r="S53" s="62"/>
      <c r="T53" s="62"/>
      <c r="U53" s="62"/>
      <c r="V53" s="64"/>
      <c r="W53" s="164"/>
      <c r="X53" s="62"/>
      <c r="Y53" s="46"/>
      <c r="Z53" s="44"/>
      <c r="AA53" s="100"/>
      <c r="AB53" s="100"/>
      <c r="AC53" s="100"/>
      <c r="AD53" s="100"/>
      <c r="AE53" s="100"/>
      <c r="AF53" s="100"/>
      <c r="AG53" s="69">
        <v>24</v>
      </c>
      <c r="AH53" s="69" t="s">
        <v>297</v>
      </c>
      <c r="AI53" s="243" t="s">
        <v>35</v>
      </c>
      <c r="AJ53" s="243" t="s">
        <v>419</v>
      </c>
      <c r="AK53" s="244" t="s">
        <v>289</v>
      </c>
      <c r="AL53" s="43" t="str">
        <f t="shared" si="12"/>
        <v>-</v>
      </c>
      <c r="AM53" s="43">
        <f t="shared" si="19"/>
        <v>0</v>
      </c>
      <c r="AN53" s="193">
        <f t="shared" si="19"/>
        <v>0</v>
      </c>
      <c r="AO53" s="264">
        <f t="shared" si="13"/>
        <v>10</v>
      </c>
      <c r="AP53" s="265">
        <f t="shared" si="1"/>
        <v>40</v>
      </c>
      <c r="AQ53" s="26" t="str">
        <f t="shared" si="2"/>
        <v>BEDWELL RIVERPink</v>
      </c>
      <c r="AR53" s="26">
        <f t="shared" si="3"/>
        <v>0</v>
      </c>
      <c r="AS53" s="33">
        <f t="shared" si="18"/>
        <v>0</v>
      </c>
      <c r="AW53" s="34"/>
      <c r="AX53" s="47" t="str">
        <f t="shared" si="5"/>
        <v>BEDWELL RIVERPink</v>
      </c>
      <c r="AY53" s="49">
        <f t="shared" si="6"/>
        <v>0</v>
      </c>
      <c r="AZ53" s="49">
        <f t="shared" si="7"/>
        <v>0</v>
      </c>
      <c r="BA53" s="31">
        <v>2016</v>
      </c>
      <c r="BB53" s="188" t="str">
        <f t="shared" si="8"/>
        <v>TCES</v>
      </c>
      <c r="BC53" s="188" t="str">
        <f t="shared" si="14"/>
        <v xml:space="preserve"> </v>
      </c>
      <c r="BD53" s="188" t="str">
        <f t="shared" si="15"/>
        <v xml:space="preserve"> </v>
      </c>
      <c r="BE53" s="188" t="str">
        <f t="shared" si="16"/>
        <v xml:space="preserve"> </v>
      </c>
      <c r="BF53" s="50" t="s">
        <v>392</v>
      </c>
      <c r="BG53" s="50">
        <f>IFERROR(VLOOKUP(BF53,'[1]WCVI Esc'!$C$5:$W$534,18,FALSE),"-")</f>
        <v>9</v>
      </c>
      <c r="BH53" s="50">
        <f t="shared" si="10"/>
        <v>10</v>
      </c>
      <c r="BI53" s="50">
        <f>IFERROR(VLOOKUP(BF53,'[1]WCVI Esc'!$C$5:$W$534,19,FALSE),"-")</f>
        <v>40.888888888888886</v>
      </c>
      <c r="BJ53" s="50">
        <f t="shared" si="11"/>
        <v>40</v>
      </c>
    </row>
    <row r="54" spans="1:65" hidden="1" x14ac:dyDescent="0.2">
      <c r="A54" s="29">
        <v>2</v>
      </c>
      <c r="B54" s="29">
        <v>4</v>
      </c>
      <c r="C54" s="13">
        <v>24</v>
      </c>
      <c r="D54" s="13" t="s">
        <v>297</v>
      </c>
      <c r="E54" s="21" t="s">
        <v>35</v>
      </c>
      <c r="F54" s="21" t="s">
        <v>209</v>
      </c>
      <c r="G54" s="21"/>
      <c r="H54" s="152"/>
      <c r="I54" s="155"/>
      <c r="J54" s="106"/>
      <c r="K54" s="94"/>
      <c r="L54" s="158"/>
      <c r="M54" s="161"/>
      <c r="N54" s="106"/>
      <c r="O54" s="106"/>
      <c r="P54" s="63"/>
      <c r="Q54" s="162"/>
      <c r="R54" s="164"/>
      <c r="S54" s="62"/>
      <c r="T54" s="63"/>
      <c r="U54" s="62"/>
      <c r="V54" s="64"/>
      <c r="W54" s="164"/>
      <c r="X54" s="62"/>
      <c r="Y54" s="46"/>
      <c r="Z54" s="44"/>
      <c r="AA54" s="100"/>
      <c r="AB54" s="100"/>
      <c r="AC54" s="123">
        <v>2</v>
      </c>
      <c r="AD54" s="123"/>
      <c r="AE54" s="123"/>
      <c r="AF54" s="123"/>
      <c r="AG54" s="69">
        <v>24</v>
      </c>
      <c r="AH54" s="69" t="s">
        <v>297</v>
      </c>
      <c r="AI54" s="243" t="s">
        <v>35</v>
      </c>
      <c r="AJ54" s="243" t="s">
        <v>419</v>
      </c>
      <c r="AK54" s="244" t="s">
        <v>289</v>
      </c>
      <c r="AL54" s="43" t="str">
        <f t="shared" si="12"/>
        <v>-</v>
      </c>
      <c r="AM54" s="43">
        <f t="shared" si="19"/>
        <v>0</v>
      </c>
      <c r="AN54" s="193">
        <f t="shared" si="19"/>
        <v>0</v>
      </c>
      <c r="AO54" s="264">
        <f t="shared" si="13"/>
        <v>1960</v>
      </c>
      <c r="AP54" s="265">
        <f t="shared" si="1"/>
        <v>2980</v>
      </c>
      <c r="AQ54" s="26" t="str">
        <f t="shared" si="2"/>
        <v>BEDWELL RIVERChum</v>
      </c>
      <c r="AR54" s="26">
        <f t="shared" si="3"/>
        <v>0</v>
      </c>
      <c r="AS54" s="33">
        <f t="shared" si="18"/>
        <v>0</v>
      </c>
      <c r="AW54" s="34"/>
      <c r="AX54" s="47" t="str">
        <f t="shared" si="5"/>
        <v>BEDWELL RIVERChum</v>
      </c>
      <c r="AY54" s="49">
        <f t="shared" si="6"/>
        <v>0</v>
      </c>
      <c r="AZ54" s="49">
        <f t="shared" si="7"/>
        <v>0</v>
      </c>
      <c r="BA54" s="31">
        <v>2016</v>
      </c>
      <c r="BB54" s="188" t="str">
        <f t="shared" si="8"/>
        <v>TCES</v>
      </c>
      <c r="BC54" s="188" t="str">
        <f t="shared" si="14"/>
        <v xml:space="preserve"> </v>
      </c>
      <c r="BD54" s="188" t="str">
        <f t="shared" si="15"/>
        <v xml:space="preserve"> </v>
      </c>
      <c r="BE54" s="188" t="str">
        <f t="shared" si="16"/>
        <v xml:space="preserve"> </v>
      </c>
      <c r="BF54" s="50" t="s">
        <v>393</v>
      </c>
      <c r="BG54" s="50">
        <f>IFERROR(VLOOKUP(BF54,'[1]WCVI Esc'!$C$5:$W$534,18,FALSE),"-")</f>
        <v>1962</v>
      </c>
      <c r="BH54" s="50">
        <f t="shared" si="10"/>
        <v>1960</v>
      </c>
      <c r="BI54" s="50">
        <f>IFERROR(VLOOKUP(BF54,'[1]WCVI Esc'!$C$5:$W$534,19,FALSE),"-")</f>
        <v>2981.5833333333335</v>
      </c>
      <c r="BJ54" s="50">
        <f t="shared" si="11"/>
        <v>2980</v>
      </c>
    </row>
    <row r="55" spans="1:65" hidden="1" x14ac:dyDescent="0.2">
      <c r="A55" s="29">
        <v>2</v>
      </c>
      <c r="B55" s="29">
        <v>5</v>
      </c>
      <c r="C55" s="13">
        <v>24</v>
      </c>
      <c r="D55" s="13" t="s">
        <v>297</v>
      </c>
      <c r="E55" s="21" t="s">
        <v>35</v>
      </c>
      <c r="F55" s="10" t="s">
        <v>210</v>
      </c>
      <c r="G55" s="21"/>
      <c r="H55" s="152"/>
      <c r="I55" s="155"/>
      <c r="J55" s="106"/>
      <c r="K55" s="94"/>
      <c r="L55" s="158"/>
      <c r="M55" s="161"/>
      <c r="N55" s="106"/>
      <c r="O55" s="106"/>
      <c r="P55" s="63"/>
      <c r="Q55" s="162"/>
      <c r="R55" s="164"/>
      <c r="S55" s="62"/>
      <c r="T55" s="63"/>
      <c r="U55" s="62"/>
      <c r="V55" s="64"/>
      <c r="W55" s="164"/>
      <c r="X55" s="62"/>
      <c r="Y55" s="45"/>
      <c r="Z55" s="44"/>
      <c r="AA55" s="100"/>
      <c r="AB55" s="100"/>
      <c r="AC55" s="123">
        <v>2</v>
      </c>
      <c r="AD55" s="123">
        <v>493</v>
      </c>
      <c r="AE55" s="123">
        <v>147</v>
      </c>
      <c r="AF55" s="123">
        <f>Y55</f>
        <v>0</v>
      </c>
      <c r="AG55" s="69">
        <v>24</v>
      </c>
      <c r="AH55" s="69" t="s">
        <v>297</v>
      </c>
      <c r="AI55" s="243" t="s">
        <v>35</v>
      </c>
      <c r="AJ55" s="243" t="s">
        <v>419</v>
      </c>
      <c r="AK55" s="244" t="s">
        <v>289</v>
      </c>
      <c r="AL55" s="43" t="str">
        <f t="shared" si="12"/>
        <v>-</v>
      </c>
      <c r="AM55" s="43">
        <f t="shared" si="19"/>
        <v>0</v>
      </c>
      <c r="AN55" s="193">
        <f t="shared" si="19"/>
        <v>0</v>
      </c>
      <c r="AO55" s="264">
        <f t="shared" si="13"/>
        <v>320</v>
      </c>
      <c r="AP55" s="265">
        <f t="shared" si="1"/>
        <v>440</v>
      </c>
      <c r="AQ55" s="26" t="str">
        <f t="shared" si="2"/>
        <v>BEDWELL RIVERChinook</v>
      </c>
      <c r="AR55" s="26">
        <f t="shared" si="3"/>
        <v>0</v>
      </c>
      <c r="AS55" s="33">
        <f t="shared" si="18"/>
        <v>0</v>
      </c>
      <c r="AT55" s="34">
        <f>AS55*1.14</f>
        <v>0</v>
      </c>
      <c r="AU55" s="34">
        <f>AS55*2.88</f>
        <v>0</v>
      </c>
      <c r="AV55" s="35" t="s">
        <v>234</v>
      </c>
      <c r="AW55" s="34">
        <f>SUM(AT55:AU55)/2</f>
        <v>0</v>
      </c>
      <c r="AX55" s="47" t="str">
        <f t="shared" si="5"/>
        <v>BEDWELL RIVERChinook</v>
      </c>
      <c r="AY55" s="49">
        <f t="shared" si="6"/>
        <v>0</v>
      </c>
      <c r="AZ55" s="49">
        <f t="shared" si="7"/>
        <v>0</v>
      </c>
      <c r="BA55" s="31">
        <v>2016</v>
      </c>
      <c r="BB55" s="188" t="str">
        <f t="shared" si="8"/>
        <v>TCES</v>
      </c>
      <c r="BC55" s="188" t="str">
        <f t="shared" si="14"/>
        <v xml:space="preserve"> </v>
      </c>
      <c r="BD55" s="188" t="str">
        <f t="shared" si="15"/>
        <v xml:space="preserve"> </v>
      </c>
      <c r="BE55" s="188" t="str">
        <f t="shared" si="16"/>
        <v xml:space="preserve"> </v>
      </c>
      <c r="BF55" s="50" t="s">
        <v>394</v>
      </c>
      <c r="BG55" s="50">
        <f>IFERROR(VLOOKUP(BF55,'[1]WCVI Esc'!$C$5:$W$534,18,FALSE),"-")</f>
        <v>319.25</v>
      </c>
      <c r="BH55" s="50">
        <f t="shared" si="10"/>
        <v>320</v>
      </c>
      <c r="BI55" s="50">
        <f>IFERROR(VLOOKUP(BF55,'[1]WCVI Esc'!$C$5:$W$534,19,FALSE),"-")</f>
        <v>441</v>
      </c>
      <c r="BJ55" s="50">
        <f t="shared" si="11"/>
        <v>440</v>
      </c>
      <c r="BK55">
        <v>8</v>
      </c>
      <c r="BL55" s="17" t="s">
        <v>289</v>
      </c>
      <c r="BM55" s="31">
        <v>1</v>
      </c>
    </row>
    <row r="56" spans="1:65" hidden="1" x14ac:dyDescent="0.2">
      <c r="A56" s="29">
        <v>2</v>
      </c>
      <c r="B56" s="29">
        <v>6</v>
      </c>
      <c r="C56" s="13">
        <v>24</v>
      </c>
      <c r="D56" s="13" t="s">
        <v>297</v>
      </c>
      <c r="E56" s="21" t="s">
        <v>35</v>
      </c>
      <c r="F56" s="21" t="s">
        <v>211</v>
      </c>
      <c r="G56" s="21"/>
      <c r="H56" s="152"/>
      <c r="I56" s="155"/>
      <c r="J56" s="106"/>
      <c r="K56" s="94"/>
      <c r="L56" s="158"/>
      <c r="M56" s="161"/>
      <c r="N56" s="106"/>
      <c r="O56" s="106"/>
      <c r="P56" s="63"/>
      <c r="Q56" s="162"/>
      <c r="R56" s="169"/>
      <c r="S56" s="62"/>
      <c r="T56" s="62"/>
      <c r="U56" s="62"/>
      <c r="V56" s="64"/>
      <c r="W56" s="164"/>
      <c r="X56" s="62"/>
      <c r="Y56" s="46"/>
      <c r="Z56" s="44"/>
      <c r="AA56" s="100"/>
      <c r="AB56" s="100"/>
      <c r="AC56" s="100"/>
      <c r="AD56" s="100"/>
      <c r="AE56" s="100"/>
      <c r="AF56" s="100"/>
      <c r="AG56" s="69">
        <v>24</v>
      </c>
      <c r="AH56" s="69" t="s">
        <v>297</v>
      </c>
      <c r="AI56" s="243" t="s">
        <v>35</v>
      </c>
      <c r="AJ56" s="243" t="s">
        <v>419</v>
      </c>
      <c r="AK56" s="244" t="s">
        <v>289</v>
      </c>
      <c r="AL56" s="43" t="str">
        <f t="shared" si="12"/>
        <v>-</v>
      </c>
      <c r="AM56" s="43">
        <f t="shared" si="19"/>
        <v>0</v>
      </c>
      <c r="AN56" s="193">
        <f t="shared" si="19"/>
        <v>0</v>
      </c>
      <c r="AO56" s="264" t="str">
        <f t="shared" si="13"/>
        <v>-</v>
      </c>
      <c r="AP56" s="265" t="str">
        <f t="shared" si="1"/>
        <v>-</v>
      </c>
      <c r="AQ56" s="26" t="str">
        <f t="shared" si="2"/>
        <v>BEDWELL RIVERSteelhead</v>
      </c>
      <c r="AR56" s="26">
        <f t="shared" si="3"/>
        <v>0</v>
      </c>
      <c r="AS56" s="33">
        <f t="shared" si="18"/>
        <v>0</v>
      </c>
      <c r="AW56" s="34"/>
      <c r="AX56" s="47" t="str">
        <f t="shared" si="5"/>
        <v>BEDWELL RIVERSteelhead</v>
      </c>
      <c r="AY56" s="49">
        <f t="shared" si="6"/>
        <v>0</v>
      </c>
      <c r="AZ56" s="49">
        <f t="shared" si="7"/>
        <v>0</v>
      </c>
      <c r="BA56" s="31">
        <v>0</v>
      </c>
      <c r="BB56" s="188" t="str">
        <f t="shared" si="8"/>
        <v>TCES</v>
      </c>
      <c r="BC56" s="188" t="str">
        <f t="shared" si="14"/>
        <v xml:space="preserve"> </v>
      </c>
      <c r="BD56" s="188" t="str">
        <f t="shared" si="15"/>
        <v xml:space="preserve"> </v>
      </c>
      <c r="BE56" s="188" t="str">
        <f t="shared" si="16"/>
        <v xml:space="preserve"> </v>
      </c>
      <c r="BF56" s="50" t="s">
        <v>395</v>
      </c>
      <c r="BG56" s="50" t="str">
        <f>IFERROR(VLOOKUP(BF56,'[1]WCVI Esc'!$C$5:$W$534,18,FALSE),"-")</f>
        <v>-</v>
      </c>
      <c r="BH56" s="50" t="str">
        <f t="shared" si="10"/>
        <v>-</v>
      </c>
      <c r="BI56" s="50" t="str">
        <f>IFERROR(VLOOKUP(BF56,'[1]WCVI Esc'!$C$5:$W$534,19,FALSE),"-")</f>
        <v>-</v>
      </c>
      <c r="BJ56" s="50" t="str">
        <f t="shared" si="11"/>
        <v>-</v>
      </c>
    </row>
    <row r="57" spans="1:65" hidden="1" x14ac:dyDescent="0.2">
      <c r="A57" s="29">
        <v>2</v>
      </c>
      <c r="B57" s="29">
        <v>1</v>
      </c>
      <c r="C57" s="13">
        <v>24</v>
      </c>
      <c r="D57" s="13" t="s">
        <v>296</v>
      </c>
      <c r="E57" s="21" t="s">
        <v>43</v>
      </c>
      <c r="F57" s="21" t="s">
        <v>207</v>
      </c>
      <c r="G57" s="21"/>
      <c r="H57" s="152"/>
      <c r="I57" s="155"/>
      <c r="J57" s="106"/>
      <c r="K57" s="94"/>
      <c r="L57" s="158"/>
      <c r="M57" s="161"/>
      <c r="N57" s="106"/>
      <c r="O57" s="106"/>
      <c r="P57" s="63"/>
      <c r="Q57" s="162"/>
      <c r="R57" s="164"/>
      <c r="S57" s="62"/>
      <c r="T57" s="63"/>
      <c r="U57" s="62"/>
      <c r="V57" s="64"/>
      <c r="W57" s="164"/>
      <c r="X57" s="62"/>
      <c r="Y57" s="45"/>
      <c r="Z57" s="44"/>
      <c r="AA57" s="100">
        <f>Y57/AP57</f>
        <v>0</v>
      </c>
      <c r="AB57" s="100">
        <f>AS57/AP57</f>
        <v>0</v>
      </c>
      <c r="AC57" s="123">
        <v>2</v>
      </c>
      <c r="AD57" s="123"/>
      <c r="AE57" s="123"/>
      <c r="AF57" s="123"/>
      <c r="AG57" s="69">
        <v>24</v>
      </c>
      <c r="AH57" s="69" t="s">
        <v>296</v>
      </c>
      <c r="AI57" s="243" t="s">
        <v>43</v>
      </c>
      <c r="AJ57" s="243" t="s">
        <v>419</v>
      </c>
      <c r="AK57" s="244" t="s">
        <v>289</v>
      </c>
      <c r="AL57" s="43" t="str">
        <f t="shared" si="12"/>
        <v>-</v>
      </c>
      <c r="AM57" s="43">
        <f t="shared" si="19"/>
        <v>0</v>
      </c>
      <c r="AN57" s="193">
        <f t="shared" si="19"/>
        <v>0</v>
      </c>
      <c r="AO57" s="264">
        <f t="shared" si="13"/>
        <v>30</v>
      </c>
      <c r="AP57" s="265">
        <f>BJ57</f>
        <v>280</v>
      </c>
      <c r="AQ57" s="26" t="str">
        <f t="shared" si="2"/>
        <v>TRANQUIL CREEKSockeye</v>
      </c>
      <c r="AR57" s="26">
        <f t="shared" si="3"/>
        <v>0</v>
      </c>
      <c r="AS57" s="33">
        <f t="shared" si="18"/>
        <v>0</v>
      </c>
      <c r="AV57"/>
      <c r="AW57" s="34"/>
      <c r="AX57" s="47" t="str">
        <f t="shared" si="5"/>
        <v>TRANQUIL CREEKSockeye</v>
      </c>
      <c r="AY57" s="49">
        <f t="shared" si="6"/>
        <v>0</v>
      </c>
      <c r="AZ57" s="49">
        <f t="shared" si="7"/>
        <v>0</v>
      </c>
      <c r="BA57" s="31">
        <v>2016</v>
      </c>
      <c r="BB57" s="188" t="str">
        <f t="shared" si="8"/>
        <v>TCES</v>
      </c>
      <c r="BC57" s="188" t="str">
        <f t="shared" si="14"/>
        <v xml:space="preserve"> </v>
      </c>
      <c r="BD57" s="188" t="str">
        <f t="shared" si="15"/>
        <v xml:space="preserve"> </v>
      </c>
      <c r="BE57" s="188" t="str">
        <f t="shared" si="16"/>
        <v xml:space="preserve"> </v>
      </c>
      <c r="BF57" s="50" t="str">
        <f t="shared" ref="BF57:BF116" si="20">CONCATENATE(E57,"_",F57)</f>
        <v>TRANQUIL CREEK_Sockeye</v>
      </c>
      <c r="BG57" s="50">
        <f>IFERROR(VLOOKUP(BF57,'[1]WCVI Esc'!$C$5:$W$534,18,FALSE),"-")</f>
        <v>29.25</v>
      </c>
      <c r="BH57" s="50">
        <f t="shared" si="10"/>
        <v>30</v>
      </c>
      <c r="BI57" s="50">
        <f>IFERROR(VLOOKUP(BF57,'[1]WCVI Esc'!$C$5:$W$534,19,FALSE),"-")</f>
        <v>276.66666666666669</v>
      </c>
      <c r="BJ57" s="50">
        <f t="shared" si="11"/>
        <v>280</v>
      </c>
    </row>
    <row r="58" spans="1:65" hidden="1" x14ac:dyDescent="0.2">
      <c r="A58" s="29">
        <v>2</v>
      </c>
      <c r="B58" s="29">
        <v>2</v>
      </c>
      <c r="C58" s="13">
        <v>24</v>
      </c>
      <c r="D58" s="13" t="s">
        <v>296</v>
      </c>
      <c r="E58" s="21" t="s">
        <v>43</v>
      </c>
      <c r="F58" s="21" t="s">
        <v>219</v>
      </c>
      <c r="G58" s="21"/>
      <c r="H58" s="152"/>
      <c r="I58" s="155"/>
      <c r="J58" s="106"/>
      <c r="K58" s="94"/>
      <c r="L58" s="158"/>
      <c r="M58" s="161"/>
      <c r="N58" s="106"/>
      <c r="O58" s="106"/>
      <c r="P58" s="63"/>
      <c r="Q58" s="162"/>
      <c r="R58" s="164"/>
      <c r="S58" s="62"/>
      <c r="T58" s="63"/>
      <c r="U58" s="62"/>
      <c r="V58" s="64"/>
      <c r="W58" s="164"/>
      <c r="X58" s="62"/>
      <c r="Y58" s="45"/>
      <c r="Z58" s="44"/>
      <c r="AA58" s="100">
        <f>Y58/AP58</f>
        <v>0</v>
      </c>
      <c r="AB58" s="100">
        <f>AS58/AP58</f>
        <v>0</v>
      </c>
      <c r="AC58" s="100"/>
      <c r="AD58" s="100"/>
      <c r="AE58" s="100"/>
      <c r="AF58" s="100"/>
      <c r="AG58" s="69">
        <v>24</v>
      </c>
      <c r="AH58" s="69" t="s">
        <v>296</v>
      </c>
      <c r="AI58" s="243" t="s">
        <v>43</v>
      </c>
      <c r="AJ58" s="243" t="s">
        <v>419</v>
      </c>
      <c r="AK58" s="244" t="s">
        <v>289</v>
      </c>
      <c r="AL58" s="43" t="str">
        <f t="shared" si="12"/>
        <v>-</v>
      </c>
      <c r="AM58" s="43">
        <f t="shared" si="19"/>
        <v>0</v>
      </c>
      <c r="AN58" s="193">
        <f t="shared" si="19"/>
        <v>0</v>
      </c>
      <c r="AO58" s="264">
        <f t="shared" si="13"/>
        <v>680</v>
      </c>
      <c r="AP58" s="265">
        <f>BJ58</f>
        <v>830</v>
      </c>
      <c r="AQ58" s="26" t="str">
        <f t="shared" si="2"/>
        <v>TRANQUIL CREEKCoho</v>
      </c>
      <c r="AR58" s="26">
        <f t="shared" si="3"/>
        <v>0</v>
      </c>
      <c r="AS58" s="33">
        <f t="shared" si="18"/>
        <v>0</v>
      </c>
      <c r="AV58"/>
      <c r="AW58" s="34"/>
      <c r="AX58" s="47" t="str">
        <f t="shared" si="5"/>
        <v>TRANQUIL CREEKCoho</v>
      </c>
      <c r="AY58" s="49">
        <f t="shared" si="6"/>
        <v>0</v>
      </c>
      <c r="AZ58" s="49">
        <f t="shared" si="7"/>
        <v>0</v>
      </c>
      <c r="BA58" s="31">
        <v>2016</v>
      </c>
      <c r="BB58" s="188" t="str">
        <f t="shared" si="8"/>
        <v>TCES</v>
      </c>
      <c r="BC58" s="188" t="str">
        <f t="shared" si="14"/>
        <v xml:space="preserve"> </v>
      </c>
      <c r="BD58" s="188" t="str">
        <f t="shared" si="15"/>
        <v xml:space="preserve"> </v>
      </c>
      <c r="BE58" s="188" t="str">
        <f t="shared" si="16"/>
        <v xml:space="preserve"> </v>
      </c>
      <c r="BF58" s="50" t="str">
        <f t="shared" si="20"/>
        <v>TRANQUIL CREEK_Coho</v>
      </c>
      <c r="BG58" s="50">
        <f>IFERROR(VLOOKUP(BF58,'[1]WCVI Esc'!$C$5:$W$534,18,FALSE),"-")</f>
        <v>682.75</v>
      </c>
      <c r="BH58" s="50">
        <f t="shared" si="10"/>
        <v>680</v>
      </c>
      <c r="BI58" s="50">
        <f>IFERROR(VLOOKUP(BF58,'[1]WCVI Esc'!$C$5:$W$534,19,FALSE),"-")</f>
        <v>833.91666666666663</v>
      </c>
      <c r="BJ58" s="50">
        <f t="shared" si="11"/>
        <v>830</v>
      </c>
    </row>
    <row r="59" spans="1:65" hidden="1" x14ac:dyDescent="0.2">
      <c r="A59" s="29">
        <v>2</v>
      </c>
      <c r="B59" s="29">
        <v>3</v>
      </c>
      <c r="C59" s="13">
        <v>24</v>
      </c>
      <c r="D59" s="13" t="s">
        <v>296</v>
      </c>
      <c r="E59" s="21" t="s">
        <v>43</v>
      </c>
      <c r="F59" s="21" t="s">
        <v>208</v>
      </c>
      <c r="G59" s="21"/>
      <c r="H59" s="152"/>
      <c r="I59" s="155"/>
      <c r="J59" s="106"/>
      <c r="K59" s="94"/>
      <c r="L59" s="158"/>
      <c r="M59" s="161"/>
      <c r="N59" s="106"/>
      <c r="O59" s="106"/>
      <c r="P59" s="63"/>
      <c r="Q59" s="162"/>
      <c r="R59" s="169"/>
      <c r="S59" s="62"/>
      <c r="T59" s="62"/>
      <c r="U59" s="62"/>
      <c r="V59" s="64"/>
      <c r="W59" s="164"/>
      <c r="X59" s="62"/>
      <c r="Y59" s="45"/>
      <c r="Z59" s="44"/>
      <c r="AA59" s="100"/>
      <c r="AB59" s="100"/>
      <c r="AC59" s="100"/>
      <c r="AD59" s="100"/>
      <c r="AE59" s="100"/>
      <c r="AF59" s="100"/>
      <c r="AG59" s="69">
        <v>24</v>
      </c>
      <c r="AH59" s="69" t="s">
        <v>296</v>
      </c>
      <c r="AI59" s="243" t="s">
        <v>43</v>
      </c>
      <c r="AJ59" s="243" t="s">
        <v>419</v>
      </c>
      <c r="AK59" s="244" t="s">
        <v>289</v>
      </c>
      <c r="AL59" s="43" t="str">
        <f t="shared" si="12"/>
        <v>-</v>
      </c>
      <c r="AM59" s="43">
        <f t="shared" si="19"/>
        <v>0</v>
      </c>
      <c r="AN59" s="193">
        <f t="shared" si="19"/>
        <v>0</v>
      </c>
      <c r="AO59" s="264" t="str">
        <f t="shared" si="13"/>
        <v>-</v>
      </c>
      <c r="AP59" s="266"/>
      <c r="AQ59" s="26" t="str">
        <f t="shared" si="2"/>
        <v>TRANQUIL CREEKPink</v>
      </c>
      <c r="AR59" s="26">
        <f t="shared" si="3"/>
        <v>0</v>
      </c>
      <c r="AS59" s="33">
        <f t="shared" si="18"/>
        <v>0</v>
      </c>
      <c r="AV59"/>
      <c r="AW59" s="34"/>
      <c r="AX59" s="47" t="str">
        <f t="shared" si="5"/>
        <v>TRANQUIL CREEKPink</v>
      </c>
      <c r="AY59" s="49">
        <f t="shared" si="6"/>
        <v>0</v>
      </c>
      <c r="AZ59" s="49">
        <f t="shared" si="7"/>
        <v>0</v>
      </c>
      <c r="BA59" s="31">
        <v>0</v>
      </c>
      <c r="BB59" s="188" t="str">
        <f t="shared" si="8"/>
        <v>TCES</v>
      </c>
      <c r="BC59" s="188" t="str">
        <f t="shared" si="14"/>
        <v xml:space="preserve"> </v>
      </c>
      <c r="BD59" s="188" t="str">
        <f t="shared" si="15"/>
        <v xml:space="preserve"> </v>
      </c>
      <c r="BE59" s="188" t="str">
        <f t="shared" si="16"/>
        <v xml:space="preserve"> </v>
      </c>
      <c r="BF59" s="50" t="str">
        <f t="shared" si="20"/>
        <v>TRANQUIL CREEK_Pink</v>
      </c>
      <c r="BG59" s="50" t="str">
        <f>IFERROR(VLOOKUP(BF59,'[1]WCVI Esc'!$C$5:$W$534,18,FALSE),"-")</f>
        <v>-</v>
      </c>
      <c r="BH59" s="50" t="str">
        <f t="shared" si="10"/>
        <v>-</v>
      </c>
      <c r="BI59" s="50" t="str">
        <f>IFERROR(VLOOKUP(BF59,'[1]WCVI Esc'!$C$5:$W$534,19,FALSE),"-")</f>
        <v>-</v>
      </c>
      <c r="BJ59" s="50" t="str">
        <f t="shared" si="11"/>
        <v>-</v>
      </c>
    </row>
    <row r="60" spans="1:65" hidden="1" x14ac:dyDescent="0.2">
      <c r="A60" s="29">
        <v>2</v>
      </c>
      <c r="B60" s="29">
        <v>4</v>
      </c>
      <c r="C60" s="13">
        <v>24</v>
      </c>
      <c r="D60" s="147" t="s">
        <v>296</v>
      </c>
      <c r="E60" s="21" t="s">
        <v>43</v>
      </c>
      <c r="F60" s="21" t="s">
        <v>209</v>
      </c>
      <c r="G60" s="21"/>
      <c r="H60" s="152"/>
      <c r="I60" s="155"/>
      <c r="J60" s="106"/>
      <c r="K60" s="94"/>
      <c r="L60" s="158"/>
      <c r="M60" s="161"/>
      <c r="N60" s="106"/>
      <c r="O60" s="106"/>
      <c r="P60" s="63"/>
      <c r="Q60" s="162"/>
      <c r="R60" s="164"/>
      <c r="S60" s="62"/>
      <c r="T60" s="63"/>
      <c r="U60" s="62"/>
      <c r="V60" s="64"/>
      <c r="W60" s="164"/>
      <c r="X60" s="62"/>
      <c r="Y60" s="45"/>
      <c r="Z60" s="44"/>
      <c r="AA60" s="100">
        <f>Y60/AP60</f>
        <v>0</v>
      </c>
      <c r="AB60" s="100">
        <f>AS60/AP60</f>
        <v>0</v>
      </c>
      <c r="AC60" s="123">
        <v>3</v>
      </c>
      <c r="AD60" s="123"/>
      <c r="AE60" s="123"/>
      <c r="AF60" s="123"/>
      <c r="AG60" s="69">
        <v>24</v>
      </c>
      <c r="AH60" s="69" t="s">
        <v>296</v>
      </c>
      <c r="AI60" s="243" t="s">
        <v>43</v>
      </c>
      <c r="AJ60" s="243" t="s">
        <v>419</v>
      </c>
      <c r="AK60" s="244" t="s">
        <v>289</v>
      </c>
      <c r="AL60" s="43" t="str">
        <f t="shared" si="12"/>
        <v>-</v>
      </c>
      <c r="AM60" s="43">
        <f t="shared" si="19"/>
        <v>0</v>
      </c>
      <c r="AN60" s="193">
        <f t="shared" si="19"/>
        <v>0</v>
      </c>
      <c r="AO60" s="264">
        <f t="shared" si="13"/>
        <v>3710</v>
      </c>
      <c r="AP60" s="265">
        <f>BJ60</f>
        <v>6420</v>
      </c>
      <c r="AQ60" s="26" t="str">
        <f t="shared" si="2"/>
        <v>TRANQUIL CREEKChum</v>
      </c>
      <c r="AR60" s="26">
        <f t="shared" si="3"/>
        <v>0</v>
      </c>
      <c r="AS60" s="33">
        <f t="shared" si="18"/>
        <v>0</v>
      </c>
      <c r="AV60"/>
      <c r="AW60" s="34"/>
      <c r="AX60" s="47" t="str">
        <f t="shared" si="5"/>
        <v>TRANQUIL CREEKChum</v>
      </c>
      <c r="AY60" s="49">
        <f t="shared" si="6"/>
        <v>0</v>
      </c>
      <c r="AZ60" s="49">
        <f t="shared" si="7"/>
        <v>0</v>
      </c>
      <c r="BA60" s="31">
        <v>2016</v>
      </c>
      <c r="BB60" s="188" t="str">
        <f t="shared" si="8"/>
        <v>TCES</v>
      </c>
      <c r="BC60" s="188" t="str">
        <f t="shared" si="14"/>
        <v xml:space="preserve"> </v>
      </c>
      <c r="BD60" s="188" t="str">
        <f t="shared" si="15"/>
        <v xml:space="preserve"> </v>
      </c>
      <c r="BE60" s="188" t="str">
        <f t="shared" si="16"/>
        <v xml:space="preserve"> </v>
      </c>
      <c r="BF60" s="50" t="str">
        <f t="shared" si="20"/>
        <v>TRANQUIL CREEK_Chum</v>
      </c>
      <c r="BG60" s="50">
        <f>IFERROR(VLOOKUP(BF60,'[1]WCVI Esc'!$C$5:$W$534,18,FALSE),"-")</f>
        <v>3711</v>
      </c>
      <c r="BH60" s="50">
        <f t="shared" si="10"/>
        <v>3710</v>
      </c>
      <c r="BI60" s="50">
        <f>IFERROR(VLOOKUP(BF60,'[1]WCVI Esc'!$C$5:$W$534,19,FALSE),"-")</f>
        <v>6418.333333333333</v>
      </c>
      <c r="BJ60" s="50">
        <f t="shared" si="11"/>
        <v>6420</v>
      </c>
    </row>
    <row r="61" spans="1:65" hidden="1" x14ac:dyDescent="0.2">
      <c r="A61" s="29">
        <v>2</v>
      </c>
      <c r="B61" s="29">
        <v>5</v>
      </c>
      <c r="C61" s="13">
        <v>24</v>
      </c>
      <c r="D61" s="147" t="s">
        <v>296</v>
      </c>
      <c r="E61" s="21" t="s">
        <v>43</v>
      </c>
      <c r="F61" s="10" t="s">
        <v>210</v>
      </c>
      <c r="G61" s="21"/>
      <c r="H61" s="152"/>
      <c r="I61" s="155"/>
      <c r="J61" s="106"/>
      <c r="K61" s="94"/>
      <c r="L61" s="158"/>
      <c r="M61" s="161"/>
      <c r="N61" s="106"/>
      <c r="O61" s="106"/>
      <c r="P61" s="63"/>
      <c r="Q61" s="162"/>
      <c r="R61" s="164"/>
      <c r="S61" s="62"/>
      <c r="T61" s="62"/>
      <c r="U61" s="62"/>
      <c r="V61" s="64"/>
      <c r="W61" s="164"/>
      <c r="X61" s="62"/>
      <c r="Y61" s="45"/>
      <c r="Z61" s="44"/>
      <c r="AA61" s="100">
        <f>Y61/AP61</f>
        <v>0</v>
      </c>
      <c r="AB61" s="100">
        <f>AS61/AP61</f>
        <v>0</v>
      </c>
      <c r="AC61" s="100"/>
      <c r="AD61" s="123">
        <v>320</v>
      </c>
      <c r="AE61" s="123">
        <v>94</v>
      </c>
      <c r="AF61" s="123">
        <f>Y61</f>
        <v>0</v>
      </c>
      <c r="AG61" s="69">
        <v>24</v>
      </c>
      <c r="AH61" s="69" t="s">
        <v>296</v>
      </c>
      <c r="AI61" s="243" t="s">
        <v>43</v>
      </c>
      <c r="AJ61" s="243" t="s">
        <v>419</v>
      </c>
      <c r="AK61" s="244" t="s">
        <v>289</v>
      </c>
      <c r="AL61" s="43" t="str">
        <f t="shared" si="12"/>
        <v>-</v>
      </c>
      <c r="AM61" s="43">
        <f t="shared" si="19"/>
        <v>0</v>
      </c>
      <c r="AN61" s="193">
        <f t="shared" si="19"/>
        <v>0</v>
      </c>
      <c r="AO61" s="264">
        <f t="shared" si="13"/>
        <v>170</v>
      </c>
      <c r="AP61" s="265">
        <f>BJ61</f>
        <v>230</v>
      </c>
      <c r="AQ61" s="26" t="str">
        <f t="shared" si="2"/>
        <v>TRANQUIL CREEKChinook</v>
      </c>
      <c r="AR61" s="26">
        <f t="shared" si="3"/>
        <v>0</v>
      </c>
      <c r="AS61" s="33">
        <f t="shared" si="18"/>
        <v>0</v>
      </c>
      <c r="AT61" s="34">
        <f>AS61*1.14</f>
        <v>0</v>
      </c>
      <c r="AU61" s="34">
        <f>AS61*2.88</f>
        <v>0</v>
      </c>
      <c r="AV61" s="36"/>
      <c r="AW61" s="34">
        <f>SUM(AT61:AU61)/2</f>
        <v>0</v>
      </c>
      <c r="AX61" s="47" t="str">
        <f t="shared" si="5"/>
        <v>TRANQUIL CREEKChinook</v>
      </c>
      <c r="AY61" s="49">
        <f t="shared" si="6"/>
        <v>0</v>
      </c>
      <c r="AZ61" s="49">
        <f t="shared" si="7"/>
        <v>0</v>
      </c>
      <c r="BA61" s="31">
        <v>2016</v>
      </c>
      <c r="BB61" s="188" t="str">
        <f t="shared" si="8"/>
        <v>TCES</v>
      </c>
      <c r="BC61" s="188" t="str">
        <f t="shared" si="14"/>
        <v xml:space="preserve"> </v>
      </c>
      <c r="BD61" s="188" t="str">
        <f t="shared" si="15"/>
        <v xml:space="preserve"> </v>
      </c>
      <c r="BE61" s="188" t="str">
        <f t="shared" si="16"/>
        <v xml:space="preserve"> </v>
      </c>
      <c r="BF61" s="50" t="str">
        <f t="shared" si="20"/>
        <v>TRANQUIL CREEK_Chinook</v>
      </c>
      <c r="BG61" s="50">
        <f>IFERROR(VLOOKUP(BF61,'[1]WCVI Esc'!$C$5:$W$534,18,FALSE),"-")</f>
        <v>174</v>
      </c>
      <c r="BH61" s="50">
        <f t="shared" si="10"/>
        <v>170</v>
      </c>
      <c r="BI61" s="50">
        <f>IFERROR(VLOOKUP(BF61,'[1]WCVI Esc'!$C$5:$W$534,19,FALSE),"-")</f>
        <v>233.08333333333334</v>
      </c>
      <c r="BJ61" s="50">
        <f t="shared" si="11"/>
        <v>230</v>
      </c>
      <c r="BK61">
        <v>9</v>
      </c>
      <c r="BL61" s="17" t="s">
        <v>289</v>
      </c>
      <c r="BM61" s="31">
        <v>1</v>
      </c>
    </row>
    <row r="62" spans="1:65" hidden="1" x14ac:dyDescent="0.2">
      <c r="A62" s="29">
        <v>2</v>
      </c>
      <c r="B62" s="29">
        <v>6</v>
      </c>
      <c r="C62" s="13">
        <v>24</v>
      </c>
      <c r="D62" s="147" t="s">
        <v>296</v>
      </c>
      <c r="E62" s="21" t="s">
        <v>43</v>
      </c>
      <c r="F62" s="21" t="s">
        <v>211</v>
      </c>
      <c r="G62" s="21"/>
      <c r="H62" s="152"/>
      <c r="I62" s="155"/>
      <c r="J62" s="106"/>
      <c r="K62" s="94"/>
      <c r="L62" s="158"/>
      <c r="M62" s="161"/>
      <c r="N62" s="106"/>
      <c r="O62" s="106"/>
      <c r="P62" s="63"/>
      <c r="Q62" s="162"/>
      <c r="R62" s="169"/>
      <c r="S62" s="62"/>
      <c r="T62" s="62"/>
      <c r="U62" s="62"/>
      <c r="V62" s="64"/>
      <c r="W62" s="164"/>
      <c r="X62" s="62"/>
      <c r="Y62" s="45"/>
      <c r="Z62" s="44"/>
      <c r="AA62" s="100"/>
      <c r="AB62" s="100"/>
      <c r="AC62" s="100"/>
      <c r="AD62" s="100"/>
      <c r="AE62" s="100"/>
      <c r="AF62" s="100"/>
      <c r="AG62" s="69">
        <v>24</v>
      </c>
      <c r="AH62" s="69" t="s">
        <v>296</v>
      </c>
      <c r="AI62" s="243" t="s">
        <v>43</v>
      </c>
      <c r="AJ62" s="243" t="s">
        <v>419</v>
      </c>
      <c r="AK62" s="244" t="s">
        <v>289</v>
      </c>
      <c r="AL62" s="43" t="str">
        <f t="shared" si="12"/>
        <v>-</v>
      </c>
      <c r="AM62" s="43">
        <f t="shared" si="19"/>
        <v>0</v>
      </c>
      <c r="AN62" s="193">
        <f t="shared" si="19"/>
        <v>0</v>
      </c>
      <c r="AO62" s="264" t="str">
        <f t="shared" si="13"/>
        <v>-</v>
      </c>
      <c r="AP62" s="266"/>
      <c r="AQ62" s="26" t="str">
        <f t="shared" si="2"/>
        <v>TRANQUIL CREEKSteelhead</v>
      </c>
      <c r="AR62" s="26">
        <f t="shared" si="3"/>
        <v>0</v>
      </c>
      <c r="AS62" s="33">
        <f t="shared" si="18"/>
        <v>0</v>
      </c>
      <c r="AV62"/>
      <c r="AW62" s="34"/>
      <c r="AX62" s="47" t="str">
        <f t="shared" si="5"/>
        <v>TRANQUIL CREEKSteelhead</v>
      </c>
      <c r="AY62" s="49">
        <f t="shared" si="6"/>
        <v>0</v>
      </c>
      <c r="AZ62" s="49">
        <f t="shared" si="7"/>
        <v>0</v>
      </c>
      <c r="BA62" s="31">
        <v>0</v>
      </c>
      <c r="BB62" s="188" t="str">
        <f t="shared" si="8"/>
        <v>TCES</v>
      </c>
      <c r="BC62" s="188" t="str">
        <f t="shared" si="14"/>
        <v xml:space="preserve"> </v>
      </c>
      <c r="BD62" s="188" t="str">
        <f t="shared" si="15"/>
        <v xml:space="preserve"> </v>
      </c>
      <c r="BE62" s="188" t="str">
        <f t="shared" si="16"/>
        <v xml:space="preserve"> </v>
      </c>
      <c r="BF62" s="50" t="str">
        <f t="shared" si="20"/>
        <v>TRANQUIL CREEK_Steelhead</v>
      </c>
      <c r="BG62" s="50" t="str">
        <f>IFERROR(VLOOKUP(BF62,'[1]WCVI Esc'!$C$5:$W$534,18,FALSE),"-")</f>
        <v>-</v>
      </c>
      <c r="BH62" s="50" t="str">
        <f t="shared" si="10"/>
        <v>-</v>
      </c>
      <c r="BI62" s="50" t="str">
        <f>IFERROR(VLOOKUP(BF62,'[1]WCVI Esc'!$C$5:$W$534,19,FALSE),"-")</f>
        <v>-</v>
      </c>
      <c r="BJ62" s="50" t="str">
        <f t="shared" si="11"/>
        <v>-</v>
      </c>
    </row>
    <row r="63" spans="1:65" hidden="1" x14ac:dyDescent="0.2">
      <c r="A63" s="29">
        <v>2</v>
      </c>
      <c r="B63" s="29">
        <v>1</v>
      </c>
      <c r="C63" s="13">
        <v>25</v>
      </c>
      <c r="D63" s="200" t="s">
        <v>299</v>
      </c>
      <c r="E63" s="21" t="s">
        <v>44</v>
      </c>
      <c r="F63" s="21" t="s">
        <v>207</v>
      </c>
      <c r="G63" s="21"/>
      <c r="H63" s="152"/>
      <c r="I63" s="155"/>
      <c r="J63" s="106"/>
      <c r="K63" s="94"/>
      <c r="L63" s="158"/>
      <c r="M63" s="161"/>
      <c r="N63" s="106"/>
      <c r="O63" s="106"/>
      <c r="P63" s="63"/>
      <c r="Q63" s="162"/>
      <c r="R63" s="164"/>
      <c r="S63" s="62"/>
      <c r="T63" s="63"/>
      <c r="U63" s="62"/>
      <c r="V63" s="64"/>
      <c r="W63" s="164"/>
      <c r="X63" s="62"/>
      <c r="Y63" s="45"/>
      <c r="Z63" s="44"/>
      <c r="AA63" s="100">
        <f>Y63/AP63</f>
        <v>0</v>
      </c>
      <c r="AB63" s="100">
        <f>AS63/AP63</f>
        <v>0</v>
      </c>
      <c r="AC63" s="123">
        <v>2</v>
      </c>
      <c r="AD63" s="123"/>
      <c r="AE63" s="123"/>
      <c r="AF63" s="123"/>
      <c r="AG63" s="69">
        <v>25</v>
      </c>
      <c r="AH63" s="196" t="s">
        <v>299</v>
      </c>
      <c r="AI63" s="243" t="s">
        <v>44</v>
      </c>
      <c r="AJ63" s="243" t="s">
        <v>419</v>
      </c>
      <c r="AK63" s="244" t="s">
        <v>368</v>
      </c>
      <c r="AL63" s="43" t="str">
        <f t="shared" si="12"/>
        <v>-</v>
      </c>
      <c r="AM63" s="43">
        <f t="shared" si="19"/>
        <v>0</v>
      </c>
      <c r="AN63" s="193">
        <f t="shared" si="19"/>
        <v>0</v>
      </c>
      <c r="AO63" s="264">
        <f t="shared" si="13"/>
        <v>210</v>
      </c>
      <c r="AP63" s="265">
        <f>BJ63</f>
        <v>730</v>
      </c>
      <c r="AQ63" s="26" t="str">
        <f t="shared" si="2"/>
        <v>BURMAN RIVERSockeye</v>
      </c>
      <c r="AR63" s="26">
        <f t="shared" si="3"/>
        <v>0</v>
      </c>
      <c r="AS63" s="33">
        <f t="shared" si="18"/>
        <v>0</v>
      </c>
      <c r="AV63"/>
      <c r="AW63" s="34"/>
      <c r="AX63" s="47" t="str">
        <f t="shared" si="5"/>
        <v>BURMAN RIVERSockeye</v>
      </c>
      <c r="AY63" s="49">
        <f t="shared" si="6"/>
        <v>0</v>
      </c>
      <c r="AZ63" s="49">
        <f t="shared" si="7"/>
        <v>0</v>
      </c>
      <c r="BA63" s="31">
        <v>2016</v>
      </c>
      <c r="BB63" s="188" t="str">
        <f t="shared" si="8"/>
        <v>MMFN/NTC</v>
      </c>
      <c r="BC63" s="188" t="str">
        <f t="shared" si="14"/>
        <v xml:space="preserve"> </v>
      </c>
      <c r="BD63" s="188" t="str">
        <f t="shared" si="15"/>
        <v xml:space="preserve"> </v>
      </c>
      <c r="BE63" s="188" t="str">
        <f t="shared" si="16"/>
        <v xml:space="preserve"> </v>
      </c>
      <c r="BF63" s="50" t="str">
        <f t="shared" si="20"/>
        <v>BURMAN RIVER_Sockeye</v>
      </c>
      <c r="BG63" s="50">
        <f>IFERROR(VLOOKUP(BF63,'[1]WCVI Esc'!$C$5:$W$534,18,FALSE),"-")</f>
        <v>207</v>
      </c>
      <c r="BH63" s="50">
        <f t="shared" si="10"/>
        <v>210</v>
      </c>
      <c r="BI63" s="50">
        <f>IFERROR(VLOOKUP(BF63,'[1]WCVI Esc'!$C$5:$W$534,19,FALSE),"-")</f>
        <v>725.41666666666663</v>
      </c>
      <c r="BJ63" s="50">
        <f t="shared" si="11"/>
        <v>730</v>
      </c>
    </row>
    <row r="64" spans="1:65" hidden="1" x14ac:dyDescent="0.2">
      <c r="A64" s="29">
        <v>2</v>
      </c>
      <c r="B64" s="29">
        <v>2</v>
      </c>
      <c r="C64" s="13">
        <v>25</v>
      </c>
      <c r="D64" s="200" t="s">
        <v>299</v>
      </c>
      <c r="E64" s="21" t="s">
        <v>44</v>
      </c>
      <c r="F64" s="21" t="s">
        <v>219</v>
      </c>
      <c r="G64" s="21"/>
      <c r="H64" s="152"/>
      <c r="I64" s="155"/>
      <c r="J64" s="106"/>
      <c r="K64" s="94"/>
      <c r="L64" s="158"/>
      <c r="M64" s="161"/>
      <c r="N64" s="106"/>
      <c r="O64" s="106"/>
      <c r="P64" s="63"/>
      <c r="Q64" s="162"/>
      <c r="R64" s="164"/>
      <c r="S64" s="62"/>
      <c r="T64" s="63"/>
      <c r="U64" s="62"/>
      <c r="V64" s="64"/>
      <c r="W64" s="164"/>
      <c r="X64" s="62"/>
      <c r="Y64" s="45"/>
      <c r="Z64" s="44"/>
      <c r="AA64" s="100">
        <f>Y64/AP64</f>
        <v>0</v>
      </c>
      <c r="AB64" s="100">
        <f>AS64/AP64</f>
        <v>0</v>
      </c>
      <c r="AC64" s="123">
        <v>3</v>
      </c>
      <c r="AD64" s="123"/>
      <c r="AE64" s="123"/>
      <c r="AF64" s="123"/>
      <c r="AG64" s="69">
        <v>25</v>
      </c>
      <c r="AH64" s="196" t="s">
        <v>299</v>
      </c>
      <c r="AI64" s="243" t="s">
        <v>44</v>
      </c>
      <c r="AJ64" s="243" t="s">
        <v>419</v>
      </c>
      <c r="AK64" s="244" t="s">
        <v>368</v>
      </c>
      <c r="AL64" s="43" t="str">
        <f t="shared" si="12"/>
        <v>-</v>
      </c>
      <c r="AM64" s="43">
        <f t="shared" si="19"/>
        <v>0</v>
      </c>
      <c r="AN64" s="193">
        <f t="shared" si="19"/>
        <v>0</v>
      </c>
      <c r="AO64" s="264">
        <f t="shared" si="13"/>
        <v>330</v>
      </c>
      <c r="AP64" s="265">
        <f>BJ64</f>
        <v>830</v>
      </c>
      <c r="AQ64" s="26" t="str">
        <f t="shared" si="2"/>
        <v>BURMAN RIVERCoho</v>
      </c>
      <c r="AR64" s="26">
        <f t="shared" si="3"/>
        <v>0</v>
      </c>
      <c r="AS64" s="33">
        <f t="shared" si="18"/>
        <v>0</v>
      </c>
      <c r="AV64"/>
      <c r="AW64" s="34"/>
      <c r="AX64" s="47" t="str">
        <f t="shared" si="5"/>
        <v>BURMAN RIVERCoho</v>
      </c>
      <c r="AY64" s="49">
        <f t="shared" si="6"/>
        <v>0</v>
      </c>
      <c r="AZ64" s="49">
        <f t="shared" si="7"/>
        <v>0</v>
      </c>
      <c r="BA64" s="31">
        <v>2016</v>
      </c>
      <c r="BB64" s="188" t="str">
        <f t="shared" si="8"/>
        <v>MMFN/NTC</v>
      </c>
      <c r="BC64" s="188" t="str">
        <f t="shared" si="14"/>
        <v xml:space="preserve"> </v>
      </c>
      <c r="BD64" s="188" t="str">
        <f t="shared" si="15"/>
        <v xml:space="preserve"> </v>
      </c>
      <c r="BE64" s="188" t="str">
        <f t="shared" si="16"/>
        <v xml:space="preserve"> </v>
      </c>
      <c r="BF64" s="50" t="str">
        <f t="shared" si="20"/>
        <v>BURMAN RIVER_Coho</v>
      </c>
      <c r="BG64" s="50">
        <f>IFERROR(VLOOKUP(BF64,'[1]WCVI Esc'!$C$5:$W$534,18,FALSE),"-")</f>
        <v>329</v>
      </c>
      <c r="BH64" s="50">
        <f t="shared" si="10"/>
        <v>330</v>
      </c>
      <c r="BI64" s="50">
        <f>IFERROR(VLOOKUP(BF64,'[1]WCVI Esc'!$C$5:$W$534,19,FALSE),"-")</f>
        <v>825.58333333333337</v>
      </c>
      <c r="BJ64" s="50">
        <f t="shared" si="11"/>
        <v>830</v>
      </c>
    </row>
    <row r="65" spans="1:67" hidden="1" x14ac:dyDescent="0.2">
      <c r="A65" s="29">
        <v>2</v>
      </c>
      <c r="B65" s="29">
        <v>3</v>
      </c>
      <c r="C65" s="13">
        <v>25</v>
      </c>
      <c r="D65" s="200" t="s">
        <v>299</v>
      </c>
      <c r="E65" s="21" t="s">
        <v>44</v>
      </c>
      <c r="F65" s="21" t="s">
        <v>208</v>
      </c>
      <c r="G65" s="21"/>
      <c r="H65" s="152"/>
      <c r="I65" s="155"/>
      <c r="J65" s="106"/>
      <c r="K65" s="94"/>
      <c r="L65" s="158"/>
      <c r="M65" s="161"/>
      <c r="N65" s="106"/>
      <c r="O65" s="106"/>
      <c r="P65" s="63"/>
      <c r="Q65" s="162"/>
      <c r="R65" s="164"/>
      <c r="S65" s="62"/>
      <c r="T65" s="63"/>
      <c r="U65" s="62"/>
      <c r="V65" s="64"/>
      <c r="W65" s="164"/>
      <c r="X65" s="62"/>
      <c r="Y65" s="45"/>
      <c r="Z65" s="44"/>
      <c r="AA65" s="100">
        <f>Y65/AP65</f>
        <v>0</v>
      </c>
      <c r="AB65" s="100">
        <f>AS65/AP65</f>
        <v>0</v>
      </c>
      <c r="AC65" s="123"/>
      <c r="AD65" s="123"/>
      <c r="AE65" s="123"/>
      <c r="AF65" s="123"/>
      <c r="AG65" s="69">
        <v>25</v>
      </c>
      <c r="AH65" s="196" t="s">
        <v>299</v>
      </c>
      <c r="AI65" s="243" t="s">
        <v>44</v>
      </c>
      <c r="AJ65" s="243" t="s">
        <v>419</v>
      </c>
      <c r="AK65" s="244" t="s">
        <v>368</v>
      </c>
      <c r="AL65" s="43" t="str">
        <f t="shared" si="12"/>
        <v>-</v>
      </c>
      <c r="AM65" s="43">
        <f t="shared" si="19"/>
        <v>0</v>
      </c>
      <c r="AN65" s="193">
        <f t="shared" si="19"/>
        <v>0</v>
      </c>
      <c r="AO65" s="264">
        <f t="shared" si="13"/>
        <v>0</v>
      </c>
      <c r="AP65" s="265">
        <f>BJ65</f>
        <v>20</v>
      </c>
      <c r="AQ65" s="26" t="str">
        <f t="shared" si="2"/>
        <v>BURMAN RIVERPink</v>
      </c>
      <c r="AR65" s="26">
        <f t="shared" si="3"/>
        <v>0</v>
      </c>
      <c r="AS65" s="33">
        <f t="shared" si="18"/>
        <v>0</v>
      </c>
      <c r="AV65"/>
      <c r="AW65" s="34"/>
      <c r="AX65" s="47" t="str">
        <f t="shared" si="5"/>
        <v>BURMAN RIVERPink</v>
      </c>
      <c r="AY65" s="49">
        <f t="shared" si="6"/>
        <v>0</v>
      </c>
      <c r="AZ65" s="49">
        <f t="shared" si="7"/>
        <v>0</v>
      </c>
      <c r="BA65" s="31">
        <v>2016</v>
      </c>
      <c r="BB65" s="188" t="str">
        <f t="shared" si="8"/>
        <v>MMFN/NTC</v>
      </c>
      <c r="BC65" s="188" t="str">
        <f t="shared" si="14"/>
        <v xml:space="preserve"> </v>
      </c>
      <c r="BD65" s="188" t="str">
        <f t="shared" si="15"/>
        <v xml:space="preserve"> </v>
      </c>
      <c r="BE65" s="188" t="str">
        <f t="shared" si="16"/>
        <v xml:space="preserve"> </v>
      </c>
      <c r="BF65" s="50" t="str">
        <f t="shared" si="20"/>
        <v>BURMAN RIVER_Pink</v>
      </c>
      <c r="BG65" s="50">
        <f>IFERROR(VLOOKUP(BF65,'[1]WCVI Esc'!$C$5:$W$534,18,FALSE),"-")</f>
        <v>2</v>
      </c>
      <c r="BH65" s="50">
        <f t="shared" si="10"/>
        <v>0</v>
      </c>
      <c r="BI65" s="50">
        <f>IFERROR(VLOOKUP(BF65,'[1]WCVI Esc'!$C$5:$W$534,19,FALSE),"-")</f>
        <v>16.8</v>
      </c>
      <c r="BJ65" s="50">
        <f t="shared" si="11"/>
        <v>20</v>
      </c>
    </row>
    <row r="66" spans="1:67" hidden="1" x14ac:dyDescent="0.2">
      <c r="A66" s="29">
        <v>2</v>
      </c>
      <c r="B66" s="29">
        <v>4</v>
      </c>
      <c r="C66" s="13">
        <v>25</v>
      </c>
      <c r="D66" s="200" t="s">
        <v>299</v>
      </c>
      <c r="E66" s="21" t="s">
        <v>44</v>
      </c>
      <c r="F66" s="21" t="s">
        <v>209</v>
      </c>
      <c r="G66" s="21"/>
      <c r="H66" s="152"/>
      <c r="I66" s="155"/>
      <c r="J66" s="106"/>
      <c r="K66" s="94"/>
      <c r="L66" s="158"/>
      <c r="M66" s="161"/>
      <c r="N66" s="106"/>
      <c r="O66" s="106"/>
      <c r="P66" s="63"/>
      <c r="Q66" s="162"/>
      <c r="R66" s="164"/>
      <c r="S66" s="62"/>
      <c r="T66" s="63"/>
      <c r="U66" s="62"/>
      <c r="V66" s="64"/>
      <c r="W66" s="164"/>
      <c r="X66" s="62"/>
      <c r="Y66" s="45"/>
      <c r="Z66" s="44"/>
      <c r="AA66" s="100">
        <f>Y66/AP66</f>
        <v>0</v>
      </c>
      <c r="AB66" s="100">
        <f>AS66/AP66</f>
        <v>0</v>
      </c>
      <c r="AC66" s="123">
        <v>3</v>
      </c>
      <c r="AD66" s="123"/>
      <c r="AE66" s="123"/>
      <c r="AF66" s="123"/>
      <c r="AG66" s="69">
        <v>25</v>
      </c>
      <c r="AH66" s="196" t="s">
        <v>299</v>
      </c>
      <c r="AI66" s="243" t="s">
        <v>44</v>
      </c>
      <c r="AJ66" s="243" t="s">
        <v>419</v>
      </c>
      <c r="AK66" s="244" t="s">
        <v>368</v>
      </c>
      <c r="AL66" s="43" t="str">
        <f t="shared" si="12"/>
        <v>-</v>
      </c>
      <c r="AM66" s="43">
        <f t="shared" si="19"/>
        <v>0</v>
      </c>
      <c r="AN66" s="193">
        <f t="shared" si="19"/>
        <v>0</v>
      </c>
      <c r="AO66" s="264">
        <f t="shared" si="13"/>
        <v>1520</v>
      </c>
      <c r="AP66" s="265">
        <f>BJ66</f>
        <v>3920</v>
      </c>
      <c r="AQ66" s="26" t="str">
        <f t="shared" si="2"/>
        <v>BURMAN RIVERChum</v>
      </c>
      <c r="AR66" s="26">
        <f t="shared" si="3"/>
        <v>0</v>
      </c>
      <c r="AS66" s="33">
        <f t="shared" si="18"/>
        <v>0</v>
      </c>
      <c r="AV66"/>
      <c r="AW66" s="34"/>
      <c r="AX66" s="47" t="str">
        <f t="shared" si="5"/>
        <v>BURMAN RIVERChum</v>
      </c>
      <c r="AY66" s="49">
        <f t="shared" si="6"/>
        <v>0</v>
      </c>
      <c r="AZ66" s="49">
        <f t="shared" si="7"/>
        <v>0</v>
      </c>
      <c r="BA66" s="31">
        <v>2016</v>
      </c>
      <c r="BB66" s="188" t="str">
        <f t="shared" si="8"/>
        <v>MMFN/NTC</v>
      </c>
      <c r="BC66" s="188" t="str">
        <f t="shared" si="14"/>
        <v xml:space="preserve"> </v>
      </c>
      <c r="BD66" s="188" t="str">
        <f t="shared" si="15"/>
        <v xml:space="preserve"> </v>
      </c>
      <c r="BE66" s="188" t="str">
        <f t="shared" si="16"/>
        <v xml:space="preserve"> </v>
      </c>
      <c r="BF66" s="50" t="str">
        <f t="shared" si="20"/>
        <v>BURMAN RIVER_Chum</v>
      </c>
      <c r="BG66" s="50">
        <f>IFERROR(VLOOKUP(BF66,'[1]WCVI Esc'!$C$5:$W$534,18,FALSE),"-")</f>
        <v>1521</v>
      </c>
      <c r="BH66" s="50">
        <f t="shared" si="10"/>
        <v>1520</v>
      </c>
      <c r="BI66" s="50">
        <f>IFERROR(VLOOKUP(BF66,'[1]WCVI Esc'!$C$5:$W$534,19,FALSE),"-")</f>
        <v>3916.5833333333335</v>
      </c>
      <c r="BJ66" s="50">
        <f t="shared" si="11"/>
        <v>3920</v>
      </c>
    </row>
    <row r="67" spans="1:67" x14ac:dyDescent="0.2">
      <c r="A67" s="29">
        <v>2</v>
      </c>
      <c r="B67" s="29">
        <v>5</v>
      </c>
      <c r="C67" s="13">
        <v>25</v>
      </c>
      <c r="D67" s="200" t="s">
        <v>299</v>
      </c>
      <c r="E67" s="21" t="s">
        <v>44</v>
      </c>
      <c r="F67" s="10" t="s">
        <v>210</v>
      </c>
      <c r="G67" s="21"/>
      <c r="H67" s="152"/>
      <c r="I67" s="155"/>
      <c r="J67" s="106"/>
      <c r="K67" s="94"/>
      <c r="L67" s="158"/>
      <c r="M67" s="161"/>
      <c r="N67" s="106"/>
      <c r="O67" s="106"/>
      <c r="P67" s="63"/>
      <c r="Q67" s="162"/>
      <c r="R67" s="164"/>
      <c r="S67" s="62"/>
      <c r="T67" s="63"/>
      <c r="U67" s="62"/>
      <c r="V67" s="64"/>
      <c r="W67" s="164"/>
      <c r="X67" s="62"/>
      <c r="Y67" s="45"/>
      <c r="Z67" s="44"/>
      <c r="AA67" s="100">
        <f>Y67/AP67</f>
        <v>0</v>
      </c>
      <c r="AB67" s="100">
        <f>AS67/AP67</f>
        <v>0</v>
      </c>
      <c r="AC67" s="123">
        <v>2</v>
      </c>
      <c r="AD67" s="123">
        <v>1131</v>
      </c>
      <c r="AE67" s="123">
        <v>333</v>
      </c>
      <c r="AF67" s="123">
        <f>Y67</f>
        <v>0</v>
      </c>
      <c r="AG67" s="69">
        <v>25</v>
      </c>
      <c r="AH67" s="196" t="s">
        <v>299</v>
      </c>
      <c r="AI67" s="243" t="s">
        <v>44</v>
      </c>
      <c r="AJ67" s="243" t="s">
        <v>419</v>
      </c>
      <c r="AK67" s="244" t="s">
        <v>368</v>
      </c>
      <c r="AL67" s="43" t="str">
        <f t="shared" si="12"/>
        <v>-</v>
      </c>
      <c r="AM67" s="43">
        <f t="shared" si="19"/>
        <v>0</v>
      </c>
      <c r="AN67" s="193">
        <f t="shared" si="19"/>
        <v>0</v>
      </c>
      <c r="AO67" s="264">
        <f t="shared" si="13"/>
        <v>2350</v>
      </c>
      <c r="AP67" s="265">
        <f>BJ67</f>
        <v>3730</v>
      </c>
      <c r="AQ67" s="26" t="str">
        <f t="shared" si="2"/>
        <v>BURMAN RIVERChinook</v>
      </c>
      <c r="AR67" s="26">
        <f t="shared" si="3"/>
        <v>0</v>
      </c>
      <c r="AS67" s="33">
        <f t="shared" si="18"/>
        <v>0</v>
      </c>
      <c r="AT67" s="34">
        <f>AS67*1.14</f>
        <v>0</v>
      </c>
      <c r="AU67" s="34">
        <f>AS67*2.88</f>
        <v>0</v>
      </c>
      <c r="AV67" s="36"/>
      <c r="AW67" s="34">
        <f>SUM(AT67:AU67)/2</f>
        <v>0</v>
      </c>
      <c r="AX67" s="47" t="str">
        <f t="shared" si="5"/>
        <v>BURMAN RIVERChinook</v>
      </c>
      <c r="AY67" s="49">
        <f t="shared" si="6"/>
        <v>0</v>
      </c>
      <c r="AZ67" s="49">
        <f t="shared" si="7"/>
        <v>0</v>
      </c>
      <c r="BA67" s="31">
        <v>2016</v>
      </c>
      <c r="BB67" s="188" t="str">
        <f t="shared" si="8"/>
        <v>MMFN/NTC</v>
      </c>
      <c r="BC67" s="188" t="str">
        <f t="shared" si="14"/>
        <v xml:space="preserve"> </v>
      </c>
      <c r="BD67" s="188" t="str">
        <f t="shared" si="15"/>
        <v xml:space="preserve"> </v>
      </c>
      <c r="BE67" s="188" t="str">
        <f t="shared" si="16"/>
        <v xml:space="preserve"> </v>
      </c>
      <c r="BF67" s="50" t="str">
        <f t="shared" si="20"/>
        <v>BURMAN RIVER_Chinook</v>
      </c>
      <c r="BG67" s="50">
        <f>IFERROR(VLOOKUP(BF67,'[1]WCVI Esc'!$C$5:$W$534,18,FALSE),"-")</f>
        <v>2347</v>
      </c>
      <c r="BH67" s="50">
        <f t="shared" si="10"/>
        <v>2350</v>
      </c>
      <c r="BI67" s="50">
        <f>IFERROR(VLOOKUP(BF67,'[1]WCVI Esc'!$C$5:$W$534,19,FALSE),"-")</f>
        <v>3729.25</v>
      </c>
      <c r="BJ67" s="50">
        <f t="shared" si="11"/>
        <v>3730</v>
      </c>
      <c r="BK67">
        <v>12</v>
      </c>
      <c r="BL67" t="s">
        <v>290</v>
      </c>
      <c r="BO67" s="31">
        <v>1</v>
      </c>
    </row>
    <row r="68" spans="1:67" hidden="1" x14ac:dyDescent="0.2">
      <c r="A68" s="29">
        <v>2</v>
      </c>
      <c r="B68" s="29">
        <v>6</v>
      </c>
      <c r="C68" s="13">
        <v>25</v>
      </c>
      <c r="D68" s="200" t="s">
        <v>299</v>
      </c>
      <c r="E68" s="21" t="s">
        <v>44</v>
      </c>
      <c r="F68" s="21" t="s">
        <v>211</v>
      </c>
      <c r="G68" s="21"/>
      <c r="H68" s="152"/>
      <c r="I68" s="155"/>
      <c r="J68" s="106"/>
      <c r="K68" s="94"/>
      <c r="L68" s="158"/>
      <c r="M68" s="161"/>
      <c r="N68" s="106"/>
      <c r="O68" s="106"/>
      <c r="P68" s="63"/>
      <c r="Q68" s="162"/>
      <c r="R68" s="164"/>
      <c r="S68" s="62"/>
      <c r="T68" s="63"/>
      <c r="U68" s="62"/>
      <c r="V68" s="64"/>
      <c r="W68" s="164"/>
      <c r="X68" s="62"/>
      <c r="Y68" s="45"/>
      <c r="Z68" s="44"/>
      <c r="AA68" s="100"/>
      <c r="AB68" s="100"/>
      <c r="AC68" s="123"/>
      <c r="AD68" s="123"/>
      <c r="AE68" s="123"/>
      <c r="AF68" s="123"/>
      <c r="AG68" s="69">
        <v>25</v>
      </c>
      <c r="AH68" s="196" t="s">
        <v>299</v>
      </c>
      <c r="AI68" s="243" t="s">
        <v>44</v>
      </c>
      <c r="AJ68" s="243" t="s">
        <v>419</v>
      </c>
      <c r="AK68" s="244" t="s">
        <v>368</v>
      </c>
      <c r="AL68" s="43" t="str">
        <f t="shared" si="12"/>
        <v>-</v>
      </c>
      <c r="AM68" s="43">
        <f t="shared" si="19"/>
        <v>0</v>
      </c>
      <c r="AN68" s="193">
        <f t="shared" si="19"/>
        <v>0</v>
      </c>
      <c r="AO68" s="264" t="str">
        <f t="shared" si="13"/>
        <v>-</v>
      </c>
      <c r="AP68" s="267"/>
      <c r="AQ68" s="26" t="str">
        <f t="shared" si="2"/>
        <v>BURMAN RIVERSteelhead</v>
      </c>
      <c r="AR68" s="26">
        <f t="shared" si="3"/>
        <v>0</v>
      </c>
      <c r="AS68" s="33">
        <f t="shared" si="18"/>
        <v>0</v>
      </c>
      <c r="AV68"/>
      <c r="AW68" s="34"/>
      <c r="AX68" s="47" t="str">
        <f t="shared" si="5"/>
        <v>BURMAN RIVERSteelhead</v>
      </c>
      <c r="AY68" s="49">
        <f t="shared" si="6"/>
        <v>0</v>
      </c>
      <c r="AZ68" s="49">
        <f t="shared" si="7"/>
        <v>0</v>
      </c>
      <c r="BA68" s="31">
        <v>0</v>
      </c>
      <c r="BB68" s="188" t="str">
        <f t="shared" si="8"/>
        <v>MMFN/NTC</v>
      </c>
      <c r="BC68" s="188" t="str">
        <f t="shared" si="14"/>
        <v xml:space="preserve"> </v>
      </c>
      <c r="BD68" s="188" t="str">
        <f t="shared" si="15"/>
        <v xml:space="preserve"> </v>
      </c>
      <c r="BE68" s="188" t="str">
        <f t="shared" si="16"/>
        <v xml:space="preserve"> </v>
      </c>
      <c r="BF68" s="50" t="str">
        <f t="shared" si="20"/>
        <v>BURMAN RIVER_Steelhead</v>
      </c>
      <c r="BG68" s="50" t="str">
        <f>IFERROR(VLOOKUP(BF68,'[1]WCVI Esc'!$C$5:$W$534,18,FALSE),"-")</f>
        <v>-</v>
      </c>
      <c r="BH68" s="50" t="str">
        <f t="shared" si="10"/>
        <v>-</v>
      </c>
      <c r="BI68" s="50" t="str">
        <f>IFERROR(VLOOKUP(BF68,'[1]WCVI Esc'!$C$5:$W$534,19,FALSE),"-")</f>
        <v>-</v>
      </c>
      <c r="BJ68" s="50" t="str">
        <f t="shared" si="11"/>
        <v>-</v>
      </c>
    </row>
    <row r="69" spans="1:67" hidden="1" x14ac:dyDescent="0.2">
      <c r="A69" s="29">
        <v>2</v>
      </c>
      <c r="B69" s="29">
        <v>1</v>
      </c>
      <c r="C69" s="13">
        <v>25</v>
      </c>
      <c r="D69" s="149" t="s">
        <v>299</v>
      </c>
      <c r="E69" s="21" t="s">
        <v>45</v>
      </c>
      <c r="F69" s="21" t="s">
        <v>207</v>
      </c>
      <c r="G69" s="10"/>
      <c r="H69" s="152"/>
      <c r="I69" s="155"/>
      <c r="J69" s="106"/>
      <c r="K69" s="94"/>
      <c r="L69" s="158"/>
      <c r="M69" s="161"/>
      <c r="N69" s="106"/>
      <c r="O69" s="106"/>
      <c r="P69" s="63"/>
      <c r="Q69" s="162"/>
      <c r="R69" s="164"/>
      <c r="S69" s="62"/>
      <c r="T69" s="63"/>
      <c r="U69" s="62"/>
      <c r="V69" s="64"/>
      <c r="W69" s="164"/>
      <c r="X69" s="62"/>
      <c r="Y69" s="45"/>
      <c r="Z69" s="44"/>
      <c r="AA69" s="100">
        <f>Y69/AP69</f>
        <v>0</v>
      </c>
      <c r="AB69" s="100">
        <f>AS69/AP69</f>
        <v>0</v>
      </c>
      <c r="AC69" s="123">
        <v>3</v>
      </c>
      <c r="AD69" s="123"/>
      <c r="AE69" s="123"/>
      <c r="AF69" s="123"/>
      <c r="AG69" s="69">
        <v>25</v>
      </c>
      <c r="AH69" s="69" t="s">
        <v>299</v>
      </c>
      <c r="AI69" s="243" t="s">
        <v>45</v>
      </c>
      <c r="AJ69" s="243" t="s">
        <v>419</v>
      </c>
      <c r="AK69" s="244" t="s">
        <v>367</v>
      </c>
      <c r="AL69" s="43" t="str">
        <f t="shared" si="12"/>
        <v>-</v>
      </c>
      <c r="AM69" s="43">
        <f t="shared" si="19"/>
        <v>0</v>
      </c>
      <c r="AN69" s="193">
        <f t="shared" si="19"/>
        <v>0</v>
      </c>
      <c r="AO69" s="264">
        <f t="shared" si="13"/>
        <v>10</v>
      </c>
      <c r="AP69" s="265">
        <f>BJ69</f>
        <v>50</v>
      </c>
      <c r="AQ69" s="26" t="str">
        <f t="shared" si="2"/>
        <v>CANTON CREEKSockeye</v>
      </c>
      <c r="AR69" s="26">
        <f t="shared" si="3"/>
        <v>0</v>
      </c>
      <c r="AS69" s="33">
        <f t="shared" si="18"/>
        <v>0</v>
      </c>
      <c r="AW69" s="34"/>
      <c r="AX69" s="47" t="str">
        <f t="shared" si="5"/>
        <v>CANTON CREEKSockeye</v>
      </c>
      <c r="AY69" s="49">
        <f t="shared" si="6"/>
        <v>0</v>
      </c>
      <c r="AZ69" s="49">
        <f t="shared" si="7"/>
        <v>0</v>
      </c>
      <c r="BA69" s="31">
        <v>2016</v>
      </c>
      <c r="BB69" s="188" t="str">
        <f t="shared" si="8"/>
        <v>Hay and Assoc.</v>
      </c>
      <c r="BC69" s="188" t="str">
        <f t="shared" si="14"/>
        <v xml:space="preserve"> </v>
      </c>
      <c r="BD69" s="188" t="str">
        <f t="shared" si="15"/>
        <v xml:space="preserve"> </v>
      </c>
      <c r="BE69" s="188" t="str">
        <f t="shared" si="16"/>
        <v xml:space="preserve"> </v>
      </c>
      <c r="BF69" s="50" t="str">
        <f t="shared" si="20"/>
        <v>CANTON CREEK_Sockeye</v>
      </c>
      <c r="BG69" s="50">
        <f>IFERROR(VLOOKUP(BF69,'[1]WCVI Esc'!$C$5:$W$534,18,FALSE),"-")</f>
        <v>13</v>
      </c>
      <c r="BH69" s="50">
        <f t="shared" si="10"/>
        <v>10</v>
      </c>
      <c r="BI69" s="50">
        <f>IFERROR(VLOOKUP(BF69,'[1]WCVI Esc'!$C$5:$W$534,19,FALSE),"-")</f>
        <v>49.833333333333336</v>
      </c>
      <c r="BJ69" s="50">
        <f t="shared" si="11"/>
        <v>50</v>
      </c>
    </row>
    <row r="70" spans="1:67" hidden="1" x14ac:dyDescent="0.2">
      <c r="A70" s="29">
        <v>2</v>
      </c>
      <c r="B70" s="29">
        <v>2</v>
      </c>
      <c r="C70" s="13">
        <v>25</v>
      </c>
      <c r="D70" s="149" t="s">
        <v>299</v>
      </c>
      <c r="E70" s="21" t="s">
        <v>45</v>
      </c>
      <c r="F70" s="21" t="s">
        <v>219</v>
      </c>
      <c r="G70" s="10"/>
      <c r="H70" s="152"/>
      <c r="I70" s="155"/>
      <c r="J70" s="106"/>
      <c r="K70" s="94"/>
      <c r="L70" s="158"/>
      <c r="M70" s="161"/>
      <c r="N70" s="106"/>
      <c r="O70" s="106"/>
      <c r="P70" s="63"/>
      <c r="Q70" s="162"/>
      <c r="R70" s="164"/>
      <c r="S70" s="62"/>
      <c r="T70" s="63"/>
      <c r="U70" s="62"/>
      <c r="V70" s="64"/>
      <c r="W70" s="164"/>
      <c r="X70" s="62"/>
      <c r="Y70" s="45"/>
      <c r="Z70" s="44"/>
      <c r="AA70" s="100">
        <f>Y70/AP70</f>
        <v>0</v>
      </c>
      <c r="AB70" s="100">
        <f>AS70/AP70</f>
        <v>0</v>
      </c>
      <c r="AC70" s="123">
        <v>2</v>
      </c>
      <c r="AD70" s="123"/>
      <c r="AE70" s="123"/>
      <c r="AF70" s="123"/>
      <c r="AG70" s="69">
        <v>25</v>
      </c>
      <c r="AH70" s="69" t="s">
        <v>299</v>
      </c>
      <c r="AI70" s="243" t="s">
        <v>45</v>
      </c>
      <c r="AJ70" s="243" t="s">
        <v>419</v>
      </c>
      <c r="AK70" s="244" t="s">
        <v>367</v>
      </c>
      <c r="AL70" s="43" t="str">
        <f t="shared" si="12"/>
        <v>-</v>
      </c>
      <c r="AM70" s="43">
        <f t="shared" si="19"/>
        <v>0</v>
      </c>
      <c r="AN70" s="193">
        <f t="shared" si="19"/>
        <v>0</v>
      </c>
      <c r="AO70" s="264">
        <f t="shared" si="13"/>
        <v>350</v>
      </c>
      <c r="AP70" s="265">
        <f>BJ70</f>
        <v>550</v>
      </c>
      <c r="AQ70" s="26" t="str">
        <f t="shared" si="2"/>
        <v>CANTON CREEKCoho</v>
      </c>
      <c r="AR70" s="26">
        <f t="shared" si="3"/>
        <v>0</v>
      </c>
      <c r="AS70" s="33">
        <f t="shared" si="18"/>
        <v>0</v>
      </c>
      <c r="AW70" s="34"/>
      <c r="AX70" s="47" t="str">
        <f t="shared" si="5"/>
        <v>CANTON CREEKCoho</v>
      </c>
      <c r="AY70" s="49">
        <f t="shared" si="6"/>
        <v>0</v>
      </c>
      <c r="AZ70" s="49">
        <f t="shared" si="7"/>
        <v>0</v>
      </c>
      <c r="BA70" s="31">
        <v>2016</v>
      </c>
      <c r="BB70" s="188" t="str">
        <f t="shared" si="8"/>
        <v>Hay and Assoc.</v>
      </c>
      <c r="BC70" s="188" t="str">
        <f t="shared" si="14"/>
        <v xml:space="preserve"> </v>
      </c>
      <c r="BD70" s="188" t="str">
        <f t="shared" si="15"/>
        <v xml:space="preserve"> </v>
      </c>
      <c r="BE70" s="188" t="str">
        <f t="shared" si="16"/>
        <v xml:space="preserve"> </v>
      </c>
      <c r="BF70" s="50" t="str">
        <f t="shared" si="20"/>
        <v>CANTON CREEK_Coho</v>
      </c>
      <c r="BG70" s="50">
        <f>IFERROR(VLOOKUP(BF70,'[1]WCVI Esc'!$C$5:$W$534,18,FALSE),"-")</f>
        <v>350.25</v>
      </c>
      <c r="BH70" s="50">
        <f t="shared" si="10"/>
        <v>350</v>
      </c>
      <c r="BI70" s="50">
        <f>IFERROR(VLOOKUP(BF70,'[1]WCVI Esc'!$C$5:$W$534,19,FALSE),"-")</f>
        <v>548.125</v>
      </c>
      <c r="BJ70" s="50">
        <f t="shared" si="11"/>
        <v>550</v>
      </c>
    </row>
    <row r="71" spans="1:67" hidden="1" x14ac:dyDescent="0.2">
      <c r="A71" s="29">
        <v>2</v>
      </c>
      <c r="B71" s="29">
        <v>3</v>
      </c>
      <c r="C71" s="13">
        <v>25</v>
      </c>
      <c r="D71" s="200" t="s">
        <v>299</v>
      </c>
      <c r="E71" s="21" t="s">
        <v>45</v>
      </c>
      <c r="F71" s="10" t="s">
        <v>208</v>
      </c>
      <c r="G71" s="10"/>
      <c r="H71" s="152"/>
      <c r="I71" s="155"/>
      <c r="J71" s="106"/>
      <c r="K71" s="94"/>
      <c r="L71" s="158"/>
      <c r="M71" s="161"/>
      <c r="N71" s="106"/>
      <c r="O71" s="106"/>
      <c r="P71" s="63"/>
      <c r="Q71" s="162"/>
      <c r="R71" s="164"/>
      <c r="S71" s="62"/>
      <c r="T71" s="63"/>
      <c r="U71" s="62"/>
      <c r="V71" s="64"/>
      <c r="W71" s="164"/>
      <c r="X71" s="62"/>
      <c r="Y71" s="45"/>
      <c r="Z71" s="44"/>
      <c r="AA71" s="100"/>
      <c r="AB71" s="100"/>
      <c r="AC71" s="100"/>
      <c r="AD71" s="100"/>
      <c r="AE71" s="100"/>
      <c r="AF71" s="100"/>
      <c r="AG71" s="69">
        <v>25</v>
      </c>
      <c r="AH71" s="69" t="s">
        <v>299</v>
      </c>
      <c r="AI71" s="243" t="s">
        <v>45</v>
      </c>
      <c r="AJ71" s="243" t="s">
        <v>419</v>
      </c>
      <c r="AK71" s="244" t="s">
        <v>367</v>
      </c>
      <c r="AL71" s="43" t="str">
        <f t="shared" si="12"/>
        <v>-</v>
      </c>
      <c r="AM71" s="43">
        <f t="shared" si="19"/>
        <v>0</v>
      </c>
      <c r="AN71" s="193">
        <f t="shared" si="19"/>
        <v>0</v>
      </c>
      <c r="AO71" s="264" t="str">
        <f t="shared" si="13"/>
        <v>-</v>
      </c>
      <c r="AP71" s="266"/>
      <c r="AQ71" s="26" t="str">
        <f t="shared" si="2"/>
        <v>CANTON CREEKPink</v>
      </c>
      <c r="AR71" s="26">
        <f t="shared" si="3"/>
        <v>0</v>
      </c>
      <c r="AS71" s="33">
        <f t="shared" si="18"/>
        <v>0</v>
      </c>
      <c r="AW71" s="34"/>
      <c r="AX71" s="47" t="str">
        <f t="shared" si="5"/>
        <v>CANTON CREEKPink</v>
      </c>
      <c r="AY71" s="49">
        <f t="shared" si="6"/>
        <v>0</v>
      </c>
      <c r="AZ71" s="49">
        <f t="shared" si="7"/>
        <v>0</v>
      </c>
      <c r="BA71" s="31">
        <v>0</v>
      </c>
      <c r="BB71" s="188" t="str">
        <f t="shared" si="8"/>
        <v>Hay and Assoc.</v>
      </c>
      <c r="BC71" s="188" t="str">
        <f t="shared" si="14"/>
        <v xml:space="preserve"> </v>
      </c>
      <c r="BD71" s="188" t="str">
        <f t="shared" si="15"/>
        <v xml:space="preserve"> </v>
      </c>
      <c r="BE71" s="188" t="str">
        <f t="shared" si="16"/>
        <v xml:space="preserve"> </v>
      </c>
      <c r="BF71" s="50" t="str">
        <f t="shared" si="20"/>
        <v>CANTON CREEK_Pink</v>
      </c>
      <c r="BG71" s="50" t="str">
        <f>IFERROR(VLOOKUP(BF71,'[1]WCVI Esc'!$C$5:$W$534,18,FALSE),"-")</f>
        <v>-</v>
      </c>
      <c r="BH71" s="50" t="str">
        <f t="shared" si="10"/>
        <v>-</v>
      </c>
      <c r="BI71" s="50" t="str">
        <f>IFERROR(VLOOKUP(BF71,'[1]WCVI Esc'!$C$5:$W$534,19,FALSE),"-")</f>
        <v>-</v>
      </c>
      <c r="BJ71" s="50" t="str">
        <f t="shared" si="11"/>
        <v>-</v>
      </c>
    </row>
    <row r="72" spans="1:67" hidden="1" x14ac:dyDescent="0.2">
      <c r="A72" s="29">
        <v>2</v>
      </c>
      <c r="B72" s="29">
        <v>4</v>
      </c>
      <c r="C72" s="13">
        <v>25</v>
      </c>
      <c r="D72" s="200" t="s">
        <v>299</v>
      </c>
      <c r="E72" s="21" t="s">
        <v>45</v>
      </c>
      <c r="F72" s="21" t="s">
        <v>209</v>
      </c>
      <c r="G72" s="10"/>
      <c r="H72" s="152"/>
      <c r="I72" s="155"/>
      <c r="J72" s="106"/>
      <c r="K72" s="94"/>
      <c r="L72" s="158"/>
      <c r="M72" s="161"/>
      <c r="N72" s="106"/>
      <c r="O72" s="106"/>
      <c r="P72" s="63"/>
      <c r="Q72" s="162"/>
      <c r="R72" s="164"/>
      <c r="S72" s="62"/>
      <c r="T72" s="63"/>
      <c r="U72" s="62"/>
      <c r="V72" s="64"/>
      <c r="W72" s="164"/>
      <c r="X72" s="62"/>
      <c r="Y72" s="45"/>
      <c r="Z72" s="44"/>
      <c r="AA72" s="100">
        <f>Y72/AP72</f>
        <v>0</v>
      </c>
      <c r="AB72" s="100">
        <f>AS72/AP72</f>
        <v>0</v>
      </c>
      <c r="AC72" s="123">
        <v>2</v>
      </c>
      <c r="AD72" s="123"/>
      <c r="AE72" s="123"/>
      <c r="AF72" s="123"/>
      <c r="AG72" s="69">
        <v>25</v>
      </c>
      <c r="AH72" s="69" t="s">
        <v>299</v>
      </c>
      <c r="AI72" s="243" t="s">
        <v>45</v>
      </c>
      <c r="AJ72" s="243" t="s">
        <v>419</v>
      </c>
      <c r="AK72" s="244" t="s">
        <v>367</v>
      </c>
      <c r="AL72" s="43" t="str">
        <f t="shared" si="12"/>
        <v>-</v>
      </c>
      <c r="AM72" s="43">
        <f t="shared" si="19"/>
        <v>0</v>
      </c>
      <c r="AN72" s="193">
        <f t="shared" si="19"/>
        <v>0</v>
      </c>
      <c r="AO72" s="264">
        <f t="shared" si="13"/>
        <v>1810</v>
      </c>
      <c r="AP72" s="265">
        <f>BJ72</f>
        <v>2110</v>
      </c>
      <c r="AQ72" s="26" t="str">
        <f t="shared" si="2"/>
        <v>CANTON CREEKChum</v>
      </c>
      <c r="AR72" s="26">
        <f t="shared" si="3"/>
        <v>0</v>
      </c>
      <c r="AS72" s="33">
        <f t="shared" si="18"/>
        <v>0</v>
      </c>
      <c r="AW72" s="34"/>
      <c r="AX72" s="47" t="str">
        <f t="shared" si="5"/>
        <v>CANTON CREEKChum</v>
      </c>
      <c r="AY72" s="49">
        <f t="shared" si="6"/>
        <v>0</v>
      </c>
      <c r="AZ72" s="49">
        <f t="shared" si="7"/>
        <v>0</v>
      </c>
      <c r="BA72" s="31">
        <v>2016</v>
      </c>
      <c r="BB72" s="188" t="str">
        <f t="shared" si="8"/>
        <v>Hay and Assoc.</v>
      </c>
      <c r="BC72" s="188" t="str">
        <f t="shared" si="14"/>
        <v xml:space="preserve"> </v>
      </c>
      <c r="BD72" s="188" t="str">
        <f t="shared" si="15"/>
        <v xml:space="preserve"> </v>
      </c>
      <c r="BE72" s="188" t="str">
        <f t="shared" si="16"/>
        <v xml:space="preserve"> </v>
      </c>
      <c r="BF72" s="50" t="str">
        <f t="shared" si="20"/>
        <v>CANTON CREEK_Chum</v>
      </c>
      <c r="BG72" s="50">
        <f>IFERROR(VLOOKUP(BF72,'[1]WCVI Esc'!$C$5:$W$534,18,FALSE),"-")</f>
        <v>1808.25</v>
      </c>
      <c r="BH72" s="50">
        <f t="shared" si="10"/>
        <v>1810</v>
      </c>
      <c r="BI72" s="50">
        <f>IFERROR(VLOOKUP(BF72,'[1]WCVI Esc'!$C$5:$W$534,19,FALSE),"-")</f>
        <v>2110.6363636363635</v>
      </c>
      <c r="BJ72" s="50">
        <f t="shared" si="11"/>
        <v>2110</v>
      </c>
    </row>
    <row r="73" spans="1:67" x14ac:dyDescent="0.2">
      <c r="A73" s="29">
        <v>2</v>
      </c>
      <c r="B73" s="29">
        <v>5</v>
      </c>
      <c r="C73" s="13">
        <v>25</v>
      </c>
      <c r="D73" s="149" t="s">
        <v>299</v>
      </c>
      <c r="E73" s="21" t="s">
        <v>45</v>
      </c>
      <c r="F73" s="21" t="s">
        <v>210</v>
      </c>
      <c r="G73" s="10"/>
      <c r="H73" s="152"/>
      <c r="I73" s="155"/>
      <c r="J73" s="106"/>
      <c r="K73" s="94"/>
      <c r="L73" s="158"/>
      <c r="M73" s="161"/>
      <c r="N73" s="106"/>
      <c r="O73" s="106"/>
      <c r="P73" s="63"/>
      <c r="Q73" s="162"/>
      <c r="R73" s="164"/>
      <c r="S73" s="62"/>
      <c r="T73" s="63"/>
      <c r="U73" s="62"/>
      <c r="V73" s="64"/>
      <c r="W73" s="164"/>
      <c r="X73" s="62"/>
      <c r="Y73" s="45"/>
      <c r="Z73" s="44"/>
      <c r="AA73" s="100">
        <f>Y73/AP73</f>
        <v>0</v>
      </c>
      <c r="AB73" s="100">
        <f>AS73/AP73</f>
        <v>0</v>
      </c>
      <c r="AC73" s="123">
        <v>2</v>
      </c>
      <c r="AD73" s="123"/>
      <c r="AE73" s="123"/>
      <c r="AF73" s="123">
        <f>Y73</f>
        <v>0</v>
      </c>
      <c r="AG73" s="69">
        <v>25</v>
      </c>
      <c r="AH73" s="69" t="s">
        <v>299</v>
      </c>
      <c r="AI73" s="243" t="s">
        <v>45</v>
      </c>
      <c r="AJ73" s="243" t="s">
        <v>419</v>
      </c>
      <c r="AK73" s="244" t="s">
        <v>367</v>
      </c>
      <c r="AL73" s="43" t="str">
        <f t="shared" si="12"/>
        <v>-</v>
      </c>
      <c r="AM73" s="43">
        <f t="shared" ref="AM73:AN104" si="21">AR73</f>
        <v>0</v>
      </c>
      <c r="AN73" s="193">
        <f t="shared" si="21"/>
        <v>0</v>
      </c>
      <c r="AO73" s="264">
        <f t="shared" si="13"/>
        <v>920</v>
      </c>
      <c r="AP73" s="265">
        <f>BJ73</f>
        <v>2320</v>
      </c>
      <c r="AQ73" s="26" t="str">
        <f t="shared" ref="AQ73:AQ129" si="22">CONCATENATE(E73,F73)</f>
        <v>CANTON CREEKChinook</v>
      </c>
      <c r="AR73" s="26">
        <f t="shared" ref="AR73:AR128" si="23">COUNT(G73:X73)</f>
        <v>0</v>
      </c>
      <c r="AS73" s="33">
        <f t="shared" si="18"/>
        <v>0</v>
      </c>
      <c r="AT73" s="34">
        <f>AS73*1.14</f>
        <v>0</v>
      </c>
      <c r="AU73" s="34">
        <f>AS73*2.88</f>
        <v>0</v>
      </c>
      <c r="AV73" s="37"/>
      <c r="AW73" s="34">
        <f>SUM(AT73:AU73)/2</f>
        <v>0</v>
      </c>
      <c r="AX73" s="47" t="str">
        <f t="shared" ref="AX73:AX136" si="24">CONCATENATE(E73,F73)</f>
        <v>CANTON CREEKChinook</v>
      </c>
      <c r="AY73" s="49">
        <f t="shared" ref="AY73:AY136" si="25">Z73</f>
        <v>0</v>
      </c>
      <c r="AZ73" s="49">
        <f t="shared" ref="AZ73:AZ136" si="26">Y73</f>
        <v>0</v>
      </c>
      <c r="BA73" s="31">
        <v>2016</v>
      </c>
      <c r="BB73" s="188" t="str">
        <f t="shared" ref="BB73:BB136" si="27">AK73</f>
        <v>Hay and Assoc.</v>
      </c>
      <c r="BC73" s="188" t="str">
        <f t="shared" si="14"/>
        <v xml:space="preserve"> </v>
      </c>
      <c r="BD73" s="188" t="str">
        <f t="shared" si="15"/>
        <v xml:space="preserve"> </v>
      </c>
      <c r="BE73" s="188" t="str">
        <f t="shared" si="16"/>
        <v xml:space="preserve"> </v>
      </c>
      <c r="BF73" s="50" t="str">
        <f t="shared" si="20"/>
        <v>CANTON CREEK_Chinook</v>
      </c>
      <c r="BG73" s="50">
        <f>IFERROR(VLOOKUP(BF73,'[1]WCVI Esc'!$C$5:$W$534,18,FALSE),"-")</f>
        <v>916.75</v>
      </c>
      <c r="BH73" s="50">
        <f t="shared" ref="BH73:BH136" si="28">IFERROR(ROUND(BG73,-1),"-")</f>
        <v>920</v>
      </c>
      <c r="BI73" s="50">
        <f>IFERROR(VLOOKUP(BF73,'[1]WCVI Esc'!$C$5:$W$534,19,FALSE),"-")</f>
        <v>2317.1</v>
      </c>
      <c r="BJ73" s="50">
        <f t="shared" ref="BJ73:BJ136" si="29">IFERROR(ROUND(BI73,-1),"-")</f>
        <v>2320</v>
      </c>
    </row>
    <row r="74" spans="1:67" hidden="1" x14ac:dyDescent="0.2">
      <c r="A74" s="29">
        <v>2</v>
      </c>
      <c r="B74" s="29">
        <v>6</v>
      </c>
      <c r="C74" s="13">
        <v>25</v>
      </c>
      <c r="D74" s="200" t="s">
        <v>299</v>
      </c>
      <c r="E74" s="21" t="s">
        <v>45</v>
      </c>
      <c r="F74" s="10" t="s">
        <v>211</v>
      </c>
      <c r="G74" s="10"/>
      <c r="H74" s="152"/>
      <c r="I74" s="155"/>
      <c r="J74" s="106"/>
      <c r="K74" s="94"/>
      <c r="L74" s="158"/>
      <c r="M74" s="161"/>
      <c r="N74" s="106"/>
      <c r="O74" s="106"/>
      <c r="P74" s="63"/>
      <c r="Q74" s="162"/>
      <c r="R74" s="164"/>
      <c r="S74" s="62"/>
      <c r="T74" s="63"/>
      <c r="U74" s="62"/>
      <c r="V74" s="64"/>
      <c r="W74" s="164"/>
      <c r="X74" s="62"/>
      <c r="Y74" s="45"/>
      <c r="Z74" s="44"/>
      <c r="AA74" s="100"/>
      <c r="AB74" s="100"/>
      <c r="AC74" s="100"/>
      <c r="AD74" s="100"/>
      <c r="AE74" s="100"/>
      <c r="AF74" s="100"/>
      <c r="AG74" s="69">
        <v>25</v>
      </c>
      <c r="AH74" s="69" t="s">
        <v>299</v>
      </c>
      <c r="AI74" s="243" t="s">
        <v>45</v>
      </c>
      <c r="AJ74" s="243" t="s">
        <v>419</v>
      </c>
      <c r="AK74" s="244" t="s">
        <v>367</v>
      </c>
      <c r="AL74" s="43" t="str">
        <f t="shared" ref="AL74:AL137" si="30">IF(BE74=" ",IF(BD74=" ", IF(BC74=" ","-",BC74),BD74), BE74)</f>
        <v>-</v>
      </c>
      <c r="AM74" s="43">
        <f t="shared" si="21"/>
        <v>0</v>
      </c>
      <c r="AN74" s="193">
        <f t="shared" si="21"/>
        <v>0</v>
      </c>
      <c r="AO74" s="264" t="str">
        <f t="shared" ref="AO74:AO128" si="31">BH74</f>
        <v>-</v>
      </c>
      <c r="AP74" s="266"/>
      <c r="AQ74" s="26" t="str">
        <f t="shared" si="22"/>
        <v>CANTON CREEKSteelhead</v>
      </c>
      <c r="AR74" s="26">
        <f t="shared" si="23"/>
        <v>0</v>
      </c>
      <c r="AS74" s="33">
        <f t="shared" si="18"/>
        <v>0</v>
      </c>
      <c r="AW74" s="34"/>
      <c r="AX74" s="47" t="str">
        <f t="shared" si="24"/>
        <v>CANTON CREEKSteelhead</v>
      </c>
      <c r="AY74" s="49">
        <f t="shared" si="25"/>
        <v>0</v>
      </c>
      <c r="AZ74" s="49">
        <f t="shared" si="26"/>
        <v>0</v>
      </c>
      <c r="BA74" s="31">
        <v>0</v>
      </c>
      <c r="BB74" s="188" t="str">
        <f t="shared" si="27"/>
        <v>Hay and Assoc.</v>
      </c>
      <c r="BC74" s="188" t="str">
        <f t="shared" ref="BC74:BC137" si="32">IF(ISNUMBER(M74),M$8,IF(ISNUMBER(L74),L$8,IF(ISNUMBER(K74),K$8,IF(ISNUMBER(J74),J$8,IF(ISNUMBER(I74),I$8,IF(ISNUMBER(H74),H$8, IF(ISNUMBER(G74),G$8," ")))))))</f>
        <v xml:space="preserve"> </v>
      </c>
      <c r="BD74" s="188" t="str">
        <f t="shared" ref="BD74:BD137" si="33">IF(ISNUMBER(S74),S$8,IF(ISNUMBER(R74),R$8,IF(ISNUMBER(Q74),Q$8,IF(ISNUMBER(P74),P$8,IF(ISNUMBER(O74),O$8,IF(ISNUMBER(N74),N$8," "))))))</f>
        <v xml:space="preserve"> </v>
      </c>
      <c r="BE74" s="188" t="str">
        <f t="shared" ref="BE74:BE137" si="34">IF(ISNUMBER(X74),X$8,IF(ISNUMBER(W74),W$8,IF(ISNUMBER(V74),V$8,IF(ISNUMBER(U74),U$8,IF(ISNUMBER(T74),T$8," ")))))</f>
        <v xml:space="preserve"> </v>
      </c>
      <c r="BF74" s="50" t="str">
        <f t="shared" si="20"/>
        <v>CANTON CREEK_Steelhead</v>
      </c>
      <c r="BG74" s="50" t="str">
        <f>IFERROR(VLOOKUP(BF74,'[1]WCVI Esc'!$C$5:$W$534,18,FALSE),"-")</f>
        <v>-</v>
      </c>
      <c r="BH74" s="50" t="str">
        <f t="shared" si="28"/>
        <v>-</v>
      </c>
      <c r="BI74" s="50" t="str">
        <f>IFERROR(VLOOKUP(BF74,'[1]WCVI Esc'!$C$5:$W$534,19,FALSE),"-")</f>
        <v>-</v>
      </c>
      <c r="BJ74" s="50" t="str">
        <f t="shared" si="29"/>
        <v>-</v>
      </c>
    </row>
    <row r="75" spans="1:67" hidden="1" x14ac:dyDescent="0.2">
      <c r="A75" s="29">
        <v>2</v>
      </c>
      <c r="B75" s="29">
        <v>1</v>
      </c>
      <c r="C75" s="13">
        <v>25</v>
      </c>
      <c r="D75" s="200" t="s">
        <v>299</v>
      </c>
      <c r="E75" s="21" t="s">
        <v>46</v>
      </c>
      <c r="F75" s="21" t="s">
        <v>207</v>
      </c>
      <c r="G75" s="10"/>
      <c r="H75" s="152"/>
      <c r="I75" s="155"/>
      <c r="J75" s="106"/>
      <c r="K75" s="94"/>
      <c r="L75" s="158"/>
      <c r="M75" s="161"/>
      <c r="N75" s="106"/>
      <c r="O75" s="106"/>
      <c r="P75" s="63"/>
      <c r="Q75" s="162"/>
      <c r="R75" s="164"/>
      <c r="S75" s="62"/>
      <c r="T75" s="63"/>
      <c r="U75" s="62"/>
      <c r="V75" s="64"/>
      <c r="W75" s="164"/>
      <c r="X75" s="62"/>
      <c r="Y75" s="45"/>
      <c r="Z75" s="44"/>
      <c r="AA75" s="100">
        <f>Y75/AP75</f>
        <v>0</v>
      </c>
      <c r="AB75" s="100">
        <f>AS75/AP75</f>
        <v>0</v>
      </c>
      <c r="AC75" s="123">
        <v>2</v>
      </c>
      <c r="AD75" s="123"/>
      <c r="AE75" s="123"/>
      <c r="AF75" s="123"/>
      <c r="AG75" s="69">
        <v>25</v>
      </c>
      <c r="AH75" s="69" t="s">
        <v>299</v>
      </c>
      <c r="AI75" s="243" t="s">
        <v>46</v>
      </c>
      <c r="AJ75" s="243" t="s">
        <v>419</v>
      </c>
      <c r="AK75" s="244" t="s">
        <v>367</v>
      </c>
      <c r="AL75" s="43" t="str">
        <f t="shared" si="30"/>
        <v>-</v>
      </c>
      <c r="AM75" s="43">
        <f t="shared" si="21"/>
        <v>0</v>
      </c>
      <c r="AN75" s="193">
        <f t="shared" si="21"/>
        <v>0</v>
      </c>
      <c r="AO75" s="264">
        <f t="shared" si="31"/>
        <v>80</v>
      </c>
      <c r="AP75" s="265">
        <f>BJ75</f>
        <v>180</v>
      </c>
      <c r="AQ75" s="26" t="str">
        <f t="shared" si="22"/>
        <v>CONUMA RIVERSockeye</v>
      </c>
      <c r="AR75" s="26">
        <f t="shared" si="23"/>
        <v>0</v>
      </c>
      <c r="AS75" s="33">
        <f t="shared" si="18"/>
        <v>0</v>
      </c>
      <c r="AW75" s="34"/>
      <c r="AX75" s="47" t="str">
        <f t="shared" si="24"/>
        <v>CONUMA RIVERSockeye</v>
      </c>
      <c r="AY75" s="49">
        <f t="shared" si="25"/>
        <v>0</v>
      </c>
      <c r="AZ75" s="49">
        <f t="shared" si="26"/>
        <v>0</v>
      </c>
      <c r="BA75" s="31">
        <v>2016</v>
      </c>
      <c r="BB75" s="188" t="str">
        <f t="shared" si="27"/>
        <v>Hay and Assoc.</v>
      </c>
      <c r="BC75" s="188" t="str">
        <f t="shared" si="32"/>
        <v xml:space="preserve"> </v>
      </c>
      <c r="BD75" s="188" t="str">
        <f t="shared" si="33"/>
        <v xml:space="preserve"> </v>
      </c>
      <c r="BE75" s="188" t="str">
        <f t="shared" si="34"/>
        <v xml:space="preserve"> </v>
      </c>
      <c r="BF75" s="50" t="str">
        <f t="shared" si="20"/>
        <v>CONUMA RIVER_Sockeye</v>
      </c>
      <c r="BG75" s="50">
        <f>IFERROR(VLOOKUP(BF75,'[1]WCVI Esc'!$C$5:$W$534,18,FALSE),"-")</f>
        <v>78.75</v>
      </c>
      <c r="BH75" s="50">
        <f t="shared" si="28"/>
        <v>80</v>
      </c>
      <c r="BI75" s="50">
        <f>IFERROR(VLOOKUP(BF75,'[1]WCVI Esc'!$C$5:$W$534,19,FALSE),"-")</f>
        <v>176.81818181818181</v>
      </c>
      <c r="BJ75" s="50">
        <f t="shared" si="29"/>
        <v>180</v>
      </c>
    </row>
    <row r="76" spans="1:67" hidden="1" x14ac:dyDescent="0.2">
      <c r="A76" s="29">
        <v>2</v>
      </c>
      <c r="B76" s="29">
        <v>2</v>
      </c>
      <c r="C76" s="13">
        <v>25</v>
      </c>
      <c r="D76" s="149" t="s">
        <v>299</v>
      </c>
      <c r="E76" s="21" t="s">
        <v>46</v>
      </c>
      <c r="F76" s="21" t="s">
        <v>219</v>
      </c>
      <c r="G76" s="10"/>
      <c r="H76" s="152"/>
      <c r="I76" s="155"/>
      <c r="J76" s="106"/>
      <c r="K76" s="94"/>
      <c r="L76" s="158"/>
      <c r="M76" s="161"/>
      <c r="N76" s="106"/>
      <c r="O76" s="106"/>
      <c r="P76" s="63"/>
      <c r="Q76" s="162"/>
      <c r="R76" s="164"/>
      <c r="S76" s="62"/>
      <c r="T76" s="63"/>
      <c r="U76" s="62"/>
      <c r="V76" s="64"/>
      <c r="W76" s="164"/>
      <c r="X76" s="62"/>
      <c r="Y76" s="45"/>
      <c r="Z76" s="44"/>
      <c r="AA76" s="100">
        <f>Y76/AP76</f>
        <v>0</v>
      </c>
      <c r="AB76" s="100">
        <f>AS76/AP76</f>
        <v>0</v>
      </c>
      <c r="AC76" s="123">
        <v>2</v>
      </c>
      <c r="AD76" s="123"/>
      <c r="AE76" s="123"/>
      <c r="AF76" s="123"/>
      <c r="AG76" s="69">
        <v>25</v>
      </c>
      <c r="AH76" s="69" t="s">
        <v>299</v>
      </c>
      <c r="AI76" s="243" t="s">
        <v>46</v>
      </c>
      <c r="AJ76" s="243" t="s">
        <v>419</v>
      </c>
      <c r="AK76" s="244" t="s">
        <v>367</v>
      </c>
      <c r="AL76" s="43" t="str">
        <f t="shared" si="30"/>
        <v>-</v>
      </c>
      <c r="AM76" s="43">
        <f t="shared" si="21"/>
        <v>0</v>
      </c>
      <c r="AN76" s="193">
        <f t="shared" si="21"/>
        <v>0</v>
      </c>
      <c r="AO76" s="264">
        <f t="shared" si="31"/>
        <v>3090</v>
      </c>
      <c r="AP76" s="265">
        <f>BJ76</f>
        <v>2680</v>
      </c>
      <c r="AQ76" s="26" t="str">
        <f t="shared" si="22"/>
        <v>CONUMA RIVERCoho</v>
      </c>
      <c r="AR76" s="26">
        <f t="shared" si="23"/>
        <v>0</v>
      </c>
      <c r="AS76" s="33">
        <f t="shared" si="18"/>
        <v>0</v>
      </c>
      <c r="AW76" s="34"/>
      <c r="AX76" s="47" t="str">
        <f t="shared" si="24"/>
        <v>CONUMA RIVERCoho</v>
      </c>
      <c r="AY76" s="49">
        <f t="shared" si="25"/>
        <v>0</v>
      </c>
      <c r="AZ76" s="49">
        <f t="shared" si="26"/>
        <v>0</v>
      </c>
      <c r="BA76" s="31">
        <v>2016</v>
      </c>
      <c r="BB76" s="188" t="str">
        <f t="shared" si="27"/>
        <v>Hay and Assoc.</v>
      </c>
      <c r="BC76" s="188" t="str">
        <f t="shared" si="32"/>
        <v xml:space="preserve"> </v>
      </c>
      <c r="BD76" s="188" t="str">
        <f t="shared" si="33"/>
        <v xml:space="preserve"> </v>
      </c>
      <c r="BE76" s="188" t="str">
        <f t="shared" si="34"/>
        <v xml:space="preserve"> </v>
      </c>
      <c r="BF76" s="50" t="str">
        <f t="shared" si="20"/>
        <v>CONUMA RIVER_Coho</v>
      </c>
      <c r="BG76" s="50">
        <f>IFERROR(VLOOKUP(BF76,'[1]WCVI Esc'!$C$5:$W$534,18,FALSE),"-")</f>
        <v>3087.75</v>
      </c>
      <c r="BH76" s="50">
        <f t="shared" si="28"/>
        <v>3090</v>
      </c>
      <c r="BI76" s="50">
        <f>IFERROR(VLOOKUP(BF76,'[1]WCVI Esc'!$C$5:$W$534,19,FALSE),"-")</f>
        <v>2675</v>
      </c>
      <c r="BJ76" s="50">
        <f t="shared" si="29"/>
        <v>2680</v>
      </c>
    </row>
    <row r="77" spans="1:67" hidden="1" x14ac:dyDescent="0.2">
      <c r="A77" s="29">
        <v>2</v>
      </c>
      <c r="B77" s="29">
        <v>3</v>
      </c>
      <c r="C77" s="13">
        <v>25</v>
      </c>
      <c r="D77" s="200" t="s">
        <v>299</v>
      </c>
      <c r="E77" s="21" t="s">
        <v>46</v>
      </c>
      <c r="F77" s="10" t="s">
        <v>208</v>
      </c>
      <c r="G77" s="10"/>
      <c r="H77" s="152"/>
      <c r="I77" s="155"/>
      <c r="J77" s="106"/>
      <c r="K77" s="94"/>
      <c r="L77" s="158"/>
      <c r="M77" s="161"/>
      <c r="N77" s="106"/>
      <c r="O77" s="106"/>
      <c r="P77" s="63"/>
      <c r="Q77" s="162"/>
      <c r="R77" s="164"/>
      <c r="S77" s="62"/>
      <c r="T77" s="63"/>
      <c r="U77" s="62"/>
      <c r="V77" s="64"/>
      <c r="W77" s="164"/>
      <c r="X77" s="62"/>
      <c r="Y77" s="46"/>
      <c r="Z77" s="44"/>
      <c r="AA77" s="100"/>
      <c r="AB77" s="100"/>
      <c r="AC77" s="100"/>
      <c r="AD77" s="100"/>
      <c r="AE77" s="100"/>
      <c r="AF77" s="100"/>
      <c r="AG77" s="69">
        <v>25</v>
      </c>
      <c r="AH77" s="69" t="s">
        <v>299</v>
      </c>
      <c r="AI77" s="243" t="s">
        <v>46</v>
      </c>
      <c r="AJ77" s="243" t="s">
        <v>419</v>
      </c>
      <c r="AK77" s="244" t="s">
        <v>367</v>
      </c>
      <c r="AL77" s="43" t="str">
        <f t="shared" si="30"/>
        <v>-</v>
      </c>
      <c r="AM77" s="43">
        <f t="shared" si="21"/>
        <v>0</v>
      </c>
      <c r="AN77" s="193">
        <f t="shared" si="21"/>
        <v>0</v>
      </c>
      <c r="AO77" s="264">
        <f t="shared" si="31"/>
        <v>0</v>
      </c>
      <c r="AP77" s="265">
        <f>BJ77</f>
        <v>0</v>
      </c>
      <c r="AQ77" s="26" t="str">
        <f t="shared" si="22"/>
        <v>CONUMA RIVERPink</v>
      </c>
      <c r="AR77" s="26">
        <f t="shared" si="23"/>
        <v>0</v>
      </c>
      <c r="AS77" s="33">
        <f t="shared" si="18"/>
        <v>0</v>
      </c>
      <c r="AW77" s="34"/>
      <c r="AX77" s="47" t="str">
        <f t="shared" si="24"/>
        <v>CONUMA RIVERPink</v>
      </c>
      <c r="AY77" s="49">
        <f t="shared" si="25"/>
        <v>0</v>
      </c>
      <c r="AZ77" s="49">
        <f t="shared" si="26"/>
        <v>0</v>
      </c>
      <c r="BA77" s="31">
        <v>2013</v>
      </c>
      <c r="BB77" s="188" t="str">
        <f t="shared" si="27"/>
        <v>Hay and Assoc.</v>
      </c>
      <c r="BC77" s="188" t="str">
        <f t="shared" si="32"/>
        <v xml:space="preserve"> </v>
      </c>
      <c r="BD77" s="188" t="str">
        <f t="shared" si="33"/>
        <v xml:space="preserve"> </v>
      </c>
      <c r="BE77" s="188" t="str">
        <f t="shared" si="34"/>
        <v xml:space="preserve"> </v>
      </c>
      <c r="BF77" s="50" t="str">
        <f t="shared" si="20"/>
        <v>CONUMA RIVER_Pink</v>
      </c>
      <c r="BG77" s="50">
        <f>IFERROR(VLOOKUP(BF77,'[1]WCVI Esc'!$C$5:$W$534,18,FALSE),"-")</f>
        <v>1</v>
      </c>
      <c r="BH77" s="50">
        <f t="shared" si="28"/>
        <v>0</v>
      </c>
      <c r="BI77" s="50">
        <f>IFERROR(VLOOKUP(BF77,'[1]WCVI Esc'!$C$5:$W$534,19,FALSE),"-")</f>
        <v>1.6666666666666667</v>
      </c>
      <c r="BJ77" s="50">
        <f t="shared" si="29"/>
        <v>0</v>
      </c>
    </row>
    <row r="78" spans="1:67" hidden="1" x14ac:dyDescent="0.2">
      <c r="A78" s="29">
        <v>2</v>
      </c>
      <c r="B78" s="29">
        <v>4</v>
      </c>
      <c r="C78" s="13">
        <v>25</v>
      </c>
      <c r="D78" s="200" t="s">
        <v>299</v>
      </c>
      <c r="E78" s="21" t="s">
        <v>46</v>
      </c>
      <c r="F78" s="21" t="s">
        <v>209</v>
      </c>
      <c r="G78" s="10"/>
      <c r="H78" s="152"/>
      <c r="I78" s="155"/>
      <c r="J78" s="106"/>
      <c r="K78" s="94"/>
      <c r="L78" s="158"/>
      <c r="M78" s="161"/>
      <c r="N78" s="106"/>
      <c r="O78" s="106"/>
      <c r="P78" s="63"/>
      <c r="Q78" s="162"/>
      <c r="R78" s="164"/>
      <c r="S78" s="62"/>
      <c r="T78" s="63"/>
      <c r="U78" s="62"/>
      <c r="V78" s="64"/>
      <c r="W78" s="164"/>
      <c r="X78" s="62"/>
      <c r="Y78" s="46"/>
      <c r="Z78" s="44"/>
      <c r="AA78" s="100">
        <f>Y78/AP78</f>
        <v>0</v>
      </c>
      <c r="AB78" s="100">
        <f>AS78/AP78</f>
        <v>0</v>
      </c>
      <c r="AC78" s="123">
        <v>2</v>
      </c>
      <c r="AD78" s="123"/>
      <c r="AE78" s="123"/>
      <c r="AF78" s="123"/>
      <c r="AG78" s="69">
        <v>25</v>
      </c>
      <c r="AH78" s="69" t="s">
        <v>299</v>
      </c>
      <c r="AI78" s="243" t="s">
        <v>46</v>
      </c>
      <c r="AJ78" s="243" t="s">
        <v>419</v>
      </c>
      <c r="AK78" s="244" t="s">
        <v>367</v>
      </c>
      <c r="AL78" s="43" t="str">
        <f t="shared" si="30"/>
        <v>-</v>
      </c>
      <c r="AM78" s="43">
        <f t="shared" si="21"/>
        <v>0</v>
      </c>
      <c r="AN78" s="193">
        <f t="shared" si="21"/>
        <v>0</v>
      </c>
      <c r="AO78" s="264">
        <f t="shared" si="31"/>
        <v>9880</v>
      </c>
      <c r="AP78" s="265">
        <f>BJ78</f>
        <v>9010</v>
      </c>
      <c r="AQ78" s="26" t="str">
        <f t="shared" si="22"/>
        <v>CONUMA RIVERChum</v>
      </c>
      <c r="AR78" s="26">
        <f t="shared" si="23"/>
        <v>0</v>
      </c>
      <c r="AS78" s="33">
        <f t="shared" si="18"/>
        <v>0</v>
      </c>
      <c r="AW78" s="34"/>
      <c r="AX78" s="47" t="str">
        <f t="shared" si="24"/>
        <v>CONUMA RIVERChum</v>
      </c>
      <c r="AY78" s="49">
        <f t="shared" si="25"/>
        <v>0</v>
      </c>
      <c r="AZ78" s="49">
        <f t="shared" si="26"/>
        <v>0</v>
      </c>
      <c r="BA78" s="31">
        <v>2016</v>
      </c>
      <c r="BB78" s="188" t="str">
        <f t="shared" si="27"/>
        <v>Hay and Assoc.</v>
      </c>
      <c r="BC78" s="188" t="str">
        <f t="shared" si="32"/>
        <v xml:space="preserve"> </v>
      </c>
      <c r="BD78" s="188" t="str">
        <f t="shared" si="33"/>
        <v xml:space="preserve"> </v>
      </c>
      <c r="BE78" s="188" t="str">
        <f t="shared" si="34"/>
        <v xml:space="preserve"> </v>
      </c>
      <c r="BF78" s="50" t="str">
        <f t="shared" si="20"/>
        <v>CONUMA RIVER_Chum</v>
      </c>
      <c r="BG78" s="50">
        <f>IFERROR(VLOOKUP(BF78,'[1]WCVI Esc'!$C$5:$W$534,18,FALSE),"-")</f>
        <v>9877</v>
      </c>
      <c r="BH78" s="50">
        <f t="shared" si="28"/>
        <v>9880</v>
      </c>
      <c r="BI78" s="50">
        <f>IFERROR(VLOOKUP(BF78,'[1]WCVI Esc'!$C$5:$W$534,19,FALSE),"-")</f>
        <v>9013.0833333333339</v>
      </c>
      <c r="BJ78" s="50">
        <f t="shared" si="29"/>
        <v>9010</v>
      </c>
    </row>
    <row r="79" spans="1:67" x14ac:dyDescent="0.2">
      <c r="A79" s="29">
        <v>2</v>
      </c>
      <c r="B79" s="29">
        <v>5</v>
      </c>
      <c r="C79" s="13">
        <v>25</v>
      </c>
      <c r="D79" s="201" t="s">
        <v>299</v>
      </c>
      <c r="E79" s="10" t="s">
        <v>46</v>
      </c>
      <c r="F79" s="10" t="s">
        <v>210</v>
      </c>
      <c r="G79" s="10"/>
      <c r="H79" s="152"/>
      <c r="I79" s="155"/>
      <c r="J79" s="106"/>
      <c r="K79" s="94"/>
      <c r="L79" s="158"/>
      <c r="M79" s="161"/>
      <c r="N79" s="106"/>
      <c r="O79" s="106"/>
      <c r="P79" s="63"/>
      <c r="Q79" s="162"/>
      <c r="R79" s="164"/>
      <c r="S79" s="62"/>
      <c r="T79" s="63"/>
      <c r="U79" s="62"/>
      <c r="V79" s="64"/>
      <c r="W79" s="164"/>
      <c r="X79" s="62"/>
      <c r="Y79" s="45"/>
      <c r="Z79" s="44"/>
      <c r="AA79" s="100">
        <f>Y79/AP79</f>
        <v>0</v>
      </c>
      <c r="AB79" s="100">
        <f>AS79/AP79</f>
        <v>0</v>
      </c>
      <c r="AC79" s="123">
        <v>2</v>
      </c>
      <c r="AD79" s="123">
        <v>614</v>
      </c>
      <c r="AE79" s="123">
        <v>181</v>
      </c>
      <c r="AF79" s="123">
        <f>Y79</f>
        <v>0</v>
      </c>
      <c r="AG79" s="69">
        <v>25</v>
      </c>
      <c r="AH79" s="69" t="s">
        <v>299</v>
      </c>
      <c r="AI79" s="243" t="s">
        <v>46</v>
      </c>
      <c r="AJ79" s="243" t="s">
        <v>419</v>
      </c>
      <c r="AK79" s="244" t="s">
        <v>367</v>
      </c>
      <c r="AL79" s="43" t="str">
        <f t="shared" si="30"/>
        <v>-</v>
      </c>
      <c r="AM79" s="43">
        <f t="shared" si="21"/>
        <v>0</v>
      </c>
      <c r="AN79" s="193">
        <f t="shared" si="21"/>
        <v>0</v>
      </c>
      <c r="AO79" s="264">
        <f t="shared" si="31"/>
        <v>7460</v>
      </c>
      <c r="AP79" s="265">
        <f>BJ79</f>
        <v>18540</v>
      </c>
      <c r="AQ79" s="26" t="str">
        <f t="shared" si="22"/>
        <v>CONUMA RIVERChinook</v>
      </c>
      <c r="AR79" s="26">
        <f t="shared" si="23"/>
        <v>0</v>
      </c>
      <c r="AS79" s="33">
        <f t="shared" si="18"/>
        <v>0</v>
      </c>
      <c r="AT79" s="34">
        <f>AS79*1.14</f>
        <v>0</v>
      </c>
      <c r="AU79" s="34">
        <f>AS79*2.88</f>
        <v>0</v>
      </c>
      <c r="AV79" s="36"/>
      <c r="AW79" s="34">
        <f>SUM(AT79:AU79)/2</f>
        <v>0</v>
      </c>
      <c r="AX79" s="47" t="str">
        <f t="shared" si="24"/>
        <v>CONUMA RIVERChinook</v>
      </c>
      <c r="AY79" s="49">
        <f t="shared" si="25"/>
        <v>0</v>
      </c>
      <c r="AZ79" s="49">
        <f t="shared" si="26"/>
        <v>0</v>
      </c>
      <c r="BA79" s="31">
        <v>2016</v>
      </c>
      <c r="BB79" s="188" t="str">
        <f t="shared" si="27"/>
        <v>Hay and Assoc.</v>
      </c>
      <c r="BC79" s="188" t="str">
        <f t="shared" si="32"/>
        <v xml:space="preserve"> </v>
      </c>
      <c r="BD79" s="188" t="str">
        <f t="shared" si="33"/>
        <v xml:space="preserve"> </v>
      </c>
      <c r="BE79" s="188" t="str">
        <f t="shared" si="34"/>
        <v xml:space="preserve"> </v>
      </c>
      <c r="BF79" s="50" t="str">
        <f t="shared" si="20"/>
        <v>CONUMA RIVER_Chinook</v>
      </c>
      <c r="BG79" s="50">
        <f>IFERROR(VLOOKUP(BF79,'[1]WCVI Esc'!$C$5:$W$534,18,FALSE),"-")</f>
        <v>7462.5</v>
      </c>
      <c r="BH79" s="50">
        <f t="shared" si="28"/>
        <v>7460</v>
      </c>
      <c r="BI79" s="50">
        <f>IFERROR(VLOOKUP(BF79,'[1]WCVI Esc'!$C$5:$W$534,19,FALSE),"-")</f>
        <v>18535.833333333332</v>
      </c>
      <c r="BJ79" s="50">
        <f t="shared" si="29"/>
        <v>18540</v>
      </c>
      <c r="BK79">
        <v>6</v>
      </c>
      <c r="BL79" s="17" t="s">
        <v>457</v>
      </c>
      <c r="BM79" s="31">
        <v>1</v>
      </c>
    </row>
    <row r="80" spans="1:67" hidden="1" x14ac:dyDescent="0.2">
      <c r="A80" s="29">
        <v>2</v>
      </c>
      <c r="B80" s="29">
        <v>6</v>
      </c>
      <c r="C80" s="13">
        <v>25</v>
      </c>
      <c r="D80" s="201" t="s">
        <v>299</v>
      </c>
      <c r="E80" s="10" t="s">
        <v>46</v>
      </c>
      <c r="F80" s="10" t="s">
        <v>211</v>
      </c>
      <c r="G80" s="10"/>
      <c r="H80" s="152"/>
      <c r="I80" s="155"/>
      <c r="J80" s="106"/>
      <c r="K80" s="94"/>
      <c r="L80" s="158"/>
      <c r="M80" s="161"/>
      <c r="N80" s="106"/>
      <c r="O80" s="106"/>
      <c r="P80" s="63"/>
      <c r="Q80" s="162"/>
      <c r="R80" s="164"/>
      <c r="S80" s="62"/>
      <c r="T80" s="63"/>
      <c r="U80" s="62"/>
      <c r="V80" s="64"/>
      <c r="W80" s="164"/>
      <c r="X80" s="62"/>
      <c r="Y80" s="45"/>
      <c r="Z80" s="44"/>
      <c r="AA80" s="100"/>
      <c r="AB80" s="100"/>
      <c r="AC80" s="100"/>
      <c r="AD80" s="100"/>
      <c r="AE80" s="100"/>
      <c r="AF80" s="100"/>
      <c r="AG80" s="69">
        <v>25</v>
      </c>
      <c r="AH80" s="69" t="s">
        <v>299</v>
      </c>
      <c r="AI80" s="243" t="s">
        <v>46</v>
      </c>
      <c r="AJ80" s="243" t="s">
        <v>419</v>
      </c>
      <c r="AK80" s="244" t="s">
        <v>367</v>
      </c>
      <c r="AL80" s="43" t="str">
        <f t="shared" si="30"/>
        <v>-</v>
      </c>
      <c r="AM80" s="43">
        <f t="shared" si="21"/>
        <v>0</v>
      </c>
      <c r="AN80" s="193">
        <f t="shared" si="21"/>
        <v>0</v>
      </c>
      <c r="AO80" s="264" t="str">
        <f t="shared" si="31"/>
        <v>-</v>
      </c>
      <c r="AP80" s="267"/>
      <c r="AQ80" s="26" t="str">
        <f t="shared" si="22"/>
        <v>CONUMA RIVERSteelhead</v>
      </c>
      <c r="AR80" s="26">
        <f t="shared" si="23"/>
        <v>0</v>
      </c>
      <c r="AS80" s="33">
        <f t="shared" si="18"/>
        <v>0</v>
      </c>
      <c r="AW80" s="34"/>
      <c r="AX80" s="47" t="str">
        <f t="shared" si="24"/>
        <v>CONUMA RIVERSteelhead</v>
      </c>
      <c r="AY80" s="49">
        <f t="shared" si="25"/>
        <v>0</v>
      </c>
      <c r="AZ80" s="49">
        <f t="shared" si="26"/>
        <v>0</v>
      </c>
      <c r="BA80" s="31">
        <v>0</v>
      </c>
      <c r="BB80" s="188" t="str">
        <f t="shared" si="27"/>
        <v>Hay and Assoc.</v>
      </c>
      <c r="BC80" s="188" t="str">
        <f t="shared" si="32"/>
        <v xml:space="preserve"> </v>
      </c>
      <c r="BD80" s="188" t="str">
        <f t="shared" si="33"/>
        <v xml:space="preserve"> </v>
      </c>
      <c r="BE80" s="188" t="str">
        <f t="shared" si="34"/>
        <v xml:space="preserve"> </v>
      </c>
      <c r="BF80" s="50" t="str">
        <f t="shared" si="20"/>
        <v>CONUMA RIVER_Steelhead</v>
      </c>
      <c r="BG80" s="50" t="str">
        <f>IFERROR(VLOOKUP(BF80,'[1]WCVI Esc'!$C$5:$W$534,18,FALSE),"-")</f>
        <v>-</v>
      </c>
      <c r="BH80" s="50" t="str">
        <f t="shared" si="28"/>
        <v>-</v>
      </c>
      <c r="BI80" s="50" t="str">
        <f>IFERROR(VLOOKUP(BF80,'[1]WCVI Esc'!$C$5:$W$534,19,FALSE),"-")</f>
        <v>-</v>
      </c>
      <c r="BJ80" s="50" t="str">
        <f t="shared" si="29"/>
        <v>-</v>
      </c>
    </row>
    <row r="81" spans="1:65" hidden="1" x14ac:dyDescent="0.2">
      <c r="A81" s="29">
        <v>2</v>
      </c>
      <c r="B81" s="29">
        <v>1</v>
      </c>
      <c r="C81" s="13">
        <v>25</v>
      </c>
      <c r="D81" s="150" t="s">
        <v>299</v>
      </c>
      <c r="E81" s="10" t="s">
        <v>48</v>
      </c>
      <c r="F81" s="10" t="s">
        <v>207</v>
      </c>
      <c r="G81" s="10"/>
      <c r="H81" s="152"/>
      <c r="I81" s="155"/>
      <c r="J81" s="106"/>
      <c r="K81" s="94"/>
      <c r="L81" s="158"/>
      <c r="M81" s="161"/>
      <c r="N81" s="106"/>
      <c r="O81" s="106"/>
      <c r="P81" s="63"/>
      <c r="Q81" s="162"/>
      <c r="R81" s="164"/>
      <c r="S81" s="62"/>
      <c r="T81" s="63"/>
      <c r="U81" s="62"/>
      <c r="V81" s="64"/>
      <c r="W81" s="164"/>
      <c r="X81" s="62"/>
      <c r="Y81" s="45"/>
      <c r="Z81" s="44"/>
      <c r="AA81" s="100">
        <f>Y81/AP81</f>
        <v>0</v>
      </c>
      <c r="AB81" s="100">
        <f>AS81/AP81</f>
        <v>0</v>
      </c>
      <c r="AC81" s="123">
        <v>2</v>
      </c>
      <c r="AD81" s="123"/>
      <c r="AE81" s="123"/>
      <c r="AF81" s="123"/>
      <c r="AG81" s="69">
        <v>25</v>
      </c>
      <c r="AH81" s="196" t="s">
        <v>299</v>
      </c>
      <c r="AI81" s="243" t="s">
        <v>48</v>
      </c>
      <c r="AJ81" s="243" t="s">
        <v>419</v>
      </c>
      <c r="AK81" s="244" t="s">
        <v>367</v>
      </c>
      <c r="AL81" s="43" t="str">
        <f t="shared" si="30"/>
        <v>-</v>
      </c>
      <c r="AM81" s="43">
        <f t="shared" si="21"/>
        <v>0</v>
      </c>
      <c r="AN81" s="193">
        <f t="shared" si="21"/>
        <v>0</v>
      </c>
      <c r="AO81" s="264">
        <f t="shared" si="31"/>
        <v>680</v>
      </c>
      <c r="AP81" s="265">
        <f>BJ81</f>
        <v>830</v>
      </c>
      <c r="AQ81" s="26" t="str">
        <f t="shared" si="22"/>
        <v>LEINER RIVERSockeye</v>
      </c>
      <c r="AR81" s="26">
        <f t="shared" si="23"/>
        <v>0</v>
      </c>
      <c r="AS81" s="33">
        <f t="shared" si="18"/>
        <v>0</v>
      </c>
      <c r="AV81"/>
      <c r="AW81" s="34"/>
      <c r="AX81" s="47" t="str">
        <f t="shared" si="24"/>
        <v>LEINER RIVERSockeye</v>
      </c>
      <c r="AY81" s="49">
        <f t="shared" si="25"/>
        <v>0</v>
      </c>
      <c r="AZ81" s="49">
        <f t="shared" si="26"/>
        <v>0</v>
      </c>
      <c r="BA81" s="31">
        <v>2016</v>
      </c>
      <c r="BB81" s="188" t="str">
        <f t="shared" si="27"/>
        <v>Hay and Assoc.</v>
      </c>
      <c r="BC81" s="188" t="str">
        <f t="shared" si="32"/>
        <v xml:space="preserve"> </v>
      </c>
      <c r="BD81" s="188" t="str">
        <f t="shared" si="33"/>
        <v xml:space="preserve"> </v>
      </c>
      <c r="BE81" s="188" t="str">
        <f t="shared" si="34"/>
        <v xml:space="preserve"> </v>
      </c>
      <c r="BF81" s="50" t="str">
        <f t="shared" si="20"/>
        <v>LEINER RIVER_Sockeye</v>
      </c>
      <c r="BG81" s="50">
        <f>IFERROR(VLOOKUP(BF81,'[1]WCVI Esc'!$C$5:$W$534,18,FALSE),"-")</f>
        <v>684.25</v>
      </c>
      <c r="BH81" s="50">
        <f t="shared" si="28"/>
        <v>680</v>
      </c>
      <c r="BI81" s="50">
        <f>IFERROR(VLOOKUP(BF81,'[1]WCVI Esc'!$C$5:$W$534,19,FALSE),"-")</f>
        <v>825.66666666666663</v>
      </c>
      <c r="BJ81" s="50">
        <f t="shared" si="29"/>
        <v>830</v>
      </c>
    </row>
    <row r="82" spans="1:65" hidden="1" x14ac:dyDescent="0.2">
      <c r="A82" s="29">
        <v>2</v>
      </c>
      <c r="B82" s="29">
        <v>2</v>
      </c>
      <c r="C82" s="13">
        <v>25</v>
      </c>
      <c r="D82" s="150" t="s">
        <v>299</v>
      </c>
      <c r="E82" s="10" t="s">
        <v>48</v>
      </c>
      <c r="F82" s="10" t="s">
        <v>219</v>
      </c>
      <c r="G82" s="10"/>
      <c r="H82" s="152"/>
      <c r="I82" s="155"/>
      <c r="J82" s="106"/>
      <c r="K82" s="94"/>
      <c r="L82" s="158"/>
      <c r="M82" s="161"/>
      <c r="N82" s="106"/>
      <c r="O82" s="106"/>
      <c r="P82" s="63"/>
      <c r="Q82" s="162"/>
      <c r="R82" s="164"/>
      <c r="S82" s="62"/>
      <c r="T82" s="63"/>
      <c r="U82" s="62"/>
      <c r="V82" s="64"/>
      <c r="W82" s="164"/>
      <c r="X82" s="62"/>
      <c r="Y82" s="45"/>
      <c r="Z82" s="44"/>
      <c r="AA82" s="100">
        <f>Y82/AP82</f>
        <v>0</v>
      </c>
      <c r="AB82" s="100">
        <f>AS82/AP82</f>
        <v>0</v>
      </c>
      <c r="AC82" s="123">
        <v>2</v>
      </c>
      <c r="AD82" s="123"/>
      <c r="AE82" s="123"/>
      <c r="AF82" s="123"/>
      <c r="AG82" s="69">
        <v>25</v>
      </c>
      <c r="AH82" s="196" t="s">
        <v>299</v>
      </c>
      <c r="AI82" s="243" t="s">
        <v>48</v>
      </c>
      <c r="AJ82" s="243" t="s">
        <v>419</v>
      </c>
      <c r="AK82" s="244" t="s">
        <v>367</v>
      </c>
      <c r="AL82" s="43" t="str">
        <f t="shared" si="30"/>
        <v>-</v>
      </c>
      <c r="AM82" s="43">
        <f t="shared" si="21"/>
        <v>0</v>
      </c>
      <c r="AN82" s="193">
        <f t="shared" si="21"/>
        <v>0</v>
      </c>
      <c r="AO82" s="264">
        <f t="shared" si="31"/>
        <v>690</v>
      </c>
      <c r="AP82" s="265">
        <f>BJ82</f>
        <v>950</v>
      </c>
      <c r="AQ82" s="26" t="str">
        <f t="shared" si="22"/>
        <v>LEINER RIVERCoho</v>
      </c>
      <c r="AR82" s="26">
        <f t="shared" si="23"/>
        <v>0</v>
      </c>
      <c r="AS82" s="33">
        <f t="shared" si="18"/>
        <v>0</v>
      </c>
      <c r="AV82"/>
      <c r="AW82" s="34"/>
      <c r="AX82" s="47" t="str">
        <f t="shared" si="24"/>
        <v>LEINER RIVERCoho</v>
      </c>
      <c r="AY82" s="49">
        <f t="shared" si="25"/>
        <v>0</v>
      </c>
      <c r="AZ82" s="49">
        <f t="shared" si="26"/>
        <v>0</v>
      </c>
      <c r="BA82" s="31">
        <v>2016</v>
      </c>
      <c r="BB82" s="188" t="str">
        <f t="shared" si="27"/>
        <v>Hay and Assoc.</v>
      </c>
      <c r="BC82" s="188" t="str">
        <f t="shared" si="32"/>
        <v xml:space="preserve"> </v>
      </c>
      <c r="BD82" s="188" t="str">
        <f t="shared" si="33"/>
        <v xml:space="preserve"> </v>
      </c>
      <c r="BE82" s="188" t="str">
        <f t="shared" si="34"/>
        <v xml:space="preserve"> </v>
      </c>
      <c r="BF82" s="50" t="str">
        <f t="shared" si="20"/>
        <v>LEINER RIVER_Coho</v>
      </c>
      <c r="BG82" s="50">
        <f>IFERROR(VLOOKUP(BF82,'[1]WCVI Esc'!$C$5:$W$534,18,FALSE),"-")</f>
        <v>691.75</v>
      </c>
      <c r="BH82" s="50">
        <f t="shared" si="28"/>
        <v>690</v>
      </c>
      <c r="BI82" s="50">
        <f>IFERROR(VLOOKUP(BF82,'[1]WCVI Esc'!$C$5:$W$534,19,FALSE),"-")</f>
        <v>945.91666666666663</v>
      </c>
      <c r="BJ82" s="50">
        <f t="shared" si="29"/>
        <v>950</v>
      </c>
    </row>
    <row r="83" spans="1:65" hidden="1" x14ac:dyDescent="0.2">
      <c r="A83" s="29">
        <v>2</v>
      </c>
      <c r="B83" s="29">
        <v>3</v>
      </c>
      <c r="C83" s="13">
        <v>25</v>
      </c>
      <c r="D83" s="150" t="s">
        <v>299</v>
      </c>
      <c r="E83" s="10" t="s">
        <v>48</v>
      </c>
      <c r="F83" s="10" t="s">
        <v>208</v>
      </c>
      <c r="G83" s="10"/>
      <c r="H83" s="152"/>
      <c r="I83" s="155"/>
      <c r="J83" s="106"/>
      <c r="K83" s="94"/>
      <c r="L83" s="158"/>
      <c r="M83" s="161"/>
      <c r="N83" s="106"/>
      <c r="O83" s="106"/>
      <c r="P83" s="63"/>
      <c r="Q83" s="162"/>
      <c r="R83" s="169"/>
      <c r="S83" s="62"/>
      <c r="T83" s="62"/>
      <c r="U83" s="62"/>
      <c r="V83" s="64"/>
      <c r="W83" s="164"/>
      <c r="X83" s="62"/>
      <c r="Y83" s="45"/>
      <c r="Z83" s="44"/>
      <c r="AA83" s="100"/>
      <c r="AB83" s="100"/>
      <c r="AC83" s="123"/>
      <c r="AD83" s="123"/>
      <c r="AE83" s="123"/>
      <c r="AF83" s="123"/>
      <c r="AG83" s="69">
        <v>25</v>
      </c>
      <c r="AH83" s="196" t="s">
        <v>299</v>
      </c>
      <c r="AI83" s="243" t="s">
        <v>48</v>
      </c>
      <c r="AJ83" s="243" t="s">
        <v>419</v>
      </c>
      <c r="AK83" s="244" t="s">
        <v>367</v>
      </c>
      <c r="AL83" s="43" t="str">
        <f t="shared" si="30"/>
        <v>-</v>
      </c>
      <c r="AM83" s="43">
        <f t="shared" si="21"/>
        <v>0</v>
      </c>
      <c r="AN83" s="193">
        <f t="shared" si="21"/>
        <v>0</v>
      </c>
      <c r="AO83" s="264">
        <f t="shared" si="31"/>
        <v>0</v>
      </c>
      <c r="AP83" s="265">
        <f>BJ83</f>
        <v>0</v>
      </c>
      <c r="AQ83" s="26" t="str">
        <f t="shared" si="22"/>
        <v>LEINER RIVERPink</v>
      </c>
      <c r="AR83" s="26">
        <f t="shared" si="23"/>
        <v>0</v>
      </c>
      <c r="AS83" s="33">
        <f t="shared" si="18"/>
        <v>0</v>
      </c>
      <c r="AV83"/>
      <c r="AW83" s="34"/>
      <c r="AX83" s="47" t="str">
        <f t="shared" si="24"/>
        <v>LEINER RIVERPink</v>
      </c>
      <c r="AY83" s="49">
        <f t="shared" si="25"/>
        <v>0</v>
      </c>
      <c r="AZ83" s="49">
        <f t="shared" si="26"/>
        <v>0</v>
      </c>
      <c r="BA83" s="31">
        <v>2016</v>
      </c>
      <c r="BB83" s="188" t="str">
        <f t="shared" si="27"/>
        <v>Hay and Assoc.</v>
      </c>
      <c r="BC83" s="188" t="str">
        <f t="shared" si="32"/>
        <v xml:space="preserve"> </v>
      </c>
      <c r="BD83" s="188" t="str">
        <f t="shared" si="33"/>
        <v xml:space="preserve"> </v>
      </c>
      <c r="BE83" s="188" t="str">
        <f t="shared" si="34"/>
        <v xml:space="preserve"> </v>
      </c>
      <c r="BF83" s="50" t="str">
        <f t="shared" si="20"/>
        <v>LEINER RIVER_Pink</v>
      </c>
      <c r="BG83" s="50">
        <f>IFERROR(VLOOKUP(BF83,'[1]WCVI Esc'!$C$5:$W$534,18,FALSE),"-")</f>
        <v>3</v>
      </c>
      <c r="BH83" s="50">
        <f t="shared" si="28"/>
        <v>0</v>
      </c>
      <c r="BI83" s="50">
        <f>IFERROR(VLOOKUP(BF83,'[1]WCVI Esc'!$C$5:$W$534,19,FALSE),"-")</f>
        <v>4</v>
      </c>
      <c r="BJ83" s="50">
        <f t="shared" si="29"/>
        <v>0</v>
      </c>
    </row>
    <row r="84" spans="1:65" hidden="1" x14ac:dyDescent="0.2">
      <c r="A84" s="29">
        <v>2</v>
      </c>
      <c r="B84" s="29">
        <v>4</v>
      </c>
      <c r="C84" s="13">
        <v>25</v>
      </c>
      <c r="D84" s="150" t="s">
        <v>299</v>
      </c>
      <c r="E84" s="10" t="s">
        <v>48</v>
      </c>
      <c r="F84" s="10" t="s">
        <v>209</v>
      </c>
      <c r="G84" s="10"/>
      <c r="H84" s="152"/>
      <c r="I84" s="155"/>
      <c r="J84" s="106"/>
      <c r="K84" s="94"/>
      <c r="L84" s="158"/>
      <c r="M84" s="161"/>
      <c r="N84" s="106"/>
      <c r="O84" s="106"/>
      <c r="P84" s="63"/>
      <c r="Q84" s="162"/>
      <c r="R84" s="164"/>
      <c r="S84" s="62"/>
      <c r="T84" s="63"/>
      <c r="U84" s="62"/>
      <c r="V84" s="64"/>
      <c r="W84" s="164"/>
      <c r="X84" s="62"/>
      <c r="Y84" s="45"/>
      <c r="Z84" s="44"/>
      <c r="AA84" s="100">
        <f>Y84/AP84</f>
        <v>0</v>
      </c>
      <c r="AB84" s="100">
        <f>AS84/AP84</f>
        <v>0</v>
      </c>
      <c r="AC84" s="123">
        <v>2</v>
      </c>
      <c r="AD84" s="123"/>
      <c r="AE84" s="123"/>
      <c r="AF84" s="123"/>
      <c r="AG84" s="69">
        <v>25</v>
      </c>
      <c r="AH84" s="196" t="s">
        <v>299</v>
      </c>
      <c r="AI84" s="243" t="s">
        <v>48</v>
      </c>
      <c r="AJ84" s="243" t="s">
        <v>419</v>
      </c>
      <c r="AK84" s="244" t="s">
        <v>367</v>
      </c>
      <c r="AL84" s="43" t="str">
        <f t="shared" si="30"/>
        <v>-</v>
      </c>
      <c r="AM84" s="43">
        <f t="shared" si="21"/>
        <v>0</v>
      </c>
      <c r="AN84" s="193">
        <f t="shared" si="21"/>
        <v>0</v>
      </c>
      <c r="AO84" s="264">
        <f t="shared" si="31"/>
        <v>1160</v>
      </c>
      <c r="AP84" s="265">
        <f>BJ84</f>
        <v>2380</v>
      </c>
      <c r="AQ84" s="26" t="str">
        <f t="shared" si="22"/>
        <v>LEINER RIVERChum</v>
      </c>
      <c r="AR84" s="26">
        <f t="shared" si="23"/>
        <v>0</v>
      </c>
      <c r="AS84" s="33">
        <f t="shared" si="18"/>
        <v>0</v>
      </c>
      <c r="AV84"/>
      <c r="AW84" s="34"/>
      <c r="AX84" s="47" t="str">
        <f t="shared" si="24"/>
        <v>LEINER RIVERChum</v>
      </c>
      <c r="AY84" s="49">
        <f t="shared" si="25"/>
        <v>0</v>
      </c>
      <c r="AZ84" s="49">
        <f t="shared" si="26"/>
        <v>0</v>
      </c>
      <c r="BA84" s="31">
        <v>2016</v>
      </c>
      <c r="BB84" s="188" t="str">
        <f t="shared" si="27"/>
        <v>Hay and Assoc.</v>
      </c>
      <c r="BC84" s="188" t="str">
        <f t="shared" si="32"/>
        <v xml:space="preserve"> </v>
      </c>
      <c r="BD84" s="188" t="str">
        <f t="shared" si="33"/>
        <v xml:space="preserve"> </v>
      </c>
      <c r="BE84" s="188" t="str">
        <f t="shared" si="34"/>
        <v xml:space="preserve"> </v>
      </c>
      <c r="BF84" s="50" t="str">
        <f t="shared" si="20"/>
        <v>LEINER RIVER_Chum</v>
      </c>
      <c r="BG84" s="50">
        <f>IFERROR(VLOOKUP(BF84,'[1]WCVI Esc'!$C$5:$W$534,18,FALSE),"-")</f>
        <v>1162.75</v>
      </c>
      <c r="BH84" s="50">
        <f t="shared" si="28"/>
        <v>1160</v>
      </c>
      <c r="BI84" s="50">
        <f>IFERROR(VLOOKUP(BF84,'[1]WCVI Esc'!$C$5:$W$534,19,FALSE),"-")</f>
        <v>2380.75</v>
      </c>
      <c r="BJ84" s="50">
        <f t="shared" si="29"/>
        <v>2380</v>
      </c>
    </row>
    <row r="85" spans="1:65" x14ac:dyDescent="0.2">
      <c r="A85" s="29">
        <v>2</v>
      </c>
      <c r="B85" s="29">
        <v>5</v>
      </c>
      <c r="C85" s="13">
        <v>25</v>
      </c>
      <c r="D85" s="150" t="s">
        <v>299</v>
      </c>
      <c r="E85" s="10" t="s">
        <v>48</v>
      </c>
      <c r="F85" s="10" t="s">
        <v>210</v>
      </c>
      <c r="G85" s="10"/>
      <c r="H85" s="152"/>
      <c r="I85" s="155"/>
      <c r="J85" s="106"/>
      <c r="K85" s="94"/>
      <c r="L85" s="158"/>
      <c r="M85" s="161"/>
      <c r="N85" s="106"/>
      <c r="O85" s="106"/>
      <c r="P85" s="63"/>
      <c r="Q85" s="162"/>
      <c r="R85" s="164"/>
      <c r="S85" s="62"/>
      <c r="T85" s="63"/>
      <c r="U85" s="62"/>
      <c r="V85" s="64"/>
      <c r="W85" s="164"/>
      <c r="X85" s="62"/>
      <c r="Y85" s="45"/>
      <c r="Z85" s="44"/>
      <c r="AA85" s="100">
        <f>Y85/AP85</f>
        <v>0</v>
      </c>
      <c r="AB85" s="100">
        <f>AS85/AP85</f>
        <v>0</v>
      </c>
      <c r="AC85" s="123">
        <v>2</v>
      </c>
      <c r="AD85" s="123">
        <v>527</v>
      </c>
      <c r="AE85" s="123">
        <v>155</v>
      </c>
      <c r="AF85" s="123">
        <f>Y85</f>
        <v>0</v>
      </c>
      <c r="AG85" s="69">
        <v>25</v>
      </c>
      <c r="AH85" s="196" t="s">
        <v>299</v>
      </c>
      <c r="AI85" s="243" t="s">
        <v>48</v>
      </c>
      <c r="AJ85" s="243" t="s">
        <v>419</v>
      </c>
      <c r="AK85" s="244" t="s">
        <v>367</v>
      </c>
      <c r="AL85" s="43" t="str">
        <f t="shared" si="30"/>
        <v>-</v>
      </c>
      <c r="AM85" s="43">
        <f t="shared" si="21"/>
        <v>0</v>
      </c>
      <c r="AN85" s="193">
        <f t="shared" si="21"/>
        <v>0</v>
      </c>
      <c r="AO85" s="264">
        <f t="shared" si="31"/>
        <v>700</v>
      </c>
      <c r="AP85" s="265">
        <f>BJ85</f>
        <v>760</v>
      </c>
      <c r="AQ85" s="26" t="str">
        <f t="shared" si="22"/>
        <v>LEINER RIVERChinook</v>
      </c>
      <c r="AR85" s="26">
        <f t="shared" si="23"/>
        <v>0</v>
      </c>
      <c r="AS85" s="33">
        <f t="shared" si="18"/>
        <v>0</v>
      </c>
      <c r="AT85" s="34">
        <f>AS85*1.14</f>
        <v>0</v>
      </c>
      <c r="AU85" s="34">
        <f>AS85*2.88</f>
        <v>0</v>
      </c>
      <c r="AV85" s="36"/>
      <c r="AW85" s="34">
        <f>SUM(AT85:AU85)/2</f>
        <v>0</v>
      </c>
      <c r="AX85" s="47" t="str">
        <f t="shared" si="24"/>
        <v>LEINER RIVERChinook</v>
      </c>
      <c r="AY85" s="49">
        <f t="shared" si="25"/>
        <v>0</v>
      </c>
      <c r="AZ85" s="49">
        <f t="shared" si="26"/>
        <v>0</v>
      </c>
      <c r="BA85" s="31">
        <v>2016</v>
      </c>
      <c r="BB85" s="188" t="str">
        <f t="shared" si="27"/>
        <v>Hay and Assoc.</v>
      </c>
      <c r="BC85" s="188" t="str">
        <f t="shared" si="32"/>
        <v xml:space="preserve"> </v>
      </c>
      <c r="BD85" s="188" t="str">
        <f t="shared" si="33"/>
        <v xml:space="preserve"> </v>
      </c>
      <c r="BE85" s="188" t="str">
        <f t="shared" si="34"/>
        <v xml:space="preserve"> </v>
      </c>
      <c r="BF85" s="50" t="str">
        <f t="shared" si="20"/>
        <v>LEINER RIVER_Chinook</v>
      </c>
      <c r="BG85" s="50">
        <f>IFERROR(VLOOKUP(BF85,'[1]WCVI Esc'!$C$5:$W$534,18,FALSE),"-")</f>
        <v>704.5</v>
      </c>
      <c r="BH85" s="50">
        <f t="shared" si="28"/>
        <v>700</v>
      </c>
      <c r="BI85" s="50">
        <f>IFERROR(VLOOKUP(BF85,'[1]WCVI Esc'!$C$5:$W$534,19,FALSE),"-")</f>
        <v>762.83333333333337</v>
      </c>
      <c r="BJ85" s="50">
        <f t="shared" si="29"/>
        <v>760</v>
      </c>
      <c r="BK85">
        <v>6</v>
      </c>
      <c r="BL85" s="17" t="s">
        <v>457</v>
      </c>
      <c r="BM85" s="31">
        <v>1</v>
      </c>
    </row>
    <row r="86" spans="1:65" hidden="1" x14ac:dyDescent="0.2">
      <c r="A86" s="29">
        <v>2</v>
      </c>
      <c r="B86" s="29">
        <v>6</v>
      </c>
      <c r="C86" s="13">
        <v>25</v>
      </c>
      <c r="D86" s="150" t="s">
        <v>299</v>
      </c>
      <c r="E86" s="10" t="s">
        <v>48</v>
      </c>
      <c r="F86" s="10" t="s">
        <v>211</v>
      </c>
      <c r="G86" s="10"/>
      <c r="H86" s="152"/>
      <c r="I86" s="155"/>
      <c r="J86" s="106"/>
      <c r="K86" s="94"/>
      <c r="L86" s="158"/>
      <c r="M86" s="161"/>
      <c r="N86" s="106"/>
      <c r="O86" s="106"/>
      <c r="P86" s="63"/>
      <c r="Q86" s="162"/>
      <c r="R86" s="169"/>
      <c r="S86" s="62"/>
      <c r="T86" s="63"/>
      <c r="U86" s="62"/>
      <c r="V86" s="64"/>
      <c r="W86" s="164"/>
      <c r="X86" s="62"/>
      <c r="Y86" s="45"/>
      <c r="Z86" s="44"/>
      <c r="AA86" s="100"/>
      <c r="AB86" s="100"/>
      <c r="AC86" s="123"/>
      <c r="AD86" s="123"/>
      <c r="AE86" s="123"/>
      <c r="AF86" s="123"/>
      <c r="AG86" s="69">
        <v>25</v>
      </c>
      <c r="AH86" s="196" t="s">
        <v>299</v>
      </c>
      <c r="AI86" s="243" t="s">
        <v>48</v>
      </c>
      <c r="AJ86" s="243" t="s">
        <v>419</v>
      </c>
      <c r="AK86" s="244" t="s">
        <v>367</v>
      </c>
      <c r="AL86" s="43" t="str">
        <f t="shared" si="30"/>
        <v>-</v>
      </c>
      <c r="AM86" s="43">
        <f t="shared" si="21"/>
        <v>0</v>
      </c>
      <c r="AN86" s="193">
        <f t="shared" si="21"/>
        <v>0</v>
      </c>
      <c r="AO86" s="264" t="str">
        <f t="shared" si="31"/>
        <v>-</v>
      </c>
      <c r="AP86" s="267"/>
      <c r="AQ86" s="26" t="str">
        <f t="shared" si="22"/>
        <v>LEINER RIVERSteelhead</v>
      </c>
      <c r="AR86" s="26">
        <f t="shared" si="23"/>
        <v>0</v>
      </c>
      <c r="AS86" s="33">
        <f t="shared" si="18"/>
        <v>0</v>
      </c>
      <c r="AV86"/>
      <c r="AW86" s="34"/>
      <c r="AX86" s="47" t="str">
        <f t="shared" si="24"/>
        <v>LEINER RIVERSteelhead</v>
      </c>
      <c r="AY86" s="49">
        <f t="shared" si="25"/>
        <v>0</v>
      </c>
      <c r="AZ86" s="49">
        <f t="shared" si="26"/>
        <v>0</v>
      </c>
      <c r="BA86" s="31">
        <v>0</v>
      </c>
      <c r="BB86" s="188" t="str">
        <f t="shared" si="27"/>
        <v>Hay and Assoc.</v>
      </c>
      <c r="BC86" s="188" t="str">
        <f t="shared" si="32"/>
        <v xml:space="preserve"> </v>
      </c>
      <c r="BD86" s="188" t="str">
        <f t="shared" si="33"/>
        <v xml:space="preserve"> </v>
      </c>
      <c r="BE86" s="188" t="str">
        <f t="shared" si="34"/>
        <v xml:space="preserve"> </v>
      </c>
      <c r="BF86" s="50" t="str">
        <f t="shared" si="20"/>
        <v>LEINER RIVER_Steelhead</v>
      </c>
      <c r="BG86" s="50" t="str">
        <f>IFERROR(VLOOKUP(BF86,'[1]WCVI Esc'!$C$5:$W$534,18,FALSE),"-")</f>
        <v>-</v>
      </c>
      <c r="BH86" s="50" t="str">
        <f t="shared" si="28"/>
        <v>-</v>
      </c>
      <c r="BI86" s="50" t="str">
        <f>IFERROR(VLOOKUP(BF86,'[1]WCVI Esc'!$C$5:$W$534,19,FALSE),"-")</f>
        <v>-</v>
      </c>
      <c r="BJ86" s="50" t="str">
        <f t="shared" si="29"/>
        <v>-</v>
      </c>
    </row>
    <row r="87" spans="1:65" hidden="1" x14ac:dyDescent="0.2">
      <c r="A87" s="29">
        <v>2</v>
      </c>
      <c r="B87" s="29">
        <v>1</v>
      </c>
      <c r="C87" s="13">
        <v>25</v>
      </c>
      <c r="D87" s="148" t="s">
        <v>299</v>
      </c>
      <c r="E87" s="10" t="s">
        <v>52</v>
      </c>
      <c r="F87" s="10" t="s">
        <v>207</v>
      </c>
      <c r="G87" s="10"/>
      <c r="H87" s="152"/>
      <c r="I87" s="155"/>
      <c r="J87" s="106"/>
      <c r="K87" s="94"/>
      <c r="L87" s="158"/>
      <c r="M87" s="161"/>
      <c r="N87" s="106"/>
      <c r="O87" s="106"/>
      <c r="P87" s="63"/>
      <c r="Q87" s="162"/>
      <c r="R87" s="164"/>
      <c r="S87" s="62"/>
      <c r="T87" s="63"/>
      <c r="U87" s="62"/>
      <c r="V87" s="64"/>
      <c r="W87" s="164"/>
      <c r="X87" s="62"/>
      <c r="Y87" s="45"/>
      <c r="Z87" s="44"/>
      <c r="AA87" s="100">
        <f>Y87/AP87</f>
        <v>0</v>
      </c>
      <c r="AB87" s="100">
        <f>AS87/AP87</f>
        <v>0</v>
      </c>
      <c r="AC87" s="123">
        <v>2</v>
      </c>
      <c r="AD87" s="123"/>
      <c r="AE87" s="123"/>
      <c r="AF87" s="123"/>
      <c r="AG87" s="69">
        <v>25</v>
      </c>
      <c r="AH87" s="69" t="s">
        <v>299</v>
      </c>
      <c r="AI87" s="243" t="s">
        <v>52</v>
      </c>
      <c r="AJ87" s="243" t="s">
        <v>419</v>
      </c>
      <c r="AK87" s="244" t="s">
        <v>367</v>
      </c>
      <c r="AL87" s="43" t="str">
        <f t="shared" si="30"/>
        <v>-</v>
      </c>
      <c r="AM87" s="43">
        <f t="shared" si="21"/>
        <v>0</v>
      </c>
      <c r="AN87" s="193">
        <f t="shared" si="21"/>
        <v>0</v>
      </c>
      <c r="AO87" s="264">
        <f t="shared" si="31"/>
        <v>460</v>
      </c>
      <c r="AP87" s="265">
        <f>BJ87</f>
        <v>430</v>
      </c>
      <c r="AQ87" s="26" t="str">
        <f t="shared" si="22"/>
        <v>TAHSIS RIVERSockeye</v>
      </c>
      <c r="AR87" s="26">
        <f t="shared" si="23"/>
        <v>0</v>
      </c>
      <c r="AS87" s="33">
        <f t="shared" si="18"/>
        <v>0</v>
      </c>
      <c r="AW87" s="34"/>
      <c r="AX87" s="47" t="str">
        <f t="shared" si="24"/>
        <v>TAHSIS RIVERSockeye</v>
      </c>
      <c r="AY87" s="49">
        <f t="shared" si="25"/>
        <v>0</v>
      </c>
      <c r="AZ87" s="49">
        <f t="shared" si="26"/>
        <v>0</v>
      </c>
      <c r="BA87" s="31">
        <v>2016</v>
      </c>
      <c r="BB87" s="188" t="str">
        <f t="shared" si="27"/>
        <v>Hay and Assoc.</v>
      </c>
      <c r="BC87" s="188" t="str">
        <f t="shared" si="32"/>
        <v xml:space="preserve"> </v>
      </c>
      <c r="BD87" s="188" t="str">
        <f t="shared" si="33"/>
        <v xml:space="preserve"> </v>
      </c>
      <c r="BE87" s="188" t="str">
        <f t="shared" si="34"/>
        <v xml:space="preserve"> </v>
      </c>
      <c r="BF87" s="50" t="str">
        <f t="shared" si="20"/>
        <v>TAHSIS RIVER_Sockeye</v>
      </c>
      <c r="BG87" s="50">
        <f>IFERROR(VLOOKUP(BF87,'[1]WCVI Esc'!$C$5:$W$534,18,FALSE),"-")</f>
        <v>461.5</v>
      </c>
      <c r="BH87" s="50">
        <f t="shared" si="28"/>
        <v>460</v>
      </c>
      <c r="BI87" s="50">
        <f>IFERROR(VLOOKUP(BF87,'[1]WCVI Esc'!$C$5:$W$534,19,FALSE),"-")</f>
        <v>426.16666666666669</v>
      </c>
      <c r="BJ87" s="50">
        <f t="shared" si="29"/>
        <v>430</v>
      </c>
    </row>
    <row r="88" spans="1:65" hidden="1" x14ac:dyDescent="0.2">
      <c r="A88" s="29">
        <v>2</v>
      </c>
      <c r="B88" s="29">
        <v>2</v>
      </c>
      <c r="C88" s="13">
        <v>25</v>
      </c>
      <c r="D88" s="148" t="s">
        <v>299</v>
      </c>
      <c r="E88" s="10" t="s">
        <v>52</v>
      </c>
      <c r="F88" s="10" t="s">
        <v>219</v>
      </c>
      <c r="G88" s="10"/>
      <c r="H88" s="152"/>
      <c r="I88" s="155"/>
      <c r="J88" s="106"/>
      <c r="K88" s="94"/>
      <c r="L88" s="158"/>
      <c r="M88" s="161"/>
      <c r="N88" s="106"/>
      <c r="O88" s="106"/>
      <c r="P88" s="63"/>
      <c r="Q88" s="162"/>
      <c r="R88" s="164"/>
      <c r="S88" s="62"/>
      <c r="T88" s="63"/>
      <c r="U88" s="62"/>
      <c r="V88" s="64"/>
      <c r="W88" s="164"/>
      <c r="X88" s="62"/>
      <c r="Y88" s="45"/>
      <c r="Z88" s="44"/>
      <c r="AA88" s="100">
        <f>Y88/AP88</f>
        <v>0</v>
      </c>
      <c r="AB88" s="100">
        <f>AS88/AP88</f>
        <v>0</v>
      </c>
      <c r="AC88" s="123">
        <v>2</v>
      </c>
      <c r="AD88" s="123"/>
      <c r="AE88" s="123"/>
      <c r="AF88" s="123"/>
      <c r="AG88" s="69">
        <v>25</v>
      </c>
      <c r="AH88" s="69" t="s">
        <v>299</v>
      </c>
      <c r="AI88" s="243" t="s">
        <v>52</v>
      </c>
      <c r="AJ88" s="243" t="s">
        <v>419</v>
      </c>
      <c r="AK88" s="244" t="s">
        <v>367</v>
      </c>
      <c r="AL88" s="43" t="str">
        <f t="shared" si="30"/>
        <v>-</v>
      </c>
      <c r="AM88" s="43">
        <f t="shared" si="21"/>
        <v>0</v>
      </c>
      <c r="AN88" s="193">
        <f t="shared" si="21"/>
        <v>0</v>
      </c>
      <c r="AO88" s="264">
        <f t="shared" si="31"/>
        <v>1140</v>
      </c>
      <c r="AP88" s="265">
        <f>BJ88</f>
        <v>1270</v>
      </c>
      <c r="AQ88" s="26" t="str">
        <f t="shared" si="22"/>
        <v>TAHSIS RIVERCoho</v>
      </c>
      <c r="AR88" s="26">
        <f t="shared" si="23"/>
        <v>0</v>
      </c>
      <c r="AS88" s="33">
        <f t="shared" si="18"/>
        <v>0</v>
      </c>
      <c r="AW88" s="34"/>
      <c r="AX88" s="47" t="str">
        <f t="shared" si="24"/>
        <v>TAHSIS RIVERCoho</v>
      </c>
      <c r="AY88" s="49">
        <f t="shared" si="25"/>
        <v>0</v>
      </c>
      <c r="AZ88" s="49">
        <f t="shared" si="26"/>
        <v>0</v>
      </c>
      <c r="BA88" s="31">
        <v>2016</v>
      </c>
      <c r="BB88" s="188" t="str">
        <f t="shared" si="27"/>
        <v>Hay and Assoc.</v>
      </c>
      <c r="BC88" s="188" t="str">
        <f t="shared" si="32"/>
        <v xml:space="preserve"> </v>
      </c>
      <c r="BD88" s="188" t="str">
        <f t="shared" si="33"/>
        <v xml:space="preserve"> </v>
      </c>
      <c r="BE88" s="188" t="str">
        <f t="shared" si="34"/>
        <v xml:space="preserve"> </v>
      </c>
      <c r="BF88" s="50" t="str">
        <f t="shared" si="20"/>
        <v>TAHSIS RIVER_Coho</v>
      </c>
      <c r="BG88" s="50">
        <f>IFERROR(VLOOKUP(BF88,'[1]WCVI Esc'!$C$5:$W$534,18,FALSE),"-")</f>
        <v>1143.5</v>
      </c>
      <c r="BH88" s="50">
        <f t="shared" si="28"/>
        <v>1140</v>
      </c>
      <c r="BI88" s="50">
        <f>IFERROR(VLOOKUP(BF88,'[1]WCVI Esc'!$C$5:$W$534,19,FALSE),"-")</f>
        <v>1274.3333333333333</v>
      </c>
      <c r="BJ88" s="50">
        <f t="shared" si="29"/>
        <v>1270</v>
      </c>
    </row>
    <row r="89" spans="1:65" hidden="1" x14ac:dyDescent="0.2">
      <c r="A89" s="29">
        <v>2</v>
      </c>
      <c r="B89" s="29">
        <v>3</v>
      </c>
      <c r="C89" s="13">
        <v>25</v>
      </c>
      <c r="D89" s="148" t="s">
        <v>299</v>
      </c>
      <c r="E89" s="10" t="s">
        <v>52</v>
      </c>
      <c r="F89" s="10" t="s">
        <v>208</v>
      </c>
      <c r="G89" s="10"/>
      <c r="H89" s="152"/>
      <c r="I89" s="155"/>
      <c r="J89" s="106"/>
      <c r="K89" s="94"/>
      <c r="L89" s="158"/>
      <c r="M89" s="161"/>
      <c r="N89" s="106"/>
      <c r="O89" s="106"/>
      <c r="P89" s="63"/>
      <c r="Q89" s="162"/>
      <c r="R89" s="169"/>
      <c r="S89" s="62"/>
      <c r="T89" s="62"/>
      <c r="U89" s="62"/>
      <c r="V89" s="64"/>
      <c r="W89" s="164"/>
      <c r="X89" s="62"/>
      <c r="Y89" s="46"/>
      <c r="Z89" s="44"/>
      <c r="AA89" s="100"/>
      <c r="AB89" s="100"/>
      <c r="AC89" s="123"/>
      <c r="AD89" s="123"/>
      <c r="AE89" s="123"/>
      <c r="AF89" s="123"/>
      <c r="AG89" s="69">
        <v>25</v>
      </c>
      <c r="AH89" s="69" t="s">
        <v>299</v>
      </c>
      <c r="AI89" s="243" t="s">
        <v>52</v>
      </c>
      <c r="AJ89" s="243" t="s">
        <v>419</v>
      </c>
      <c r="AK89" s="244" t="s">
        <v>367</v>
      </c>
      <c r="AL89" s="43" t="str">
        <f t="shared" si="30"/>
        <v>-</v>
      </c>
      <c r="AM89" s="43">
        <f t="shared" si="21"/>
        <v>0</v>
      </c>
      <c r="AN89" s="193">
        <f t="shared" si="21"/>
        <v>0</v>
      </c>
      <c r="AO89" s="264">
        <f t="shared" si="31"/>
        <v>0</v>
      </c>
      <c r="AP89" s="265">
        <f>BJ89</f>
        <v>0</v>
      </c>
      <c r="AQ89" s="26" t="str">
        <f t="shared" si="22"/>
        <v>TAHSIS RIVERPink</v>
      </c>
      <c r="AR89" s="26">
        <f t="shared" si="23"/>
        <v>0</v>
      </c>
      <c r="AS89" s="33">
        <f t="shared" si="18"/>
        <v>0</v>
      </c>
      <c r="AW89" s="34"/>
      <c r="AX89" s="47" t="str">
        <f t="shared" si="24"/>
        <v>TAHSIS RIVERPink</v>
      </c>
      <c r="AY89" s="49">
        <f t="shared" si="25"/>
        <v>0</v>
      </c>
      <c r="AZ89" s="49">
        <f t="shared" si="26"/>
        <v>0</v>
      </c>
      <c r="BA89" s="31">
        <v>2016</v>
      </c>
      <c r="BB89" s="188" t="str">
        <f t="shared" si="27"/>
        <v>Hay and Assoc.</v>
      </c>
      <c r="BC89" s="188" t="str">
        <f t="shared" si="32"/>
        <v xml:space="preserve"> </v>
      </c>
      <c r="BD89" s="188" t="str">
        <f t="shared" si="33"/>
        <v xml:space="preserve"> </v>
      </c>
      <c r="BE89" s="188" t="str">
        <f t="shared" si="34"/>
        <v xml:space="preserve"> </v>
      </c>
      <c r="BF89" s="50" t="str">
        <f t="shared" si="20"/>
        <v>TAHSIS RIVER_Pink</v>
      </c>
      <c r="BG89" s="50">
        <f>IFERROR(VLOOKUP(BF89,'[1]WCVI Esc'!$C$5:$W$534,18,FALSE),"-")</f>
        <v>4.333333333333333</v>
      </c>
      <c r="BH89" s="50">
        <f t="shared" si="28"/>
        <v>0</v>
      </c>
      <c r="BI89" s="50">
        <f>IFERROR(VLOOKUP(BF89,'[1]WCVI Esc'!$C$5:$W$534,19,FALSE),"-")</f>
        <v>3.75</v>
      </c>
      <c r="BJ89" s="50">
        <f t="shared" si="29"/>
        <v>0</v>
      </c>
    </row>
    <row r="90" spans="1:65" hidden="1" x14ac:dyDescent="0.2">
      <c r="A90" s="29">
        <v>2</v>
      </c>
      <c r="B90" s="29">
        <v>4</v>
      </c>
      <c r="C90" s="13">
        <v>25</v>
      </c>
      <c r="D90" s="148" t="s">
        <v>299</v>
      </c>
      <c r="E90" s="10" t="s">
        <v>52</v>
      </c>
      <c r="F90" s="10" t="s">
        <v>209</v>
      </c>
      <c r="G90" s="10"/>
      <c r="H90" s="152"/>
      <c r="I90" s="155"/>
      <c r="J90" s="106"/>
      <c r="K90" s="94"/>
      <c r="L90" s="158"/>
      <c r="M90" s="161"/>
      <c r="N90" s="106"/>
      <c r="O90" s="106"/>
      <c r="P90" s="63"/>
      <c r="Q90" s="162"/>
      <c r="R90" s="164"/>
      <c r="S90" s="62"/>
      <c r="T90" s="63"/>
      <c r="U90" s="62"/>
      <c r="V90" s="64"/>
      <c r="W90" s="164"/>
      <c r="X90" s="62"/>
      <c r="Y90" s="46"/>
      <c r="Z90" s="44"/>
      <c r="AA90" s="100">
        <f>Y90/AP90</f>
        <v>0</v>
      </c>
      <c r="AB90" s="100">
        <f>AS90/AP90</f>
        <v>0</v>
      </c>
      <c r="AC90" s="123">
        <v>2</v>
      </c>
      <c r="AD90" s="123"/>
      <c r="AE90" s="123"/>
      <c r="AF90" s="123"/>
      <c r="AG90" s="69">
        <v>25</v>
      </c>
      <c r="AH90" s="69" t="s">
        <v>299</v>
      </c>
      <c r="AI90" s="243" t="s">
        <v>52</v>
      </c>
      <c r="AJ90" s="243" t="s">
        <v>419</v>
      </c>
      <c r="AK90" s="244" t="s">
        <v>367</v>
      </c>
      <c r="AL90" s="43" t="str">
        <f t="shared" si="30"/>
        <v>-</v>
      </c>
      <c r="AM90" s="43">
        <f t="shared" si="21"/>
        <v>0</v>
      </c>
      <c r="AN90" s="193">
        <f t="shared" si="21"/>
        <v>0</v>
      </c>
      <c r="AO90" s="264">
        <f t="shared" si="31"/>
        <v>1230</v>
      </c>
      <c r="AP90" s="265">
        <f>BJ90</f>
        <v>3490</v>
      </c>
      <c r="AQ90" s="26" t="str">
        <f t="shared" si="22"/>
        <v>TAHSIS RIVERChum</v>
      </c>
      <c r="AR90" s="26">
        <f t="shared" si="23"/>
        <v>0</v>
      </c>
      <c r="AS90" s="33">
        <f t="shared" si="18"/>
        <v>0</v>
      </c>
      <c r="AW90" s="34"/>
      <c r="AX90" s="47" t="str">
        <f t="shared" si="24"/>
        <v>TAHSIS RIVERChum</v>
      </c>
      <c r="AY90" s="49">
        <f t="shared" si="25"/>
        <v>0</v>
      </c>
      <c r="AZ90" s="49">
        <f t="shared" si="26"/>
        <v>0</v>
      </c>
      <c r="BA90" s="31">
        <v>2016</v>
      </c>
      <c r="BB90" s="188" t="str">
        <f t="shared" si="27"/>
        <v>Hay and Assoc.</v>
      </c>
      <c r="BC90" s="188" t="str">
        <f t="shared" si="32"/>
        <v xml:space="preserve"> </v>
      </c>
      <c r="BD90" s="188" t="str">
        <f t="shared" si="33"/>
        <v xml:space="preserve"> </v>
      </c>
      <c r="BE90" s="188" t="str">
        <f t="shared" si="34"/>
        <v xml:space="preserve"> </v>
      </c>
      <c r="BF90" s="50" t="str">
        <f t="shared" si="20"/>
        <v>TAHSIS RIVER_Chum</v>
      </c>
      <c r="BG90" s="50">
        <f>IFERROR(VLOOKUP(BF90,'[1]WCVI Esc'!$C$5:$W$534,18,FALSE),"-")</f>
        <v>1230</v>
      </c>
      <c r="BH90" s="50">
        <f t="shared" si="28"/>
        <v>1230</v>
      </c>
      <c r="BI90" s="50">
        <f>IFERROR(VLOOKUP(BF90,'[1]WCVI Esc'!$C$5:$W$534,19,FALSE),"-")</f>
        <v>3492.1666666666665</v>
      </c>
      <c r="BJ90" s="50">
        <f t="shared" si="29"/>
        <v>3490</v>
      </c>
    </row>
    <row r="91" spans="1:65" x14ac:dyDescent="0.2">
      <c r="A91" s="29">
        <v>2</v>
      </c>
      <c r="B91" s="29">
        <v>5</v>
      </c>
      <c r="C91" s="13">
        <v>25</v>
      </c>
      <c r="D91" s="148" t="s">
        <v>299</v>
      </c>
      <c r="E91" s="10" t="s">
        <v>52</v>
      </c>
      <c r="F91" s="10" t="s">
        <v>210</v>
      </c>
      <c r="G91" s="10"/>
      <c r="H91" s="152"/>
      <c r="I91" s="155"/>
      <c r="J91" s="106"/>
      <c r="K91" s="94"/>
      <c r="L91" s="158"/>
      <c r="M91" s="161"/>
      <c r="N91" s="106"/>
      <c r="O91" s="106"/>
      <c r="P91" s="63"/>
      <c r="Q91" s="162"/>
      <c r="R91" s="164"/>
      <c r="S91" s="62"/>
      <c r="T91" s="63"/>
      <c r="U91" s="62"/>
      <c r="V91" s="64"/>
      <c r="W91" s="164"/>
      <c r="X91" s="62"/>
      <c r="Y91" s="45"/>
      <c r="Z91" s="44"/>
      <c r="AA91" s="100">
        <f>Y91/AP91</f>
        <v>0</v>
      </c>
      <c r="AB91" s="100">
        <f>AS91/AP91</f>
        <v>0</v>
      </c>
      <c r="AC91" s="123">
        <v>2</v>
      </c>
      <c r="AD91" s="123">
        <v>395</v>
      </c>
      <c r="AE91" s="123">
        <v>116</v>
      </c>
      <c r="AF91" s="123">
        <f>Y91</f>
        <v>0</v>
      </c>
      <c r="AG91" s="69">
        <v>25</v>
      </c>
      <c r="AH91" s="69" t="s">
        <v>299</v>
      </c>
      <c r="AI91" s="243" t="s">
        <v>52</v>
      </c>
      <c r="AJ91" s="243" t="s">
        <v>419</v>
      </c>
      <c r="AK91" s="244" t="s">
        <v>367</v>
      </c>
      <c r="AL91" s="43" t="str">
        <f t="shared" si="30"/>
        <v>-</v>
      </c>
      <c r="AM91" s="43">
        <f t="shared" si="21"/>
        <v>0</v>
      </c>
      <c r="AN91" s="193">
        <f t="shared" si="21"/>
        <v>0</v>
      </c>
      <c r="AO91" s="264">
        <f t="shared" si="31"/>
        <v>990</v>
      </c>
      <c r="AP91" s="265">
        <f>BJ91</f>
        <v>620</v>
      </c>
      <c r="AQ91" s="26" t="str">
        <f t="shared" si="22"/>
        <v>TAHSIS RIVERChinook</v>
      </c>
      <c r="AR91" s="26">
        <f t="shared" si="23"/>
        <v>0</v>
      </c>
      <c r="AS91" s="33">
        <f t="shared" si="18"/>
        <v>0</v>
      </c>
      <c r="AT91" s="34">
        <f>AS91*1.14</f>
        <v>0</v>
      </c>
      <c r="AU91" s="34">
        <f>AS91*2.88</f>
        <v>0</v>
      </c>
      <c r="AV91" s="36"/>
      <c r="AW91" s="34">
        <f>SUM(AT91:AU91)/2</f>
        <v>0</v>
      </c>
      <c r="AX91" s="47" t="str">
        <f t="shared" si="24"/>
        <v>TAHSIS RIVERChinook</v>
      </c>
      <c r="AY91" s="49">
        <f t="shared" si="25"/>
        <v>0</v>
      </c>
      <c r="AZ91" s="49">
        <f t="shared" si="26"/>
        <v>0</v>
      </c>
      <c r="BA91" s="31">
        <v>2016</v>
      </c>
      <c r="BB91" s="188" t="str">
        <f t="shared" si="27"/>
        <v>Hay and Assoc.</v>
      </c>
      <c r="BC91" s="188" t="str">
        <f t="shared" si="32"/>
        <v xml:space="preserve"> </v>
      </c>
      <c r="BD91" s="188" t="str">
        <f t="shared" si="33"/>
        <v xml:space="preserve"> </v>
      </c>
      <c r="BE91" s="188" t="str">
        <f t="shared" si="34"/>
        <v xml:space="preserve"> </v>
      </c>
      <c r="BF91" s="50" t="str">
        <f t="shared" si="20"/>
        <v>TAHSIS RIVER_Chinook</v>
      </c>
      <c r="BG91" s="50">
        <f>IFERROR(VLOOKUP(BF91,'[1]WCVI Esc'!$C$5:$W$534,18,FALSE),"-")</f>
        <v>992.25</v>
      </c>
      <c r="BH91" s="50">
        <f t="shared" si="28"/>
        <v>990</v>
      </c>
      <c r="BI91" s="50">
        <f>IFERROR(VLOOKUP(BF91,'[1]WCVI Esc'!$C$5:$W$534,19,FALSE),"-")</f>
        <v>621.16666666666663</v>
      </c>
      <c r="BJ91" s="50">
        <f t="shared" si="29"/>
        <v>620</v>
      </c>
      <c r="BK91">
        <v>6</v>
      </c>
      <c r="BL91" s="17" t="s">
        <v>457</v>
      </c>
      <c r="BM91" s="31">
        <v>1</v>
      </c>
    </row>
    <row r="92" spans="1:65" hidden="1" x14ac:dyDescent="0.2">
      <c r="A92" s="29">
        <v>2</v>
      </c>
      <c r="B92" s="29">
        <v>6</v>
      </c>
      <c r="C92" s="13">
        <v>25</v>
      </c>
      <c r="D92" s="148" t="s">
        <v>299</v>
      </c>
      <c r="E92" s="10" t="s">
        <v>52</v>
      </c>
      <c r="F92" s="10" t="s">
        <v>211</v>
      </c>
      <c r="G92" s="10"/>
      <c r="H92" s="152"/>
      <c r="I92" s="155"/>
      <c r="J92" s="106"/>
      <c r="K92" s="94"/>
      <c r="L92" s="158"/>
      <c r="M92" s="161"/>
      <c r="N92" s="106"/>
      <c r="O92" s="106"/>
      <c r="P92" s="63"/>
      <c r="Q92" s="162"/>
      <c r="R92" s="164"/>
      <c r="S92" s="62"/>
      <c r="T92" s="63"/>
      <c r="U92" s="62"/>
      <c r="V92" s="64"/>
      <c r="W92" s="164"/>
      <c r="X92" s="62"/>
      <c r="Y92" s="45"/>
      <c r="Z92" s="44"/>
      <c r="AA92" s="100"/>
      <c r="AB92" s="100"/>
      <c r="AC92" s="123"/>
      <c r="AD92" s="123"/>
      <c r="AE92" s="123"/>
      <c r="AF92" s="123"/>
      <c r="AG92" s="69">
        <v>25</v>
      </c>
      <c r="AH92" s="69" t="s">
        <v>299</v>
      </c>
      <c r="AI92" s="243" t="s">
        <v>52</v>
      </c>
      <c r="AJ92" s="243" t="s">
        <v>419</v>
      </c>
      <c r="AK92" s="244" t="s">
        <v>367</v>
      </c>
      <c r="AL92" s="43" t="str">
        <f t="shared" si="30"/>
        <v>-</v>
      </c>
      <c r="AM92" s="43">
        <f t="shared" si="21"/>
        <v>0</v>
      </c>
      <c r="AN92" s="193">
        <f t="shared" si="21"/>
        <v>0</v>
      </c>
      <c r="AO92" s="264" t="str">
        <f t="shared" si="31"/>
        <v>-</v>
      </c>
      <c r="AP92" s="266"/>
      <c r="AQ92" s="26" t="str">
        <f t="shared" si="22"/>
        <v>TAHSIS RIVERSteelhead</v>
      </c>
      <c r="AR92" s="26">
        <f t="shared" si="23"/>
        <v>0</v>
      </c>
      <c r="AS92" s="33">
        <f t="shared" si="18"/>
        <v>0</v>
      </c>
      <c r="AW92" s="34"/>
      <c r="AX92" s="47" t="str">
        <f t="shared" si="24"/>
        <v>TAHSIS RIVERSteelhead</v>
      </c>
      <c r="AY92" s="49">
        <f t="shared" si="25"/>
        <v>0</v>
      </c>
      <c r="AZ92" s="49">
        <f t="shared" si="26"/>
        <v>0</v>
      </c>
      <c r="BA92" s="31">
        <v>0</v>
      </c>
      <c r="BB92" s="188" t="str">
        <f t="shared" si="27"/>
        <v>Hay and Assoc.</v>
      </c>
      <c r="BC92" s="188" t="str">
        <f t="shared" si="32"/>
        <v xml:space="preserve"> </v>
      </c>
      <c r="BD92" s="188" t="str">
        <f t="shared" si="33"/>
        <v xml:space="preserve"> </v>
      </c>
      <c r="BE92" s="188" t="str">
        <f t="shared" si="34"/>
        <v xml:space="preserve"> </v>
      </c>
      <c r="BF92" s="50" t="str">
        <f t="shared" si="20"/>
        <v>TAHSIS RIVER_Steelhead</v>
      </c>
      <c r="BG92" s="50" t="str">
        <f>IFERROR(VLOOKUP(BF92,'[1]WCVI Esc'!$C$5:$W$534,18,FALSE),"-")</f>
        <v>-</v>
      </c>
      <c r="BH92" s="50" t="str">
        <f t="shared" si="28"/>
        <v>-</v>
      </c>
      <c r="BI92" s="50" t="str">
        <f>IFERROR(VLOOKUP(BF92,'[1]WCVI Esc'!$C$5:$W$534,19,FALSE),"-")</f>
        <v>-</v>
      </c>
      <c r="BJ92" s="50" t="str">
        <f t="shared" si="29"/>
        <v>-</v>
      </c>
    </row>
    <row r="93" spans="1:65" hidden="1" x14ac:dyDescent="0.2">
      <c r="A93" s="29">
        <v>2</v>
      </c>
      <c r="B93" s="29">
        <v>1</v>
      </c>
      <c r="C93" s="13">
        <v>26</v>
      </c>
      <c r="D93" s="148" t="s">
        <v>301</v>
      </c>
      <c r="E93" s="10" t="s">
        <v>57</v>
      </c>
      <c r="F93" s="10" t="s">
        <v>207</v>
      </c>
      <c r="G93" s="10"/>
      <c r="H93" s="152"/>
      <c r="I93" s="155"/>
      <c r="J93" s="106"/>
      <c r="K93" s="94"/>
      <c r="L93" s="158"/>
      <c r="M93" s="161"/>
      <c r="N93" s="106"/>
      <c r="O93" s="106"/>
      <c r="P93" s="63"/>
      <c r="Q93" s="162"/>
      <c r="R93" s="169"/>
      <c r="S93" s="62"/>
      <c r="T93" s="63"/>
      <c r="U93" s="62"/>
      <c r="V93" s="64"/>
      <c r="W93" s="164"/>
      <c r="X93" s="62"/>
      <c r="Y93" s="45"/>
      <c r="Z93" s="44"/>
      <c r="AA93" s="100">
        <f>Y93/AP93</f>
        <v>0</v>
      </c>
      <c r="AB93" s="100">
        <f>AS93/AP93</f>
        <v>0</v>
      </c>
      <c r="AC93" s="123"/>
      <c r="AD93" s="123"/>
      <c r="AE93" s="123"/>
      <c r="AF93" s="123"/>
      <c r="AG93" s="69">
        <v>26</v>
      </c>
      <c r="AH93" s="69" t="s">
        <v>301</v>
      </c>
      <c r="AI93" s="243" t="s">
        <v>57</v>
      </c>
      <c r="AJ93" s="243" t="s">
        <v>419</v>
      </c>
      <c r="AK93" s="244" t="s">
        <v>292</v>
      </c>
      <c r="AL93" s="43" t="str">
        <f t="shared" si="30"/>
        <v>-</v>
      </c>
      <c r="AM93" s="43">
        <f t="shared" si="21"/>
        <v>0</v>
      </c>
      <c r="AN93" s="193">
        <f t="shared" si="21"/>
        <v>0</v>
      </c>
      <c r="AO93" s="264">
        <f t="shared" si="31"/>
        <v>10</v>
      </c>
      <c r="AP93" s="265">
        <f>BJ93</f>
        <v>10</v>
      </c>
      <c r="AQ93" s="26" t="str">
        <f t="shared" si="22"/>
        <v>ARTLISH RIVERSockeye</v>
      </c>
      <c r="AR93" s="26">
        <f t="shared" si="23"/>
        <v>0</v>
      </c>
      <c r="AS93" s="33">
        <f t="shared" si="18"/>
        <v>0</v>
      </c>
      <c r="AW93" s="34"/>
      <c r="AX93" s="47" t="str">
        <f t="shared" si="24"/>
        <v>ARTLISH RIVERSockeye</v>
      </c>
      <c r="AY93" s="49">
        <f t="shared" si="25"/>
        <v>0</v>
      </c>
      <c r="AZ93" s="49">
        <f t="shared" si="26"/>
        <v>0</v>
      </c>
      <c r="BA93" s="31">
        <v>2016</v>
      </c>
      <c r="BB93" s="188" t="str">
        <f t="shared" si="27"/>
        <v>KCFN/LGL</v>
      </c>
      <c r="BC93" s="188" t="str">
        <f t="shared" si="32"/>
        <v xml:space="preserve"> </v>
      </c>
      <c r="BD93" s="188" t="str">
        <f t="shared" si="33"/>
        <v xml:space="preserve"> </v>
      </c>
      <c r="BE93" s="188" t="str">
        <f t="shared" si="34"/>
        <v xml:space="preserve"> </v>
      </c>
      <c r="BF93" s="50" t="str">
        <f t="shared" si="20"/>
        <v>ARTLISH RIVER_Sockeye</v>
      </c>
      <c r="BG93" s="50">
        <f>IFERROR(VLOOKUP(BF93,'[1]WCVI Esc'!$C$5:$W$534,18,FALSE),"-")</f>
        <v>10</v>
      </c>
      <c r="BH93" s="50">
        <f t="shared" si="28"/>
        <v>10</v>
      </c>
      <c r="BI93" s="50">
        <f>IFERROR(VLOOKUP(BF93,'[1]WCVI Esc'!$C$5:$W$534,19,FALSE),"-")</f>
        <v>11.545454545454545</v>
      </c>
      <c r="BJ93" s="50">
        <f t="shared" si="29"/>
        <v>10</v>
      </c>
    </row>
    <row r="94" spans="1:65" hidden="1" x14ac:dyDescent="0.2">
      <c r="A94" s="29">
        <v>2</v>
      </c>
      <c r="B94" s="29">
        <v>2</v>
      </c>
      <c r="C94" s="13">
        <v>26</v>
      </c>
      <c r="D94" s="148" t="s">
        <v>301</v>
      </c>
      <c r="E94" s="10" t="s">
        <v>57</v>
      </c>
      <c r="F94" s="10" t="s">
        <v>219</v>
      </c>
      <c r="G94" s="10"/>
      <c r="H94" s="152"/>
      <c r="I94" s="155"/>
      <c r="J94" s="106"/>
      <c r="K94" s="94"/>
      <c r="L94" s="158"/>
      <c r="M94" s="161"/>
      <c r="N94" s="106"/>
      <c r="O94" s="106"/>
      <c r="P94" s="63"/>
      <c r="Q94" s="162"/>
      <c r="R94" s="164"/>
      <c r="S94" s="62"/>
      <c r="T94" s="63"/>
      <c r="U94" s="62"/>
      <c r="V94" s="64"/>
      <c r="W94" s="164"/>
      <c r="X94" s="62"/>
      <c r="Y94" s="45"/>
      <c r="Z94" s="44"/>
      <c r="AA94" s="100">
        <f>Y94/AP94</f>
        <v>0</v>
      </c>
      <c r="AB94" s="100">
        <f>AS94/AP94</f>
        <v>0</v>
      </c>
      <c r="AC94" s="123"/>
      <c r="AD94" s="123"/>
      <c r="AE94" s="123"/>
      <c r="AF94" s="123"/>
      <c r="AG94" s="69">
        <v>26</v>
      </c>
      <c r="AH94" s="69" t="s">
        <v>301</v>
      </c>
      <c r="AI94" s="243" t="s">
        <v>57</v>
      </c>
      <c r="AJ94" s="243" t="s">
        <v>419</v>
      </c>
      <c r="AK94" s="244" t="s">
        <v>292</v>
      </c>
      <c r="AL94" s="43" t="str">
        <f t="shared" si="30"/>
        <v>-</v>
      </c>
      <c r="AM94" s="43">
        <f t="shared" si="21"/>
        <v>0</v>
      </c>
      <c r="AN94" s="193">
        <f t="shared" si="21"/>
        <v>0</v>
      </c>
      <c r="AO94" s="264">
        <f t="shared" si="31"/>
        <v>1880</v>
      </c>
      <c r="AP94" s="265">
        <f>BJ94</f>
        <v>1830</v>
      </c>
      <c r="AQ94" s="26" t="str">
        <f t="shared" si="22"/>
        <v>ARTLISH RIVERCoho</v>
      </c>
      <c r="AR94" s="26">
        <f t="shared" si="23"/>
        <v>0</v>
      </c>
      <c r="AS94" s="33">
        <f t="shared" si="18"/>
        <v>0</v>
      </c>
      <c r="AW94" s="34"/>
      <c r="AX94" s="47" t="str">
        <f t="shared" si="24"/>
        <v>ARTLISH RIVERCoho</v>
      </c>
      <c r="AY94" s="49">
        <f t="shared" si="25"/>
        <v>0</v>
      </c>
      <c r="AZ94" s="49">
        <f t="shared" si="26"/>
        <v>0</v>
      </c>
      <c r="BA94" s="31">
        <v>2016</v>
      </c>
      <c r="BB94" s="188" t="str">
        <f t="shared" si="27"/>
        <v>KCFN/LGL</v>
      </c>
      <c r="BC94" s="188" t="str">
        <f t="shared" si="32"/>
        <v xml:space="preserve"> </v>
      </c>
      <c r="BD94" s="188" t="str">
        <f t="shared" si="33"/>
        <v xml:space="preserve"> </v>
      </c>
      <c r="BE94" s="188" t="str">
        <f t="shared" si="34"/>
        <v xml:space="preserve"> </v>
      </c>
      <c r="BF94" s="50" t="str">
        <f t="shared" si="20"/>
        <v>ARTLISH RIVER_Coho</v>
      </c>
      <c r="BG94" s="50">
        <f>IFERROR(VLOOKUP(BF94,'[1]WCVI Esc'!$C$5:$W$534,18,FALSE),"-")</f>
        <v>1884.25</v>
      </c>
      <c r="BH94" s="50">
        <f t="shared" si="28"/>
        <v>1880</v>
      </c>
      <c r="BI94" s="50">
        <f>IFERROR(VLOOKUP(BF94,'[1]WCVI Esc'!$C$5:$W$534,19,FALSE),"-")</f>
        <v>1833.9166666666667</v>
      </c>
      <c r="BJ94" s="50">
        <f t="shared" si="29"/>
        <v>1830</v>
      </c>
    </row>
    <row r="95" spans="1:65" hidden="1" x14ac:dyDescent="0.2">
      <c r="A95" s="29">
        <v>2</v>
      </c>
      <c r="B95" s="29">
        <v>3</v>
      </c>
      <c r="C95" s="13">
        <v>26</v>
      </c>
      <c r="D95" s="148" t="s">
        <v>301</v>
      </c>
      <c r="E95" s="10" t="s">
        <v>57</v>
      </c>
      <c r="F95" s="10" t="s">
        <v>208</v>
      </c>
      <c r="G95" s="10"/>
      <c r="H95" s="152"/>
      <c r="I95" s="155"/>
      <c r="J95" s="106"/>
      <c r="K95" s="94"/>
      <c r="L95" s="158"/>
      <c r="M95" s="161"/>
      <c r="N95" s="106"/>
      <c r="O95" s="106"/>
      <c r="P95" s="63"/>
      <c r="Q95" s="162"/>
      <c r="R95" s="169"/>
      <c r="S95" s="62"/>
      <c r="T95" s="63"/>
      <c r="U95" s="62"/>
      <c r="V95" s="64"/>
      <c r="W95" s="164"/>
      <c r="X95" s="62"/>
      <c r="Y95" s="45"/>
      <c r="Z95" s="44"/>
      <c r="AA95" s="100"/>
      <c r="AB95" s="100"/>
      <c r="AC95" s="123"/>
      <c r="AD95" s="123"/>
      <c r="AE95" s="123"/>
      <c r="AF95" s="123"/>
      <c r="AG95" s="69">
        <v>26</v>
      </c>
      <c r="AH95" s="69" t="s">
        <v>301</v>
      </c>
      <c r="AI95" s="243" t="s">
        <v>57</v>
      </c>
      <c r="AJ95" s="243" t="s">
        <v>419</v>
      </c>
      <c r="AK95" s="244" t="s">
        <v>292</v>
      </c>
      <c r="AL95" s="43" t="str">
        <f t="shared" si="30"/>
        <v>-</v>
      </c>
      <c r="AM95" s="43">
        <f t="shared" si="21"/>
        <v>0</v>
      </c>
      <c r="AN95" s="193">
        <f t="shared" si="21"/>
        <v>0</v>
      </c>
      <c r="AO95" s="264" t="str">
        <f t="shared" si="31"/>
        <v>-</v>
      </c>
      <c r="AP95" s="268"/>
      <c r="AQ95" s="26" t="str">
        <f t="shared" si="22"/>
        <v>ARTLISH RIVERPink</v>
      </c>
      <c r="AR95" s="26">
        <f t="shared" si="23"/>
        <v>0</v>
      </c>
      <c r="AS95" s="33">
        <f t="shared" si="18"/>
        <v>0</v>
      </c>
      <c r="AW95" s="34"/>
      <c r="AX95" s="47" t="str">
        <f t="shared" si="24"/>
        <v>ARTLISH RIVERPink</v>
      </c>
      <c r="AY95" s="49">
        <f t="shared" si="25"/>
        <v>0</v>
      </c>
      <c r="AZ95" s="49">
        <f t="shared" si="26"/>
        <v>0</v>
      </c>
      <c r="BA95" s="31">
        <v>0</v>
      </c>
      <c r="BB95" s="188" t="str">
        <f t="shared" si="27"/>
        <v>KCFN/LGL</v>
      </c>
      <c r="BC95" s="188" t="str">
        <f t="shared" si="32"/>
        <v xml:space="preserve"> </v>
      </c>
      <c r="BD95" s="188" t="str">
        <f t="shared" si="33"/>
        <v xml:space="preserve"> </v>
      </c>
      <c r="BE95" s="188" t="str">
        <f t="shared" si="34"/>
        <v xml:space="preserve"> </v>
      </c>
      <c r="BF95" s="50" t="str">
        <f t="shared" si="20"/>
        <v>ARTLISH RIVER_Pink</v>
      </c>
      <c r="BG95" s="50" t="str">
        <f>IFERROR(VLOOKUP(BF95,'[1]WCVI Esc'!$C$5:$W$534,18,FALSE),"-")</f>
        <v>-</v>
      </c>
      <c r="BH95" s="50" t="str">
        <f t="shared" si="28"/>
        <v>-</v>
      </c>
      <c r="BI95" s="50" t="str">
        <f>IFERROR(VLOOKUP(BF95,'[1]WCVI Esc'!$C$5:$W$534,19,FALSE),"-")</f>
        <v>-</v>
      </c>
      <c r="BJ95" s="50" t="str">
        <f t="shared" si="29"/>
        <v>-</v>
      </c>
    </row>
    <row r="96" spans="1:65" hidden="1" x14ac:dyDescent="0.2">
      <c r="A96" s="29">
        <v>2</v>
      </c>
      <c r="B96" s="29">
        <v>4</v>
      </c>
      <c r="C96" s="13">
        <v>26</v>
      </c>
      <c r="D96" s="148" t="s">
        <v>301</v>
      </c>
      <c r="E96" s="10" t="s">
        <v>57</v>
      </c>
      <c r="F96" s="10" t="s">
        <v>209</v>
      </c>
      <c r="G96" s="10"/>
      <c r="H96" s="152"/>
      <c r="I96" s="155"/>
      <c r="J96" s="106"/>
      <c r="K96" s="94"/>
      <c r="L96" s="158"/>
      <c r="M96" s="161"/>
      <c r="N96" s="106"/>
      <c r="O96" s="106"/>
      <c r="P96" s="63"/>
      <c r="Q96" s="162"/>
      <c r="R96" s="164"/>
      <c r="S96" s="62"/>
      <c r="T96" s="63"/>
      <c r="U96" s="62"/>
      <c r="V96" s="64"/>
      <c r="W96" s="164"/>
      <c r="X96" s="62"/>
      <c r="Y96" s="45"/>
      <c r="Z96" s="44"/>
      <c r="AA96" s="100">
        <f>Y96/AP96</f>
        <v>0</v>
      </c>
      <c r="AB96" s="100">
        <f>AS96/AP96</f>
        <v>0</v>
      </c>
      <c r="AC96" s="123"/>
      <c r="AD96" s="123"/>
      <c r="AE96" s="123"/>
      <c r="AF96" s="123"/>
      <c r="AG96" s="69">
        <v>26</v>
      </c>
      <c r="AH96" s="69" t="s">
        <v>301</v>
      </c>
      <c r="AI96" s="243" t="s">
        <v>57</v>
      </c>
      <c r="AJ96" s="243" t="s">
        <v>419</v>
      </c>
      <c r="AK96" s="244" t="s">
        <v>292</v>
      </c>
      <c r="AL96" s="43" t="str">
        <f t="shared" si="30"/>
        <v>-</v>
      </c>
      <c r="AM96" s="43">
        <f t="shared" si="21"/>
        <v>0</v>
      </c>
      <c r="AN96" s="193">
        <f t="shared" si="21"/>
        <v>0</v>
      </c>
      <c r="AO96" s="264">
        <f t="shared" si="31"/>
        <v>2490</v>
      </c>
      <c r="AP96" s="265">
        <f>BJ96</f>
        <v>4770</v>
      </c>
      <c r="AQ96" s="26" t="str">
        <f t="shared" si="22"/>
        <v>ARTLISH RIVERChum</v>
      </c>
      <c r="AR96" s="26">
        <f t="shared" si="23"/>
        <v>0</v>
      </c>
      <c r="AS96" s="33">
        <f t="shared" si="18"/>
        <v>0</v>
      </c>
      <c r="AW96" s="34"/>
      <c r="AX96" s="47" t="str">
        <f t="shared" si="24"/>
        <v>ARTLISH RIVERChum</v>
      </c>
      <c r="AY96" s="49">
        <f t="shared" si="25"/>
        <v>0</v>
      </c>
      <c r="AZ96" s="49">
        <f t="shared" si="26"/>
        <v>0</v>
      </c>
      <c r="BA96" s="31">
        <v>2016</v>
      </c>
      <c r="BB96" s="188" t="str">
        <f t="shared" si="27"/>
        <v>KCFN/LGL</v>
      </c>
      <c r="BC96" s="188" t="str">
        <f t="shared" si="32"/>
        <v xml:space="preserve"> </v>
      </c>
      <c r="BD96" s="188" t="str">
        <f t="shared" si="33"/>
        <v xml:space="preserve"> </v>
      </c>
      <c r="BE96" s="188" t="str">
        <f t="shared" si="34"/>
        <v xml:space="preserve"> </v>
      </c>
      <c r="BF96" s="50" t="str">
        <f t="shared" si="20"/>
        <v>ARTLISH RIVER_Chum</v>
      </c>
      <c r="BG96" s="50">
        <f>IFERROR(VLOOKUP(BF96,'[1]WCVI Esc'!$C$5:$W$534,18,FALSE),"-")</f>
        <v>2491.75</v>
      </c>
      <c r="BH96" s="50">
        <f t="shared" si="28"/>
        <v>2490</v>
      </c>
      <c r="BI96" s="50">
        <f>IFERROR(VLOOKUP(BF96,'[1]WCVI Esc'!$C$5:$W$534,19,FALSE),"-")</f>
        <v>4772.416666666667</v>
      </c>
      <c r="BJ96" s="50">
        <f t="shared" si="29"/>
        <v>4770</v>
      </c>
    </row>
    <row r="97" spans="1:65" hidden="1" x14ac:dyDescent="0.2">
      <c r="A97" s="29">
        <v>2</v>
      </c>
      <c r="B97" s="29">
        <v>5</v>
      </c>
      <c r="C97" s="13">
        <v>26</v>
      </c>
      <c r="D97" s="148" t="s">
        <v>301</v>
      </c>
      <c r="E97" s="10" t="s">
        <v>57</v>
      </c>
      <c r="F97" s="10" t="s">
        <v>210</v>
      </c>
      <c r="G97" s="10"/>
      <c r="H97" s="152"/>
      <c r="I97" s="155"/>
      <c r="J97" s="106"/>
      <c r="K97" s="94"/>
      <c r="L97" s="158"/>
      <c r="M97" s="161"/>
      <c r="N97" s="106"/>
      <c r="O97" s="106"/>
      <c r="P97" s="63"/>
      <c r="Q97" s="162"/>
      <c r="R97" s="164"/>
      <c r="S97" s="62"/>
      <c r="T97" s="63"/>
      <c r="U97" s="62"/>
      <c r="V97" s="64"/>
      <c r="W97" s="164"/>
      <c r="X97" s="62"/>
      <c r="Y97" s="45"/>
      <c r="Z97" s="44"/>
      <c r="AA97" s="100">
        <f>Y97/AP97</f>
        <v>0</v>
      </c>
      <c r="AB97" s="100">
        <f>AS97/AP97</f>
        <v>0</v>
      </c>
      <c r="AC97" s="123"/>
      <c r="AD97" s="123">
        <v>616</v>
      </c>
      <c r="AE97" s="123">
        <v>181</v>
      </c>
      <c r="AF97" s="123">
        <f>Y97</f>
        <v>0</v>
      </c>
      <c r="AG97" s="69">
        <v>26</v>
      </c>
      <c r="AH97" s="69" t="s">
        <v>301</v>
      </c>
      <c r="AI97" s="243" t="s">
        <v>57</v>
      </c>
      <c r="AJ97" s="243" t="s">
        <v>419</v>
      </c>
      <c r="AK97" s="244" t="s">
        <v>292</v>
      </c>
      <c r="AL97" s="43" t="str">
        <f t="shared" si="30"/>
        <v>-</v>
      </c>
      <c r="AM97" s="43">
        <f t="shared" si="21"/>
        <v>0</v>
      </c>
      <c r="AN97" s="193">
        <f t="shared" si="21"/>
        <v>0</v>
      </c>
      <c r="AO97" s="264">
        <f t="shared" si="31"/>
        <v>260</v>
      </c>
      <c r="AP97" s="265">
        <f>BJ97</f>
        <v>320</v>
      </c>
      <c r="AQ97" s="26" t="str">
        <f t="shared" si="22"/>
        <v>ARTLISH RIVERChinook</v>
      </c>
      <c r="AR97" s="26">
        <f t="shared" si="23"/>
        <v>0</v>
      </c>
      <c r="AS97" s="33">
        <f t="shared" ref="AS97:AS128" si="35">MAX(G97:X97)</f>
        <v>0</v>
      </c>
      <c r="AT97" s="34">
        <f>AS97*1.14</f>
        <v>0</v>
      </c>
      <c r="AU97" s="34">
        <f>AS97*2.88</f>
        <v>0</v>
      </c>
      <c r="AV97" s="35"/>
      <c r="AW97" s="34">
        <f>SUM(AT97:AU97)/2</f>
        <v>0</v>
      </c>
      <c r="AX97" s="47" t="str">
        <f t="shared" si="24"/>
        <v>ARTLISH RIVERChinook</v>
      </c>
      <c r="AY97" s="49">
        <f t="shared" si="25"/>
        <v>0</v>
      </c>
      <c r="AZ97" s="49">
        <f t="shared" si="26"/>
        <v>0</v>
      </c>
      <c r="BA97" s="31">
        <v>2016</v>
      </c>
      <c r="BB97" s="188" t="str">
        <f t="shared" si="27"/>
        <v>KCFN/LGL</v>
      </c>
      <c r="BC97" s="188" t="str">
        <f t="shared" si="32"/>
        <v xml:space="preserve"> </v>
      </c>
      <c r="BD97" s="188" t="str">
        <f t="shared" si="33"/>
        <v xml:space="preserve"> </v>
      </c>
      <c r="BE97" s="188" t="str">
        <f t="shared" si="34"/>
        <v xml:space="preserve"> </v>
      </c>
      <c r="BF97" s="50" t="str">
        <f t="shared" si="20"/>
        <v>ARTLISH RIVER_Chinook</v>
      </c>
      <c r="BG97" s="50">
        <f>IFERROR(VLOOKUP(BF97,'[1]WCVI Esc'!$C$5:$W$534,18,FALSE),"-")</f>
        <v>257.75</v>
      </c>
      <c r="BH97" s="50">
        <f t="shared" si="28"/>
        <v>260</v>
      </c>
      <c r="BI97" s="50">
        <f>IFERROR(VLOOKUP(BF97,'[1]WCVI Esc'!$C$5:$W$534,19,FALSE),"-")</f>
        <v>321.58333333333331</v>
      </c>
      <c r="BJ97" s="50">
        <f t="shared" si="29"/>
        <v>320</v>
      </c>
      <c r="BK97">
        <v>7</v>
      </c>
      <c r="BL97" s="17" t="s">
        <v>369</v>
      </c>
      <c r="BM97" s="31">
        <v>1</v>
      </c>
    </row>
    <row r="98" spans="1:65" hidden="1" x14ac:dyDescent="0.2">
      <c r="A98" s="29">
        <v>2</v>
      </c>
      <c r="B98" s="29">
        <v>6</v>
      </c>
      <c r="C98" s="13">
        <v>26</v>
      </c>
      <c r="D98" s="148" t="s">
        <v>301</v>
      </c>
      <c r="E98" s="10" t="s">
        <v>57</v>
      </c>
      <c r="F98" s="10" t="s">
        <v>211</v>
      </c>
      <c r="G98" s="10"/>
      <c r="H98" s="152"/>
      <c r="I98" s="155"/>
      <c r="J98" s="106"/>
      <c r="K98" s="94"/>
      <c r="L98" s="158"/>
      <c r="M98" s="161"/>
      <c r="N98" s="106"/>
      <c r="O98" s="106"/>
      <c r="P98" s="63"/>
      <c r="Q98" s="162"/>
      <c r="R98" s="164"/>
      <c r="S98" s="62"/>
      <c r="T98" s="63"/>
      <c r="U98" s="62"/>
      <c r="V98" s="64"/>
      <c r="W98" s="164"/>
      <c r="X98" s="62"/>
      <c r="Y98" s="45"/>
      <c r="Z98" s="44"/>
      <c r="AA98" s="100"/>
      <c r="AB98" s="100"/>
      <c r="AC98" s="123"/>
      <c r="AD98" s="123"/>
      <c r="AE98" s="123"/>
      <c r="AF98" s="123"/>
      <c r="AG98" s="69">
        <v>26</v>
      </c>
      <c r="AH98" s="69" t="s">
        <v>301</v>
      </c>
      <c r="AI98" s="243" t="s">
        <v>57</v>
      </c>
      <c r="AJ98" s="243" t="s">
        <v>419</v>
      </c>
      <c r="AK98" s="244" t="s">
        <v>292</v>
      </c>
      <c r="AL98" s="43" t="str">
        <f t="shared" si="30"/>
        <v>-</v>
      </c>
      <c r="AM98" s="43">
        <f t="shared" si="21"/>
        <v>0</v>
      </c>
      <c r="AN98" s="193">
        <f t="shared" si="21"/>
        <v>0</v>
      </c>
      <c r="AO98" s="264" t="str">
        <f t="shared" si="31"/>
        <v>-</v>
      </c>
      <c r="AP98" s="266"/>
      <c r="AQ98" s="26" t="str">
        <f t="shared" si="22"/>
        <v>ARTLISH RIVERSteelhead</v>
      </c>
      <c r="AR98" s="26">
        <f t="shared" si="23"/>
        <v>0</v>
      </c>
      <c r="AS98" s="33">
        <f t="shared" si="35"/>
        <v>0</v>
      </c>
      <c r="AW98" s="34"/>
      <c r="AX98" s="47" t="str">
        <f t="shared" si="24"/>
        <v>ARTLISH RIVERSteelhead</v>
      </c>
      <c r="AY98" s="49">
        <f t="shared" si="25"/>
        <v>0</v>
      </c>
      <c r="AZ98" s="49">
        <f t="shared" si="26"/>
        <v>0</v>
      </c>
      <c r="BA98" s="31">
        <v>0</v>
      </c>
      <c r="BB98" s="188" t="str">
        <f t="shared" si="27"/>
        <v>KCFN/LGL</v>
      </c>
      <c r="BC98" s="188" t="str">
        <f t="shared" si="32"/>
        <v xml:space="preserve"> </v>
      </c>
      <c r="BD98" s="188" t="str">
        <f t="shared" si="33"/>
        <v xml:space="preserve"> </v>
      </c>
      <c r="BE98" s="188" t="str">
        <f t="shared" si="34"/>
        <v xml:space="preserve"> </v>
      </c>
      <c r="BF98" s="50" t="str">
        <f t="shared" si="20"/>
        <v>ARTLISH RIVER_Steelhead</v>
      </c>
      <c r="BG98" s="50" t="str">
        <f>IFERROR(VLOOKUP(BF98,'[1]WCVI Esc'!$C$5:$W$534,18,FALSE),"-")</f>
        <v>-</v>
      </c>
      <c r="BH98" s="50" t="str">
        <f t="shared" si="28"/>
        <v>-</v>
      </c>
      <c r="BI98" s="50" t="str">
        <f>IFERROR(VLOOKUP(BF98,'[1]WCVI Esc'!$C$5:$W$534,19,FALSE),"-")</f>
        <v>-</v>
      </c>
      <c r="BJ98" s="50" t="str">
        <f t="shared" si="29"/>
        <v>-</v>
      </c>
    </row>
    <row r="99" spans="1:65" hidden="1" x14ac:dyDescent="0.2">
      <c r="A99" s="29">
        <v>2</v>
      </c>
      <c r="B99" s="29">
        <v>1</v>
      </c>
      <c r="C99" s="13">
        <v>26</v>
      </c>
      <c r="D99" s="148" t="s">
        <v>301</v>
      </c>
      <c r="E99" s="10" t="s">
        <v>62</v>
      </c>
      <c r="F99" s="10" t="s">
        <v>207</v>
      </c>
      <c r="G99" s="10"/>
      <c r="H99" s="152"/>
      <c r="I99" s="155"/>
      <c r="J99" s="106"/>
      <c r="K99" s="94"/>
      <c r="L99" s="158"/>
      <c r="M99" s="161"/>
      <c r="N99" s="106"/>
      <c r="O99" s="106"/>
      <c r="P99" s="63"/>
      <c r="Q99" s="162"/>
      <c r="R99" s="164"/>
      <c r="S99" s="62"/>
      <c r="T99" s="63"/>
      <c r="U99" s="62"/>
      <c r="V99" s="64"/>
      <c r="W99" s="164"/>
      <c r="X99" s="62"/>
      <c r="Y99" s="45"/>
      <c r="Z99" s="44"/>
      <c r="AA99" s="100">
        <f>Y99/AP99</f>
        <v>0</v>
      </c>
      <c r="AB99" s="100">
        <f>AS99/AP99</f>
        <v>0</v>
      </c>
      <c r="AC99" s="100"/>
      <c r="AD99" s="100"/>
      <c r="AE99" s="100"/>
      <c r="AF99" s="100"/>
      <c r="AG99" s="69">
        <v>26</v>
      </c>
      <c r="AH99" s="69" t="s">
        <v>301</v>
      </c>
      <c r="AI99" s="243" t="s">
        <v>62</v>
      </c>
      <c r="AJ99" s="243" t="s">
        <v>419</v>
      </c>
      <c r="AK99" s="244" t="s">
        <v>292</v>
      </c>
      <c r="AL99" s="43" t="str">
        <f t="shared" si="30"/>
        <v>-</v>
      </c>
      <c r="AM99" s="43">
        <f t="shared" si="21"/>
        <v>0</v>
      </c>
      <c r="AN99" s="193">
        <f t="shared" si="21"/>
        <v>0</v>
      </c>
      <c r="AO99" s="264">
        <f t="shared" si="31"/>
        <v>30</v>
      </c>
      <c r="AP99" s="265">
        <f>BJ99</f>
        <v>60</v>
      </c>
      <c r="AQ99" s="26" t="str">
        <f t="shared" si="22"/>
        <v>KAOUK RIVERSockeye</v>
      </c>
      <c r="AR99" s="26">
        <f t="shared" si="23"/>
        <v>0</v>
      </c>
      <c r="AS99" s="33">
        <f t="shared" si="35"/>
        <v>0</v>
      </c>
      <c r="AV99"/>
      <c r="AW99" s="34"/>
      <c r="AX99" s="47" t="str">
        <f t="shared" si="24"/>
        <v>KAOUK RIVERSockeye</v>
      </c>
      <c r="AY99" s="49">
        <f t="shared" si="25"/>
        <v>0</v>
      </c>
      <c r="AZ99" s="49">
        <f t="shared" si="26"/>
        <v>0</v>
      </c>
      <c r="BA99" s="31">
        <v>2016</v>
      </c>
      <c r="BB99" s="188" t="str">
        <f t="shared" si="27"/>
        <v>KCFN/LGL</v>
      </c>
      <c r="BC99" s="188" t="str">
        <f t="shared" si="32"/>
        <v xml:space="preserve"> </v>
      </c>
      <c r="BD99" s="188" t="str">
        <f t="shared" si="33"/>
        <v xml:space="preserve"> </v>
      </c>
      <c r="BE99" s="188" t="str">
        <f t="shared" si="34"/>
        <v xml:space="preserve"> </v>
      </c>
      <c r="BF99" s="50" t="str">
        <f t="shared" si="20"/>
        <v>KAOUK RIVER_Sockeye</v>
      </c>
      <c r="BG99" s="50">
        <f>IFERROR(VLOOKUP(BF99,'[1]WCVI Esc'!$C$5:$W$534,18,FALSE),"-")</f>
        <v>26.25</v>
      </c>
      <c r="BH99" s="50">
        <f t="shared" si="28"/>
        <v>30</v>
      </c>
      <c r="BI99" s="50">
        <f>IFERROR(VLOOKUP(BF99,'[1]WCVI Esc'!$C$5:$W$534,19,FALSE),"-")</f>
        <v>63.083333333333336</v>
      </c>
      <c r="BJ99" s="50">
        <f t="shared" si="29"/>
        <v>60</v>
      </c>
    </row>
    <row r="100" spans="1:65" hidden="1" x14ac:dyDescent="0.2">
      <c r="A100" s="29">
        <v>2</v>
      </c>
      <c r="B100" s="29">
        <v>2</v>
      </c>
      <c r="C100" s="13">
        <v>26</v>
      </c>
      <c r="D100" s="148" t="s">
        <v>301</v>
      </c>
      <c r="E100" s="10" t="s">
        <v>62</v>
      </c>
      <c r="F100" s="10" t="s">
        <v>219</v>
      </c>
      <c r="G100" s="10"/>
      <c r="H100" s="152"/>
      <c r="I100" s="155"/>
      <c r="J100" s="106"/>
      <c r="K100" s="94"/>
      <c r="L100" s="158"/>
      <c r="M100" s="161"/>
      <c r="N100" s="106"/>
      <c r="O100" s="106"/>
      <c r="P100" s="63"/>
      <c r="Q100" s="162"/>
      <c r="R100" s="164"/>
      <c r="S100" s="62"/>
      <c r="T100" s="63"/>
      <c r="U100" s="62"/>
      <c r="V100" s="64"/>
      <c r="W100" s="164"/>
      <c r="X100" s="62"/>
      <c r="Y100" s="45"/>
      <c r="Z100" s="44"/>
      <c r="AA100" s="100">
        <f>Y100/AP100</f>
        <v>0</v>
      </c>
      <c r="AB100" s="100">
        <f>AS100/AP100</f>
        <v>0</v>
      </c>
      <c r="AC100" s="100"/>
      <c r="AD100" s="100"/>
      <c r="AE100" s="100"/>
      <c r="AF100" s="100"/>
      <c r="AG100" s="69">
        <v>26</v>
      </c>
      <c r="AH100" s="69" t="s">
        <v>301</v>
      </c>
      <c r="AI100" s="243" t="s">
        <v>62</v>
      </c>
      <c r="AJ100" s="243" t="s">
        <v>419</v>
      </c>
      <c r="AK100" s="244" t="s">
        <v>292</v>
      </c>
      <c r="AL100" s="43" t="str">
        <f t="shared" si="30"/>
        <v>-</v>
      </c>
      <c r="AM100" s="43">
        <f t="shared" si="21"/>
        <v>0</v>
      </c>
      <c r="AN100" s="193">
        <f t="shared" si="21"/>
        <v>0</v>
      </c>
      <c r="AO100" s="264">
        <f t="shared" si="31"/>
        <v>2990</v>
      </c>
      <c r="AP100" s="265">
        <f>BJ100</f>
        <v>2810</v>
      </c>
      <c r="AQ100" s="26" t="str">
        <f t="shared" si="22"/>
        <v>KAOUK RIVERCoho</v>
      </c>
      <c r="AR100" s="26">
        <f t="shared" si="23"/>
        <v>0</v>
      </c>
      <c r="AS100" s="33">
        <f t="shared" si="35"/>
        <v>0</v>
      </c>
      <c r="AV100"/>
      <c r="AW100" s="34"/>
      <c r="AX100" s="47" t="str">
        <f t="shared" si="24"/>
        <v>KAOUK RIVERCoho</v>
      </c>
      <c r="AY100" s="49">
        <f t="shared" si="25"/>
        <v>0</v>
      </c>
      <c r="AZ100" s="49">
        <f t="shared" si="26"/>
        <v>0</v>
      </c>
      <c r="BA100" s="31">
        <v>2016</v>
      </c>
      <c r="BB100" s="188" t="str">
        <f t="shared" si="27"/>
        <v>KCFN/LGL</v>
      </c>
      <c r="BC100" s="188" t="str">
        <f t="shared" si="32"/>
        <v xml:space="preserve"> </v>
      </c>
      <c r="BD100" s="188" t="str">
        <f t="shared" si="33"/>
        <v xml:space="preserve"> </v>
      </c>
      <c r="BE100" s="188" t="str">
        <f t="shared" si="34"/>
        <v xml:space="preserve"> </v>
      </c>
      <c r="BF100" s="50" t="str">
        <f t="shared" si="20"/>
        <v>KAOUK RIVER_Coho</v>
      </c>
      <c r="BG100" s="50">
        <f>IFERROR(VLOOKUP(BF100,'[1]WCVI Esc'!$C$5:$W$534,18,FALSE),"-")</f>
        <v>2988</v>
      </c>
      <c r="BH100" s="50">
        <f t="shared" si="28"/>
        <v>2990</v>
      </c>
      <c r="BI100" s="50">
        <f>IFERROR(VLOOKUP(BF100,'[1]WCVI Esc'!$C$5:$W$534,19,FALSE),"-")</f>
        <v>2814.8333333333335</v>
      </c>
      <c r="BJ100" s="50">
        <f t="shared" si="29"/>
        <v>2810</v>
      </c>
    </row>
    <row r="101" spans="1:65" hidden="1" x14ac:dyDescent="0.2">
      <c r="A101" s="29">
        <v>2</v>
      </c>
      <c r="B101" s="29">
        <v>3</v>
      </c>
      <c r="C101" s="13">
        <v>26</v>
      </c>
      <c r="D101" s="148" t="s">
        <v>301</v>
      </c>
      <c r="E101" s="10" t="s">
        <v>62</v>
      </c>
      <c r="F101" s="10" t="s">
        <v>208</v>
      </c>
      <c r="G101" s="10"/>
      <c r="H101" s="152"/>
      <c r="I101" s="155"/>
      <c r="J101" s="106"/>
      <c r="K101" s="94"/>
      <c r="L101" s="158"/>
      <c r="M101" s="161"/>
      <c r="N101" s="106"/>
      <c r="O101" s="106"/>
      <c r="P101" s="63"/>
      <c r="Q101" s="162"/>
      <c r="R101" s="164"/>
      <c r="S101" s="62"/>
      <c r="T101" s="63"/>
      <c r="U101" s="62"/>
      <c r="V101" s="64"/>
      <c r="W101" s="164"/>
      <c r="X101" s="62"/>
      <c r="Y101" s="45"/>
      <c r="Z101" s="44"/>
      <c r="AA101" s="100">
        <f>Y101/AP101</f>
        <v>0</v>
      </c>
      <c r="AB101" s="100">
        <f>AS101/AP101</f>
        <v>0</v>
      </c>
      <c r="AC101" s="100"/>
      <c r="AD101" s="100"/>
      <c r="AE101" s="100"/>
      <c r="AF101" s="100"/>
      <c r="AG101" s="69">
        <v>26</v>
      </c>
      <c r="AH101" s="69" t="s">
        <v>301</v>
      </c>
      <c r="AI101" s="243" t="s">
        <v>62</v>
      </c>
      <c r="AJ101" s="243" t="s">
        <v>419</v>
      </c>
      <c r="AK101" s="244" t="s">
        <v>292</v>
      </c>
      <c r="AL101" s="43" t="str">
        <f t="shared" si="30"/>
        <v>-</v>
      </c>
      <c r="AM101" s="43">
        <f t="shared" si="21"/>
        <v>0</v>
      </c>
      <c r="AN101" s="193">
        <f t="shared" si="21"/>
        <v>0</v>
      </c>
      <c r="AO101" s="264">
        <f t="shared" si="31"/>
        <v>0</v>
      </c>
      <c r="AP101" s="265">
        <f>BJ101</f>
        <v>10</v>
      </c>
      <c r="AQ101" s="26" t="str">
        <f t="shared" si="22"/>
        <v>KAOUK RIVERPink</v>
      </c>
      <c r="AR101" s="26">
        <f t="shared" si="23"/>
        <v>0</v>
      </c>
      <c r="AS101" s="33">
        <f t="shared" si="35"/>
        <v>0</v>
      </c>
      <c r="AW101" s="34"/>
      <c r="AX101" s="47" t="str">
        <f t="shared" si="24"/>
        <v>KAOUK RIVERPink</v>
      </c>
      <c r="AY101" s="49">
        <f t="shared" si="25"/>
        <v>0</v>
      </c>
      <c r="AZ101" s="49">
        <f t="shared" si="26"/>
        <v>0</v>
      </c>
      <c r="BA101" s="31">
        <v>2016</v>
      </c>
      <c r="BB101" s="188" t="str">
        <f t="shared" si="27"/>
        <v>KCFN/LGL</v>
      </c>
      <c r="BC101" s="188" t="str">
        <f t="shared" si="32"/>
        <v xml:space="preserve"> </v>
      </c>
      <c r="BD101" s="188" t="str">
        <f t="shared" si="33"/>
        <v xml:space="preserve"> </v>
      </c>
      <c r="BE101" s="188" t="str">
        <f t="shared" si="34"/>
        <v xml:space="preserve"> </v>
      </c>
      <c r="BF101" s="50" t="str">
        <f t="shared" si="20"/>
        <v>KAOUK RIVER_Pink</v>
      </c>
      <c r="BG101" s="50">
        <f>IFERROR(VLOOKUP(BF101,'[1]WCVI Esc'!$C$5:$W$534,18,FALSE),"-")</f>
        <v>4</v>
      </c>
      <c r="BH101" s="50">
        <f t="shared" si="28"/>
        <v>0</v>
      </c>
      <c r="BI101" s="50">
        <f>IFERROR(VLOOKUP(BF101,'[1]WCVI Esc'!$C$5:$W$534,19,FALSE),"-")</f>
        <v>5.666666666666667</v>
      </c>
      <c r="BJ101" s="50">
        <f t="shared" si="29"/>
        <v>10</v>
      </c>
    </row>
    <row r="102" spans="1:65" hidden="1" x14ac:dyDescent="0.2">
      <c r="A102" s="29">
        <v>2</v>
      </c>
      <c r="B102" s="29">
        <v>4</v>
      </c>
      <c r="C102" s="13">
        <v>26</v>
      </c>
      <c r="D102" s="148" t="s">
        <v>301</v>
      </c>
      <c r="E102" s="10" t="s">
        <v>62</v>
      </c>
      <c r="F102" s="10" t="s">
        <v>209</v>
      </c>
      <c r="G102" s="10"/>
      <c r="H102" s="152"/>
      <c r="I102" s="155"/>
      <c r="J102" s="106"/>
      <c r="K102" s="94"/>
      <c r="L102" s="158"/>
      <c r="M102" s="161"/>
      <c r="N102" s="106"/>
      <c r="O102" s="106"/>
      <c r="P102" s="63"/>
      <c r="Q102" s="162"/>
      <c r="R102" s="164"/>
      <c r="S102" s="62"/>
      <c r="T102" s="63"/>
      <c r="U102" s="62"/>
      <c r="V102" s="64"/>
      <c r="W102" s="164"/>
      <c r="X102" s="62"/>
      <c r="Y102" s="45"/>
      <c r="Z102" s="44"/>
      <c r="AA102" s="100">
        <f>Y102/AP102</f>
        <v>0</v>
      </c>
      <c r="AB102" s="100">
        <f>AS102/AP102</f>
        <v>0</v>
      </c>
      <c r="AC102" s="100"/>
      <c r="AD102" s="100"/>
      <c r="AE102" s="100"/>
      <c r="AF102" s="100"/>
      <c r="AG102" s="69">
        <v>26</v>
      </c>
      <c r="AH102" s="69" t="s">
        <v>301</v>
      </c>
      <c r="AI102" s="243" t="s">
        <v>62</v>
      </c>
      <c r="AJ102" s="243" t="s">
        <v>419</v>
      </c>
      <c r="AK102" s="244" t="s">
        <v>292</v>
      </c>
      <c r="AL102" s="43" t="str">
        <f t="shared" si="30"/>
        <v>-</v>
      </c>
      <c r="AM102" s="43">
        <f t="shared" si="21"/>
        <v>0</v>
      </c>
      <c r="AN102" s="193">
        <f t="shared" si="21"/>
        <v>0</v>
      </c>
      <c r="AO102" s="264">
        <f t="shared" si="31"/>
        <v>2970</v>
      </c>
      <c r="AP102" s="265">
        <f>BJ102</f>
        <v>6110</v>
      </c>
      <c r="AQ102" s="26" t="str">
        <f t="shared" si="22"/>
        <v>KAOUK RIVERChum</v>
      </c>
      <c r="AR102" s="26">
        <f t="shared" si="23"/>
        <v>0</v>
      </c>
      <c r="AS102" s="33">
        <f t="shared" si="35"/>
        <v>0</v>
      </c>
      <c r="AW102" s="34"/>
      <c r="AX102" s="47" t="str">
        <f t="shared" si="24"/>
        <v>KAOUK RIVERChum</v>
      </c>
      <c r="AY102" s="49">
        <f t="shared" si="25"/>
        <v>0</v>
      </c>
      <c r="AZ102" s="49">
        <f t="shared" si="26"/>
        <v>0</v>
      </c>
      <c r="BA102" s="31">
        <v>2016</v>
      </c>
      <c r="BB102" s="188" t="str">
        <f t="shared" si="27"/>
        <v>KCFN/LGL</v>
      </c>
      <c r="BC102" s="188" t="str">
        <f t="shared" si="32"/>
        <v xml:space="preserve"> </v>
      </c>
      <c r="BD102" s="188" t="str">
        <f t="shared" si="33"/>
        <v xml:space="preserve"> </v>
      </c>
      <c r="BE102" s="188" t="str">
        <f t="shared" si="34"/>
        <v xml:space="preserve"> </v>
      </c>
      <c r="BF102" s="50" t="str">
        <f t="shared" si="20"/>
        <v>KAOUK RIVER_Chum</v>
      </c>
      <c r="BG102" s="50">
        <f>IFERROR(VLOOKUP(BF102,'[1]WCVI Esc'!$C$5:$W$534,18,FALSE),"-")</f>
        <v>2967.75</v>
      </c>
      <c r="BH102" s="50">
        <f t="shared" si="28"/>
        <v>2970</v>
      </c>
      <c r="BI102" s="50">
        <f>IFERROR(VLOOKUP(BF102,'[1]WCVI Esc'!$C$5:$W$534,19,FALSE),"-")</f>
        <v>6111.166666666667</v>
      </c>
      <c r="BJ102" s="50">
        <f t="shared" si="29"/>
        <v>6110</v>
      </c>
    </row>
    <row r="103" spans="1:65" hidden="1" x14ac:dyDescent="0.2">
      <c r="A103" s="29">
        <v>2</v>
      </c>
      <c r="B103" s="29">
        <v>5</v>
      </c>
      <c r="C103" s="13">
        <v>26</v>
      </c>
      <c r="D103" s="148" t="s">
        <v>301</v>
      </c>
      <c r="E103" s="10" t="s">
        <v>62</v>
      </c>
      <c r="F103" s="10" t="s">
        <v>210</v>
      </c>
      <c r="G103" s="10"/>
      <c r="H103" s="152"/>
      <c r="I103" s="155"/>
      <c r="J103" s="106"/>
      <c r="K103" s="94"/>
      <c r="L103" s="158"/>
      <c r="M103" s="161"/>
      <c r="N103" s="106"/>
      <c r="O103" s="106"/>
      <c r="P103" s="63"/>
      <c r="Q103" s="162"/>
      <c r="R103" s="164"/>
      <c r="S103" s="62"/>
      <c r="T103" s="63"/>
      <c r="U103" s="62"/>
      <c r="V103" s="64"/>
      <c r="W103" s="164"/>
      <c r="X103" s="62"/>
      <c r="Y103" s="45"/>
      <c r="Z103" s="44"/>
      <c r="AA103" s="100">
        <f>Y103/AP103</f>
        <v>0</v>
      </c>
      <c r="AB103" s="100">
        <f>AS103/AP103</f>
        <v>0</v>
      </c>
      <c r="AC103" s="100"/>
      <c r="AD103" s="123">
        <v>573</v>
      </c>
      <c r="AE103" s="123">
        <v>169</v>
      </c>
      <c r="AF103" s="123">
        <f>Y103</f>
        <v>0</v>
      </c>
      <c r="AG103" s="69">
        <v>26</v>
      </c>
      <c r="AH103" s="69" t="s">
        <v>301</v>
      </c>
      <c r="AI103" s="243" t="s">
        <v>62</v>
      </c>
      <c r="AJ103" s="243" t="s">
        <v>419</v>
      </c>
      <c r="AK103" s="244" t="s">
        <v>292</v>
      </c>
      <c r="AL103" s="43" t="str">
        <f t="shared" si="30"/>
        <v>-</v>
      </c>
      <c r="AM103" s="43">
        <f t="shared" si="21"/>
        <v>0</v>
      </c>
      <c r="AN103" s="193">
        <f t="shared" si="21"/>
        <v>0</v>
      </c>
      <c r="AO103" s="264">
        <f t="shared" si="31"/>
        <v>420</v>
      </c>
      <c r="AP103" s="265">
        <f>BJ103</f>
        <v>360</v>
      </c>
      <c r="AQ103" s="26" t="str">
        <f t="shared" si="22"/>
        <v>KAOUK RIVERChinook</v>
      </c>
      <c r="AR103" s="26">
        <f t="shared" si="23"/>
        <v>0</v>
      </c>
      <c r="AS103" s="33">
        <f t="shared" si="35"/>
        <v>0</v>
      </c>
      <c r="AT103" s="34">
        <f>AS103*1.14</f>
        <v>0</v>
      </c>
      <c r="AU103" s="34">
        <f>AS103*2.88</f>
        <v>0</v>
      </c>
      <c r="AV103" s="36"/>
      <c r="AW103" s="34">
        <f>SUM(AT103:AU103)/2</f>
        <v>0</v>
      </c>
      <c r="AX103" s="47" t="str">
        <f t="shared" si="24"/>
        <v>KAOUK RIVERChinook</v>
      </c>
      <c r="AY103" s="49">
        <f t="shared" si="25"/>
        <v>0</v>
      </c>
      <c r="AZ103" s="49">
        <f t="shared" si="26"/>
        <v>0</v>
      </c>
      <c r="BA103" s="31">
        <v>2016</v>
      </c>
      <c r="BB103" s="188" t="str">
        <f t="shared" si="27"/>
        <v>KCFN/LGL</v>
      </c>
      <c r="BC103" s="188" t="str">
        <f t="shared" si="32"/>
        <v xml:space="preserve"> </v>
      </c>
      <c r="BD103" s="188" t="str">
        <f t="shared" si="33"/>
        <v xml:space="preserve"> </v>
      </c>
      <c r="BE103" s="188" t="str">
        <f t="shared" si="34"/>
        <v xml:space="preserve"> </v>
      </c>
      <c r="BF103" s="50" t="str">
        <f t="shared" si="20"/>
        <v>KAOUK RIVER_Chinook</v>
      </c>
      <c r="BG103" s="50">
        <f>IFERROR(VLOOKUP(BF103,'[1]WCVI Esc'!$C$5:$W$534,18,FALSE),"-")</f>
        <v>420</v>
      </c>
      <c r="BH103" s="50">
        <f t="shared" si="28"/>
        <v>420</v>
      </c>
      <c r="BI103" s="50">
        <f>IFERROR(VLOOKUP(BF103,'[1]WCVI Esc'!$C$5:$W$534,19,FALSE),"-")</f>
        <v>363.58333333333331</v>
      </c>
      <c r="BJ103" s="50">
        <f t="shared" si="29"/>
        <v>360</v>
      </c>
      <c r="BK103">
        <v>8</v>
      </c>
      <c r="BL103" s="17" t="s">
        <v>459</v>
      </c>
      <c r="BM103" s="31">
        <v>1</v>
      </c>
    </row>
    <row r="104" spans="1:65" hidden="1" x14ac:dyDescent="0.2">
      <c r="A104" s="29">
        <v>2</v>
      </c>
      <c r="B104" s="29">
        <v>6</v>
      </c>
      <c r="C104" s="13">
        <v>26</v>
      </c>
      <c r="D104" s="148" t="s">
        <v>301</v>
      </c>
      <c r="E104" s="10" t="s">
        <v>62</v>
      </c>
      <c r="F104" s="10" t="s">
        <v>211</v>
      </c>
      <c r="G104" s="10"/>
      <c r="H104" s="152"/>
      <c r="I104" s="155"/>
      <c r="J104" s="106"/>
      <c r="K104" s="94"/>
      <c r="L104" s="158"/>
      <c r="M104" s="161"/>
      <c r="N104" s="106"/>
      <c r="O104" s="106"/>
      <c r="P104" s="63"/>
      <c r="Q104" s="162"/>
      <c r="R104" s="164"/>
      <c r="S104" s="62"/>
      <c r="T104" s="63"/>
      <c r="U104" s="62"/>
      <c r="V104" s="64"/>
      <c r="W104" s="164"/>
      <c r="X104" s="62"/>
      <c r="Y104" s="45"/>
      <c r="Z104" s="44"/>
      <c r="AA104" s="100"/>
      <c r="AB104" s="100"/>
      <c r="AC104" s="100"/>
      <c r="AD104" s="100"/>
      <c r="AE104" s="100"/>
      <c r="AF104" s="100"/>
      <c r="AG104" s="69">
        <v>26</v>
      </c>
      <c r="AH104" s="69" t="s">
        <v>301</v>
      </c>
      <c r="AI104" s="243" t="s">
        <v>62</v>
      </c>
      <c r="AJ104" s="243" t="s">
        <v>419</v>
      </c>
      <c r="AK104" s="244" t="s">
        <v>292</v>
      </c>
      <c r="AL104" s="43" t="str">
        <f t="shared" si="30"/>
        <v>-</v>
      </c>
      <c r="AM104" s="43">
        <f t="shared" si="21"/>
        <v>0</v>
      </c>
      <c r="AN104" s="193">
        <f t="shared" si="21"/>
        <v>0</v>
      </c>
      <c r="AO104" s="264" t="str">
        <f t="shared" si="31"/>
        <v>-</v>
      </c>
      <c r="AP104" s="266"/>
      <c r="AQ104" s="26" t="str">
        <f t="shared" si="22"/>
        <v>KAOUK RIVERSteelhead</v>
      </c>
      <c r="AR104" s="26">
        <f t="shared" si="23"/>
        <v>0</v>
      </c>
      <c r="AS104" s="33">
        <f t="shared" si="35"/>
        <v>0</v>
      </c>
      <c r="AX104" s="47" t="str">
        <f t="shared" si="24"/>
        <v>KAOUK RIVERSteelhead</v>
      </c>
      <c r="AY104" s="49">
        <f t="shared" si="25"/>
        <v>0</v>
      </c>
      <c r="AZ104" s="49">
        <f t="shared" si="26"/>
        <v>0</v>
      </c>
      <c r="BA104" s="31">
        <v>0</v>
      </c>
      <c r="BB104" s="188" t="str">
        <f t="shared" si="27"/>
        <v>KCFN/LGL</v>
      </c>
      <c r="BC104" s="188" t="str">
        <f t="shared" si="32"/>
        <v xml:space="preserve"> </v>
      </c>
      <c r="BD104" s="188" t="str">
        <f t="shared" si="33"/>
        <v xml:space="preserve"> </v>
      </c>
      <c r="BE104" s="188" t="str">
        <f t="shared" si="34"/>
        <v xml:space="preserve"> </v>
      </c>
      <c r="BF104" s="50" t="str">
        <f t="shared" si="20"/>
        <v>KAOUK RIVER_Steelhead</v>
      </c>
      <c r="BG104" s="50" t="str">
        <f>IFERROR(VLOOKUP(BF104,'[1]WCVI Esc'!$C$5:$W$534,18,FALSE),"-")</f>
        <v>-</v>
      </c>
      <c r="BH104" s="50" t="str">
        <f t="shared" si="28"/>
        <v>-</v>
      </c>
      <c r="BI104" s="50" t="str">
        <f>IFERROR(VLOOKUP(BF104,'[1]WCVI Esc'!$C$5:$W$534,19,FALSE),"-")</f>
        <v>-</v>
      </c>
      <c r="BJ104" s="50" t="str">
        <f t="shared" si="29"/>
        <v>-</v>
      </c>
    </row>
    <row r="105" spans="1:65" hidden="1" x14ac:dyDescent="0.2">
      <c r="A105" s="29">
        <v>2</v>
      </c>
      <c r="B105" s="29">
        <v>1</v>
      </c>
      <c r="C105" s="13">
        <v>26</v>
      </c>
      <c r="D105" s="148" t="s">
        <v>301</v>
      </c>
      <c r="E105" s="10" t="s">
        <v>205</v>
      </c>
      <c r="F105" s="10" t="s">
        <v>207</v>
      </c>
      <c r="G105" s="10"/>
      <c r="H105" s="152"/>
      <c r="I105" s="155"/>
      <c r="J105" s="106"/>
      <c r="K105" s="94"/>
      <c r="L105" s="158"/>
      <c r="M105" s="161"/>
      <c r="N105" s="106"/>
      <c r="O105" s="106"/>
      <c r="P105" s="106"/>
      <c r="Q105" s="162"/>
      <c r="R105" s="155"/>
      <c r="S105" s="62"/>
      <c r="T105" s="106"/>
      <c r="U105" s="62"/>
      <c r="V105" s="158"/>
      <c r="W105" s="164"/>
      <c r="X105" s="106"/>
      <c r="Y105" s="45"/>
      <c r="Z105" s="44"/>
      <c r="AA105" s="100">
        <f>Y105/AP105</f>
        <v>0</v>
      </c>
      <c r="AB105" s="100">
        <f>AS105/AP105</f>
        <v>0</v>
      </c>
      <c r="AC105" s="100"/>
      <c r="AD105" s="100"/>
      <c r="AE105" s="100"/>
      <c r="AF105" s="100"/>
      <c r="AG105" s="69">
        <v>26</v>
      </c>
      <c r="AH105" s="69" t="s">
        <v>301</v>
      </c>
      <c r="AI105" s="243" t="s">
        <v>205</v>
      </c>
      <c r="AJ105" s="243" t="s">
        <v>419</v>
      </c>
      <c r="AK105" s="244" t="s">
        <v>292</v>
      </c>
      <c r="AL105" s="43" t="str">
        <f t="shared" si="30"/>
        <v>-</v>
      </c>
      <c r="AM105" s="43">
        <f t="shared" ref="AM105:AN128" si="36">AR105</f>
        <v>0</v>
      </c>
      <c r="AN105" s="193">
        <f t="shared" si="36"/>
        <v>0</v>
      </c>
      <c r="AO105" s="264">
        <f t="shared" si="31"/>
        <v>10</v>
      </c>
      <c r="AP105" s="265">
        <f>BJ105</f>
        <v>10</v>
      </c>
      <c r="AQ105" s="26" t="str">
        <f t="shared" si="22"/>
        <v>MALKSOPE RIVERSockeye</v>
      </c>
      <c r="AR105" s="26">
        <f t="shared" si="23"/>
        <v>0</v>
      </c>
      <c r="AS105" s="33">
        <f t="shared" si="35"/>
        <v>0</v>
      </c>
      <c r="AW105" s="34"/>
      <c r="AX105" s="47" t="str">
        <f t="shared" si="24"/>
        <v>MALKSOPE RIVERSockeye</v>
      </c>
      <c r="AY105" s="49">
        <f t="shared" si="25"/>
        <v>0</v>
      </c>
      <c r="AZ105" s="49">
        <f t="shared" si="26"/>
        <v>0</v>
      </c>
      <c r="BA105" s="31">
        <v>2016</v>
      </c>
      <c r="BB105" s="188" t="str">
        <f t="shared" si="27"/>
        <v>KCFN/LGL</v>
      </c>
      <c r="BC105" s="188" t="str">
        <f t="shared" si="32"/>
        <v xml:space="preserve"> </v>
      </c>
      <c r="BD105" s="188" t="str">
        <f t="shared" si="33"/>
        <v xml:space="preserve"> </v>
      </c>
      <c r="BE105" s="188" t="str">
        <f t="shared" si="34"/>
        <v xml:space="preserve"> </v>
      </c>
      <c r="BF105" s="50" t="str">
        <f t="shared" si="20"/>
        <v>MALKSOPE RIVER_Sockeye</v>
      </c>
      <c r="BG105" s="50">
        <f>IFERROR(VLOOKUP(BF105,'[1]WCVI Esc'!$C$5:$W$534,18,FALSE),"-")</f>
        <v>8.5</v>
      </c>
      <c r="BH105" s="50">
        <f t="shared" si="28"/>
        <v>10</v>
      </c>
      <c r="BI105" s="50">
        <f>IFERROR(VLOOKUP(BF105,'[1]WCVI Esc'!$C$5:$W$534,19,FALSE),"-")</f>
        <v>8.3333333333333339</v>
      </c>
      <c r="BJ105" s="50">
        <f t="shared" si="29"/>
        <v>10</v>
      </c>
    </row>
    <row r="106" spans="1:65" hidden="1" x14ac:dyDescent="0.2">
      <c r="A106" s="29">
        <v>2</v>
      </c>
      <c r="B106" s="29">
        <v>2</v>
      </c>
      <c r="C106" s="13">
        <v>26</v>
      </c>
      <c r="D106" s="148" t="s">
        <v>301</v>
      </c>
      <c r="E106" s="10" t="s">
        <v>205</v>
      </c>
      <c r="F106" s="10" t="s">
        <v>219</v>
      </c>
      <c r="G106" s="10"/>
      <c r="H106" s="152"/>
      <c r="I106" s="155"/>
      <c r="J106" s="106"/>
      <c r="K106" s="94"/>
      <c r="L106" s="158"/>
      <c r="M106" s="161"/>
      <c r="N106" s="106"/>
      <c r="O106" s="106"/>
      <c r="P106" s="106"/>
      <c r="Q106" s="162"/>
      <c r="R106" s="155"/>
      <c r="S106" s="62"/>
      <c r="T106" s="106"/>
      <c r="U106" s="62"/>
      <c r="V106" s="158"/>
      <c r="W106" s="164"/>
      <c r="X106" s="106"/>
      <c r="Y106" s="45"/>
      <c r="Z106" s="44"/>
      <c r="AA106" s="100">
        <f>Y106/AP106</f>
        <v>0</v>
      </c>
      <c r="AB106" s="100">
        <f>AS106/AP106</f>
        <v>0</v>
      </c>
      <c r="AC106" s="100"/>
      <c r="AD106" s="100"/>
      <c r="AE106" s="100"/>
      <c r="AF106" s="100"/>
      <c r="AG106" s="69">
        <v>26</v>
      </c>
      <c r="AH106" s="69" t="s">
        <v>301</v>
      </c>
      <c r="AI106" s="243" t="s">
        <v>205</v>
      </c>
      <c r="AJ106" s="243" t="s">
        <v>419</v>
      </c>
      <c r="AK106" s="244" t="s">
        <v>292</v>
      </c>
      <c r="AL106" s="43" t="str">
        <f t="shared" si="30"/>
        <v>-</v>
      </c>
      <c r="AM106" s="43">
        <f t="shared" si="36"/>
        <v>0</v>
      </c>
      <c r="AN106" s="193">
        <f t="shared" si="36"/>
        <v>0</v>
      </c>
      <c r="AO106" s="264">
        <f t="shared" si="31"/>
        <v>990</v>
      </c>
      <c r="AP106" s="265">
        <f>BJ106</f>
        <v>1850</v>
      </c>
      <c r="AQ106" s="26" t="str">
        <f t="shared" si="22"/>
        <v>MALKSOPE RIVERCoho</v>
      </c>
      <c r="AR106" s="26">
        <f t="shared" si="23"/>
        <v>0</v>
      </c>
      <c r="AS106" s="33">
        <f t="shared" si="35"/>
        <v>0</v>
      </c>
      <c r="AW106" s="34"/>
      <c r="AX106" s="47" t="str">
        <f t="shared" si="24"/>
        <v>MALKSOPE RIVERCoho</v>
      </c>
      <c r="AY106" s="49">
        <f t="shared" si="25"/>
        <v>0</v>
      </c>
      <c r="AZ106" s="49">
        <f t="shared" si="26"/>
        <v>0</v>
      </c>
      <c r="BA106" s="31">
        <v>2016</v>
      </c>
      <c r="BB106" s="188" t="str">
        <f t="shared" si="27"/>
        <v>KCFN/LGL</v>
      </c>
      <c r="BC106" s="188" t="str">
        <f t="shared" si="32"/>
        <v xml:space="preserve"> </v>
      </c>
      <c r="BD106" s="188" t="str">
        <f t="shared" si="33"/>
        <v xml:space="preserve"> </v>
      </c>
      <c r="BE106" s="188" t="str">
        <f t="shared" si="34"/>
        <v xml:space="preserve"> </v>
      </c>
      <c r="BF106" s="50" t="str">
        <f t="shared" si="20"/>
        <v>MALKSOPE RIVER_Coho</v>
      </c>
      <c r="BG106" s="50">
        <f>IFERROR(VLOOKUP(BF106,'[1]WCVI Esc'!$C$5:$W$534,18,FALSE),"-")</f>
        <v>991.5</v>
      </c>
      <c r="BH106" s="50">
        <f t="shared" si="28"/>
        <v>990</v>
      </c>
      <c r="BI106" s="50">
        <f>IFERROR(VLOOKUP(BF106,'[1]WCVI Esc'!$C$5:$W$534,19,FALSE),"-")</f>
        <v>1851.6666666666667</v>
      </c>
      <c r="BJ106" s="50">
        <f t="shared" si="29"/>
        <v>1850</v>
      </c>
    </row>
    <row r="107" spans="1:65" hidden="1" x14ac:dyDescent="0.2">
      <c r="A107" s="29">
        <v>2</v>
      </c>
      <c r="B107" s="29">
        <v>3</v>
      </c>
      <c r="C107" s="13">
        <v>26</v>
      </c>
      <c r="D107" s="148" t="s">
        <v>301</v>
      </c>
      <c r="E107" s="10" t="s">
        <v>205</v>
      </c>
      <c r="F107" s="10" t="s">
        <v>208</v>
      </c>
      <c r="G107" s="10"/>
      <c r="H107" s="152"/>
      <c r="I107" s="155"/>
      <c r="J107" s="106"/>
      <c r="K107" s="94"/>
      <c r="L107" s="158"/>
      <c r="M107" s="161"/>
      <c r="N107" s="106"/>
      <c r="O107" s="106"/>
      <c r="P107" s="106"/>
      <c r="Q107" s="162"/>
      <c r="R107" s="169"/>
      <c r="S107" s="62"/>
      <c r="T107" s="106"/>
      <c r="U107" s="62"/>
      <c r="V107" s="158"/>
      <c r="W107" s="164"/>
      <c r="X107" s="106"/>
      <c r="Y107" s="45"/>
      <c r="Z107" s="44"/>
      <c r="AA107" s="100"/>
      <c r="AB107" s="100"/>
      <c r="AC107" s="100"/>
      <c r="AD107" s="100"/>
      <c r="AE107" s="100"/>
      <c r="AF107" s="100"/>
      <c r="AG107" s="69">
        <v>26</v>
      </c>
      <c r="AH107" s="69" t="s">
        <v>301</v>
      </c>
      <c r="AI107" s="243" t="s">
        <v>205</v>
      </c>
      <c r="AJ107" s="243" t="s">
        <v>419</v>
      </c>
      <c r="AK107" s="244" t="s">
        <v>292</v>
      </c>
      <c r="AL107" s="43" t="str">
        <f t="shared" si="30"/>
        <v>-</v>
      </c>
      <c r="AM107" s="43">
        <f t="shared" si="36"/>
        <v>0</v>
      </c>
      <c r="AN107" s="193">
        <f t="shared" si="36"/>
        <v>0</v>
      </c>
      <c r="AO107" s="264" t="str">
        <f t="shared" si="31"/>
        <v>-</v>
      </c>
      <c r="AP107" s="266"/>
      <c r="AQ107" s="26" t="str">
        <f t="shared" si="22"/>
        <v>MALKSOPE RIVERPink</v>
      </c>
      <c r="AR107" s="26">
        <f t="shared" si="23"/>
        <v>0</v>
      </c>
      <c r="AS107" s="33">
        <f t="shared" si="35"/>
        <v>0</v>
      </c>
      <c r="AW107" s="34"/>
      <c r="AX107" s="47" t="str">
        <f t="shared" si="24"/>
        <v>MALKSOPE RIVERPink</v>
      </c>
      <c r="AY107" s="49">
        <f t="shared" si="25"/>
        <v>0</v>
      </c>
      <c r="AZ107" s="49">
        <f t="shared" si="26"/>
        <v>0</v>
      </c>
      <c r="BA107" s="31">
        <v>0</v>
      </c>
      <c r="BB107" s="188" t="str">
        <f t="shared" si="27"/>
        <v>KCFN/LGL</v>
      </c>
      <c r="BC107" s="188" t="str">
        <f t="shared" si="32"/>
        <v xml:space="preserve"> </v>
      </c>
      <c r="BD107" s="188" t="str">
        <f t="shared" si="33"/>
        <v xml:space="preserve"> </v>
      </c>
      <c r="BE107" s="188" t="str">
        <f t="shared" si="34"/>
        <v xml:space="preserve"> </v>
      </c>
      <c r="BF107" s="50" t="str">
        <f t="shared" si="20"/>
        <v>MALKSOPE RIVER_Pink</v>
      </c>
      <c r="BG107" s="50" t="str">
        <f>IFERROR(VLOOKUP(BF107,'[1]WCVI Esc'!$C$5:$W$534,18,FALSE),"-")</f>
        <v>-</v>
      </c>
      <c r="BH107" s="50" t="str">
        <f t="shared" si="28"/>
        <v>-</v>
      </c>
      <c r="BI107" s="50" t="str">
        <f>IFERROR(VLOOKUP(BF107,'[1]WCVI Esc'!$C$5:$W$534,19,FALSE),"-")</f>
        <v>-</v>
      </c>
      <c r="BJ107" s="50" t="str">
        <f t="shared" si="29"/>
        <v>-</v>
      </c>
    </row>
    <row r="108" spans="1:65" hidden="1" x14ac:dyDescent="0.2">
      <c r="A108" s="29">
        <v>2</v>
      </c>
      <c r="B108" s="29">
        <v>4</v>
      </c>
      <c r="C108" s="13">
        <v>26</v>
      </c>
      <c r="D108" s="148" t="s">
        <v>301</v>
      </c>
      <c r="E108" s="10" t="s">
        <v>205</v>
      </c>
      <c r="F108" s="10" t="s">
        <v>209</v>
      </c>
      <c r="G108" s="10"/>
      <c r="H108" s="152"/>
      <c r="I108" s="155"/>
      <c r="J108" s="106"/>
      <c r="K108" s="94"/>
      <c r="L108" s="158"/>
      <c r="M108" s="161"/>
      <c r="N108" s="106"/>
      <c r="O108" s="106"/>
      <c r="P108" s="106"/>
      <c r="Q108" s="162"/>
      <c r="R108" s="155"/>
      <c r="S108" s="62"/>
      <c r="T108" s="106"/>
      <c r="U108" s="62"/>
      <c r="V108" s="158"/>
      <c r="W108" s="164"/>
      <c r="X108" s="106"/>
      <c r="Y108" s="45"/>
      <c r="Z108" s="44"/>
      <c r="AA108" s="100">
        <f>Y108/AP108</f>
        <v>0</v>
      </c>
      <c r="AB108" s="100">
        <f>AS108/AP108</f>
        <v>0</v>
      </c>
      <c r="AC108" s="100"/>
      <c r="AD108" s="100"/>
      <c r="AE108" s="100"/>
      <c r="AF108" s="100"/>
      <c r="AG108" s="69">
        <v>26</v>
      </c>
      <c r="AH108" s="69" t="s">
        <v>301</v>
      </c>
      <c r="AI108" s="243" t="s">
        <v>205</v>
      </c>
      <c r="AJ108" s="243" t="s">
        <v>419</v>
      </c>
      <c r="AK108" s="244" t="s">
        <v>292</v>
      </c>
      <c r="AL108" s="43" t="str">
        <f t="shared" si="30"/>
        <v>-</v>
      </c>
      <c r="AM108" s="43">
        <f t="shared" si="36"/>
        <v>0</v>
      </c>
      <c r="AN108" s="193">
        <f t="shared" si="36"/>
        <v>0</v>
      </c>
      <c r="AO108" s="264">
        <f t="shared" si="31"/>
        <v>2620</v>
      </c>
      <c r="AP108" s="265">
        <f>BJ108</f>
        <v>5750</v>
      </c>
      <c r="AQ108" s="26" t="str">
        <f t="shared" si="22"/>
        <v>MALKSOPE RIVERChum</v>
      </c>
      <c r="AR108" s="26">
        <f t="shared" si="23"/>
        <v>0</v>
      </c>
      <c r="AS108" s="33">
        <f t="shared" si="35"/>
        <v>0</v>
      </c>
      <c r="AW108" s="34"/>
      <c r="AX108" s="47" t="str">
        <f t="shared" si="24"/>
        <v>MALKSOPE RIVERChum</v>
      </c>
      <c r="AY108" s="49">
        <f t="shared" si="25"/>
        <v>0</v>
      </c>
      <c r="AZ108" s="49">
        <f t="shared" si="26"/>
        <v>0</v>
      </c>
      <c r="BA108" s="31">
        <v>2016</v>
      </c>
      <c r="BB108" s="188" t="str">
        <f t="shared" si="27"/>
        <v>KCFN/LGL</v>
      </c>
      <c r="BC108" s="188" t="str">
        <f t="shared" si="32"/>
        <v xml:space="preserve"> </v>
      </c>
      <c r="BD108" s="188" t="str">
        <f t="shared" si="33"/>
        <v xml:space="preserve"> </v>
      </c>
      <c r="BE108" s="188" t="str">
        <f t="shared" si="34"/>
        <v xml:space="preserve"> </v>
      </c>
      <c r="BF108" s="50" t="str">
        <f t="shared" si="20"/>
        <v>MALKSOPE RIVER_Chum</v>
      </c>
      <c r="BG108" s="50">
        <f>IFERROR(VLOOKUP(BF108,'[1]WCVI Esc'!$C$5:$W$534,18,FALSE),"-")</f>
        <v>2624.5</v>
      </c>
      <c r="BH108" s="50">
        <f t="shared" si="28"/>
        <v>2620</v>
      </c>
      <c r="BI108" s="50">
        <f>IFERROR(VLOOKUP(BF108,'[1]WCVI Esc'!$C$5:$W$534,19,FALSE),"-")</f>
        <v>5747.75</v>
      </c>
      <c r="BJ108" s="50">
        <f t="shared" si="29"/>
        <v>5750</v>
      </c>
    </row>
    <row r="109" spans="1:65" hidden="1" x14ac:dyDescent="0.2">
      <c r="A109" s="29">
        <v>2</v>
      </c>
      <c r="B109" s="29">
        <v>5</v>
      </c>
      <c r="C109" s="13">
        <v>26</v>
      </c>
      <c r="D109" s="148" t="s">
        <v>301</v>
      </c>
      <c r="E109" s="10" t="s">
        <v>205</v>
      </c>
      <c r="F109" s="10" t="s">
        <v>210</v>
      </c>
      <c r="G109" s="10"/>
      <c r="H109" s="152"/>
      <c r="I109" s="155"/>
      <c r="J109" s="106"/>
      <c r="K109" s="94"/>
      <c r="L109" s="158"/>
      <c r="M109" s="161"/>
      <c r="N109" s="106"/>
      <c r="O109" s="106"/>
      <c r="P109" s="106"/>
      <c r="Q109" s="162"/>
      <c r="R109" s="155"/>
      <c r="S109" s="62"/>
      <c r="T109" s="106"/>
      <c r="U109" s="62"/>
      <c r="V109" s="158"/>
      <c r="W109" s="164"/>
      <c r="X109" s="106"/>
      <c r="Y109" s="45"/>
      <c r="Z109" s="44"/>
      <c r="AA109" s="100">
        <f>Y109/AP109</f>
        <v>0</v>
      </c>
      <c r="AB109" s="100">
        <f>AS109/AP109</f>
        <v>0</v>
      </c>
      <c r="AC109" s="100"/>
      <c r="AD109" s="100"/>
      <c r="AE109" s="100"/>
      <c r="AF109" s="123">
        <f>Y109</f>
        <v>0</v>
      </c>
      <c r="AG109" s="69">
        <v>26</v>
      </c>
      <c r="AH109" s="69" t="s">
        <v>301</v>
      </c>
      <c r="AI109" s="243" t="s">
        <v>205</v>
      </c>
      <c r="AJ109" s="243" t="s">
        <v>419</v>
      </c>
      <c r="AK109" s="244" t="s">
        <v>292</v>
      </c>
      <c r="AL109" s="43" t="str">
        <f t="shared" si="30"/>
        <v>-</v>
      </c>
      <c r="AM109" s="43">
        <f t="shared" si="36"/>
        <v>0</v>
      </c>
      <c r="AN109" s="193">
        <f t="shared" si="36"/>
        <v>0</v>
      </c>
      <c r="AO109" s="264">
        <f t="shared" si="31"/>
        <v>20</v>
      </c>
      <c r="AP109" s="265">
        <f>BJ109</f>
        <v>20</v>
      </c>
      <c r="AQ109" s="26" t="str">
        <f t="shared" si="22"/>
        <v>MALKSOPE RIVERChinook</v>
      </c>
      <c r="AR109" s="26">
        <f t="shared" si="23"/>
        <v>0</v>
      </c>
      <c r="AS109" s="33">
        <f t="shared" si="35"/>
        <v>0</v>
      </c>
      <c r="AT109" s="34">
        <f>AS109*1.14</f>
        <v>0</v>
      </c>
      <c r="AU109" s="34">
        <f>AS109*2.88</f>
        <v>0</v>
      </c>
      <c r="AV109" s="36"/>
      <c r="AW109" s="34">
        <f>SUM(AT109:AU109)/2</f>
        <v>0</v>
      </c>
      <c r="AX109" s="47" t="str">
        <f t="shared" si="24"/>
        <v>MALKSOPE RIVERChinook</v>
      </c>
      <c r="AY109" s="49">
        <f t="shared" si="25"/>
        <v>0</v>
      </c>
      <c r="AZ109" s="49">
        <f t="shared" si="26"/>
        <v>0</v>
      </c>
      <c r="BA109" s="31">
        <v>2016</v>
      </c>
      <c r="BB109" s="188" t="str">
        <f t="shared" si="27"/>
        <v>KCFN/LGL</v>
      </c>
      <c r="BC109" s="188" t="str">
        <f t="shared" si="32"/>
        <v xml:space="preserve"> </v>
      </c>
      <c r="BD109" s="188" t="str">
        <f t="shared" si="33"/>
        <v xml:space="preserve"> </v>
      </c>
      <c r="BE109" s="188" t="str">
        <f t="shared" si="34"/>
        <v xml:space="preserve"> </v>
      </c>
      <c r="BF109" s="50" t="str">
        <f t="shared" si="20"/>
        <v>MALKSOPE RIVER_Chinook</v>
      </c>
      <c r="BG109" s="50">
        <f>IFERROR(VLOOKUP(BF109,'[1]WCVI Esc'!$C$5:$W$534,18,FALSE),"-")</f>
        <v>18.25</v>
      </c>
      <c r="BH109" s="50">
        <f t="shared" si="28"/>
        <v>20</v>
      </c>
      <c r="BI109" s="50">
        <f>IFERROR(VLOOKUP(BF109,'[1]WCVI Esc'!$C$5:$W$534,19,FALSE),"-")</f>
        <v>21.833333333333332</v>
      </c>
      <c r="BJ109" s="50">
        <f t="shared" si="29"/>
        <v>20</v>
      </c>
      <c r="BK109">
        <v>7</v>
      </c>
      <c r="BL109" s="17" t="s">
        <v>459</v>
      </c>
      <c r="BM109" s="31">
        <v>1</v>
      </c>
    </row>
    <row r="110" spans="1:65" hidden="1" x14ac:dyDescent="0.2">
      <c r="A110" s="29">
        <v>2</v>
      </c>
      <c r="B110" s="29">
        <v>6</v>
      </c>
      <c r="C110" s="13">
        <v>26</v>
      </c>
      <c r="D110" s="148" t="s">
        <v>301</v>
      </c>
      <c r="E110" s="10" t="s">
        <v>205</v>
      </c>
      <c r="F110" s="10" t="s">
        <v>211</v>
      </c>
      <c r="G110" s="10"/>
      <c r="H110" s="152"/>
      <c r="I110" s="155"/>
      <c r="J110" s="106"/>
      <c r="K110" s="94"/>
      <c r="L110" s="158"/>
      <c r="M110" s="161"/>
      <c r="N110" s="106"/>
      <c r="O110" s="106"/>
      <c r="P110" s="106"/>
      <c r="Q110" s="162"/>
      <c r="R110" s="155"/>
      <c r="S110" s="62"/>
      <c r="T110" s="106"/>
      <c r="U110" s="62"/>
      <c r="V110" s="158"/>
      <c r="W110" s="164"/>
      <c r="X110" s="106"/>
      <c r="Y110" s="45"/>
      <c r="Z110" s="44"/>
      <c r="AA110" s="100"/>
      <c r="AB110" s="100"/>
      <c r="AC110" s="100"/>
      <c r="AD110" s="100"/>
      <c r="AE110" s="100"/>
      <c r="AF110" s="100"/>
      <c r="AG110" s="69">
        <v>26</v>
      </c>
      <c r="AH110" s="69" t="s">
        <v>301</v>
      </c>
      <c r="AI110" s="243" t="s">
        <v>205</v>
      </c>
      <c r="AJ110" s="243" t="s">
        <v>419</v>
      </c>
      <c r="AK110" s="244" t="s">
        <v>292</v>
      </c>
      <c r="AL110" s="43" t="str">
        <f t="shared" si="30"/>
        <v>-</v>
      </c>
      <c r="AM110" s="43">
        <f t="shared" si="36"/>
        <v>0</v>
      </c>
      <c r="AN110" s="193">
        <f t="shared" si="36"/>
        <v>0</v>
      </c>
      <c r="AO110" s="264" t="str">
        <f t="shared" si="31"/>
        <v>-</v>
      </c>
      <c r="AP110" s="266"/>
      <c r="AQ110" s="26" t="str">
        <f t="shared" si="22"/>
        <v>MALKSOPE RIVERSteelhead</v>
      </c>
      <c r="AR110" s="26">
        <f t="shared" si="23"/>
        <v>0</v>
      </c>
      <c r="AS110" s="33">
        <f t="shared" si="35"/>
        <v>0</v>
      </c>
      <c r="AW110" s="34"/>
      <c r="AX110" s="47" t="str">
        <f t="shared" si="24"/>
        <v>MALKSOPE RIVERSteelhead</v>
      </c>
      <c r="AY110" s="49">
        <f t="shared" si="25"/>
        <v>0</v>
      </c>
      <c r="AZ110" s="49">
        <f t="shared" si="26"/>
        <v>0</v>
      </c>
      <c r="BA110" s="31">
        <v>0</v>
      </c>
      <c r="BB110" s="188" t="str">
        <f t="shared" si="27"/>
        <v>KCFN/LGL</v>
      </c>
      <c r="BC110" s="188" t="str">
        <f t="shared" si="32"/>
        <v xml:space="preserve"> </v>
      </c>
      <c r="BD110" s="188" t="str">
        <f t="shared" si="33"/>
        <v xml:space="preserve"> </v>
      </c>
      <c r="BE110" s="188" t="str">
        <f t="shared" si="34"/>
        <v xml:space="preserve"> </v>
      </c>
      <c r="BF110" s="50" t="str">
        <f t="shared" si="20"/>
        <v>MALKSOPE RIVER_Steelhead</v>
      </c>
      <c r="BG110" s="50" t="str">
        <f>IFERROR(VLOOKUP(BF110,'[1]WCVI Esc'!$C$5:$W$534,18,FALSE),"-")</f>
        <v>-</v>
      </c>
      <c r="BH110" s="50" t="str">
        <f t="shared" si="28"/>
        <v>-</v>
      </c>
      <c r="BI110" s="50" t="str">
        <f>IFERROR(VLOOKUP(BF110,'[1]WCVI Esc'!$C$5:$W$534,19,FALSE),"-")</f>
        <v>-</v>
      </c>
      <c r="BJ110" s="50" t="str">
        <f t="shared" si="29"/>
        <v>-</v>
      </c>
    </row>
    <row r="111" spans="1:65" hidden="1" x14ac:dyDescent="0.2">
      <c r="A111" s="28">
        <v>2</v>
      </c>
      <c r="B111" s="28">
        <v>1</v>
      </c>
      <c r="C111" s="11">
        <v>26</v>
      </c>
      <c r="D111" s="148" t="s">
        <v>301</v>
      </c>
      <c r="E111" s="10" t="s">
        <v>66</v>
      </c>
      <c r="F111" s="10" t="s">
        <v>207</v>
      </c>
      <c r="G111" s="10"/>
      <c r="H111" s="152"/>
      <c r="I111" s="155"/>
      <c r="J111" s="106"/>
      <c r="K111" s="94"/>
      <c r="L111" s="158"/>
      <c r="M111" s="161"/>
      <c r="N111" s="106"/>
      <c r="O111" s="106"/>
      <c r="P111" s="63"/>
      <c r="Q111" s="162"/>
      <c r="R111" s="164"/>
      <c r="S111" s="62"/>
      <c r="T111" s="63"/>
      <c r="U111" s="62"/>
      <c r="V111" s="64"/>
      <c r="W111" s="164"/>
      <c r="X111" s="62"/>
      <c r="Y111" s="45"/>
      <c r="Z111" s="44"/>
      <c r="AA111" s="100">
        <f>Y111/AP111</f>
        <v>0</v>
      </c>
      <c r="AB111" s="100">
        <f>AS111/AP111</f>
        <v>0</v>
      </c>
      <c r="AC111" s="100"/>
      <c r="AD111" s="100"/>
      <c r="AE111" s="100"/>
      <c r="AF111" s="100"/>
      <c r="AG111" s="18">
        <v>26</v>
      </c>
      <c r="AH111" s="69" t="s">
        <v>301</v>
      </c>
      <c r="AI111" s="243" t="s">
        <v>66</v>
      </c>
      <c r="AJ111" s="243" t="s">
        <v>419</v>
      </c>
      <c r="AK111" s="244" t="s">
        <v>292</v>
      </c>
      <c r="AL111" s="43" t="str">
        <f t="shared" si="30"/>
        <v>-</v>
      </c>
      <c r="AM111" s="43">
        <f t="shared" si="36"/>
        <v>0</v>
      </c>
      <c r="AN111" s="193">
        <f t="shared" si="36"/>
        <v>0</v>
      </c>
      <c r="AO111" s="264">
        <f t="shared" si="31"/>
        <v>20</v>
      </c>
      <c r="AP111" s="265">
        <f t="shared" ref="AP111:AP128" si="37">BJ111</f>
        <v>80</v>
      </c>
      <c r="AQ111" s="26" t="str">
        <f t="shared" si="22"/>
        <v>TAHSISH RIVERSockeye</v>
      </c>
      <c r="AR111" s="26">
        <f t="shared" si="23"/>
        <v>0</v>
      </c>
      <c r="AS111" s="33">
        <f t="shared" si="35"/>
        <v>0</v>
      </c>
      <c r="AW111" s="34"/>
      <c r="AX111" s="47" t="str">
        <f t="shared" si="24"/>
        <v>TAHSISH RIVERSockeye</v>
      </c>
      <c r="AY111" s="49">
        <f t="shared" si="25"/>
        <v>0</v>
      </c>
      <c r="AZ111" s="49">
        <f t="shared" si="26"/>
        <v>0</v>
      </c>
      <c r="BA111" s="31">
        <v>2016</v>
      </c>
      <c r="BB111" s="188" t="str">
        <f t="shared" si="27"/>
        <v>KCFN/LGL</v>
      </c>
      <c r="BC111" s="188" t="str">
        <f t="shared" si="32"/>
        <v xml:space="preserve"> </v>
      </c>
      <c r="BD111" s="188" t="str">
        <f t="shared" si="33"/>
        <v xml:space="preserve"> </v>
      </c>
      <c r="BE111" s="188" t="str">
        <f t="shared" si="34"/>
        <v xml:space="preserve"> </v>
      </c>
      <c r="BF111" s="50" t="str">
        <f t="shared" si="20"/>
        <v>TAHSISH RIVER_Sockeye</v>
      </c>
      <c r="BG111" s="50">
        <f>IFERROR(VLOOKUP(BF111,'[1]WCVI Esc'!$C$5:$W$534,18,FALSE),"-")</f>
        <v>24.5</v>
      </c>
      <c r="BH111" s="50">
        <f t="shared" si="28"/>
        <v>20</v>
      </c>
      <c r="BI111" s="50">
        <f>IFERROR(VLOOKUP(BF111,'[1]WCVI Esc'!$C$5:$W$534,19,FALSE),"-")</f>
        <v>82.5</v>
      </c>
      <c r="BJ111" s="50">
        <f t="shared" si="29"/>
        <v>80</v>
      </c>
    </row>
    <row r="112" spans="1:65" hidden="1" x14ac:dyDescent="0.2">
      <c r="A112" s="28">
        <v>2</v>
      </c>
      <c r="B112" s="28">
        <v>2</v>
      </c>
      <c r="C112" s="11">
        <v>26</v>
      </c>
      <c r="D112" s="148" t="s">
        <v>301</v>
      </c>
      <c r="E112" s="10" t="s">
        <v>66</v>
      </c>
      <c r="F112" s="10" t="s">
        <v>219</v>
      </c>
      <c r="G112" s="10"/>
      <c r="H112" s="152"/>
      <c r="I112" s="155"/>
      <c r="J112" s="106"/>
      <c r="K112" s="94"/>
      <c r="L112" s="158"/>
      <c r="M112" s="161"/>
      <c r="N112" s="106"/>
      <c r="O112" s="106"/>
      <c r="P112" s="63"/>
      <c r="Q112" s="162"/>
      <c r="R112" s="164"/>
      <c r="S112" s="62"/>
      <c r="T112" s="63"/>
      <c r="U112" s="62"/>
      <c r="V112" s="64"/>
      <c r="W112" s="164"/>
      <c r="X112" s="62"/>
      <c r="Y112" s="45"/>
      <c r="Z112" s="44"/>
      <c r="AA112" s="100">
        <f>Y112/AP112</f>
        <v>0</v>
      </c>
      <c r="AB112" s="100">
        <f>AS112/AP112</f>
        <v>0</v>
      </c>
      <c r="AC112" s="100"/>
      <c r="AD112" s="100"/>
      <c r="AE112" s="100"/>
      <c r="AF112" s="100"/>
      <c r="AG112" s="18">
        <v>26</v>
      </c>
      <c r="AH112" s="69" t="s">
        <v>301</v>
      </c>
      <c r="AI112" s="243" t="s">
        <v>66</v>
      </c>
      <c r="AJ112" s="243" t="s">
        <v>419</v>
      </c>
      <c r="AK112" s="244" t="s">
        <v>292</v>
      </c>
      <c r="AL112" s="43" t="str">
        <f t="shared" si="30"/>
        <v>-</v>
      </c>
      <c r="AM112" s="43">
        <f t="shared" si="36"/>
        <v>0</v>
      </c>
      <c r="AN112" s="193">
        <f t="shared" si="36"/>
        <v>0</v>
      </c>
      <c r="AO112" s="264">
        <f t="shared" si="31"/>
        <v>3520</v>
      </c>
      <c r="AP112" s="265">
        <f t="shared" si="37"/>
        <v>3360</v>
      </c>
      <c r="AQ112" s="26" t="str">
        <f t="shared" si="22"/>
        <v>TAHSISH RIVERCoho</v>
      </c>
      <c r="AR112" s="26">
        <f t="shared" si="23"/>
        <v>0</v>
      </c>
      <c r="AS112" s="33">
        <f t="shared" si="35"/>
        <v>0</v>
      </c>
      <c r="AX112" s="47" t="str">
        <f t="shared" si="24"/>
        <v>TAHSISH RIVERCoho</v>
      </c>
      <c r="AY112" s="49">
        <f t="shared" si="25"/>
        <v>0</v>
      </c>
      <c r="AZ112" s="49">
        <f t="shared" si="26"/>
        <v>0</v>
      </c>
      <c r="BA112" s="31">
        <v>2016</v>
      </c>
      <c r="BB112" s="188" t="str">
        <f t="shared" si="27"/>
        <v>KCFN/LGL</v>
      </c>
      <c r="BC112" s="188" t="str">
        <f t="shared" si="32"/>
        <v xml:space="preserve"> </v>
      </c>
      <c r="BD112" s="188" t="str">
        <f t="shared" si="33"/>
        <v xml:space="preserve"> </v>
      </c>
      <c r="BE112" s="188" t="str">
        <f t="shared" si="34"/>
        <v xml:space="preserve"> </v>
      </c>
      <c r="BF112" s="50" t="str">
        <f t="shared" si="20"/>
        <v>TAHSISH RIVER_Coho</v>
      </c>
      <c r="BG112" s="50">
        <f>IFERROR(VLOOKUP(BF112,'[1]WCVI Esc'!$C$5:$W$534,18,FALSE),"-")</f>
        <v>3520.25</v>
      </c>
      <c r="BH112" s="50">
        <f t="shared" si="28"/>
        <v>3520</v>
      </c>
      <c r="BI112" s="50">
        <f>IFERROR(VLOOKUP(BF112,'[1]WCVI Esc'!$C$5:$W$534,19,FALSE),"-")</f>
        <v>3358.1666666666665</v>
      </c>
      <c r="BJ112" s="50">
        <f t="shared" si="29"/>
        <v>3360</v>
      </c>
    </row>
    <row r="113" spans="1:65" hidden="1" x14ac:dyDescent="0.2">
      <c r="A113" s="28">
        <v>2</v>
      </c>
      <c r="B113" s="28">
        <v>3</v>
      </c>
      <c r="C113" s="11">
        <v>26</v>
      </c>
      <c r="D113" s="148" t="s">
        <v>301</v>
      </c>
      <c r="E113" s="10" t="s">
        <v>66</v>
      </c>
      <c r="F113" s="10" t="s">
        <v>208</v>
      </c>
      <c r="G113" s="10"/>
      <c r="H113" s="152"/>
      <c r="I113" s="155"/>
      <c r="J113" s="106"/>
      <c r="K113" s="94"/>
      <c r="L113" s="158"/>
      <c r="M113" s="161"/>
      <c r="N113" s="106"/>
      <c r="O113" s="106"/>
      <c r="P113" s="63"/>
      <c r="Q113" s="162"/>
      <c r="R113" s="169"/>
      <c r="S113" s="62"/>
      <c r="T113" s="63"/>
      <c r="U113" s="62"/>
      <c r="V113" s="64"/>
      <c r="W113" s="164"/>
      <c r="X113" s="62"/>
      <c r="Y113" s="45"/>
      <c r="Z113" s="44"/>
      <c r="AA113" s="100">
        <f>Y113/AP113</f>
        <v>0</v>
      </c>
      <c r="AB113" s="100">
        <f>AS113/AP113</f>
        <v>0</v>
      </c>
      <c r="AC113" s="100"/>
      <c r="AD113" s="100"/>
      <c r="AE113" s="100"/>
      <c r="AF113" s="100"/>
      <c r="AG113" s="18">
        <v>26</v>
      </c>
      <c r="AH113" s="69" t="s">
        <v>301</v>
      </c>
      <c r="AI113" s="243" t="s">
        <v>66</v>
      </c>
      <c r="AJ113" s="243" t="s">
        <v>419</v>
      </c>
      <c r="AK113" s="244" t="s">
        <v>292</v>
      </c>
      <c r="AL113" s="43" t="str">
        <f t="shared" si="30"/>
        <v>-</v>
      </c>
      <c r="AM113" s="43">
        <f t="shared" si="36"/>
        <v>0</v>
      </c>
      <c r="AN113" s="193">
        <f t="shared" si="36"/>
        <v>0</v>
      </c>
      <c r="AO113" s="264" t="str">
        <f t="shared" si="31"/>
        <v>-</v>
      </c>
      <c r="AP113" s="265">
        <f t="shared" si="37"/>
        <v>10</v>
      </c>
      <c r="AQ113" s="26" t="str">
        <f t="shared" si="22"/>
        <v>TAHSISH RIVERPink</v>
      </c>
      <c r="AR113" s="26">
        <f t="shared" si="23"/>
        <v>0</v>
      </c>
      <c r="AS113" s="33">
        <f t="shared" si="35"/>
        <v>0</v>
      </c>
      <c r="AX113" s="47" t="str">
        <f t="shared" si="24"/>
        <v>TAHSISH RIVERPink</v>
      </c>
      <c r="AY113" s="49">
        <f t="shared" si="25"/>
        <v>0</v>
      </c>
      <c r="AZ113" s="49">
        <f t="shared" si="26"/>
        <v>0</v>
      </c>
      <c r="BA113" s="31">
        <v>2016</v>
      </c>
      <c r="BB113" s="188" t="str">
        <f t="shared" si="27"/>
        <v>KCFN/LGL</v>
      </c>
      <c r="BC113" s="188" t="str">
        <f t="shared" si="32"/>
        <v xml:space="preserve"> </v>
      </c>
      <c r="BD113" s="188" t="str">
        <f t="shared" si="33"/>
        <v xml:space="preserve"> </v>
      </c>
      <c r="BE113" s="188" t="str">
        <f t="shared" si="34"/>
        <v xml:space="preserve"> </v>
      </c>
      <c r="BF113" s="50" t="str">
        <f t="shared" si="20"/>
        <v>TAHSISH RIVER_Pink</v>
      </c>
      <c r="BG113" s="50" t="str">
        <f>IFERROR(VLOOKUP(BF113,'[1]WCVI Esc'!$C$5:$W$534,18,FALSE),"-")</f>
        <v>-</v>
      </c>
      <c r="BH113" s="50" t="str">
        <f t="shared" si="28"/>
        <v>-</v>
      </c>
      <c r="BI113" s="50">
        <f>IFERROR(VLOOKUP(BF113,'[1]WCVI Esc'!$C$5:$W$534,19,FALSE),"-")</f>
        <v>8.6</v>
      </c>
      <c r="BJ113" s="50">
        <f t="shared" si="29"/>
        <v>10</v>
      </c>
    </row>
    <row r="114" spans="1:65" hidden="1" x14ac:dyDescent="0.2">
      <c r="A114" s="28">
        <v>2</v>
      </c>
      <c r="B114" s="28">
        <v>4</v>
      </c>
      <c r="C114" s="11">
        <v>26</v>
      </c>
      <c r="D114" s="148" t="s">
        <v>301</v>
      </c>
      <c r="E114" s="10" t="s">
        <v>66</v>
      </c>
      <c r="F114" s="10" t="s">
        <v>209</v>
      </c>
      <c r="G114" s="10"/>
      <c r="H114" s="152"/>
      <c r="I114" s="155"/>
      <c r="J114" s="106"/>
      <c r="K114" s="94"/>
      <c r="L114" s="158"/>
      <c r="M114" s="161"/>
      <c r="N114" s="106"/>
      <c r="O114" s="106"/>
      <c r="P114" s="63"/>
      <c r="Q114" s="162"/>
      <c r="R114" s="164"/>
      <c r="S114" s="62"/>
      <c r="T114" s="63"/>
      <c r="U114" s="62"/>
      <c r="V114" s="64"/>
      <c r="W114" s="164"/>
      <c r="X114" s="62"/>
      <c r="Y114" s="45"/>
      <c r="Z114" s="44"/>
      <c r="AA114" s="100">
        <f>Y114/AP114</f>
        <v>0</v>
      </c>
      <c r="AB114" s="100">
        <f>AS114/AP114</f>
        <v>0</v>
      </c>
      <c r="AC114" s="100"/>
      <c r="AD114" s="100"/>
      <c r="AE114" s="100"/>
      <c r="AF114" s="100"/>
      <c r="AG114" s="18">
        <v>26</v>
      </c>
      <c r="AH114" s="69" t="s">
        <v>301</v>
      </c>
      <c r="AI114" s="243" t="s">
        <v>66</v>
      </c>
      <c r="AJ114" s="243" t="s">
        <v>419</v>
      </c>
      <c r="AK114" s="244" t="s">
        <v>292</v>
      </c>
      <c r="AL114" s="43" t="str">
        <f t="shared" si="30"/>
        <v>-</v>
      </c>
      <c r="AM114" s="43">
        <f t="shared" si="36"/>
        <v>0</v>
      </c>
      <c r="AN114" s="193">
        <f t="shared" si="36"/>
        <v>0</v>
      </c>
      <c r="AO114" s="264">
        <f t="shared" si="31"/>
        <v>4310</v>
      </c>
      <c r="AP114" s="265">
        <f t="shared" si="37"/>
        <v>4870</v>
      </c>
      <c r="AQ114" s="26" t="str">
        <f t="shared" si="22"/>
        <v>TAHSISH RIVERChum</v>
      </c>
      <c r="AR114" s="26">
        <f t="shared" si="23"/>
        <v>0</v>
      </c>
      <c r="AS114" s="33">
        <f t="shared" si="35"/>
        <v>0</v>
      </c>
      <c r="AX114" s="47" t="str">
        <f t="shared" si="24"/>
        <v>TAHSISH RIVERChum</v>
      </c>
      <c r="AY114" s="49">
        <f t="shared" si="25"/>
        <v>0</v>
      </c>
      <c r="AZ114" s="49">
        <f t="shared" si="26"/>
        <v>0</v>
      </c>
      <c r="BA114" s="31">
        <v>2016</v>
      </c>
      <c r="BB114" s="188" t="str">
        <f t="shared" si="27"/>
        <v>KCFN/LGL</v>
      </c>
      <c r="BC114" s="188" t="str">
        <f t="shared" si="32"/>
        <v xml:space="preserve"> </v>
      </c>
      <c r="BD114" s="188" t="str">
        <f t="shared" si="33"/>
        <v xml:space="preserve"> </v>
      </c>
      <c r="BE114" s="188" t="str">
        <f t="shared" si="34"/>
        <v xml:space="preserve"> </v>
      </c>
      <c r="BF114" s="50" t="str">
        <f t="shared" si="20"/>
        <v>TAHSISH RIVER_Chum</v>
      </c>
      <c r="BG114" s="50">
        <f>IFERROR(VLOOKUP(BF114,'[1]WCVI Esc'!$C$5:$W$534,18,FALSE),"-")</f>
        <v>4310</v>
      </c>
      <c r="BH114" s="50">
        <f t="shared" si="28"/>
        <v>4310</v>
      </c>
      <c r="BI114" s="50">
        <f>IFERROR(VLOOKUP(BF114,'[1]WCVI Esc'!$C$5:$W$534,19,FALSE),"-")</f>
        <v>4867.916666666667</v>
      </c>
      <c r="BJ114" s="50">
        <f t="shared" si="29"/>
        <v>4870</v>
      </c>
    </row>
    <row r="115" spans="1:65" hidden="1" x14ac:dyDescent="0.2">
      <c r="A115" s="28">
        <v>2</v>
      </c>
      <c r="B115" s="28">
        <v>5</v>
      </c>
      <c r="C115" s="11">
        <v>26</v>
      </c>
      <c r="D115" s="148" t="s">
        <v>301</v>
      </c>
      <c r="E115" s="10" t="s">
        <v>66</v>
      </c>
      <c r="F115" s="10" t="s">
        <v>210</v>
      </c>
      <c r="G115" s="10"/>
      <c r="H115" s="152"/>
      <c r="I115" s="155"/>
      <c r="J115" s="106"/>
      <c r="K115" s="94"/>
      <c r="L115" s="158"/>
      <c r="M115" s="161"/>
      <c r="N115" s="106"/>
      <c r="O115" s="106"/>
      <c r="P115" s="63"/>
      <c r="Q115" s="162"/>
      <c r="R115" s="164"/>
      <c r="S115" s="62"/>
      <c r="T115" s="63"/>
      <c r="U115" s="62"/>
      <c r="V115" s="64"/>
      <c r="W115" s="164"/>
      <c r="X115" s="62"/>
      <c r="Y115" s="45"/>
      <c r="Z115" s="44"/>
      <c r="AA115" s="100">
        <f>Y115/AP115</f>
        <v>0</v>
      </c>
      <c r="AB115" s="100">
        <f>AS115/AP115</f>
        <v>0</v>
      </c>
      <c r="AC115" s="123">
        <v>2</v>
      </c>
      <c r="AD115" s="123">
        <v>534</v>
      </c>
      <c r="AE115" s="123">
        <v>157</v>
      </c>
      <c r="AF115" s="123">
        <f>Y115</f>
        <v>0</v>
      </c>
      <c r="AG115" s="18">
        <v>26</v>
      </c>
      <c r="AH115" s="69" t="s">
        <v>301</v>
      </c>
      <c r="AI115" s="243" t="s">
        <v>66</v>
      </c>
      <c r="AJ115" s="243" t="s">
        <v>419</v>
      </c>
      <c r="AK115" s="244" t="s">
        <v>292</v>
      </c>
      <c r="AL115" s="43" t="str">
        <f t="shared" si="30"/>
        <v>-</v>
      </c>
      <c r="AM115" s="43">
        <f t="shared" si="36"/>
        <v>0</v>
      </c>
      <c r="AN115" s="193">
        <f t="shared" si="36"/>
        <v>0</v>
      </c>
      <c r="AO115" s="264">
        <f t="shared" si="31"/>
        <v>1120</v>
      </c>
      <c r="AP115" s="265">
        <f t="shared" si="37"/>
        <v>810</v>
      </c>
      <c r="AQ115" s="26" t="str">
        <f t="shared" si="22"/>
        <v>TAHSISH RIVERChinook</v>
      </c>
      <c r="AR115" s="26">
        <f t="shared" si="23"/>
        <v>0</v>
      </c>
      <c r="AS115" s="33">
        <f t="shared" si="35"/>
        <v>0</v>
      </c>
      <c r="AX115" s="47" t="str">
        <f t="shared" si="24"/>
        <v>TAHSISH RIVERChinook</v>
      </c>
      <c r="AY115" s="49">
        <f t="shared" si="25"/>
        <v>0</v>
      </c>
      <c r="AZ115" s="49">
        <f t="shared" si="26"/>
        <v>0</v>
      </c>
      <c r="BA115" s="31">
        <v>2016</v>
      </c>
      <c r="BB115" s="188" t="str">
        <f t="shared" si="27"/>
        <v>KCFN/LGL</v>
      </c>
      <c r="BC115" s="188" t="str">
        <f t="shared" si="32"/>
        <v xml:space="preserve"> </v>
      </c>
      <c r="BD115" s="188" t="str">
        <f t="shared" si="33"/>
        <v xml:space="preserve"> </v>
      </c>
      <c r="BE115" s="188" t="str">
        <f t="shared" si="34"/>
        <v xml:space="preserve"> </v>
      </c>
      <c r="BF115" s="50" t="str">
        <f t="shared" si="20"/>
        <v>TAHSISH RIVER_Chinook</v>
      </c>
      <c r="BG115" s="50">
        <f>IFERROR(VLOOKUP(BF115,'[1]WCVI Esc'!$C$5:$W$534,18,FALSE),"-")</f>
        <v>1123</v>
      </c>
      <c r="BH115" s="50">
        <f t="shared" si="28"/>
        <v>1120</v>
      </c>
      <c r="BI115" s="50">
        <f>IFERROR(VLOOKUP(BF115,'[1]WCVI Esc'!$C$5:$W$534,19,FALSE),"-")</f>
        <v>813.16666666666663</v>
      </c>
      <c r="BJ115" s="50">
        <f t="shared" si="29"/>
        <v>810</v>
      </c>
      <c r="BK115">
        <v>6</v>
      </c>
      <c r="BL115" s="17" t="s">
        <v>369</v>
      </c>
      <c r="BM115" s="31">
        <v>1</v>
      </c>
    </row>
    <row r="116" spans="1:65" hidden="1" x14ac:dyDescent="0.2">
      <c r="A116" s="28">
        <v>2</v>
      </c>
      <c r="B116" s="28">
        <v>6</v>
      </c>
      <c r="C116" s="11">
        <v>26</v>
      </c>
      <c r="D116" s="148" t="s">
        <v>301</v>
      </c>
      <c r="E116" s="10" t="s">
        <v>66</v>
      </c>
      <c r="F116" s="10" t="s">
        <v>211</v>
      </c>
      <c r="G116" s="10"/>
      <c r="H116" s="152"/>
      <c r="I116" s="155"/>
      <c r="J116" s="106"/>
      <c r="K116" s="94"/>
      <c r="L116" s="158"/>
      <c r="M116" s="161"/>
      <c r="N116" s="106"/>
      <c r="O116" s="106"/>
      <c r="P116" s="63"/>
      <c r="Q116" s="162"/>
      <c r="R116" s="169"/>
      <c r="S116" s="62"/>
      <c r="T116" s="63"/>
      <c r="U116" s="62"/>
      <c r="V116" s="64"/>
      <c r="W116" s="164"/>
      <c r="X116" s="62"/>
      <c r="Y116" s="45"/>
      <c r="Z116" s="44"/>
      <c r="AA116" s="100"/>
      <c r="AB116" s="100"/>
      <c r="AC116" s="100"/>
      <c r="AD116" s="100"/>
      <c r="AE116" s="100"/>
      <c r="AF116" s="100"/>
      <c r="AG116" s="18">
        <v>26</v>
      </c>
      <c r="AH116" s="69" t="s">
        <v>301</v>
      </c>
      <c r="AI116" s="243" t="s">
        <v>66</v>
      </c>
      <c r="AJ116" s="243" t="s">
        <v>419</v>
      </c>
      <c r="AK116" s="244" t="s">
        <v>292</v>
      </c>
      <c r="AL116" s="43" t="str">
        <f t="shared" si="30"/>
        <v>-</v>
      </c>
      <c r="AM116" s="43">
        <f t="shared" si="36"/>
        <v>0</v>
      </c>
      <c r="AN116" s="193">
        <f t="shared" si="36"/>
        <v>0</v>
      </c>
      <c r="AO116" s="264" t="str">
        <f t="shared" si="31"/>
        <v>-</v>
      </c>
      <c r="AP116" s="265" t="str">
        <f t="shared" si="37"/>
        <v>-</v>
      </c>
      <c r="AQ116" s="26" t="str">
        <f t="shared" si="22"/>
        <v>TAHSISH RIVERSteelhead</v>
      </c>
      <c r="AR116" s="26">
        <f t="shared" si="23"/>
        <v>0</v>
      </c>
      <c r="AS116" s="33">
        <f t="shared" si="35"/>
        <v>0</v>
      </c>
      <c r="AX116" s="47" t="str">
        <f t="shared" si="24"/>
        <v>TAHSISH RIVERSteelhead</v>
      </c>
      <c r="AY116" s="49">
        <f t="shared" si="25"/>
        <v>0</v>
      </c>
      <c r="AZ116" s="49">
        <f t="shared" si="26"/>
        <v>0</v>
      </c>
      <c r="BA116" s="31">
        <v>0</v>
      </c>
      <c r="BB116" s="188" t="str">
        <f t="shared" si="27"/>
        <v>KCFN/LGL</v>
      </c>
      <c r="BC116" s="188" t="str">
        <f t="shared" si="32"/>
        <v xml:space="preserve"> </v>
      </c>
      <c r="BD116" s="188" t="str">
        <f t="shared" si="33"/>
        <v xml:space="preserve"> </v>
      </c>
      <c r="BE116" s="188" t="str">
        <f t="shared" si="34"/>
        <v xml:space="preserve"> </v>
      </c>
      <c r="BF116" s="50" t="str">
        <f t="shared" si="20"/>
        <v>TAHSISH RIVER_Steelhead</v>
      </c>
      <c r="BG116" s="50" t="str">
        <f>IFERROR(VLOOKUP(BF116,'[1]WCVI Esc'!$C$5:$W$534,18,FALSE),"-")</f>
        <v>-</v>
      </c>
      <c r="BH116" s="50" t="str">
        <f t="shared" si="28"/>
        <v>-</v>
      </c>
      <c r="BI116" s="50" t="str">
        <f>IFERROR(VLOOKUP(BF116,'[1]WCVI Esc'!$C$5:$W$534,19,FALSE),"-")</f>
        <v>-</v>
      </c>
      <c r="BJ116" s="50" t="str">
        <f t="shared" si="29"/>
        <v>-</v>
      </c>
    </row>
    <row r="117" spans="1:65" hidden="1" x14ac:dyDescent="0.2">
      <c r="A117" s="28">
        <v>2</v>
      </c>
      <c r="B117" s="28">
        <v>1</v>
      </c>
      <c r="C117" s="11">
        <v>27</v>
      </c>
      <c r="D117" s="13" t="s">
        <v>302</v>
      </c>
      <c r="E117" s="10" t="s">
        <v>68</v>
      </c>
      <c r="F117" s="10" t="s">
        <v>207</v>
      </c>
      <c r="G117" s="10"/>
      <c r="H117" s="152"/>
      <c r="I117" s="155"/>
      <c r="J117" s="106"/>
      <c r="K117" s="94"/>
      <c r="L117" s="158"/>
      <c r="M117" s="161"/>
      <c r="N117" s="106"/>
      <c r="O117" s="106"/>
      <c r="P117" s="63"/>
      <c r="Q117" s="162"/>
      <c r="R117" s="164"/>
      <c r="S117" s="62"/>
      <c r="T117" s="63"/>
      <c r="U117" s="62"/>
      <c r="V117" s="64"/>
      <c r="W117" s="164"/>
      <c r="X117" s="62"/>
      <c r="Y117" s="45"/>
      <c r="Z117" s="44"/>
      <c r="AA117" s="100"/>
      <c r="AB117" s="100"/>
      <c r="AC117" s="100"/>
      <c r="AD117" s="100"/>
      <c r="AE117" s="100"/>
      <c r="AF117" s="100"/>
      <c r="AG117" s="18">
        <v>27</v>
      </c>
      <c r="AH117" s="69" t="s">
        <v>302</v>
      </c>
      <c r="AI117" s="243" t="s">
        <v>68</v>
      </c>
      <c r="AJ117" s="243" t="s">
        <v>419</v>
      </c>
      <c r="AK117" s="244" t="s">
        <v>369</v>
      </c>
      <c r="AL117" s="43" t="str">
        <f t="shared" si="30"/>
        <v>-</v>
      </c>
      <c r="AM117" s="43">
        <f t="shared" si="36"/>
        <v>0</v>
      </c>
      <c r="AN117" s="193">
        <f t="shared" si="36"/>
        <v>0</v>
      </c>
      <c r="AO117" s="264" t="str">
        <f t="shared" si="31"/>
        <v>-</v>
      </c>
      <c r="AP117" s="265" t="str">
        <f t="shared" si="37"/>
        <v>-</v>
      </c>
      <c r="AQ117" s="26" t="str">
        <f t="shared" si="22"/>
        <v>CAYEGHLE SYSTEMSockeye</v>
      </c>
      <c r="AR117" s="26">
        <f t="shared" si="23"/>
        <v>0</v>
      </c>
      <c r="AS117" s="33">
        <f t="shared" si="35"/>
        <v>0</v>
      </c>
      <c r="AX117" s="47" t="str">
        <f t="shared" si="24"/>
        <v>CAYEGHLE SYSTEMSockeye</v>
      </c>
      <c r="AY117" s="49">
        <f t="shared" si="25"/>
        <v>0</v>
      </c>
      <c r="AZ117" s="49">
        <f t="shared" si="26"/>
        <v>0</v>
      </c>
      <c r="BA117" s="31">
        <v>2016</v>
      </c>
      <c r="BB117" s="188" t="str">
        <f t="shared" si="27"/>
        <v>Strategic</v>
      </c>
      <c r="BC117" s="188" t="str">
        <f t="shared" si="32"/>
        <v xml:space="preserve"> </v>
      </c>
      <c r="BD117" s="188" t="str">
        <f t="shared" si="33"/>
        <v xml:space="preserve"> </v>
      </c>
      <c r="BE117" s="188" t="str">
        <f t="shared" si="34"/>
        <v xml:space="preserve"> </v>
      </c>
      <c r="BF117" s="50" t="s">
        <v>384</v>
      </c>
      <c r="BG117" s="50" t="str">
        <f>IFERROR(VLOOKUP(BF117,'[1]WCVI Esc'!$C$5:$W$534,18,FALSE),"-")</f>
        <v>-</v>
      </c>
      <c r="BH117" s="50" t="str">
        <f t="shared" si="28"/>
        <v>-</v>
      </c>
      <c r="BI117" s="50" t="str">
        <f>IFERROR(VLOOKUP(BF117,'[1]WCVI Esc'!$C$5:$W$534,19,FALSE),"-")</f>
        <v>-</v>
      </c>
      <c r="BJ117" s="50" t="str">
        <f t="shared" si="29"/>
        <v>-</v>
      </c>
    </row>
    <row r="118" spans="1:65" hidden="1" x14ac:dyDescent="0.2">
      <c r="A118" s="28">
        <v>2</v>
      </c>
      <c r="B118" s="28">
        <v>2</v>
      </c>
      <c r="C118" s="11">
        <v>27</v>
      </c>
      <c r="D118" s="13" t="s">
        <v>302</v>
      </c>
      <c r="E118" s="10" t="s">
        <v>68</v>
      </c>
      <c r="F118" s="10" t="s">
        <v>219</v>
      </c>
      <c r="G118" s="10"/>
      <c r="H118" s="152"/>
      <c r="I118" s="155"/>
      <c r="J118" s="106"/>
      <c r="K118" s="94"/>
      <c r="L118" s="158"/>
      <c r="M118" s="161"/>
      <c r="N118" s="106"/>
      <c r="O118" s="106"/>
      <c r="P118" s="63"/>
      <c r="Q118" s="162"/>
      <c r="R118" s="164"/>
      <c r="S118" s="62"/>
      <c r="T118" s="63"/>
      <c r="U118" s="62"/>
      <c r="V118" s="64"/>
      <c r="W118" s="164"/>
      <c r="X118" s="62"/>
      <c r="Y118" s="45"/>
      <c r="Z118" s="44"/>
      <c r="AA118" s="100"/>
      <c r="AB118" s="100"/>
      <c r="AC118" s="100"/>
      <c r="AD118" s="100"/>
      <c r="AE118" s="100"/>
      <c r="AF118" s="100"/>
      <c r="AG118" s="18">
        <v>27</v>
      </c>
      <c r="AH118" s="69" t="s">
        <v>302</v>
      </c>
      <c r="AI118" s="243" t="s">
        <v>68</v>
      </c>
      <c r="AJ118" s="243" t="s">
        <v>419</v>
      </c>
      <c r="AK118" s="244" t="s">
        <v>369</v>
      </c>
      <c r="AL118" s="43" t="str">
        <f t="shared" si="30"/>
        <v>-</v>
      </c>
      <c r="AM118" s="43">
        <f t="shared" si="36"/>
        <v>0</v>
      </c>
      <c r="AN118" s="193">
        <f t="shared" si="36"/>
        <v>0</v>
      </c>
      <c r="AO118" s="264" t="str">
        <f t="shared" si="31"/>
        <v>-</v>
      </c>
      <c r="AP118" s="265" t="str">
        <f t="shared" si="37"/>
        <v>-</v>
      </c>
      <c r="AQ118" s="26" t="str">
        <f t="shared" si="22"/>
        <v>CAYEGHLE SYSTEMCoho</v>
      </c>
      <c r="AR118" s="26">
        <f t="shared" si="23"/>
        <v>0</v>
      </c>
      <c r="AS118" s="33">
        <f t="shared" si="35"/>
        <v>0</v>
      </c>
      <c r="AX118" s="47" t="str">
        <f t="shared" si="24"/>
        <v>CAYEGHLE SYSTEMCoho</v>
      </c>
      <c r="AY118" s="49">
        <f t="shared" si="25"/>
        <v>0</v>
      </c>
      <c r="AZ118" s="49">
        <f t="shared" si="26"/>
        <v>0</v>
      </c>
      <c r="BA118" s="31">
        <v>2016</v>
      </c>
      <c r="BB118" s="188" t="str">
        <f t="shared" si="27"/>
        <v>Strategic</v>
      </c>
      <c r="BC118" s="188" t="str">
        <f t="shared" si="32"/>
        <v xml:space="preserve"> </v>
      </c>
      <c r="BD118" s="188" t="str">
        <f t="shared" si="33"/>
        <v xml:space="preserve"> </v>
      </c>
      <c r="BE118" s="188" t="str">
        <f t="shared" si="34"/>
        <v xml:space="preserve"> </v>
      </c>
      <c r="BF118" s="50" t="s">
        <v>385</v>
      </c>
      <c r="BG118" s="50" t="str">
        <f>IFERROR(VLOOKUP(BF118,'[1]WCVI Esc'!$C$5:$W$534,18,FALSE),"-")</f>
        <v>-</v>
      </c>
      <c r="BH118" s="50" t="str">
        <f t="shared" si="28"/>
        <v>-</v>
      </c>
      <c r="BI118" s="50" t="str">
        <f>IFERROR(VLOOKUP(BF118,'[1]WCVI Esc'!$C$5:$W$534,19,FALSE),"-")</f>
        <v>-</v>
      </c>
      <c r="BJ118" s="50" t="str">
        <f t="shared" si="29"/>
        <v>-</v>
      </c>
    </row>
    <row r="119" spans="1:65" hidden="1" x14ac:dyDescent="0.2">
      <c r="A119" s="28">
        <v>2</v>
      </c>
      <c r="B119" s="28">
        <v>3</v>
      </c>
      <c r="C119" s="11">
        <v>27</v>
      </c>
      <c r="D119" s="13" t="s">
        <v>302</v>
      </c>
      <c r="E119" s="10" t="s">
        <v>68</v>
      </c>
      <c r="F119" s="10" t="s">
        <v>208</v>
      </c>
      <c r="G119" s="10"/>
      <c r="H119" s="152"/>
      <c r="I119" s="155"/>
      <c r="J119" s="106"/>
      <c r="K119" s="94"/>
      <c r="L119" s="158"/>
      <c r="M119" s="161"/>
      <c r="N119" s="106"/>
      <c r="O119" s="106"/>
      <c r="P119" s="63"/>
      <c r="Q119" s="162"/>
      <c r="R119" s="164"/>
      <c r="S119" s="62"/>
      <c r="T119" s="63"/>
      <c r="U119" s="62"/>
      <c r="V119" s="64"/>
      <c r="W119" s="164"/>
      <c r="X119" s="62"/>
      <c r="Y119" s="45"/>
      <c r="Z119" s="44"/>
      <c r="AA119" s="100"/>
      <c r="AB119" s="100"/>
      <c r="AC119" s="100"/>
      <c r="AD119" s="100"/>
      <c r="AE119" s="100"/>
      <c r="AF119" s="100"/>
      <c r="AG119" s="18">
        <v>27</v>
      </c>
      <c r="AH119" s="69" t="s">
        <v>302</v>
      </c>
      <c r="AI119" s="243" t="s">
        <v>68</v>
      </c>
      <c r="AJ119" s="243" t="s">
        <v>419</v>
      </c>
      <c r="AK119" s="244" t="s">
        <v>369</v>
      </c>
      <c r="AL119" s="43" t="str">
        <f t="shared" si="30"/>
        <v>-</v>
      </c>
      <c r="AM119" s="43">
        <f t="shared" si="36"/>
        <v>0</v>
      </c>
      <c r="AN119" s="193">
        <f t="shared" si="36"/>
        <v>0</v>
      </c>
      <c r="AO119" s="264" t="str">
        <f t="shared" si="31"/>
        <v>-</v>
      </c>
      <c r="AP119" s="265" t="str">
        <f t="shared" si="37"/>
        <v>-</v>
      </c>
      <c r="AQ119" s="26" t="str">
        <f t="shared" si="22"/>
        <v>CAYEGHLE SYSTEMPink</v>
      </c>
      <c r="AR119" s="26">
        <f t="shared" si="23"/>
        <v>0</v>
      </c>
      <c r="AS119" s="33">
        <f t="shared" si="35"/>
        <v>0</v>
      </c>
      <c r="AX119" s="47" t="str">
        <f t="shared" si="24"/>
        <v>CAYEGHLE SYSTEMPink</v>
      </c>
      <c r="AY119" s="49">
        <f t="shared" si="25"/>
        <v>0</v>
      </c>
      <c r="AZ119" s="49">
        <f t="shared" si="26"/>
        <v>0</v>
      </c>
      <c r="BA119" s="31">
        <v>2016</v>
      </c>
      <c r="BB119" s="188" t="str">
        <f t="shared" si="27"/>
        <v>Strategic</v>
      </c>
      <c r="BC119" s="188" t="str">
        <f t="shared" si="32"/>
        <v xml:space="preserve"> </v>
      </c>
      <c r="BD119" s="188" t="str">
        <f t="shared" si="33"/>
        <v xml:space="preserve"> </v>
      </c>
      <c r="BE119" s="188" t="str">
        <f t="shared" si="34"/>
        <v xml:space="preserve"> </v>
      </c>
      <c r="BF119" s="50" t="s">
        <v>386</v>
      </c>
      <c r="BG119" s="50" t="str">
        <f>IFERROR(VLOOKUP(BF119,'[1]WCVI Esc'!$C$5:$W$534,18,FALSE),"-")</f>
        <v>-</v>
      </c>
      <c r="BH119" s="50" t="str">
        <f t="shared" si="28"/>
        <v>-</v>
      </c>
      <c r="BI119" s="50" t="str">
        <f>IFERROR(VLOOKUP(BF119,'[1]WCVI Esc'!$C$5:$W$534,19,FALSE),"-")</f>
        <v>-</v>
      </c>
      <c r="BJ119" s="50" t="str">
        <f t="shared" si="29"/>
        <v>-</v>
      </c>
    </row>
    <row r="120" spans="1:65" hidden="1" x14ac:dyDescent="0.2">
      <c r="A120" s="28">
        <v>2</v>
      </c>
      <c r="B120" s="28">
        <v>4</v>
      </c>
      <c r="C120" s="11">
        <v>27</v>
      </c>
      <c r="D120" s="13" t="s">
        <v>302</v>
      </c>
      <c r="E120" s="10" t="s">
        <v>68</v>
      </c>
      <c r="F120" s="10" t="s">
        <v>209</v>
      </c>
      <c r="G120" s="10"/>
      <c r="H120" s="152"/>
      <c r="I120" s="155"/>
      <c r="J120" s="106"/>
      <c r="K120" s="94"/>
      <c r="L120" s="158"/>
      <c r="M120" s="161"/>
      <c r="N120" s="106"/>
      <c r="O120" s="106"/>
      <c r="P120" s="63"/>
      <c r="Q120" s="162"/>
      <c r="R120" s="164"/>
      <c r="S120" s="62"/>
      <c r="T120" s="63"/>
      <c r="U120" s="62"/>
      <c r="V120" s="64"/>
      <c r="W120" s="164"/>
      <c r="X120" s="62"/>
      <c r="Y120" s="45"/>
      <c r="Z120" s="44"/>
      <c r="AA120" s="100"/>
      <c r="AB120" s="100"/>
      <c r="AC120" s="100"/>
      <c r="AD120" s="100"/>
      <c r="AE120" s="100"/>
      <c r="AF120" s="100"/>
      <c r="AG120" s="18">
        <v>27</v>
      </c>
      <c r="AH120" s="69" t="s">
        <v>302</v>
      </c>
      <c r="AI120" s="243" t="s">
        <v>68</v>
      </c>
      <c r="AJ120" s="243" t="s">
        <v>419</v>
      </c>
      <c r="AK120" s="244" t="s">
        <v>369</v>
      </c>
      <c r="AL120" s="43" t="str">
        <f t="shared" si="30"/>
        <v>-</v>
      </c>
      <c r="AM120" s="43">
        <f t="shared" si="36"/>
        <v>0</v>
      </c>
      <c r="AN120" s="193">
        <f t="shared" si="36"/>
        <v>0</v>
      </c>
      <c r="AO120" s="264" t="str">
        <f t="shared" si="31"/>
        <v>-</v>
      </c>
      <c r="AP120" s="265" t="str">
        <f t="shared" si="37"/>
        <v>-</v>
      </c>
      <c r="AQ120" s="26" t="str">
        <f t="shared" si="22"/>
        <v>CAYEGHLE SYSTEMChum</v>
      </c>
      <c r="AR120" s="26">
        <f t="shared" si="23"/>
        <v>0</v>
      </c>
      <c r="AS120" s="33">
        <f t="shared" si="35"/>
        <v>0</v>
      </c>
      <c r="AX120" s="47" t="str">
        <f t="shared" si="24"/>
        <v>CAYEGHLE SYSTEMChum</v>
      </c>
      <c r="AY120" s="49">
        <f t="shared" si="25"/>
        <v>0</v>
      </c>
      <c r="AZ120" s="49">
        <f t="shared" si="26"/>
        <v>0</v>
      </c>
      <c r="BA120" s="31">
        <v>2016</v>
      </c>
      <c r="BB120" s="188" t="str">
        <f t="shared" si="27"/>
        <v>Strategic</v>
      </c>
      <c r="BC120" s="188" t="str">
        <f t="shared" si="32"/>
        <v xml:space="preserve"> </v>
      </c>
      <c r="BD120" s="188" t="str">
        <f t="shared" si="33"/>
        <v xml:space="preserve"> </v>
      </c>
      <c r="BE120" s="188" t="str">
        <f t="shared" si="34"/>
        <v xml:space="preserve"> </v>
      </c>
      <c r="BF120" s="50" t="s">
        <v>387</v>
      </c>
      <c r="BG120" s="50" t="str">
        <f>IFERROR(VLOOKUP(BF120,'[1]WCVI Esc'!$C$5:$W$534,18,FALSE),"-")</f>
        <v>-</v>
      </c>
      <c r="BH120" s="50" t="str">
        <f t="shared" si="28"/>
        <v>-</v>
      </c>
      <c r="BI120" s="50" t="str">
        <f>IFERROR(VLOOKUP(BF120,'[1]WCVI Esc'!$C$5:$W$534,19,FALSE),"-")</f>
        <v>-</v>
      </c>
      <c r="BJ120" s="50" t="str">
        <f t="shared" si="29"/>
        <v>-</v>
      </c>
    </row>
    <row r="121" spans="1:65" hidden="1" x14ac:dyDescent="0.2">
      <c r="A121" s="28">
        <v>2</v>
      </c>
      <c r="B121" s="28">
        <v>5</v>
      </c>
      <c r="C121" s="11">
        <v>27</v>
      </c>
      <c r="D121" s="13" t="s">
        <v>302</v>
      </c>
      <c r="E121" s="10" t="s">
        <v>68</v>
      </c>
      <c r="F121" s="10" t="s">
        <v>210</v>
      </c>
      <c r="G121" s="10"/>
      <c r="H121" s="152"/>
      <c r="I121" s="155"/>
      <c r="J121" s="106"/>
      <c r="K121" s="94"/>
      <c r="L121" s="158"/>
      <c r="M121" s="161"/>
      <c r="N121" s="106"/>
      <c r="O121" s="106"/>
      <c r="P121" s="63"/>
      <c r="Q121" s="162"/>
      <c r="R121" s="164"/>
      <c r="S121" s="62"/>
      <c r="T121" s="63"/>
      <c r="U121" s="62"/>
      <c r="V121" s="64"/>
      <c r="W121" s="164"/>
      <c r="X121" s="62"/>
      <c r="Y121" s="45"/>
      <c r="Z121" s="44"/>
      <c r="AA121" s="100"/>
      <c r="AB121" s="100"/>
      <c r="AC121" s="100"/>
      <c r="AD121" s="132">
        <v>433</v>
      </c>
      <c r="AE121" s="132">
        <v>127</v>
      </c>
      <c r="AF121" s="123">
        <f>Y121</f>
        <v>0</v>
      </c>
      <c r="AG121" s="18">
        <v>27</v>
      </c>
      <c r="AH121" s="69" t="s">
        <v>302</v>
      </c>
      <c r="AI121" s="243" t="s">
        <v>68</v>
      </c>
      <c r="AJ121" s="243" t="s">
        <v>419</v>
      </c>
      <c r="AK121" s="244" t="s">
        <v>369</v>
      </c>
      <c r="AL121" s="43" t="str">
        <f t="shared" si="30"/>
        <v>-</v>
      </c>
      <c r="AM121" s="43">
        <f t="shared" si="36"/>
        <v>0</v>
      </c>
      <c r="AN121" s="193">
        <f t="shared" si="36"/>
        <v>0</v>
      </c>
      <c r="AO121" s="264" t="str">
        <f t="shared" si="31"/>
        <v>-</v>
      </c>
      <c r="AP121" s="265" t="str">
        <f t="shared" si="37"/>
        <v>-</v>
      </c>
      <c r="AQ121" s="26" t="str">
        <f t="shared" si="22"/>
        <v>CAYEGHLE SYSTEMChinook</v>
      </c>
      <c r="AR121" s="26">
        <f t="shared" si="23"/>
        <v>0</v>
      </c>
      <c r="AS121" s="33">
        <f t="shared" si="35"/>
        <v>0</v>
      </c>
      <c r="AT121" s="34">
        <f>AS121*1.14</f>
        <v>0</v>
      </c>
      <c r="AU121" s="34">
        <f>AS121*2.88</f>
        <v>0</v>
      </c>
      <c r="AV121" s="36" t="s">
        <v>223</v>
      </c>
      <c r="AW121" s="24">
        <f>SUM(AT121:AU121)/2</f>
        <v>0</v>
      </c>
      <c r="AX121" s="47" t="str">
        <f t="shared" si="24"/>
        <v>CAYEGHLE SYSTEMChinook</v>
      </c>
      <c r="AY121" s="49">
        <f t="shared" si="25"/>
        <v>0</v>
      </c>
      <c r="AZ121" s="49">
        <f t="shared" si="26"/>
        <v>0</v>
      </c>
      <c r="BA121" s="31">
        <v>2016</v>
      </c>
      <c r="BB121" s="188" t="str">
        <f t="shared" si="27"/>
        <v>Strategic</v>
      </c>
      <c r="BC121" s="188" t="str">
        <f t="shared" si="32"/>
        <v xml:space="preserve"> </v>
      </c>
      <c r="BD121" s="188" t="str">
        <f t="shared" si="33"/>
        <v xml:space="preserve"> </v>
      </c>
      <c r="BE121" s="188" t="str">
        <f t="shared" si="34"/>
        <v xml:space="preserve"> </v>
      </c>
      <c r="BF121" s="50" t="s">
        <v>388</v>
      </c>
      <c r="BG121" s="50" t="str">
        <f>IFERROR(VLOOKUP(BF121,'[1]WCVI Esc'!$C$5:$W$534,18,FALSE),"-")</f>
        <v>-</v>
      </c>
      <c r="BH121" s="50" t="str">
        <f t="shared" si="28"/>
        <v>-</v>
      </c>
      <c r="BI121" s="50" t="str">
        <f>IFERROR(VLOOKUP(BF121,'[1]WCVI Esc'!$C$5:$W$534,19,FALSE),"-")</f>
        <v>-</v>
      </c>
      <c r="BJ121" s="50" t="str">
        <f t="shared" si="29"/>
        <v>-</v>
      </c>
      <c r="BK121">
        <v>6</v>
      </c>
      <c r="BL121" s="17" t="s">
        <v>461</v>
      </c>
      <c r="BM121" s="31">
        <v>1</v>
      </c>
    </row>
    <row r="122" spans="1:65" hidden="1" x14ac:dyDescent="0.2">
      <c r="A122" s="28">
        <v>2</v>
      </c>
      <c r="B122" s="28">
        <v>6</v>
      </c>
      <c r="C122" s="11">
        <v>27</v>
      </c>
      <c r="D122" s="13" t="s">
        <v>302</v>
      </c>
      <c r="E122" s="10" t="s">
        <v>68</v>
      </c>
      <c r="F122" s="10" t="s">
        <v>211</v>
      </c>
      <c r="G122" s="10"/>
      <c r="H122" s="152"/>
      <c r="I122" s="155"/>
      <c r="J122" s="106"/>
      <c r="K122" s="94"/>
      <c r="L122" s="158"/>
      <c r="M122" s="161"/>
      <c r="N122" s="106"/>
      <c r="O122" s="106"/>
      <c r="P122" s="63"/>
      <c r="Q122" s="162"/>
      <c r="R122" s="164"/>
      <c r="S122" s="62"/>
      <c r="T122" s="63"/>
      <c r="U122" s="62"/>
      <c r="V122" s="64"/>
      <c r="W122" s="164"/>
      <c r="X122" s="62"/>
      <c r="Y122" s="45"/>
      <c r="Z122" s="44"/>
      <c r="AA122" s="100"/>
      <c r="AB122" s="100"/>
      <c r="AC122" s="24"/>
      <c r="AD122" s="24"/>
      <c r="AE122" s="24"/>
      <c r="AF122" s="24"/>
      <c r="AG122" s="18">
        <v>27</v>
      </c>
      <c r="AH122" s="69" t="s">
        <v>302</v>
      </c>
      <c r="AI122" s="243" t="s">
        <v>68</v>
      </c>
      <c r="AJ122" s="243" t="s">
        <v>419</v>
      </c>
      <c r="AK122" s="244" t="s">
        <v>369</v>
      </c>
      <c r="AL122" s="43" t="str">
        <f t="shared" si="30"/>
        <v>-</v>
      </c>
      <c r="AM122" s="43">
        <f t="shared" si="36"/>
        <v>0</v>
      </c>
      <c r="AN122" s="193">
        <f t="shared" si="36"/>
        <v>0</v>
      </c>
      <c r="AO122" s="264" t="str">
        <f t="shared" si="31"/>
        <v>-</v>
      </c>
      <c r="AP122" s="265" t="str">
        <f t="shared" si="37"/>
        <v>-</v>
      </c>
      <c r="AQ122" s="26" t="str">
        <f t="shared" si="22"/>
        <v>CAYEGHLE SYSTEMSteelhead</v>
      </c>
      <c r="AR122" s="26">
        <f t="shared" si="23"/>
        <v>0</v>
      </c>
      <c r="AS122" s="33">
        <f t="shared" si="35"/>
        <v>0</v>
      </c>
      <c r="AX122" s="47" t="str">
        <f t="shared" si="24"/>
        <v>CAYEGHLE SYSTEMSteelhead</v>
      </c>
      <c r="AY122" s="49">
        <f t="shared" si="25"/>
        <v>0</v>
      </c>
      <c r="AZ122" s="49">
        <f t="shared" si="26"/>
        <v>0</v>
      </c>
      <c r="BA122" s="31">
        <v>0</v>
      </c>
      <c r="BB122" s="188" t="str">
        <f t="shared" si="27"/>
        <v>Strategic</v>
      </c>
      <c r="BC122" s="188" t="str">
        <f t="shared" si="32"/>
        <v xml:space="preserve"> </v>
      </c>
      <c r="BD122" s="188" t="str">
        <f t="shared" si="33"/>
        <v xml:space="preserve"> </v>
      </c>
      <c r="BE122" s="188" t="str">
        <f t="shared" si="34"/>
        <v xml:space="preserve"> </v>
      </c>
      <c r="BF122" s="50" t="s">
        <v>389</v>
      </c>
      <c r="BG122" s="50" t="str">
        <f>IFERROR(VLOOKUP(BF122,'[1]WCVI Esc'!$C$5:$W$534,18,FALSE),"-")</f>
        <v>-</v>
      </c>
      <c r="BH122" s="50" t="str">
        <f t="shared" si="28"/>
        <v>-</v>
      </c>
      <c r="BI122" s="50" t="str">
        <f>IFERROR(VLOOKUP(BF122,'[1]WCVI Esc'!$C$5:$W$534,19,FALSE),"-")</f>
        <v>-</v>
      </c>
      <c r="BJ122" s="50" t="str">
        <f t="shared" si="29"/>
        <v>-</v>
      </c>
    </row>
    <row r="123" spans="1:65" hidden="1" x14ac:dyDescent="0.2">
      <c r="A123" s="29">
        <v>2</v>
      </c>
      <c r="B123" s="29">
        <v>1</v>
      </c>
      <c r="C123" s="13">
        <v>27</v>
      </c>
      <c r="D123" s="13" t="s">
        <v>302</v>
      </c>
      <c r="E123" s="10" t="s">
        <v>70</v>
      </c>
      <c r="F123" s="10" t="s">
        <v>207</v>
      </c>
      <c r="G123" s="10"/>
      <c r="H123" s="152"/>
      <c r="I123" s="155"/>
      <c r="J123" s="106"/>
      <c r="K123" s="94"/>
      <c r="L123" s="158"/>
      <c r="M123" s="161"/>
      <c r="N123" s="106"/>
      <c r="O123" s="106"/>
      <c r="P123" s="106"/>
      <c r="Q123" s="162"/>
      <c r="R123" s="164"/>
      <c r="S123" s="62"/>
      <c r="T123" s="63"/>
      <c r="U123" s="62"/>
      <c r="V123" s="64"/>
      <c r="W123" s="164"/>
      <c r="X123" s="62"/>
      <c r="Y123" s="45"/>
      <c r="Z123" s="44"/>
      <c r="AA123" s="100"/>
      <c r="AB123" s="100"/>
      <c r="AC123" s="100"/>
      <c r="AD123" s="100"/>
      <c r="AE123" s="100"/>
      <c r="AF123" s="100"/>
      <c r="AG123" s="69">
        <v>27</v>
      </c>
      <c r="AH123" s="69" t="s">
        <v>302</v>
      </c>
      <c r="AI123" s="243" t="s">
        <v>70</v>
      </c>
      <c r="AJ123" s="243" t="s">
        <v>419</v>
      </c>
      <c r="AK123" s="244" t="s">
        <v>369</v>
      </c>
      <c r="AL123" s="43" t="str">
        <f t="shared" si="30"/>
        <v>-</v>
      </c>
      <c r="AM123" s="43">
        <f t="shared" si="36"/>
        <v>0</v>
      </c>
      <c r="AN123" s="193">
        <f t="shared" si="36"/>
        <v>0</v>
      </c>
      <c r="AO123" s="264" t="str">
        <f t="shared" si="31"/>
        <v>-</v>
      </c>
      <c r="AP123" s="265" t="str">
        <f t="shared" si="37"/>
        <v>-</v>
      </c>
      <c r="AQ123" s="26" t="str">
        <f t="shared" si="22"/>
        <v>MARBLE RIVERSockeye</v>
      </c>
      <c r="AR123" s="26">
        <f t="shared" si="23"/>
        <v>0</v>
      </c>
      <c r="AS123" s="33">
        <f t="shared" si="35"/>
        <v>0</v>
      </c>
      <c r="AX123" s="47" t="str">
        <f t="shared" si="24"/>
        <v>MARBLE RIVERSockeye</v>
      </c>
      <c r="AY123" s="49">
        <f t="shared" si="25"/>
        <v>0</v>
      </c>
      <c r="AZ123" s="49">
        <f t="shared" si="26"/>
        <v>0</v>
      </c>
      <c r="BA123" s="31">
        <v>2016</v>
      </c>
      <c r="BB123" s="188" t="str">
        <f t="shared" si="27"/>
        <v>Strategic</v>
      </c>
      <c r="BC123" s="188" t="str">
        <f t="shared" si="32"/>
        <v xml:space="preserve"> </v>
      </c>
      <c r="BD123" s="188" t="str">
        <f t="shared" si="33"/>
        <v xml:space="preserve"> </v>
      </c>
      <c r="BE123" s="188" t="str">
        <f t="shared" si="34"/>
        <v xml:space="preserve"> </v>
      </c>
      <c r="BF123" s="50" t="str">
        <f t="shared" ref="BF123:BF186" si="38">CONCATENATE(E123,"_",F123)</f>
        <v>MARBLE RIVER_Sockeye</v>
      </c>
      <c r="BG123" s="50" t="str">
        <f>IFERROR(VLOOKUP(BF123,'[1]WCVI Esc'!$C$5:$W$534,18,FALSE),"-")</f>
        <v>-</v>
      </c>
      <c r="BH123" s="50" t="str">
        <f t="shared" si="28"/>
        <v>-</v>
      </c>
      <c r="BI123" s="50" t="str">
        <f>IFERROR(VLOOKUP(BF123,'[1]WCVI Esc'!$C$5:$W$534,19,FALSE),"-")</f>
        <v>-</v>
      </c>
      <c r="BJ123" s="50" t="str">
        <f t="shared" si="29"/>
        <v>-</v>
      </c>
    </row>
    <row r="124" spans="1:65" hidden="1" x14ac:dyDescent="0.2">
      <c r="A124" s="29">
        <v>2</v>
      </c>
      <c r="B124" s="29">
        <v>2</v>
      </c>
      <c r="C124" s="13">
        <v>27</v>
      </c>
      <c r="D124" s="13" t="s">
        <v>302</v>
      </c>
      <c r="E124" s="10" t="s">
        <v>70</v>
      </c>
      <c r="F124" s="10" t="s">
        <v>219</v>
      </c>
      <c r="G124" s="10"/>
      <c r="H124" s="152"/>
      <c r="I124" s="155"/>
      <c r="J124" s="106"/>
      <c r="K124" s="94"/>
      <c r="L124" s="158"/>
      <c r="M124" s="161"/>
      <c r="N124" s="106"/>
      <c r="O124" s="106"/>
      <c r="P124" s="106"/>
      <c r="Q124" s="162"/>
      <c r="R124" s="164"/>
      <c r="S124" s="62"/>
      <c r="T124" s="63"/>
      <c r="U124" s="62"/>
      <c r="V124" s="64"/>
      <c r="W124" s="164"/>
      <c r="X124" s="62"/>
      <c r="Y124" s="45"/>
      <c r="Z124" s="44"/>
      <c r="AA124" s="100" t="e">
        <f>Y124/AP124</f>
        <v>#VALUE!</v>
      </c>
      <c r="AB124" s="100" t="e">
        <f>AS124/AP124</f>
        <v>#VALUE!</v>
      </c>
      <c r="AC124" s="100"/>
      <c r="AD124" s="100"/>
      <c r="AE124" s="100"/>
      <c r="AF124" s="100"/>
      <c r="AG124" s="69">
        <v>27</v>
      </c>
      <c r="AH124" s="69" t="s">
        <v>302</v>
      </c>
      <c r="AI124" s="243" t="s">
        <v>70</v>
      </c>
      <c r="AJ124" s="243" t="s">
        <v>419</v>
      </c>
      <c r="AK124" s="244" t="s">
        <v>369</v>
      </c>
      <c r="AL124" s="43" t="str">
        <f t="shared" si="30"/>
        <v>-</v>
      </c>
      <c r="AM124" s="43">
        <f t="shared" si="36"/>
        <v>0</v>
      </c>
      <c r="AN124" s="193">
        <f t="shared" si="36"/>
        <v>0</v>
      </c>
      <c r="AO124" s="264" t="str">
        <f t="shared" si="31"/>
        <v>-</v>
      </c>
      <c r="AP124" s="265" t="str">
        <f t="shared" si="37"/>
        <v>-</v>
      </c>
      <c r="AQ124" s="26" t="str">
        <f t="shared" si="22"/>
        <v>MARBLE RIVERCoho</v>
      </c>
      <c r="AR124" s="26">
        <f t="shared" si="23"/>
        <v>0</v>
      </c>
      <c r="AS124" s="33">
        <f t="shared" si="35"/>
        <v>0</v>
      </c>
      <c r="AX124" s="47" t="str">
        <f t="shared" si="24"/>
        <v>MARBLE RIVERCoho</v>
      </c>
      <c r="AY124" s="49">
        <f t="shared" si="25"/>
        <v>0</v>
      </c>
      <c r="AZ124" s="49">
        <f t="shared" si="26"/>
        <v>0</v>
      </c>
      <c r="BA124" s="31">
        <v>2016</v>
      </c>
      <c r="BB124" s="188" t="str">
        <f t="shared" si="27"/>
        <v>Strategic</v>
      </c>
      <c r="BC124" s="188" t="str">
        <f t="shared" si="32"/>
        <v xml:space="preserve"> </v>
      </c>
      <c r="BD124" s="188" t="str">
        <f t="shared" si="33"/>
        <v xml:space="preserve"> </v>
      </c>
      <c r="BE124" s="188" t="str">
        <f t="shared" si="34"/>
        <v xml:space="preserve"> </v>
      </c>
      <c r="BF124" s="50" t="str">
        <f t="shared" si="38"/>
        <v>MARBLE RIVER_Coho</v>
      </c>
      <c r="BG124" s="50" t="str">
        <f>IFERROR(VLOOKUP(BF124,'[1]WCVI Esc'!$C$5:$W$534,18,FALSE),"-")</f>
        <v>-</v>
      </c>
      <c r="BH124" s="50" t="str">
        <f t="shared" si="28"/>
        <v>-</v>
      </c>
      <c r="BI124" s="50" t="str">
        <f>IFERROR(VLOOKUP(BF124,'[1]WCVI Esc'!$C$5:$W$534,19,FALSE),"-")</f>
        <v>-</v>
      </c>
      <c r="BJ124" s="50" t="str">
        <f t="shared" si="29"/>
        <v>-</v>
      </c>
    </row>
    <row r="125" spans="1:65" hidden="1" x14ac:dyDescent="0.2">
      <c r="A125" s="29">
        <v>2</v>
      </c>
      <c r="B125" s="29">
        <v>3</v>
      </c>
      <c r="C125" s="13">
        <v>27</v>
      </c>
      <c r="D125" s="13" t="s">
        <v>302</v>
      </c>
      <c r="E125" s="10" t="s">
        <v>70</v>
      </c>
      <c r="F125" s="10" t="s">
        <v>208</v>
      </c>
      <c r="G125" s="10"/>
      <c r="H125" s="152"/>
      <c r="I125" s="155"/>
      <c r="J125" s="106"/>
      <c r="K125" s="94"/>
      <c r="L125" s="158"/>
      <c r="M125" s="161"/>
      <c r="N125" s="106"/>
      <c r="O125" s="106"/>
      <c r="P125" s="106"/>
      <c r="Q125" s="162"/>
      <c r="R125" s="164"/>
      <c r="S125" s="62"/>
      <c r="T125" s="63"/>
      <c r="U125" s="62"/>
      <c r="V125" s="64"/>
      <c r="W125" s="164"/>
      <c r="X125" s="62"/>
      <c r="Y125" s="45"/>
      <c r="Z125" s="44"/>
      <c r="AA125" s="100"/>
      <c r="AB125" s="100"/>
      <c r="AC125" s="100"/>
      <c r="AD125" s="100"/>
      <c r="AE125" s="100"/>
      <c r="AF125" s="100"/>
      <c r="AG125" s="69">
        <v>27</v>
      </c>
      <c r="AH125" s="69" t="s">
        <v>302</v>
      </c>
      <c r="AI125" s="243" t="s">
        <v>70</v>
      </c>
      <c r="AJ125" s="243" t="s">
        <v>419</v>
      </c>
      <c r="AK125" s="244" t="s">
        <v>369</v>
      </c>
      <c r="AL125" s="43" t="str">
        <f t="shared" si="30"/>
        <v>-</v>
      </c>
      <c r="AM125" s="43">
        <f t="shared" si="36"/>
        <v>0</v>
      </c>
      <c r="AN125" s="193">
        <f t="shared" si="36"/>
        <v>0</v>
      </c>
      <c r="AO125" s="264" t="str">
        <f t="shared" si="31"/>
        <v>-</v>
      </c>
      <c r="AP125" s="265" t="str">
        <f t="shared" si="37"/>
        <v>-</v>
      </c>
      <c r="AQ125" s="26" t="str">
        <f t="shared" si="22"/>
        <v>MARBLE RIVERPink</v>
      </c>
      <c r="AR125" s="26">
        <f t="shared" si="23"/>
        <v>0</v>
      </c>
      <c r="AS125" s="33">
        <f t="shared" si="35"/>
        <v>0</v>
      </c>
      <c r="AX125" s="47" t="str">
        <f t="shared" si="24"/>
        <v>MARBLE RIVERPink</v>
      </c>
      <c r="AY125" s="49">
        <f t="shared" si="25"/>
        <v>0</v>
      </c>
      <c r="AZ125" s="49">
        <f t="shared" si="26"/>
        <v>0</v>
      </c>
      <c r="BA125" s="31">
        <v>2013</v>
      </c>
      <c r="BB125" s="188" t="str">
        <f t="shared" si="27"/>
        <v>Strategic</v>
      </c>
      <c r="BC125" s="188" t="str">
        <f t="shared" si="32"/>
        <v xml:space="preserve"> </v>
      </c>
      <c r="BD125" s="188" t="str">
        <f t="shared" si="33"/>
        <v xml:space="preserve"> </v>
      </c>
      <c r="BE125" s="188" t="str">
        <f t="shared" si="34"/>
        <v xml:space="preserve"> </v>
      </c>
      <c r="BF125" s="50" t="str">
        <f t="shared" si="38"/>
        <v>MARBLE RIVER_Pink</v>
      </c>
      <c r="BG125" s="50" t="str">
        <f>IFERROR(VLOOKUP(BF125,'[1]WCVI Esc'!$C$5:$W$534,18,FALSE),"-")</f>
        <v>-</v>
      </c>
      <c r="BH125" s="50" t="str">
        <f t="shared" si="28"/>
        <v>-</v>
      </c>
      <c r="BI125" s="50" t="str">
        <f>IFERROR(VLOOKUP(BF125,'[1]WCVI Esc'!$C$5:$W$534,19,FALSE),"-")</f>
        <v>-</v>
      </c>
      <c r="BJ125" s="50" t="str">
        <f t="shared" si="29"/>
        <v>-</v>
      </c>
    </row>
    <row r="126" spans="1:65" hidden="1" x14ac:dyDescent="0.2">
      <c r="A126" s="29">
        <v>2</v>
      </c>
      <c r="B126" s="29">
        <v>4</v>
      </c>
      <c r="C126" s="13">
        <v>27</v>
      </c>
      <c r="D126" s="13" t="s">
        <v>302</v>
      </c>
      <c r="E126" s="10" t="s">
        <v>70</v>
      </c>
      <c r="F126" s="10" t="s">
        <v>209</v>
      </c>
      <c r="G126" s="10"/>
      <c r="H126" s="152"/>
      <c r="I126" s="155"/>
      <c r="J126" s="106"/>
      <c r="K126" s="94"/>
      <c r="L126" s="158"/>
      <c r="M126" s="161"/>
      <c r="N126" s="106"/>
      <c r="O126" s="106"/>
      <c r="P126" s="106"/>
      <c r="Q126" s="162"/>
      <c r="R126" s="164"/>
      <c r="S126" s="62"/>
      <c r="T126" s="63"/>
      <c r="U126" s="62"/>
      <c r="V126" s="64"/>
      <c r="W126" s="164"/>
      <c r="X126" s="62"/>
      <c r="Y126" s="45"/>
      <c r="Z126" s="44"/>
      <c r="AA126" s="100"/>
      <c r="AB126" s="100"/>
      <c r="AC126" s="100"/>
      <c r="AD126" s="100"/>
      <c r="AE126" s="100"/>
      <c r="AF126" s="100"/>
      <c r="AG126" s="69">
        <v>27</v>
      </c>
      <c r="AH126" s="69" t="s">
        <v>302</v>
      </c>
      <c r="AI126" s="243" t="s">
        <v>70</v>
      </c>
      <c r="AJ126" s="243" t="s">
        <v>419</v>
      </c>
      <c r="AK126" s="244" t="s">
        <v>369</v>
      </c>
      <c r="AL126" s="43" t="str">
        <f t="shared" si="30"/>
        <v>-</v>
      </c>
      <c r="AM126" s="43">
        <f t="shared" si="36"/>
        <v>0</v>
      </c>
      <c r="AN126" s="193">
        <f t="shared" si="36"/>
        <v>0</v>
      </c>
      <c r="AO126" s="264" t="str">
        <f t="shared" si="31"/>
        <v>-</v>
      </c>
      <c r="AP126" s="265" t="str">
        <f t="shared" si="37"/>
        <v>-</v>
      </c>
      <c r="AQ126" s="26" t="str">
        <f t="shared" si="22"/>
        <v>MARBLE RIVERChum</v>
      </c>
      <c r="AR126" s="26">
        <f t="shared" si="23"/>
        <v>0</v>
      </c>
      <c r="AS126" s="33">
        <f t="shared" si="35"/>
        <v>0</v>
      </c>
      <c r="AX126" s="47" t="str">
        <f t="shared" si="24"/>
        <v>MARBLE RIVERChum</v>
      </c>
      <c r="AY126" s="49">
        <f t="shared" si="25"/>
        <v>0</v>
      </c>
      <c r="AZ126" s="49">
        <f t="shared" si="26"/>
        <v>0</v>
      </c>
      <c r="BA126" s="31">
        <v>2016</v>
      </c>
      <c r="BB126" s="188" t="str">
        <f t="shared" si="27"/>
        <v>Strategic</v>
      </c>
      <c r="BC126" s="188" t="str">
        <f t="shared" si="32"/>
        <v xml:space="preserve"> </v>
      </c>
      <c r="BD126" s="188" t="str">
        <f t="shared" si="33"/>
        <v xml:space="preserve"> </v>
      </c>
      <c r="BE126" s="188" t="str">
        <f t="shared" si="34"/>
        <v xml:space="preserve"> </v>
      </c>
      <c r="BF126" s="50" t="str">
        <f t="shared" si="38"/>
        <v>MARBLE RIVER_Chum</v>
      </c>
      <c r="BG126" s="50" t="str">
        <f>IFERROR(VLOOKUP(BF126,'[1]WCVI Esc'!$C$5:$W$534,18,FALSE),"-")</f>
        <v>-</v>
      </c>
      <c r="BH126" s="50" t="str">
        <f t="shared" si="28"/>
        <v>-</v>
      </c>
      <c r="BI126" s="50" t="str">
        <f>IFERROR(VLOOKUP(BF126,'[1]WCVI Esc'!$C$5:$W$534,19,FALSE),"-")</f>
        <v>-</v>
      </c>
      <c r="BJ126" s="50" t="str">
        <f t="shared" si="29"/>
        <v>-</v>
      </c>
    </row>
    <row r="127" spans="1:65" hidden="1" x14ac:dyDescent="0.2">
      <c r="A127" s="29">
        <v>2</v>
      </c>
      <c r="B127" s="29">
        <v>5</v>
      </c>
      <c r="C127" s="13">
        <v>27</v>
      </c>
      <c r="D127" s="13" t="s">
        <v>302</v>
      </c>
      <c r="E127" s="10" t="s">
        <v>70</v>
      </c>
      <c r="F127" s="10" t="s">
        <v>210</v>
      </c>
      <c r="G127" s="10"/>
      <c r="H127" s="152"/>
      <c r="I127" s="155"/>
      <c r="J127" s="106"/>
      <c r="K127" s="94"/>
      <c r="L127" s="158"/>
      <c r="M127" s="161"/>
      <c r="N127" s="106"/>
      <c r="O127" s="106"/>
      <c r="P127" s="106"/>
      <c r="Q127" s="162"/>
      <c r="R127" s="164"/>
      <c r="S127" s="62"/>
      <c r="T127" s="63"/>
      <c r="U127" s="62"/>
      <c r="V127" s="64"/>
      <c r="W127" s="164"/>
      <c r="X127" s="62"/>
      <c r="Y127" s="45"/>
      <c r="Z127" s="44"/>
      <c r="AA127" s="100" t="e">
        <f>Y127/AP127</f>
        <v>#VALUE!</v>
      </c>
      <c r="AB127" s="100" t="e">
        <f>AS127/AP127</f>
        <v>#VALUE!</v>
      </c>
      <c r="AC127" s="100"/>
      <c r="AD127" s="123">
        <v>923</v>
      </c>
      <c r="AE127" s="123">
        <v>271</v>
      </c>
      <c r="AF127" s="123">
        <f>Y127</f>
        <v>0</v>
      </c>
      <c r="AG127" s="69">
        <v>27</v>
      </c>
      <c r="AH127" s="69" t="s">
        <v>302</v>
      </c>
      <c r="AI127" s="243" t="s">
        <v>70</v>
      </c>
      <c r="AJ127" s="243" t="s">
        <v>419</v>
      </c>
      <c r="AK127" s="244" t="s">
        <v>369</v>
      </c>
      <c r="AL127" s="43" t="str">
        <f t="shared" si="30"/>
        <v>-</v>
      </c>
      <c r="AM127" s="43">
        <f t="shared" si="36"/>
        <v>0</v>
      </c>
      <c r="AN127" s="193">
        <f t="shared" si="36"/>
        <v>0</v>
      </c>
      <c r="AO127" s="264" t="str">
        <f t="shared" si="31"/>
        <v>-</v>
      </c>
      <c r="AP127" s="265" t="str">
        <f t="shared" si="37"/>
        <v>-</v>
      </c>
      <c r="AQ127" s="26" t="str">
        <f t="shared" si="22"/>
        <v>MARBLE RIVERChinook</v>
      </c>
      <c r="AR127" s="26">
        <f t="shared" si="23"/>
        <v>0</v>
      </c>
      <c r="AS127" s="33">
        <f t="shared" si="35"/>
        <v>0</v>
      </c>
      <c r="AT127" s="34">
        <f>AS127*1.14</f>
        <v>0</v>
      </c>
      <c r="AU127" s="34">
        <f>AS127*2.88</f>
        <v>0</v>
      </c>
      <c r="AV127" s="35"/>
      <c r="AW127" s="34">
        <f>SUM(AT127:AU127)/2</f>
        <v>0</v>
      </c>
      <c r="AX127" s="47" t="str">
        <f t="shared" si="24"/>
        <v>MARBLE RIVERChinook</v>
      </c>
      <c r="AY127" s="49">
        <f t="shared" si="25"/>
        <v>0</v>
      </c>
      <c r="AZ127" s="49">
        <f t="shared" si="26"/>
        <v>0</v>
      </c>
      <c r="BA127" s="31">
        <v>2016</v>
      </c>
      <c r="BB127" s="188" t="str">
        <f t="shared" si="27"/>
        <v>Strategic</v>
      </c>
      <c r="BC127" s="188" t="str">
        <f t="shared" si="32"/>
        <v xml:space="preserve"> </v>
      </c>
      <c r="BD127" s="188" t="str">
        <f t="shared" si="33"/>
        <v xml:space="preserve"> </v>
      </c>
      <c r="BE127" s="188" t="str">
        <f t="shared" si="34"/>
        <v xml:space="preserve"> </v>
      </c>
      <c r="BF127" s="50" t="str">
        <f t="shared" si="38"/>
        <v>MARBLE RIVER_Chinook</v>
      </c>
      <c r="BG127" s="50" t="str">
        <f>IFERROR(VLOOKUP(BF127,'[1]WCVI Esc'!$C$5:$W$534,18,FALSE),"-")</f>
        <v>-</v>
      </c>
      <c r="BH127" s="50" t="str">
        <f t="shared" si="28"/>
        <v>-</v>
      </c>
      <c r="BI127" s="50" t="str">
        <f>IFERROR(VLOOKUP(BF127,'[1]WCVI Esc'!$C$5:$W$534,19,FALSE),"-")</f>
        <v>-</v>
      </c>
      <c r="BJ127" s="50" t="str">
        <f t="shared" si="29"/>
        <v>-</v>
      </c>
      <c r="BK127">
        <v>6</v>
      </c>
      <c r="BL127" t="s">
        <v>445</v>
      </c>
      <c r="BM127" s="31">
        <v>1</v>
      </c>
    </row>
    <row r="128" spans="1:65" hidden="1" x14ac:dyDescent="0.2">
      <c r="A128" s="29">
        <v>2</v>
      </c>
      <c r="B128" s="29">
        <v>6</v>
      </c>
      <c r="C128" s="13">
        <v>27</v>
      </c>
      <c r="D128" s="13" t="s">
        <v>302</v>
      </c>
      <c r="E128" s="10" t="s">
        <v>70</v>
      </c>
      <c r="F128" s="10" t="s">
        <v>211</v>
      </c>
      <c r="G128" s="10"/>
      <c r="H128" s="152"/>
      <c r="I128" s="155"/>
      <c r="J128" s="106"/>
      <c r="K128" s="94"/>
      <c r="L128" s="158"/>
      <c r="M128" s="161"/>
      <c r="N128" s="106"/>
      <c r="O128" s="106"/>
      <c r="P128" s="106"/>
      <c r="Q128" s="162"/>
      <c r="R128" s="164"/>
      <c r="S128" s="62"/>
      <c r="T128" s="63"/>
      <c r="U128" s="62"/>
      <c r="V128" s="64"/>
      <c r="W128" s="164"/>
      <c r="X128" s="62"/>
      <c r="Y128" s="45"/>
      <c r="Z128" s="44"/>
      <c r="AA128" s="100"/>
      <c r="AB128" s="100"/>
      <c r="AC128" s="100"/>
      <c r="AD128" s="100"/>
      <c r="AE128" s="100"/>
      <c r="AF128" s="100"/>
      <c r="AG128" s="69">
        <v>27</v>
      </c>
      <c r="AH128" s="69" t="s">
        <v>302</v>
      </c>
      <c r="AI128" s="243" t="s">
        <v>70</v>
      </c>
      <c r="AJ128" s="243" t="s">
        <v>419</v>
      </c>
      <c r="AK128" s="244" t="s">
        <v>369</v>
      </c>
      <c r="AL128" s="43" t="str">
        <f t="shared" si="30"/>
        <v>-</v>
      </c>
      <c r="AM128" s="43">
        <f t="shared" si="36"/>
        <v>0</v>
      </c>
      <c r="AN128" s="193">
        <f t="shared" si="36"/>
        <v>0</v>
      </c>
      <c r="AO128" s="264" t="str">
        <f t="shared" si="31"/>
        <v>-</v>
      </c>
      <c r="AP128" s="265" t="str">
        <f t="shared" si="37"/>
        <v>-</v>
      </c>
      <c r="AQ128" s="26" t="str">
        <f t="shared" si="22"/>
        <v>MARBLE RIVERSteelhead</v>
      </c>
      <c r="AR128" s="26">
        <f t="shared" si="23"/>
        <v>0</v>
      </c>
      <c r="AS128" s="33">
        <f t="shared" si="35"/>
        <v>0</v>
      </c>
      <c r="AW128" s="34"/>
      <c r="AX128" s="47" t="str">
        <f t="shared" si="24"/>
        <v>MARBLE RIVERSteelhead</v>
      </c>
      <c r="AY128" s="49">
        <f t="shared" si="25"/>
        <v>0</v>
      </c>
      <c r="AZ128" s="49">
        <f t="shared" si="26"/>
        <v>0</v>
      </c>
      <c r="BA128" s="31">
        <v>0</v>
      </c>
      <c r="BB128" s="188" t="str">
        <f t="shared" si="27"/>
        <v>Strategic</v>
      </c>
      <c r="BC128" s="188" t="str">
        <f t="shared" si="32"/>
        <v xml:space="preserve"> </v>
      </c>
      <c r="BD128" s="188" t="str">
        <f t="shared" si="33"/>
        <v xml:space="preserve"> </v>
      </c>
      <c r="BE128" s="188" t="str">
        <f t="shared" si="34"/>
        <v xml:space="preserve"> </v>
      </c>
      <c r="BF128" s="50" t="str">
        <f t="shared" si="38"/>
        <v>MARBLE RIVER_Steelhead</v>
      </c>
      <c r="BG128" s="50" t="str">
        <f>IFERROR(VLOOKUP(BF128,'[1]WCVI Esc'!$C$5:$W$534,18,FALSE),"-")</f>
        <v>-</v>
      </c>
      <c r="BH128" s="50" t="str">
        <f t="shared" si="28"/>
        <v>-</v>
      </c>
      <c r="BI128" s="50" t="str">
        <f>IFERROR(VLOOKUP(BF128,'[1]WCVI Esc'!$C$5:$W$534,19,FALSE),"-")</f>
        <v>-</v>
      </c>
      <c r="BJ128" s="50" t="str">
        <f t="shared" si="29"/>
        <v>-</v>
      </c>
    </row>
    <row r="129" spans="1:67" ht="25.5" hidden="1" x14ac:dyDescent="0.2">
      <c r="A129" s="29">
        <v>2</v>
      </c>
      <c r="B129" s="59">
        <v>0</v>
      </c>
      <c r="C129" s="199">
        <v>0</v>
      </c>
      <c r="D129" s="199"/>
      <c r="E129" s="199" t="s">
        <v>15</v>
      </c>
      <c r="F129" s="203" t="s">
        <v>206</v>
      </c>
      <c r="G129" s="204" t="s">
        <v>332</v>
      </c>
      <c r="H129" s="206" t="s">
        <v>334</v>
      </c>
      <c r="I129" s="208" t="s">
        <v>333</v>
      </c>
      <c r="J129" s="204" t="s">
        <v>335</v>
      </c>
      <c r="K129" s="204" t="s">
        <v>336</v>
      </c>
      <c r="L129" s="206" t="s">
        <v>337</v>
      </c>
      <c r="M129" s="208" t="s">
        <v>338</v>
      </c>
      <c r="N129" s="204" t="s">
        <v>339</v>
      </c>
      <c r="O129" s="204" t="s">
        <v>340</v>
      </c>
      <c r="P129" s="204" t="s">
        <v>341</v>
      </c>
      <c r="Q129" s="206" t="s">
        <v>342</v>
      </c>
      <c r="R129" s="208" t="s">
        <v>343</v>
      </c>
      <c r="S129" s="204" t="s">
        <v>344</v>
      </c>
      <c r="T129" s="204" t="s">
        <v>345</v>
      </c>
      <c r="U129" s="204" t="s">
        <v>346</v>
      </c>
      <c r="V129" s="206" t="s">
        <v>347</v>
      </c>
      <c r="W129" s="208" t="s">
        <v>348</v>
      </c>
      <c r="X129" s="204" t="s">
        <v>349</v>
      </c>
      <c r="Y129" s="133"/>
      <c r="Z129" s="133"/>
      <c r="AA129" s="100"/>
      <c r="AB129" s="100"/>
      <c r="AC129" s="100"/>
      <c r="AD129" s="100"/>
      <c r="AE129" s="100"/>
      <c r="AF129" s="100"/>
      <c r="AG129" s="43"/>
      <c r="AH129" s="43"/>
      <c r="AI129" s="43"/>
      <c r="AJ129" s="43"/>
      <c r="AK129" s="256"/>
      <c r="AL129" s="43" t="str">
        <f t="shared" si="30"/>
        <v>-</v>
      </c>
      <c r="AM129" s="43"/>
      <c r="AN129" s="193"/>
      <c r="AO129" s="264"/>
      <c r="AP129" s="266"/>
      <c r="AQ129" s="26" t="str">
        <f t="shared" si="22"/>
        <v>SystemSpecies</v>
      </c>
      <c r="AR129" s="26"/>
      <c r="AS129" s="33"/>
      <c r="AV129"/>
      <c r="AW129"/>
      <c r="AX129" s="47" t="str">
        <f t="shared" si="24"/>
        <v>SystemSpecies</v>
      </c>
      <c r="AY129" s="49">
        <f t="shared" si="25"/>
        <v>0</v>
      </c>
      <c r="AZ129" s="49">
        <f t="shared" si="26"/>
        <v>0</v>
      </c>
      <c r="BA129" s="31">
        <v>0</v>
      </c>
      <c r="BB129" s="188">
        <f t="shared" si="27"/>
        <v>0</v>
      </c>
      <c r="BC129" s="188" t="str">
        <f t="shared" si="32"/>
        <v xml:space="preserve"> </v>
      </c>
      <c r="BD129" s="188" t="str">
        <f t="shared" si="33"/>
        <v xml:space="preserve"> </v>
      </c>
      <c r="BE129" s="188" t="str">
        <f t="shared" si="34"/>
        <v xml:space="preserve"> </v>
      </c>
      <c r="BF129" s="50" t="str">
        <f t="shared" si="38"/>
        <v>System_Species</v>
      </c>
      <c r="BG129" s="50" t="str">
        <f>IFERROR(VLOOKUP(BF129,'[1]WCVI Esc'!$C$5:$W$534,18,FALSE),"-")</f>
        <v>-</v>
      </c>
      <c r="BH129" s="50" t="str">
        <f t="shared" si="28"/>
        <v>-</v>
      </c>
      <c r="BI129" s="50" t="str">
        <f>IFERROR(VLOOKUP(BF129,'[1]WCVI Esc'!$C$5:$W$534,19,FALSE),"-")</f>
        <v>-</v>
      </c>
      <c r="BJ129" s="50" t="str">
        <f t="shared" si="29"/>
        <v>-</v>
      </c>
    </row>
    <row r="130" spans="1:67" ht="15" hidden="1" x14ac:dyDescent="0.25">
      <c r="A130" s="29">
        <v>2</v>
      </c>
      <c r="B130" s="197">
        <v>0</v>
      </c>
      <c r="C130" s="2">
        <v>0</v>
      </c>
      <c r="D130" s="198" t="s">
        <v>203</v>
      </c>
      <c r="E130" s="67"/>
      <c r="F130" s="202"/>
      <c r="G130" s="202"/>
      <c r="H130" s="205"/>
      <c r="I130" s="221"/>
      <c r="J130" s="68"/>
      <c r="K130" s="68"/>
      <c r="L130" s="209"/>
      <c r="M130" s="211"/>
      <c r="N130" s="212"/>
      <c r="O130" s="212"/>
      <c r="P130" s="212"/>
      <c r="Q130" s="209"/>
      <c r="R130" s="213"/>
      <c r="S130" s="215"/>
      <c r="T130" s="212"/>
      <c r="U130" s="67"/>
      <c r="V130" s="217"/>
      <c r="W130" s="219"/>
      <c r="X130" s="67"/>
      <c r="Y130" s="12"/>
      <c r="Z130" s="12"/>
      <c r="AA130" s="100"/>
      <c r="AB130" s="100"/>
      <c r="AC130" s="100"/>
      <c r="AD130" s="100"/>
      <c r="AE130" s="100"/>
      <c r="AF130" s="100"/>
      <c r="AG130" s="262"/>
      <c r="AH130" s="262"/>
      <c r="AI130" s="263"/>
      <c r="AJ130" s="263"/>
      <c r="AK130" s="256"/>
      <c r="AL130" s="43" t="str">
        <f t="shared" si="30"/>
        <v>-</v>
      </c>
      <c r="AM130" s="43"/>
      <c r="AN130" s="193"/>
      <c r="AO130" s="264"/>
      <c r="AP130" s="266"/>
      <c r="AQ130" s="26" t="str">
        <f>CONCATENATE(D130,F130)</f>
        <v>Level 2 Streams</v>
      </c>
      <c r="AR130" s="26"/>
      <c r="AS130" s="33"/>
      <c r="AV130"/>
      <c r="AW130"/>
      <c r="AX130" s="47" t="str">
        <f t="shared" si="24"/>
        <v/>
      </c>
      <c r="AY130" s="49">
        <f t="shared" si="25"/>
        <v>0</v>
      </c>
      <c r="AZ130" s="49">
        <f t="shared" si="26"/>
        <v>0</v>
      </c>
      <c r="BA130" s="31">
        <v>0</v>
      </c>
      <c r="BB130" s="188">
        <f t="shared" si="27"/>
        <v>0</v>
      </c>
      <c r="BC130" s="188" t="str">
        <f t="shared" si="32"/>
        <v xml:space="preserve"> </v>
      </c>
      <c r="BD130" s="188" t="str">
        <f t="shared" si="33"/>
        <v xml:space="preserve"> </v>
      </c>
      <c r="BE130" s="188" t="str">
        <f t="shared" si="34"/>
        <v xml:space="preserve"> </v>
      </c>
      <c r="BF130" s="50" t="str">
        <f t="shared" si="38"/>
        <v>_</v>
      </c>
      <c r="BG130" s="50" t="str">
        <f>IFERROR(VLOOKUP(BF130,'[1]WCVI Esc'!$C$5:$W$534,18,FALSE),"-")</f>
        <v>-</v>
      </c>
      <c r="BH130" s="50" t="str">
        <f t="shared" si="28"/>
        <v>-</v>
      </c>
      <c r="BI130" s="50" t="str">
        <f>IFERROR(VLOOKUP(BF130,'[1]WCVI Esc'!$C$5:$W$534,19,FALSE),"-")</f>
        <v>-</v>
      </c>
      <c r="BJ130" s="50" t="str">
        <f t="shared" si="29"/>
        <v>-</v>
      </c>
    </row>
    <row r="131" spans="1:67" hidden="1" x14ac:dyDescent="0.2">
      <c r="A131" s="29">
        <v>2</v>
      </c>
      <c r="B131" s="197">
        <v>0</v>
      </c>
      <c r="C131" s="13">
        <v>0</v>
      </c>
      <c r="D131" s="13"/>
      <c r="E131" s="10"/>
      <c r="F131" s="202"/>
      <c r="G131" s="202"/>
      <c r="H131" s="205"/>
      <c r="I131" s="218"/>
      <c r="J131" s="214"/>
      <c r="K131" s="214"/>
      <c r="L131" s="216"/>
      <c r="M131" s="218"/>
      <c r="N131" s="214"/>
      <c r="O131" s="214"/>
      <c r="P131" s="214"/>
      <c r="Q131" s="216"/>
      <c r="R131" s="218"/>
      <c r="S131" s="214"/>
      <c r="T131" s="214"/>
      <c r="U131" s="214"/>
      <c r="V131" s="216"/>
      <c r="W131" s="218"/>
      <c r="X131" s="214"/>
      <c r="Y131" s="101"/>
      <c r="Z131" s="101"/>
      <c r="AA131" s="100"/>
      <c r="AB131" s="100"/>
      <c r="AC131" s="100"/>
      <c r="AD131" s="100"/>
      <c r="AE131" s="100"/>
      <c r="AF131" s="100"/>
      <c r="AG131" s="69"/>
      <c r="AH131" s="69"/>
      <c r="AI131" s="243"/>
      <c r="AJ131" s="243"/>
      <c r="AK131" s="256"/>
      <c r="AL131" s="43" t="str">
        <f t="shared" si="30"/>
        <v>-</v>
      </c>
      <c r="AM131" s="43"/>
      <c r="AN131" s="193"/>
      <c r="AO131" s="264"/>
      <c r="AP131" s="266"/>
      <c r="AQ131" s="26" t="str">
        <f t="shared" ref="AQ131:AQ194" si="39">CONCATENATE(E131,F131)</f>
        <v/>
      </c>
      <c r="AR131" s="26"/>
      <c r="AS131" s="33"/>
      <c r="AV131"/>
      <c r="AW131"/>
      <c r="AX131" s="47" t="str">
        <f t="shared" si="24"/>
        <v/>
      </c>
      <c r="AY131" s="49">
        <f t="shared" si="25"/>
        <v>0</v>
      </c>
      <c r="AZ131" s="49">
        <f t="shared" si="26"/>
        <v>0</v>
      </c>
      <c r="BA131" s="31">
        <v>0</v>
      </c>
      <c r="BB131" s="188">
        <f t="shared" si="27"/>
        <v>0</v>
      </c>
      <c r="BC131" s="188" t="str">
        <f t="shared" si="32"/>
        <v xml:space="preserve"> </v>
      </c>
      <c r="BD131" s="188" t="str">
        <f t="shared" si="33"/>
        <v xml:space="preserve"> </v>
      </c>
      <c r="BE131" s="188" t="str">
        <f t="shared" si="34"/>
        <v xml:space="preserve"> </v>
      </c>
      <c r="BF131" s="50" t="str">
        <f t="shared" si="38"/>
        <v>_</v>
      </c>
      <c r="BG131" s="50" t="str">
        <f>IFERROR(VLOOKUP(BF131,'[1]WCVI Esc'!$C$5:$W$534,18,FALSE),"-")</f>
        <v>-</v>
      </c>
      <c r="BH131" s="50" t="str">
        <f t="shared" si="28"/>
        <v>-</v>
      </c>
      <c r="BI131" s="50" t="str">
        <f>IFERROR(VLOOKUP(BF131,'[1]WCVI Esc'!$C$5:$W$534,19,FALSE),"-")</f>
        <v>-</v>
      </c>
      <c r="BJ131" s="50" t="str">
        <f t="shared" si="29"/>
        <v>-</v>
      </c>
    </row>
    <row r="132" spans="1:67" hidden="1" x14ac:dyDescent="0.2">
      <c r="A132" s="29">
        <v>3</v>
      </c>
      <c r="B132" s="29">
        <v>1</v>
      </c>
      <c r="C132" s="13">
        <v>20</v>
      </c>
      <c r="D132" s="13" t="s">
        <v>291</v>
      </c>
      <c r="E132" s="10" t="s">
        <v>22</v>
      </c>
      <c r="F132" s="10" t="s">
        <v>207</v>
      </c>
      <c r="G132" s="10"/>
      <c r="H132" s="186"/>
      <c r="I132" s="154"/>
      <c r="J132" s="146"/>
      <c r="K132" s="151"/>
      <c r="L132" s="157"/>
      <c r="M132" s="161"/>
      <c r="N132" s="106"/>
      <c r="O132" s="106"/>
      <c r="P132" s="63"/>
      <c r="Q132" s="162"/>
      <c r="R132" s="164"/>
      <c r="S132" s="62"/>
      <c r="T132" s="62"/>
      <c r="U132" s="62"/>
      <c r="V132" s="64"/>
      <c r="W132" s="164"/>
      <c r="X132" s="62"/>
      <c r="Y132" s="45"/>
      <c r="Z132" s="44"/>
      <c r="AA132" s="100">
        <f>Y132/AP132</f>
        <v>0</v>
      </c>
      <c r="AB132" s="100">
        <f>AS132/AP132</f>
        <v>0</v>
      </c>
      <c r="AC132" s="123"/>
      <c r="AD132" s="123"/>
      <c r="AE132" s="123"/>
      <c r="AF132" s="123"/>
      <c r="AG132" s="69">
        <v>20</v>
      </c>
      <c r="AH132" s="69" t="s">
        <v>291</v>
      </c>
      <c r="AI132" s="243" t="s">
        <v>22</v>
      </c>
      <c r="AJ132" s="243" t="s">
        <v>420</v>
      </c>
      <c r="AK132" s="244" t="s">
        <v>371</v>
      </c>
      <c r="AL132" s="43" t="str">
        <f t="shared" si="30"/>
        <v>-</v>
      </c>
      <c r="AM132" s="43">
        <f t="shared" ref="AM132:AN163" si="40">AR132</f>
        <v>0</v>
      </c>
      <c r="AN132" s="193">
        <f t="shared" si="40"/>
        <v>0</v>
      </c>
      <c r="AO132" s="264">
        <f t="shared" ref="AO132:AO195" si="41">BH132</f>
        <v>10</v>
      </c>
      <c r="AP132" s="265">
        <f>BJ132</f>
        <v>150</v>
      </c>
      <c r="AQ132" s="26" t="str">
        <f t="shared" si="39"/>
        <v>SAN JUAN RIVERSockeye</v>
      </c>
      <c r="AR132" s="26">
        <f t="shared" ref="AR132:AR195" si="42">COUNT(G132:X132)</f>
        <v>0</v>
      </c>
      <c r="AS132" s="33">
        <f>SUM(G132:N132)</f>
        <v>0</v>
      </c>
      <c r="AW132" s="34"/>
      <c r="AX132" s="47" t="str">
        <f t="shared" si="24"/>
        <v>SAN JUAN RIVERSockeye</v>
      </c>
      <c r="AY132" s="49">
        <f t="shared" si="25"/>
        <v>0</v>
      </c>
      <c r="AZ132" s="49">
        <f t="shared" si="26"/>
        <v>0</v>
      </c>
      <c r="BA132" s="31">
        <v>2016</v>
      </c>
      <c r="BB132" s="188" t="str">
        <f t="shared" si="27"/>
        <v>PFN/SJES</v>
      </c>
      <c r="BC132" s="188" t="str">
        <f t="shared" si="32"/>
        <v xml:space="preserve"> </v>
      </c>
      <c r="BD132" s="188" t="str">
        <f t="shared" si="33"/>
        <v xml:space="preserve"> </v>
      </c>
      <c r="BE132" s="188" t="str">
        <f t="shared" si="34"/>
        <v xml:space="preserve"> </v>
      </c>
      <c r="BF132" s="50" t="str">
        <f t="shared" si="38"/>
        <v>SAN JUAN RIVER_Sockeye</v>
      </c>
      <c r="BG132" s="50">
        <f>IFERROR(VLOOKUP(BF132,'[1]WCVI Esc'!$C$5:$W$534,18,FALSE),"-")</f>
        <v>9</v>
      </c>
      <c r="BH132" s="50">
        <f t="shared" si="28"/>
        <v>10</v>
      </c>
      <c r="BI132" s="50">
        <f>IFERROR(VLOOKUP(BF132,'[1]WCVI Esc'!$C$5:$W$534,19,FALSE),"-")</f>
        <v>151.66666666666666</v>
      </c>
      <c r="BJ132" s="50">
        <f t="shared" si="29"/>
        <v>150</v>
      </c>
    </row>
    <row r="133" spans="1:67" hidden="1" x14ac:dyDescent="0.2">
      <c r="A133" s="29">
        <v>3</v>
      </c>
      <c r="B133" s="29">
        <v>2</v>
      </c>
      <c r="C133" s="13">
        <v>20</v>
      </c>
      <c r="D133" s="13" t="s">
        <v>291</v>
      </c>
      <c r="E133" s="10" t="s">
        <v>22</v>
      </c>
      <c r="F133" s="10" t="s">
        <v>219</v>
      </c>
      <c r="G133" s="10"/>
      <c r="H133" s="186"/>
      <c r="I133" s="154"/>
      <c r="J133" s="146"/>
      <c r="K133" s="151"/>
      <c r="L133" s="157"/>
      <c r="M133" s="161"/>
      <c r="N133" s="106"/>
      <c r="O133" s="106"/>
      <c r="P133" s="63"/>
      <c r="Q133" s="162"/>
      <c r="R133" s="164"/>
      <c r="S133" s="62"/>
      <c r="T133" s="63"/>
      <c r="U133" s="62"/>
      <c r="V133" s="64"/>
      <c r="W133" s="164"/>
      <c r="X133" s="62"/>
      <c r="Y133" s="45"/>
      <c r="Z133" s="44"/>
      <c r="AA133" s="100">
        <f>Y133/AP133</f>
        <v>0</v>
      </c>
      <c r="AB133" s="100">
        <f>AS133/AP133</f>
        <v>0</v>
      </c>
      <c r="AC133" s="123"/>
      <c r="AD133" s="123"/>
      <c r="AE133" s="123"/>
      <c r="AF133" s="123"/>
      <c r="AG133" s="69">
        <v>20</v>
      </c>
      <c r="AH133" s="69" t="s">
        <v>291</v>
      </c>
      <c r="AI133" s="243" t="s">
        <v>22</v>
      </c>
      <c r="AJ133" s="243" t="s">
        <v>420</v>
      </c>
      <c r="AK133" s="244" t="s">
        <v>371</v>
      </c>
      <c r="AL133" s="43" t="str">
        <f t="shared" si="30"/>
        <v>-</v>
      </c>
      <c r="AM133" s="43">
        <f t="shared" si="40"/>
        <v>0</v>
      </c>
      <c r="AN133" s="193">
        <f t="shared" si="40"/>
        <v>0</v>
      </c>
      <c r="AO133" s="264">
        <f t="shared" si="41"/>
        <v>2260</v>
      </c>
      <c r="AP133" s="265">
        <f>BJ133</f>
        <v>4500</v>
      </c>
      <c r="AQ133" s="26" t="str">
        <f t="shared" si="39"/>
        <v>SAN JUAN RIVERCoho</v>
      </c>
      <c r="AR133" s="26">
        <f t="shared" si="42"/>
        <v>0</v>
      </c>
      <c r="AS133" s="33">
        <f>SUM(G133:N133)</f>
        <v>0</v>
      </c>
      <c r="AW133" s="34"/>
      <c r="AX133" s="47" t="str">
        <f t="shared" si="24"/>
        <v>SAN JUAN RIVERCoho</v>
      </c>
      <c r="AY133" s="49">
        <f t="shared" si="25"/>
        <v>0</v>
      </c>
      <c r="AZ133" s="49">
        <f t="shared" si="26"/>
        <v>0</v>
      </c>
      <c r="BA133" s="31">
        <v>2016</v>
      </c>
      <c r="BB133" s="188" t="str">
        <f t="shared" si="27"/>
        <v>PFN/SJES</v>
      </c>
      <c r="BC133" s="188" t="str">
        <f t="shared" si="32"/>
        <v xml:space="preserve"> </v>
      </c>
      <c r="BD133" s="188" t="str">
        <f t="shared" si="33"/>
        <v xml:space="preserve"> </v>
      </c>
      <c r="BE133" s="188" t="str">
        <f t="shared" si="34"/>
        <v xml:space="preserve"> </v>
      </c>
      <c r="BF133" s="50" t="str">
        <f t="shared" si="38"/>
        <v>SAN JUAN RIVER_Coho</v>
      </c>
      <c r="BG133" s="50">
        <f>IFERROR(VLOOKUP(BF133,'[1]WCVI Esc'!$C$5:$W$534,18,FALSE),"-")</f>
        <v>2263.5</v>
      </c>
      <c r="BH133" s="50">
        <f t="shared" si="28"/>
        <v>2260</v>
      </c>
      <c r="BI133" s="50">
        <f>IFERROR(VLOOKUP(BF133,'[1]WCVI Esc'!$C$5:$W$534,19,FALSE),"-")</f>
        <v>4498.833333333333</v>
      </c>
      <c r="BJ133" s="50">
        <f t="shared" si="29"/>
        <v>4500</v>
      </c>
    </row>
    <row r="134" spans="1:67" hidden="1" x14ac:dyDescent="0.2">
      <c r="A134" s="29">
        <v>3</v>
      </c>
      <c r="B134" s="29">
        <v>3</v>
      </c>
      <c r="C134" s="13">
        <v>20</v>
      </c>
      <c r="D134" s="13" t="s">
        <v>291</v>
      </c>
      <c r="E134" s="10" t="s">
        <v>22</v>
      </c>
      <c r="F134" s="10" t="s">
        <v>208</v>
      </c>
      <c r="G134" s="10"/>
      <c r="H134" s="186"/>
      <c r="I134" s="154"/>
      <c r="J134" s="146"/>
      <c r="K134" s="151"/>
      <c r="L134" s="157"/>
      <c r="M134" s="161"/>
      <c r="N134" s="106"/>
      <c r="O134" s="106"/>
      <c r="P134" s="63"/>
      <c r="Q134" s="162"/>
      <c r="R134" s="164"/>
      <c r="S134" s="62"/>
      <c r="T134" s="62"/>
      <c r="U134" s="62"/>
      <c r="V134" s="64"/>
      <c r="W134" s="164"/>
      <c r="X134" s="62"/>
      <c r="Y134" s="46"/>
      <c r="Z134" s="44"/>
      <c r="AA134" s="100">
        <f>Y134/AP134</f>
        <v>0</v>
      </c>
      <c r="AB134" s="100">
        <f>AS134/AP134</f>
        <v>0</v>
      </c>
      <c r="AC134" s="123"/>
      <c r="AD134" s="123"/>
      <c r="AE134" s="123"/>
      <c r="AF134" s="123"/>
      <c r="AG134" s="69">
        <v>20</v>
      </c>
      <c r="AH134" s="69" t="s">
        <v>291</v>
      </c>
      <c r="AI134" s="243" t="s">
        <v>22</v>
      </c>
      <c r="AJ134" s="243" t="s">
        <v>420</v>
      </c>
      <c r="AK134" s="244" t="s">
        <v>371</v>
      </c>
      <c r="AL134" s="43" t="str">
        <f t="shared" si="30"/>
        <v>-</v>
      </c>
      <c r="AM134" s="43">
        <f t="shared" si="40"/>
        <v>0</v>
      </c>
      <c r="AN134" s="193">
        <f t="shared" si="40"/>
        <v>0</v>
      </c>
      <c r="AO134" s="264" t="str">
        <f t="shared" si="41"/>
        <v>-</v>
      </c>
      <c r="AP134" s="265">
        <f>BJ134</f>
        <v>40</v>
      </c>
      <c r="AQ134" s="26" t="str">
        <f t="shared" si="39"/>
        <v>SAN JUAN RIVERPink</v>
      </c>
      <c r="AR134" s="26">
        <f t="shared" si="42"/>
        <v>0</v>
      </c>
      <c r="AS134" s="33">
        <f>SUM(G134:N134)</f>
        <v>0</v>
      </c>
      <c r="AW134" s="34"/>
      <c r="AX134" s="47" t="str">
        <f t="shared" si="24"/>
        <v>SAN JUAN RIVERPink</v>
      </c>
      <c r="AY134" s="49">
        <f t="shared" si="25"/>
        <v>0</v>
      </c>
      <c r="AZ134" s="49">
        <f t="shared" si="26"/>
        <v>0</v>
      </c>
      <c r="BA134" s="31">
        <v>2016</v>
      </c>
      <c r="BB134" s="188" t="str">
        <f t="shared" si="27"/>
        <v>PFN/SJES</v>
      </c>
      <c r="BC134" s="188" t="str">
        <f t="shared" si="32"/>
        <v xml:space="preserve"> </v>
      </c>
      <c r="BD134" s="188" t="str">
        <f t="shared" si="33"/>
        <v xml:space="preserve"> </v>
      </c>
      <c r="BE134" s="188" t="str">
        <f t="shared" si="34"/>
        <v xml:space="preserve"> </v>
      </c>
      <c r="BF134" s="50" t="str">
        <f t="shared" si="38"/>
        <v>SAN JUAN RIVER_Pink</v>
      </c>
      <c r="BG134" s="50" t="str">
        <f>IFERROR(VLOOKUP(BF134,'[1]WCVI Esc'!$C$5:$W$534,18,FALSE),"-")</f>
        <v>-</v>
      </c>
      <c r="BH134" s="50" t="str">
        <f t="shared" si="28"/>
        <v>-</v>
      </c>
      <c r="BI134" s="50">
        <f>IFERROR(VLOOKUP(BF134,'[1]WCVI Esc'!$C$5:$W$534,19,FALSE),"-")</f>
        <v>43.666666666666664</v>
      </c>
      <c r="BJ134" s="50">
        <f t="shared" si="29"/>
        <v>40</v>
      </c>
    </row>
    <row r="135" spans="1:67" hidden="1" x14ac:dyDescent="0.2">
      <c r="A135" s="29">
        <v>3</v>
      </c>
      <c r="B135" s="29">
        <v>4</v>
      </c>
      <c r="C135" s="13">
        <v>20</v>
      </c>
      <c r="D135" s="13" t="s">
        <v>291</v>
      </c>
      <c r="E135" s="10" t="s">
        <v>22</v>
      </c>
      <c r="F135" s="10" t="s">
        <v>209</v>
      </c>
      <c r="G135" s="10"/>
      <c r="H135" s="186"/>
      <c r="I135" s="154"/>
      <c r="J135" s="146"/>
      <c r="K135" s="151"/>
      <c r="L135" s="157"/>
      <c r="M135" s="161"/>
      <c r="N135" s="106"/>
      <c r="O135" s="106"/>
      <c r="P135" s="63"/>
      <c r="Q135" s="162"/>
      <c r="R135" s="164"/>
      <c r="S135" s="62"/>
      <c r="T135" s="63"/>
      <c r="U135" s="62"/>
      <c r="V135" s="64"/>
      <c r="W135" s="164"/>
      <c r="X135" s="62"/>
      <c r="Y135" s="46"/>
      <c r="Z135" s="44"/>
      <c r="AA135" s="100">
        <f>Y135/AP135</f>
        <v>0</v>
      </c>
      <c r="AB135" s="100">
        <f>AS135/AP135</f>
        <v>0</v>
      </c>
      <c r="AC135" s="123"/>
      <c r="AD135" s="123"/>
      <c r="AE135" s="123"/>
      <c r="AF135" s="123"/>
      <c r="AG135" s="69">
        <v>20</v>
      </c>
      <c r="AH135" s="69" t="s">
        <v>291</v>
      </c>
      <c r="AI135" s="243" t="s">
        <v>22</v>
      </c>
      <c r="AJ135" s="243" t="s">
        <v>420</v>
      </c>
      <c r="AK135" s="244" t="s">
        <v>371</v>
      </c>
      <c r="AL135" s="43" t="str">
        <f t="shared" si="30"/>
        <v>-</v>
      </c>
      <c r="AM135" s="43">
        <f t="shared" si="40"/>
        <v>0</v>
      </c>
      <c r="AN135" s="193">
        <f t="shared" si="40"/>
        <v>0</v>
      </c>
      <c r="AO135" s="264">
        <f t="shared" si="41"/>
        <v>100</v>
      </c>
      <c r="AP135" s="265">
        <f>BJ135</f>
        <v>680</v>
      </c>
      <c r="AQ135" s="26" t="str">
        <f t="shared" si="39"/>
        <v>SAN JUAN RIVERChum</v>
      </c>
      <c r="AR135" s="26">
        <f t="shared" si="42"/>
        <v>0</v>
      </c>
      <c r="AS135" s="33">
        <f>MAX(G135:X135)</f>
        <v>0</v>
      </c>
      <c r="AW135" s="34"/>
      <c r="AX135" s="47" t="str">
        <f t="shared" si="24"/>
        <v>SAN JUAN RIVERChum</v>
      </c>
      <c r="AY135" s="49">
        <f t="shared" si="25"/>
        <v>0</v>
      </c>
      <c r="AZ135" s="49">
        <f t="shared" si="26"/>
        <v>0</v>
      </c>
      <c r="BA135" s="31">
        <v>2016</v>
      </c>
      <c r="BB135" s="188" t="str">
        <f t="shared" si="27"/>
        <v>PFN/SJES</v>
      </c>
      <c r="BC135" s="188" t="str">
        <f t="shared" si="32"/>
        <v xml:space="preserve"> </v>
      </c>
      <c r="BD135" s="188" t="str">
        <f t="shared" si="33"/>
        <v xml:space="preserve"> </v>
      </c>
      <c r="BE135" s="188" t="str">
        <f t="shared" si="34"/>
        <v xml:space="preserve"> </v>
      </c>
      <c r="BF135" s="50" t="str">
        <f t="shared" si="38"/>
        <v>SAN JUAN RIVER_Chum</v>
      </c>
      <c r="BG135" s="50">
        <f>IFERROR(VLOOKUP(BF135,'[1]WCVI Esc'!$C$5:$W$534,18,FALSE),"-")</f>
        <v>100.66666666666667</v>
      </c>
      <c r="BH135" s="50">
        <f t="shared" si="28"/>
        <v>100</v>
      </c>
      <c r="BI135" s="50">
        <f>IFERROR(VLOOKUP(BF135,'[1]WCVI Esc'!$C$5:$W$534,19,FALSE),"-")</f>
        <v>676</v>
      </c>
      <c r="BJ135" s="50">
        <f t="shared" si="29"/>
        <v>680</v>
      </c>
    </row>
    <row r="136" spans="1:67" hidden="1" x14ac:dyDescent="0.2">
      <c r="A136" s="29">
        <v>3</v>
      </c>
      <c r="B136" s="29">
        <v>5</v>
      </c>
      <c r="C136" s="13">
        <v>20</v>
      </c>
      <c r="D136" s="13" t="s">
        <v>291</v>
      </c>
      <c r="E136" s="10" t="s">
        <v>22</v>
      </c>
      <c r="F136" s="10" t="s">
        <v>210</v>
      </c>
      <c r="G136" s="10"/>
      <c r="H136" s="186"/>
      <c r="I136" s="154"/>
      <c r="J136" s="146"/>
      <c r="K136" s="151"/>
      <c r="L136" s="157"/>
      <c r="M136" s="161"/>
      <c r="N136" s="106"/>
      <c r="O136" s="106"/>
      <c r="P136" s="63"/>
      <c r="Q136" s="162"/>
      <c r="R136" s="164"/>
      <c r="S136" s="62"/>
      <c r="T136" s="62"/>
      <c r="U136" s="62"/>
      <c r="V136" s="64"/>
      <c r="W136" s="164"/>
      <c r="X136" s="62"/>
      <c r="Y136" s="45"/>
      <c r="Z136" s="44"/>
      <c r="AA136" s="100">
        <f>Y136/AP136</f>
        <v>0</v>
      </c>
      <c r="AB136" s="100">
        <f>AS136/AP136</f>
        <v>0</v>
      </c>
      <c r="AC136" s="123">
        <v>3</v>
      </c>
      <c r="AD136" s="123">
        <v>2878</v>
      </c>
      <c r="AE136" s="123">
        <v>847</v>
      </c>
      <c r="AF136" s="123">
        <f>Y136</f>
        <v>0</v>
      </c>
      <c r="AG136" s="69">
        <v>20</v>
      </c>
      <c r="AH136" s="69" t="s">
        <v>291</v>
      </c>
      <c r="AI136" s="243" t="s">
        <v>22</v>
      </c>
      <c r="AJ136" s="243" t="s">
        <v>420</v>
      </c>
      <c r="AK136" s="244" t="s">
        <v>371</v>
      </c>
      <c r="AL136" s="43" t="str">
        <f t="shared" si="30"/>
        <v>-</v>
      </c>
      <c r="AM136" s="43">
        <f t="shared" si="40"/>
        <v>0</v>
      </c>
      <c r="AN136" s="193">
        <f t="shared" si="40"/>
        <v>0</v>
      </c>
      <c r="AO136" s="264">
        <f t="shared" si="41"/>
        <v>830</v>
      </c>
      <c r="AP136" s="265">
        <f>BJ136</f>
        <v>1170</v>
      </c>
      <c r="AQ136" s="26" t="str">
        <f t="shared" si="39"/>
        <v>SAN JUAN RIVERChinook</v>
      </c>
      <c r="AR136" s="26">
        <f t="shared" si="42"/>
        <v>0</v>
      </c>
      <c r="AS136" s="33">
        <f>SUM(G136:N136)</f>
        <v>0</v>
      </c>
      <c r="AW136" s="34"/>
      <c r="AX136" s="47" t="str">
        <f t="shared" si="24"/>
        <v>SAN JUAN RIVERChinook</v>
      </c>
      <c r="AY136" s="49">
        <f t="shared" si="25"/>
        <v>0</v>
      </c>
      <c r="AZ136" s="49">
        <f t="shared" si="26"/>
        <v>0</v>
      </c>
      <c r="BA136" s="31">
        <v>2016</v>
      </c>
      <c r="BB136" s="188" t="str">
        <f t="shared" si="27"/>
        <v>PFN/SJES</v>
      </c>
      <c r="BC136" s="188" t="str">
        <f t="shared" si="32"/>
        <v xml:space="preserve"> </v>
      </c>
      <c r="BD136" s="188" t="str">
        <f t="shared" si="33"/>
        <v xml:space="preserve"> </v>
      </c>
      <c r="BE136" s="188" t="str">
        <f t="shared" si="34"/>
        <v xml:space="preserve"> </v>
      </c>
      <c r="BF136" s="50" t="str">
        <f t="shared" si="38"/>
        <v>SAN JUAN RIVER_Chinook</v>
      </c>
      <c r="BG136" s="50">
        <f>IFERROR(VLOOKUP(BF136,'[1]WCVI Esc'!$C$5:$W$534,18,FALSE),"-")</f>
        <v>832.5</v>
      </c>
      <c r="BH136" s="50">
        <f t="shared" si="28"/>
        <v>830</v>
      </c>
      <c r="BI136" s="50">
        <f>IFERROR(VLOOKUP(BF136,'[1]WCVI Esc'!$C$5:$W$534,19,FALSE),"-")</f>
        <v>1172.25</v>
      </c>
      <c r="BJ136" s="50">
        <f t="shared" si="29"/>
        <v>1170</v>
      </c>
      <c r="BK136" t="s">
        <v>451</v>
      </c>
      <c r="BL136" t="s">
        <v>446</v>
      </c>
      <c r="BM136" s="31">
        <v>3</v>
      </c>
      <c r="BO136" s="31">
        <v>1</v>
      </c>
    </row>
    <row r="137" spans="1:67" hidden="1" x14ac:dyDescent="0.2">
      <c r="A137" s="29">
        <v>3</v>
      </c>
      <c r="B137" s="29">
        <v>6</v>
      </c>
      <c r="C137" s="13">
        <v>20</v>
      </c>
      <c r="D137" s="13" t="s">
        <v>291</v>
      </c>
      <c r="E137" s="10" t="s">
        <v>22</v>
      </c>
      <c r="F137" s="10" t="s">
        <v>211</v>
      </c>
      <c r="G137" s="10"/>
      <c r="H137" s="186"/>
      <c r="I137" s="154"/>
      <c r="J137" s="146"/>
      <c r="K137" s="151"/>
      <c r="L137" s="157"/>
      <c r="M137" s="161"/>
      <c r="N137" s="106"/>
      <c r="O137" s="106"/>
      <c r="P137" s="63"/>
      <c r="Q137" s="162"/>
      <c r="R137" s="164"/>
      <c r="S137" s="62"/>
      <c r="T137" s="62"/>
      <c r="U137" s="62"/>
      <c r="V137" s="64"/>
      <c r="W137" s="164"/>
      <c r="X137" s="62"/>
      <c r="Y137" s="45"/>
      <c r="Z137" s="44"/>
      <c r="AA137" s="100"/>
      <c r="AB137" s="100"/>
      <c r="AC137" s="123"/>
      <c r="AD137" s="123"/>
      <c r="AE137" s="123"/>
      <c r="AF137" s="123"/>
      <c r="AG137" s="69">
        <v>20</v>
      </c>
      <c r="AH137" s="69" t="s">
        <v>291</v>
      </c>
      <c r="AI137" s="243" t="s">
        <v>22</v>
      </c>
      <c r="AJ137" s="243" t="s">
        <v>420</v>
      </c>
      <c r="AK137" s="244" t="s">
        <v>371</v>
      </c>
      <c r="AL137" s="43" t="str">
        <f t="shared" si="30"/>
        <v>-</v>
      </c>
      <c r="AM137" s="43">
        <f t="shared" si="40"/>
        <v>0</v>
      </c>
      <c r="AN137" s="193">
        <f t="shared" si="40"/>
        <v>0</v>
      </c>
      <c r="AO137" s="264" t="str">
        <f t="shared" si="41"/>
        <v>-</v>
      </c>
      <c r="AP137" s="269"/>
      <c r="AQ137" s="26" t="str">
        <f t="shared" si="39"/>
        <v>SAN JUAN RIVERSteelhead</v>
      </c>
      <c r="AR137" s="26">
        <f t="shared" si="42"/>
        <v>0</v>
      </c>
      <c r="AS137" s="33">
        <f>SUM(G137:N137)</f>
        <v>0</v>
      </c>
      <c r="AW137" s="34"/>
      <c r="AX137" s="47" t="str">
        <f t="shared" ref="AX137:AX200" si="43">CONCATENATE(E137,F137)</f>
        <v>SAN JUAN RIVERSteelhead</v>
      </c>
      <c r="AY137" s="49">
        <f t="shared" ref="AY137:AY200" si="44">Z137</f>
        <v>0</v>
      </c>
      <c r="AZ137" s="49">
        <f t="shared" ref="AZ137:AZ200" si="45">Y137</f>
        <v>0</v>
      </c>
      <c r="BA137" s="31">
        <v>0</v>
      </c>
      <c r="BB137" s="188" t="str">
        <f t="shared" ref="BB137:BB200" si="46">AK137</f>
        <v>PFN/SJES</v>
      </c>
      <c r="BC137" s="188" t="str">
        <f t="shared" si="32"/>
        <v xml:space="preserve"> </v>
      </c>
      <c r="BD137" s="188" t="str">
        <f t="shared" si="33"/>
        <v xml:space="preserve"> </v>
      </c>
      <c r="BE137" s="188" t="str">
        <f t="shared" si="34"/>
        <v xml:space="preserve"> </v>
      </c>
      <c r="BF137" s="50" t="str">
        <f t="shared" si="38"/>
        <v>SAN JUAN RIVER_Steelhead</v>
      </c>
      <c r="BG137" s="50" t="str">
        <f>IFERROR(VLOOKUP(BF137,'[1]WCVI Esc'!$C$5:$W$534,18,FALSE),"-")</f>
        <v>-</v>
      </c>
      <c r="BH137" s="50" t="str">
        <f t="shared" ref="BH137:BH200" si="47">IFERROR(ROUND(BG137,-1),"-")</f>
        <v>-</v>
      </c>
      <c r="BI137" s="50" t="str">
        <f>IFERROR(VLOOKUP(BF137,'[1]WCVI Esc'!$C$5:$W$534,19,FALSE),"-")</f>
        <v>-</v>
      </c>
      <c r="BJ137" s="50" t="str">
        <f t="shared" ref="BJ137:BJ200" si="48">IFERROR(ROUND(BI137,-1),"-")</f>
        <v>-</v>
      </c>
    </row>
    <row r="138" spans="1:67" hidden="1" x14ac:dyDescent="0.2">
      <c r="A138" s="29">
        <v>2</v>
      </c>
      <c r="B138" s="29">
        <v>1</v>
      </c>
      <c r="C138" s="13">
        <v>22</v>
      </c>
      <c r="D138" s="13" t="s">
        <v>304</v>
      </c>
      <c r="E138" s="10" t="s">
        <v>26</v>
      </c>
      <c r="F138" s="10" t="s">
        <v>207</v>
      </c>
      <c r="G138" s="10"/>
      <c r="H138" s="152"/>
      <c r="I138" s="155"/>
      <c r="J138" s="106"/>
      <c r="K138" s="94"/>
      <c r="L138" s="158"/>
      <c r="M138" s="161"/>
      <c r="N138" s="106"/>
      <c r="O138" s="106"/>
      <c r="P138" s="63"/>
      <c r="Q138" s="162"/>
      <c r="R138" s="164"/>
      <c r="S138" s="62"/>
      <c r="T138" s="63"/>
      <c r="U138" s="62"/>
      <c r="V138" s="64"/>
      <c r="W138" s="164"/>
      <c r="X138" s="62"/>
      <c r="Y138" s="45"/>
      <c r="Z138" s="44"/>
      <c r="AA138" s="100">
        <f>Y138/AP138</f>
        <v>0</v>
      </c>
      <c r="AB138" s="100">
        <f>AS138/AP138</f>
        <v>0</v>
      </c>
      <c r="AC138" s="123">
        <v>2</v>
      </c>
      <c r="AD138" s="123"/>
      <c r="AE138" s="123"/>
      <c r="AF138" s="123"/>
      <c r="AG138" s="69">
        <v>22</v>
      </c>
      <c r="AH138" s="69" t="s">
        <v>304</v>
      </c>
      <c r="AI138" s="243" t="s">
        <v>26</v>
      </c>
      <c r="AJ138" s="243" t="s">
        <v>419</v>
      </c>
      <c r="AK138" s="244" t="s">
        <v>415</v>
      </c>
      <c r="AL138" s="43" t="str">
        <f t="shared" ref="AL138:AL201" si="49">IF(BE138=" ",IF(BD138=" ", IF(BC138=" ","-",BC138),BD138), BE138)</f>
        <v>-</v>
      </c>
      <c r="AM138" s="43">
        <f t="shared" si="40"/>
        <v>0</v>
      </c>
      <c r="AN138" s="193">
        <f t="shared" si="40"/>
        <v>0</v>
      </c>
      <c r="AO138" s="264">
        <f t="shared" si="41"/>
        <v>90</v>
      </c>
      <c r="AP138" s="265">
        <f>BJ138</f>
        <v>330</v>
      </c>
      <c r="AQ138" s="26" t="str">
        <f t="shared" si="39"/>
        <v>NITINAT RIVERSockeye</v>
      </c>
      <c r="AR138" s="26">
        <f t="shared" si="42"/>
        <v>0</v>
      </c>
      <c r="AS138" s="33">
        <f t="shared" ref="AS138:AS201" si="50">MAX(G138:X138)</f>
        <v>0</v>
      </c>
      <c r="AW138" s="34"/>
      <c r="AX138" s="47" t="str">
        <f t="shared" si="43"/>
        <v>NITINAT RIVERSockeye</v>
      </c>
      <c r="AY138" s="49">
        <f t="shared" si="44"/>
        <v>0</v>
      </c>
      <c r="AZ138" s="49">
        <f t="shared" si="45"/>
        <v>0</v>
      </c>
      <c r="BA138" s="31">
        <v>2016</v>
      </c>
      <c r="BB138" s="188" t="str">
        <f t="shared" si="46"/>
        <v xml:space="preserve">BCCF/Nitinat </v>
      </c>
      <c r="BC138" s="188" t="str">
        <f t="shared" ref="BC138:BC201" si="51">IF(ISNUMBER(M138),M$8,IF(ISNUMBER(L138),L$8,IF(ISNUMBER(K138),K$8,IF(ISNUMBER(J138),J$8,IF(ISNUMBER(I138),I$8,IF(ISNUMBER(H138),H$8, IF(ISNUMBER(G138),G$8," ")))))))</f>
        <v xml:space="preserve"> </v>
      </c>
      <c r="BD138" s="188" t="str">
        <f t="shared" ref="BD138:BD201" si="52">IF(ISNUMBER(S138),S$8,IF(ISNUMBER(R138),R$8,IF(ISNUMBER(Q138),Q$8,IF(ISNUMBER(P138),P$8,IF(ISNUMBER(O138),O$8,IF(ISNUMBER(N138),N$8," "))))))</f>
        <v xml:space="preserve"> </v>
      </c>
      <c r="BE138" s="188" t="str">
        <f t="shared" ref="BE138:BE201" si="53">IF(ISNUMBER(X138),X$8,IF(ISNUMBER(W138),W$8,IF(ISNUMBER(V138),V$8,IF(ISNUMBER(U138),U$8,IF(ISNUMBER(T138),T$8," ")))))</f>
        <v xml:space="preserve"> </v>
      </c>
      <c r="BF138" s="50" t="str">
        <f t="shared" si="38"/>
        <v>NITINAT RIVER_Sockeye</v>
      </c>
      <c r="BG138" s="50">
        <f>IFERROR(VLOOKUP(BF138,'[1]WCVI Esc'!$C$5:$W$534,18,FALSE),"-")</f>
        <v>92.75</v>
      </c>
      <c r="BH138" s="50">
        <f t="shared" si="47"/>
        <v>90</v>
      </c>
      <c r="BI138" s="50">
        <f>IFERROR(VLOOKUP(BF138,'[1]WCVI Esc'!$C$5:$W$534,19,FALSE),"-")</f>
        <v>327.3</v>
      </c>
      <c r="BJ138" s="50">
        <f t="shared" si="48"/>
        <v>330</v>
      </c>
    </row>
    <row r="139" spans="1:67" hidden="1" x14ac:dyDescent="0.2">
      <c r="A139" s="29">
        <v>2</v>
      </c>
      <c r="B139" s="29">
        <v>2</v>
      </c>
      <c r="C139" s="13">
        <v>22</v>
      </c>
      <c r="D139" s="13" t="s">
        <v>304</v>
      </c>
      <c r="E139" s="10" t="s">
        <v>26</v>
      </c>
      <c r="F139" s="10" t="s">
        <v>219</v>
      </c>
      <c r="G139" s="10"/>
      <c r="H139" s="152"/>
      <c r="I139" s="155"/>
      <c r="J139" s="106"/>
      <c r="K139" s="94"/>
      <c r="L139" s="158"/>
      <c r="M139" s="161"/>
      <c r="N139" s="106"/>
      <c r="O139" s="106"/>
      <c r="P139" s="63"/>
      <c r="Q139" s="162"/>
      <c r="R139" s="164"/>
      <c r="S139" s="62"/>
      <c r="T139" s="63"/>
      <c r="U139" s="62"/>
      <c r="V139" s="64"/>
      <c r="W139" s="164"/>
      <c r="X139" s="62"/>
      <c r="Y139" s="45"/>
      <c r="Z139" s="44"/>
      <c r="AA139" s="100">
        <f>Y139/AP139</f>
        <v>0</v>
      </c>
      <c r="AB139" s="100">
        <f>AS139/AP139</f>
        <v>0</v>
      </c>
      <c r="AC139" s="123"/>
      <c r="AD139" s="123"/>
      <c r="AE139" s="123"/>
      <c r="AF139" s="123"/>
      <c r="AG139" s="69">
        <v>22</v>
      </c>
      <c r="AH139" s="69" t="s">
        <v>304</v>
      </c>
      <c r="AI139" s="243" t="s">
        <v>26</v>
      </c>
      <c r="AJ139" s="243" t="s">
        <v>419</v>
      </c>
      <c r="AK139" s="244" t="s">
        <v>415</v>
      </c>
      <c r="AL139" s="43" t="str">
        <f t="shared" si="49"/>
        <v>-</v>
      </c>
      <c r="AM139" s="43">
        <f t="shared" si="40"/>
        <v>0</v>
      </c>
      <c r="AN139" s="193">
        <f t="shared" si="40"/>
        <v>0</v>
      </c>
      <c r="AO139" s="264">
        <f t="shared" si="41"/>
        <v>1300</v>
      </c>
      <c r="AP139" s="265">
        <f>BJ139</f>
        <v>3540</v>
      </c>
      <c r="AQ139" s="26" t="str">
        <f t="shared" si="39"/>
        <v>NITINAT RIVERCoho</v>
      </c>
      <c r="AR139" s="26">
        <f t="shared" si="42"/>
        <v>0</v>
      </c>
      <c r="AS139" s="33">
        <f t="shared" si="50"/>
        <v>0</v>
      </c>
      <c r="AW139" s="34"/>
      <c r="AX139" s="47" t="str">
        <f t="shared" si="43"/>
        <v>NITINAT RIVERCoho</v>
      </c>
      <c r="AY139" s="49">
        <f t="shared" si="44"/>
        <v>0</v>
      </c>
      <c r="AZ139" s="49">
        <f t="shared" si="45"/>
        <v>0</v>
      </c>
      <c r="BA139" s="31">
        <v>2016</v>
      </c>
      <c r="BB139" s="188" t="str">
        <f t="shared" si="46"/>
        <v xml:space="preserve">BCCF/Nitinat </v>
      </c>
      <c r="BC139" s="188" t="str">
        <f t="shared" si="51"/>
        <v xml:space="preserve"> </v>
      </c>
      <c r="BD139" s="188" t="str">
        <f t="shared" si="52"/>
        <v xml:space="preserve"> </v>
      </c>
      <c r="BE139" s="188" t="str">
        <f t="shared" si="53"/>
        <v xml:space="preserve"> </v>
      </c>
      <c r="BF139" s="50" t="str">
        <f t="shared" si="38"/>
        <v>NITINAT RIVER_Coho</v>
      </c>
      <c r="BG139" s="50">
        <f>IFERROR(VLOOKUP(BF139,'[1]WCVI Esc'!$C$5:$W$534,18,FALSE),"-")</f>
        <v>1303.5</v>
      </c>
      <c r="BH139" s="50">
        <f t="shared" si="47"/>
        <v>1300</v>
      </c>
      <c r="BI139" s="50">
        <f>IFERROR(VLOOKUP(BF139,'[1]WCVI Esc'!$C$5:$W$534,19,FALSE),"-")</f>
        <v>3535.4166666666665</v>
      </c>
      <c r="BJ139" s="50">
        <f t="shared" si="48"/>
        <v>3540</v>
      </c>
    </row>
    <row r="140" spans="1:67" hidden="1" x14ac:dyDescent="0.2">
      <c r="A140" s="29">
        <v>2</v>
      </c>
      <c r="B140" s="29">
        <v>3</v>
      </c>
      <c r="C140" s="13">
        <v>22</v>
      </c>
      <c r="D140" s="13" t="s">
        <v>304</v>
      </c>
      <c r="E140" s="10" t="s">
        <v>26</v>
      </c>
      <c r="F140" s="10" t="s">
        <v>208</v>
      </c>
      <c r="G140" s="10"/>
      <c r="H140" s="152"/>
      <c r="I140" s="155"/>
      <c r="J140" s="106"/>
      <c r="K140" s="94"/>
      <c r="L140" s="158"/>
      <c r="M140" s="161"/>
      <c r="N140" s="106"/>
      <c r="O140" s="106"/>
      <c r="P140" s="63"/>
      <c r="Q140" s="162"/>
      <c r="R140" s="164"/>
      <c r="S140" s="62"/>
      <c r="T140" s="63"/>
      <c r="U140" s="62"/>
      <c r="V140" s="64"/>
      <c r="W140" s="164"/>
      <c r="X140" s="62"/>
      <c r="Y140" s="46"/>
      <c r="Z140" s="44"/>
      <c r="AA140" s="100">
        <f>Y140/AP140</f>
        <v>0</v>
      </c>
      <c r="AB140" s="100">
        <f>AS140/AP140</f>
        <v>0</v>
      </c>
      <c r="AC140" s="123"/>
      <c r="AD140" s="123"/>
      <c r="AE140" s="123"/>
      <c r="AF140" s="123"/>
      <c r="AG140" s="69">
        <v>22</v>
      </c>
      <c r="AH140" s="69" t="s">
        <v>304</v>
      </c>
      <c r="AI140" s="243" t="s">
        <v>26</v>
      </c>
      <c r="AJ140" s="243" t="s">
        <v>419</v>
      </c>
      <c r="AK140" s="244" t="s">
        <v>372</v>
      </c>
      <c r="AL140" s="43" t="str">
        <f t="shared" si="49"/>
        <v>-</v>
      </c>
      <c r="AM140" s="43">
        <f t="shared" si="40"/>
        <v>0</v>
      </c>
      <c r="AN140" s="193">
        <f t="shared" si="40"/>
        <v>0</v>
      </c>
      <c r="AO140" s="264">
        <f t="shared" si="41"/>
        <v>10</v>
      </c>
      <c r="AP140" s="265">
        <f>BJ140</f>
        <v>20</v>
      </c>
      <c r="AQ140" s="26" t="str">
        <f t="shared" si="39"/>
        <v>NITINAT RIVERPink</v>
      </c>
      <c r="AR140" s="26">
        <f t="shared" si="42"/>
        <v>0</v>
      </c>
      <c r="AS140" s="33">
        <f t="shared" si="50"/>
        <v>0</v>
      </c>
      <c r="AW140" s="34"/>
      <c r="AX140" s="47" t="str">
        <f t="shared" si="43"/>
        <v>NITINAT RIVERPink</v>
      </c>
      <c r="AY140" s="49">
        <f t="shared" si="44"/>
        <v>0</v>
      </c>
      <c r="AZ140" s="49">
        <f t="shared" si="45"/>
        <v>0</v>
      </c>
      <c r="BA140" s="31">
        <v>2016</v>
      </c>
      <c r="BB140" s="188" t="str">
        <f t="shared" si="46"/>
        <v>BCCF/Nitinat Hatchery</v>
      </c>
      <c r="BC140" s="188" t="str">
        <f t="shared" si="51"/>
        <v xml:space="preserve"> </v>
      </c>
      <c r="BD140" s="188" t="str">
        <f t="shared" si="52"/>
        <v xml:space="preserve"> </v>
      </c>
      <c r="BE140" s="188" t="str">
        <f t="shared" si="53"/>
        <v xml:space="preserve"> </v>
      </c>
      <c r="BF140" s="50" t="str">
        <f t="shared" si="38"/>
        <v>NITINAT RIVER_Pink</v>
      </c>
      <c r="BG140" s="50">
        <f>IFERROR(VLOOKUP(BF140,'[1]WCVI Esc'!$C$5:$W$534,18,FALSE),"-")</f>
        <v>11</v>
      </c>
      <c r="BH140" s="50">
        <f t="shared" si="47"/>
        <v>10</v>
      </c>
      <c r="BI140" s="50">
        <f>IFERROR(VLOOKUP(BF140,'[1]WCVI Esc'!$C$5:$W$534,19,FALSE),"-")</f>
        <v>23.5</v>
      </c>
      <c r="BJ140" s="50">
        <f t="shared" si="48"/>
        <v>20</v>
      </c>
    </row>
    <row r="141" spans="1:67" hidden="1" x14ac:dyDescent="0.2">
      <c r="A141" s="29">
        <v>2</v>
      </c>
      <c r="B141" s="29">
        <v>4</v>
      </c>
      <c r="C141" s="13">
        <v>22</v>
      </c>
      <c r="D141" s="13" t="s">
        <v>304</v>
      </c>
      <c r="E141" s="10" t="s">
        <v>26</v>
      </c>
      <c r="F141" s="10" t="s">
        <v>209</v>
      </c>
      <c r="G141" s="10"/>
      <c r="H141" s="152"/>
      <c r="I141" s="155"/>
      <c r="J141" s="106"/>
      <c r="K141" s="94"/>
      <c r="L141" s="158"/>
      <c r="M141" s="161"/>
      <c r="N141" s="106"/>
      <c r="O141" s="106"/>
      <c r="P141" s="63"/>
      <c r="Q141" s="162"/>
      <c r="R141" s="164"/>
      <c r="S141" s="62"/>
      <c r="T141" s="63"/>
      <c r="U141" s="62"/>
      <c r="V141" s="64"/>
      <c r="W141" s="164"/>
      <c r="X141" s="62"/>
      <c r="Y141" s="46"/>
      <c r="Z141" s="44"/>
      <c r="AA141" s="100">
        <f>Y141/AP141</f>
        <v>0</v>
      </c>
      <c r="AB141" s="100">
        <f>AS141/AP141</f>
        <v>0</v>
      </c>
      <c r="AC141" s="123">
        <v>2</v>
      </c>
      <c r="AD141" s="123"/>
      <c r="AE141" s="123"/>
      <c r="AF141" s="123"/>
      <c r="AG141" s="69">
        <v>22</v>
      </c>
      <c r="AH141" s="69" t="s">
        <v>304</v>
      </c>
      <c r="AI141" s="243" t="s">
        <v>26</v>
      </c>
      <c r="AJ141" s="243" t="s">
        <v>419</v>
      </c>
      <c r="AK141" s="244" t="s">
        <v>421</v>
      </c>
      <c r="AL141" s="43" t="str">
        <f t="shared" si="49"/>
        <v>-</v>
      </c>
      <c r="AM141" s="43">
        <f t="shared" si="40"/>
        <v>0</v>
      </c>
      <c r="AN141" s="193">
        <f t="shared" si="40"/>
        <v>0</v>
      </c>
      <c r="AO141" s="264">
        <f t="shared" si="41"/>
        <v>57530</v>
      </c>
      <c r="AP141" s="265">
        <f>BJ141</f>
        <v>135420</v>
      </c>
      <c r="AQ141" s="26" t="str">
        <f t="shared" si="39"/>
        <v>NITINAT RIVERChum</v>
      </c>
      <c r="AR141" s="26">
        <f t="shared" si="42"/>
        <v>0</v>
      </c>
      <c r="AS141" s="33">
        <f t="shared" si="50"/>
        <v>0</v>
      </c>
      <c r="AW141" s="34"/>
      <c r="AX141" s="47" t="str">
        <f t="shared" si="43"/>
        <v>NITINAT RIVERChum</v>
      </c>
      <c r="AY141" s="49">
        <f t="shared" si="44"/>
        <v>0</v>
      </c>
      <c r="AZ141" s="49">
        <f t="shared" si="45"/>
        <v>0</v>
      </c>
      <c r="BA141" s="31">
        <v>2016</v>
      </c>
      <c r="BB141" s="188" t="str">
        <f t="shared" si="46"/>
        <v>BCCF/Nitinat</v>
      </c>
      <c r="BC141" s="188" t="str">
        <f t="shared" si="51"/>
        <v xml:space="preserve"> </v>
      </c>
      <c r="BD141" s="188" t="str">
        <f t="shared" si="52"/>
        <v xml:space="preserve"> </v>
      </c>
      <c r="BE141" s="188" t="str">
        <f t="shared" si="53"/>
        <v xml:space="preserve"> </v>
      </c>
      <c r="BF141" s="50" t="str">
        <f t="shared" si="38"/>
        <v>NITINAT RIVER_Chum</v>
      </c>
      <c r="BG141" s="50">
        <f>IFERROR(VLOOKUP(BF141,'[1]WCVI Esc'!$C$5:$W$534,18,FALSE),"-")</f>
        <v>57526.5</v>
      </c>
      <c r="BH141" s="50">
        <f t="shared" si="47"/>
        <v>57530</v>
      </c>
      <c r="BI141" s="50">
        <f>IFERROR(VLOOKUP(BF141,'[1]WCVI Esc'!$C$5:$W$534,19,FALSE),"-")</f>
        <v>135423.25</v>
      </c>
      <c r="BJ141" s="50">
        <f t="shared" si="48"/>
        <v>135420</v>
      </c>
    </row>
    <row r="142" spans="1:67" hidden="1" x14ac:dyDescent="0.2">
      <c r="A142" s="29">
        <v>2</v>
      </c>
      <c r="B142" s="29">
        <v>5</v>
      </c>
      <c r="C142" s="13">
        <v>22</v>
      </c>
      <c r="D142" s="13" t="s">
        <v>304</v>
      </c>
      <c r="E142" s="10" t="s">
        <v>26</v>
      </c>
      <c r="F142" s="10" t="s">
        <v>210</v>
      </c>
      <c r="G142" s="10"/>
      <c r="H142" s="152"/>
      <c r="I142" s="155"/>
      <c r="J142" s="106"/>
      <c r="K142" s="94"/>
      <c r="L142" s="158"/>
      <c r="M142" s="161"/>
      <c r="N142" s="106"/>
      <c r="O142" s="106"/>
      <c r="P142" s="63"/>
      <c r="Q142" s="162"/>
      <c r="R142" s="164"/>
      <c r="S142" s="62"/>
      <c r="T142" s="63"/>
      <c r="U142" s="62"/>
      <c r="V142" s="64"/>
      <c r="W142" s="164"/>
      <c r="X142" s="62"/>
      <c r="Y142" s="45"/>
      <c r="Z142" s="44"/>
      <c r="AA142" s="100">
        <f>Y142/AP142</f>
        <v>0</v>
      </c>
      <c r="AB142" s="100">
        <f>AS142/AP142</f>
        <v>0</v>
      </c>
      <c r="AC142" s="123">
        <v>2</v>
      </c>
      <c r="AD142" s="123">
        <v>2002</v>
      </c>
      <c r="AE142" s="123">
        <v>589</v>
      </c>
      <c r="AF142" s="123">
        <f>Y142</f>
        <v>0</v>
      </c>
      <c r="AG142" s="69">
        <v>22</v>
      </c>
      <c r="AH142" s="69" t="s">
        <v>304</v>
      </c>
      <c r="AI142" s="243" t="s">
        <v>26</v>
      </c>
      <c r="AJ142" s="243" t="s">
        <v>419</v>
      </c>
      <c r="AK142" s="244" t="s">
        <v>415</v>
      </c>
      <c r="AL142" s="43" t="str">
        <f t="shared" si="49"/>
        <v>-</v>
      </c>
      <c r="AM142" s="43">
        <f t="shared" si="40"/>
        <v>0</v>
      </c>
      <c r="AN142" s="193">
        <f t="shared" si="40"/>
        <v>0</v>
      </c>
      <c r="AO142" s="264">
        <f t="shared" si="41"/>
        <v>14140</v>
      </c>
      <c r="AP142" s="265">
        <f>BJ142</f>
        <v>13200</v>
      </c>
      <c r="AQ142" s="26" t="str">
        <f t="shared" si="39"/>
        <v>NITINAT RIVERChinook</v>
      </c>
      <c r="AR142" s="26">
        <f t="shared" si="42"/>
        <v>0</v>
      </c>
      <c r="AS142" s="33">
        <f t="shared" si="50"/>
        <v>0</v>
      </c>
      <c r="AT142" s="34">
        <f>AS142*1.14</f>
        <v>0</v>
      </c>
      <c r="AU142" s="34">
        <f>AS142*2.88</f>
        <v>0</v>
      </c>
      <c r="AW142" s="34">
        <f>SUM(AT142:AU142)/2</f>
        <v>0</v>
      </c>
      <c r="AX142" s="47" t="str">
        <f t="shared" si="43"/>
        <v>NITINAT RIVERChinook</v>
      </c>
      <c r="AY142" s="49">
        <f t="shared" si="44"/>
        <v>0</v>
      </c>
      <c r="AZ142" s="49">
        <f t="shared" si="45"/>
        <v>0</v>
      </c>
      <c r="BA142" s="31">
        <v>2016</v>
      </c>
      <c r="BB142" s="188" t="str">
        <f t="shared" si="46"/>
        <v xml:space="preserve">BCCF/Nitinat </v>
      </c>
      <c r="BC142" s="188" t="str">
        <f t="shared" si="51"/>
        <v xml:space="preserve"> </v>
      </c>
      <c r="BD142" s="188" t="str">
        <f t="shared" si="52"/>
        <v xml:space="preserve"> </v>
      </c>
      <c r="BE142" s="188" t="str">
        <f t="shared" si="53"/>
        <v xml:space="preserve"> </v>
      </c>
      <c r="BF142" s="50" t="str">
        <f t="shared" si="38"/>
        <v>NITINAT RIVER_Chinook</v>
      </c>
      <c r="BG142" s="50">
        <f>IFERROR(VLOOKUP(BF142,'[1]WCVI Esc'!$C$5:$W$534,18,FALSE),"-")</f>
        <v>14135.25</v>
      </c>
      <c r="BH142" s="50">
        <f t="shared" si="47"/>
        <v>14140</v>
      </c>
      <c r="BI142" s="50">
        <f>IFERROR(VLOOKUP(BF142,'[1]WCVI Esc'!$C$5:$W$534,19,FALSE),"-")</f>
        <v>13202.75</v>
      </c>
      <c r="BJ142" s="50">
        <f t="shared" si="48"/>
        <v>13200</v>
      </c>
      <c r="BK142">
        <v>4</v>
      </c>
      <c r="BL142" t="s">
        <v>373</v>
      </c>
      <c r="BM142" s="31">
        <v>1</v>
      </c>
    </row>
    <row r="143" spans="1:67" hidden="1" x14ac:dyDescent="0.2">
      <c r="A143" s="29">
        <v>2</v>
      </c>
      <c r="B143" s="29">
        <v>6</v>
      </c>
      <c r="C143" s="13">
        <v>22</v>
      </c>
      <c r="D143" s="13" t="s">
        <v>304</v>
      </c>
      <c r="E143" s="10" t="s">
        <v>26</v>
      </c>
      <c r="F143" s="10" t="s">
        <v>211</v>
      </c>
      <c r="G143" s="10"/>
      <c r="H143" s="152"/>
      <c r="I143" s="155"/>
      <c r="J143" s="106"/>
      <c r="K143" s="94"/>
      <c r="L143" s="158"/>
      <c r="M143" s="161"/>
      <c r="N143" s="106"/>
      <c r="O143" s="106"/>
      <c r="P143" s="63"/>
      <c r="Q143" s="162"/>
      <c r="R143" s="164"/>
      <c r="S143" s="62"/>
      <c r="T143" s="63"/>
      <c r="U143" s="62"/>
      <c r="V143" s="64"/>
      <c r="W143" s="164"/>
      <c r="X143" s="62"/>
      <c r="Y143" s="46"/>
      <c r="Z143" s="44"/>
      <c r="AA143" s="100"/>
      <c r="AB143" s="100"/>
      <c r="AC143" s="123"/>
      <c r="AD143" s="123"/>
      <c r="AE143" s="123"/>
      <c r="AF143" s="123"/>
      <c r="AG143" s="69">
        <v>22</v>
      </c>
      <c r="AH143" s="69" t="s">
        <v>304</v>
      </c>
      <c r="AI143" s="243" t="s">
        <v>26</v>
      </c>
      <c r="AJ143" s="243" t="s">
        <v>419</v>
      </c>
      <c r="AK143" s="244" t="s">
        <v>372</v>
      </c>
      <c r="AL143" s="43" t="str">
        <f t="shared" si="49"/>
        <v>-</v>
      </c>
      <c r="AM143" s="43">
        <f t="shared" si="40"/>
        <v>0</v>
      </c>
      <c r="AN143" s="193">
        <f t="shared" si="40"/>
        <v>0</v>
      </c>
      <c r="AO143" s="264" t="str">
        <f t="shared" si="41"/>
        <v>-</v>
      </c>
      <c r="AP143" s="267"/>
      <c r="AQ143" s="26" t="str">
        <f t="shared" si="39"/>
        <v>NITINAT RIVERSteelhead</v>
      </c>
      <c r="AR143" s="26">
        <f t="shared" si="42"/>
        <v>0</v>
      </c>
      <c r="AS143" s="33">
        <f t="shared" si="50"/>
        <v>0</v>
      </c>
      <c r="AW143" s="34"/>
      <c r="AX143" s="47" t="str">
        <f t="shared" si="43"/>
        <v>NITINAT RIVERSteelhead</v>
      </c>
      <c r="AY143" s="49">
        <f t="shared" si="44"/>
        <v>0</v>
      </c>
      <c r="AZ143" s="49">
        <f t="shared" si="45"/>
        <v>0</v>
      </c>
      <c r="BA143" s="31">
        <v>0</v>
      </c>
      <c r="BB143" s="188" t="str">
        <f t="shared" si="46"/>
        <v>BCCF/Nitinat Hatchery</v>
      </c>
      <c r="BC143" s="188" t="str">
        <f t="shared" si="51"/>
        <v xml:space="preserve"> </v>
      </c>
      <c r="BD143" s="188" t="str">
        <f t="shared" si="52"/>
        <v xml:space="preserve"> </v>
      </c>
      <c r="BE143" s="188" t="str">
        <f t="shared" si="53"/>
        <v xml:space="preserve"> </v>
      </c>
      <c r="BF143" s="50" t="str">
        <f t="shared" si="38"/>
        <v>NITINAT RIVER_Steelhead</v>
      </c>
      <c r="BG143" s="50" t="str">
        <f>IFERROR(VLOOKUP(BF143,'[1]WCVI Esc'!$C$5:$W$534,18,FALSE),"-")</f>
        <v>-</v>
      </c>
      <c r="BH143" s="50" t="str">
        <f t="shared" si="47"/>
        <v>-</v>
      </c>
      <c r="BI143" s="50" t="str">
        <f>IFERROR(VLOOKUP(BF143,'[1]WCVI Esc'!$C$5:$W$534,19,FALSE),"-")</f>
        <v>-</v>
      </c>
      <c r="BJ143" s="50" t="str">
        <f t="shared" si="48"/>
        <v>-</v>
      </c>
    </row>
    <row r="144" spans="1:67" hidden="1" x14ac:dyDescent="0.2">
      <c r="A144" s="29">
        <v>3</v>
      </c>
      <c r="B144" s="29">
        <v>1</v>
      </c>
      <c r="C144" s="13">
        <v>23</v>
      </c>
      <c r="D144" s="13" t="s">
        <v>294</v>
      </c>
      <c r="E144" s="10" t="s">
        <v>30</v>
      </c>
      <c r="F144" s="10" t="s">
        <v>207</v>
      </c>
      <c r="G144" s="10"/>
      <c r="H144" s="152"/>
      <c r="I144" s="155"/>
      <c r="J144" s="106"/>
      <c r="K144" s="94"/>
      <c r="L144" s="158"/>
      <c r="M144" s="161"/>
      <c r="N144" s="106"/>
      <c r="O144" s="106"/>
      <c r="P144" s="63"/>
      <c r="Q144" s="162"/>
      <c r="R144" s="164"/>
      <c r="S144" s="62"/>
      <c r="T144" s="63"/>
      <c r="U144" s="62"/>
      <c r="V144" s="64"/>
      <c r="W144" s="164"/>
      <c r="X144" s="62"/>
      <c r="Y144" s="12"/>
      <c r="Z144" s="12"/>
      <c r="AA144" s="100">
        <f>Y144/AP144</f>
        <v>0</v>
      </c>
      <c r="AB144" s="100">
        <f>AS144/AP144</f>
        <v>0</v>
      </c>
      <c r="AC144" s="100"/>
      <c r="AD144" s="100"/>
      <c r="AE144" s="100"/>
      <c r="AF144" s="100"/>
      <c r="AG144" s="69">
        <v>23</v>
      </c>
      <c r="AH144" s="69" t="s">
        <v>294</v>
      </c>
      <c r="AI144" s="243" t="s">
        <v>30</v>
      </c>
      <c r="AJ144" s="243" t="s">
        <v>419</v>
      </c>
      <c r="AK144" s="246"/>
      <c r="AL144" s="43" t="str">
        <f t="shared" si="49"/>
        <v>-</v>
      </c>
      <c r="AM144" s="43">
        <f t="shared" si="40"/>
        <v>0</v>
      </c>
      <c r="AN144" s="193">
        <f t="shared" si="40"/>
        <v>0</v>
      </c>
      <c r="AO144" s="270">
        <f t="shared" si="41"/>
        <v>10460</v>
      </c>
      <c r="AP144" s="265">
        <f>BJ144</f>
        <v>12800</v>
      </c>
      <c r="AQ144" s="26" t="str">
        <f t="shared" si="39"/>
        <v>HENDERSON LAKESockeye</v>
      </c>
      <c r="AR144" s="26">
        <f t="shared" si="42"/>
        <v>0</v>
      </c>
      <c r="AS144" s="33">
        <f t="shared" si="50"/>
        <v>0</v>
      </c>
      <c r="AW144" s="34"/>
      <c r="AX144" s="47" t="str">
        <f t="shared" si="43"/>
        <v>HENDERSON LAKESockeye</v>
      </c>
      <c r="AY144" s="49">
        <f t="shared" si="44"/>
        <v>0</v>
      </c>
      <c r="AZ144" s="49">
        <f t="shared" si="45"/>
        <v>0</v>
      </c>
      <c r="BA144" s="31">
        <v>2016</v>
      </c>
      <c r="BB144" s="188">
        <f t="shared" si="46"/>
        <v>0</v>
      </c>
      <c r="BC144" s="188" t="str">
        <f t="shared" si="51"/>
        <v xml:space="preserve"> </v>
      </c>
      <c r="BD144" s="188" t="str">
        <f t="shared" si="52"/>
        <v xml:space="preserve"> </v>
      </c>
      <c r="BE144" s="188" t="str">
        <f t="shared" si="53"/>
        <v xml:space="preserve"> </v>
      </c>
      <c r="BF144" s="50" t="str">
        <f t="shared" si="38"/>
        <v>HENDERSON LAKE_Sockeye</v>
      </c>
      <c r="BG144" s="50">
        <f>IFERROR(VLOOKUP(BF144,'[1]WCVI Esc'!$C$5:$W$514,18,FALSE),"-")</f>
        <v>10461.75</v>
      </c>
      <c r="BH144" s="50">
        <f t="shared" si="47"/>
        <v>10460</v>
      </c>
      <c r="BI144" s="50">
        <f>IFERROR(VLOOKUP(BF144,'[1]WCVI Esc'!$C$5:$W$514,19,FALSE),"-")</f>
        <v>12800</v>
      </c>
      <c r="BJ144" s="50">
        <f t="shared" si="48"/>
        <v>12800</v>
      </c>
    </row>
    <row r="145" spans="1:65" hidden="1" x14ac:dyDescent="0.2">
      <c r="A145" s="29">
        <v>3</v>
      </c>
      <c r="B145" s="29">
        <v>2</v>
      </c>
      <c r="C145" s="13">
        <v>23</v>
      </c>
      <c r="D145" s="13" t="s">
        <v>294</v>
      </c>
      <c r="E145" s="10" t="s">
        <v>30</v>
      </c>
      <c r="F145" s="10" t="s">
        <v>219</v>
      </c>
      <c r="G145" s="10"/>
      <c r="H145" s="152"/>
      <c r="I145" s="155"/>
      <c r="J145" s="106"/>
      <c r="K145" s="94"/>
      <c r="L145" s="158"/>
      <c r="M145" s="161"/>
      <c r="N145" s="106"/>
      <c r="O145" s="106"/>
      <c r="P145" s="63"/>
      <c r="Q145" s="162"/>
      <c r="R145" s="164"/>
      <c r="S145" s="62"/>
      <c r="T145" s="63"/>
      <c r="U145" s="62"/>
      <c r="V145" s="64"/>
      <c r="W145" s="164"/>
      <c r="X145" s="62"/>
      <c r="Y145" s="45"/>
      <c r="Z145" s="45"/>
      <c r="AA145" s="100"/>
      <c r="AB145" s="100"/>
      <c r="AC145" s="100"/>
      <c r="AD145" s="100"/>
      <c r="AE145" s="100"/>
      <c r="AF145" s="100"/>
      <c r="AG145" s="69">
        <v>23</v>
      </c>
      <c r="AH145" s="69" t="s">
        <v>294</v>
      </c>
      <c r="AI145" s="243" t="s">
        <v>30</v>
      </c>
      <c r="AJ145" s="243" t="s">
        <v>419</v>
      </c>
      <c r="AK145" s="246"/>
      <c r="AL145" s="43" t="str">
        <f t="shared" si="49"/>
        <v>-</v>
      </c>
      <c r="AM145" s="43">
        <f t="shared" si="40"/>
        <v>0</v>
      </c>
      <c r="AN145" s="193">
        <f t="shared" si="40"/>
        <v>0</v>
      </c>
      <c r="AO145" s="270" t="str">
        <f t="shared" si="41"/>
        <v>-</v>
      </c>
      <c r="AP145" s="266"/>
      <c r="AQ145" s="26" t="str">
        <f t="shared" si="39"/>
        <v>HENDERSON LAKECoho</v>
      </c>
      <c r="AR145" s="26">
        <f t="shared" si="42"/>
        <v>0</v>
      </c>
      <c r="AS145" s="33">
        <f t="shared" si="50"/>
        <v>0</v>
      </c>
      <c r="AW145" s="34"/>
      <c r="AX145" s="47" t="str">
        <f t="shared" si="43"/>
        <v>HENDERSON LAKECoho</v>
      </c>
      <c r="AY145" s="49">
        <f t="shared" si="44"/>
        <v>0</v>
      </c>
      <c r="AZ145" s="49">
        <f t="shared" si="45"/>
        <v>0</v>
      </c>
      <c r="BA145" s="31">
        <v>2016</v>
      </c>
      <c r="BB145" s="188">
        <f t="shared" si="46"/>
        <v>0</v>
      </c>
      <c r="BC145" s="188" t="str">
        <f t="shared" si="51"/>
        <v xml:space="preserve"> </v>
      </c>
      <c r="BD145" s="188" t="str">
        <f t="shared" si="52"/>
        <v xml:space="preserve"> </v>
      </c>
      <c r="BE145" s="188" t="str">
        <f t="shared" si="53"/>
        <v xml:space="preserve"> </v>
      </c>
      <c r="BF145" s="50" t="str">
        <f t="shared" si="38"/>
        <v>HENDERSON LAKE_Coho</v>
      </c>
      <c r="BG145" s="50" t="str">
        <f>IFERROR(VLOOKUP(BF145,'[1]WCVI Esc'!$C$5:$W$514,18,FALSE),"-")</f>
        <v>-</v>
      </c>
      <c r="BH145" s="50" t="str">
        <f t="shared" si="47"/>
        <v>-</v>
      </c>
      <c r="BI145" s="50" t="str">
        <f>IFERROR(VLOOKUP(BF145,'[1]WCVI Esc'!$C$5:$W$514,19,FALSE),"-")</f>
        <v>-</v>
      </c>
      <c r="BJ145" s="50" t="str">
        <f t="shared" si="48"/>
        <v>-</v>
      </c>
    </row>
    <row r="146" spans="1:65" hidden="1" x14ac:dyDescent="0.2">
      <c r="A146" s="29">
        <v>3</v>
      </c>
      <c r="B146" s="29">
        <v>3</v>
      </c>
      <c r="C146" s="13">
        <v>23</v>
      </c>
      <c r="D146" s="13" t="s">
        <v>294</v>
      </c>
      <c r="E146" s="10" t="s">
        <v>30</v>
      </c>
      <c r="F146" s="10" t="s">
        <v>208</v>
      </c>
      <c r="G146" s="10"/>
      <c r="H146" s="152"/>
      <c r="I146" s="155"/>
      <c r="J146" s="106"/>
      <c r="K146" s="94"/>
      <c r="L146" s="158"/>
      <c r="M146" s="161"/>
      <c r="N146" s="106"/>
      <c r="O146" s="106"/>
      <c r="P146" s="63"/>
      <c r="Q146" s="162"/>
      <c r="R146" s="164"/>
      <c r="S146" s="62"/>
      <c r="T146" s="63"/>
      <c r="U146" s="62"/>
      <c r="V146" s="64"/>
      <c r="W146" s="164"/>
      <c r="X146" s="62"/>
      <c r="Y146" s="45"/>
      <c r="Z146" s="45"/>
      <c r="AA146" s="100"/>
      <c r="AB146" s="100"/>
      <c r="AC146" s="100"/>
      <c r="AD146" s="100"/>
      <c r="AE146" s="100"/>
      <c r="AF146" s="100"/>
      <c r="AG146" s="69">
        <v>23</v>
      </c>
      <c r="AH146" s="69" t="s">
        <v>294</v>
      </c>
      <c r="AI146" s="243" t="s">
        <v>30</v>
      </c>
      <c r="AJ146" s="243" t="s">
        <v>419</v>
      </c>
      <c r="AK146" s="246"/>
      <c r="AL146" s="43" t="str">
        <f t="shared" si="49"/>
        <v>-</v>
      </c>
      <c r="AM146" s="43">
        <f t="shared" si="40"/>
        <v>0</v>
      </c>
      <c r="AN146" s="193">
        <f t="shared" si="40"/>
        <v>0</v>
      </c>
      <c r="AO146" s="270" t="str">
        <f t="shared" si="41"/>
        <v>-</v>
      </c>
      <c r="AP146" s="266"/>
      <c r="AQ146" s="26" t="str">
        <f t="shared" si="39"/>
        <v>HENDERSON LAKEPink</v>
      </c>
      <c r="AR146" s="26">
        <f t="shared" si="42"/>
        <v>0</v>
      </c>
      <c r="AS146" s="33">
        <f t="shared" si="50"/>
        <v>0</v>
      </c>
      <c r="AW146" s="34"/>
      <c r="AX146" s="47" t="str">
        <f t="shared" si="43"/>
        <v>HENDERSON LAKEPink</v>
      </c>
      <c r="AY146" s="49">
        <f t="shared" si="44"/>
        <v>0</v>
      </c>
      <c r="AZ146" s="49">
        <f t="shared" si="45"/>
        <v>0</v>
      </c>
      <c r="BA146" s="31">
        <v>0</v>
      </c>
      <c r="BB146" s="188">
        <f t="shared" si="46"/>
        <v>0</v>
      </c>
      <c r="BC146" s="188" t="str">
        <f t="shared" si="51"/>
        <v xml:space="preserve"> </v>
      </c>
      <c r="BD146" s="188" t="str">
        <f t="shared" si="52"/>
        <v xml:space="preserve"> </v>
      </c>
      <c r="BE146" s="188" t="str">
        <f t="shared" si="53"/>
        <v xml:space="preserve"> </v>
      </c>
      <c r="BF146" s="50" t="str">
        <f t="shared" si="38"/>
        <v>HENDERSON LAKE_Pink</v>
      </c>
      <c r="BG146" s="50" t="str">
        <f>IFERROR(VLOOKUP(BF146,'[1]WCVI Esc'!$C$5:$W$514,18,FALSE),"-")</f>
        <v>-</v>
      </c>
      <c r="BH146" s="50" t="str">
        <f t="shared" si="47"/>
        <v>-</v>
      </c>
      <c r="BI146" s="50" t="str">
        <f>IFERROR(VLOOKUP(BF146,'[1]WCVI Esc'!$C$5:$W$514,19,FALSE),"-")</f>
        <v>-</v>
      </c>
      <c r="BJ146" s="50" t="str">
        <f t="shared" si="48"/>
        <v>-</v>
      </c>
    </row>
    <row r="147" spans="1:65" hidden="1" x14ac:dyDescent="0.2">
      <c r="A147" s="29">
        <v>3</v>
      </c>
      <c r="B147" s="29">
        <v>4</v>
      </c>
      <c r="C147" s="13">
        <v>23</v>
      </c>
      <c r="D147" s="13" t="s">
        <v>294</v>
      </c>
      <c r="E147" s="10" t="s">
        <v>30</v>
      </c>
      <c r="F147" s="10" t="s">
        <v>209</v>
      </c>
      <c r="G147" s="10"/>
      <c r="H147" s="152"/>
      <c r="I147" s="155"/>
      <c r="J147" s="106"/>
      <c r="K147" s="94"/>
      <c r="L147" s="158"/>
      <c r="M147" s="161"/>
      <c r="N147" s="106"/>
      <c r="O147" s="106"/>
      <c r="P147" s="63"/>
      <c r="Q147" s="162"/>
      <c r="R147" s="164"/>
      <c r="S147" s="62"/>
      <c r="T147" s="63"/>
      <c r="U147" s="62"/>
      <c r="V147" s="64"/>
      <c r="W147" s="164"/>
      <c r="X147" s="62"/>
      <c r="Y147" s="45"/>
      <c r="Z147" s="45"/>
      <c r="AA147" s="100"/>
      <c r="AB147" s="100"/>
      <c r="AC147" s="100"/>
      <c r="AD147" s="100"/>
      <c r="AE147" s="100"/>
      <c r="AF147" s="100"/>
      <c r="AG147" s="69">
        <v>23</v>
      </c>
      <c r="AH147" s="69" t="s">
        <v>294</v>
      </c>
      <c r="AI147" s="243" t="s">
        <v>30</v>
      </c>
      <c r="AJ147" s="243" t="s">
        <v>419</v>
      </c>
      <c r="AK147" s="246"/>
      <c r="AL147" s="43" t="str">
        <f t="shared" si="49"/>
        <v>-</v>
      </c>
      <c r="AM147" s="43">
        <f t="shared" si="40"/>
        <v>0</v>
      </c>
      <c r="AN147" s="193">
        <f t="shared" si="40"/>
        <v>0</v>
      </c>
      <c r="AO147" s="270" t="str">
        <f t="shared" si="41"/>
        <v>-</v>
      </c>
      <c r="AP147" s="266"/>
      <c r="AQ147" s="26" t="str">
        <f t="shared" si="39"/>
        <v>HENDERSON LAKEChum</v>
      </c>
      <c r="AR147" s="26">
        <f t="shared" si="42"/>
        <v>0</v>
      </c>
      <c r="AS147" s="33">
        <f t="shared" si="50"/>
        <v>0</v>
      </c>
      <c r="AW147" s="34"/>
      <c r="AX147" s="47" t="str">
        <f t="shared" si="43"/>
        <v>HENDERSON LAKEChum</v>
      </c>
      <c r="AY147" s="49">
        <f t="shared" si="44"/>
        <v>0</v>
      </c>
      <c r="AZ147" s="49">
        <f t="shared" si="45"/>
        <v>0</v>
      </c>
      <c r="BA147" s="31">
        <v>2016</v>
      </c>
      <c r="BB147" s="188">
        <f t="shared" si="46"/>
        <v>0</v>
      </c>
      <c r="BC147" s="188" t="str">
        <f t="shared" si="51"/>
        <v xml:space="preserve"> </v>
      </c>
      <c r="BD147" s="188" t="str">
        <f t="shared" si="52"/>
        <v xml:space="preserve"> </v>
      </c>
      <c r="BE147" s="188" t="str">
        <f t="shared" si="53"/>
        <v xml:space="preserve"> </v>
      </c>
      <c r="BF147" s="50" t="str">
        <f t="shared" si="38"/>
        <v>HENDERSON LAKE_Chum</v>
      </c>
      <c r="BG147" s="50" t="str">
        <f>IFERROR(VLOOKUP(BF147,'[1]WCVI Esc'!$C$5:$W$514,18,FALSE),"-")</f>
        <v>-</v>
      </c>
      <c r="BH147" s="50" t="str">
        <f t="shared" si="47"/>
        <v>-</v>
      </c>
      <c r="BI147" s="50" t="str">
        <f>IFERROR(VLOOKUP(BF147,'[1]WCVI Esc'!$C$5:$W$514,19,FALSE),"-")</f>
        <v>-</v>
      </c>
      <c r="BJ147" s="50" t="str">
        <f t="shared" si="48"/>
        <v>-</v>
      </c>
    </row>
    <row r="148" spans="1:65" hidden="1" x14ac:dyDescent="0.2">
      <c r="A148" s="29">
        <v>4</v>
      </c>
      <c r="B148" s="29">
        <v>5</v>
      </c>
      <c r="C148" s="13">
        <v>23</v>
      </c>
      <c r="D148" s="13" t="s">
        <v>294</v>
      </c>
      <c r="E148" s="10" t="s">
        <v>30</v>
      </c>
      <c r="F148" s="10" t="s">
        <v>210</v>
      </c>
      <c r="G148" s="10"/>
      <c r="H148" s="152"/>
      <c r="I148" s="155"/>
      <c r="J148" s="106"/>
      <c r="K148" s="94"/>
      <c r="L148" s="158"/>
      <c r="M148" s="161"/>
      <c r="N148" s="106"/>
      <c r="O148" s="106"/>
      <c r="P148" s="63"/>
      <c r="Q148" s="162"/>
      <c r="R148" s="164"/>
      <c r="S148" s="62"/>
      <c r="T148" s="63"/>
      <c r="U148" s="62"/>
      <c r="V148" s="64"/>
      <c r="W148" s="164"/>
      <c r="X148" s="62"/>
      <c r="Y148" s="45"/>
      <c r="Z148" s="45"/>
      <c r="AA148" s="100"/>
      <c r="AB148" s="100"/>
      <c r="AC148" s="100"/>
      <c r="AD148" s="100"/>
      <c r="AE148" s="100"/>
      <c r="AF148" s="100"/>
      <c r="AG148" s="69">
        <v>23</v>
      </c>
      <c r="AH148" s="69" t="s">
        <v>294</v>
      </c>
      <c r="AI148" s="243" t="s">
        <v>30</v>
      </c>
      <c r="AJ148" s="243" t="s">
        <v>419</v>
      </c>
      <c r="AK148" s="246"/>
      <c r="AL148" s="43" t="str">
        <f t="shared" si="49"/>
        <v>-</v>
      </c>
      <c r="AM148" s="43">
        <f t="shared" si="40"/>
        <v>0</v>
      </c>
      <c r="AN148" s="193">
        <f t="shared" si="40"/>
        <v>0</v>
      </c>
      <c r="AO148" s="270" t="str">
        <f t="shared" si="41"/>
        <v>-</v>
      </c>
      <c r="AP148" s="266"/>
      <c r="AQ148" s="26" t="str">
        <f t="shared" si="39"/>
        <v>HENDERSON LAKEChinook</v>
      </c>
      <c r="AR148" s="26">
        <f t="shared" si="42"/>
        <v>0</v>
      </c>
      <c r="AS148" s="33">
        <f t="shared" si="50"/>
        <v>0</v>
      </c>
      <c r="AT148" s="34"/>
      <c r="AU148" s="34"/>
      <c r="AW148" s="34"/>
      <c r="AX148" s="47" t="str">
        <f t="shared" si="43"/>
        <v>HENDERSON LAKEChinook</v>
      </c>
      <c r="AY148" s="49">
        <f t="shared" si="44"/>
        <v>0</v>
      </c>
      <c r="AZ148" s="49">
        <f t="shared" si="45"/>
        <v>0</v>
      </c>
      <c r="BA148" s="31">
        <v>2016</v>
      </c>
      <c r="BB148" s="188">
        <f t="shared" si="46"/>
        <v>0</v>
      </c>
      <c r="BC148" s="188" t="str">
        <f t="shared" si="51"/>
        <v xml:space="preserve"> </v>
      </c>
      <c r="BD148" s="188" t="str">
        <f t="shared" si="52"/>
        <v xml:space="preserve"> </v>
      </c>
      <c r="BE148" s="188" t="str">
        <f t="shared" si="53"/>
        <v xml:space="preserve"> </v>
      </c>
      <c r="BF148" s="50" t="str">
        <f t="shared" si="38"/>
        <v>HENDERSON LAKE_Chinook</v>
      </c>
      <c r="BG148" s="50" t="str">
        <f>IFERROR(VLOOKUP(BF148,'[1]WCVI Esc'!$C$5:$W$514,18,FALSE),"-")</f>
        <v>-</v>
      </c>
      <c r="BH148" s="50" t="str">
        <f t="shared" si="47"/>
        <v>-</v>
      </c>
      <c r="BI148" s="50" t="str">
        <f>IFERROR(VLOOKUP(BF148,'[1]WCVI Esc'!$C$5:$W$514,19,FALSE),"-")</f>
        <v>-</v>
      </c>
      <c r="BJ148" s="50" t="str">
        <f t="shared" si="48"/>
        <v>-</v>
      </c>
    </row>
    <row r="149" spans="1:65" hidden="1" x14ac:dyDescent="0.2">
      <c r="A149" s="29">
        <v>3</v>
      </c>
      <c r="B149" s="29">
        <v>6</v>
      </c>
      <c r="C149" s="13">
        <v>23</v>
      </c>
      <c r="D149" s="13" t="s">
        <v>294</v>
      </c>
      <c r="E149" s="10" t="s">
        <v>30</v>
      </c>
      <c r="F149" s="10" t="s">
        <v>211</v>
      </c>
      <c r="G149" s="10"/>
      <c r="H149" s="152"/>
      <c r="I149" s="155"/>
      <c r="J149" s="106"/>
      <c r="K149" s="94"/>
      <c r="L149" s="158"/>
      <c r="M149" s="161"/>
      <c r="N149" s="106"/>
      <c r="O149" s="106"/>
      <c r="P149" s="63"/>
      <c r="Q149" s="162"/>
      <c r="R149" s="164"/>
      <c r="S149" s="62"/>
      <c r="T149" s="63"/>
      <c r="U149" s="62"/>
      <c r="V149" s="64"/>
      <c r="W149" s="164"/>
      <c r="X149" s="62"/>
      <c r="Y149" s="45"/>
      <c r="Z149" s="45"/>
      <c r="AA149" s="100"/>
      <c r="AB149" s="100"/>
      <c r="AC149" s="100"/>
      <c r="AD149" s="100"/>
      <c r="AE149" s="100"/>
      <c r="AF149" s="100"/>
      <c r="AG149" s="69">
        <v>23</v>
      </c>
      <c r="AH149" s="69" t="s">
        <v>294</v>
      </c>
      <c r="AI149" s="243" t="s">
        <v>30</v>
      </c>
      <c r="AJ149" s="243" t="s">
        <v>419</v>
      </c>
      <c r="AK149" s="246"/>
      <c r="AL149" s="43" t="str">
        <f t="shared" si="49"/>
        <v>-</v>
      </c>
      <c r="AM149" s="43">
        <f t="shared" si="40"/>
        <v>0</v>
      </c>
      <c r="AN149" s="193">
        <f t="shared" si="40"/>
        <v>0</v>
      </c>
      <c r="AO149" s="270" t="str">
        <f t="shared" si="41"/>
        <v>-</v>
      </c>
      <c r="AP149" s="266"/>
      <c r="AQ149" s="26" t="str">
        <f t="shared" si="39"/>
        <v>HENDERSON LAKESteelhead</v>
      </c>
      <c r="AR149" s="26">
        <f t="shared" si="42"/>
        <v>0</v>
      </c>
      <c r="AS149" s="33">
        <f t="shared" si="50"/>
        <v>0</v>
      </c>
      <c r="AW149" s="34"/>
      <c r="AX149" s="47" t="str">
        <f t="shared" si="43"/>
        <v>HENDERSON LAKESteelhead</v>
      </c>
      <c r="AY149" s="49">
        <f t="shared" si="44"/>
        <v>0</v>
      </c>
      <c r="AZ149" s="49">
        <f t="shared" si="45"/>
        <v>0</v>
      </c>
      <c r="BA149" s="31">
        <v>0</v>
      </c>
      <c r="BB149" s="188">
        <f t="shared" si="46"/>
        <v>0</v>
      </c>
      <c r="BC149" s="188" t="str">
        <f t="shared" si="51"/>
        <v xml:space="preserve"> </v>
      </c>
      <c r="BD149" s="188" t="str">
        <f t="shared" si="52"/>
        <v xml:space="preserve"> </v>
      </c>
      <c r="BE149" s="188" t="str">
        <f t="shared" si="53"/>
        <v xml:space="preserve"> </v>
      </c>
      <c r="BF149" s="50" t="str">
        <f t="shared" si="38"/>
        <v>HENDERSON LAKE_Steelhead</v>
      </c>
      <c r="BG149" s="50" t="str">
        <f>IFERROR(VLOOKUP(BF149,'[1]WCVI Esc'!$C$5:$W$514,18,FALSE),"-")</f>
        <v>-</v>
      </c>
      <c r="BH149" s="50" t="str">
        <f t="shared" si="47"/>
        <v>-</v>
      </c>
      <c r="BI149" s="50" t="str">
        <f>IFERROR(VLOOKUP(BF149,'[1]WCVI Esc'!$C$5:$W$514,19,FALSE),"-")</f>
        <v>-</v>
      </c>
      <c r="BJ149" s="50" t="str">
        <f t="shared" si="48"/>
        <v>-</v>
      </c>
    </row>
    <row r="150" spans="1:65" hidden="1" x14ac:dyDescent="0.2">
      <c r="A150" s="29">
        <v>3</v>
      </c>
      <c r="B150" s="29">
        <v>1</v>
      </c>
      <c r="C150" s="13">
        <v>23</v>
      </c>
      <c r="D150" s="13" t="s">
        <v>293</v>
      </c>
      <c r="E150" s="10" t="s">
        <v>101</v>
      </c>
      <c r="F150" s="10" t="s">
        <v>207</v>
      </c>
      <c r="G150" s="10"/>
      <c r="H150" s="152"/>
      <c r="I150" s="155"/>
      <c r="J150" s="106"/>
      <c r="K150" s="94"/>
      <c r="L150" s="158"/>
      <c r="M150" s="161"/>
      <c r="N150" s="106"/>
      <c r="O150" s="106"/>
      <c r="P150" s="63"/>
      <c r="Q150" s="162"/>
      <c r="R150" s="164"/>
      <c r="S150" s="62"/>
      <c r="T150" s="63"/>
      <c r="U150" s="62"/>
      <c r="V150" s="64"/>
      <c r="W150" s="164"/>
      <c r="X150" s="62"/>
      <c r="Y150" s="45"/>
      <c r="Z150" s="45"/>
      <c r="AA150" s="100"/>
      <c r="AB150" s="100"/>
      <c r="AC150" s="100"/>
      <c r="AD150" s="100"/>
      <c r="AE150" s="100"/>
      <c r="AF150" s="100"/>
      <c r="AG150" s="69">
        <v>23</v>
      </c>
      <c r="AH150" s="69" t="s">
        <v>293</v>
      </c>
      <c r="AI150" s="243" t="s">
        <v>101</v>
      </c>
      <c r="AJ150" s="243" t="s">
        <v>419</v>
      </c>
      <c r="AK150" s="246"/>
      <c r="AL150" s="43" t="str">
        <f t="shared" si="49"/>
        <v>-</v>
      </c>
      <c r="AM150" s="43">
        <f t="shared" si="40"/>
        <v>0</v>
      </c>
      <c r="AN150" s="193">
        <f t="shared" si="40"/>
        <v>0</v>
      </c>
      <c r="AO150" s="270" t="str">
        <f t="shared" si="41"/>
        <v>-</v>
      </c>
      <c r="AP150" s="266"/>
      <c r="AQ150" s="26" t="str">
        <f t="shared" si="39"/>
        <v>PACHENA RIVERSockeye</v>
      </c>
      <c r="AR150" s="26">
        <f t="shared" si="42"/>
        <v>0</v>
      </c>
      <c r="AS150" s="33">
        <f t="shared" si="50"/>
        <v>0</v>
      </c>
      <c r="AW150" s="34"/>
      <c r="AX150" s="47" t="str">
        <f t="shared" si="43"/>
        <v>PACHENA RIVERSockeye</v>
      </c>
      <c r="AY150" s="49">
        <f t="shared" si="44"/>
        <v>0</v>
      </c>
      <c r="AZ150" s="49">
        <f t="shared" si="45"/>
        <v>0</v>
      </c>
      <c r="BA150" s="31">
        <v>2010</v>
      </c>
      <c r="BB150" s="188">
        <f t="shared" si="46"/>
        <v>0</v>
      </c>
      <c r="BC150" s="188" t="str">
        <f t="shared" si="51"/>
        <v xml:space="preserve"> </v>
      </c>
      <c r="BD150" s="188" t="str">
        <f t="shared" si="52"/>
        <v xml:space="preserve"> </v>
      </c>
      <c r="BE150" s="188" t="str">
        <f t="shared" si="53"/>
        <v xml:space="preserve"> </v>
      </c>
      <c r="BF150" s="50" t="str">
        <f t="shared" si="38"/>
        <v>PACHENA RIVER_Sockeye</v>
      </c>
      <c r="BG150" s="50" t="str">
        <f>IFERROR(VLOOKUP(BF150,'[1]WCVI Esc'!$C$5:$W$514,18,FALSE),"-")</f>
        <v>-</v>
      </c>
      <c r="BH150" s="50" t="str">
        <f t="shared" si="47"/>
        <v>-</v>
      </c>
      <c r="BI150" s="50" t="str">
        <f>IFERROR(VLOOKUP(BF150,'[1]WCVI Esc'!$C$5:$W$514,19,FALSE),"-")</f>
        <v>-</v>
      </c>
      <c r="BJ150" s="50" t="str">
        <f t="shared" si="48"/>
        <v>-</v>
      </c>
    </row>
    <row r="151" spans="1:65" hidden="1" x14ac:dyDescent="0.2">
      <c r="A151" s="29">
        <v>3</v>
      </c>
      <c r="B151" s="29">
        <v>2</v>
      </c>
      <c r="C151" s="13">
        <v>23</v>
      </c>
      <c r="D151" s="13" t="s">
        <v>293</v>
      </c>
      <c r="E151" s="10" t="s">
        <v>101</v>
      </c>
      <c r="F151" s="10" t="s">
        <v>219</v>
      </c>
      <c r="G151" s="10"/>
      <c r="H151" s="152"/>
      <c r="I151" s="155"/>
      <c r="J151" s="106"/>
      <c r="K151" s="94"/>
      <c r="L151" s="158"/>
      <c r="M151" s="161"/>
      <c r="N151" s="106"/>
      <c r="O151" s="106"/>
      <c r="P151" s="63"/>
      <c r="Q151" s="162"/>
      <c r="R151" s="164"/>
      <c r="S151" s="62"/>
      <c r="T151" s="63"/>
      <c r="U151" s="62"/>
      <c r="V151" s="64"/>
      <c r="W151" s="164"/>
      <c r="X151" s="62"/>
      <c r="Y151" s="45"/>
      <c r="Z151" s="45"/>
      <c r="AA151" s="100">
        <f>Y151/AP151</f>
        <v>0</v>
      </c>
      <c r="AB151" s="100">
        <f>AS151/AP151</f>
        <v>0</v>
      </c>
      <c r="AC151" s="100"/>
      <c r="AD151" s="100"/>
      <c r="AE151" s="100"/>
      <c r="AF151" s="100"/>
      <c r="AG151" s="69">
        <v>23</v>
      </c>
      <c r="AH151" s="69" t="s">
        <v>293</v>
      </c>
      <c r="AI151" s="243" t="s">
        <v>101</v>
      </c>
      <c r="AJ151" s="243" t="s">
        <v>419</v>
      </c>
      <c r="AK151" s="246"/>
      <c r="AL151" s="43" t="str">
        <f t="shared" si="49"/>
        <v>-</v>
      </c>
      <c r="AM151" s="43">
        <f t="shared" si="40"/>
        <v>0</v>
      </c>
      <c r="AN151" s="193">
        <f t="shared" si="40"/>
        <v>0</v>
      </c>
      <c r="AO151" s="270">
        <f t="shared" si="41"/>
        <v>160</v>
      </c>
      <c r="AP151" s="265">
        <f>BJ151</f>
        <v>160</v>
      </c>
      <c r="AQ151" s="26" t="str">
        <f t="shared" si="39"/>
        <v>PACHENA RIVERCoho</v>
      </c>
      <c r="AR151" s="26">
        <f t="shared" si="42"/>
        <v>0</v>
      </c>
      <c r="AS151" s="33">
        <f t="shared" si="50"/>
        <v>0</v>
      </c>
      <c r="AW151" s="34"/>
      <c r="AX151" s="47" t="str">
        <f t="shared" si="43"/>
        <v>PACHENA RIVERCoho</v>
      </c>
      <c r="AY151" s="49">
        <f t="shared" si="44"/>
        <v>0</v>
      </c>
      <c r="AZ151" s="49">
        <f t="shared" si="45"/>
        <v>0</v>
      </c>
      <c r="BA151" s="31">
        <v>2010</v>
      </c>
      <c r="BB151" s="188">
        <f t="shared" si="46"/>
        <v>0</v>
      </c>
      <c r="BC151" s="188" t="str">
        <f t="shared" si="51"/>
        <v xml:space="preserve"> </v>
      </c>
      <c r="BD151" s="188" t="str">
        <f t="shared" si="52"/>
        <v xml:space="preserve"> </v>
      </c>
      <c r="BE151" s="188" t="str">
        <f t="shared" si="53"/>
        <v xml:space="preserve"> </v>
      </c>
      <c r="BF151" s="50" t="str">
        <f t="shared" si="38"/>
        <v>PACHENA RIVER_Coho</v>
      </c>
      <c r="BG151" s="50">
        <f>IFERROR(VLOOKUP(BF151,'[1]WCVI Esc'!$C$5:$W$514,18,FALSE),"-")</f>
        <v>157.66666666666666</v>
      </c>
      <c r="BH151" s="50">
        <f t="shared" si="47"/>
        <v>160</v>
      </c>
      <c r="BI151" s="50">
        <f>IFERROR(VLOOKUP(BF151,'[1]WCVI Esc'!$C$5:$W$514,19,FALSE),"-")</f>
        <v>157.66666666666666</v>
      </c>
      <c r="BJ151" s="50">
        <f t="shared" si="48"/>
        <v>160</v>
      </c>
    </row>
    <row r="152" spans="1:65" hidden="1" x14ac:dyDescent="0.2">
      <c r="A152" s="29">
        <v>3</v>
      </c>
      <c r="B152" s="29">
        <v>3</v>
      </c>
      <c r="C152" s="13">
        <v>23</v>
      </c>
      <c r="D152" s="13" t="s">
        <v>293</v>
      </c>
      <c r="E152" s="10" t="s">
        <v>101</v>
      </c>
      <c r="F152" s="10" t="s">
        <v>208</v>
      </c>
      <c r="G152" s="10"/>
      <c r="H152" s="152"/>
      <c r="I152" s="155"/>
      <c r="J152" s="106"/>
      <c r="K152" s="94"/>
      <c r="L152" s="158"/>
      <c r="M152" s="161"/>
      <c r="N152" s="106"/>
      <c r="O152" s="106"/>
      <c r="P152" s="63"/>
      <c r="Q152" s="162"/>
      <c r="R152" s="164"/>
      <c r="S152" s="62"/>
      <c r="T152" s="63"/>
      <c r="U152" s="62"/>
      <c r="V152" s="64"/>
      <c r="W152" s="164"/>
      <c r="X152" s="62"/>
      <c r="Y152" s="45"/>
      <c r="Z152" s="45"/>
      <c r="AA152" s="100"/>
      <c r="AB152" s="100"/>
      <c r="AC152" s="100"/>
      <c r="AD152" s="100"/>
      <c r="AE152" s="100"/>
      <c r="AF152" s="100"/>
      <c r="AG152" s="69">
        <v>23</v>
      </c>
      <c r="AH152" s="69" t="s">
        <v>293</v>
      </c>
      <c r="AI152" s="243" t="s">
        <v>101</v>
      </c>
      <c r="AJ152" s="243" t="s">
        <v>419</v>
      </c>
      <c r="AK152" s="246"/>
      <c r="AL152" s="43" t="str">
        <f t="shared" si="49"/>
        <v>-</v>
      </c>
      <c r="AM152" s="43">
        <f t="shared" si="40"/>
        <v>0</v>
      </c>
      <c r="AN152" s="193">
        <f t="shared" si="40"/>
        <v>0</v>
      </c>
      <c r="AO152" s="270" t="str">
        <f t="shared" si="41"/>
        <v>-</v>
      </c>
      <c r="AP152" s="266"/>
      <c r="AQ152" s="26" t="str">
        <f t="shared" si="39"/>
        <v>PACHENA RIVERPink</v>
      </c>
      <c r="AR152" s="26">
        <f t="shared" si="42"/>
        <v>0</v>
      </c>
      <c r="AS152" s="33">
        <f t="shared" si="50"/>
        <v>0</v>
      </c>
      <c r="AW152" s="34"/>
      <c r="AX152" s="47" t="str">
        <f t="shared" si="43"/>
        <v>PACHENA RIVERPink</v>
      </c>
      <c r="AY152" s="49">
        <f t="shared" si="44"/>
        <v>0</v>
      </c>
      <c r="AZ152" s="49">
        <f t="shared" si="45"/>
        <v>0</v>
      </c>
      <c r="BA152" s="31">
        <v>0</v>
      </c>
      <c r="BB152" s="188">
        <f t="shared" si="46"/>
        <v>0</v>
      </c>
      <c r="BC152" s="188" t="str">
        <f t="shared" si="51"/>
        <v xml:space="preserve"> </v>
      </c>
      <c r="BD152" s="188" t="str">
        <f t="shared" si="52"/>
        <v xml:space="preserve"> </v>
      </c>
      <c r="BE152" s="188" t="str">
        <f t="shared" si="53"/>
        <v xml:space="preserve"> </v>
      </c>
      <c r="BF152" s="50" t="str">
        <f t="shared" si="38"/>
        <v>PACHENA RIVER_Pink</v>
      </c>
      <c r="BG152" s="50" t="str">
        <f>IFERROR(VLOOKUP(BF152,'[1]WCVI Esc'!$C$5:$W$514,18,FALSE),"-")</f>
        <v>-</v>
      </c>
      <c r="BH152" s="50" t="str">
        <f t="shared" si="47"/>
        <v>-</v>
      </c>
      <c r="BI152" s="50" t="str">
        <f>IFERROR(VLOOKUP(BF152,'[1]WCVI Esc'!$C$5:$W$514,19,FALSE),"-")</f>
        <v>-</v>
      </c>
      <c r="BJ152" s="50" t="str">
        <f t="shared" si="48"/>
        <v>-</v>
      </c>
    </row>
    <row r="153" spans="1:65" hidden="1" x14ac:dyDescent="0.2">
      <c r="A153" s="29">
        <v>3</v>
      </c>
      <c r="B153" s="29">
        <v>4</v>
      </c>
      <c r="C153" s="13">
        <v>23</v>
      </c>
      <c r="D153" s="13" t="s">
        <v>293</v>
      </c>
      <c r="E153" s="10" t="s">
        <v>101</v>
      </c>
      <c r="F153" s="10" t="s">
        <v>209</v>
      </c>
      <c r="G153" s="10"/>
      <c r="H153" s="152"/>
      <c r="I153" s="155"/>
      <c r="J153" s="106"/>
      <c r="K153" s="94"/>
      <c r="L153" s="158"/>
      <c r="M153" s="161"/>
      <c r="N153" s="106"/>
      <c r="O153" s="106"/>
      <c r="P153" s="63"/>
      <c r="Q153" s="162"/>
      <c r="R153" s="164"/>
      <c r="S153" s="62"/>
      <c r="T153" s="63"/>
      <c r="U153" s="62"/>
      <c r="V153" s="64"/>
      <c r="W153" s="164"/>
      <c r="X153" s="62"/>
      <c r="Y153" s="45"/>
      <c r="Z153" s="45"/>
      <c r="AA153" s="100">
        <f>Y153/AP153</f>
        <v>0</v>
      </c>
      <c r="AB153" s="100">
        <f>AS153/AP153</f>
        <v>0</v>
      </c>
      <c r="AC153" s="100"/>
      <c r="AD153" s="100"/>
      <c r="AE153" s="100"/>
      <c r="AF153" s="100"/>
      <c r="AG153" s="69">
        <v>23</v>
      </c>
      <c r="AH153" s="69" t="s">
        <v>293</v>
      </c>
      <c r="AI153" s="243" t="s">
        <v>101</v>
      </c>
      <c r="AJ153" s="243" t="s">
        <v>419</v>
      </c>
      <c r="AK153" s="246"/>
      <c r="AL153" s="43" t="str">
        <f t="shared" si="49"/>
        <v>-</v>
      </c>
      <c r="AM153" s="43">
        <f t="shared" si="40"/>
        <v>0</v>
      </c>
      <c r="AN153" s="193">
        <f t="shared" si="40"/>
        <v>0</v>
      </c>
      <c r="AO153" s="270">
        <f t="shared" si="41"/>
        <v>40</v>
      </c>
      <c r="AP153" s="265">
        <f>BJ153</f>
        <v>40</v>
      </c>
      <c r="AQ153" s="26" t="str">
        <f t="shared" si="39"/>
        <v>PACHENA RIVERChum</v>
      </c>
      <c r="AR153" s="26">
        <f t="shared" si="42"/>
        <v>0</v>
      </c>
      <c r="AS153" s="33">
        <f t="shared" si="50"/>
        <v>0</v>
      </c>
      <c r="AW153" s="34"/>
      <c r="AX153" s="47" t="str">
        <f t="shared" si="43"/>
        <v>PACHENA RIVERChum</v>
      </c>
      <c r="AY153" s="49">
        <f t="shared" si="44"/>
        <v>0</v>
      </c>
      <c r="AZ153" s="49">
        <f t="shared" si="45"/>
        <v>0</v>
      </c>
      <c r="BA153" s="31">
        <v>2010</v>
      </c>
      <c r="BB153" s="188">
        <f t="shared" si="46"/>
        <v>0</v>
      </c>
      <c r="BC153" s="188" t="str">
        <f t="shared" si="51"/>
        <v xml:space="preserve"> </v>
      </c>
      <c r="BD153" s="188" t="str">
        <f t="shared" si="52"/>
        <v xml:space="preserve"> </v>
      </c>
      <c r="BE153" s="188" t="str">
        <f t="shared" si="53"/>
        <v xml:space="preserve"> </v>
      </c>
      <c r="BF153" s="50" t="str">
        <f t="shared" si="38"/>
        <v>PACHENA RIVER_Chum</v>
      </c>
      <c r="BG153" s="50">
        <f>IFERROR(VLOOKUP(BF153,'[1]WCVI Esc'!$C$5:$W$514,18,FALSE),"-")</f>
        <v>37.5</v>
      </c>
      <c r="BH153" s="50">
        <f t="shared" si="47"/>
        <v>40</v>
      </c>
      <c r="BI153" s="50">
        <f>IFERROR(VLOOKUP(BF153,'[1]WCVI Esc'!$C$5:$W$514,19,FALSE),"-")</f>
        <v>37.5</v>
      </c>
      <c r="BJ153" s="50">
        <f t="shared" si="48"/>
        <v>40</v>
      </c>
    </row>
    <row r="154" spans="1:65" hidden="1" x14ac:dyDescent="0.2">
      <c r="A154" s="29">
        <v>4</v>
      </c>
      <c r="B154" s="29">
        <v>5</v>
      </c>
      <c r="C154" s="13">
        <v>23</v>
      </c>
      <c r="D154" s="13" t="s">
        <v>293</v>
      </c>
      <c r="E154" s="10" t="s">
        <v>101</v>
      </c>
      <c r="F154" s="10" t="s">
        <v>210</v>
      </c>
      <c r="G154" s="10"/>
      <c r="H154" s="152"/>
      <c r="I154" s="155"/>
      <c r="J154" s="106"/>
      <c r="K154" s="94"/>
      <c r="L154" s="158"/>
      <c r="M154" s="161"/>
      <c r="N154" s="106"/>
      <c r="O154" s="106"/>
      <c r="P154" s="63"/>
      <c r="Q154" s="162"/>
      <c r="R154" s="164"/>
      <c r="S154" s="62"/>
      <c r="T154" s="63"/>
      <c r="U154" s="62"/>
      <c r="V154" s="64"/>
      <c r="W154" s="164"/>
      <c r="X154" s="62"/>
      <c r="Y154" s="45"/>
      <c r="Z154" s="45"/>
      <c r="AA154" s="100"/>
      <c r="AB154" s="100"/>
      <c r="AC154" s="100"/>
      <c r="AD154" s="100"/>
      <c r="AE154" s="100"/>
      <c r="AF154" s="100"/>
      <c r="AG154" s="69">
        <v>23</v>
      </c>
      <c r="AH154" s="69" t="s">
        <v>293</v>
      </c>
      <c r="AI154" s="243" t="s">
        <v>101</v>
      </c>
      <c r="AJ154" s="243" t="s">
        <v>419</v>
      </c>
      <c r="AK154" s="246"/>
      <c r="AL154" s="43" t="str">
        <f t="shared" si="49"/>
        <v>-</v>
      </c>
      <c r="AM154" s="43">
        <f t="shared" si="40"/>
        <v>0</v>
      </c>
      <c r="AN154" s="193">
        <f t="shared" si="40"/>
        <v>0</v>
      </c>
      <c r="AO154" s="270" t="str">
        <f t="shared" si="41"/>
        <v>-</v>
      </c>
      <c r="AP154" s="266"/>
      <c r="AQ154" s="26" t="str">
        <f t="shared" si="39"/>
        <v>PACHENA RIVERChinook</v>
      </c>
      <c r="AR154" s="26">
        <f t="shared" si="42"/>
        <v>0</v>
      </c>
      <c r="AS154" s="33">
        <f t="shared" si="50"/>
        <v>0</v>
      </c>
      <c r="AT154" s="34">
        <f>AS154*1.14</f>
        <v>0</v>
      </c>
      <c r="AU154" s="34">
        <f>AS154*2.88</f>
        <v>0</v>
      </c>
      <c r="AW154" s="34">
        <f>SUM(AT154:AU154)/2</f>
        <v>0</v>
      </c>
      <c r="AX154" s="47" t="str">
        <f t="shared" si="43"/>
        <v>PACHENA RIVERChinook</v>
      </c>
      <c r="AY154" s="49">
        <f t="shared" si="44"/>
        <v>0</v>
      </c>
      <c r="AZ154" s="49">
        <f t="shared" si="45"/>
        <v>0</v>
      </c>
      <c r="BA154" s="31">
        <v>2010</v>
      </c>
      <c r="BB154" s="188">
        <f t="shared" si="46"/>
        <v>0</v>
      </c>
      <c r="BC154" s="188" t="str">
        <f t="shared" si="51"/>
        <v xml:space="preserve"> </v>
      </c>
      <c r="BD154" s="188" t="str">
        <f t="shared" si="52"/>
        <v xml:space="preserve"> </v>
      </c>
      <c r="BE154" s="188" t="str">
        <f t="shared" si="53"/>
        <v xml:space="preserve"> </v>
      </c>
      <c r="BF154" s="50" t="str">
        <f t="shared" si="38"/>
        <v>PACHENA RIVER_Chinook</v>
      </c>
      <c r="BG154" s="50" t="str">
        <f>IFERROR(VLOOKUP(BF154,'[1]WCVI Esc'!$C$5:$W$514,18,FALSE),"-")</f>
        <v>-</v>
      </c>
      <c r="BH154" s="50" t="str">
        <f t="shared" si="47"/>
        <v>-</v>
      </c>
      <c r="BI154" s="50" t="str">
        <f>IFERROR(VLOOKUP(BF154,'[1]WCVI Esc'!$C$5:$W$514,19,FALSE),"-")</f>
        <v>-</v>
      </c>
      <c r="BJ154" s="50" t="str">
        <f t="shared" si="48"/>
        <v>-</v>
      </c>
    </row>
    <row r="155" spans="1:65" hidden="1" x14ac:dyDescent="0.2">
      <c r="A155" s="29">
        <v>3</v>
      </c>
      <c r="B155" s="29">
        <v>6</v>
      </c>
      <c r="C155" s="13">
        <v>23</v>
      </c>
      <c r="D155" s="13" t="s">
        <v>293</v>
      </c>
      <c r="E155" s="10" t="s">
        <v>101</v>
      </c>
      <c r="F155" s="10" t="s">
        <v>211</v>
      </c>
      <c r="G155" s="10"/>
      <c r="H155" s="152"/>
      <c r="I155" s="155"/>
      <c r="J155" s="106"/>
      <c r="K155" s="94"/>
      <c r="L155" s="158"/>
      <c r="M155" s="161"/>
      <c r="N155" s="106"/>
      <c r="O155" s="106"/>
      <c r="P155" s="63"/>
      <c r="Q155" s="162"/>
      <c r="R155" s="164"/>
      <c r="S155" s="62"/>
      <c r="T155" s="63"/>
      <c r="U155" s="62"/>
      <c r="V155" s="64"/>
      <c r="W155" s="164"/>
      <c r="X155" s="62"/>
      <c r="Y155" s="45"/>
      <c r="Z155" s="45"/>
      <c r="AA155" s="100"/>
      <c r="AB155" s="100"/>
      <c r="AC155" s="100"/>
      <c r="AD155" s="100"/>
      <c r="AE155" s="100"/>
      <c r="AF155" s="100"/>
      <c r="AG155" s="69">
        <v>23</v>
      </c>
      <c r="AH155" s="69" t="s">
        <v>293</v>
      </c>
      <c r="AI155" s="243" t="s">
        <v>101</v>
      </c>
      <c r="AJ155" s="243" t="s">
        <v>419</v>
      </c>
      <c r="AK155" s="246"/>
      <c r="AL155" s="43" t="str">
        <f t="shared" si="49"/>
        <v>-</v>
      </c>
      <c r="AM155" s="43">
        <f t="shared" si="40"/>
        <v>0</v>
      </c>
      <c r="AN155" s="193">
        <f t="shared" si="40"/>
        <v>0</v>
      </c>
      <c r="AO155" s="270" t="str">
        <f t="shared" si="41"/>
        <v>-</v>
      </c>
      <c r="AP155" s="266"/>
      <c r="AQ155" s="26" t="str">
        <f t="shared" si="39"/>
        <v>PACHENA RIVERSteelhead</v>
      </c>
      <c r="AR155" s="26">
        <f t="shared" si="42"/>
        <v>0</v>
      </c>
      <c r="AS155" s="33">
        <f t="shared" si="50"/>
        <v>0</v>
      </c>
      <c r="AW155" s="34"/>
      <c r="AX155" s="47" t="str">
        <f t="shared" si="43"/>
        <v>PACHENA RIVERSteelhead</v>
      </c>
      <c r="AY155" s="49">
        <f t="shared" si="44"/>
        <v>0</v>
      </c>
      <c r="AZ155" s="49">
        <f t="shared" si="45"/>
        <v>0</v>
      </c>
      <c r="BA155" s="31">
        <v>0</v>
      </c>
      <c r="BB155" s="188">
        <f t="shared" si="46"/>
        <v>0</v>
      </c>
      <c r="BC155" s="188" t="str">
        <f t="shared" si="51"/>
        <v xml:space="preserve"> </v>
      </c>
      <c r="BD155" s="188" t="str">
        <f t="shared" si="52"/>
        <v xml:space="preserve"> </v>
      </c>
      <c r="BE155" s="188" t="str">
        <f t="shared" si="53"/>
        <v xml:space="preserve"> </v>
      </c>
      <c r="BF155" s="50" t="str">
        <f t="shared" si="38"/>
        <v>PACHENA RIVER_Steelhead</v>
      </c>
      <c r="BG155" s="50" t="str">
        <f>IFERROR(VLOOKUP(BF155,'[1]WCVI Esc'!$C$5:$W$514,18,FALSE),"-")</f>
        <v>-</v>
      </c>
      <c r="BH155" s="50" t="str">
        <f t="shared" si="47"/>
        <v>-</v>
      </c>
      <c r="BI155" s="50" t="str">
        <f>IFERROR(VLOOKUP(BF155,'[1]WCVI Esc'!$C$5:$W$514,19,FALSE),"-")</f>
        <v>-</v>
      </c>
      <c r="BJ155" s="50" t="str">
        <f t="shared" si="48"/>
        <v>-</v>
      </c>
    </row>
    <row r="156" spans="1:65" hidden="1" x14ac:dyDescent="0.2">
      <c r="A156" s="29">
        <v>3</v>
      </c>
      <c r="B156" s="29">
        <v>1</v>
      </c>
      <c r="C156" s="13">
        <v>23</v>
      </c>
      <c r="D156" s="13" t="s">
        <v>295</v>
      </c>
      <c r="E156" s="10" t="s">
        <v>288</v>
      </c>
      <c r="F156" s="10" t="s">
        <v>207</v>
      </c>
      <c r="G156" s="10"/>
      <c r="H156" s="152"/>
      <c r="I156" s="155"/>
      <c r="J156" s="106"/>
      <c r="K156" s="94"/>
      <c r="L156" s="158"/>
      <c r="M156" s="161"/>
      <c r="N156" s="106"/>
      <c r="O156" s="106"/>
      <c r="P156" s="63"/>
      <c r="Q156" s="162"/>
      <c r="R156" s="164"/>
      <c r="S156" s="62"/>
      <c r="T156" s="62"/>
      <c r="U156" s="62"/>
      <c r="V156" s="64"/>
      <c r="W156" s="164"/>
      <c r="X156" s="62"/>
      <c r="Y156" s="45"/>
      <c r="Z156" s="44"/>
      <c r="AA156" s="100"/>
      <c r="AB156" s="100"/>
      <c r="AC156" s="123">
        <v>3</v>
      </c>
      <c r="AD156" s="123"/>
      <c r="AE156" s="123"/>
      <c r="AF156" s="123"/>
      <c r="AG156" s="69">
        <v>23</v>
      </c>
      <c r="AH156" s="69" t="s">
        <v>295</v>
      </c>
      <c r="AI156" s="243" t="s">
        <v>288</v>
      </c>
      <c r="AJ156" s="243" t="s">
        <v>419</v>
      </c>
      <c r="AK156" s="244" t="s">
        <v>289</v>
      </c>
      <c r="AL156" s="43" t="str">
        <f t="shared" si="49"/>
        <v>-</v>
      </c>
      <c r="AM156" s="43">
        <f t="shared" si="40"/>
        <v>0</v>
      </c>
      <c r="AN156" s="193">
        <f t="shared" si="40"/>
        <v>0</v>
      </c>
      <c r="AO156" s="264" t="str">
        <f t="shared" si="41"/>
        <v>-</v>
      </c>
      <c r="AP156" s="268"/>
      <c r="AQ156" s="26" t="str">
        <f t="shared" si="39"/>
        <v>TOQUAHT RIVERSockeye</v>
      </c>
      <c r="AR156" s="26">
        <f t="shared" si="42"/>
        <v>0</v>
      </c>
      <c r="AS156" s="33">
        <f t="shared" si="50"/>
        <v>0</v>
      </c>
      <c r="AW156" s="34"/>
      <c r="AX156" s="47" t="str">
        <f t="shared" si="43"/>
        <v>TOQUAHT RIVERSockeye</v>
      </c>
      <c r="AY156" s="49">
        <f t="shared" si="44"/>
        <v>0</v>
      </c>
      <c r="AZ156" s="49">
        <f t="shared" si="45"/>
        <v>0</v>
      </c>
      <c r="BA156" s="31">
        <v>2016</v>
      </c>
      <c r="BB156" s="188" t="str">
        <f t="shared" si="46"/>
        <v>TCES</v>
      </c>
      <c r="BC156" s="188" t="str">
        <f t="shared" si="51"/>
        <v xml:space="preserve"> </v>
      </c>
      <c r="BD156" s="188" t="str">
        <f t="shared" si="52"/>
        <v xml:space="preserve"> </v>
      </c>
      <c r="BE156" s="188" t="str">
        <f t="shared" si="53"/>
        <v xml:space="preserve"> </v>
      </c>
      <c r="BF156" s="50" t="str">
        <f t="shared" si="38"/>
        <v>TOQUAHT RIVER_Sockeye</v>
      </c>
      <c r="BG156" s="50" t="str">
        <f>IFERROR(VLOOKUP(BF156,'[1]WCVI Esc'!$C$5:$W$534,18,FALSE),"-")</f>
        <v>-</v>
      </c>
      <c r="BH156" s="50" t="str">
        <f t="shared" si="47"/>
        <v>-</v>
      </c>
      <c r="BI156" s="50" t="str">
        <f>IFERROR(VLOOKUP(BF156,'[1]WCVI Esc'!$C$5:$W$534,19,FALSE),"-")</f>
        <v>-</v>
      </c>
      <c r="BJ156" s="50" t="str">
        <f t="shared" si="48"/>
        <v>-</v>
      </c>
    </row>
    <row r="157" spans="1:65" hidden="1" x14ac:dyDescent="0.2">
      <c r="A157" s="29">
        <v>3</v>
      </c>
      <c r="B157" s="29">
        <v>2</v>
      </c>
      <c r="C157" s="13">
        <v>23</v>
      </c>
      <c r="D157" s="13" t="s">
        <v>295</v>
      </c>
      <c r="E157" s="10" t="s">
        <v>288</v>
      </c>
      <c r="F157" s="10" t="s">
        <v>219</v>
      </c>
      <c r="G157" s="10"/>
      <c r="H157" s="152"/>
      <c r="I157" s="155"/>
      <c r="J157" s="106"/>
      <c r="K157" s="94"/>
      <c r="L157" s="158"/>
      <c r="M157" s="161"/>
      <c r="N157" s="106"/>
      <c r="O157" s="106"/>
      <c r="P157" s="63"/>
      <c r="Q157" s="162"/>
      <c r="R157" s="164"/>
      <c r="S157" s="62"/>
      <c r="T157" s="63"/>
      <c r="U157" s="62"/>
      <c r="V157" s="64"/>
      <c r="W157" s="164"/>
      <c r="X157" s="62"/>
      <c r="Y157" s="45"/>
      <c r="Z157" s="44"/>
      <c r="AA157" s="100"/>
      <c r="AB157" s="100"/>
      <c r="AC157" s="123">
        <v>3</v>
      </c>
      <c r="AD157" s="123"/>
      <c r="AE157" s="123"/>
      <c r="AF157" s="123"/>
      <c r="AG157" s="69">
        <v>23</v>
      </c>
      <c r="AH157" s="69" t="s">
        <v>295</v>
      </c>
      <c r="AI157" s="243" t="s">
        <v>288</v>
      </c>
      <c r="AJ157" s="243" t="s">
        <v>419</v>
      </c>
      <c r="AK157" s="244" t="s">
        <v>289</v>
      </c>
      <c r="AL157" s="43" t="str">
        <f t="shared" si="49"/>
        <v>-</v>
      </c>
      <c r="AM157" s="43">
        <f t="shared" si="40"/>
        <v>0</v>
      </c>
      <c r="AN157" s="193">
        <f t="shared" si="40"/>
        <v>0</v>
      </c>
      <c r="AO157" s="264" t="str">
        <f t="shared" si="41"/>
        <v>-</v>
      </c>
      <c r="AP157" s="268"/>
      <c r="AQ157" s="26" t="str">
        <f t="shared" si="39"/>
        <v>TOQUAHT RIVERCoho</v>
      </c>
      <c r="AR157" s="26">
        <f t="shared" si="42"/>
        <v>0</v>
      </c>
      <c r="AS157" s="33">
        <f t="shared" si="50"/>
        <v>0</v>
      </c>
      <c r="AW157" s="34"/>
      <c r="AX157" s="47" t="str">
        <f t="shared" si="43"/>
        <v>TOQUAHT RIVERCoho</v>
      </c>
      <c r="AY157" s="49">
        <f t="shared" si="44"/>
        <v>0</v>
      </c>
      <c r="AZ157" s="49">
        <f t="shared" si="45"/>
        <v>0</v>
      </c>
      <c r="BA157" s="31">
        <v>2016</v>
      </c>
      <c r="BB157" s="188" t="str">
        <f t="shared" si="46"/>
        <v>TCES</v>
      </c>
      <c r="BC157" s="188" t="str">
        <f t="shared" si="51"/>
        <v xml:space="preserve"> </v>
      </c>
      <c r="BD157" s="188" t="str">
        <f t="shared" si="52"/>
        <v xml:space="preserve"> </v>
      </c>
      <c r="BE157" s="188" t="str">
        <f t="shared" si="53"/>
        <v xml:space="preserve"> </v>
      </c>
      <c r="BF157" s="50" t="str">
        <f t="shared" si="38"/>
        <v>TOQUAHT RIVER_Coho</v>
      </c>
      <c r="BG157" s="50" t="str">
        <f>IFERROR(VLOOKUP(BF157,'[1]WCVI Esc'!$C$5:$W$534,18,FALSE),"-")</f>
        <v>-</v>
      </c>
      <c r="BH157" s="50" t="str">
        <f t="shared" si="47"/>
        <v>-</v>
      </c>
      <c r="BI157" s="50" t="str">
        <f>IFERROR(VLOOKUP(BF157,'[1]WCVI Esc'!$C$5:$W$534,19,FALSE),"-")</f>
        <v>-</v>
      </c>
      <c r="BJ157" s="50" t="str">
        <f t="shared" si="48"/>
        <v>-</v>
      </c>
    </row>
    <row r="158" spans="1:65" hidden="1" x14ac:dyDescent="0.2">
      <c r="A158" s="29">
        <v>3</v>
      </c>
      <c r="B158" s="29">
        <v>3</v>
      </c>
      <c r="C158" s="13">
        <v>23</v>
      </c>
      <c r="D158" s="13" t="s">
        <v>295</v>
      </c>
      <c r="E158" s="10" t="s">
        <v>288</v>
      </c>
      <c r="F158" s="10" t="s">
        <v>208</v>
      </c>
      <c r="G158" s="10"/>
      <c r="H158" s="152"/>
      <c r="I158" s="155"/>
      <c r="J158" s="106"/>
      <c r="K158" s="94"/>
      <c r="L158" s="158"/>
      <c r="M158" s="161"/>
      <c r="N158" s="106"/>
      <c r="O158" s="106"/>
      <c r="P158" s="63"/>
      <c r="Q158" s="162"/>
      <c r="R158" s="164"/>
      <c r="S158" s="62"/>
      <c r="T158" s="62"/>
      <c r="U158" s="62"/>
      <c r="V158" s="64"/>
      <c r="W158" s="164"/>
      <c r="X158" s="62"/>
      <c r="Y158" s="45"/>
      <c r="Z158" s="44"/>
      <c r="AA158" s="100"/>
      <c r="AB158" s="100"/>
      <c r="AC158" s="123"/>
      <c r="AD158" s="123"/>
      <c r="AE158" s="123"/>
      <c r="AF158" s="123"/>
      <c r="AG158" s="69">
        <v>23</v>
      </c>
      <c r="AH158" s="69" t="s">
        <v>295</v>
      </c>
      <c r="AI158" s="243" t="s">
        <v>288</v>
      </c>
      <c r="AJ158" s="243" t="s">
        <v>419</v>
      </c>
      <c r="AK158" s="244" t="s">
        <v>289</v>
      </c>
      <c r="AL158" s="43" t="str">
        <f t="shared" si="49"/>
        <v>-</v>
      </c>
      <c r="AM158" s="43">
        <f t="shared" si="40"/>
        <v>0</v>
      </c>
      <c r="AN158" s="193">
        <f t="shared" si="40"/>
        <v>0</v>
      </c>
      <c r="AO158" s="264" t="str">
        <f t="shared" si="41"/>
        <v>-</v>
      </c>
      <c r="AP158" s="268"/>
      <c r="AQ158" s="26" t="str">
        <f t="shared" si="39"/>
        <v>TOQUAHT RIVERPink</v>
      </c>
      <c r="AR158" s="26">
        <f t="shared" si="42"/>
        <v>0</v>
      </c>
      <c r="AS158" s="33">
        <f t="shared" si="50"/>
        <v>0</v>
      </c>
      <c r="AW158" s="34"/>
      <c r="AX158" s="47" t="str">
        <f t="shared" si="43"/>
        <v>TOQUAHT RIVERPink</v>
      </c>
      <c r="AY158" s="49">
        <f t="shared" si="44"/>
        <v>0</v>
      </c>
      <c r="AZ158" s="49">
        <f t="shared" si="45"/>
        <v>0</v>
      </c>
      <c r="BA158" s="31">
        <v>2016</v>
      </c>
      <c r="BB158" s="188" t="str">
        <f t="shared" si="46"/>
        <v>TCES</v>
      </c>
      <c r="BC158" s="188" t="str">
        <f t="shared" si="51"/>
        <v xml:space="preserve"> </v>
      </c>
      <c r="BD158" s="188" t="str">
        <f t="shared" si="52"/>
        <v xml:space="preserve"> </v>
      </c>
      <c r="BE158" s="188" t="str">
        <f t="shared" si="53"/>
        <v xml:space="preserve"> </v>
      </c>
      <c r="BF158" s="50" t="str">
        <f t="shared" si="38"/>
        <v>TOQUAHT RIVER_Pink</v>
      </c>
      <c r="BG158" s="50" t="str">
        <f>IFERROR(VLOOKUP(BF158,'[1]WCVI Esc'!$C$5:$W$534,18,FALSE),"-")</f>
        <v>-</v>
      </c>
      <c r="BH158" s="50" t="str">
        <f t="shared" si="47"/>
        <v>-</v>
      </c>
      <c r="BI158" s="50" t="str">
        <f>IFERROR(VLOOKUP(BF158,'[1]WCVI Esc'!$C$5:$W$534,19,FALSE),"-")</f>
        <v>-</v>
      </c>
      <c r="BJ158" s="50" t="str">
        <f t="shared" si="48"/>
        <v>-</v>
      </c>
    </row>
    <row r="159" spans="1:65" hidden="1" x14ac:dyDescent="0.2">
      <c r="A159" s="29">
        <v>3</v>
      </c>
      <c r="B159" s="29">
        <v>4</v>
      </c>
      <c r="C159" s="13">
        <v>23</v>
      </c>
      <c r="D159" s="13" t="s">
        <v>295</v>
      </c>
      <c r="E159" s="10" t="s">
        <v>288</v>
      </c>
      <c r="F159" s="10" t="s">
        <v>209</v>
      </c>
      <c r="G159" s="10"/>
      <c r="H159" s="152"/>
      <c r="I159" s="155"/>
      <c r="J159" s="106"/>
      <c r="K159" s="94"/>
      <c r="L159" s="158"/>
      <c r="M159" s="161"/>
      <c r="N159" s="106"/>
      <c r="O159" s="106"/>
      <c r="P159" s="63"/>
      <c r="Q159" s="162"/>
      <c r="R159" s="164"/>
      <c r="S159" s="62"/>
      <c r="T159" s="62"/>
      <c r="U159" s="62"/>
      <c r="V159" s="64"/>
      <c r="W159" s="164"/>
      <c r="X159" s="62"/>
      <c r="Y159" s="45"/>
      <c r="Z159" s="44"/>
      <c r="AA159" s="100"/>
      <c r="AB159" s="100"/>
      <c r="AC159" s="123">
        <v>3</v>
      </c>
      <c r="AD159" s="123"/>
      <c r="AE159" s="123"/>
      <c r="AF159" s="123"/>
      <c r="AG159" s="69">
        <v>23</v>
      </c>
      <c r="AH159" s="69" t="s">
        <v>295</v>
      </c>
      <c r="AI159" s="243" t="s">
        <v>288</v>
      </c>
      <c r="AJ159" s="243" t="s">
        <v>419</v>
      </c>
      <c r="AK159" s="244" t="s">
        <v>289</v>
      </c>
      <c r="AL159" s="43" t="str">
        <f t="shared" si="49"/>
        <v>-</v>
      </c>
      <c r="AM159" s="43">
        <f t="shared" si="40"/>
        <v>0</v>
      </c>
      <c r="AN159" s="193">
        <f t="shared" si="40"/>
        <v>0</v>
      </c>
      <c r="AO159" s="264" t="str">
        <f t="shared" si="41"/>
        <v>-</v>
      </c>
      <c r="AP159" s="268"/>
      <c r="AQ159" s="26" t="str">
        <f t="shared" si="39"/>
        <v>TOQUAHT RIVERChum</v>
      </c>
      <c r="AR159" s="26">
        <f t="shared" si="42"/>
        <v>0</v>
      </c>
      <c r="AS159" s="33">
        <f t="shared" si="50"/>
        <v>0</v>
      </c>
      <c r="AW159" s="34"/>
      <c r="AX159" s="47" t="str">
        <f t="shared" si="43"/>
        <v>TOQUAHT RIVERChum</v>
      </c>
      <c r="AY159" s="49">
        <f t="shared" si="44"/>
        <v>0</v>
      </c>
      <c r="AZ159" s="49">
        <f t="shared" si="45"/>
        <v>0</v>
      </c>
      <c r="BA159" s="31">
        <v>2016</v>
      </c>
      <c r="BB159" s="188" t="str">
        <f t="shared" si="46"/>
        <v>TCES</v>
      </c>
      <c r="BC159" s="188" t="str">
        <f t="shared" si="51"/>
        <v xml:space="preserve"> </v>
      </c>
      <c r="BD159" s="188" t="str">
        <f t="shared" si="52"/>
        <v xml:space="preserve"> </v>
      </c>
      <c r="BE159" s="188" t="str">
        <f t="shared" si="53"/>
        <v xml:space="preserve"> </v>
      </c>
      <c r="BF159" s="50" t="str">
        <f t="shared" si="38"/>
        <v>TOQUAHT RIVER_Chum</v>
      </c>
      <c r="BG159" s="50" t="str">
        <f>IFERROR(VLOOKUP(BF159,'[1]WCVI Esc'!$C$5:$W$534,18,FALSE),"-")</f>
        <v>-</v>
      </c>
      <c r="BH159" s="50" t="str">
        <f t="shared" si="47"/>
        <v>-</v>
      </c>
      <c r="BI159" s="50" t="str">
        <f>IFERROR(VLOOKUP(BF159,'[1]WCVI Esc'!$C$5:$W$534,19,FALSE),"-")</f>
        <v>-</v>
      </c>
      <c r="BJ159" s="50" t="str">
        <f t="shared" si="48"/>
        <v>-</v>
      </c>
    </row>
    <row r="160" spans="1:65" hidden="1" x14ac:dyDescent="0.2">
      <c r="A160" s="29">
        <v>3</v>
      </c>
      <c r="B160" s="29">
        <v>5</v>
      </c>
      <c r="C160" s="13">
        <v>23</v>
      </c>
      <c r="D160" s="13" t="s">
        <v>295</v>
      </c>
      <c r="E160" s="10" t="s">
        <v>288</v>
      </c>
      <c r="F160" s="10" t="s">
        <v>210</v>
      </c>
      <c r="G160" s="10"/>
      <c r="H160" s="152"/>
      <c r="I160" s="155"/>
      <c r="J160" s="106"/>
      <c r="K160" s="94"/>
      <c r="L160" s="158"/>
      <c r="M160" s="161"/>
      <c r="N160" s="106"/>
      <c r="O160" s="106"/>
      <c r="P160" s="63"/>
      <c r="Q160" s="162"/>
      <c r="R160" s="164"/>
      <c r="S160" s="62"/>
      <c r="T160" s="62"/>
      <c r="U160" s="62"/>
      <c r="V160" s="64"/>
      <c r="W160" s="164"/>
      <c r="X160" s="62"/>
      <c r="Y160" s="45"/>
      <c r="Z160" s="44"/>
      <c r="AA160" s="100"/>
      <c r="AB160" s="100"/>
      <c r="AC160" s="123">
        <v>2</v>
      </c>
      <c r="AD160" s="123"/>
      <c r="AE160" s="123"/>
      <c r="AF160" s="123">
        <f>Y160</f>
        <v>0</v>
      </c>
      <c r="AG160" s="69">
        <v>23</v>
      </c>
      <c r="AH160" s="69" t="s">
        <v>295</v>
      </c>
      <c r="AI160" s="243" t="s">
        <v>288</v>
      </c>
      <c r="AJ160" s="243" t="s">
        <v>419</v>
      </c>
      <c r="AK160" s="244" t="s">
        <v>289</v>
      </c>
      <c r="AL160" s="43" t="str">
        <f t="shared" si="49"/>
        <v>-</v>
      </c>
      <c r="AM160" s="43">
        <f t="shared" si="40"/>
        <v>0</v>
      </c>
      <c r="AN160" s="193">
        <f t="shared" si="40"/>
        <v>0</v>
      </c>
      <c r="AO160" s="264" t="str">
        <f t="shared" si="41"/>
        <v>-</v>
      </c>
      <c r="AP160" s="268"/>
      <c r="AQ160" s="26" t="str">
        <f t="shared" si="39"/>
        <v>TOQUAHT RIVERChinook</v>
      </c>
      <c r="AR160" s="26">
        <f t="shared" si="42"/>
        <v>0</v>
      </c>
      <c r="AS160" s="33">
        <f t="shared" si="50"/>
        <v>0</v>
      </c>
      <c r="AT160" s="34">
        <f>AS160*1.14</f>
        <v>0</v>
      </c>
      <c r="AU160" s="34">
        <f>AS160*2.88</f>
        <v>0</v>
      </c>
      <c r="AW160" s="34">
        <f>SUM(AT160:AU160)/2</f>
        <v>0</v>
      </c>
      <c r="AX160" s="47" t="str">
        <f t="shared" si="43"/>
        <v>TOQUAHT RIVERChinook</v>
      </c>
      <c r="AY160" s="49">
        <f t="shared" si="44"/>
        <v>0</v>
      </c>
      <c r="AZ160" s="49">
        <f t="shared" si="45"/>
        <v>0</v>
      </c>
      <c r="BA160" s="31">
        <v>2016</v>
      </c>
      <c r="BB160" s="188" t="str">
        <f t="shared" si="46"/>
        <v>TCES</v>
      </c>
      <c r="BC160" s="188" t="str">
        <f t="shared" si="51"/>
        <v xml:space="preserve"> </v>
      </c>
      <c r="BD160" s="188" t="str">
        <f t="shared" si="52"/>
        <v xml:space="preserve"> </v>
      </c>
      <c r="BE160" s="188" t="str">
        <f t="shared" si="53"/>
        <v xml:space="preserve"> </v>
      </c>
      <c r="BF160" s="50" t="str">
        <f t="shared" si="38"/>
        <v>TOQUAHT RIVER_Chinook</v>
      </c>
      <c r="BG160" s="50" t="str">
        <f>IFERROR(VLOOKUP(BF160,'[1]WCVI Esc'!$C$5:$W$534,18,FALSE),"-")</f>
        <v>-</v>
      </c>
      <c r="BH160" s="50" t="str">
        <f t="shared" si="47"/>
        <v>-</v>
      </c>
      <c r="BI160" s="50" t="str">
        <f>IFERROR(VLOOKUP(BF160,'[1]WCVI Esc'!$C$5:$W$534,19,FALSE),"-")</f>
        <v>-</v>
      </c>
      <c r="BJ160" s="50" t="str">
        <f t="shared" si="48"/>
        <v>-</v>
      </c>
      <c r="BK160">
        <v>4</v>
      </c>
      <c r="BL160" s="17" t="s">
        <v>289</v>
      </c>
      <c r="BM160" s="31">
        <v>1</v>
      </c>
    </row>
    <row r="161" spans="1:65" hidden="1" x14ac:dyDescent="0.2">
      <c r="A161" s="29">
        <v>3</v>
      </c>
      <c r="B161" s="29">
        <v>6</v>
      </c>
      <c r="C161" s="13">
        <v>23</v>
      </c>
      <c r="D161" s="13" t="s">
        <v>295</v>
      </c>
      <c r="E161" s="10" t="s">
        <v>288</v>
      </c>
      <c r="F161" s="10" t="s">
        <v>211</v>
      </c>
      <c r="G161" s="10"/>
      <c r="H161" s="152"/>
      <c r="I161" s="155"/>
      <c r="J161" s="106"/>
      <c r="K161" s="94"/>
      <c r="L161" s="158"/>
      <c r="M161" s="161"/>
      <c r="N161" s="106"/>
      <c r="O161" s="106"/>
      <c r="P161" s="63"/>
      <c r="Q161" s="162"/>
      <c r="R161" s="164"/>
      <c r="S161" s="62"/>
      <c r="T161" s="62"/>
      <c r="U161" s="62"/>
      <c r="V161" s="64"/>
      <c r="W161" s="164"/>
      <c r="X161" s="62"/>
      <c r="Y161" s="45"/>
      <c r="Z161" s="44"/>
      <c r="AA161" s="100"/>
      <c r="AB161" s="100"/>
      <c r="AC161" s="123"/>
      <c r="AD161" s="123"/>
      <c r="AE161" s="123"/>
      <c r="AF161" s="123"/>
      <c r="AG161" s="69">
        <v>23</v>
      </c>
      <c r="AH161" s="69" t="s">
        <v>295</v>
      </c>
      <c r="AI161" s="243" t="s">
        <v>288</v>
      </c>
      <c r="AJ161" s="243" t="s">
        <v>419</v>
      </c>
      <c r="AK161" s="244" t="s">
        <v>289</v>
      </c>
      <c r="AL161" s="43" t="str">
        <f t="shared" si="49"/>
        <v>-</v>
      </c>
      <c r="AM161" s="43">
        <f t="shared" si="40"/>
        <v>0</v>
      </c>
      <c r="AN161" s="193">
        <f t="shared" si="40"/>
        <v>0</v>
      </c>
      <c r="AO161" s="264" t="str">
        <f t="shared" si="41"/>
        <v>-</v>
      </c>
      <c r="AP161" s="267"/>
      <c r="AQ161" s="26" t="str">
        <f t="shared" si="39"/>
        <v>TOQUAHT RIVERSteelhead</v>
      </c>
      <c r="AR161" s="26">
        <f t="shared" si="42"/>
        <v>0</v>
      </c>
      <c r="AS161" s="33">
        <f t="shared" si="50"/>
        <v>0</v>
      </c>
      <c r="AW161" s="34"/>
      <c r="AX161" s="47" t="str">
        <f t="shared" si="43"/>
        <v>TOQUAHT RIVERSteelhead</v>
      </c>
      <c r="AY161" s="49">
        <f t="shared" si="44"/>
        <v>0</v>
      </c>
      <c r="AZ161" s="49">
        <f t="shared" si="45"/>
        <v>0</v>
      </c>
      <c r="BA161" s="31">
        <v>0</v>
      </c>
      <c r="BB161" s="188" t="str">
        <f t="shared" si="46"/>
        <v>TCES</v>
      </c>
      <c r="BC161" s="188" t="str">
        <f t="shared" si="51"/>
        <v xml:space="preserve"> </v>
      </c>
      <c r="BD161" s="188" t="str">
        <f t="shared" si="52"/>
        <v xml:space="preserve"> </v>
      </c>
      <c r="BE161" s="188" t="str">
        <f t="shared" si="53"/>
        <v xml:space="preserve"> </v>
      </c>
      <c r="BF161" s="50" t="str">
        <f t="shared" si="38"/>
        <v>TOQUAHT RIVER_Steelhead</v>
      </c>
      <c r="BG161" s="50" t="str">
        <f>IFERROR(VLOOKUP(BF161,'[1]WCVI Esc'!$C$5:$W$534,18,FALSE),"-")</f>
        <v>-</v>
      </c>
      <c r="BH161" s="50" t="str">
        <f t="shared" si="47"/>
        <v>-</v>
      </c>
      <c r="BI161" s="50" t="str">
        <f>IFERROR(VLOOKUP(BF161,'[1]WCVI Esc'!$C$5:$W$534,19,FALSE),"-")</f>
        <v>-</v>
      </c>
      <c r="BJ161" s="50" t="str">
        <f t="shared" si="48"/>
        <v>-</v>
      </c>
    </row>
    <row r="162" spans="1:65" hidden="1" x14ac:dyDescent="0.2">
      <c r="A162" s="29">
        <v>3</v>
      </c>
      <c r="B162" s="29">
        <v>1</v>
      </c>
      <c r="C162" s="13">
        <v>24</v>
      </c>
      <c r="D162" s="13" t="s">
        <v>297</v>
      </c>
      <c r="E162" s="10" t="s">
        <v>119</v>
      </c>
      <c r="F162" s="10" t="s">
        <v>207</v>
      </c>
      <c r="G162" s="10"/>
      <c r="H162" s="152"/>
      <c r="I162" s="155"/>
      <c r="J162" s="106"/>
      <c r="K162" s="94"/>
      <c r="L162" s="158"/>
      <c r="M162" s="161"/>
      <c r="N162" s="106"/>
      <c r="O162" s="106"/>
      <c r="P162" s="63"/>
      <c r="Q162" s="162"/>
      <c r="R162" s="164"/>
      <c r="S162" s="62"/>
      <c r="T162" s="62"/>
      <c r="U162" s="62"/>
      <c r="V162" s="64"/>
      <c r="W162" s="164"/>
      <c r="X162" s="62"/>
      <c r="Y162" s="45"/>
      <c r="Z162" s="44"/>
      <c r="AA162" s="100">
        <f>Y162/AP162</f>
        <v>0</v>
      </c>
      <c r="AB162" s="100">
        <f>AS162/AP162</f>
        <v>0</v>
      </c>
      <c r="AC162" s="123">
        <v>2</v>
      </c>
      <c r="AD162" s="123"/>
      <c r="AE162" s="123"/>
      <c r="AF162" s="123"/>
      <c r="AG162" s="69">
        <v>24</v>
      </c>
      <c r="AH162" s="69" t="s">
        <v>297</v>
      </c>
      <c r="AI162" s="243" t="s">
        <v>119</v>
      </c>
      <c r="AJ162" s="243" t="s">
        <v>419</v>
      </c>
      <c r="AK162" s="244" t="s">
        <v>289</v>
      </c>
      <c r="AL162" s="43" t="str">
        <f t="shared" si="49"/>
        <v>-</v>
      </c>
      <c r="AM162" s="43">
        <f t="shared" si="40"/>
        <v>0</v>
      </c>
      <c r="AN162" s="193">
        <f t="shared" si="40"/>
        <v>0</v>
      </c>
      <c r="AO162" s="264">
        <f t="shared" si="41"/>
        <v>10</v>
      </c>
      <c r="AP162" s="265">
        <f>BJ162</f>
        <v>40</v>
      </c>
      <c r="AQ162" s="26" t="str">
        <f t="shared" si="39"/>
        <v>CYPRE RIVERSockeye</v>
      </c>
      <c r="AR162" s="26">
        <f t="shared" si="42"/>
        <v>0</v>
      </c>
      <c r="AS162" s="33">
        <f t="shared" si="50"/>
        <v>0</v>
      </c>
      <c r="AW162" s="34"/>
      <c r="AX162" s="47" t="str">
        <f t="shared" si="43"/>
        <v>CYPRE RIVERSockeye</v>
      </c>
      <c r="AY162" s="49">
        <f t="shared" si="44"/>
        <v>0</v>
      </c>
      <c r="AZ162" s="49">
        <f t="shared" si="45"/>
        <v>0</v>
      </c>
      <c r="BA162" s="31">
        <v>2016</v>
      </c>
      <c r="BB162" s="188" t="str">
        <f t="shared" si="46"/>
        <v>TCES</v>
      </c>
      <c r="BC162" s="188" t="str">
        <f t="shared" si="51"/>
        <v xml:space="preserve"> </v>
      </c>
      <c r="BD162" s="188" t="str">
        <f t="shared" si="52"/>
        <v xml:space="preserve"> </v>
      </c>
      <c r="BE162" s="188" t="str">
        <f t="shared" si="53"/>
        <v xml:space="preserve"> </v>
      </c>
      <c r="BF162" s="50" t="str">
        <f t="shared" si="38"/>
        <v>CYPRE RIVER_Sockeye</v>
      </c>
      <c r="BG162" s="50">
        <f>IFERROR(VLOOKUP(BF162,'[1]WCVI Esc'!$C$5:$W$534,18,FALSE),"-")</f>
        <v>13.333333333333334</v>
      </c>
      <c r="BH162" s="50">
        <f t="shared" si="47"/>
        <v>10</v>
      </c>
      <c r="BI162" s="50">
        <f>IFERROR(VLOOKUP(BF162,'[1]WCVI Esc'!$C$5:$W$534,19,FALSE),"-")</f>
        <v>36</v>
      </c>
      <c r="BJ162" s="50">
        <f t="shared" si="48"/>
        <v>40</v>
      </c>
    </row>
    <row r="163" spans="1:65" hidden="1" x14ac:dyDescent="0.2">
      <c r="A163" s="29">
        <v>3</v>
      </c>
      <c r="B163" s="29">
        <v>2</v>
      </c>
      <c r="C163" s="13">
        <v>24</v>
      </c>
      <c r="D163" s="13" t="s">
        <v>297</v>
      </c>
      <c r="E163" s="10" t="s">
        <v>119</v>
      </c>
      <c r="F163" s="10" t="s">
        <v>219</v>
      </c>
      <c r="G163" s="10"/>
      <c r="H163" s="152"/>
      <c r="I163" s="155"/>
      <c r="J163" s="106"/>
      <c r="K163" s="94"/>
      <c r="L163" s="158"/>
      <c r="M163" s="161"/>
      <c r="N163" s="106"/>
      <c r="O163" s="106"/>
      <c r="P163" s="63"/>
      <c r="Q163" s="162"/>
      <c r="R163" s="164"/>
      <c r="S163" s="62"/>
      <c r="T163" s="63"/>
      <c r="U163" s="62"/>
      <c r="V163" s="64"/>
      <c r="W163" s="164"/>
      <c r="X163" s="62"/>
      <c r="Y163" s="45"/>
      <c r="Z163" s="44"/>
      <c r="AA163" s="100">
        <f>Y163/AP163</f>
        <v>0</v>
      </c>
      <c r="AB163" s="100">
        <f>AS163/AP163</f>
        <v>0</v>
      </c>
      <c r="AC163" s="123">
        <v>2</v>
      </c>
      <c r="AD163" s="123"/>
      <c r="AE163" s="123"/>
      <c r="AF163" s="123"/>
      <c r="AG163" s="69">
        <v>24</v>
      </c>
      <c r="AH163" s="69" t="s">
        <v>297</v>
      </c>
      <c r="AI163" s="243" t="s">
        <v>119</v>
      </c>
      <c r="AJ163" s="243" t="s">
        <v>419</v>
      </c>
      <c r="AK163" s="244" t="s">
        <v>289</v>
      </c>
      <c r="AL163" s="43" t="str">
        <f t="shared" si="49"/>
        <v>-</v>
      </c>
      <c r="AM163" s="43">
        <f t="shared" si="40"/>
        <v>0</v>
      </c>
      <c r="AN163" s="193">
        <f t="shared" si="40"/>
        <v>0</v>
      </c>
      <c r="AO163" s="264">
        <f t="shared" si="41"/>
        <v>550</v>
      </c>
      <c r="AP163" s="265">
        <f>BJ163</f>
        <v>1040</v>
      </c>
      <c r="AQ163" s="26" t="str">
        <f t="shared" si="39"/>
        <v>CYPRE RIVERCoho</v>
      </c>
      <c r="AR163" s="26">
        <f t="shared" si="42"/>
        <v>0</v>
      </c>
      <c r="AS163" s="33">
        <f t="shared" si="50"/>
        <v>0</v>
      </c>
      <c r="AW163" s="34"/>
      <c r="AX163" s="47" t="str">
        <f t="shared" si="43"/>
        <v>CYPRE RIVERCoho</v>
      </c>
      <c r="AY163" s="49">
        <f t="shared" si="44"/>
        <v>0</v>
      </c>
      <c r="AZ163" s="49">
        <f t="shared" si="45"/>
        <v>0</v>
      </c>
      <c r="BA163" s="31">
        <v>2016</v>
      </c>
      <c r="BB163" s="188" t="str">
        <f t="shared" si="46"/>
        <v>TCES</v>
      </c>
      <c r="BC163" s="188" t="str">
        <f t="shared" si="51"/>
        <v xml:space="preserve"> </v>
      </c>
      <c r="BD163" s="188" t="str">
        <f t="shared" si="52"/>
        <v xml:space="preserve"> </v>
      </c>
      <c r="BE163" s="188" t="str">
        <f t="shared" si="53"/>
        <v xml:space="preserve"> </v>
      </c>
      <c r="BF163" s="50" t="str">
        <f t="shared" si="38"/>
        <v>CYPRE RIVER_Coho</v>
      </c>
      <c r="BG163" s="50">
        <f>IFERROR(VLOOKUP(BF163,'[1]WCVI Esc'!$C$5:$W$534,18,FALSE),"-")</f>
        <v>551.75</v>
      </c>
      <c r="BH163" s="50">
        <f t="shared" si="47"/>
        <v>550</v>
      </c>
      <c r="BI163" s="50">
        <f>IFERROR(VLOOKUP(BF163,'[1]WCVI Esc'!$C$5:$W$534,19,FALSE),"-")</f>
        <v>1036</v>
      </c>
      <c r="BJ163" s="50">
        <f t="shared" si="48"/>
        <v>1040</v>
      </c>
    </row>
    <row r="164" spans="1:65" hidden="1" x14ac:dyDescent="0.2">
      <c r="A164" s="29">
        <v>3</v>
      </c>
      <c r="B164" s="29">
        <v>3</v>
      </c>
      <c r="C164" s="13">
        <v>24</v>
      </c>
      <c r="D164" s="13" t="s">
        <v>297</v>
      </c>
      <c r="E164" s="10" t="s">
        <v>119</v>
      </c>
      <c r="F164" s="10" t="s">
        <v>208</v>
      </c>
      <c r="G164" s="10"/>
      <c r="H164" s="152"/>
      <c r="I164" s="155"/>
      <c r="J164" s="106"/>
      <c r="K164" s="94"/>
      <c r="L164" s="158"/>
      <c r="M164" s="161"/>
      <c r="N164" s="106"/>
      <c r="O164" s="106"/>
      <c r="P164" s="63"/>
      <c r="Q164" s="162"/>
      <c r="R164" s="169"/>
      <c r="S164" s="62"/>
      <c r="T164" s="62"/>
      <c r="U164" s="62"/>
      <c r="V164" s="64"/>
      <c r="W164" s="164"/>
      <c r="X164" s="62"/>
      <c r="Y164" s="45"/>
      <c r="Z164" s="44"/>
      <c r="AA164" s="100">
        <f>Y164/AP164</f>
        <v>0</v>
      </c>
      <c r="AB164" s="100">
        <f>AS164/AP164</f>
        <v>0</v>
      </c>
      <c r="AC164" s="123"/>
      <c r="AD164" s="123"/>
      <c r="AE164" s="123"/>
      <c r="AF164" s="123"/>
      <c r="AG164" s="69">
        <v>24</v>
      </c>
      <c r="AH164" s="69" t="s">
        <v>297</v>
      </c>
      <c r="AI164" s="243" t="s">
        <v>119</v>
      </c>
      <c r="AJ164" s="243" t="s">
        <v>419</v>
      </c>
      <c r="AK164" s="244" t="s">
        <v>289</v>
      </c>
      <c r="AL164" s="43" t="str">
        <f t="shared" si="49"/>
        <v>-</v>
      </c>
      <c r="AM164" s="43">
        <f t="shared" ref="AM164:AN195" si="54">AR164</f>
        <v>0</v>
      </c>
      <c r="AN164" s="193">
        <f t="shared" si="54"/>
        <v>0</v>
      </c>
      <c r="AO164" s="264">
        <f t="shared" si="41"/>
        <v>0</v>
      </c>
      <c r="AP164" s="265">
        <f>BJ164</f>
        <v>10</v>
      </c>
      <c r="AQ164" s="26" t="str">
        <f t="shared" si="39"/>
        <v>CYPRE RIVERPink</v>
      </c>
      <c r="AR164" s="26">
        <f t="shared" si="42"/>
        <v>0</v>
      </c>
      <c r="AS164" s="33">
        <f t="shared" si="50"/>
        <v>0</v>
      </c>
      <c r="AW164" s="34"/>
      <c r="AX164" s="47" t="str">
        <f t="shared" si="43"/>
        <v>CYPRE RIVERPink</v>
      </c>
      <c r="AY164" s="49">
        <f t="shared" si="44"/>
        <v>0</v>
      </c>
      <c r="AZ164" s="49">
        <f t="shared" si="45"/>
        <v>0</v>
      </c>
      <c r="BA164" s="31">
        <v>2016</v>
      </c>
      <c r="BB164" s="188" t="str">
        <f t="shared" si="46"/>
        <v>TCES</v>
      </c>
      <c r="BC164" s="188" t="str">
        <f t="shared" si="51"/>
        <v xml:space="preserve"> </v>
      </c>
      <c r="BD164" s="188" t="str">
        <f t="shared" si="52"/>
        <v xml:space="preserve"> </v>
      </c>
      <c r="BE164" s="188" t="str">
        <f t="shared" si="53"/>
        <v xml:space="preserve"> </v>
      </c>
      <c r="BF164" s="50" t="str">
        <f t="shared" si="38"/>
        <v>CYPRE RIVER_Pink</v>
      </c>
      <c r="BG164" s="50">
        <f>IFERROR(VLOOKUP(BF164,'[1]WCVI Esc'!$C$5:$W$534,18,FALSE),"-")</f>
        <v>1</v>
      </c>
      <c r="BH164" s="50">
        <f t="shared" si="47"/>
        <v>0</v>
      </c>
      <c r="BI164" s="50">
        <f>IFERROR(VLOOKUP(BF164,'[1]WCVI Esc'!$C$5:$W$534,19,FALSE),"-")</f>
        <v>9.5</v>
      </c>
      <c r="BJ164" s="50">
        <f t="shared" si="48"/>
        <v>10</v>
      </c>
    </row>
    <row r="165" spans="1:65" hidden="1" x14ac:dyDescent="0.2">
      <c r="A165" s="29">
        <v>3</v>
      </c>
      <c r="B165" s="29">
        <v>4</v>
      </c>
      <c r="C165" s="13">
        <v>24</v>
      </c>
      <c r="D165" s="13" t="s">
        <v>297</v>
      </c>
      <c r="E165" s="10" t="s">
        <v>119</v>
      </c>
      <c r="F165" s="10" t="s">
        <v>209</v>
      </c>
      <c r="G165" s="10"/>
      <c r="H165" s="152"/>
      <c r="I165" s="155"/>
      <c r="J165" s="106"/>
      <c r="K165" s="94"/>
      <c r="L165" s="158"/>
      <c r="M165" s="161"/>
      <c r="N165" s="106"/>
      <c r="O165" s="106"/>
      <c r="P165" s="63"/>
      <c r="Q165" s="162"/>
      <c r="R165" s="164"/>
      <c r="S165" s="62"/>
      <c r="T165" s="63"/>
      <c r="U165" s="62"/>
      <c r="V165" s="64"/>
      <c r="W165" s="164"/>
      <c r="X165" s="62"/>
      <c r="Y165" s="45"/>
      <c r="Z165" s="44"/>
      <c r="AA165" s="100">
        <f>Y165/AP165</f>
        <v>0</v>
      </c>
      <c r="AB165" s="100">
        <f>AS165/AP165</f>
        <v>0</v>
      </c>
      <c r="AC165" s="123">
        <v>2</v>
      </c>
      <c r="AD165" s="123"/>
      <c r="AE165" s="123"/>
      <c r="AF165" s="123"/>
      <c r="AG165" s="69">
        <v>24</v>
      </c>
      <c r="AH165" s="69" t="s">
        <v>297</v>
      </c>
      <c r="AI165" s="243" t="s">
        <v>119</v>
      </c>
      <c r="AJ165" s="243" t="s">
        <v>419</v>
      </c>
      <c r="AK165" s="244" t="s">
        <v>289</v>
      </c>
      <c r="AL165" s="43" t="str">
        <f t="shared" si="49"/>
        <v>-</v>
      </c>
      <c r="AM165" s="43">
        <f t="shared" si="54"/>
        <v>0</v>
      </c>
      <c r="AN165" s="193">
        <f t="shared" si="54"/>
        <v>0</v>
      </c>
      <c r="AO165" s="264">
        <f t="shared" si="41"/>
        <v>550</v>
      </c>
      <c r="AP165" s="265">
        <f>BJ165</f>
        <v>1580</v>
      </c>
      <c r="AQ165" s="26" t="str">
        <f t="shared" si="39"/>
        <v>CYPRE RIVERChum</v>
      </c>
      <c r="AR165" s="26">
        <f t="shared" si="42"/>
        <v>0</v>
      </c>
      <c r="AS165" s="33">
        <f t="shared" si="50"/>
        <v>0</v>
      </c>
      <c r="AW165" s="34"/>
      <c r="AX165" s="47" t="str">
        <f t="shared" si="43"/>
        <v>CYPRE RIVERChum</v>
      </c>
      <c r="AY165" s="49">
        <f t="shared" si="44"/>
        <v>0</v>
      </c>
      <c r="AZ165" s="49">
        <f t="shared" si="45"/>
        <v>0</v>
      </c>
      <c r="BA165" s="31">
        <v>2016</v>
      </c>
      <c r="BB165" s="188" t="str">
        <f t="shared" si="46"/>
        <v>TCES</v>
      </c>
      <c r="BC165" s="188" t="str">
        <f t="shared" si="51"/>
        <v xml:space="preserve"> </v>
      </c>
      <c r="BD165" s="188" t="str">
        <f t="shared" si="52"/>
        <v xml:space="preserve"> </v>
      </c>
      <c r="BE165" s="188" t="str">
        <f t="shared" si="53"/>
        <v xml:space="preserve"> </v>
      </c>
      <c r="BF165" s="50" t="str">
        <f t="shared" si="38"/>
        <v>CYPRE RIVER_Chum</v>
      </c>
      <c r="BG165" s="50">
        <f>IFERROR(VLOOKUP(BF165,'[1]WCVI Esc'!$C$5:$W$534,18,FALSE),"-")</f>
        <v>552</v>
      </c>
      <c r="BH165" s="50">
        <f t="shared" si="47"/>
        <v>550</v>
      </c>
      <c r="BI165" s="50">
        <f>IFERROR(VLOOKUP(BF165,'[1]WCVI Esc'!$C$5:$W$534,19,FALSE),"-")</f>
        <v>1576.1666666666667</v>
      </c>
      <c r="BJ165" s="50">
        <f t="shared" si="48"/>
        <v>1580</v>
      </c>
    </row>
    <row r="166" spans="1:65" hidden="1" x14ac:dyDescent="0.2">
      <c r="A166" s="29">
        <v>3</v>
      </c>
      <c r="B166" s="29">
        <v>5</v>
      </c>
      <c r="C166" s="13">
        <v>24</v>
      </c>
      <c r="D166" s="13" t="s">
        <v>297</v>
      </c>
      <c r="E166" s="10" t="s">
        <v>119</v>
      </c>
      <c r="F166" s="10" t="s">
        <v>210</v>
      </c>
      <c r="G166" s="10"/>
      <c r="H166" s="152"/>
      <c r="I166" s="155"/>
      <c r="J166" s="106"/>
      <c r="K166" s="94"/>
      <c r="L166" s="158"/>
      <c r="M166" s="161"/>
      <c r="N166" s="106"/>
      <c r="O166" s="106"/>
      <c r="P166" s="63"/>
      <c r="Q166" s="162"/>
      <c r="R166" s="164"/>
      <c r="S166" s="62"/>
      <c r="T166" s="62"/>
      <c r="U166" s="62"/>
      <c r="V166" s="64"/>
      <c r="W166" s="164"/>
      <c r="X166" s="62"/>
      <c r="Y166" s="45"/>
      <c r="Z166" s="44"/>
      <c r="AA166" s="100">
        <f>Y166/AP166</f>
        <v>0</v>
      </c>
      <c r="AB166" s="100">
        <f>AS166/AP166</f>
        <v>0</v>
      </c>
      <c r="AC166" s="123">
        <v>2</v>
      </c>
      <c r="AD166" s="123">
        <v>313</v>
      </c>
      <c r="AE166" s="123">
        <v>92</v>
      </c>
      <c r="AF166" s="123">
        <f>Y166</f>
        <v>0</v>
      </c>
      <c r="AG166" s="69">
        <v>24</v>
      </c>
      <c r="AH166" s="69" t="s">
        <v>297</v>
      </c>
      <c r="AI166" s="243" t="s">
        <v>119</v>
      </c>
      <c r="AJ166" s="243" t="s">
        <v>419</v>
      </c>
      <c r="AK166" s="244" t="s">
        <v>289</v>
      </c>
      <c r="AL166" s="43" t="str">
        <f t="shared" si="49"/>
        <v>-</v>
      </c>
      <c r="AM166" s="43">
        <f t="shared" si="54"/>
        <v>0</v>
      </c>
      <c r="AN166" s="193">
        <f t="shared" si="54"/>
        <v>0</v>
      </c>
      <c r="AO166" s="264">
        <f t="shared" si="41"/>
        <v>100</v>
      </c>
      <c r="AP166" s="265">
        <f>BJ166</f>
        <v>970</v>
      </c>
      <c r="AQ166" s="26" t="str">
        <f t="shared" si="39"/>
        <v>CYPRE RIVERChinook</v>
      </c>
      <c r="AR166" s="26">
        <f t="shared" si="42"/>
        <v>0</v>
      </c>
      <c r="AS166" s="33">
        <f t="shared" si="50"/>
        <v>0</v>
      </c>
      <c r="AT166" s="34">
        <f>AS166*1.14</f>
        <v>0</v>
      </c>
      <c r="AU166" s="34">
        <f>AS166*2.88</f>
        <v>0</v>
      </c>
      <c r="AV166" s="37"/>
      <c r="AW166" s="34">
        <f>SUM(AT166:AU166)/2</f>
        <v>0</v>
      </c>
      <c r="AX166" s="47" t="str">
        <f t="shared" si="43"/>
        <v>CYPRE RIVERChinook</v>
      </c>
      <c r="AY166" s="49">
        <f t="shared" si="44"/>
        <v>0</v>
      </c>
      <c r="AZ166" s="49">
        <f t="shared" si="45"/>
        <v>0</v>
      </c>
      <c r="BA166" s="31">
        <v>2016</v>
      </c>
      <c r="BB166" s="188" t="str">
        <f t="shared" si="46"/>
        <v>TCES</v>
      </c>
      <c r="BC166" s="188" t="str">
        <f t="shared" si="51"/>
        <v xml:space="preserve"> </v>
      </c>
      <c r="BD166" s="188" t="str">
        <f t="shared" si="52"/>
        <v xml:space="preserve"> </v>
      </c>
      <c r="BE166" s="188" t="str">
        <f t="shared" si="53"/>
        <v xml:space="preserve"> </v>
      </c>
      <c r="BF166" s="50" t="str">
        <f t="shared" si="38"/>
        <v>CYPRE RIVER_Chinook</v>
      </c>
      <c r="BG166" s="50">
        <f>IFERROR(VLOOKUP(BF166,'[1]WCVI Esc'!$C$5:$W$534,18,FALSE),"-")</f>
        <v>103.25</v>
      </c>
      <c r="BH166" s="50">
        <f t="shared" si="47"/>
        <v>100</v>
      </c>
      <c r="BI166" s="50">
        <f>IFERROR(VLOOKUP(BF166,'[1]WCVI Esc'!$C$5:$W$534,19,FALSE),"-")</f>
        <v>972</v>
      </c>
      <c r="BJ166" s="50">
        <f t="shared" si="48"/>
        <v>970</v>
      </c>
      <c r="BK166">
        <v>4</v>
      </c>
      <c r="BL166" s="17" t="s">
        <v>289</v>
      </c>
      <c r="BM166" s="31">
        <v>1</v>
      </c>
    </row>
    <row r="167" spans="1:65" hidden="1" x14ac:dyDescent="0.2">
      <c r="A167" s="29">
        <v>3</v>
      </c>
      <c r="B167" s="29">
        <v>6</v>
      </c>
      <c r="C167" s="13">
        <v>24</v>
      </c>
      <c r="D167" s="13" t="s">
        <v>297</v>
      </c>
      <c r="E167" s="10" t="s">
        <v>119</v>
      </c>
      <c r="F167" s="10" t="s">
        <v>211</v>
      </c>
      <c r="G167" s="10"/>
      <c r="H167" s="152"/>
      <c r="I167" s="155"/>
      <c r="J167" s="106"/>
      <c r="K167" s="94"/>
      <c r="L167" s="158"/>
      <c r="M167" s="161"/>
      <c r="N167" s="106"/>
      <c r="O167" s="106"/>
      <c r="P167" s="63"/>
      <c r="Q167" s="162"/>
      <c r="R167" s="169"/>
      <c r="S167" s="62"/>
      <c r="T167" s="62"/>
      <c r="U167" s="62"/>
      <c r="V167" s="64"/>
      <c r="W167" s="164"/>
      <c r="X167" s="62"/>
      <c r="Y167" s="45"/>
      <c r="Z167" s="44"/>
      <c r="AA167" s="100"/>
      <c r="AB167" s="100"/>
      <c r="AC167" s="123"/>
      <c r="AD167" s="123"/>
      <c r="AE167" s="123"/>
      <c r="AF167" s="123"/>
      <c r="AG167" s="69">
        <v>24</v>
      </c>
      <c r="AH167" s="69" t="s">
        <v>297</v>
      </c>
      <c r="AI167" s="243" t="s">
        <v>119</v>
      </c>
      <c r="AJ167" s="243" t="s">
        <v>419</v>
      </c>
      <c r="AK167" s="244" t="s">
        <v>289</v>
      </c>
      <c r="AL167" s="43" t="str">
        <f t="shared" si="49"/>
        <v>-</v>
      </c>
      <c r="AM167" s="43">
        <f t="shared" si="54"/>
        <v>0</v>
      </c>
      <c r="AN167" s="193">
        <f t="shared" si="54"/>
        <v>0</v>
      </c>
      <c r="AO167" s="264" t="str">
        <f t="shared" si="41"/>
        <v>-</v>
      </c>
      <c r="AP167" s="266"/>
      <c r="AQ167" s="26" t="str">
        <f t="shared" si="39"/>
        <v>CYPRE RIVERSteelhead</v>
      </c>
      <c r="AR167" s="26">
        <f t="shared" si="42"/>
        <v>0</v>
      </c>
      <c r="AS167" s="33">
        <f t="shared" si="50"/>
        <v>0</v>
      </c>
      <c r="AW167" s="34"/>
      <c r="AX167" s="47" t="str">
        <f t="shared" si="43"/>
        <v>CYPRE RIVERSteelhead</v>
      </c>
      <c r="AY167" s="49">
        <f t="shared" si="44"/>
        <v>0</v>
      </c>
      <c r="AZ167" s="49">
        <f t="shared" si="45"/>
        <v>0</v>
      </c>
      <c r="BA167" s="31">
        <v>0</v>
      </c>
      <c r="BB167" s="188" t="str">
        <f t="shared" si="46"/>
        <v>TCES</v>
      </c>
      <c r="BC167" s="188" t="str">
        <f t="shared" si="51"/>
        <v xml:space="preserve"> </v>
      </c>
      <c r="BD167" s="188" t="str">
        <f t="shared" si="52"/>
        <v xml:space="preserve"> </v>
      </c>
      <c r="BE167" s="188" t="str">
        <f t="shared" si="53"/>
        <v xml:space="preserve"> </v>
      </c>
      <c r="BF167" s="50" t="str">
        <f t="shared" si="38"/>
        <v>CYPRE RIVER_Steelhead</v>
      </c>
      <c r="BG167" s="50" t="str">
        <f>IFERROR(VLOOKUP(BF167,'[1]WCVI Esc'!$C$5:$W$534,18,FALSE),"-")</f>
        <v>-</v>
      </c>
      <c r="BH167" s="50" t="str">
        <f t="shared" si="47"/>
        <v>-</v>
      </c>
      <c r="BI167" s="50" t="str">
        <f>IFERROR(VLOOKUP(BF167,'[1]WCVI Esc'!$C$5:$W$534,19,FALSE),"-")</f>
        <v>-</v>
      </c>
      <c r="BJ167" s="50" t="str">
        <f t="shared" si="48"/>
        <v>-</v>
      </c>
    </row>
    <row r="168" spans="1:65" hidden="1" x14ac:dyDescent="0.2">
      <c r="A168" s="29">
        <v>2</v>
      </c>
      <c r="B168" s="29">
        <v>1</v>
      </c>
      <c r="C168" s="13">
        <v>24</v>
      </c>
      <c r="D168" s="13" t="s">
        <v>297</v>
      </c>
      <c r="E168" s="10" t="s">
        <v>41</v>
      </c>
      <c r="F168" s="10" t="s">
        <v>207</v>
      </c>
      <c r="G168" s="10"/>
      <c r="H168" s="152"/>
      <c r="I168" s="155"/>
      <c r="J168" s="106"/>
      <c r="K168" s="94"/>
      <c r="L168" s="158"/>
      <c r="M168" s="161"/>
      <c r="N168" s="106"/>
      <c r="O168" s="202"/>
      <c r="P168" s="63"/>
      <c r="Q168" s="162"/>
      <c r="R168" s="164"/>
      <c r="S168" s="62"/>
      <c r="T168" s="63"/>
      <c r="U168" s="62"/>
      <c r="V168" s="64"/>
      <c r="W168" s="164"/>
      <c r="X168" s="62"/>
      <c r="Y168" s="45"/>
      <c r="Z168" s="44"/>
      <c r="AA168" s="100">
        <f>Y168/AP168</f>
        <v>0</v>
      </c>
      <c r="AB168" s="100">
        <f>AS168/AP168</f>
        <v>0</v>
      </c>
      <c r="AC168" s="123">
        <v>3</v>
      </c>
      <c r="AD168" s="123"/>
      <c r="AE168" s="123"/>
      <c r="AF168" s="123"/>
      <c r="AG168" s="69">
        <v>24</v>
      </c>
      <c r="AH168" s="69" t="s">
        <v>297</v>
      </c>
      <c r="AI168" s="243" t="s">
        <v>41</v>
      </c>
      <c r="AJ168" s="243" t="s">
        <v>419</v>
      </c>
      <c r="AK168" s="244" t="s">
        <v>289</v>
      </c>
      <c r="AL168" s="43" t="str">
        <f t="shared" si="49"/>
        <v>-</v>
      </c>
      <c r="AM168" s="43">
        <f t="shared" si="54"/>
        <v>0</v>
      </c>
      <c r="AN168" s="193">
        <f t="shared" si="54"/>
        <v>0</v>
      </c>
      <c r="AO168" s="264">
        <f t="shared" si="41"/>
        <v>1360</v>
      </c>
      <c r="AP168" s="265">
        <f>BJ168</f>
        <v>1320</v>
      </c>
      <c r="AQ168" s="26" t="str">
        <f t="shared" si="39"/>
        <v>MEGIN RIVERSockeye</v>
      </c>
      <c r="AR168" s="26">
        <f t="shared" si="42"/>
        <v>0</v>
      </c>
      <c r="AS168" s="33">
        <f t="shared" si="50"/>
        <v>0</v>
      </c>
      <c r="AW168" s="34"/>
      <c r="AX168" s="47" t="str">
        <f t="shared" si="43"/>
        <v>MEGIN RIVERSockeye</v>
      </c>
      <c r="AY168" s="49">
        <f t="shared" si="44"/>
        <v>0</v>
      </c>
      <c r="AZ168" s="49">
        <f t="shared" si="45"/>
        <v>0</v>
      </c>
      <c r="BA168" s="31">
        <v>2016</v>
      </c>
      <c r="BB168" s="188" t="str">
        <f t="shared" si="46"/>
        <v>TCES</v>
      </c>
      <c r="BC168" s="188" t="str">
        <f t="shared" si="51"/>
        <v xml:space="preserve"> </v>
      </c>
      <c r="BD168" s="188" t="str">
        <f t="shared" si="52"/>
        <v xml:space="preserve"> </v>
      </c>
      <c r="BE168" s="188" t="str">
        <f t="shared" si="53"/>
        <v xml:space="preserve"> </v>
      </c>
      <c r="BF168" s="50" t="str">
        <f t="shared" si="38"/>
        <v>MEGIN RIVER_Sockeye</v>
      </c>
      <c r="BG168" s="50">
        <f>IFERROR(VLOOKUP(BF168,'[1]WCVI Esc'!$C$5:$W$534,18,FALSE),"-")</f>
        <v>1364</v>
      </c>
      <c r="BH168" s="50">
        <f t="shared" si="47"/>
        <v>1360</v>
      </c>
      <c r="BI168" s="50">
        <f>IFERROR(VLOOKUP(BF168,'[1]WCVI Esc'!$C$5:$W$534,19,FALSE),"-")</f>
        <v>1322</v>
      </c>
      <c r="BJ168" s="50">
        <f t="shared" si="48"/>
        <v>1320</v>
      </c>
    </row>
    <row r="169" spans="1:65" hidden="1" x14ac:dyDescent="0.2">
      <c r="A169" s="29">
        <v>2</v>
      </c>
      <c r="B169" s="29">
        <v>2</v>
      </c>
      <c r="C169" s="13">
        <v>24</v>
      </c>
      <c r="D169" s="13" t="s">
        <v>297</v>
      </c>
      <c r="E169" s="10" t="s">
        <v>41</v>
      </c>
      <c r="F169" s="10" t="s">
        <v>219</v>
      </c>
      <c r="G169" s="10"/>
      <c r="H169" s="152"/>
      <c r="I169" s="155"/>
      <c r="J169" s="106"/>
      <c r="K169" s="94"/>
      <c r="L169" s="158"/>
      <c r="M169" s="161"/>
      <c r="N169" s="106"/>
      <c r="O169" s="202"/>
      <c r="P169" s="63"/>
      <c r="Q169" s="162"/>
      <c r="R169" s="164"/>
      <c r="S169" s="62"/>
      <c r="T169" s="63"/>
      <c r="U169" s="62"/>
      <c r="V169" s="64"/>
      <c r="W169" s="164"/>
      <c r="X169" s="62"/>
      <c r="Y169" s="45"/>
      <c r="Z169" s="44"/>
      <c r="AA169" s="100">
        <f>Y169/AP169</f>
        <v>0</v>
      </c>
      <c r="AB169" s="100">
        <f>AS169/AP169</f>
        <v>0</v>
      </c>
      <c r="AC169" s="123">
        <v>3</v>
      </c>
      <c r="AD169" s="123"/>
      <c r="AE169" s="123"/>
      <c r="AF169" s="123"/>
      <c r="AG169" s="69">
        <v>24</v>
      </c>
      <c r="AH169" s="69" t="s">
        <v>297</v>
      </c>
      <c r="AI169" s="243" t="s">
        <v>41</v>
      </c>
      <c r="AJ169" s="243" t="s">
        <v>419</v>
      </c>
      <c r="AK169" s="244" t="s">
        <v>289</v>
      </c>
      <c r="AL169" s="43" t="str">
        <f t="shared" si="49"/>
        <v>-</v>
      </c>
      <c r="AM169" s="43">
        <f t="shared" si="54"/>
        <v>0</v>
      </c>
      <c r="AN169" s="193">
        <f t="shared" si="54"/>
        <v>0</v>
      </c>
      <c r="AO169" s="264">
        <f t="shared" si="41"/>
        <v>1240</v>
      </c>
      <c r="AP169" s="265">
        <f>BJ169</f>
        <v>1210</v>
      </c>
      <c r="AQ169" s="26" t="str">
        <f t="shared" si="39"/>
        <v>MEGIN RIVERCoho</v>
      </c>
      <c r="AR169" s="26">
        <f t="shared" si="42"/>
        <v>0</v>
      </c>
      <c r="AS169" s="33">
        <f t="shared" si="50"/>
        <v>0</v>
      </c>
      <c r="AW169" s="34"/>
      <c r="AX169" s="47" t="str">
        <f t="shared" si="43"/>
        <v>MEGIN RIVERCoho</v>
      </c>
      <c r="AY169" s="49">
        <f t="shared" si="44"/>
        <v>0</v>
      </c>
      <c r="AZ169" s="49">
        <f t="shared" si="45"/>
        <v>0</v>
      </c>
      <c r="BA169" s="31">
        <v>2016</v>
      </c>
      <c r="BB169" s="188" t="str">
        <f t="shared" si="46"/>
        <v>TCES</v>
      </c>
      <c r="BC169" s="188" t="str">
        <f t="shared" si="51"/>
        <v xml:space="preserve"> </v>
      </c>
      <c r="BD169" s="188" t="str">
        <f t="shared" si="52"/>
        <v xml:space="preserve"> </v>
      </c>
      <c r="BE169" s="188" t="str">
        <f t="shared" si="53"/>
        <v xml:space="preserve"> </v>
      </c>
      <c r="BF169" s="50" t="str">
        <f t="shared" si="38"/>
        <v>MEGIN RIVER_Coho</v>
      </c>
      <c r="BG169" s="50">
        <f>IFERROR(VLOOKUP(BF169,'[1]WCVI Esc'!$C$5:$W$534,18,FALSE),"-")</f>
        <v>1236.75</v>
      </c>
      <c r="BH169" s="50">
        <f t="shared" si="47"/>
        <v>1240</v>
      </c>
      <c r="BI169" s="50">
        <f>IFERROR(VLOOKUP(BF169,'[1]WCVI Esc'!$C$5:$W$534,19,FALSE),"-")</f>
        <v>1205.5</v>
      </c>
      <c r="BJ169" s="50">
        <f t="shared" si="48"/>
        <v>1210</v>
      </c>
    </row>
    <row r="170" spans="1:65" hidden="1" x14ac:dyDescent="0.2">
      <c r="A170" s="29">
        <v>2</v>
      </c>
      <c r="B170" s="29">
        <v>3</v>
      </c>
      <c r="C170" s="13">
        <v>24</v>
      </c>
      <c r="D170" s="13" t="s">
        <v>297</v>
      </c>
      <c r="E170" s="10" t="s">
        <v>41</v>
      </c>
      <c r="F170" s="10" t="s">
        <v>208</v>
      </c>
      <c r="G170" s="10"/>
      <c r="H170" s="152"/>
      <c r="I170" s="155"/>
      <c r="J170" s="106"/>
      <c r="K170" s="94"/>
      <c r="L170" s="158"/>
      <c r="M170" s="161"/>
      <c r="N170" s="106"/>
      <c r="O170" s="202"/>
      <c r="P170" s="63"/>
      <c r="Q170" s="162"/>
      <c r="R170" s="164"/>
      <c r="S170" s="62"/>
      <c r="T170" s="63"/>
      <c r="U170" s="62"/>
      <c r="V170" s="64"/>
      <c r="W170" s="164"/>
      <c r="X170" s="62"/>
      <c r="Y170" s="45"/>
      <c r="Z170" s="44"/>
      <c r="AA170" s="100">
        <f>Y170/AP170</f>
        <v>0</v>
      </c>
      <c r="AB170" s="100">
        <f>AS170/AP170</f>
        <v>0</v>
      </c>
      <c r="AC170" s="123"/>
      <c r="AD170" s="123"/>
      <c r="AE170" s="123"/>
      <c r="AF170" s="123"/>
      <c r="AG170" s="69">
        <v>24</v>
      </c>
      <c r="AH170" s="69" t="s">
        <v>297</v>
      </c>
      <c r="AI170" s="243" t="s">
        <v>41</v>
      </c>
      <c r="AJ170" s="243" t="s">
        <v>419</v>
      </c>
      <c r="AK170" s="244" t="s">
        <v>289</v>
      </c>
      <c r="AL170" s="43" t="str">
        <f t="shared" si="49"/>
        <v>-</v>
      </c>
      <c r="AM170" s="43">
        <f t="shared" si="54"/>
        <v>0</v>
      </c>
      <c r="AN170" s="193">
        <f t="shared" si="54"/>
        <v>0</v>
      </c>
      <c r="AO170" s="264">
        <f t="shared" si="41"/>
        <v>0</v>
      </c>
      <c r="AP170" s="265">
        <f>BJ170</f>
        <v>30</v>
      </c>
      <c r="AQ170" s="26" t="str">
        <f t="shared" si="39"/>
        <v>MEGIN RIVERPink</v>
      </c>
      <c r="AR170" s="26">
        <f t="shared" si="42"/>
        <v>0</v>
      </c>
      <c r="AS170" s="33">
        <f t="shared" si="50"/>
        <v>0</v>
      </c>
      <c r="AW170" s="34"/>
      <c r="AX170" s="47" t="str">
        <f t="shared" si="43"/>
        <v>MEGIN RIVERPink</v>
      </c>
      <c r="AY170" s="49">
        <f t="shared" si="44"/>
        <v>0</v>
      </c>
      <c r="AZ170" s="49">
        <f t="shared" si="45"/>
        <v>0</v>
      </c>
      <c r="BA170" s="31">
        <v>2016</v>
      </c>
      <c r="BB170" s="188" t="str">
        <f t="shared" si="46"/>
        <v>TCES</v>
      </c>
      <c r="BC170" s="188" t="str">
        <f t="shared" si="51"/>
        <v xml:space="preserve"> </v>
      </c>
      <c r="BD170" s="188" t="str">
        <f t="shared" si="52"/>
        <v xml:space="preserve"> </v>
      </c>
      <c r="BE170" s="188" t="str">
        <f t="shared" si="53"/>
        <v xml:space="preserve"> </v>
      </c>
      <c r="BF170" s="50" t="str">
        <f t="shared" si="38"/>
        <v>MEGIN RIVER_Pink</v>
      </c>
      <c r="BG170" s="50">
        <f>IFERROR(VLOOKUP(BF170,'[1]WCVI Esc'!$C$5:$W$534,18,FALSE),"-")</f>
        <v>1</v>
      </c>
      <c r="BH170" s="50">
        <f t="shared" si="47"/>
        <v>0</v>
      </c>
      <c r="BI170" s="50">
        <f>IFERROR(VLOOKUP(BF170,'[1]WCVI Esc'!$C$5:$W$534,19,FALSE),"-")</f>
        <v>25.2</v>
      </c>
      <c r="BJ170" s="50">
        <f t="shared" si="48"/>
        <v>30</v>
      </c>
    </row>
    <row r="171" spans="1:65" hidden="1" x14ac:dyDescent="0.2">
      <c r="A171" s="29">
        <v>2</v>
      </c>
      <c r="B171" s="29">
        <v>4</v>
      </c>
      <c r="C171" s="13">
        <v>24</v>
      </c>
      <c r="D171" s="13" t="s">
        <v>297</v>
      </c>
      <c r="E171" s="10" t="s">
        <v>41</v>
      </c>
      <c r="F171" s="10" t="s">
        <v>209</v>
      </c>
      <c r="G171" s="10"/>
      <c r="H171" s="152"/>
      <c r="I171" s="155"/>
      <c r="J171" s="106"/>
      <c r="K171" s="94"/>
      <c r="L171" s="158"/>
      <c r="M171" s="161"/>
      <c r="N171" s="106"/>
      <c r="O171" s="202"/>
      <c r="P171" s="63"/>
      <c r="Q171" s="162"/>
      <c r="R171" s="164"/>
      <c r="S171" s="62"/>
      <c r="T171" s="63"/>
      <c r="U171" s="62"/>
      <c r="V171" s="64"/>
      <c r="W171" s="164"/>
      <c r="X171" s="62"/>
      <c r="Y171" s="45"/>
      <c r="Z171" s="44"/>
      <c r="AA171" s="100">
        <f>Y171/AP171</f>
        <v>0</v>
      </c>
      <c r="AB171" s="100">
        <f>AS171/AP171</f>
        <v>0</v>
      </c>
      <c r="AC171" s="123">
        <v>3</v>
      </c>
      <c r="AD171" s="123"/>
      <c r="AE171" s="123"/>
      <c r="AF171" s="123"/>
      <c r="AG171" s="69">
        <v>24</v>
      </c>
      <c r="AH171" s="69" t="s">
        <v>297</v>
      </c>
      <c r="AI171" s="243" t="s">
        <v>41</v>
      </c>
      <c r="AJ171" s="243" t="s">
        <v>419</v>
      </c>
      <c r="AK171" s="244" t="s">
        <v>289</v>
      </c>
      <c r="AL171" s="43" t="str">
        <f t="shared" si="49"/>
        <v>-</v>
      </c>
      <c r="AM171" s="43">
        <f t="shared" si="54"/>
        <v>0</v>
      </c>
      <c r="AN171" s="193">
        <f t="shared" si="54"/>
        <v>0</v>
      </c>
      <c r="AO171" s="264">
        <f t="shared" si="41"/>
        <v>60</v>
      </c>
      <c r="AP171" s="265">
        <f>BJ171</f>
        <v>890</v>
      </c>
      <c r="AQ171" s="26" t="str">
        <f t="shared" si="39"/>
        <v>MEGIN RIVERChum</v>
      </c>
      <c r="AR171" s="26">
        <f t="shared" si="42"/>
        <v>0</v>
      </c>
      <c r="AS171" s="33">
        <f t="shared" si="50"/>
        <v>0</v>
      </c>
      <c r="AW171" s="34"/>
      <c r="AX171" s="47" t="str">
        <f t="shared" si="43"/>
        <v>MEGIN RIVERChum</v>
      </c>
      <c r="AY171" s="49">
        <f t="shared" si="44"/>
        <v>0</v>
      </c>
      <c r="AZ171" s="49">
        <f t="shared" si="45"/>
        <v>0</v>
      </c>
      <c r="BA171" s="31">
        <v>2016</v>
      </c>
      <c r="BB171" s="188" t="str">
        <f t="shared" si="46"/>
        <v>TCES</v>
      </c>
      <c r="BC171" s="188" t="str">
        <f t="shared" si="51"/>
        <v xml:space="preserve"> </v>
      </c>
      <c r="BD171" s="188" t="str">
        <f t="shared" si="52"/>
        <v xml:space="preserve"> </v>
      </c>
      <c r="BE171" s="188" t="str">
        <f t="shared" si="53"/>
        <v xml:space="preserve"> </v>
      </c>
      <c r="BF171" s="50" t="str">
        <f t="shared" si="38"/>
        <v>MEGIN RIVER_Chum</v>
      </c>
      <c r="BG171" s="50">
        <f>IFERROR(VLOOKUP(BF171,'[1]WCVI Esc'!$C$5:$W$534,18,FALSE),"-")</f>
        <v>58.75</v>
      </c>
      <c r="BH171" s="50">
        <f t="shared" si="47"/>
        <v>60</v>
      </c>
      <c r="BI171" s="50">
        <f>IFERROR(VLOOKUP(BF171,'[1]WCVI Esc'!$C$5:$W$534,19,FALSE),"-")</f>
        <v>885.5</v>
      </c>
      <c r="BJ171" s="50">
        <f t="shared" si="48"/>
        <v>890</v>
      </c>
    </row>
    <row r="172" spans="1:65" hidden="1" x14ac:dyDescent="0.2">
      <c r="A172" s="29">
        <v>2</v>
      </c>
      <c r="B172" s="29">
        <v>5</v>
      </c>
      <c r="C172" s="13">
        <v>24</v>
      </c>
      <c r="D172" s="13" t="s">
        <v>297</v>
      </c>
      <c r="E172" s="10" t="s">
        <v>41</v>
      </c>
      <c r="F172" s="10" t="s">
        <v>210</v>
      </c>
      <c r="G172" s="10"/>
      <c r="H172" s="152"/>
      <c r="I172" s="155"/>
      <c r="J172" s="106"/>
      <c r="K172" s="94"/>
      <c r="L172" s="158"/>
      <c r="M172" s="161"/>
      <c r="N172" s="106"/>
      <c r="O172" s="202"/>
      <c r="P172" s="63"/>
      <c r="Q172" s="162"/>
      <c r="R172" s="164"/>
      <c r="S172" s="62"/>
      <c r="T172" s="63"/>
      <c r="U172" s="62"/>
      <c r="V172" s="64"/>
      <c r="W172" s="164"/>
      <c r="X172" s="62"/>
      <c r="Y172" s="45"/>
      <c r="Z172" s="44"/>
      <c r="AA172" s="100">
        <f>Y172/AP172</f>
        <v>0</v>
      </c>
      <c r="AB172" s="100">
        <f>AS172/AP172</f>
        <v>0</v>
      </c>
      <c r="AC172" s="123">
        <v>2</v>
      </c>
      <c r="AD172" s="123">
        <v>663</v>
      </c>
      <c r="AE172" s="123">
        <v>195</v>
      </c>
      <c r="AF172" s="123">
        <f>Y172</f>
        <v>0</v>
      </c>
      <c r="AG172" s="69">
        <v>24</v>
      </c>
      <c r="AH172" s="69" t="s">
        <v>297</v>
      </c>
      <c r="AI172" s="243" t="s">
        <v>41</v>
      </c>
      <c r="AJ172" s="243" t="s">
        <v>419</v>
      </c>
      <c r="AK172" s="244" t="s">
        <v>289</v>
      </c>
      <c r="AL172" s="43" t="str">
        <f t="shared" si="49"/>
        <v>-</v>
      </c>
      <c r="AM172" s="43">
        <f t="shared" si="54"/>
        <v>0</v>
      </c>
      <c r="AN172" s="193">
        <f t="shared" si="54"/>
        <v>0</v>
      </c>
      <c r="AO172" s="264">
        <f t="shared" si="41"/>
        <v>30</v>
      </c>
      <c r="AP172" s="265">
        <f>BJ172</f>
        <v>40</v>
      </c>
      <c r="AQ172" s="26" t="str">
        <f t="shared" si="39"/>
        <v>MEGIN RIVERChinook</v>
      </c>
      <c r="AR172" s="26">
        <f t="shared" si="42"/>
        <v>0</v>
      </c>
      <c r="AS172" s="33">
        <f t="shared" si="50"/>
        <v>0</v>
      </c>
      <c r="AT172" s="34">
        <f>AS172*1.14</f>
        <v>0</v>
      </c>
      <c r="AU172" s="34">
        <f>AS172*2.88</f>
        <v>0</v>
      </c>
      <c r="AV172" s="36"/>
      <c r="AW172" s="34">
        <f>SUM(AT172:AU172)/2</f>
        <v>0</v>
      </c>
      <c r="AX172" s="47" t="str">
        <f t="shared" si="43"/>
        <v>MEGIN RIVERChinook</v>
      </c>
      <c r="AY172" s="49">
        <f t="shared" si="44"/>
        <v>0</v>
      </c>
      <c r="AZ172" s="49">
        <f t="shared" si="45"/>
        <v>0</v>
      </c>
      <c r="BA172" s="31">
        <v>2016</v>
      </c>
      <c r="BB172" s="188" t="str">
        <f t="shared" si="46"/>
        <v>TCES</v>
      </c>
      <c r="BC172" s="188" t="str">
        <f t="shared" si="51"/>
        <v xml:space="preserve"> </v>
      </c>
      <c r="BD172" s="188" t="str">
        <f t="shared" si="52"/>
        <v xml:space="preserve"> </v>
      </c>
      <c r="BE172" s="188" t="str">
        <f t="shared" si="53"/>
        <v xml:space="preserve"> </v>
      </c>
      <c r="BF172" s="50" t="str">
        <f t="shared" si="38"/>
        <v>MEGIN RIVER_Chinook</v>
      </c>
      <c r="BG172" s="50">
        <f>IFERROR(VLOOKUP(BF172,'[1]WCVI Esc'!$C$5:$W$534,18,FALSE),"-")</f>
        <v>34.5</v>
      </c>
      <c r="BH172" s="50">
        <f t="shared" si="47"/>
        <v>30</v>
      </c>
      <c r="BI172" s="50">
        <f>IFERROR(VLOOKUP(BF172,'[1]WCVI Esc'!$C$5:$W$534,19,FALSE),"-")</f>
        <v>42.5</v>
      </c>
      <c r="BJ172" s="50">
        <f t="shared" si="48"/>
        <v>40</v>
      </c>
      <c r="BK172">
        <v>6</v>
      </c>
      <c r="BL172" s="17" t="s">
        <v>456</v>
      </c>
      <c r="BM172" s="31">
        <v>1</v>
      </c>
    </row>
    <row r="173" spans="1:65" hidden="1" x14ac:dyDescent="0.2">
      <c r="A173" s="29">
        <v>2</v>
      </c>
      <c r="B173" s="29">
        <v>6</v>
      </c>
      <c r="C173" s="13">
        <v>24</v>
      </c>
      <c r="D173" s="13" t="s">
        <v>297</v>
      </c>
      <c r="E173" s="10" t="s">
        <v>41</v>
      </c>
      <c r="F173" s="10" t="s">
        <v>211</v>
      </c>
      <c r="G173" s="10"/>
      <c r="H173" s="152"/>
      <c r="I173" s="155"/>
      <c r="J173" s="106"/>
      <c r="K173" s="94"/>
      <c r="L173" s="158"/>
      <c r="M173" s="161"/>
      <c r="N173" s="106"/>
      <c r="O173" s="202"/>
      <c r="P173" s="63"/>
      <c r="Q173" s="162"/>
      <c r="R173" s="164"/>
      <c r="S173" s="62"/>
      <c r="T173" s="63"/>
      <c r="U173" s="62"/>
      <c r="V173" s="64"/>
      <c r="W173" s="164"/>
      <c r="X173" s="62"/>
      <c r="Y173" s="45"/>
      <c r="Z173" s="44"/>
      <c r="AA173" s="100"/>
      <c r="AB173" s="100"/>
      <c r="AC173" s="123"/>
      <c r="AD173" s="123"/>
      <c r="AE173" s="123"/>
      <c r="AF173" s="123"/>
      <c r="AG173" s="69">
        <v>24</v>
      </c>
      <c r="AH173" s="69" t="s">
        <v>297</v>
      </c>
      <c r="AI173" s="243" t="s">
        <v>41</v>
      </c>
      <c r="AJ173" s="243" t="s">
        <v>419</v>
      </c>
      <c r="AK173" s="244" t="s">
        <v>289</v>
      </c>
      <c r="AL173" s="43" t="str">
        <f t="shared" si="49"/>
        <v>-</v>
      </c>
      <c r="AM173" s="43">
        <f t="shared" si="54"/>
        <v>0</v>
      </c>
      <c r="AN173" s="193">
        <f t="shared" si="54"/>
        <v>0</v>
      </c>
      <c r="AO173" s="264" t="str">
        <f t="shared" si="41"/>
        <v>-</v>
      </c>
      <c r="AP173" s="267"/>
      <c r="AQ173" s="26" t="str">
        <f t="shared" si="39"/>
        <v>MEGIN RIVERSteelhead</v>
      </c>
      <c r="AR173" s="26">
        <f t="shared" si="42"/>
        <v>0</v>
      </c>
      <c r="AS173" s="33">
        <f t="shared" si="50"/>
        <v>0</v>
      </c>
      <c r="AW173" s="34"/>
      <c r="AX173" s="47" t="str">
        <f t="shared" si="43"/>
        <v>MEGIN RIVERSteelhead</v>
      </c>
      <c r="AY173" s="49">
        <f t="shared" si="44"/>
        <v>0</v>
      </c>
      <c r="AZ173" s="49">
        <f t="shared" si="45"/>
        <v>0</v>
      </c>
      <c r="BA173" s="31">
        <v>0</v>
      </c>
      <c r="BB173" s="188" t="str">
        <f t="shared" si="46"/>
        <v>TCES</v>
      </c>
      <c r="BC173" s="188" t="str">
        <f t="shared" si="51"/>
        <v xml:space="preserve"> </v>
      </c>
      <c r="BD173" s="188" t="str">
        <f t="shared" si="52"/>
        <v xml:space="preserve"> </v>
      </c>
      <c r="BE173" s="188" t="str">
        <f t="shared" si="53"/>
        <v xml:space="preserve"> </v>
      </c>
      <c r="BF173" s="50" t="str">
        <f t="shared" si="38"/>
        <v>MEGIN RIVER_Steelhead</v>
      </c>
      <c r="BG173" s="50" t="str">
        <f>IFERROR(VLOOKUP(BF173,'[1]WCVI Esc'!$C$5:$W$534,18,FALSE),"-")</f>
        <v>-</v>
      </c>
      <c r="BH173" s="50" t="str">
        <f t="shared" si="47"/>
        <v>-</v>
      </c>
      <c r="BI173" s="50" t="str">
        <f>IFERROR(VLOOKUP(BF173,'[1]WCVI Esc'!$C$5:$W$534,19,FALSE),"-")</f>
        <v>-</v>
      </c>
      <c r="BJ173" s="50" t="str">
        <f t="shared" si="48"/>
        <v>-</v>
      </c>
    </row>
    <row r="174" spans="1:65" hidden="1" x14ac:dyDescent="0.2">
      <c r="A174" s="29">
        <v>3</v>
      </c>
      <c r="B174" s="29">
        <v>1</v>
      </c>
      <c r="C174" s="13">
        <v>24</v>
      </c>
      <c r="D174" s="13" t="s">
        <v>297</v>
      </c>
      <c r="E174" s="10" t="s">
        <v>42</v>
      </c>
      <c r="F174" s="10" t="s">
        <v>207</v>
      </c>
      <c r="G174" s="10"/>
      <c r="H174" s="152"/>
      <c r="I174" s="155"/>
      <c r="J174" s="106"/>
      <c r="K174" s="94"/>
      <c r="L174" s="158"/>
      <c r="M174" s="161"/>
      <c r="N174" s="106"/>
      <c r="O174" s="106"/>
      <c r="P174" s="63"/>
      <c r="Q174" s="162"/>
      <c r="R174" s="164"/>
      <c r="S174" s="62"/>
      <c r="T174" s="63"/>
      <c r="U174" s="62"/>
      <c r="V174" s="64"/>
      <c r="W174" s="164"/>
      <c r="X174" s="62"/>
      <c r="Y174" s="44"/>
      <c r="Z174" s="44"/>
      <c r="AA174" s="100">
        <f>Y174/AP174</f>
        <v>0</v>
      </c>
      <c r="AB174" s="100">
        <f>AS174/AP174</f>
        <v>0</v>
      </c>
      <c r="AC174" s="123">
        <v>2</v>
      </c>
      <c r="AD174" s="123"/>
      <c r="AE174" s="123"/>
      <c r="AF174" s="123"/>
      <c r="AG174" s="69">
        <v>24</v>
      </c>
      <c r="AH174" s="69" t="s">
        <v>297</v>
      </c>
      <c r="AI174" s="243" t="s">
        <v>42</v>
      </c>
      <c r="AJ174" s="243" t="s">
        <v>419</v>
      </c>
      <c r="AK174" s="244" t="s">
        <v>289</v>
      </c>
      <c r="AL174" s="43" t="str">
        <f t="shared" si="49"/>
        <v>-</v>
      </c>
      <c r="AM174" s="43">
        <f t="shared" si="54"/>
        <v>0</v>
      </c>
      <c r="AN174" s="193">
        <f t="shared" si="54"/>
        <v>0</v>
      </c>
      <c r="AO174" s="264">
        <f t="shared" si="41"/>
        <v>180</v>
      </c>
      <c r="AP174" s="265">
        <f>BJ174</f>
        <v>220</v>
      </c>
      <c r="AQ174" s="26" t="str">
        <f t="shared" si="39"/>
        <v>MOYEHA RIVERSockeye</v>
      </c>
      <c r="AR174" s="26">
        <f t="shared" si="42"/>
        <v>0</v>
      </c>
      <c r="AS174" s="33">
        <f t="shared" si="50"/>
        <v>0</v>
      </c>
      <c r="AV174"/>
      <c r="AW174"/>
      <c r="AX174" s="47" t="str">
        <f t="shared" si="43"/>
        <v>MOYEHA RIVERSockeye</v>
      </c>
      <c r="AY174" s="49">
        <f t="shared" si="44"/>
        <v>0</v>
      </c>
      <c r="AZ174" s="49">
        <f t="shared" si="45"/>
        <v>0</v>
      </c>
      <c r="BA174" s="31">
        <v>2016</v>
      </c>
      <c r="BB174" s="188" t="str">
        <f t="shared" si="46"/>
        <v>TCES</v>
      </c>
      <c r="BC174" s="188" t="str">
        <f t="shared" si="51"/>
        <v xml:space="preserve"> </v>
      </c>
      <c r="BD174" s="188" t="str">
        <f t="shared" si="52"/>
        <v xml:space="preserve"> </v>
      </c>
      <c r="BE174" s="188" t="str">
        <f t="shared" si="53"/>
        <v xml:space="preserve"> </v>
      </c>
      <c r="BF174" s="50" t="str">
        <f t="shared" si="38"/>
        <v>MOYEHA RIVER_Sockeye</v>
      </c>
      <c r="BG174" s="50">
        <f>IFERROR(VLOOKUP(BF174,'[1]WCVI Esc'!$C$5:$W$534,18,FALSE),"-")</f>
        <v>178.5</v>
      </c>
      <c r="BH174" s="50">
        <f t="shared" si="47"/>
        <v>180</v>
      </c>
      <c r="BI174" s="50">
        <f>IFERROR(VLOOKUP(BF174,'[1]WCVI Esc'!$C$5:$W$534,19,FALSE),"-")</f>
        <v>219.1</v>
      </c>
      <c r="BJ174" s="50">
        <f t="shared" si="48"/>
        <v>220</v>
      </c>
    </row>
    <row r="175" spans="1:65" hidden="1" x14ac:dyDescent="0.2">
      <c r="A175" s="29">
        <v>3</v>
      </c>
      <c r="B175" s="29">
        <v>2</v>
      </c>
      <c r="C175" s="13">
        <v>24</v>
      </c>
      <c r="D175" s="13" t="s">
        <v>297</v>
      </c>
      <c r="E175" s="10" t="s">
        <v>42</v>
      </c>
      <c r="F175" s="10" t="s">
        <v>219</v>
      </c>
      <c r="G175" s="10"/>
      <c r="H175" s="152"/>
      <c r="I175" s="155"/>
      <c r="J175" s="106"/>
      <c r="K175" s="94"/>
      <c r="L175" s="158"/>
      <c r="M175" s="161"/>
      <c r="N175" s="106"/>
      <c r="O175" s="106"/>
      <c r="P175" s="63"/>
      <c r="Q175" s="162"/>
      <c r="R175" s="164"/>
      <c r="S175" s="62"/>
      <c r="T175" s="63"/>
      <c r="U175" s="62"/>
      <c r="V175" s="64"/>
      <c r="W175" s="164"/>
      <c r="X175" s="62"/>
      <c r="Y175" s="44"/>
      <c r="Z175" s="44"/>
      <c r="AA175" s="100">
        <f>Y175/AP175</f>
        <v>0</v>
      </c>
      <c r="AB175" s="100">
        <f>AS175/AP175</f>
        <v>0</v>
      </c>
      <c r="AC175" s="123"/>
      <c r="AD175" s="123"/>
      <c r="AE175" s="123"/>
      <c r="AF175" s="123"/>
      <c r="AG175" s="69">
        <v>24</v>
      </c>
      <c r="AH175" s="69" t="s">
        <v>297</v>
      </c>
      <c r="AI175" s="243" t="s">
        <v>42</v>
      </c>
      <c r="AJ175" s="243" t="s">
        <v>419</v>
      </c>
      <c r="AK175" s="244" t="s">
        <v>289</v>
      </c>
      <c r="AL175" s="43" t="str">
        <f t="shared" si="49"/>
        <v>-</v>
      </c>
      <c r="AM175" s="43">
        <f t="shared" si="54"/>
        <v>0</v>
      </c>
      <c r="AN175" s="193">
        <f t="shared" si="54"/>
        <v>0</v>
      </c>
      <c r="AO175" s="264">
        <f t="shared" si="41"/>
        <v>870</v>
      </c>
      <c r="AP175" s="265">
        <f>BJ175</f>
        <v>1430</v>
      </c>
      <c r="AQ175" s="26" t="str">
        <f t="shared" si="39"/>
        <v>MOYEHA RIVERCoho</v>
      </c>
      <c r="AR175" s="26">
        <f t="shared" si="42"/>
        <v>0</v>
      </c>
      <c r="AS175" s="33">
        <f t="shared" si="50"/>
        <v>0</v>
      </c>
      <c r="AV175"/>
      <c r="AW175"/>
      <c r="AX175" s="47" t="str">
        <f t="shared" si="43"/>
        <v>MOYEHA RIVERCoho</v>
      </c>
      <c r="AY175" s="49">
        <f t="shared" si="44"/>
        <v>0</v>
      </c>
      <c r="AZ175" s="49">
        <f t="shared" si="45"/>
        <v>0</v>
      </c>
      <c r="BA175" s="31">
        <v>2016</v>
      </c>
      <c r="BB175" s="188" t="str">
        <f t="shared" si="46"/>
        <v>TCES</v>
      </c>
      <c r="BC175" s="188" t="str">
        <f t="shared" si="51"/>
        <v xml:space="preserve"> </v>
      </c>
      <c r="BD175" s="188" t="str">
        <f t="shared" si="52"/>
        <v xml:space="preserve"> </v>
      </c>
      <c r="BE175" s="188" t="str">
        <f t="shared" si="53"/>
        <v xml:space="preserve"> </v>
      </c>
      <c r="BF175" s="50" t="str">
        <f t="shared" si="38"/>
        <v>MOYEHA RIVER_Coho</v>
      </c>
      <c r="BG175" s="50">
        <f>IFERROR(VLOOKUP(BF175,'[1]WCVI Esc'!$C$5:$W$534,18,FALSE),"-")</f>
        <v>872.75</v>
      </c>
      <c r="BH175" s="50">
        <f t="shared" si="47"/>
        <v>870</v>
      </c>
      <c r="BI175" s="50">
        <f>IFERROR(VLOOKUP(BF175,'[1]WCVI Esc'!$C$5:$W$534,19,FALSE),"-")</f>
        <v>1431.6</v>
      </c>
      <c r="BJ175" s="50">
        <f t="shared" si="48"/>
        <v>1430</v>
      </c>
    </row>
    <row r="176" spans="1:65" hidden="1" x14ac:dyDescent="0.2">
      <c r="A176" s="29">
        <v>3</v>
      </c>
      <c r="B176" s="29">
        <v>3</v>
      </c>
      <c r="C176" s="13">
        <v>24</v>
      </c>
      <c r="D176" s="13" t="s">
        <v>297</v>
      </c>
      <c r="E176" s="10" t="s">
        <v>42</v>
      </c>
      <c r="F176" s="10" t="s">
        <v>208</v>
      </c>
      <c r="G176" s="10"/>
      <c r="H176" s="152"/>
      <c r="I176" s="155"/>
      <c r="J176" s="106"/>
      <c r="K176" s="94"/>
      <c r="L176" s="158"/>
      <c r="M176" s="161"/>
      <c r="N176" s="106"/>
      <c r="O176" s="106"/>
      <c r="P176" s="63"/>
      <c r="Q176" s="162"/>
      <c r="R176" s="164"/>
      <c r="S176" s="62"/>
      <c r="T176" s="63"/>
      <c r="U176" s="62"/>
      <c r="V176" s="64"/>
      <c r="W176" s="164"/>
      <c r="X176" s="62"/>
      <c r="Y176" s="44"/>
      <c r="Z176" s="44"/>
      <c r="AA176" s="100">
        <f>Y176/AP176</f>
        <v>0</v>
      </c>
      <c r="AB176" s="100">
        <f>AS176/AP176</f>
        <v>0</v>
      </c>
      <c r="AC176" s="123"/>
      <c r="AD176" s="123"/>
      <c r="AE176" s="123"/>
      <c r="AF176" s="123"/>
      <c r="AG176" s="69">
        <v>24</v>
      </c>
      <c r="AH176" s="69" t="s">
        <v>297</v>
      </c>
      <c r="AI176" s="243" t="s">
        <v>42</v>
      </c>
      <c r="AJ176" s="243" t="s">
        <v>419</v>
      </c>
      <c r="AK176" s="244" t="s">
        <v>289</v>
      </c>
      <c r="AL176" s="43" t="str">
        <f t="shared" si="49"/>
        <v>-</v>
      </c>
      <c r="AM176" s="43">
        <f t="shared" si="54"/>
        <v>0</v>
      </c>
      <c r="AN176" s="193">
        <f t="shared" si="54"/>
        <v>0</v>
      </c>
      <c r="AO176" s="264">
        <f t="shared" si="41"/>
        <v>0</v>
      </c>
      <c r="AP176" s="265">
        <f>BJ176</f>
        <v>10</v>
      </c>
      <c r="AQ176" s="26" t="str">
        <f t="shared" si="39"/>
        <v>MOYEHA RIVERPink</v>
      </c>
      <c r="AR176" s="26">
        <f t="shared" si="42"/>
        <v>0</v>
      </c>
      <c r="AS176" s="33">
        <f t="shared" si="50"/>
        <v>0</v>
      </c>
      <c r="AV176"/>
      <c r="AW176"/>
      <c r="AX176" s="47" t="str">
        <f t="shared" si="43"/>
        <v>MOYEHA RIVERPink</v>
      </c>
      <c r="AY176" s="49">
        <f t="shared" si="44"/>
        <v>0</v>
      </c>
      <c r="AZ176" s="49">
        <f t="shared" si="45"/>
        <v>0</v>
      </c>
      <c r="BA176" s="31">
        <v>2011</v>
      </c>
      <c r="BB176" s="188" t="str">
        <f t="shared" si="46"/>
        <v>TCES</v>
      </c>
      <c r="BC176" s="188" t="str">
        <f t="shared" si="51"/>
        <v xml:space="preserve"> </v>
      </c>
      <c r="BD176" s="188" t="str">
        <f t="shared" si="52"/>
        <v xml:space="preserve"> </v>
      </c>
      <c r="BE176" s="188" t="str">
        <f t="shared" si="53"/>
        <v xml:space="preserve"> </v>
      </c>
      <c r="BF176" s="50" t="str">
        <f t="shared" si="38"/>
        <v>MOYEHA RIVER_Pink</v>
      </c>
      <c r="BG176" s="50">
        <f>IFERROR(VLOOKUP(BF176,'[1]WCVI Esc'!$C$5:$W$534,18,FALSE),"-")</f>
        <v>3</v>
      </c>
      <c r="BH176" s="50">
        <f t="shared" si="47"/>
        <v>0</v>
      </c>
      <c r="BI176" s="50">
        <f>IFERROR(VLOOKUP(BF176,'[1]WCVI Esc'!$C$5:$W$534,19,FALSE),"-")</f>
        <v>12.333333333333334</v>
      </c>
      <c r="BJ176" s="50">
        <f t="shared" si="48"/>
        <v>10</v>
      </c>
    </row>
    <row r="177" spans="1:65" hidden="1" x14ac:dyDescent="0.2">
      <c r="A177" s="29">
        <v>3</v>
      </c>
      <c r="B177" s="29">
        <v>4</v>
      </c>
      <c r="C177" s="13">
        <v>24</v>
      </c>
      <c r="D177" s="147" t="s">
        <v>297</v>
      </c>
      <c r="E177" s="10" t="s">
        <v>42</v>
      </c>
      <c r="F177" s="10" t="s">
        <v>209</v>
      </c>
      <c r="G177" s="10"/>
      <c r="H177" s="152"/>
      <c r="I177" s="155"/>
      <c r="J177" s="106"/>
      <c r="K177" s="94"/>
      <c r="L177" s="158"/>
      <c r="M177" s="161"/>
      <c r="N177" s="106"/>
      <c r="O177" s="106"/>
      <c r="P177" s="63"/>
      <c r="Q177" s="162"/>
      <c r="R177" s="164"/>
      <c r="S177" s="62"/>
      <c r="T177" s="63"/>
      <c r="U177" s="62"/>
      <c r="V177" s="64"/>
      <c r="W177" s="164"/>
      <c r="X177" s="62"/>
      <c r="Y177" s="44"/>
      <c r="Z177" s="44"/>
      <c r="AA177" s="100">
        <f>Y177/AP177</f>
        <v>0</v>
      </c>
      <c r="AB177" s="100">
        <f>AS177/AP177</f>
        <v>0</v>
      </c>
      <c r="AC177" s="123">
        <v>3</v>
      </c>
      <c r="AD177" s="123"/>
      <c r="AE177" s="123"/>
      <c r="AF177" s="123"/>
      <c r="AG177" s="69">
        <v>24</v>
      </c>
      <c r="AH177" s="69" t="s">
        <v>297</v>
      </c>
      <c r="AI177" s="243" t="s">
        <v>42</v>
      </c>
      <c r="AJ177" s="243" t="s">
        <v>419</v>
      </c>
      <c r="AK177" s="244" t="s">
        <v>289</v>
      </c>
      <c r="AL177" s="43" t="str">
        <f t="shared" si="49"/>
        <v>-</v>
      </c>
      <c r="AM177" s="43">
        <f t="shared" si="54"/>
        <v>0</v>
      </c>
      <c r="AN177" s="193">
        <f t="shared" si="54"/>
        <v>0</v>
      </c>
      <c r="AO177" s="264">
        <f t="shared" si="41"/>
        <v>720</v>
      </c>
      <c r="AP177" s="265">
        <f>BJ177</f>
        <v>4580</v>
      </c>
      <c r="AQ177" s="26" t="str">
        <f t="shared" si="39"/>
        <v>MOYEHA RIVERChum</v>
      </c>
      <c r="AR177" s="26">
        <f t="shared" si="42"/>
        <v>0</v>
      </c>
      <c r="AS177" s="33">
        <f t="shared" si="50"/>
        <v>0</v>
      </c>
      <c r="AV177"/>
      <c r="AW177"/>
      <c r="AX177" s="47" t="str">
        <f t="shared" si="43"/>
        <v>MOYEHA RIVERChum</v>
      </c>
      <c r="AY177" s="49">
        <f t="shared" si="44"/>
        <v>0</v>
      </c>
      <c r="AZ177" s="49">
        <f t="shared" si="45"/>
        <v>0</v>
      </c>
      <c r="BA177" s="31">
        <v>2016</v>
      </c>
      <c r="BB177" s="188" t="str">
        <f t="shared" si="46"/>
        <v>TCES</v>
      </c>
      <c r="BC177" s="188" t="str">
        <f t="shared" si="51"/>
        <v xml:space="preserve"> </v>
      </c>
      <c r="BD177" s="188" t="str">
        <f t="shared" si="52"/>
        <v xml:space="preserve"> </v>
      </c>
      <c r="BE177" s="188" t="str">
        <f t="shared" si="53"/>
        <v xml:space="preserve"> </v>
      </c>
      <c r="BF177" s="50" t="str">
        <f t="shared" si="38"/>
        <v>MOYEHA RIVER_Chum</v>
      </c>
      <c r="BG177" s="50">
        <f>IFERROR(VLOOKUP(BF177,'[1]WCVI Esc'!$C$5:$W$534,18,FALSE),"-")</f>
        <v>722</v>
      </c>
      <c r="BH177" s="50">
        <f t="shared" si="47"/>
        <v>720</v>
      </c>
      <c r="BI177" s="50">
        <f>IFERROR(VLOOKUP(BF177,'[1]WCVI Esc'!$C$5:$W$534,19,FALSE),"-")</f>
        <v>4584.8999999999996</v>
      </c>
      <c r="BJ177" s="50">
        <f t="shared" si="48"/>
        <v>4580</v>
      </c>
    </row>
    <row r="178" spans="1:65" hidden="1" x14ac:dyDescent="0.2">
      <c r="A178" s="29">
        <v>3</v>
      </c>
      <c r="B178" s="29">
        <v>5</v>
      </c>
      <c r="C178" s="13">
        <v>24</v>
      </c>
      <c r="D178" s="147" t="s">
        <v>297</v>
      </c>
      <c r="E178" s="10" t="s">
        <v>42</v>
      </c>
      <c r="F178" s="10" t="s">
        <v>210</v>
      </c>
      <c r="G178" s="10"/>
      <c r="H178" s="152"/>
      <c r="I178" s="155"/>
      <c r="J178" s="106"/>
      <c r="K178" s="94"/>
      <c r="L178" s="158"/>
      <c r="M178" s="161"/>
      <c r="N178" s="106"/>
      <c r="O178" s="106"/>
      <c r="P178" s="63"/>
      <c r="Q178" s="162"/>
      <c r="R178" s="164"/>
      <c r="S178" s="62"/>
      <c r="T178" s="63"/>
      <c r="U178" s="62"/>
      <c r="V178" s="64"/>
      <c r="W178" s="164"/>
      <c r="X178" s="62"/>
      <c r="Y178" s="44"/>
      <c r="Z178" s="44"/>
      <c r="AA178" s="100">
        <f>Y178/AP178</f>
        <v>0</v>
      </c>
      <c r="AB178" s="100">
        <f>AS178/AP178</f>
        <v>0</v>
      </c>
      <c r="AC178" s="123">
        <v>2</v>
      </c>
      <c r="AD178" s="123">
        <v>868</v>
      </c>
      <c r="AE178" s="123">
        <v>255</v>
      </c>
      <c r="AF178" s="123">
        <f>Y178</f>
        <v>0</v>
      </c>
      <c r="AG178" s="69">
        <v>24</v>
      </c>
      <c r="AH178" s="69" t="s">
        <v>297</v>
      </c>
      <c r="AI178" s="243" t="s">
        <v>42</v>
      </c>
      <c r="AJ178" s="243" t="s">
        <v>419</v>
      </c>
      <c r="AK178" s="244" t="s">
        <v>289</v>
      </c>
      <c r="AL178" s="43" t="str">
        <f t="shared" si="49"/>
        <v>-</v>
      </c>
      <c r="AM178" s="43">
        <f t="shared" si="54"/>
        <v>0</v>
      </c>
      <c r="AN178" s="193">
        <f t="shared" si="54"/>
        <v>0</v>
      </c>
      <c r="AO178" s="264">
        <f t="shared" si="41"/>
        <v>70</v>
      </c>
      <c r="AP178" s="265">
        <f>BJ178</f>
        <v>70</v>
      </c>
      <c r="AQ178" s="26" t="str">
        <f t="shared" si="39"/>
        <v>MOYEHA RIVERChinook</v>
      </c>
      <c r="AR178" s="26">
        <f t="shared" si="42"/>
        <v>0</v>
      </c>
      <c r="AS178" s="33">
        <f t="shared" si="50"/>
        <v>0</v>
      </c>
      <c r="AT178" s="34">
        <f>AS178*1.14</f>
        <v>0</v>
      </c>
      <c r="AU178" s="34">
        <f>AS178*2.88</f>
        <v>0</v>
      </c>
      <c r="AV178" s="35"/>
      <c r="AW178" s="34">
        <f>SUM(AT178:AU178)/2</f>
        <v>0</v>
      </c>
      <c r="AX178" s="47" t="str">
        <f t="shared" si="43"/>
        <v>MOYEHA RIVERChinook</v>
      </c>
      <c r="AY178" s="49">
        <f t="shared" si="44"/>
        <v>0</v>
      </c>
      <c r="AZ178" s="49">
        <f t="shared" si="45"/>
        <v>0</v>
      </c>
      <c r="BA178" s="31">
        <v>2016</v>
      </c>
      <c r="BB178" s="188" t="str">
        <f t="shared" si="46"/>
        <v>TCES</v>
      </c>
      <c r="BC178" s="188" t="str">
        <f t="shared" si="51"/>
        <v xml:space="preserve"> </v>
      </c>
      <c r="BD178" s="188" t="str">
        <f t="shared" si="52"/>
        <v xml:space="preserve"> </v>
      </c>
      <c r="BE178" s="188" t="str">
        <f t="shared" si="53"/>
        <v xml:space="preserve"> </v>
      </c>
      <c r="BF178" s="50" t="str">
        <f t="shared" si="38"/>
        <v>MOYEHA RIVER_Chinook</v>
      </c>
      <c r="BG178" s="50">
        <f>IFERROR(VLOOKUP(BF178,'[1]WCVI Esc'!$C$5:$W$534,18,FALSE),"-")</f>
        <v>73.75</v>
      </c>
      <c r="BH178" s="50">
        <f t="shared" si="47"/>
        <v>70</v>
      </c>
      <c r="BI178" s="50">
        <f>IFERROR(VLOOKUP(BF178,'[1]WCVI Esc'!$C$5:$W$534,19,FALSE),"-")</f>
        <v>70.599999999999994</v>
      </c>
      <c r="BJ178" s="50">
        <f t="shared" si="48"/>
        <v>70</v>
      </c>
      <c r="BK178">
        <v>5</v>
      </c>
      <c r="BM178" s="31">
        <v>1</v>
      </c>
    </row>
    <row r="179" spans="1:65" hidden="1" x14ac:dyDescent="0.2">
      <c r="A179" s="29">
        <v>3</v>
      </c>
      <c r="B179" s="29">
        <v>6</v>
      </c>
      <c r="C179" s="13">
        <v>24</v>
      </c>
      <c r="D179" s="147" t="s">
        <v>297</v>
      </c>
      <c r="E179" s="10" t="s">
        <v>42</v>
      </c>
      <c r="F179" s="10" t="s">
        <v>211</v>
      </c>
      <c r="G179" s="10"/>
      <c r="H179" s="152"/>
      <c r="I179" s="155"/>
      <c r="J179" s="106"/>
      <c r="K179" s="94"/>
      <c r="L179" s="158"/>
      <c r="M179" s="161"/>
      <c r="N179" s="106"/>
      <c r="O179" s="106"/>
      <c r="P179" s="63"/>
      <c r="Q179" s="162"/>
      <c r="R179" s="164"/>
      <c r="S179" s="62"/>
      <c r="T179" s="63"/>
      <c r="U179" s="62"/>
      <c r="V179" s="64"/>
      <c r="W179" s="164"/>
      <c r="X179" s="62"/>
      <c r="Y179" s="45"/>
      <c r="Z179" s="44"/>
      <c r="AA179" s="100"/>
      <c r="AB179" s="100"/>
      <c r="AC179" s="123"/>
      <c r="AD179" s="123"/>
      <c r="AE179" s="123"/>
      <c r="AF179" s="123"/>
      <c r="AG179" s="69">
        <v>24</v>
      </c>
      <c r="AH179" s="69" t="s">
        <v>297</v>
      </c>
      <c r="AI179" s="243" t="s">
        <v>42</v>
      </c>
      <c r="AJ179" s="243" t="s">
        <v>419</v>
      </c>
      <c r="AK179" s="244" t="s">
        <v>289</v>
      </c>
      <c r="AL179" s="43" t="str">
        <f t="shared" si="49"/>
        <v>-</v>
      </c>
      <c r="AM179" s="43">
        <f t="shared" si="54"/>
        <v>0</v>
      </c>
      <c r="AN179" s="193">
        <f t="shared" si="54"/>
        <v>0</v>
      </c>
      <c r="AO179" s="264" t="str">
        <f t="shared" si="41"/>
        <v>-</v>
      </c>
      <c r="AP179" s="266"/>
      <c r="AQ179" s="26" t="str">
        <f t="shared" si="39"/>
        <v>MOYEHA RIVERSteelhead</v>
      </c>
      <c r="AR179" s="26">
        <f t="shared" si="42"/>
        <v>0</v>
      </c>
      <c r="AS179" s="33">
        <f t="shared" si="50"/>
        <v>0</v>
      </c>
      <c r="AV179"/>
      <c r="AW179" s="34"/>
      <c r="AX179" s="47" t="str">
        <f t="shared" si="43"/>
        <v>MOYEHA RIVERSteelhead</v>
      </c>
      <c r="AY179" s="49">
        <f t="shared" si="44"/>
        <v>0</v>
      </c>
      <c r="AZ179" s="49">
        <f t="shared" si="45"/>
        <v>0</v>
      </c>
      <c r="BA179" s="31">
        <v>0</v>
      </c>
      <c r="BB179" s="188" t="str">
        <f t="shared" si="46"/>
        <v>TCES</v>
      </c>
      <c r="BC179" s="188" t="str">
        <f t="shared" si="51"/>
        <v xml:space="preserve"> </v>
      </c>
      <c r="BD179" s="188" t="str">
        <f t="shared" si="52"/>
        <v xml:space="preserve"> </v>
      </c>
      <c r="BE179" s="188" t="str">
        <f t="shared" si="53"/>
        <v xml:space="preserve"> </v>
      </c>
      <c r="BF179" s="50" t="str">
        <f t="shared" si="38"/>
        <v>MOYEHA RIVER_Steelhead</v>
      </c>
      <c r="BG179" s="50" t="str">
        <f>IFERROR(VLOOKUP(BF179,'[1]WCVI Esc'!$C$5:$W$534,18,FALSE),"-")</f>
        <v>-</v>
      </c>
      <c r="BH179" s="50" t="str">
        <f t="shared" si="47"/>
        <v>-</v>
      </c>
      <c r="BI179" s="50" t="str">
        <f>IFERROR(VLOOKUP(BF179,'[1]WCVI Esc'!$C$5:$W$534,19,FALSE),"-")</f>
        <v>-</v>
      </c>
      <c r="BJ179" s="50" t="str">
        <f t="shared" si="48"/>
        <v>-</v>
      </c>
    </row>
    <row r="180" spans="1:65" hidden="1" x14ac:dyDescent="0.2">
      <c r="A180" s="28">
        <v>3</v>
      </c>
      <c r="B180" s="28">
        <v>1</v>
      </c>
      <c r="C180" s="11">
        <v>25</v>
      </c>
      <c r="D180" s="147" t="s">
        <v>300</v>
      </c>
      <c r="E180" s="10" t="s">
        <v>135</v>
      </c>
      <c r="F180" s="10" t="s">
        <v>207</v>
      </c>
      <c r="G180" s="10"/>
      <c r="H180" s="152"/>
      <c r="I180" s="155"/>
      <c r="J180" s="106"/>
      <c r="K180" s="94"/>
      <c r="L180" s="158"/>
      <c r="M180" s="161"/>
      <c r="N180" s="106"/>
      <c r="O180" s="106"/>
      <c r="P180" s="63"/>
      <c r="Q180" s="162"/>
      <c r="R180" s="164"/>
      <c r="S180" s="62"/>
      <c r="T180" s="62"/>
      <c r="U180" s="62"/>
      <c r="V180" s="64"/>
      <c r="W180" s="164"/>
      <c r="X180" s="62"/>
      <c r="Y180" s="45"/>
      <c r="Z180" s="44"/>
      <c r="AA180" s="100" t="e">
        <f>Y180/AP180</f>
        <v>#DIV/0!</v>
      </c>
      <c r="AB180" s="100" t="e">
        <f>AS180/AP180</f>
        <v>#DIV/0!</v>
      </c>
      <c r="AG180" s="18">
        <v>25</v>
      </c>
      <c r="AH180" s="69" t="s">
        <v>300</v>
      </c>
      <c r="AI180" s="243" t="s">
        <v>135</v>
      </c>
      <c r="AJ180" s="243" t="s">
        <v>419</v>
      </c>
      <c r="AK180" s="246"/>
      <c r="AL180" s="43" t="str">
        <f t="shared" si="49"/>
        <v>-</v>
      </c>
      <c r="AM180" s="43">
        <f t="shared" si="54"/>
        <v>0</v>
      </c>
      <c r="AN180" s="193">
        <f t="shared" si="54"/>
        <v>0</v>
      </c>
      <c r="AO180" s="264">
        <f t="shared" si="41"/>
        <v>0</v>
      </c>
      <c r="AP180" s="265">
        <f>BJ180</f>
        <v>0</v>
      </c>
      <c r="AQ180" s="26" t="str">
        <f t="shared" si="39"/>
        <v>CHUM CREEKSockeye</v>
      </c>
      <c r="AR180" s="26">
        <f t="shared" si="42"/>
        <v>0</v>
      </c>
      <c r="AS180" s="33">
        <f t="shared" si="50"/>
        <v>0</v>
      </c>
      <c r="AX180" s="47" t="str">
        <f t="shared" si="43"/>
        <v>CHUM CREEKSockeye</v>
      </c>
      <c r="AY180" s="49">
        <f t="shared" si="44"/>
        <v>0</v>
      </c>
      <c r="AZ180" s="49">
        <f t="shared" si="45"/>
        <v>0</v>
      </c>
      <c r="BA180" s="31">
        <v>2011</v>
      </c>
      <c r="BB180" s="188">
        <f t="shared" si="46"/>
        <v>0</v>
      </c>
      <c r="BC180" s="188" t="str">
        <f t="shared" si="51"/>
        <v xml:space="preserve"> </v>
      </c>
      <c r="BD180" s="188" t="str">
        <f t="shared" si="52"/>
        <v xml:space="preserve"> </v>
      </c>
      <c r="BE180" s="188" t="str">
        <f t="shared" si="53"/>
        <v xml:space="preserve"> </v>
      </c>
      <c r="BF180" s="50" t="str">
        <f t="shared" si="38"/>
        <v>CHUM CREEK_Sockeye</v>
      </c>
      <c r="BG180" s="50">
        <f>IFERROR(VLOOKUP(BF180,'[1]WCVI Esc'!$C$5:$W$534,18,FALSE),"-")</f>
        <v>2</v>
      </c>
      <c r="BH180" s="50">
        <f t="shared" si="47"/>
        <v>0</v>
      </c>
      <c r="BI180" s="50">
        <f>IFERROR(VLOOKUP(BF180,'[1]WCVI Esc'!$C$5:$W$534,19,FALSE),"-")</f>
        <v>3.5</v>
      </c>
      <c r="BJ180" s="50">
        <f t="shared" si="48"/>
        <v>0</v>
      </c>
    </row>
    <row r="181" spans="1:65" hidden="1" x14ac:dyDescent="0.2">
      <c r="A181" s="28">
        <v>3</v>
      </c>
      <c r="B181" s="28">
        <v>2</v>
      </c>
      <c r="C181" s="11">
        <v>25</v>
      </c>
      <c r="D181" s="147" t="s">
        <v>300</v>
      </c>
      <c r="E181" s="10" t="s">
        <v>135</v>
      </c>
      <c r="F181" s="10" t="s">
        <v>219</v>
      </c>
      <c r="G181" s="10"/>
      <c r="H181" s="152"/>
      <c r="I181" s="155"/>
      <c r="J181" s="106"/>
      <c r="K181" s="94"/>
      <c r="L181" s="158"/>
      <c r="M181" s="161"/>
      <c r="N181" s="106"/>
      <c r="O181" s="106"/>
      <c r="P181" s="63"/>
      <c r="Q181" s="162"/>
      <c r="R181" s="164"/>
      <c r="S181" s="62"/>
      <c r="T181" s="63"/>
      <c r="U181" s="62"/>
      <c r="V181" s="64"/>
      <c r="W181" s="164"/>
      <c r="X181" s="62"/>
      <c r="Y181" s="45"/>
      <c r="Z181" s="44"/>
      <c r="AA181" s="100">
        <f>Y181/AP181</f>
        <v>0</v>
      </c>
      <c r="AB181" s="100">
        <f>AS181/AP181</f>
        <v>0</v>
      </c>
      <c r="AC181" s="123">
        <v>3</v>
      </c>
      <c r="AD181" s="123"/>
      <c r="AE181" s="123"/>
      <c r="AF181" s="123"/>
      <c r="AG181" s="18">
        <v>25</v>
      </c>
      <c r="AH181" s="69" t="s">
        <v>300</v>
      </c>
      <c r="AI181" s="243" t="s">
        <v>135</v>
      </c>
      <c r="AJ181" s="243" t="s">
        <v>419</v>
      </c>
      <c r="AK181" s="246"/>
      <c r="AL181" s="43" t="str">
        <f t="shared" si="49"/>
        <v>-</v>
      </c>
      <c r="AM181" s="43">
        <f t="shared" si="54"/>
        <v>0</v>
      </c>
      <c r="AN181" s="193">
        <f t="shared" si="54"/>
        <v>0</v>
      </c>
      <c r="AO181" s="264">
        <f t="shared" si="41"/>
        <v>10</v>
      </c>
      <c r="AP181" s="265">
        <f>BJ181</f>
        <v>40</v>
      </c>
      <c r="AQ181" s="26" t="str">
        <f t="shared" si="39"/>
        <v>CHUM CREEKCoho</v>
      </c>
      <c r="AR181" s="26">
        <f t="shared" si="42"/>
        <v>0</v>
      </c>
      <c r="AS181" s="33">
        <f t="shared" si="50"/>
        <v>0</v>
      </c>
      <c r="AX181" s="47" t="str">
        <f t="shared" si="43"/>
        <v>CHUM CREEKCoho</v>
      </c>
      <c r="AY181" s="49">
        <f t="shared" si="44"/>
        <v>0</v>
      </c>
      <c r="AZ181" s="49">
        <f t="shared" si="45"/>
        <v>0</v>
      </c>
      <c r="BA181" s="31">
        <v>2012</v>
      </c>
      <c r="BB181" s="188">
        <f t="shared" si="46"/>
        <v>0</v>
      </c>
      <c r="BC181" s="188" t="str">
        <f t="shared" si="51"/>
        <v xml:space="preserve"> </v>
      </c>
      <c r="BD181" s="188" t="str">
        <f t="shared" si="52"/>
        <v xml:space="preserve"> </v>
      </c>
      <c r="BE181" s="188" t="str">
        <f t="shared" si="53"/>
        <v xml:space="preserve"> </v>
      </c>
      <c r="BF181" s="50" t="str">
        <f t="shared" si="38"/>
        <v>CHUM CREEK_Coho</v>
      </c>
      <c r="BG181" s="50">
        <f>IFERROR(VLOOKUP(BF181,'[1]WCVI Esc'!$C$5:$W$534,18,FALSE),"-")</f>
        <v>13.5</v>
      </c>
      <c r="BH181" s="50">
        <f t="shared" si="47"/>
        <v>10</v>
      </c>
      <c r="BI181" s="50">
        <f>IFERROR(VLOOKUP(BF181,'[1]WCVI Esc'!$C$5:$W$534,19,FALSE),"-")</f>
        <v>41.666666666666664</v>
      </c>
      <c r="BJ181" s="50">
        <f t="shared" si="48"/>
        <v>40</v>
      </c>
    </row>
    <row r="182" spans="1:65" hidden="1" x14ac:dyDescent="0.2">
      <c r="A182" s="28">
        <v>3</v>
      </c>
      <c r="B182" s="28">
        <v>3</v>
      </c>
      <c r="C182" s="11">
        <v>25</v>
      </c>
      <c r="D182" s="147" t="s">
        <v>300</v>
      </c>
      <c r="E182" s="10" t="s">
        <v>135</v>
      </c>
      <c r="F182" s="10" t="s">
        <v>208</v>
      </c>
      <c r="G182" s="10"/>
      <c r="H182" s="152"/>
      <c r="I182" s="155"/>
      <c r="J182" s="106"/>
      <c r="K182" s="94"/>
      <c r="L182" s="158"/>
      <c r="M182" s="161"/>
      <c r="N182" s="106"/>
      <c r="O182" s="106"/>
      <c r="P182" s="63"/>
      <c r="Q182" s="162"/>
      <c r="R182" s="164"/>
      <c r="S182" s="62"/>
      <c r="T182" s="62"/>
      <c r="U182" s="62"/>
      <c r="V182" s="64"/>
      <c r="W182" s="164"/>
      <c r="X182" s="62"/>
      <c r="Y182" s="45"/>
      <c r="Z182" s="44"/>
      <c r="AA182" s="100"/>
      <c r="AB182" s="100"/>
      <c r="AG182" s="18">
        <v>25</v>
      </c>
      <c r="AH182" s="69" t="s">
        <v>300</v>
      </c>
      <c r="AI182" s="243" t="s">
        <v>135</v>
      </c>
      <c r="AJ182" s="243" t="s">
        <v>419</v>
      </c>
      <c r="AK182" s="246"/>
      <c r="AL182" s="43" t="str">
        <f t="shared" si="49"/>
        <v>-</v>
      </c>
      <c r="AM182" s="43">
        <f t="shared" si="54"/>
        <v>0</v>
      </c>
      <c r="AN182" s="193">
        <f t="shared" si="54"/>
        <v>0</v>
      </c>
      <c r="AO182" s="264" t="str">
        <f t="shared" si="41"/>
        <v>-</v>
      </c>
      <c r="AP182" s="266"/>
      <c r="AQ182" s="26" t="str">
        <f t="shared" si="39"/>
        <v>CHUM CREEKPink</v>
      </c>
      <c r="AR182" s="26">
        <f t="shared" si="42"/>
        <v>0</v>
      </c>
      <c r="AS182" s="33">
        <f t="shared" si="50"/>
        <v>0</v>
      </c>
      <c r="AX182" s="47" t="str">
        <f t="shared" si="43"/>
        <v>CHUM CREEKPink</v>
      </c>
      <c r="AY182" s="49">
        <f t="shared" si="44"/>
        <v>0</v>
      </c>
      <c r="AZ182" s="49">
        <f t="shared" si="45"/>
        <v>0</v>
      </c>
      <c r="BA182" s="31">
        <v>0</v>
      </c>
      <c r="BB182" s="188">
        <f t="shared" si="46"/>
        <v>0</v>
      </c>
      <c r="BC182" s="188" t="str">
        <f t="shared" si="51"/>
        <v xml:space="preserve"> </v>
      </c>
      <c r="BD182" s="188" t="str">
        <f t="shared" si="52"/>
        <v xml:space="preserve"> </v>
      </c>
      <c r="BE182" s="188" t="str">
        <f t="shared" si="53"/>
        <v xml:space="preserve"> </v>
      </c>
      <c r="BF182" s="50" t="str">
        <f t="shared" si="38"/>
        <v>CHUM CREEK_Pink</v>
      </c>
      <c r="BG182" s="50" t="str">
        <f>IFERROR(VLOOKUP(BF182,'[1]WCVI Esc'!$C$5:$W$534,18,FALSE),"-")</f>
        <v>-</v>
      </c>
      <c r="BH182" s="50" t="str">
        <f t="shared" si="47"/>
        <v>-</v>
      </c>
      <c r="BI182" s="50" t="str">
        <f>IFERROR(VLOOKUP(BF182,'[1]WCVI Esc'!$C$5:$W$534,19,FALSE),"-")</f>
        <v>-</v>
      </c>
      <c r="BJ182" s="50" t="str">
        <f t="shared" si="48"/>
        <v>-</v>
      </c>
    </row>
    <row r="183" spans="1:65" hidden="1" x14ac:dyDescent="0.2">
      <c r="A183" s="28">
        <v>3</v>
      </c>
      <c r="B183" s="28">
        <v>4</v>
      </c>
      <c r="C183" s="11">
        <v>25</v>
      </c>
      <c r="D183" s="147" t="s">
        <v>300</v>
      </c>
      <c r="E183" s="10" t="s">
        <v>135</v>
      </c>
      <c r="F183" s="10" t="s">
        <v>209</v>
      </c>
      <c r="G183" s="10"/>
      <c r="H183" s="152"/>
      <c r="I183" s="155"/>
      <c r="J183" s="106"/>
      <c r="K183" s="94"/>
      <c r="L183" s="106"/>
      <c r="M183" s="161"/>
      <c r="N183" s="106"/>
      <c r="O183" s="106"/>
      <c r="P183" s="63"/>
      <c r="Q183" s="162"/>
      <c r="R183" s="164"/>
      <c r="S183" s="62"/>
      <c r="T183" s="63"/>
      <c r="U183" s="62"/>
      <c r="V183" s="62"/>
      <c r="W183" s="164"/>
      <c r="X183" s="62"/>
      <c r="Y183" s="45"/>
      <c r="Z183" s="44"/>
      <c r="AA183" s="100">
        <f>Y183/AP183</f>
        <v>0</v>
      </c>
      <c r="AB183" s="100">
        <f>AS183/AP183</f>
        <v>0</v>
      </c>
      <c r="AC183" s="123">
        <v>2</v>
      </c>
      <c r="AD183" s="123"/>
      <c r="AE183" s="123"/>
      <c r="AF183" s="123"/>
      <c r="AG183" s="18">
        <v>25</v>
      </c>
      <c r="AH183" s="69" t="s">
        <v>300</v>
      </c>
      <c r="AI183" s="243" t="s">
        <v>135</v>
      </c>
      <c r="AJ183" s="243" t="s">
        <v>419</v>
      </c>
      <c r="AK183" s="246"/>
      <c r="AL183" s="43" t="str">
        <f t="shared" si="49"/>
        <v>-</v>
      </c>
      <c r="AM183" s="43">
        <f t="shared" si="54"/>
        <v>0</v>
      </c>
      <c r="AN183" s="193">
        <f t="shared" si="54"/>
        <v>0</v>
      </c>
      <c r="AO183" s="264">
        <f t="shared" si="41"/>
        <v>190</v>
      </c>
      <c r="AP183" s="265">
        <f>BJ183</f>
        <v>1620</v>
      </c>
      <c r="AQ183" s="26" t="str">
        <f t="shared" si="39"/>
        <v>CHUM CREEKChum</v>
      </c>
      <c r="AR183" s="26">
        <f t="shared" si="42"/>
        <v>0</v>
      </c>
      <c r="AS183" s="33">
        <f t="shared" si="50"/>
        <v>0</v>
      </c>
      <c r="AX183" s="47" t="str">
        <f t="shared" si="43"/>
        <v>CHUM CREEKChum</v>
      </c>
      <c r="AY183" s="49">
        <f t="shared" si="44"/>
        <v>0</v>
      </c>
      <c r="AZ183" s="49">
        <f t="shared" si="45"/>
        <v>0</v>
      </c>
      <c r="BA183" s="31">
        <v>2012</v>
      </c>
      <c r="BB183" s="188">
        <f t="shared" si="46"/>
        <v>0</v>
      </c>
      <c r="BC183" s="188" t="str">
        <f t="shared" si="51"/>
        <v xml:space="preserve"> </v>
      </c>
      <c r="BD183" s="188" t="str">
        <f t="shared" si="52"/>
        <v xml:space="preserve"> </v>
      </c>
      <c r="BE183" s="188" t="str">
        <f t="shared" si="53"/>
        <v xml:space="preserve"> </v>
      </c>
      <c r="BF183" s="50" t="str">
        <f t="shared" si="38"/>
        <v>CHUM CREEK_Chum</v>
      </c>
      <c r="BG183" s="50">
        <f>IFERROR(VLOOKUP(BF183,'[1]WCVI Esc'!$C$5:$W$534,18,FALSE),"-")</f>
        <v>191.25</v>
      </c>
      <c r="BH183" s="50">
        <f t="shared" si="47"/>
        <v>190</v>
      </c>
      <c r="BI183" s="50">
        <f>IFERROR(VLOOKUP(BF183,'[1]WCVI Esc'!$C$5:$W$534,19,FALSE),"-")</f>
        <v>1616.75</v>
      </c>
      <c r="BJ183" s="50">
        <f t="shared" si="48"/>
        <v>1620</v>
      </c>
    </row>
    <row r="184" spans="1:65" x14ac:dyDescent="0.2">
      <c r="A184" s="28">
        <v>3</v>
      </c>
      <c r="B184" s="28">
        <v>5</v>
      </c>
      <c r="C184" s="11">
        <v>25</v>
      </c>
      <c r="D184" s="147" t="s">
        <v>300</v>
      </c>
      <c r="E184" s="10" t="s">
        <v>135</v>
      </c>
      <c r="F184" s="10" t="s">
        <v>210</v>
      </c>
      <c r="G184" s="10"/>
      <c r="H184" s="152"/>
      <c r="I184" s="155"/>
      <c r="J184" s="106"/>
      <c r="K184" s="94"/>
      <c r="L184" s="106"/>
      <c r="M184" s="161"/>
      <c r="N184" s="106"/>
      <c r="O184" s="106"/>
      <c r="P184" s="63"/>
      <c r="Q184" s="162"/>
      <c r="R184" s="164"/>
      <c r="S184" s="62"/>
      <c r="T184" s="63"/>
      <c r="U184" s="62"/>
      <c r="V184" s="62"/>
      <c r="W184" s="164"/>
      <c r="X184" s="62"/>
      <c r="Y184" s="45"/>
      <c r="Z184" s="44"/>
      <c r="AA184" s="100"/>
      <c r="AB184" s="100"/>
      <c r="AF184" s="123">
        <f>Y184</f>
        <v>0</v>
      </c>
      <c r="AG184" s="18">
        <v>25</v>
      </c>
      <c r="AH184" s="69" t="s">
        <v>300</v>
      </c>
      <c r="AI184" s="243" t="s">
        <v>135</v>
      </c>
      <c r="AJ184" s="243" t="s">
        <v>419</v>
      </c>
      <c r="AK184" s="246"/>
      <c r="AL184" s="43" t="str">
        <f t="shared" si="49"/>
        <v>-</v>
      </c>
      <c r="AM184" s="43">
        <f t="shared" si="54"/>
        <v>0</v>
      </c>
      <c r="AN184" s="193">
        <f t="shared" si="54"/>
        <v>0</v>
      </c>
      <c r="AO184" s="264">
        <f t="shared" si="41"/>
        <v>10</v>
      </c>
      <c r="AP184" s="265">
        <f>BJ184</f>
        <v>10</v>
      </c>
      <c r="AQ184" s="26" t="str">
        <f t="shared" si="39"/>
        <v>CHUM CREEKChinook</v>
      </c>
      <c r="AR184" s="26">
        <f t="shared" si="42"/>
        <v>0</v>
      </c>
      <c r="AS184" s="33">
        <f t="shared" si="50"/>
        <v>0</v>
      </c>
      <c r="AX184" s="47" t="str">
        <f t="shared" si="43"/>
        <v>CHUM CREEKChinook</v>
      </c>
      <c r="AY184" s="49">
        <f t="shared" si="44"/>
        <v>0</v>
      </c>
      <c r="AZ184" s="49">
        <f t="shared" si="45"/>
        <v>0</v>
      </c>
      <c r="BA184" s="31">
        <v>2011</v>
      </c>
      <c r="BB184" s="188">
        <f t="shared" si="46"/>
        <v>0</v>
      </c>
      <c r="BC184" s="188" t="str">
        <f t="shared" si="51"/>
        <v xml:space="preserve"> </v>
      </c>
      <c r="BD184" s="188" t="str">
        <f t="shared" si="52"/>
        <v xml:space="preserve"> </v>
      </c>
      <c r="BE184" s="188" t="str">
        <f t="shared" si="53"/>
        <v xml:space="preserve"> </v>
      </c>
      <c r="BF184" s="50" t="str">
        <f t="shared" si="38"/>
        <v>CHUM CREEK_Chinook</v>
      </c>
      <c r="BG184" s="50">
        <f>IFERROR(VLOOKUP(BF184,'[1]WCVI Esc'!$C$5:$W$534,18,FALSE),"-")</f>
        <v>9</v>
      </c>
      <c r="BH184" s="50">
        <f t="shared" si="47"/>
        <v>10</v>
      </c>
      <c r="BI184" s="50">
        <f>IFERROR(VLOOKUP(BF184,'[1]WCVI Esc'!$C$5:$W$534,19,FALSE),"-")</f>
        <v>13</v>
      </c>
      <c r="BJ184" s="50">
        <f t="shared" si="48"/>
        <v>10</v>
      </c>
    </row>
    <row r="185" spans="1:65" hidden="1" x14ac:dyDescent="0.2">
      <c r="A185" s="28">
        <v>3</v>
      </c>
      <c r="B185" s="28">
        <v>6</v>
      </c>
      <c r="C185" s="11">
        <v>25</v>
      </c>
      <c r="D185" s="147" t="s">
        <v>300</v>
      </c>
      <c r="E185" s="10" t="s">
        <v>135</v>
      </c>
      <c r="F185" s="10" t="s">
        <v>211</v>
      </c>
      <c r="G185" s="10"/>
      <c r="H185" s="152"/>
      <c r="I185" s="155"/>
      <c r="J185" s="106"/>
      <c r="K185" s="94"/>
      <c r="L185" s="106"/>
      <c r="M185" s="161"/>
      <c r="N185" s="106"/>
      <c r="O185" s="106"/>
      <c r="P185" s="63"/>
      <c r="Q185" s="162"/>
      <c r="R185" s="164"/>
      <c r="S185" s="62"/>
      <c r="T185" s="62"/>
      <c r="U185" s="62"/>
      <c r="V185" s="62"/>
      <c r="W185" s="164"/>
      <c r="X185" s="62"/>
      <c r="Y185" s="45"/>
      <c r="Z185" s="44"/>
      <c r="AA185" s="100"/>
      <c r="AB185" s="100"/>
      <c r="AG185" s="18">
        <v>25</v>
      </c>
      <c r="AH185" s="69" t="s">
        <v>300</v>
      </c>
      <c r="AI185" s="243" t="s">
        <v>135</v>
      </c>
      <c r="AJ185" s="243" t="s">
        <v>419</v>
      </c>
      <c r="AK185" s="246"/>
      <c r="AL185" s="43" t="str">
        <f t="shared" si="49"/>
        <v>-</v>
      </c>
      <c r="AM185" s="43">
        <f t="shared" si="54"/>
        <v>0</v>
      </c>
      <c r="AN185" s="193">
        <f t="shared" si="54"/>
        <v>0</v>
      </c>
      <c r="AO185" s="264" t="str">
        <f t="shared" si="41"/>
        <v>-</v>
      </c>
      <c r="AP185" s="266"/>
      <c r="AQ185" s="26" t="str">
        <f t="shared" si="39"/>
        <v>CHUM CREEKSteelhead</v>
      </c>
      <c r="AR185" s="26">
        <f t="shared" si="42"/>
        <v>0</v>
      </c>
      <c r="AS185" s="33">
        <f t="shared" si="50"/>
        <v>0</v>
      </c>
      <c r="AX185" s="47" t="str">
        <f t="shared" si="43"/>
        <v>CHUM CREEKSteelhead</v>
      </c>
      <c r="AY185" s="49">
        <f t="shared" si="44"/>
        <v>0</v>
      </c>
      <c r="AZ185" s="49">
        <f t="shared" si="45"/>
        <v>0</v>
      </c>
      <c r="BA185" s="31">
        <v>0</v>
      </c>
      <c r="BB185" s="188">
        <f t="shared" si="46"/>
        <v>0</v>
      </c>
      <c r="BC185" s="188" t="str">
        <f t="shared" si="51"/>
        <v xml:space="preserve"> </v>
      </c>
      <c r="BD185" s="188" t="str">
        <f t="shared" si="52"/>
        <v xml:space="preserve"> </v>
      </c>
      <c r="BE185" s="188" t="str">
        <f t="shared" si="53"/>
        <v xml:space="preserve"> </v>
      </c>
      <c r="BF185" s="50" t="str">
        <f t="shared" si="38"/>
        <v>CHUM CREEK_Steelhead</v>
      </c>
      <c r="BG185" s="50" t="str">
        <f>IFERROR(VLOOKUP(BF185,'[1]WCVI Esc'!$C$5:$W$534,18,FALSE),"-")</f>
        <v>-</v>
      </c>
      <c r="BH185" s="50" t="str">
        <f t="shared" si="47"/>
        <v>-</v>
      </c>
      <c r="BI185" s="50" t="str">
        <f>IFERROR(VLOOKUP(BF185,'[1]WCVI Esc'!$C$5:$W$534,19,FALSE),"-")</f>
        <v>-</v>
      </c>
      <c r="BJ185" s="50" t="str">
        <f t="shared" si="48"/>
        <v>-</v>
      </c>
    </row>
    <row r="186" spans="1:65" hidden="1" x14ac:dyDescent="0.2">
      <c r="A186" s="28">
        <v>3</v>
      </c>
      <c r="B186" s="28">
        <v>1</v>
      </c>
      <c r="C186" s="11">
        <v>25</v>
      </c>
      <c r="D186" s="147" t="s">
        <v>300</v>
      </c>
      <c r="E186" s="10" t="s">
        <v>143</v>
      </c>
      <c r="F186" s="10" t="s">
        <v>207</v>
      </c>
      <c r="G186" s="10"/>
      <c r="H186" s="152"/>
      <c r="I186" s="155"/>
      <c r="J186" s="106"/>
      <c r="K186" s="94"/>
      <c r="L186" s="106"/>
      <c r="M186" s="161"/>
      <c r="N186" s="106"/>
      <c r="O186" s="106"/>
      <c r="P186" s="63"/>
      <c r="Q186" s="162"/>
      <c r="R186" s="164"/>
      <c r="S186" s="62"/>
      <c r="T186" s="63"/>
      <c r="U186" s="62"/>
      <c r="V186" s="62"/>
      <c r="W186" s="164"/>
      <c r="X186" s="62"/>
      <c r="Y186" s="45"/>
      <c r="Z186" s="44"/>
      <c r="AA186" s="100">
        <f>Y186/AP186</f>
        <v>0</v>
      </c>
      <c r="AB186" s="100">
        <f>AS186/AP186</f>
        <v>0</v>
      </c>
      <c r="AC186" s="123">
        <v>2</v>
      </c>
      <c r="AD186" s="123"/>
      <c r="AE186" s="123"/>
      <c r="AF186" s="123"/>
      <c r="AG186" s="18">
        <v>25</v>
      </c>
      <c r="AH186" s="69" t="s">
        <v>300</v>
      </c>
      <c r="AI186" s="243" t="s">
        <v>143</v>
      </c>
      <c r="AJ186" s="243" t="s">
        <v>419</v>
      </c>
      <c r="AK186" s="246"/>
      <c r="AL186" s="43" t="str">
        <f t="shared" si="49"/>
        <v>-</v>
      </c>
      <c r="AM186" s="43">
        <f t="shared" si="54"/>
        <v>0</v>
      </c>
      <c r="AN186" s="193">
        <f t="shared" si="54"/>
        <v>0</v>
      </c>
      <c r="AO186" s="264">
        <f t="shared" si="41"/>
        <v>20</v>
      </c>
      <c r="AP186" s="265">
        <f>BJ186</f>
        <v>60</v>
      </c>
      <c r="AQ186" s="26" t="str">
        <f t="shared" si="39"/>
        <v>LITTLE ZEBALLOS RIVERSockeye</v>
      </c>
      <c r="AR186" s="26">
        <f t="shared" si="42"/>
        <v>0</v>
      </c>
      <c r="AS186" s="33">
        <f t="shared" si="50"/>
        <v>0</v>
      </c>
      <c r="AX186" s="47" t="str">
        <f t="shared" si="43"/>
        <v>LITTLE ZEBALLOS RIVERSockeye</v>
      </c>
      <c r="AY186" s="49">
        <f t="shared" si="44"/>
        <v>0</v>
      </c>
      <c r="AZ186" s="49">
        <f t="shared" si="45"/>
        <v>0</v>
      </c>
      <c r="BA186" s="31">
        <v>2016</v>
      </c>
      <c r="BB186" s="188">
        <f t="shared" si="46"/>
        <v>0</v>
      </c>
      <c r="BC186" s="188" t="str">
        <f t="shared" si="51"/>
        <v xml:space="preserve"> </v>
      </c>
      <c r="BD186" s="188" t="str">
        <f t="shared" si="52"/>
        <v xml:space="preserve"> </v>
      </c>
      <c r="BE186" s="188" t="str">
        <f t="shared" si="53"/>
        <v xml:space="preserve"> </v>
      </c>
      <c r="BF186" s="50" t="str">
        <f t="shared" si="38"/>
        <v>LITTLE ZEBALLOS RIVER_Sockeye</v>
      </c>
      <c r="BG186" s="50">
        <f>IFERROR(VLOOKUP(BF186,'[1]WCVI Esc'!$C$5:$W$534,18,FALSE),"-")</f>
        <v>21</v>
      </c>
      <c r="BH186" s="50">
        <f t="shared" si="47"/>
        <v>20</v>
      </c>
      <c r="BI186" s="50">
        <f>IFERROR(VLOOKUP(BF186,'[1]WCVI Esc'!$C$5:$W$534,19,FALSE),"-")</f>
        <v>55.285714285714285</v>
      </c>
      <c r="BJ186" s="50">
        <f t="shared" si="48"/>
        <v>60</v>
      </c>
    </row>
    <row r="187" spans="1:65" hidden="1" x14ac:dyDescent="0.2">
      <c r="A187" s="28">
        <v>3</v>
      </c>
      <c r="B187" s="28">
        <v>2</v>
      </c>
      <c r="C187" s="11">
        <v>25</v>
      </c>
      <c r="D187" s="147" t="s">
        <v>300</v>
      </c>
      <c r="E187" s="10" t="s">
        <v>143</v>
      </c>
      <c r="F187" s="10" t="s">
        <v>219</v>
      </c>
      <c r="G187" s="10"/>
      <c r="H187" s="152"/>
      <c r="I187" s="155"/>
      <c r="J187" s="106"/>
      <c r="K187" s="94"/>
      <c r="L187" s="106"/>
      <c r="M187" s="161"/>
      <c r="N187" s="106"/>
      <c r="O187" s="106"/>
      <c r="P187" s="63"/>
      <c r="Q187" s="162"/>
      <c r="R187" s="164"/>
      <c r="S187" s="62"/>
      <c r="T187" s="63"/>
      <c r="U187" s="62"/>
      <c r="V187" s="62"/>
      <c r="W187" s="164"/>
      <c r="X187" s="62"/>
      <c r="Y187" s="45"/>
      <c r="Z187" s="44"/>
      <c r="AA187" s="100">
        <f>Y187/AP187</f>
        <v>0</v>
      </c>
      <c r="AB187" s="100">
        <f>AS187/AP187</f>
        <v>0</v>
      </c>
      <c r="AC187" s="123">
        <v>2</v>
      </c>
      <c r="AD187" s="123"/>
      <c r="AE187" s="123"/>
      <c r="AF187" s="123"/>
      <c r="AG187" s="18">
        <v>25</v>
      </c>
      <c r="AH187" s="69" t="s">
        <v>300</v>
      </c>
      <c r="AI187" s="243" t="s">
        <v>143</v>
      </c>
      <c r="AJ187" s="243" t="s">
        <v>419</v>
      </c>
      <c r="AK187" s="246"/>
      <c r="AL187" s="43" t="str">
        <f t="shared" si="49"/>
        <v>-</v>
      </c>
      <c r="AM187" s="43">
        <f t="shared" si="54"/>
        <v>0</v>
      </c>
      <c r="AN187" s="193">
        <f t="shared" si="54"/>
        <v>0</v>
      </c>
      <c r="AO187" s="264">
        <f t="shared" si="41"/>
        <v>70</v>
      </c>
      <c r="AP187" s="265">
        <f>BJ187</f>
        <v>330</v>
      </c>
      <c r="AQ187" s="26" t="str">
        <f t="shared" si="39"/>
        <v>LITTLE ZEBALLOS RIVERCoho</v>
      </c>
      <c r="AR187" s="26">
        <f t="shared" si="42"/>
        <v>0</v>
      </c>
      <c r="AS187" s="33">
        <f t="shared" si="50"/>
        <v>0</v>
      </c>
      <c r="AX187" s="47" t="str">
        <f t="shared" si="43"/>
        <v>LITTLE ZEBALLOS RIVERCoho</v>
      </c>
      <c r="AY187" s="49">
        <f t="shared" si="44"/>
        <v>0</v>
      </c>
      <c r="AZ187" s="49">
        <f t="shared" si="45"/>
        <v>0</v>
      </c>
      <c r="BA187" s="31">
        <v>2016</v>
      </c>
      <c r="BB187" s="188">
        <f t="shared" si="46"/>
        <v>0</v>
      </c>
      <c r="BC187" s="188" t="str">
        <f t="shared" si="51"/>
        <v xml:space="preserve"> </v>
      </c>
      <c r="BD187" s="188" t="str">
        <f t="shared" si="52"/>
        <v xml:space="preserve"> </v>
      </c>
      <c r="BE187" s="188" t="str">
        <f t="shared" si="53"/>
        <v xml:space="preserve"> </v>
      </c>
      <c r="BF187" s="50" t="str">
        <f t="shared" ref="BF187:BF250" si="55">CONCATENATE(E187,"_",F187)</f>
        <v>LITTLE ZEBALLOS RIVER_Coho</v>
      </c>
      <c r="BG187" s="50">
        <f>IFERROR(VLOOKUP(BF187,'[1]WCVI Esc'!$C$5:$W$534,18,FALSE),"-")</f>
        <v>72</v>
      </c>
      <c r="BH187" s="50">
        <f t="shared" si="47"/>
        <v>70</v>
      </c>
      <c r="BI187" s="50">
        <f>IFERROR(VLOOKUP(BF187,'[1]WCVI Esc'!$C$5:$W$534,19,FALSE),"-")</f>
        <v>329.9</v>
      </c>
      <c r="BJ187" s="50">
        <f t="shared" si="48"/>
        <v>330</v>
      </c>
    </row>
    <row r="188" spans="1:65" hidden="1" x14ac:dyDescent="0.2">
      <c r="A188" s="28">
        <v>3</v>
      </c>
      <c r="B188" s="28">
        <v>3</v>
      </c>
      <c r="C188" s="11">
        <v>25</v>
      </c>
      <c r="D188" s="147" t="s">
        <v>300</v>
      </c>
      <c r="E188" s="10" t="s">
        <v>143</v>
      </c>
      <c r="F188" s="10" t="s">
        <v>208</v>
      </c>
      <c r="G188" s="10"/>
      <c r="H188" s="152"/>
      <c r="I188" s="155"/>
      <c r="J188" s="106"/>
      <c r="K188" s="94"/>
      <c r="L188" s="106"/>
      <c r="M188" s="161"/>
      <c r="N188" s="106"/>
      <c r="O188" s="106"/>
      <c r="P188" s="63"/>
      <c r="Q188" s="162"/>
      <c r="R188" s="164"/>
      <c r="S188" s="62"/>
      <c r="T188" s="62"/>
      <c r="U188" s="62"/>
      <c r="V188" s="62"/>
      <c r="W188" s="164"/>
      <c r="X188" s="62"/>
      <c r="Y188" s="45"/>
      <c r="Z188" s="44"/>
      <c r="AA188" s="100"/>
      <c r="AB188" s="100"/>
      <c r="AG188" s="18">
        <v>25</v>
      </c>
      <c r="AH188" s="69" t="s">
        <v>300</v>
      </c>
      <c r="AI188" s="243" t="s">
        <v>143</v>
      </c>
      <c r="AJ188" s="243" t="s">
        <v>419</v>
      </c>
      <c r="AK188" s="246"/>
      <c r="AL188" s="43" t="str">
        <f t="shared" si="49"/>
        <v>-</v>
      </c>
      <c r="AM188" s="43">
        <f t="shared" si="54"/>
        <v>0</v>
      </c>
      <c r="AN188" s="193">
        <f t="shared" si="54"/>
        <v>0</v>
      </c>
      <c r="AO188" s="264" t="str">
        <f t="shared" si="41"/>
        <v>-</v>
      </c>
      <c r="AP188" s="266"/>
      <c r="AQ188" s="26" t="str">
        <f t="shared" si="39"/>
        <v>LITTLE ZEBALLOS RIVERPink</v>
      </c>
      <c r="AR188" s="26">
        <f t="shared" si="42"/>
        <v>0</v>
      </c>
      <c r="AS188" s="33">
        <f t="shared" si="50"/>
        <v>0</v>
      </c>
      <c r="AX188" s="47" t="str">
        <f t="shared" si="43"/>
        <v>LITTLE ZEBALLOS RIVERPink</v>
      </c>
      <c r="AY188" s="49">
        <f t="shared" si="44"/>
        <v>0</v>
      </c>
      <c r="AZ188" s="49">
        <f t="shared" si="45"/>
        <v>0</v>
      </c>
      <c r="BA188" s="31">
        <v>0</v>
      </c>
      <c r="BB188" s="188">
        <f t="shared" si="46"/>
        <v>0</v>
      </c>
      <c r="BC188" s="188" t="str">
        <f t="shared" si="51"/>
        <v xml:space="preserve"> </v>
      </c>
      <c r="BD188" s="188" t="str">
        <f t="shared" si="52"/>
        <v xml:space="preserve"> </v>
      </c>
      <c r="BE188" s="188" t="str">
        <f t="shared" si="53"/>
        <v xml:space="preserve"> </v>
      </c>
      <c r="BF188" s="50" t="str">
        <f t="shared" si="55"/>
        <v>LITTLE ZEBALLOS RIVER_Pink</v>
      </c>
      <c r="BG188" s="50" t="str">
        <f>IFERROR(VLOOKUP(BF188,'[1]WCVI Esc'!$C$5:$W$534,18,FALSE),"-")</f>
        <v>-</v>
      </c>
      <c r="BH188" s="50" t="str">
        <f t="shared" si="47"/>
        <v>-</v>
      </c>
      <c r="BI188" s="50" t="str">
        <f>IFERROR(VLOOKUP(BF188,'[1]WCVI Esc'!$C$5:$W$534,19,FALSE),"-")</f>
        <v>-</v>
      </c>
      <c r="BJ188" s="50" t="str">
        <f t="shared" si="48"/>
        <v>-</v>
      </c>
    </row>
    <row r="189" spans="1:65" hidden="1" x14ac:dyDescent="0.2">
      <c r="A189" s="28">
        <v>3</v>
      </c>
      <c r="B189" s="28">
        <v>4</v>
      </c>
      <c r="C189" s="11">
        <v>25</v>
      </c>
      <c r="D189" s="147" t="s">
        <v>300</v>
      </c>
      <c r="E189" s="10" t="s">
        <v>143</v>
      </c>
      <c r="F189" s="10" t="s">
        <v>209</v>
      </c>
      <c r="G189" s="10"/>
      <c r="H189" s="152"/>
      <c r="I189" s="155"/>
      <c r="J189" s="106"/>
      <c r="K189" s="94"/>
      <c r="L189" s="158"/>
      <c r="M189" s="161"/>
      <c r="N189" s="106"/>
      <c r="O189" s="106"/>
      <c r="P189" s="63"/>
      <c r="Q189" s="162"/>
      <c r="R189" s="164"/>
      <c r="S189" s="62"/>
      <c r="T189" s="63"/>
      <c r="U189" s="62"/>
      <c r="V189" s="64"/>
      <c r="W189" s="164"/>
      <c r="X189" s="62"/>
      <c r="Y189" s="45"/>
      <c r="Z189" s="44"/>
      <c r="AA189" s="100">
        <f>Y189/AP189</f>
        <v>0</v>
      </c>
      <c r="AB189" s="100">
        <f>AS189/AP189</f>
        <v>0</v>
      </c>
      <c r="AC189" s="123">
        <v>3</v>
      </c>
      <c r="AD189" s="123"/>
      <c r="AE189" s="123"/>
      <c r="AF189" s="123"/>
      <c r="AG189" s="18">
        <v>25</v>
      </c>
      <c r="AH189" s="69" t="s">
        <v>300</v>
      </c>
      <c r="AI189" s="243" t="s">
        <v>143</v>
      </c>
      <c r="AJ189" s="243" t="s">
        <v>419</v>
      </c>
      <c r="AK189" s="246"/>
      <c r="AL189" s="43" t="str">
        <f t="shared" si="49"/>
        <v>-</v>
      </c>
      <c r="AM189" s="43">
        <f t="shared" si="54"/>
        <v>0</v>
      </c>
      <c r="AN189" s="193">
        <f t="shared" si="54"/>
        <v>0</v>
      </c>
      <c r="AO189" s="264">
        <f t="shared" si="41"/>
        <v>610</v>
      </c>
      <c r="AP189" s="265">
        <f>BJ189</f>
        <v>2560</v>
      </c>
      <c r="AQ189" s="26" t="str">
        <f t="shared" si="39"/>
        <v>LITTLE ZEBALLOS RIVERChum</v>
      </c>
      <c r="AR189" s="26">
        <f t="shared" si="42"/>
        <v>0</v>
      </c>
      <c r="AS189" s="33">
        <f t="shared" si="50"/>
        <v>0</v>
      </c>
      <c r="AX189" s="47" t="str">
        <f t="shared" si="43"/>
        <v>LITTLE ZEBALLOS RIVERChum</v>
      </c>
      <c r="AY189" s="49">
        <f t="shared" si="44"/>
        <v>0</v>
      </c>
      <c r="AZ189" s="49">
        <f t="shared" si="45"/>
        <v>0</v>
      </c>
      <c r="BA189" s="31">
        <v>2016</v>
      </c>
      <c r="BB189" s="188">
        <f t="shared" si="46"/>
        <v>0</v>
      </c>
      <c r="BC189" s="188" t="str">
        <f t="shared" si="51"/>
        <v xml:space="preserve"> </v>
      </c>
      <c r="BD189" s="188" t="str">
        <f t="shared" si="52"/>
        <v xml:space="preserve"> </v>
      </c>
      <c r="BE189" s="188" t="str">
        <f t="shared" si="53"/>
        <v xml:space="preserve"> </v>
      </c>
      <c r="BF189" s="50" t="str">
        <f t="shared" si="55"/>
        <v>LITTLE ZEBALLOS RIVER_Chum</v>
      </c>
      <c r="BG189" s="50">
        <f>IFERROR(VLOOKUP(BF189,'[1]WCVI Esc'!$C$5:$W$534,18,FALSE),"-")</f>
        <v>608</v>
      </c>
      <c r="BH189" s="50">
        <f t="shared" si="47"/>
        <v>610</v>
      </c>
      <c r="BI189" s="50">
        <f>IFERROR(VLOOKUP(BF189,'[1]WCVI Esc'!$C$5:$W$534,19,FALSE),"-")</f>
        <v>2564.4</v>
      </c>
      <c r="BJ189" s="50">
        <f t="shared" si="48"/>
        <v>2560</v>
      </c>
    </row>
    <row r="190" spans="1:65" x14ac:dyDescent="0.2">
      <c r="A190" s="28">
        <v>3</v>
      </c>
      <c r="B190" s="28">
        <v>5</v>
      </c>
      <c r="C190" s="11">
        <v>25</v>
      </c>
      <c r="D190" s="147" t="s">
        <v>300</v>
      </c>
      <c r="E190" s="10" t="s">
        <v>143</v>
      </c>
      <c r="F190" s="10" t="s">
        <v>210</v>
      </c>
      <c r="G190" s="10"/>
      <c r="H190" s="152"/>
      <c r="I190" s="155"/>
      <c r="J190" s="106"/>
      <c r="K190" s="94"/>
      <c r="L190" s="158"/>
      <c r="M190" s="161"/>
      <c r="N190" s="106"/>
      <c r="O190" s="106"/>
      <c r="P190" s="63"/>
      <c r="Q190" s="162"/>
      <c r="R190" s="164"/>
      <c r="S190" s="62"/>
      <c r="T190" s="63"/>
      <c r="U190" s="62"/>
      <c r="V190" s="64"/>
      <c r="W190" s="164"/>
      <c r="X190" s="62"/>
      <c r="Y190" s="45"/>
      <c r="Z190" s="44"/>
      <c r="AA190" s="100">
        <f>Y190/AP190</f>
        <v>0</v>
      </c>
      <c r="AB190" s="100">
        <f>AS190/AP190</f>
        <v>0</v>
      </c>
      <c r="AC190" s="123">
        <v>2</v>
      </c>
      <c r="AD190" s="123"/>
      <c r="AE190" s="123"/>
      <c r="AF190" s="123">
        <f>Y190</f>
        <v>0</v>
      </c>
      <c r="AG190" s="18">
        <v>25</v>
      </c>
      <c r="AH190" s="69" t="s">
        <v>300</v>
      </c>
      <c r="AI190" s="243" t="s">
        <v>143</v>
      </c>
      <c r="AJ190" s="243" t="s">
        <v>419</v>
      </c>
      <c r="AK190" s="246"/>
      <c r="AL190" s="43" t="str">
        <f t="shared" si="49"/>
        <v>-</v>
      </c>
      <c r="AM190" s="43">
        <f t="shared" si="54"/>
        <v>0</v>
      </c>
      <c r="AN190" s="193">
        <f t="shared" si="54"/>
        <v>0</v>
      </c>
      <c r="AO190" s="264">
        <f t="shared" si="41"/>
        <v>30</v>
      </c>
      <c r="AP190" s="265">
        <f>BJ190</f>
        <v>30</v>
      </c>
      <c r="AQ190" s="26" t="str">
        <f t="shared" si="39"/>
        <v>LITTLE ZEBALLOS RIVERChinook</v>
      </c>
      <c r="AR190" s="26">
        <f t="shared" si="42"/>
        <v>0</v>
      </c>
      <c r="AS190" s="33">
        <f t="shared" si="50"/>
        <v>0</v>
      </c>
      <c r="AX190" s="47" t="str">
        <f t="shared" si="43"/>
        <v>LITTLE ZEBALLOS RIVERChinook</v>
      </c>
      <c r="AY190" s="49">
        <f t="shared" si="44"/>
        <v>0</v>
      </c>
      <c r="AZ190" s="49">
        <f t="shared" si="45"/>
        <v>0</v>
      </c>
      <c r="BA190" s="31">
        <v>2016</v>
      </c>
      <c r="BB190" s="188">
        <f t="shared" si="46"/>
        <v>0</v>
      </c>
      <c r="BC190" s="188" t="str">
        <f t="shared" si="51"/>
        <v xml:space="preserve"> </v>
      </c>
      <c r="BD190" s="188" t="str">
        <f t="shared" si="52"/>
        <v xml:space="preserve"> </v>
      </c>
      <c r="BE190" s="188" t="str">
        <f t="shared" si="53"/>
        <v xml:space="preserve"> </v>
      </c>
      <c r="BF190" s="50" t="str">
        <f t="shared" si="55"/>
        <v>LITTLE ZEBALLOS RIVER_Chinook</v>
      </c>
      <c r="BG190" s="50">
        <f>IFERROR(VLOOKUP(BF190,'[1]WCVI Esc'!$C$5:$W$534,18,FALSE),"-")</f>
        <v>30</v>
      </c>
      <c r="BH190" s="50">
        <f t="shared" si="47"/>
        <v>30</v>
      </c>
      <c r="BI190" s="50">
        <f>IFERROR(VLOOKUP(BF190,'[1]WCVI Esc'!$C$5:$W$534,19,FALSE),"-")</f>
        <v>33.5</v>
      </c>
      <c r="BJ190" s="50">
        <f t="shared" si="48"/>
        <v>30</v>
      </c>
      <c r="BK190">
        <v>4</v>
      </c>
      <c r="BL190" s="17" t="s">
        <v>458</v>
      </c>
    </row>
    <row r="191" spans="1:65" hidden="1" x14ac:dyDescent="0.2">
      <c r="A191" s="28">
        <v>3</v>
      </c>
      <c r="B191" s="28">
        <v>6</v>
      </c>
      <c r="C191" s="11">
        <v>25</v>
      </c>
      <c r="D191" s="147" t="s">
        <v>300</v>
      </c>
      <c r="E191" s="10" t="s">
        <v>143</v>
      </c>
      <c r="F191" s="10" t="s">
        <v>211</v>
      </c>
      <c r="G191" s="10"/>
      <c r="H191" s="152"/>
      <c r="I191" s="155"/>
      <c r="J191" s="106"/>
      <c r="K191" s="94"/>
      <c r="L191" s="158"/>
      <c r="M191" s="161"/>
      <c r="N191" s="106"/>
      <c r="O191" s="106"/>
      <c r="P191" s="63"/>
      <c r="Q191" s="162"/>
      <c r="R191" s="164"/>
      <c r="S191" s="62"/>
      <c r="T191" s="62"/>
      <c r="U191" s="62"/>
      <c r="V191" s="64"/>
      <c r="W191" s="164"/>
      <c r="X191" s="62"/>
      <c r="Y191" s="45"/>
      <c r="Z191" s="44"/>
      <c r="AA191" s="100"/>
      <c r="AB191" s="100"/>
      <c r="AG191" s="18">
        <v>25</v>
      </c>
      <c r="AH191" s="69" t="s">
        <v>300</v>
      </c>
      <c r="AI191" s="243" t="s">
        <v>143</v>
      </c>
      <c r="AJ191" s="243" t="s">
        <v>419</v>
      </c>
      <c r="AK191" s="246"/>
      <c r="AL191" s="43" t="str">
        <f t="shared" si="49"/>
        <v>-</v>
      </c>
      <c r="AM191" s="43">
        <f t="shared" si="54"/>
        <v>0</v>
      </c>
      <c r="AN191" s="193">
        <f t="shared" si="54"/>
        <v>0</v>
      </c>
      <c r="AO191" s="264" t="str">
        <f t="shared" si="41"/>
        <v>-</v>
      </c>
      <c r="AP191" s="266"/>
      <c r="AQ191" s="26" t="str">
        <f t="shared" si="39"/>
        <v>LITTLE ZEBALLOS RIVERSteelhead</v>
      </c>
      <c r="AR191" s="26">
        <f t="shared" si="42"/>
        <v>0</v>
      </c>
      <c r="AS191" s="33">
        <f t="shared" si="50"/>
        <v>0</v>
      </c>
      <c r="AX191" s="47" t="str">
        <f t="shared" si="43"/>
        <v>LITTLE ZEBALLOS RIVERSteelhead</v>
      </c>
      <c r="AY191" s="49">
        <f t="shared" si="44"/>
        <v>0</v>
      </c>
      <c r="AZ191" s="49">
        <f t="shared" si="45"/>
        <v>0</v>
      </c>
      <c r="BA191" s="31">
        <v>0</v>
      </c>
      <c r="BB191" s="188">
        <f t="shared" si="46"/>
        <v>0</v>
      </c>
      <c r="BC191" s="188" t="str">
        <f t="shared" si="51"/>
        <v xml:space="preserve"> </v>
      </c>
      <c r="BD191" s="188" t="str">
        <f t="shared" si="52"/>
        <v xml:space="preserve"> </v>
      </c>
      <c r="BE191" s="188" t="str">
        <f t="shared" si="53"/>
        <v xml:space="preserve"> </v>
      </c>
      <c r="BF191" s="50" t="str">
        <f t="shared" si="55"/>
        <v>LITTLE ZEBALLOS RIVER_Steelhead</v>
      </c>
      <c r="BG191" s="50" t="str">
        <f>IFERROR(VLOOKUP(BF191,'[1]WCVI Esc'!$C$5:$W$534,18,FALSE),"-")</f>
        <v>-</v>
      </c>
      <c r="BH191" s="50" t="str">
        <f t="shared" si="47"/>
        <v>-</v>
      </c>
      <c r="BI191" s="50" t="str">
        <f>IFERROR(VLOOKUP(BF191,'[1]WCVI Esc'!$C$5:$W$534,19,FALSE),"-")</f>
        <v>-</v>
      </c>
      <c r="BJ191" s="50" t="str">
        <f t="shared" si="48"/>
        <v>-</v>
      </c>
    </row>
    <row r="192" spans="1:65" hidden="1" x14ac:dyDescent="0.2">
      <c r="A192" s="28">
        <v>3</v>
      </c>
      <c r="B192" s="28">
        <v>1</v>
      </c>
      <c r="C192" s="11">
        <v>25</v>
      </c>
      <c r="D192" s="147" t="s">
        <v>299</v>
      </c>
      <c r="E192" s="10" t="s">
        <v>50</v>
      </c>
      <c r="F192" s="10" t="s">
        <v>207</v>
      </c>
      <c r="G192" s="10"/>
      <c r="H192" s="152"/>
      <c r="I192" s="155"/>
      <c r="J192" s="106"/>
      <c r="K192" s="94"/>
      <c r="L192" s="158"/>
      <c r="M192" s="161"/>
      <c r="N192" s="106"/>
      <c r="O192" s="106"/>
      <c r="P192" s="63"/>
      <c r="Q192" s="162"/>
      <c r="R192" s="164"/>
      <c r="S192" s="62"/>
      <c r="T192" s="63"/>
      <c r="U192" s="62"/>
      <c r="V192" s="64"/>
      <c r="W192" s="164"/>
      <c r="X192" s="62"/>
      <c r="Y192" s="45"/>
      <c r="Z192" s="44"/>
      <c r="AA192" s="100">
        <f>Y192/AP192</f>
        <v>0</v>
      </c>
      <c r="AB192" s="100">
        <f>AS192/AP192</f>
        <v>0</v>
      </c>
      <c r="AC192" s="123">
        <v>2</v>
      </c>
      <c r="AD192" s="123"/>
      <c r="AE192" s="123"/>
      <c r="AF192" s="123"/>
      <c r="AG192" s="18">
        <v>25</v>
      </c>
      <c r="AH192" s="69" t="s">
        <v>299</v>
      </c>
      <c r="AI192" s="243" t="s">
        <v>50</v>
      </c>
      <c r="AJ192" s="243" t="s">
        <v>419</v>
      </c>
      <c r="AK192" s="246"/>
      <c r="AL192" s="43" t="str">
        <f t="shared" si="49"/>
        <v>-</v>
      </c>
      <c r="AM192" s="43">
        <f t="shared" si="54"/>
        <v>0</v>
      </c>
      <c r="AN192" s="193">
        <f t="shared" si="54"/>
        <v>0</v>
      </c>
      <c r="AO192" s="264">
        <f t="shared" si="41"/>
        <v>730</v>
      </c>
      <c r="AP192" s="265">
        <f>BJ192</f>
        <v>510</v>
      </c>
      <c r="AQ192" s="26" t="str">
        <f t="shared" si="39"/>
        <v>OKTWANCH RIVERSockeye</v>
      </c>
      <c r="AR192" s="26">
        <f t="shared" si="42"/>
        <v>0</v>
      </c>
      <c r="AS192" s="33">
        <f t="shared" si="50"/>
        <v>0</v>
      </c>
      <c r="AX192" s="47" t="str">
        <f t="shared" si="43"/>
        <v>OKTWANCH RIVERSockeye</v>
      </c>
      <c r="AY192" s="49">
        <f t="shared" si="44"/>
        <v>0</v>
      </c>
      <c r="AZ192" s="49">
        <f t="shared" si="45"/>
        <v>0</v>
      </c>
      <c r="BA192" s="31">
        <v>2016</v>
      </c>
      <c r="BB192" s="188">
        <f t="shared" si="46"/>
        <v>0</v>
      </c>
      <c r="BC192" s="188" t="str">
        <f t="shared" si="51"/>
        <v xml:space="preserve"> </v>
      </c>
      <c r="BD192" s="188" t="str">
        <f t="shared" si="52"/>
        <v xml:space="preserve"> </v>
      </c>
      <c r="BE192" s="188" t="str">
        <f t="shared" si="53"/>
        <v xml:space="preserve"> </v>
      </c>
      <c r="BF192" s="50" t="str">
        <f t="shared" si="55"/>
        <v>OKTWANCH RIVER_Sockeye</v>
      </c>
      <c r="BG192" s="50">
        <f>IFERROR(VLOOKUP(BF192,'[1]WCVI Esc'!$C$5:$W$534,18,FALSE),"-")</f>
        <v>725</v>
      </c>
      <c r="BH192" s="50">
        <f t="shared" si="47"/>
        <v>730</v>
      </c>
      <c r="BI192" s="50">
        <f>IFERROR(VLOOKUP(BF192,'[1]WCVI Esc'!$C$5:$W$534,19,FALSE),"-")</f>
        <v>511</v>
      </c>
      <c r="BJ192" s="50">
        <f t="shared" si="48"/>
        <v>510</v>
      </c>
    </row>
    <row r="193" spans="1:66" hidden="1" x14ac:dyDescent="0.2">
      <c r="A193" s="28">
        <v>3</v>
      </c>
      <c r="B193" s="28">
        <v>2</v>
      </c>
      <c r="C193" s="11">
        <v>25</v>
      </c>
      <c r="D193" s="147" t="s">
        <v>299</v>
      </c>
      <c r="E193" s="10" t="s">
        <v>50</v>
      </c>
      <c r="F193" s="10" t="s">
        <v>219</v>
      </c>
      <c r="G193" s="10"/>
      <c r="H193" s="152"/>
      <c r="I193" s="155"/>
      <c r="J193" s="106"/>
      <c r="K193" s="94"/>
      <c r="L193" s="158"/>
      <c r="M193" s="161"/>
      <c r="N193" s="106"/>
      <c r="O193" s="106"/>
      <c r="P193" s="63"/>
      <c r="Q193" s="162"/>
      <c r="R193" s="164"/>
      <c r="S193" s="62"/>
      <c r="T193" s="63"/>
      <c r="U193" s="62"/>
      <c r="V193" s="64"/>
      <c r="W193" s="164"/>
      <c r="X193" s="62"/>
      <c r="Y193" s="45"/>
      <c r="Z193" s="44"/>
      <c r="AA193" s="100">
        <f>Y193/AP193</f>
        <v>0</v>
      </c>
      <c r="AB193" s="100">
        <f>AS193/AP193</f>
        <v>0</v>
      </c>
      <c r="AG193" s="18">
        <v>25</v>
      </c>
      <c r="AH193" s="69" t="s">
        <v>299</v>
      </c>
      <c r="AI193" s="243" t="s">
        <v>50</v>
      </c>
      <c r="AJ193" s="243" t="s">
        <v>419</v>
      </c>
      <c r="AK193" s="246"/>
      <c r="AL193" s="43" t="str">
        <f t="shared" si="49"/>
        <v>-</v>
      </c>
      <c r="AM193" s="43">
        <f t="shared" si="54"/>
        <v>0</v>
      </c>
      <c r="AN193" s="193">
        <f t="shared" si="54"/>
        <v>0</v>
      </c>
      <c r="AO193" s="264">
        <f t="shared" si="41"/>
        <v>80</v>
      </c>
      <c r="AP193" s="265">
        <f>BJ193</f>
        <v>80</v>
      </c>
      <c r="AQ193" s="26" t="str">
        <f t="shared" si="39"/>
        <v>OKTWANCH RIVERCoho</v>
      </c>
      <c r="AR193" s="26">
        <f t="shared" si="42"/>
        <v>0</v>
      </c>
      <c r="AS193" s="33">
        <f t="shared" si="50"/>
        <v>0</v>
      </c>
      <c r="AX193" s="47" t="str">
        <f t="shared" si="43"/>
        <v>OKTWANCH RIVERCoho</v>
      </c>
      <c r="AY193" s="49">
        <f t="shared" si="44"/>
        <v>0</v>
      </c>
      <c r="AZ193" s="49">
        <f t="shared" si="45"/>
        <v>0</v>
      </c>
      <c r="BA193" s="31">
        <v>2015</v>
      </c>
      <c r="BB193" s="188">
        <f t="shared" si="46"/>
        <v>0</v>
      </c>
      <c r="BC193" s="188" t="str">
        <f t="shared" si="51"/>
        <v xml:space="preserve"> </v>
      </c>
      <c r="BD193" s="188" t="str">
        <f t="shared" si="52"/>
        <v xml:space="preserve"> </v>
      </c>
      <c r="BE193" s="188" t="str">
        <f t="shared" si="53"/>
        <v xml:space="preserve"> </v>
      </c>
      <c r="BF193" s="50" t="str">
        <f t="shared" si="55"/>
        <v>OKTWANCH RIVER_Coho</v>
      </c>
      <c r="BG193" s="50">
        <f>IFERROR(VLOOKUP(BF193,'[1]WCVI Esc'!$C$5:$W$534,18,FALSE),"-")</f>
        <v>76.333333333333329</v>
      </c>
      <c r="BH193" s="50">
        <f t="shared" si="47"/>
        <v>80</v>
      </c>
      <c r="BI193" s="50">
        <f>IFERROR(VLOOKUP(BF193,'[1]WCVI Esc'!$C$5:$W$534,19,FALSE),"-")</f>
        <v>83.2</v>
      </c>
      <c r="BJ193" s="50">
        <f t="shared" si="48"/>
        <v>80</v>
      </c>
    </row>
    <row r="194" spans="1:66" hidden="1" x14ac:dyDescent="0.2">
      <c r="A194" s="28">
        <v>3</v>
      </c>
      <c r="B194" s="28">
        <v>3</v>
      </c>
      <c r="C194" s="11">
        <v>25</v>
      </c>
      <c r="D194" s="147" t="s">
        <v>299</v>
      </c>
      <c r="E194" s="10" t="s">
        <v>50</v>
      </c>
      <c r="F194" s="10" t="s">
        <v>208</v>
      </c>
      <c r="G194" s="10"/>
      <c r="H194" s="152"/>
      <c r="I194" s="155"/>
      <c r="J194" s="106"/>
      <c r="K194" s="94"/>
      <c r="L194" s="158"/>
      <c r="M194" s="161"/>
      <c r="N194" s="106"/>
      <c r="O194" s="106"/>
      <c r="P194" s="63"/>
      <c r="Q194" s="162"/>
      <c r="R194" s="164"/>
      <c r="S194" s="62"/>
      <c r="T194" s="63"/>
      <c r="U194" s="62"/>
      <c r="V194" s="64"/>
      <c r="W194" s="164"/>
      <c r="X194" s="62"/>
      <c r="Y194" s="45"/>
      <c r="Z194" s="44"/>
      <c r="AA194" s="100"/>
      <c r="AB194" s="100"/>
      <c r="AG194" s="18">
        <v>25</v>
      </c>
      <c r="AH194" s="69" t="s">
        <v>299</v>
      </c>
      <c r="AI194" s="243" t="s">
        <v>50</v>
      </c>
      <c r="AJ194" s="243" t="s">
        <v>419</v>
      </c>
      <c r="AK194" s="246"/>
      <c r="AL194" s="43" t="str">
        <f t="shared" si="49"/>
        <v>-</v>
      </c>
      <c r="AM194" s="43">
        <f t="shared" si="54"/>
        <v>0</v>
      </c>
      <c r="AN194" s="193">
        <f t="shared" si="54"/>
        <v>0</v>
      </c>
      <c r="AO194" s="264" t="str">
        <f t="shared" si="41"/>
        <v>-</v>
      </c>
      <c r="AP194" s="266"/>
      <c r="AQ194" s="26" t="str">
        <f t="shared" si="39"/>
        <v>OKTWANCH RIVERPink</v>
      </c>
      <c r="AR194" s="26">
        <f t="shared" si="42"/>
        <v>0</v>
      </c>
      <c r="AS194" s="33">
        <f t="shared" si="50"/>
        <v>0</v>
      </c>
      <c r="AX194" s="47" t="str">
        <f t="shared" si="43"/>
        <v>OKTWANCH RIVERPink</v>
      </c>
      <c r="AY194" s="49">
        <f t="shared" si="44"/>
        <v>0</v>
      </c>
      <c r="AZ194" s="49">
        <f t="shared" si="45"/>
        <v>0</v>
      </c>
      <c r="BA194" s="31">
        <v>0</v>
      </c>
      <c r="BB194" s="188">
        <f t="shared" si="46"/>
        <v>0</v>
      </c>
      <c r="BC194" s="188" t="str">
        <f t="shared" si="51"/>
        <v xml:space="preserve"> </v>
      </c>
      <c r="BD194" s="188" t="str">
        <f t="shared" si="52"/>
        <v xml:space="preserve"> </v>
      </c>
      <c r="BE194" s="188" t="str">
        <f t="shared" si="53"/>
        <v xml:space="preserve"> </v>
      </c>
      <c r="BF194" s="50" t="str">
        <f t="shared" si="55"/>
        <v>OKTWANCH RIVER_Pink</v>
      </c>
      <c r="BG194" s="50" t="str">
        <f>IFERROR(VLOOKUP(BF194,'[1]WCVI Esc'!$C$5:$W$534,18,FALSE),"-")</f>
        <v>-</v>
      </c>
      <c r="BH194" s="50" t="str">
        <f t="shared" si="47"/>
        <v>-</v>
      </c>
      <c r="BI194" s="50" t="str">
        <f>IFERROR(VLOOKUP(BF194,'[1]WCVI Esc'!$C$5:$W$534,19,FALSE),"-")</f>
        <v>-</v>
      </c>
      <c r="BJ194" s="50" t="str">
        <f t="shared" si="48"/>
        <v>-</v>
      </c>
    </row>
    <row r="195" spans="1:66" hidden="1" x14ac:dyDescent="0.2">
      <c r="A195" s="28">
        <v>3</v>
      </c>
      <c r="B195" s="28">
        <v>4</v>
      </c>
      <c r="C195" s="11">
        <v>25</v>
      </c>
      <c r="D195" s="147" t="s">
        <v>299</v>
      </c>
      <c r="E195" s="10" t="s">
        <v>50</v>
      </c>
      <c r="F195" s="10" t="s">
        <v>209</v>
      </c>
      <c r="G195" s="10"/>
      <c r="H195" s="152"/>
      <c r="I195" s="155"/>
      <c r="J195" s="106"/>
      <c r="K195" s="94"/>
      <c r="L195" s="158"/>
      <c r="M195" s="161"/>
      <c r="N195" s="106"/>
      <c r="O195" s="106"/>
      <c r="P195" s="63"/>
      <c r="Q195" s="162"/>
      <c r="R195" s="164"/>
      <c r="S195" s="62"/>
      <c r="T195" s="63"/>
      <c r="U195" s="62"/>
      <c r="V195" s="64"/>
      <c r="W195" s="164"/>
      <c r="X195" s="62"/>
      <c r="Y195" s="45"/>
      <c r="Z195" s="44"/>
      <c r="AA195" s="100"/>
      <c r="AB195" s="100"/>
      <c r="AG195" s="18">
        <v>25</v>
      </c>
      <c r="AH195" s="69" t="s">
        <v>299</v>
      </c>
      <c r="AI195" s="243" t="s">
        <v>50</v>
      </c>
      <c r="AJ195" s="243" t="s">
        <v>419</v>
      </c>
      <c r="AK195" s="246"/>
      <c r="AL195" s="43" t="str">
        <f t="shared" si="49"/>
        <v>-</v>
      </c>
      <c r="AM195" s="43">
        <f t="shared" si="54"/>
        <v>0</v>
      </c>
      <c r="AN195" s="193">
        <f t="shared" si="54"/>
        <v>0</v>
      </c>
      <c r="AO195" s="264">
        <f t="shared" si="41"/>
        <v>170</v>
      </c>
      <c r="AP195" s="266"/>
      <c r="AQ195" s="26" t="str">
        <f t="shared" ref="AQ195:AQ258" si="56">CONCATENATE(E195,F195)</f>
        <v>OKTWANCH RIVERChum</v>
      </c>
      <c r="AR195" s="26">
        <f t="shared" si="42"/>
        <v>0</v>
      </c>
      <c r="AS195" s="33">
        <f t="shared" si="50"/>
        <v>0</v>
      </c>
      <c r="AX195" s="47" t="str">
        <f t="shared" si="43"/>
        <v>OKTWANCH RIVERChum</v>
      </c>
      <c r="AY195" s="49">
        <f t="shared" si="44"/>
        <v>0</v>
      </c>
      <c r="AZ195" s="49">
        <f t="shared" si="45"/>
        <v>0</v>
      </c>
      <c r="BA195" s="31">
        <v>0</v>
      </c>
      <c r="BB195" s="188">
        <f t="shared" si="46"/>
        <v>0</v>
      </c>
      <c r="BC195" s="188" t="str">
        <f t="shared" si="51"/>
        <v xml:space="preserve"> </v>
      </c>
      <c r="BD195" s="188" t="str">
        <f t="shared" si="52"/>
        <v xml:space="preserve"> </v>
      </c>
      <c r="BE195" s="188" t="str">
        <f t="shared" si="53"/>
        <v xml:space="preserve"> </v>
      </c>
      <c r="BF195" s="50" t="str">
        <f t="shared" si="55"/>
        <v>OKTWANCH RIVER_Chum</v>
      </c>
      <c r="BG195" s="50">
        <f>IFERROR(VLOOKUP(BF195,'[1]WCVI Esc'!$C$5:$W$534,18,FALSE),"-")</f>
        <v>169.66666666666666</v>
      </c>
      <c r="BH195" s="50">
        <f t="shared" si="47"/>
        <v>170</v>
      </c>
      <c r="BI195" s="50">
        <f>IFERROR(VLOOKUP(BF195,'[1]WCVI Esc'!$C$5:$W$534,19,FALSE),"-")</f>
        <v>169.66666666666666</v>
      </c>
      <c r="BJ195" s="50">
        <f t="shared" si="48"/>
        <v>170</v>
      </c>
    </row>
    <row r="196" spans="1:66" x14ac:dyDescent="0.2">
      <c r="A196" s="28">
        <v>3</v>
      </c>
      <c r="B196" s="28">
        <v>5</v>
      </c>
      <c r="C196" s="11">
        <v>25</v>
      </c>
      <c r="D196" s="147" t="s">
        <v>299</v>
      </c>
      <c r="E196" s="10" t="s">
        <v>50</v>
      </c>
      <c r="F196" s="10" t="s">
        <v>210</v>
      </c>
      <c r="G196" s="10"/>
      <c r="H196" s="152"/>
      <c r="I196" s="155"/>
      <c r="J196" s="106"/>
      <c r="K196" s="94"/>
      <c r="L196" s="158"/>
      <c r="M196" s="161"/>
      <c r="N196" s="106"/>
      <c r="O196" s="173"/>
      <c r="P196" s="63"/>
      <c r="Q196" s="162"/>
      <c r="R196" s="164"/>
      <c r="S196" s="62"/>
      <c r="T196" s="63"/>
      <c r="U196" s="62"/>
      <c r="V196" s="64"/>
      <c r="W196" s="164"/>
      <c r="X196" s="62"/>
      <c r="Y196" s="45"/>
      <c r="Z196" s="44"/>
      <c r="AA196" s="100">
        <f>Y196/AP196</f>
        <v>0</v>
      </c>
      <c r="AB196" s="100">
        <f>AS196/AP196</f>
        <v>0</v>
      </c>
      <c r="AF196" s="123">
        <f>Y196</f>
        <v>0</v>
      </c>
      <c r="AG196" s="18">
        <v>25</v>
      </c>
      <c r="AH196" s="69" t="s">
        <v>299</v>
      </c>
      <c r="AI196" s="243" t="s">
        <v>50</v>
      </c>
      <c r="AJ196" s="243" t="s">
        <v>419</v>
      </c>
      <c r="AK196" s="246"/>
      <c r="AL196" s="43" t="str">
        <f t="shared" si="49"/>
        <v>-</v>
      </c>
      <c r="AM196" s="43">
        <f t="shared" ref="AM196:AN227" si="57">AR196</f>
        <v>0</v>
      </c>
      <c r="AN196" s="193">
        <f t="shared" si="57"/>
        <v>0</v>
      </c>
      <c r="AO196" s="264">
        <f t="shared" ref="AO196:AO251" si="58">BH196</f>
        <v>140</v>
      </c>
      <c r="AP196" s="265">
        <f>BJ196</f>
        <v>90</v>
      </c>
      <c r="AQ196" s="26" t="str">
        <f t="shared" si="56"/>
        <v>OKTWANCH RIVERChinook</v>
      </c>
      <c r="AR196" s="26">
        <f t="shared" ref="AR196:AR251" si="59">COUNT(G196:X196)</f>
        <v>0</v>
      </c>
      <c r="AS196" s="33">
        <f t="shared" si="50"/>
        <v>0</v>
      </c>
      <c r="AX196" s="47" t="str">
        <f t="shared" si="43"/>
        <v>OKTWANCH RIVERChinook</v>
      </c>
      <c r="AY196" s="49">
        <f t="shared" si="44"/>
        <v>0</v>
      </c>
      <c r="AZ196" s="49">
        <f t="shared" si="45"/>
        <v>0</v>
      </c>
      <c r="BA196" s="31">
        <v>2016</v>
      </c>
      <c r="BB196" s="188">
        <f t="shared" si="46"/>
        <v>0</v>
      </c>
      <c r="BC196" s="188" t="str">
        <f t="shared" si="51"/>
        <v xml:space="preserve"> </v>
      </c>
      <c r="BD196" s="188" t="str">
        <f t="shared" si="52"/>
        <v xml:space="preserve"> </v>
      </c>
      <c r="BE196" s="188" t="str">
        <f t="shared" si="53"/>
        <v xml:space="preserve"> </v>
      </c>
      <c r="BF196" s="50" t="str">
        <f t="shared" si="55"/>
        <v>OKTWANCH RIVER_Chinook</v>
      </c>
      <c r="BG196" s="50">
        <f>IFERROR(VLOOKUP(BF196,'[1]WCVI Esc'!$C$5:$W$534,18,FALSE),"-")</f>
        <v>144.33333333333334</v>
      </c>
      <c r="BH196" s="50">
        <f t="shared" si="47"/>
        <v>140</v>
      </c>
      <c r="BI196" s="50">
        <f>IFERROR(VLOOKUP(BF196,'[1]WCVI Esc'!$C$5:$W$534,19,FALSE),"-")</f>
        <v>91.5</v>
      </c>
      <c r="BJ196" s="50">
        <f t="shared" si="48"/>
        <v>90</v>
      </c>
      <c r="BL196" t="s">
        <v>452</v>
      </c>
      <c r="BN196" s="31">
        <v>1</v>
      </c>
    </row>
    <row r="197" spans="1:66" hidden="1" x14ac:dyDescent="0.2">
      <c r="A197" s="28">
        <v>3</v>
      </c>
      <c r="B197" s="28">
        <v>6</v>
      </c>
      <c r="C197" s="11">
        <v>25</v>
      </c>
      <c r="D197" s="147" t="s">
        <v>299</v>
      </c>
      <c r="E197" s="10" t="s">
        <v>50</v>
      </c>
      <c r="F197" s="10" t="s">
        <v>211</v>
      </c>
      <c r="G197" s="10"/>
      <c r="H197" s="152"/>
      <c r="I197" s="155"/>
      <c r="J197" s="106"/>
      <c r="K197" s="94"/>
      <c r="L197" s="158"/>
      <c r="M197" s="161"/>
      <c r="N197" s="106"/>
      <c r="O197" s="106"/>
      <c r="P197" s="63"/>
      <c r="Q197" s="162"/>
      <c r="R197" s="164"/>
      <c r="S197" s="62"/>
      <c r="T197" s="63"/>
      <c r="U197" s="62"/>
      <c r="V197" s="64"/>
      <c r="W197" s="164"/>
      <c r="X197" s="62"/>
      <c r="Y197" s="45"/>
      <c r="Z197" s="44"/>
      <c r="AA197" s="100"/>
      <c r="AB197" s="100"/>
      <c r="AG197" s="18">
        <v>25</v>
      </c>
      <c r="AH197" s="69" t="s">
        <v>299</v>
      </c>
      <c r="AI197" s="243" t="s">
        <v>50</v>
      </c>
      <c r="AJ197" s="243" t="s">
        <v>419</v>
      </c>
      <c r="AK197" s="246"/>
      <c r="AL197" s="43" t="str">
        <f t="shared" si="49"/>
        <v>-</v>
      </c>
      <c r="AM197" s="43">
        <f t="shared" si="57"/>
        <v>0</v>
      </c>
      <c r="AN197" s="193">
        <f t="shared" si="57"/>
        <v>0</v>
      </c>
      <c r="AO197" s="264" t="str">
        <f t="shared" si="58"/>
        <v>-</v>
      </c>
      <c r="AP197" s="266"/>
      <c r="AQ197" s="26" t="str">
        <f t="shared" si="56"/>
        <v>OKTWANCH RIVERSteelhead</v>
      </c>
      <c r="AR197" s="26">
        <f t="shared" si="59"/>
        <v>0</v>
      </c>
      <c r="AS197" s="33">
        <f t="shared" si="50"/>
        <v>0</v>
      </c>
      <c r="AX197" s="47" t="str">
        <f t="shared" si="43"/>
        <v>OKTWANCH RIVERSteelhead</v>
      </c>
      <c r="AY197" s="49">
        <f t="shared" si="44"/>
        <v>0</v>
      </c>
      <c r="AZ197" s="49">
        <f t="shared" si="45"/>
        <v>0</v>
      </c>
      <c r="BA197" s="31">
        <v>0</v>
      </c>
      <c r="BB197" s="188">
        <f t="shared" si="46"/>
        <v>0</v>
      </c>
      <c r="BC197" s="188" t="str">
        <f t="shared" si="51"/>
        <v xml:space="preserve"> </v>
      </c>
      <c r="BD197" s="188" t="str">
        <f t="shared" si="52"/>
        <v xml:space="preserve"> </v>
      </c>
      <c r="BE197" s="188" t="str">
        <f t="shared" si="53"/>
        <v xml:space="preserve"> </v>
      </c>
      <c r="BF197" s="50" t="str">
        <f t="shared" si="55"/>
        <v>OKTWANCH RIVER_Steelhead</v>
      </c>
      <c r="BG197" s="50" t="str">
        <f>IFERROR(VLOOKUP(BF197,'[1]WCVI Esc'!$C$5:$W$534,18,FALSE),"-")</f>
        <v>-</v>
      </c>
      <c r="BH197" s="50" t="str">
        <f t="shared" si="47"/>
        <v>-</v>
      </c>
      <c r="BI197" s="50" t="str">
        <f>IFERROR(VLOOKUP(BF197,'[1]WCVI Esc'!$C$5:$W$534,19,FALSE),"-")</f>
        <v>-</v>
      </c>
      <c r="BJ197" s="50" t="str">
        <f t="shared" si="48"/>
        <v>-</v>
      </c>
    </row>
    <row r="198" spans="1:66" hidden="1" x14ac:dyDescent="0.2">
      <c r="A198" s="28">
        <v>3</v>
      </c>
      <c r="B198" s="28">
        <v>1</v>
      </c>
      <c r="C198" s="11">
        <v>25</v>
      </c>
      <c r="D198" s="147" t="s">
        <v>300</v>
      </c>
      <c r="E198" s="10" t="s">
        <v>148</v>
      </c>
      <c r="F198" s="10" t="s">
        <v>207</v>
      </c>
      <c r="G198" s="10"/>
      <c r="H198" s="152"/>
      <c r="I198" s="155"/>
      <c r="J198" s="106"/>
      <c r="K198" s="94"/>
      <c r="L198" s="158"/>
      <c r="M198" s="161"/>
      <c r="N198" s="106"/>
      <c r="O198" s="106"/>
      <c r="P198" s="63"/>
      <c r="Q198" s="162"/>
      <c r="R198" s="164"/>
      <c r="S198" s="62"/>
      <c r="T198" s="63"/>
      <c r="U198" s="62"/>
      <c r="V198" s="64"/>
      <c r="W198" s="164"/>
      <c r="X198" s="62"/>
      <c r="Y198" s="45"/>
      <c r="Z198" s="45"/>
      <c r="AA198" s="100"/>
      <c r="AB198" s="100"/>
      <c r="AG198" s="18">
        <v>25</v>
      </c>
      <c r="AH198" s="69" t="s">
        <v>300</v>
      </c>
      <c r="AI198" s="243" t="s">
        <v>148</v>
      </c>
      <c r="AJ198" s="243" t="s">
        <v>419</v>
      </c>
      <c r="AK198" s="246"/>
      <c r="AL198" s="43" t="str">
        <f t="shared" si="49"/>
        <v>-</v>
      </c>
      <c r="AM198" s="43">
        <f t="shared" si="57"/>
        <v>0</v>
      </c>
      <c r="AN198" s="193">
        <f t="shared" si="57"/>
        <v>0</v>
      </c>
      <c r="AO198" s="264">
        <f t="shared" si="58"/>
        <v>10</v>
      </c>
      <c r="AP198" s="266"/>
      <c r="AQ198" s="26" t="str">
        <f t="shared" si="56"/>
        <v>PARK RIVERSockeye</v>
      </c>
      <c r="AR198" s="26">
        <f t="shared" si="59"/>
        <v>0</v>
      </c>
      <c r="AS198" s="33">
        <f t="shared" si="50"/>
        <v>0</v>
      </c>
      <c r="AX198" s="47" t="str">
        <f t="shared" si="43"/>
        <v>PARK RIVERSockeye</v>
      </c>
      <c r="AY198" s="49">
        <f t="shared" si="44"/>
        <v>0</v>
      </c>
      <c r="AZ198" s="49">
        <f t="shared" si="45"/>
        <v>0</v>
      </c>
      <c r="BA198" s="31">
        <v>1998</v>
      </c>
      <c r="BB198" s="188">
        <f t="shared" si="46"/>
        <v>0</v>
      </c>
      <c r="BC198" s="188" t="str">
        <f t="shared" si="51"/>
        <v xml:space="preserve"> </v>
      </c>
      <c r="BD198" s="188" t="str">
        <f t="shared" si="52"/>
        <v xml:space="preserve"> </v>
      </c>
      <c r="BE198" s="188" t="str">
        <f t="shared" si="53"/>
        <v xml:space="preserve"> </v>
      </c>
      <c r="BF198" s="50" t="str">
        <f t="shared" si="55"/>
        <v>PARK RIVER_Sockeye</v>
      </c>
      <c r="BG198" s="50">
        <f>IFERROR(VLOOKUP(BF198,'[1]WCVI Esc'!$C$5:$W$534,18,FALSE),"-")</f>
        <v>6</v>
      </c>
      <c r="BH198" s="50">
        <f t="shared" si="47"/>
        <v>10</v>
      </c>
      <c r="BI198" s="50">
        <f>IFERROR(VLOOKUP(BF198,'[1]WCVI Esc'!$C$5:$W$534,19,FALSE),"-")</f>
        <v>30.5</v>
      </c>
      <c r="BJ198" s="50">
        <f t="shared" si="48"/>
        <v>30</v>
      </c>
    </row>
    <row r="199" spans="1:66" hidden="1" x14ac:dyDescent="0.2">
      <c r="A199" s="28">
        <v>3</v>
      </c>
      <c r="B199" s="28">
        <v>2</v>
      </c>
      <c r="C199" s="11">
        <v>25</v>
      </c>
      <c r="D199" s="147" t="s">
        <v>300</v>
      </c>
      <c r="E199" s="10" t="s">
        <v>148</v>
      </c>
      <c r="F199" s="10" t="s">
        <v>219</v>
      </c>
      <c r="G199" s="10"/>
      <c r="H199" s="152"/>
      <c r="I199" s="155"/>
      <c r="J199" s="106"/>
      <c r="K199" s="94"/>
      <c r="L199" s="158"/>
      <c r="M199" s="161"/>
      <c r="N199" s="106"/>
      <c r="O199" s="106"/>
      <c r="P199" s="63"/>
      <c r="Q199" s="162"/>
      <c r="R199" s="164"/>
      <c r="S199" s="62"/>
      <c r="T199" s="63"/>
      <c r="U199" s="62"/>
      <c r="V199" s="64"/>
      <c r="W199" s="164"/>
      <c r="X199" s="62"/>
      <c r="Y199" s="45"/>
      <c r="Z199" s="45"/>
      <c r="AA199" s="100">
        <f>Y199/AP199</f>
        <v>0</v>
      </c>
      <c r="AB199" s="100">
        <f>AS199/AP199</f>
        <v>0</v>
      </c>
      <c r="AC199" s="123">
        <v>2</v>
      </c>
      <c r="AD199" s="123"/>
      <c r="AE199" s="123"/>
      <c r="AF199" s="123"/>
      <c r="AG199" s="18">
        <v>25</v>
      </c>
      <c r="AH199" s="69" t="s">
        <v>300</v>
      </c>
      <c r="AI199" s="243" t="s">
        <v>148</v>
      </c>
      <c r="AJ199" s="243" t="s">
        <v>419</v>
      </c>
      <c r="AK199" s="246"/>
      <c r="AL199" s="43" t="str">
        <f t="shared" si="49"/>
        <v>-</v>
      </c>
      <c r="AM199" s="43">
        <f t="shared" si="57"/>
        <v>0</v>
      </c>
      <c r="AN199" s="193">
        <f t="shared" si="57"/>
        <v>0</v>
      </c>
      <c r="AO199" s="264">
        <f t="shared" si="58"/>
        <v>40</v>
      </c>
      <c r="AP199" s="265">
        <f>BJ199</f>
        <v>170</v>
      </c>
      <c r="AQ199" s="26" t="str">
        <f t="shared" si="56"/>
        <v>PARK RIVERCoho</v>
      </c>
      <c r="AR199" s="26">
        <f t="shared" si="59"/>
        <v>0</v>
      </c>
      <c r="AS199" s="33">
        <f t="shared" si="50"/>
        <v>0</v>
      </c>
      <c r="AX199" s="47" t="str">
        <f t="shared" si="43"/>
        <v>PARK RIVERCoho</v>
      </c>
      <c r="AY199" s="49">
        <f t="shared" si="44"/>
        <v>0</v>
      </c>
      <c r="AZ199" s="49">
        <f t="shared" si="45"/>
        <v>0</v>
      </c>
      <c r="BA199" s="31">
        <v>2016</v>
      </c>
      <c r="BB199" s="188">
        <f t="shared" si="46"/>
        <v>0</v>
      </c>
      <c r="BC199" s="188" t="str">
        <f t="shared" si="51"/>
        <v xml:space="preserve"> </v>
      </c>
      <c r="BD199" s="188" t="str">
        <f t="shared" si="52"/>
        <v xml:space="preserve"> </v>
      </c>
      <c r="BE199" s="188" t="str">
        <f t="shared" si="53"/>
        <v xml:space="preserve"> </v>
      </c>
      <c r="BF199" s="50" t="str">
        <f t="shared" si="55"/>
        <v>PARK RIVER_Coho</v>
      </c>
      <c r="BG199" s="50">
        <f>IFERROR(VLOOKUP(BF199,'[1]WCVI Esc'!$C$5:$W$534,18,FALSE),"-")</f>
        <v>40</v>
      </c>
      <c r="BH199" s="50">
        <f t="shared" si="47"/>
        <v>40</v>
      </c>
      <c r="BI199" s="50">
        <f>IFERROR(VLOOKUP(BF199,'[1]WCVI Esc'!$C$5:$W$534,19,FALSE),"-")</f>
        <v>172.5</v>
      </c>
      <c r="BJ199" s="50">
        <f t="shared" si="48"/>
        <v>170</v>
      </c>
    </row>
    <row r="200" spans="1:66" hidden="1" x14ac:dyDescent="0.2">
      <c r="A200" s="28">
        <v>3</v>
      </c>
      <c r="B200" s="28">
        <v>3</v>
      </c>
      <c r="C200" s="11">
        <v>25</v>
      </c>
      <c r="D200" s="147" t="s">
        <v>300</v>
      </c>
      <c r="E200" s="10" t="s">
        <v>148</v>
      </c>
      <c r="F200" s="10" t="s">
        <v>208</v>
      </c>
      <c r="G200" s="10"/>
      <c r="H200" s="152"/>
      <c r="I200" s="155"/>
      <c r="J200" s="106"/>
      <c r="K200" s="94"/>
      <c r="L200" s="158"/>
      <c r="M200" s="161"/>
      <c r="N200" s="106"/>
      <c r="O200" s="106"/>
      <c r="P200" s="63"/>
      <c r="Q200" s="162"/>
      <c r="R200" s="164"/>
      <c r="S200" s="62"/>
      <c r="T200" s="63"/>
      <c r="U200" s="62"/>
      <c r="V200" s="64"/>
      <c r="W200" s="164"/>
      <c r="X200" s="62"/>
      <c r="Y200" s="45"/>
      <c r="Z200" s="45"/>
      <c r="AA200" s="100"/>
      <c r="AB200" s="100"/>
      <c r="AG200" s="18">
        <v>25</v>
      </c>
      <c r="AH200" s="69" t="s">
        <v>300</v>
      </c>
      <c r="AI200" s="243" t="s">
        <v>148</v>
      </c>
      <c r="AJ200" s="243" t="s">
        <v>419</v>
      </c>
      <c r="AK200" s="246"/>
      <c r="AL200" s="43" t="str">
        <f t="shared" si="49"/>
        <v>-</v>
      </c>
      <c r="AM200" s="43">
        <f t="shared" si="57"/>
        <v>0</v>
      </c>
      <c r="AN200" s="193">
        <f t="shared" si="57"/>
        <v>0</v>
      </c>
      <c r="AO200" s="264" t="str">
        <f t="shared" si="58"/>
        <v>-</v>
      </c>
      <c r="AP200" s="266"/>
      <c r="AQ200" s="26" t="str">
        <f t="shared" si="56"/>
        <v>PARK RIVERPink</v>
      </c>
      <c r="AR200" s="26">
        <f t="shared" si="59"/>
        <v>0</v>
      </c>
      <c r="AS200" s="33">
        <f t="shared" si="50"/>
        <v>0</v>
      </c>
      <c r="AX200" s="47" t="str">
        <f t="shared" si="43"/>
        <v>PARK RIVERPink</v>
      </c>
      <c r="AY200" s="49">
        <f t="shared" si="44"/>
        <v>0</v>
      </c>
      <c r="AZ200" s="49">
        <f t="shared" si="45"/>
        <v>0</v>
      </c>
      <c r="BA200" s="31">
        <v>0</v>
      </c>
      <c r="BB200" s="188">
        <f t="shared" si="46"/>
        <v>0</v>
      </c>
      <c r="BC200" s="188" t="str">
        <f t="shared" si="51"/>
        <v xml:space="preserve"> </v>
      </c>
      <c r="BD200" s="188" t="str">
        <f t="shared" si="52"/>
        <v xml:space="preserve"> </v>
      </c>
      <c r="BE200" s="188" t="str">
        <f t="shared" si="53"/>
        <v xml:space="preserve"> </v>
      </c>
      <c r="BF200" s="50" t="str">
        <f t="shared" si="55"/>
        <v>PARK RIVER_Pink</v>
      </c>
      <c r="BG200" s="50" t="str">
        <f>IFERROR(VLOOKUP(BF200,'[1]WCVI Esc'!$C$5:$W$534,18,FALSE),"-")</f>
        <v>-</v>
      </c>
      <c r="BH200" s="50" t="str">
        <f t="shared" si="47"/>
        <v>-</v>
      </c>
      <c r="BI200" s="50" t="str">
        <f>IFERROR(VLOOKUP(BF200,'[1]WCVI Esc'!$C$5:$W$534,19,FALSE),"-")</f>
        <v>-</v>
      </c>
      <c r="BJ200" s="50" t="str">
        <f t="shared" si="48"/>
        <v>-</v>
      </c>
    </row>
    <row r="201" spans="1:66" hidden="1" x14ac:dyDescent="0.2">
      <c r="A201" s="28">
        <v>3</v>
      </c>
      <c r="B201" s="28">
        <v>4</v>
      </c>
      <c r="C201" s="11">
        <v>25</v>
      </c>
      <c r="D201" s="147" t="s">
        <v>300</v>
      </c>
      <c r="E201" s="10" t="s">
        <v>148</v>
      </c>
      <c r="F201" s="10" t="s">
        <v>209</v>
      </c>
      <c r="G201" s="10"/>
      <c r="H201" s="152"/>
      <c r="I201" s="155"/>
      <c r="J201" s="106"/>
      <c r="K201" s="94"/>
      <c r="L201" s="158"/>
      <c r="M201" s="161"/>
      <c r="N201" s="106"/>
      <c r="O201" s="106"/>
      <c r="P201" s="63"/>
      <c r="Q201" s="162"/>
      <c r="R201" s="164"/>
      <c r="S201" s="62"/>
      <c r="T201" s="63"/>
      <c r="U201" s="62"/>
      <c r="V201" s="64"/>
      <c r="W201" s="164"/>
      <c r="X201" s="62"/>
      <c r="Y201" s="45"/>
      <c r="Z201" s="45"/>
      <c r="AA201" s="100">
        <f>Y201/AP201</f>
        <v>0</v>
      </c>
      <c r="AB201" s="100">
        <f>AS201/AP201</f>
        <v>0</v>
      </c>
      <c r="AC201" s="123">
        <v>2</v>
      </c>
      <c r="AD201" s="123"/>
      <c r="AE201" s="123"/>
      <c r="AF201" s="123"/>
      <c r="AG201" s="18">
        <v>25</v>
      </c>
      <c r="AH201" s="69" t="s">
        <v>300</v>
      </c>
      <c r="AI201" s="243" t="s">
        <v>148</v>
      </c>
      <c r="AJ201" s="243" t="s">
        <v>419</v>
      </c>
      <c r="AK201" s="246"/>
      <c r="AL201" s="43" t="str">
        <f t="shared" si="49"/>
        <v>-</v>
      </c>
      <c r="AM201" s="43">
        <f t="shared" si="57"/>
        <v>0</v>
      </c>
      <c r="AN201" s="193">
        <f t="shared" si="57"/>
        <v>0</v>
      </c>
      <c r="AO201" s="264">
        <f t="shared" si="58"/>
        <v>290</v>
      </c>
      <c r="AP201" s="265">
        <f>BJ201</f>
        <v>4460</v>
      </c>
      <c r="AQ201" s="26" t="str">
        <f t="shared" si="56"/>
        <v>PARK RIVERChum</v>
      </c>
      <c r="AR201" s="26">
        <f t="shared" si="59"/>
        <v>0</v>
      </c>
      <c r="AS201" s="33">
        <f t="shared" si="50"/>
        <v>0</v>
      </c>
      <c r="AX201" s="47" t="str">
        <f t="shared" ref="AX201:AX252" si="60">CONCATENATE(E201,F201)</f>
        <v>PARK RIVERChum</v>
      </c>
      <c r="AY201" s="49">
        <f t="shared" ref="AY201:AY252" si="61">Z201</f>
        <v>0</v>
      </c>
      <c r="AZ201" s="49">
        <f t="shared" ref="AZ201:AZ252" si="62">Y201</f>
        <v>0</v>
      </c>
      <c r="BA201" s="31">
        <v>2016</v>
      </c>
      <c r="BB201" s="188">
        <f t="shared" ref="BB201:BB264" si="63">AK201</f>
        <v>0</v>
      </c>
      <c r="BC201" s="188" t="str">
        <f t="shared" si="51"/>
        <v xml:space="preserve"> </v>
      </c>
      <c r="BD201" s="188" t="str">
        <f t="shared" si="52"/>
        <v xml:space="preserve"> </v>
      </c>
      <c r="BE201" s="188" t="str">
        <f t="shared" si="53"/>
        <v xml:space="preserve"> </v>
      </c>
      <c r="BF201" s="50" t="str">
        <f t="shared" si="55"/>
        <v>PARK RIVER_Chum</v>
      </c>
      <c r="BG201" s="50">
        <f>IFERROR(VLOOKUP(BF201,'[1]WCVI Esc'!$C$5:$W$534,18,FALSE),"-")</f>
        <v>290</v>
      </c>
      <c r="BH201" s="50">
        <f t="shared" ref="BH201:BH264" si="64">IFERROR(ROUND(BG201,-1),"-")</f>
        <v>290</v>
      </c>
      <c r="BI201" s="50">
        <f>IFERROR(VLOOKUP(BF201,'[1]WCVI Esc'!$C$5:$W$534,19,FALSE),"-")</f>
        <v>4463.5</v>
      </c>
      <c r="BJ201" s="50">
        <f t="shared" ref="BJ201:BJ264" si="65">IFERROR(ROUND(BI201,-1),"-")</f>
        <v>4460</v>
      </c>
    </row>
    <row r="202" spans="1:66" x14ac:dyDescent="0.2">
      <c r="A202" s="28">
        <v>3</v>
      </c>
      <c r="B202" s="28">
        <v>5</v>
      </c>
      <c r="C202" s="11">
        <v>25</v>
      </c>
      <c r="D202" s="147" t="s">
        <v>300</v>
      </c>
      <c r="E202" s="10" t="s">
        <v>148</v>
      </c>
      <c r="F202" s="10" t="s">
        <v>210</v>
      </c>
      <c r="G202" s="10"/>
      <c r="H202" s="152"/>
      <c r="I202" s="155"/>
      <c r="J202" s="106"/>
      <c r="K202" s="94"/>
      <c r="L202" s="158"/>
      <c r="M202" s="161"/>
      <c r="N202" s="106"/>
      <c r="O202" s="106"/>
      <c r="P202" s="63"/>
      <c r="Q202" s="162"/>
      <c r="R202" s="164"/>
      <c r="S202" s="62"/>
      <c r="T202" s="63"/>
      <c r="U202" s="62"/>
      <c r="V202" s="64"/>
      <c r="W202" s="164"/>
      <c r="X202" s="62"/>
      <c r="Y202" s="45"/>
      <c r="Z202" s="45"/>
      <c r="AA202" s="100"/>
      <c r="AB202" s="100"/>
      <c r="AF202" s="123">
        <f>Y202</f>
        <v>0</v>
      </c>
      <c r="AG202" s="18">
        <v>25</v>
      </c>
      <c r="AH202" s="69" t="s">
        <v>300</v>
      </c>
      <c r="AI202" s="243" t="s">
        <v>148</v>
      </c>
      <c r="AJ202" s="243" t="s">
        <v>419</v>
      </c>
      <c r="AK202" s="246"/>
      <c r="AL202" s="43" t="str">
        <f t="shared" ref="AL202:AL265" si="66">IF(BE202=" ",IF(BD202=" ", IF(BC202=" ","-",BC202),BD202), BE202)</f>
        <v>-</v>
      </c>
      <c r="AM202" s="43">
        <f t="shared" si="57"/>
        <v>0</v>
      </c>
      <c r="AN202" s="193">
        <f t="shared" si="57"/>
        <v>0</v>
      </c>
      <c r="AO202" s="264" t="str">
        <f t="shared" si="58"/>
        <v>-</v>
      </c>
      <c r="AP202" s="266"/>
      <c r="AQ202" s="26" t="str">
        <f t="shared" si="56"/>
        <v>PARK RIVERChinook</v>
      </c>
      <c r="AR202" s="26">
        <f t="shared" si="59"/>
        <v>0</v>
      </c>
      <c r="AS202" s="33">
        <f t="shared" ref="AS202:AS251" si="67">MAX(G202:X202)</f>
        <v>0</v>
      </c>
      <c r="AX202" s="47" t="str">
        <f t="shared" si="60"/>
        <v>PARK RIVERChinook</v>
      </c>
      <c r="AY202" s="49">
        <f t="shared" si="61"/>
        <v>0</v>
      </c>
      <c r="AZ202" s="49">
        <f t="shared" si="62"/>
        <v>0</v>
      </c>
      <c r="BA202" s="31">
        <v>1980</v>
      </c>
      <c r="BB202" s="188">
        <f t="shared" si="63"/>
        <v>0</v>
      </c>
      <c r="BC202" s="188" t="str">
        <f t="shared" ref="BC202:BC265" si="68">IF(ISNUMBER(M202),M$8,IF(ISNUMBER(L202),L$8,IF(ISNUMBER(K202),K$8,IF(ISNUMBER(J202),J$8,IF(ISNUMBER(I202),I$8,IF(ISNUMBER(H202),H$8, IF(ISNUMBER(G202),G$8," ")))))))</f>
        <v xml:space="preserve"> </v>
      </c>
      <c r="BD202" s="188" t="str">
        <f t="shared" ref="BD202:BD265" si="69">IF(ISNUMBER(S202),S$8,IF(ISNUMBER(R202),R$8,IF(ISNUMBER(Q202),Q$8,IF(ISNUMBER(P202),P$8,IF(ISNUMBER(O202),O$8,IF(ISNUMBER(N202),N$8," "))))))</f>
        <v xml:space="preserve"> </v>
      </c>
      <c r="BE202" s="188" t="str">
        <f t="shared" ref="BE202:BE265" si="70">IF(ISNUMBER(X202),X$8,IF(ISNUMBER(W202),W$8,IF(ISNUMBER(V202),V$8,IF(ISNUMBER(U202),U$8,IF(ISNUMBER(T202),T$8," ")))))</f>
        <v xml:space="preserve"> </v>
      </c>
      <c r="BF202" s="50" t="str">
        <f t="shared" si="55"/>
        <v>PARK RIVER_Chinook</v>
      </c>
      <c r="BG202" s="50" t="str">
        <f>IFERROR(VLOOKUP(BF202,'[1]WCVI Esc'!$C$5:$W$534,18,FALSE),"-")</f>
        <v>-</v>
      </c>
      <c r="BH202" s="50" t="str">
        <f t="shared" si="64"/>
        <v>-</v>
      </c>
      <c r="BI202" s="50" t="str">
        <f>IFERROR(VLOOKUP(BF202,'[1]WCVI Esc'!$C$5:$W$534,19,FALSE),"-")</f>
        <v>-</v>
      </c>
      <c r="BJ202" s="50" t="str">
        <f t="shared" si="65"/>
        <v>-</v>
      </c>
      <c r="BK202">
        <v>2</v>
      </c>
      <c r="BL202" s="17" t="s">
        <v>458</v>
      </c>
    </row>
    <row r="203" spans="1:66" hidden="1" x14ac:dyDescent="0.2">
      <c r="A203" s="28">
        <v>3</v>
      </c>
      <c r="B203" s="28">
        <v>6</v>
      </c>
      <c r="C203" s="11">
        <v>25</v>
      </c>
      <c r="D203" s="147" t="s">
        <v>300</v>
      </c>
      <c r="E203" s="10" t="s">
        <v>148</v>
      </c>
      <c r="F203" s="10" t="s">
        <v>211</v>
      </c>
      <c r="G203" s="10"/>
      <c r="H203" s="152"/>
      <c r="I203" s="155"/>
      <c r="J203" s="106"/>
      <c r="K203" s="94"/>
      <c r="L203" s="158"/>
      <c r="M203" s="161"/>
      <c r="N203" s="106"/>
      <c r="O203" s="106"/>
      <c r="P203" s="63"/>
      <c r="Q203" s="162"/>
      <c r="R203" s="164"/>
      <c r="S203" s="62"/>
      <c r="T203" s="63"/>
      <c r="U203" s="62"/>
      <c r="V203" s="64"/>
      <c r="W203" s="164"/>
      <c r="X203" s="62"/>
      <c r="Y203" s="45"/>
      <c r="Z203" s="45"/>
      <c r="AA203" s="100"/>
      <c r="AB203" s="100"/>
      <c r="AG203" s="18">
        <v>25</v>
      </c>
      <c r="AH203" s="69" t="s">
        <v>300</v>
      </c>
      <c r="AI203" s="243" t="s">
        <v>148</v>
      </c>
      <c r="AJ203" s="243" t="s">
        <v>419</v>
      </c>
      <c r="AK203" s="246"/>
      <c r="AL203" s="43" t="str">
        <f t="shared" si="66"/>
        <v>-</v>
      </c>
      <c r="AM203" s="43">
        <f t="shared" si="57"/>
        <v>0</v>
      </c>
      <c r="AN203" s="193">
        <f t="shared" si="57"/>
        <v>0</v>
      </c>
      <c r="AO203" s="264" t="str">
        <f t="shared" si="58"/>
        <v>-</v>
      </c>
      <c r="AP203" s="266"/>
      <c r="AQ203" s="26" t="str">
        <f t="shared" si="56"/>
        <v>PARK RIVERSteelhead</v>
      </c>
      <c r="AR203" s="26">
        <f t="shared" si="59"/>
        <v>0</v>
      </c>
      <c r="AS203" s="33">
        <f t="shared" si="67"/>
        <v>0</v>
      </c>
      <c r="AX203" s="47" t="str">
        <f t="shared" si="60"/>
        <v>PARK RIVERSteelhead</v>
      </c>
      <c r="AY203" s="49">
        <f t="shared" si="61"/>
        <v>0</v>
      </c>
      <c r="AZ203" s="49">
        <f t="shared" si="62"/>
        <v>0</v>
      </c>
      <c r="BA203" s="31">
        <v>0</v>
      </c>
      <c r="BB203" s="188">
        <f t="shared" si="63"/>
        <v>0</v>
      </c>
      <c r="BC203" s="188" t="str">
        <f t="shared" si="68"/>
        <v xml:space="preserve"> </v>
      </c>
      <c r="BD203" s="188" t="str">
        <f t="shared" si="69"/>
        <v xml:space="preserve"> </v>
      </c>
      <c r="BE203" s="188" t="str">
        <f t="shared" si="70"/>
        <v xml:space="preserve"> </v>
      </c>
      <c r="BF203" s="50" t="str">
        <f t="shared" si="55"/>
        <v>PARK RIVER_Steelhead</v>
      </c>
      <c r="BG203" s="50" t="str">
        <f>IFERROR(VLOOKUP(BF203,'[1]WCVI Esc'!$C$5:$W$534,18,FALSE),"-")</f>
        <v>-</v>
      </c>
      <c r="BH203" s="50" t="str">
        <f t="shared" si="64"/>
        <v>-</v>
      </c>
      <c r="BI203" s="50" t="str">
        <f>IFERROR(VLOOKUP(BF203,'[1]WCVI Esc'!$C$5:$W$534,19,FALSE),"-")</f>
        <v>-</v>
      </c>
      <c r="BJ203" s="50" t="str">
        <f t="shared" si="65"/>
        <v>-</v>
      </c>
    </row>
    <row r="204" spans="1:66" hidden="1" x14ac:dyDescent="0.2">
      <c r="A204" s="29">
        <v>3</v>
      </c>
      <c r="B204" s="29">
        <v>1</v>
      </c>
      <c r="C204" s="103">
        <v>25</v>
      </c>
      <c r="D204" s="201" t="s">
        <v>299</v>
      </c>
      <c r="E204" s="22" t="s">
        <v>51</v>
      </c>
      <c r="F204" s="22" t="s">
        <v>207</v>
      </c>
      <c r="G204" s="22"/>
      <c r="H204" s="152"/>
      <c r="I204" s="155"/>
      <c r="J204" s="106"/>
      <c r="K204" s="94"/>
      <c r="L204" s="180"/>
      <c r="M204" s="173"/>
      <c r="N204" s="106"/>
      <c r="O204" s="106"/>
      <c r="P204" s="63"/>
      <c r="Q204" s="162"/>
      <c r="R204" s="164"/>
      <c r="S204" s="62"/>
      <c r="T204" s="63"/>
      <c r="U204" s="62"/>
      <c r="V204" s="177"/>
      <c r="W204" s="171"/>
      <c r="X204" s="62"/>
      <c r="Y204" s="45"/>
      <c r="Z204" s="45"/>
      <c r="AA204" s="100">
        <f>Y204/AP204</f>
        <v>0</v>
      </c>
      <c r="AB204" s="100">
        <f>AS204/AP204</f>
        <v>0</v>
      </c>
      <c r="AC204" s="100"/>
      <c r="AD204" s="100"/>
      <c r="AE204" s="100"/>
      <c r="AF204" s="100"/>
      <c r="AG204" s="69">
        <v>25</v>
      </c>
      <c r="AH204" s="69" t="s">
        <v>299</v>
      </c>
      <c r="AI204" s="243" t="s">
        <v>51</v>
      </c>
      <c r="AJ204" s="243" t="s">
        <v>419</v>
      </c>
      <c r="AK204" s="246"/>
      <c r="AL204" s="43" t="str">
        <f t="shared" si="66"/>
        <v>-</v>
      </c>
      <c r="AM204" s="43">
        <f t="shared" si="57"/>
        <v>0</v>
      </c>
      <c r="AN204" s="193">
        <f t="shared" si="57"/>
        <v>0</v>
      </c>
      <c r="AO204" s="270" t="str">
        <f t="shared" si="58"/>
        <v>-</v>
      </c>
      <c r="AP204" s="265">
        <f>BJ204</f>
        <v>340</v>
      </c>
      <c r="AQ204" s="26" t="str">
        <f t="shared" si="56"/>
        <v>SUCWOA RIVERSockeye</v>
      </c>
      <c r="AR204" s="26">
        <f t="shared" si="59"/>
        <v>0</v>
      </c>
      <c r="AS204" s="33">
        <f t="shared" si="67"/>
        <v>0</v>
      </c>
      <c r="AW204" s="34"/>
      <c r="AX204" s="47" t="str">
        <f t="shared" si="60"/>
        <v>SUCWOA RIVERSockeye</v>
      </c>
      <c r="AY204" s="49">
        <f t="shared" si="61"/>
        <v>0</v>
      </c>
      <c r="AZ204" s="49">
        <f t="shared" si="62"/>
        <v>0</v>
      </c>
      <c r="BA204" s="31">
        <v>2011</v>
      </c>
      <c r="BB204" s="188">
        <f t="shared" si="63"/>
        <v>0</v>
      </c>
      <c r="BC204" s="188" t="str">
        <f t="shared" si="68"/>
        <v xml:space="preserve"> </v>
      </c>
      <c r="BD204" s="188" t="str">
        <f t="shared" si="69"/>
        <v xml:space="preserve"> </v>
      </c>
      <c r="BE204" s="188" t="str">
        <f t="shared" si="70"/>
        <v xml:space="preserve"> </v>
      </c>
      <c r="BF204" s="50" t="str">
        <f t="shared" si="55"/>
        <v>SUCWOA RIVER_Sockeye</v>
      </c>
      <c r="BG204" s="50" t="str">
        <f>IFERROR(VLOOKUP(BF204,'[1]WCVI Esc'!$C$5:$W$514,18,FALSE),"-")</f>
        <v>-</v>
      </c>
      <c r="BH204" s="50" t="str">
        <f t="shared" si="64"/>
        <v>-</v>
      </c>
      <c r="BI204" s="50">
        <f>IFERROR(VLOOKUP(BF204,'[1]WCVI Esc'!$C$5:$W$514,19,FALSE),"-")</f>
        <v>336</v>
      </c>
      <c r="BJ204" s="50">
        <f t="shared" si="65"/>
        <v>340</v>
      </c>
    </row>
    <row r="205" spans="1:66" hidden="1" x14ac:dyDescent="0.2">
      <c r="A205" s="29">
        <v>3</v>
      </c>
      <c r="B205" s="29">
        <v>2</v>
      </c>
      <c r="C205" s="13">
        <v>25</v>
      </c>
      <c r="D205" s="201" t="s">
        <v>299</v>
      </c>
      <c r="E205" s="10" t="s">
        <v>51</v>
      </c>
      <c r="F205" s="10" t="s">
        <v>219</v>
      </c>
      <c r="G205" s="10"/>
      <c r="H205" s="152"/>
      <c r="I205" s="155"/>
      <c r="J205" s="106"/>
      <c r="K205" s="94"/>
      <c r="L205" s="180"/>
      <c r="M205" s="173"/>
      <c r="N205" s="106"/>
      <c r="O205" s="106"/>
      <c r="P205" s="63"/>
      <c r="Q205" s="162"/>
      <c r="R205" s="164"/>
      <c r="S205" s="62"/>
      <c r="T205" s="63"/>
      <c r="U205" s="62"/>
      <c r="V205" s="177"/>
      <c r="W205" s="171"/>
      <c r="X205" s="62"/>
      <c r="Y205" s="45"/>
      <c r="Z205" s="45"/>
      <c r="AA205" s="100">
        <f>Y205/AP205</f>
        <v>0</v>
      </c>
      <c r="AB205" s="100">
        <f>AS205/AP205</f>
        <v>0</v>
      </c>
      <c r="AC205" s="100"/>
      <c r="AD205" s="100"/>
      <c r="AE205" s="100"/>
      <c r="AF205" s="100"/>
      <c r="AG205" s="69">
        <v>25</v>
      </c>
      <c r="AH205" s="69" t="s">
        <v>299</v>
      </c>
      <c r="AI205" s="243" t="s">
        <v>51</v>
      </c>
      <c r="AJ205" s="243" t="s">
        <v>419</v>
      </c>
      <c r="AK205" s="246"/>
      <c r="AL205" s="43" t="str">
        <f t="shared" si="66"/>
        <v>-</v>
      </c>
      <c r="AM205" s="43">
        <f t="shared" si="57"/>
        <v>0</v>
      </c>
      <c r="AN205" s="193">
        <f t="shared" si="57"/>
        <v>0</v>
      </c>
      <c r="AO205" s="270" t="str">
        <f t="shared" si="58"/>
        <v>-</v>
      </c>
      <c r="AP205" s="265">
        <f>BJ205</f>
        <v>300</v>
      </c>
      <c r="AQ205" s="26" t="str">
        <f t="shared" si="56"/>
        <v>SUCWOA RIVERCoho</v>
      </c>
      <c r="AR205" s="26">
        <f t="shared" si="59"/>
        <v>0</v>
      </c>
      <c r="AS205" s="33">
        <f t="shared" si="67"/>
        <v>0</v>
      </c>
      <c r="AW205" s="34"/>
      <c r="AX205" s="47" t="str">
        <f t="shared" si="60"/>
        <v>SUCWOA RIVERCoho</v>
      </c>
      <c r="AY205" s="49">
        <f t="shared" si="61"/>
        <v>0</v>
      </c>
      <c r="AZ205" s="49">
        <f t="shared" si="62"/>
        <v>0</v>
      </c>
      <c r="BA205" s="31">
        <v>2014</v>
      </c>
      <c r="BB205" s="188">
        <f t="shared" si="63"/>
        <v>0</v>
      </c>
      <c r="BC205" s="188" t="str">
        <f t="shared" si="68"/>
        <v xml:space="preserve"> </v>
      </c>
      <c r="BD205" s="188" t="str">
        <f t="shared" si="69"/>
        <v xml:space="preserve"> </v>
      </c>
      <c r="BE205" s="188" t="str">
        <f t="shared" si="70"/>
        <v xml:space="preserve"> </v>
      </c>
      <c r="BF205" s="50" t="str">
        <f t="shared" si="55"/>
        <v>SUCWOA RIVER_Coho</v>
      </c>
      <c r="BG205" s="50" t="str">
        <f>IFERROR(VLOOKUP(BF205,'[1]WCVI Esc'!$C$5:$W$514,18,FALSE),"-")</f>
        <v>-</v>
      </c>
      <c r="BH205" s="50" t="str">
        <f t="shared" si="64"/>
        <v>-</v>
      </c>
      <c r="BI205" s="50">
        <f>IFERROR(VLOOKUP(BF205,'[1]WCVI Esc'!$C$5:$W$514,19,FALSE),"-")</f>
        <v>303.5</v>
      </c>
      <c r="BJ205" s="50">
        <f t="shared" si="65"/>
        <v>300</v>
      </c>
    </row>
    <row r="206" spans="1:66" hidden="1" x14ac:dyDescent="0.2">
      <c r="A206" s="102">
        <v>3</v>
      </c>
      <c r="B206" s="104">
        <v>3</v>
      </c>
      <c r="C206" s="105">
        <v>25</v>
      </c>
      <c r="D206" s="201" t="s">
        <v>299</v>
      </c>
      <c r="E206" s="61" t="s">
        <v>51</v>
      </c>
      <c r="F206" s="61" t="s">
        <v>208</v>
      </c>
      <c r="G206" s="61"/>
      <c r="H206" s="170"/>
      <c r="I206" s="223"/>
      <c r="J206" s="224"/>
      <c r="K206" s="241"/>
      <c r="L206" s="229"/>
      <c r="M206" s="242"/>
      <c r="N206" s="224"/>
      <c r="O206" s="224"/>
      <c r="P206" s="234"/>
      <c r="Q206" s="235"/>
      <c r="R206" s="178"/>
      <c r="S206" s="65"/>
      <c r="T206" s="234"/>
      <c r="U206" s="65"/>
      <c r="V206" s="179"/>
      <c r="W206" s="172"/>
      <c r="X206" s="65"/>
      <c r="Y206" s="45"/>
      <c r="Z206" s="45"/>
      <c r="AA206" s="100">
        <f>Y206/AP206</f>
        <v>0</v>
      </c>
      <c r="AB206" s="100">
        <f>AS206/AP206</f>
        <v>0</v>
      </c>
      <c r="AC206" s="100"/>
      <c r="AD206" s="100"/>
      <c r="AE206" s="100"/>
      <c r="AF206" s="100"/>
      <c r="AG206" s="69">
        <v>25</v>
      </c>
      <c r="AH206" s="69" t="s">
        <v>299</v>
      </c>
      <c r="AI206" s="243" t="s">
        <v>51</v>
      </c>
      <c r="AJ206" s="243" t="s">
        <v>419</v>
      </c>
      <c r="AK206" s="246"/>
      <c r="AL206" s="43" t="str">
        <f t="shared" si="66"/>
        <v>-</v>
      </c>
      <c r="AM206" s="43">
        <f t="shared" si="57"/>
        <v>0</v>
      </c>
      <c r="AN206" s="193">
        <f t="shared" si="57"/>
        <v>0</v>
      </c>
      <c r="AO206" s="270" t="str">
        <f t="shared" si="58"/>
        <v>-</v>
      </c>
      <c r="AP206" s="265">
        <f>BJ206</f>
        <v>10</v>
      </c>
      <c r="AQ206" s="26" t="str">
        <f t="shared" si="56"/>
        <v>SUCWOA RIVERPink</v>
      </c>
      <c r="AR206" s="26">
        <f t="shared" si="59"/>
        <v>0</v>
      </c>
      <c r="AS206" s="33">
        <f t="shared" si="67"/>
        <v>0</v>
      </c>
      <c r="AW206" s="34"/>
      <c r="AX206" s="47" t="str">
        <f t="shared" si="60"/>
        <v>SUCWOA RIVERPink</v>
      </c>
      <c r="AY206" s="49">
        <f t="shared" si="61"/>
        <v>0</v>
      </c>
      <c r="AZ206" s="49">
        <f t="shared" si="62"/>
        <v>0</v>
      </c>
      <c r="BA206" s="31">
        <v>2011</v>
      </c>
      <c r="BB206" s="188">
        <f t="shared" si="63"/>
        <v>0</v>
      </c>
      <c r="BC206" s="188" t="str">
        <f t="shared" si="68"/>
        <v xml:space="preserve"> </v>
      </c>
      <c r="BD206" s="188" t="str">
        <f t="shared" si="69"/>
        <v xml:space="preserve"> </v>
      </c>
      <c r="BE206" s="188" t="str">
        <f t="shared" si="70"/>
        <v xml:space="preserve"> </v>
      </c>
      <c r="BF206" s="50" t="str">
        <f t="shared" si="55"/>
        <v>SUCWOA RIVER_Pink</v>
      </c>
      <c r="BG206" s="50" t="str">
        <f>IFERROR(VLOOKUP(BF206,'[1]WCVI Esc'!$C$5:$W$514,18,FALSE),"-")</f>
        <v>-</v>
      </c>
      <c r="BH206" s="50" t="str">
        <f t="shared" si="64"/>
        <v>-</v>
      </c>
      <c r="BI206" s="50">
        <f>IFERROR(VLOOKUP(BF206,'[1]WCVI Esc'!$C$5:$W$514,19,FALSE),"-")</f>
        <v>5</v>
      </c>
      <c r="BJ206" s="50">
        <f t="shared" si="65"/>
        <v>10</v>
      </c>
    </row>
    <row r="207" spans="1:66" hidden="1" x14ac:dyDescent="0.2">
      <c r="A207" s="29">
        <v>3</v>
      </c>
      <c r="B207" s="29">
        <v>4</v>
      </c>
      <c r="C207" s="13">
        <v>25</v>
      </c>
      <c r="D207" s="201" t="s">
        <v>299</v>
      </c>
      <c r="E207" s="10" t="s">
        <v>51</v>
      </c>
      <c r="F207" s="10" t="s">
        <v>209</v>
      </c>
      <c r="G207" s="10"/>
      <c r="H207" s="152"/>
      <c r="I207" s="155"/>
      <c r="J207" s="106"/>
      <c r="K207" s="94"/>
      <c r="L207" s="180"/>
      <c r="M207" s="173"/>
      <c r="N207" s="106"/>
      <c r="O207" s="106"/>
      <c r="P207" s="63"/>
      <c r="Q207" s="162"/>
      <c r="R207" s="164"/>
      <c r="S207" s="62"/>
      <c r="T207" s="63"/>
      <c r="U207" s="62"/>
      <c r="V207" s="177"/>
      <c r="W207" s="171"/>
      <c r="X207" s="62"/>
      <c r="Y207" s="45"/>
      <c r="Z207" s="45"/>
      <c r="AA207" s="100">
        <f>Y207/AP207</f>
        <v>0</v>
      </c>
      <c r="AB207" s="100">
        <f>AS207/AP207</f>
        <v>0</v>
      </c>
      <c r="AC207" s="100"/>
      <c r="AD207" s="100"/>
      <c r="AE207" s="100"/>
      <c r="AF207" s="100"/>
      <c r="AG207" s="69">
        <v>25</v>
      </c>
      <c r="AH207" s="69" t="s">
        <v>299</v>
      </c>
      <c r="AI207" s="243" t="s">
        <v>51</v>
      </c>
      <c r="AJ207" s="243" t="s">
        <v>419</v>
      </c>
      <c r="AK207" s="246"/>
      <c r="AL207" s="43" t="str">
        <f t="shared" si="66"/>
        <v>-</v>
      </c>
      <c r="AM207" s="43">
        <f t="shared" si="57"/>
        <v>0</v>
      </c>
      <c r="AN207" s="193">
        <f t="shared" si="57"/>
        <v>0</v>
      </c>
      <c r="AO207" s="270" t="str">
        <f t="shared" si="58"/>
        <v>-</v>
      </c>
      <c r="AP207" s="265">
        <f>BJ207</f>
        <v>850</v>
      </c>
      <c r="AQ207" s="26" t="str">
        <f t="shared" si="56"/>
        <v>SUCWOA RIVERChum</v>
      </c>
      <c r="AR207" s="26">
        <f t="shared" si="59"/>
        <v>0</v>
      </c>
      <c r="AS207" s="33">
        <f t="shared" si="67"/>
        <v>0</v>
      </c>
      <c r="AW207" s="34"/>
      <c r="AX207" s="47" t="str">
        <f t="shared" si="60"/>
        <v>SUCWOA RIVERChum</v>
      </c>
      <c r="AY207" s="49">
        <f t="shared" si="61"/>
        <v>0</v>
      </c>
      <c r="AZ207" s="49">
        <f t="shared" si="62"/>
        <v>0</v>
      </c>
      <c r="BA207" s="31">
        <v>2014</v>
      </c>
      <c r="BB207" s="188">
        <f t="shared" si="63"/>
        <v>0</v>
      </c>
      <c r="BC207" s="188" t="str">
        <f t="shared" si="68"/>
        <v xml:space="preserve"> </v>
      </c>
      <c r="BD207" s="188" t="str">
        <f t="shared" si="69"/>
        <v xml:space="preserve"> </v>
      </c>
      <c r="BE207" s="188" t="str">
        <f t="shared" si="70"/>
        <v xml:space="preserve"> </v>
      </c>
      <c r="BF207" s="50" t="str">
        <f t="shared" si="55"/>
        <v>SUCWOA RIVER_Chum</v>
      </c>
      <c r="BG207" s="50" t="str">
        <f>IFERROR(VLOOKUP(BF207,'[1]WCVI Esc'!$C$5:$W$514,18,FALSE),"-")</f>
        <v>-</v>
      </c>
      <c r="BH207" s="50" t="str">
        <f t="shared" si="64"/>
        <v>-</v>
      </c>
      <c r="BI207" s="50">
        <f>IFERROR(VLOOKUP(BF207,'[1]WCVI Esc'!$C$5:$W$514,19,FALSE),"-")</f>
        <v>849.25</v>
      </c>
      <c r="BJ207" s="50">
        <f t="shared" si="65"/>
        <v>850</v>
      </c>
    </row>
    <row r="208" spans="1:66" x14ac:dyDescent="0.2">
      <c r="A208" s="29">
        <v>3</v>
      </c>
      <c r="B208" s="29">
        <v>5</v>
      </c>
      <c r="C208" s="13">
        <v>25</v>
      </c>
      <c r="D208" s="201" t="s">
        <v>299</v>
      </c>
      <c r="E208" s="10" t="s">
        <v>51</v>
      </c>
      <c r="F208" s="10" t="s">
        <v>210</v>
      </c>
      <c r="G208" s="10"/>
      <c r="H208" s="152"/>
      <c r="I208" s="155"/>
      <c r="J208" s="106"/>
      <c r="K208" s="94"/>
      <c r="L208" s="180"/>
      <c r="M208" s="173"/>
      <c r="N208" s="106"/>
      <c r="O208" s="106"/>
      <c r="P208" s="63"/>
      <c r="Q208" s="162"/>
      <c r="R208" s="164"/>
      <c r="S208" s="62"/>
      <c r="T208" s="63"/>
      <c r="U208" s="62"/>
      <c r="V208" s="177"/>
      <c r="W208" s="171"/>
      <c r="X208" s="62"/>
      <c r="Y208" s="45"/>
      <c r="Z208" s="45"/>
      <c r="AA208" s="100">
        <f>Y208/AP208</f>
        <v>0</v>
      </c>
      <c r="AB208" s="100">
        <f>AS208/AP208</f>
        <v>0</v>
      </c>
      <c r="AC208" s="100"/>
      <c r="AD208" s="100"/>
      <c r="AE208" s="100"/>
      <c r="AF208" s="100"/>
      <c r="AG208" s="69">
        <v>25</v>
      </c>
      <c r="AH208" s="69" t="s">
        <v>299</v>
      </c>
      <c r="AI208" s="243" t="s">
        <v>51</v>
      </c>
      <c r="AJ208" s="243" t="s">
        <v>419</v>
      </c>
      <c r="AK208" s="246"/>
      <c r="AL208" s="43" t="str">
        <f t="shared" si="66"/>
        <v>-</v>
      </c>
      <c r="AM208" s="43">
        <f t="shared" si="57"/>
        <v>0</v>
      </c>
      <c r="AN208" s="193">
        <f t="shared" si="57"/>
        <v>0</v>
      </c>
      <c r="AO208" s="270" t="str">
        <f t="shared" si="58"/>
        <v>-</v>
      </c>
      <c r="AP208" s="265">
        <f>BJ208</f>
        <v>80</v>
      </c>
      <c r="AQ208" s="26" t="str">
        <f t="shared" si="56"/>
        <v>SUCWOA RIVERChinook</v>
      </c>
      <c r="AR208" s="26">
        <f t="shared" si="59"/>
        <v>0</v>
      </c>
      <c r="AS208" s="33">
        <f t="shared" si="67"/>
        <v>0</v>
      </c>
      <c r="AT208" s="34">
        <f>AS208*1.14</f>
        <v>0</v>
      </c>
      <c r="AU208" s="34">
        <f>AS208*2.88</f>
        <v>0</v>
      </c>
      <c r="AV208" s="37"/>
      <c r="AW208" s="34">
        <f>SUM(AT208:AU208)/2</f>
        <v>0</v>
      </c>
      <c r="AX208" s="47" t="str">
        <f t="shared" si="60"/>
        <v>SUCWOA RIVERChinook</v>
      </c>
      <c r="AY208" s="49">
        <f t="shared" si="61"/>
        <v>0</v>
      </c>
      <c r="AZ208" s="49">
        <f t="shared" si="62"/>
        <v>0</v>
      </c>
      <c r="BA208" s="31">
        <v>2014</v>
      </c>
      <c r="BB208" s="188">
        <f t="shared" si="63"/>
        <v>0</v>
      </c>
      <c r="BC208" s="188" t="str">
        <f t="shared" si="68"/>
        <v xml:space="preserve"> </v>
      </c>
      <c r="BD208" s="188" t="str">
        <f t="shared" si="69"/>
        <v xml:space="preserve"> </v>
      </c>
      <c r="BE208" s="188" t="str">
        <f t="shared" si="70"/>
        <v xml:space="preserve"> </v>
      </c>
      <c r="BF208" s="50" t="str">
        <f t="shared" si="55"/>
        <v>SUCWOA RIVER_Chinook</v>
      </c>
      <c r="BG208" s="50" t="str">
        <f>IFERROR(VLOOKUP(BF208,'[1]WCVI Esc'!$C$5:$W$514,18,FALSE),"-")</f>
        <v>-</v>
      </c>
      <c r="BH208" s="50" t="str">
        <f t="shared" si="64"/>
        <v>-</v>
      </c>
      <c r="BI208" s="50">
        <f>IFERROR(VLOOKUP(BF208,'[1]WCVI Esc'!$C$5:$W$514,19,FALSE),"-")</f>
        <v>79.25</v>
      </c>
      <c r="BJ208" s="50">
        <f t="shared" si="65"/>
        <v>80</v>
      </c>
    </row>
    <row r="209" spans="1:62" hidden="1" x14ac:dyDescent="0.2">
      <c r="A209" s="29">
        <v>3</v>
      </c>
      <c r="B209" s="29">
        <v>6</v>
      </c>
      <c r="C209" s="13">
        <v>25</v>
      </c>
      <c r="D209" s="201" t="s">
        <v>299</v>
      </c>
      <c r="E209" s="10" t="s">
        <v>51</v>
      </c>
      <c r="F209" s="10" t="s">
        <v>211</v>
      </c>
      <c r="G209" s="10"/>
      <c r="H209" s="152"/>
      <c r="I209" s="155"/>
      <c r="J209" s="106"/>
      <c r="K209" s="94"/>
      <c r="L209" s="180"/>
      <c r="M209" s="173"/>
      <c r="N209" s="106"/>
      <c r="O209" s="106"/>
      <c r="P209" s="63"/>
      <c r="Q209" s="162"/>
      <c r="R209" s="164"/>
      <c r="S209" s="62"/>
      <c r="T209" s="63"/>
      <c r="U209" s="62"/>
      <c r="V209" s="177"/>
      <c r="W209" s="171"/>
      <c r="X209" s="62"/>
      <c r="Y209" s="45"/>
      <c r="Z209" s="45"/>
      <c r="AA209" s="100"/>
      <c r="AB209" s="100"/>
      <c r="AC209" s="100"/>
      <c r="AD209" s="100"/>
      <c r="AE209" s="100"/>
      <c r="AF209" s="100"/>
      <c r="AG209" s="69">
        <v>25</v>
      </c>
      <c r="AH209" s="69" t="s">
        <v>299</v>
      </c>
      <c r="AI209" s="243" t="s">
        <v>51</v>
      </c>
      <c r="AJ209" s="243" t="s">
        <v>419</v>
      </c>
      <c r="AK209" s="246"/>
      <c r="AL209" s="43" t="str">
        <f t="shared" si="66"/>
        <v>-</v>
      </c>
      <c r="AM209" s="43">
        <f t="shared" si="57"/>
        <v>0</v>
      </c>
      <c r="AN209" s="193">
        <f t="shared" si="57"/>
        <v>0</v>
      </c>
      <c r="AO209" s="270" t="str">
        <f t="shared" si="58"/>
        <v>-</v>
      </c>
      <c r="AP209" s="266"/>
      <c r="AQ209" s="26" t="str">
        <f t="shared" si="56"/>
        <v>SUCWOA RIVERSteelhead</v>
      </c>
      <c r="AR209" s="26">
        <f t="shared" si="59"/>
        <v>0</v>
      </c>
      <c r="AS209" s="33">
        <f t="shared" si="67"/>
        <v>0</v>
      </c>
      <c r="AW209" s="34"/>
      <c r="AX209" s="47" t="str">
        <f t="shared" si="60"/>
        <v>SUCWOA RIVERSteelhead</v>
      </c>
      <c r="AY209" s="49">
        <f t="shared" si="61"/>
        <v>0</v>
      </c>
      <c r="AZ209" s="49">
        <f t="shared" si="62"/>
        <v>0</v>
      </c>
      <c r="BA209" s="31">
        <v>0</v>
      </c>
      <c r="BB209" s="188">
        <f t="shared" si="63"/>
        <v>0</v>
      </c>
      <c r="BC209" s="188" t="str">
        <f t="shared" si="68"/>
        <v xml:space="preserve"> </v>
      </c>
      <c r="BD209" s="188" t="str">
        <f t="shared" si="69"/>
        <v xml:space="preserve"> </v>
      </c>
      <c r="BE209" s="188" t="str">
        <f t="shared" si="70"/>
        <v xml:space="preserve"> </v>
      </c>
      <c r="BF209" s="50" t="str">
        <f t="shared" si="55"/>
        <v>SUCWOA RIVER_Steelhead</v>
      </c>
      <c r="BG209" s="50" t="str">
        <f>IFERROR(VLOOKUP(BF209,'[1]WCVI Esc'!$C$5:$W$514,18,FALSE),"-")</f>
        <v>-</v>
      </c>
      <c r="BH209" s="50" t="str">
        <f t="shared" si="64"/>
        <v>-</v>
      </c>
      <c r="BI209" s="50" t="str">
        <f>IFERROR(VLOOKUP(BF209,'[1]WCVI Esc'!$C$5:$W$514,19,FALSE),"-")</f>
        <v>-</v>
      </c>
      <c r="BJ209" s="50" t="str">
        <f t="shared" si="65"/>
        <v>-</v>
      </c>
    </row>
    <row r="210" spans="1:62" hidden="1" x14ac:dyDescent="0.2">
      <c r="A210" s="29">
        <v>3</v>
      </c>
      <c r="B210" s="29">
        <v>1</v>
      </c>
      <c r="C210" s="13">
        <v>25</v>
      </c>
      <c r="D210" s="201" t="s">
        <v>299</v>
      </c>
      <c r="E210" s="10" t="s">
        <v>53</v>
      </c>
      <c r="F210" s="10" t="s">
        <v>207</v>
      </c>
      <c r="G210" s="10"/>
      <c r="H210" s="152"/>
      <c r="I210" s="155"/>
      <c r="J210" s="106"/>
      <c r="K210" s="94"/>
      <c r="L210" s="180"/>
      <c r="M210" s="173"/>
      <c r="N210" s="106"/>
      <c r="O210" s="106"/>
      <c r="P210" s="63"/>
      <c r="Q210" s="162"/>
      <c r="R210" s="164"/>
      <c r="S210" s="62"/>
      <c r="T210" s="63"/>
      <c r="U210" s="62"/>
      <c r="V210" s="177"/>
      <c r="W210" s="171"/>
      <c r="X210" s="62"/>
      <c r="Y210" s="45"/>
      <c r="Z210" s="45"/>
      <c r="AA210" s="100">
        <f>Y210/AP210</f>
        <v>0</v>
      </c>
      <c r="AB210" s="100">
        <f>AS210/AP210</f>
        <v>0</v>
      </c>
      <c r="AC210" s="100"/>
      <c r="AD210" s="100"/>
      <c r="AE210" s="100"/>
      <c r="AF210" s="100"/>
      <c r="AG210" s="69">
        <v>25</v>
      </c>
      <c r="AH210" s="69" t="s">
        <v>299</v>
      </c>
      <c r="AI210" s="243" t="s">
        <v>53</v>
      </c>
      <c r="AJ210" s="243" t="s">
        <v>419</v>
      </c>
      <c r="AK210" s="244" t="s">
        <v>360</v>
      </c>
      <c r="AL210" s="43" t="str">
        <f t="shared" si="66"/>
        <v>-</v>
      </c>
      <c r="AM210" s="43">
        <f t="shared" si="57"/>
        <v>0</v>
      </c>
      <c r="AN210" s="193">
        <f t="shared" si="57"/>
        <v>0</v>
      </c>
      <c r="AO210" s="270" t="str">
        <f t="shared" si="58"/>
        <v>-</v>
      </c>
      <c r="AP210" s="265">
        <f>BJ210</f>
        <v>20</v>
      </c>
      <c r="AQ210" s="26" t="str">
        <f t="shared" si="56"/>
        <v>TLUPANA RIVERSockeye</v>
      </c>
      <c r="AR210" s="26">
        <f t="shared" si="59"/>
        <v>0</v>
      </c>
      <c r="AS210" s="33">
        <f t="shared" si="67"/>
        <v>0</v>
      </c>
      <c r="AW210" s="34"/>
      <c r="AX210" s="47" t="str">
        <f t="shared" si="60"/>
        <v>TLUPANA RIVERSockeye</v>
      </c>
      <c r="AY210" s="49">
        <f t="shared" si="61"/>
        <v>0</v>
      </c>
      <c r="AZ210" s="49">
        <f t="shared" si="62"/>
        <v>0</v>
      </c>
      <c r="BA210" s="31">
        <v>2016</v>
      </c>
      <c r="BB210" s="188" t="str">
        <f t="shared" si="63"/>
        <v>Conuma Hatchery</v>
      </c>
      <c r="BC210" s="188" t="str">
        <f t="shared" si="68"/>
        <v xml:space="preserve"> </v>
      </c>
      <c r="BD210" s="188" t="str">
        <f t="shared" si="69"/>
        <v xml:space="preserve"> </v>
      </c>
      <c r="BE210" s="188" t="str">
        <f t="shared" si="70"/>
        <v xml:space="preserve"> </v>
      </c>
      <c r="BF210" s="50" t="str">
        <f t="shared" si="55"/>
        <v>TLUPANA RIVER_Sockeye</v>
      </c>
      <c r="BG210" s="50" t="str">
        <f>IFERROR(VLOOKUP(BF210,'[1]WCVI Esc'!$C$5:$W$514,18,FALSE),"-")</f>
        <v>-</v>
      </c>
      <c r="BH210" s="50" t="str">
        <f t="shared" si="64"/>
        <v>-</v>
      </c>
      <c r="BI210" s="50">
        <f>IFERROR(VLOOKUP(BF210,'[1]WCVI Esc'!$C$5:$W$514,19,FALSE),"-")</f>
        <v>19.5</v>
      </c>
      <c r="BJ210" s="50">
        <f t="shared" si="65"/>
        <v>20</v>
      </c>
    </row>
    <row r="211" spans="1:62" hidden="1" x14ac:dyDescent="0.2">
      <c r="A211" s="29">
        <v>3</v>
      </c>
      <c r="B211" s="29">
        <v>2</v>
      </c>
      <c r="C211" s="13">
        <v>25</v>
      </c>
      <c r="D211" s="201" t="s">
        <v>299</v>
      </c>
      <c r="E211" s="10" t="s">
        <v>53</v>
      </c>
      <c r="F211" s="10" t="s">
        <v>219</v>
      </c>
      <c r="G211" s="10"/>
      <c r="H211" s="152"/>
      <c r="I211" s="155"/>
      <c r="J211" s="106"/>
      <c r="K211" s="94"/>
      <c r="L211" s="180"/>
      <c r="M211" s="173"/>
      <c r="N211" s="106"/>
      <c r="O211" s="106"/>
      <c r="P211" s="63"/>
      <c r="Q211" s="162"/>
      <c r="R211" s="164"/>
      <c r="S211" s="62"/>
      <c r="T211" s="63"/>
      <c r="U211" s="62"/>
      <c r="V211" s="177"/>
      <c r="W211" s="171"/>
      <c r="X211" s="62"/>
      <c r="Y211" s="45"/>
      <c r="Z211" s="45"/>
      <c r="AA211" s="100">
        <f>Y211/AP211</f>
        <v>0</v>
      </c>
      <c r="AB211" s="100">
        <f>AS211/AP211</f>
        <v>0</v>
      </c>
      <c r="AC211" s="100"/>
      <c r="AD211" s="100"/>
      <c r="AE211" s="100"/>
      <c r="AF211" s="100"/>
      <c r="AG211" s="69">
        <v>25</v>
      </c>
      <c r="AH211" s="69" t="s">
        <v>299</v>
      </c>
      <c r="AI211" s="243" t="s">
        <v>53</v>
      </c>
      <c r="AJ211" s="243" t="s">
        <v>419</v>
      </c>
      <c r="AK211" s="244" t="s">
        <v>360</v>
      </c>
      <c r="AL211" s="43" t="str">
        <f t="shared" si="66"/>
        <v>-</v>
      </c>
      <c r="AM211" s="43">
        <f t="shared" si="57"/>
        <v>0</v>
      </c>
      <c r="AN211" s="193">
        <f t="shared" si="57"/>
        <v>0</v>
      </c>
      <c r="AO211" s="270" t="str">
        <f t="shared" si="58"/>
        <v>-</v>
      </c>
      <c r="AP211" s="265">
        <f>BJ211</f>
        <v>490</v>
      </c>
      <c r="AQ211" s="26" t="str">
        <f t="shared" si="56"/>
        <v>TLUPANA RIVERCoho</v>
      </c>
      <c r="AR211" s="26">
        <f t="shared" si="59"/>
        <v>0</v>
      </c>
      <c r="AS211" s="33">
        <f t="shared" si="67"/>
        <v>0</v>
      </c>
      <c r="AW211" s="34"/>
      <c r="AX211" s="47" t="str">
        <f t="shared" si="60"/>
        <v>TLUPANA RIVERCoho</v>
      </c>
      <c r="AY211" s="49">
        <f t="shared" si="61"/>
        <v>0</v>
      </c>
      <c r="AZ211" s="49">
        <f t="shared" si="62"/>
        <v>0</v>
      </c>
      <c r="BA211" s="31">
        <v>2016</v>
      </c>
      <c r="BB211" s="188" t="str">
        <f t="shared" si="63"/>
        <v>Conuma Hatchery</v>
      </c>
      <c r="BC211" s="188" t="str">
        <f t="shared" si="68"/>
        <v xml:space="preserve"> </v>
      </c>
      <c r="BD211" s="188" t="str">
        <f t="shared" si="69"/>
        <v xml:space="preserve"> </v>
      </c>
      <c r="BE211" s="188" t="str">
        <f t="shared" si="70"/>
        <v xml:space="preserve"> </v>
      </c>
      <c r="BF211" s="50" t="str">
        <f t="shared" si="55"/>
        <v>TLUPANA RIVER_Coho</v>
      </c>
      <c r="BG211" s="50" t="str">
        <f>IFERROR(VLOOKUP(BF211,'[1]WCVI Esc'!$C$5:$W$514,18,FALSE),"-")</f>
        <v>-</v>
      </c>
      <c r="BH211" s="50" t="str">
        <f t="shared" si="64"/>
        <v>-</v>
      </c>
      <c r="BI211" s="50">
        <f>IFERROR(VLOOKUP(BF211,'[1]WCVI Esc'!$C$5:$W$514,19,FALSE),"-")</f>
        <v>490</v>
      </c>
      <c r="BJ211" s="50">
        <f t="shared" si="65"/>
        <v>490</v>
      </c>
    </row>
    <row r="212" spans="1:62" hidden="1" x14ac:dyDescent="0.2">
      <c r="A212" s="29">
        <v>3</v>
      </c>
      <c r="B212" s="29">
        <v>3</v>
      </c>
      <c r="C212" s="13">
        <v>25</v>
      </c>
      <c r="D212" s="201" t="s">
        <v>299</v>
      </c>
      <c r="E212" s="10" t="s">
        <v>53</v>
      </c>
      <c r="F212" s="10" t="s">
        <v>208</v>
      </c>
      <c r="G212" s="10"/>
      <c r="H212" s="152"/>
      <c r="I212" s="155"/>
      <c r="J212" s="106"/>
      <c r="K212" s="94"/>
      <c r="L212" s="180"/>
      <c r="M212" s="173"/>
      <c r="N212" s="106"/>
      <c r="O212" s="106"/>
      <c r="P212" s="63"/>
      <c r="Q212" s="162"/>
      <c r="R212" s="164"/>
      <c r="S212" s="62"/>
      <c r="T212" s="63"/>
      <c r="U212" s="62"/>
      <c r="V212" s="177"/>
      <c r="W212" s="171"/>
      <c r="X212" s="62"/>
      <c r="Y212" s="45"/>
      <c r="Z212" s="45"/>
      <c r="AA212" s="100"/>
      <c r="AB212" s="100"/>
      <c r="AC212" s="100"/>
      <c r="AD212" s="100"/>
      <c r="AE212" s="100"/>
      <c r="AF212" s="100"/>
      <c r="AG212" s="69">
        <v>25</v>
      </c>
      <c r="AH212" s="69" t="s">
        <v>299</v>
      </c>
      <c r="AI212" s="243" t="s">
        <v>53</v>
      </c>
      <c r="AJ212" s="243" t="s">
        <v>419</v>
      </c>
      <c r="AK212" s="244"/>
      <c r="AL212" s="43" t="str">
        <f t="shared" si="66"/>
        <v>-</v>
      </c>
      <c r="AM212" s="43">
        <f t="shared" si="57"/>
        <v>0</v>
      </c>
      <c r="AN212" s="193">
        <f t="shared" si="57"/>
        <v>0</v>
      </c>
      <c r="AO212" s="270" t="str">
        <f t="shared" si="58"/>
        <v>-</v>
      </c>
      <c r="AP212" s="265">
        <f>BJ212</f>
        <v>0</v>
      </c>
      <c r="AQ212" s="26" t="str">
        <f t="shared" si="56"/>
        <v>TLUPANA RIVERPink</v>
      </c>
      <c r="AR212" s="26">
        <f t="shared" si="59"/>
        <v>0</v>
      </c>
      <c r="AS212" s="33">
        <f t="shared" si="67"/>
        <v>0</v>
      </c>
      <c r="AW212" s="34"/>
      <c r="AX212" s="47" t="str">
        <f t="shared" si="60"/>
        <v>TLUPANA RIVERPink</v>
      </c>
      <c r="AY212" s="49">
        <f t="shared" si="61"/>
        <v>0</v>
      </c>
      <c r="AZ212" s="49">
        <f t="shared" si="62"/>
        <v>0</v>
      </c>
      <c r="BA212" s="31">
        <v>2011</v>
      </c>
      <c r="BB212" s="188">
        <f t="shared" si="63"/>
        <v>0</v>
      </c>
      <c r="BC212" s="188" t="str">
        <f t="shared" si="68"/>
        <v xml:space="preserve"> </v>
      </c>
      <c r="BD212" s="188" t="str">
        <f t="shared" si="69"/>
        <v xml:space="preserve"> </v>
      </c>
      <c r="BE212" s="188" t="str">
        <f t="shared" si="70"/>
        <v xml:space="preserve"> </v>
      </c>
      <c r="BF212" s="50" t="str">
        <f t="shared" si="55"/>
        <v>TLUPANA RIVER_Pink</v>
      </c>
      <c r="BG212" s="50" t="str">
        <f>IFERROR(VLOOKUP(BF212,'[1]WCVI Esc'!$C$5:$W$514,18,FALSE),"-")</f>
        <v>-</v>
      </c>
      <c r="BH212" s="50" t="str">
        <f t="shared" si="64"/>
        <v>-</v>
      </c>
      <c r="BI212" s="50">
        <f>IFERROR(VLOOKUP(BF212,'[1]WCVI Esc'!$C$5:$W$514,19,FALSE),"-")</f>
        <v>2</v>
      </c>
      <c r="BJ212" s="50">
        <f t="shared" si="65"/>
        <v>0</v>
      </c>
    </row>
    <row r="213" spans="1:62" hidden="1" x14ac:dyDescent="0.2">
      <c r="A213" s="29">
        <v>3</v>
      </c>
      <c r="B213" s="29">
        <v>4</v>
      </c>
      <c r="C213" s="13">
        <v>25</v>
      </c>
      <c r="D213" s="201" t="s">
        <v>299</v>
      </c>
      <c r="E213" s="10" t="s">
        <v>53</v>
      </c>
      <c r="F213" s="10" t="s">
        <v>209</v>
      </c>
      <c r="G213" s="10"/>
      <c r="H213" s="152"/>
      <c r="I213" s="155"/>
      <c r="J213" s="106"/>
      <c r="K213" s="94"/>
      <c r="L213" s="180"/>
      <c r="M213" s="173"/>
      <c r="N213" s="106"/>
      <c r="O213" s="106"/>
      <c r="P213" s="63"/>
      <c r="Q213" s="162"/>
      <c r="R213" s="164"/>
      <c r="S213" s="62"/>
      <c r="T213" s="63"/>
      <c r="U213" s="62"/>
      <c r="V213" s="177"/>
      <c r="W213" s="171"/>
      <c r="X213" s="62"/>
      <c r="Y213" s="45"/>
      <c r="Z213" s="45"/>
      <c r="AA213" s="100">
        <f>Y213/AP213</f>
        <v>0</v>
      </c>
      <c r="AB213" s="100">
        <f>AS213/AP213</f>
        <v>0</v>
      </c>
      <c r="AC213" s="100"/>
      <c r="AD213" s="100"/>
      <c r="AE213" s="100"/>
      <c r="AF213" s="100"/>
      <c r="AG213" s="69">
        <v>25</v>
      </c>
      <c r="AH213" s="69" t="s">
        <v>299</v>
      </c>
      <c r="AI213" s="243" t="s">
        <v>53</v>
      </c>
      <c r="AJ213" s="243" t="s">
        <v>419</v>
      </c>
      <c r="AK213" s="244" t="s">
        <v>360</v>
      </c>
      <c r="AL213" s="43" t="str">
        <f t="shared" si="66"/>
        <v>-</v>
      </c>
      <c r="AM213" s="43">
        <f t="shared" si="57"/>
        <v>0</v>
      </c>
      <c r="AN213" s="193">
        <f t="shared" si="57"/>
        <v>0</v>
      </c>
      <c r="AO213" s="270">
        <f t="shared" si="58"/>
        <v>500</v>
      </c>
      <c r="AP213" s="265">
        <f>BJ213</f>
        <v>2540</v>
      </c>
      <c r="AQ213" s="26" t="str">
        <f t="shared" si="56"/>
        <v>TLUPANA RIVERChum</v>
      </c>
      <c r="AR213" s="26">
        <f t="shared" si="59"/>
        <v>0</v>
      </c>
      <c r="AS213" s="33">
        <f t="shared" si="67"/>
        <v>0</v>
      </c>
      <c r="AW213" s="34"/>
      <c r="AX213" s="47" t="str">
        <f t="shared" si="60"/>
        <v>TLUPANA RIVERChum</v>
      </c>
      <c r="AY213" s="49">
        <f t="shared" si="61"/>
        <v>0</v>
      </c>
      <c r="AZ213" s="49">
        <f t="shared" si="62"/>
        <v>0</v>
      </c>
      <c r="BA213" s="31">
        <v>2016</v>
      </c>
      <c r="BB213" s="188" t="str">
        <f t="shared" si="63"/>
        <v>Conuma Hatchery</v>
      </c>
      <c r="BC213" s="188" t="str">
        <f t="shared" si="68"/>
        <v xml:space="preserve"> </v>
      </c>
      <c r="BD213" s="188" t="str">
        <f t="shared" si="69"/>
        <v xml:space="preserve"> </v>
      </c>
      <c r="BE213" s="188" t="str">
        <f t="shared" si="70"/>
        <v xml:space="preserve"> </v>
      </c>
      <c r="BF213" s="50" t="str">
        <f t="shared" si="55"/>
        <v>TLUPANA RIVER_Chum</v>
      </c>
      <c r="BG213" s="50">
        <f>IFERROR(VLOOKUP(BF213,'[1]WCVI Esc'!$C$5:$W$514,18,FALSE),"-")</f>
        <v>496.5</v>
      </c>
      <c r="BH213" s="50">
        <f t="shared" si="64"/>
        <v>500</v>
      </c>
      <c r="BI213" s="50">
        <f>IFERROR(VLOOKUP(BF213,'[1]WCVI Esc'!$C$5:$W$514,19,FALSE),"-")</f>
        <v>2542.5</v>
      </c>
      <c r="BJ213" s="50">
        <f t="shared" si="65"/>
        <v>2540</v>
      </c>
    </row>
    <row r="214" spans="1:62" x14ac:dyDescent="0.2">
      <c r="A214" s="29">
        <v>3</v>
      </c>
      <c r="B214" s="29">
        <v>5</v>
      </c>
      <c r="C214" s="13">
        <v>25</v>
      </c>
      <c r="D214" s="201" t="s">
        <v>299</v>
      </c>
      <c r="E214" s="10" t="s">
        <v>53</v>
      </c>
      <c r="F214" s="10" t="s">
        <v>210</v>
      </c>
      <c r="G214" s="10"/>
      <c r="H214" s="152"/>
      <c r="I214" s="155"/>
      <c r="J214" s="106"/>
      <c r="K214" s="94"/>
      <c r="L214" s="180"/>
      <c r="M214" s="173"/>
      <c r="N214" s="106"/>
      <c r="O214" s="106"/>
      <c r="P214" s="63"/>
      <c r="Q214" s="162"/>
      <c r="R214" s="164"/>
      <c r="S214" s="62"/>
      <c r="T214" s="63"/>
      <c r="U214" s="62"/>
      <c r="V214" s="177"/>
      <c r="W214" s="171"/>
      <c r="X214" s="62"/>
      <c r="Y214" s="45"/>
      <c r="Z214" s="45"/>
      <c r="AA214" s="100">
        <f>Y214/AP214</f>
        <v>0</v>
      </c>
      <c r="AB214" s="100">
        <f>AS214/AP214</f>
        <v>0</v>
      </c>
      <c r="AC214" s="100"/>
      <c r="AD214" s="100"/>
      <c r="AE214" s="100"/>
      <c r="AF214" s="100"/>
      <c r="AG214" s="69">
        <v>25</v>
      </c>
      <c r="AH214" s="69" t="s">
        <v>299</v>
      </c>
      <c r="AI214" s="243" t="s">
        <v>53</v>
      </c>
      <c r="AJ214" s="243" t="s">
        <v>419</v>
      </c>
      <c r="AK214" s="244" t="s">
        <v>360</v>
      </c>
      <c r="AL214" s="43" t="str">
        <f t="shared" si="66"/>
        <v>-</v>
      </c>
      <c r="AM214" s="43">
        <f t="shared" si="57"/>
        <v>0</v>
      </c>
      <c r="AN214" s="193">
        <f t="shared" si="57"/>
        <v>0</v>
      </c>
      <c r="AO214" s="270">
        <f t="shared" si="58"/>
        <v>20</v>
      </c>
      <c r="AP214" s="265">
        <f>BJ214</f>
        <v>580</v>
      </c>
      <c r="AQ214" s="26" t="str">
        <f t="shared" si="56"/>
        <v>TLUPANA RIVERChinook</v>
      </c>
      <c r="AR214" s="26">
        <f t="shared" si="59"/>
        <v>0</v>
      </c>
      <c r="AS214" s="33">
        <f t="shared" si="67"/>
        <v>0</v>
      </c>
      <c r="AT214" s="34"/>
      <c r="AU214" s="34"/>
      <c r="AW214" s="34">
        <f>SUM(AT214:AU214)/2</f>
        <v>0</v>
      </c>
      <c r="AX214" s="47" t="str">
        <f t="shared" si="60"/>
        <v>TLUPANA RIVERChinook</v>
      </c>
      <c r="AY214" s="49">
        <f t="shared" si="61"/>
        <v>0</v>
      </c>
      <c r="AZ214" s="49">
        <f t="shared" si="62"/>
        <v>0</v>
      </c>
      <c r="BA214" s="31">
        <v>2016</v>
      </c>
      <c r="BB214" s="188" t="str">
        <f t="shared" si="63"/>
        <v>Conuma Hatchery</v>
      </c>
      <c r="BC214" s="188" t="str">
        <f t="shared" si="68"/>
        <v xml:space="preserve"> </v>
      </c>
      <c r="BD214" s="188" t="str">
        <f t="shared" si="69"/>
        <v xml:space="preserve"> </v>
      </c>
      <c r="BE214" s="188" t="str">
        <f t="shared" si="70"/>
        <v xml:space="preserve"> </v>
      </c>
      <c r="BF214" s="50" t="str">
        <f t="shared" si="55"/>
        <v>TLUPANA RIVER_Chinook</v>
      </c>
      <c r="BG214" s="50">
        <f>IFERROR(VLOOKUP(BF214,'[1]WCVI Esc'!$C$5:$W$514,18,FALSE),"-")</f>
        <v>23</v>
      </c>
      <c r="BH214" s="50">
        <f t="shared" si="64"/>
        <v>20</v>
      </c>
      <c r="BI214" s="50">
        <f>IFERROR(VLOOKUP(BF214,'[1]WCVI Esc'!$C$5:$W$514,19,FALSE),"-")</f>
        <v>578.57142857142856</v>
      </c>
      <c r="BJ214" s="50">
        <f t="shared" si="65"/>
        <v>580</v>
      </c>
    </row>
    <row r="215" spans="1:62" hidden="1" x14ac:dyDescent="0.2">
      <c r="A215" s="29">
        <v>3</v>
      </c>
      <c r="B215" s="29">
        <v>6</v>
      </c>
      <c r="C215" s="13">
        <v>25</v>
      </c>
      <c r="D215" s="201" t="s">
        <v>299</v>
      </c>
      <c r="E215" s="10" t="s">
        <v>53</v>
      </c>
      <c r="F215" s="10" t="s">
        <v>211</v>
      </c>
      <c r="G215" s="10"/>
      <c r="H215" s="152"/>
      <c r="I215" s="155"/>
      <c r="J215" s="106"/>
      <c r="K215" s="94"/>
      <c r="L215" s="180"/>
      <c r="M215" s="173"/>
      <c r="N215" s="106"/>
      <c r="O215" s="106"/>
      <c r="P215" s="63"/>
      <c r="Q215" s="162"/>
      <c r="R215" s="164"/>
      <c r="S215" s="62"/>
      <c r="T215" s="63"/>
      <c r="U215" s="62"/>
      <c r="V215" s="177"/>
      <c r="W215" s="171"/>
      <c r="X215" s="62"/>
      <c r="Y215" s="45"/>
      <c r="Z215" s="45"/>
      <c r="AA215" s="100"/>
      <c r="AB215" s="100"/>
      <c r="AC215" s="100"/>
      <c r="AD215" s="100"/>
      <c r="AE215" s="100"/>
      <c r="AF215" s="100"/>
      <c r="AG215" s="69">
        <v>25</v>
      </c>
      <c r="AH215" s="69" t="s">
        <v>299</v>
      </c>
      <c r="AI215" s="243" t="s">
        <v>53</v>
      </c>
      <c r="AJ215" s="243" t="s">
        <v>419</v>
      </c>
      <c r="AK215" s="244" t="s">
        <v>360</v>
      </c>
      <c r="AL215" s="43" t="str">
        <f t="shared" si="66"/>
        <v>-</v>
      </c>
      <c r="AM215" s="43">
        <f t="shared" si="57"/>
        <v>0</v>
      </c>
      <c r="AN215" s="193">
        <f t="shared" si="57"/>
        <v>0</v>
      </c>
      <c r="AO215" s="270" t="str">
        <f t="shared" si="58"/>
        <v>-</v>
      </c>
      <c r="AP215" s="266"/>
      <c r="AQ215" s="26" t="str">
        <f t="shared" si="56"/>
        <v>TLUPANA RIVERSteelhead</v>
      </c>
      <c r="AR215" s="26">
        <f t="shared" si="59"/>
        <v>0</v>
      </c>
      <c r="AS215" s="33">
        <f t="shared" si="67"/>
        <v>0</v>
      </c>
      <c r="AW215" s="34"/>
      <c r="AX215" s="47" t="str">
        <f t="shared" si="60"/>
        <v>TLUPANA RIVERSteelhead</v>
      </c>
      <c r="AY215" s="49">
        <f t="shared" si="61"/>
        <v>0</v>
      </c>
      <c r="AZ215" s="49">
        <f t="shared" si="62"/>
        <v>0</v>
      </c>
      <c r="BA215" s="31">
        <v>0</v>
      </c>
      <c r="BB215" s="188" t="str">
        <f t="shared" si="63"/>
        <v>Conuma Hatchery</v>
      </c>
      <c r="BC215" s="188" t="str">
        <f t="shared" si="68"/>
        <v xml:space="preserve"> </v>
      </c>
      <c r="BD215" s="188" t="str">
        <f t="shared" si="69"/>
        <v xml:space="preserve"> </v>
      </c>
      <c r="BE215" s="188" t="str">
        <f t="shared" si="70"/>
        <v xml:space="preserve"> </v>
      </c>
      <c r="BF215" s="50" t="str">
        <f t="shared" si="55"/>
        <v>TLUPANA RIVER_Steelhead</v>
      </c>
      <c r="BG215" s="50" t="str">
        <f>IFERROR(VLOOKUP(BF215,'[1]WCVI Esc'!$C$5:$W$514,18,FALSE),"-")</f>
        <v>-</v>
      </c>
      <c r="BH215" s="50" t="str">
        <f t="shared" si="64"/>
        <v>-</v>
      </c>
      <c r="BI215" s="50" t="str">
        <f>IFERROR(VLOOKUP(BF215,'[1]WCVI Esc'!$C$5:$W$514,19,FALSE),"-")</f>
        <v>-</v>
      </c>
      <c r="BJ215" s="50" t="str">
        <f t="shared" si="65"/>
        <v>-</v>
      </c>
    </row>
    <row r="216" spans="1:62" hidden="1" x14ac:dyDescent="0.2">
      <c r="A216" s="29">
        <v>3</v>
      </c>
      <c r="B216" s="29">
        <v>1</v>
      </c>
      <c r="C216" s="13">
        <v>25</v>
      </c>
      <c r="D216" s="201" t="s">
        <v>299</v>
      </c>
      <c r="E216" s="10" t="s">
        <v>54</v>
      </c>
      <c r="F216" s="10" t="s">
        <v>207</v>
      </c>
      <c r="G216" s="10"/>
      <c r="H216" s="152"/>
      <c r="I216" s="155"/>
      <c r="J216" s="106"/>
      <c r="K216" s="94"/>
      <c r="L216" s="180"/>
      <c r="M216" s="173"/>
      <c r="N216" s="106"/>
      <c r="O216" s="106"/>
      <c r="P216" s="63"/>
      <c r="Q216" s="162"/>
      <c r="R216" s="164"/>
      <c r="S216" s="62"/>
      <c r="T216" s="63"/>
      <c r="U216" s="62"/>
      <c r="V216" s="177"/>
      <c r="W216" s="171"/>
      <c r="X216" s="62"/>
      <c r="Y216" s="45"/>
      <c r="Z216" s="45"/>
      <c r="AA216" s="100">
        <f>Y216/AP216</f>
        <v>0</v>
      </c>
      <c r="AB216" s="100">
        <f>AS216/AP216</f>
        <v>0</v>
      </c>
      <c r="AC216" s="100"/>
      <c r="AD216" s="100"/>
      <c r="AE216" s="100"/>
      <c r="AF216" s="100"/>
      <c r="AG216" s="69">
        <v>25</v>
      </c>
      <c r="AH216" s="69" t="s">
        <v>299</v>
      </c>
      <c r="AI216" s="243" t="s">
        <v>54</v>
      </c>
      <c r="AJ216" s="243" t="s">
        <v>419</v>
      </c>
      <c r="AK216" s="246"/>
      <c r="AL216" s="43" t="str">
        <f t="shared" si="66"/>
        <v>-</v>
      </c>
      <c r="AM216" s="43">
        <f t="shared" si="57"/>
        <v>0</v>
      </c>
      <c r="AN216" s="193">
        <f t="shared" si="57"/>
        <v>0</v>
      </c>
      <c r="AO216" s="270">
        <f t="shared" si="58"/>
        <v>20</v>
      </c>
      <c r="AP216" s="265">
        <f>BJ216</f>
        <v>20</v>
      </c>
      <c r="AQ216" s="26" t="str">
        <f t="shared" si="56"/>
        <v>TSOWWIN RIVERSockeye</v>
      </c>
      <c r="AR216" s="26">
        <f t="shared" si="59"/>
        <v>0</v>
      </c>
      <c r="AS216" s="33">
        <f t="shared" si="67"/>
        <v>0</v>
      </c>
      <c r="AW216" s="34"/>
      <c r="AX216" s="47" t="str">
        <f t="shared" si="60"/>
        <v>TSOWWIN RIVERSockeye</v>
      </c>
      <c r="AY216" s="49">
        <f t="shared" si="61"/>
        <v>0</v>
      </c>
      <c r="AZ216" s="49">
        <f t="shared" si="62"/>
        <v>0</v>
      </c>
      <c r="BA216" s="31">
        <v>2013</v>
      </c>
      <c r="BB216" s="188">
        <f t="shared" si="63"/>
        <v>0</v>
      </c>
      <c r="BC216" s="188" t="str">
        <f t="shared" si="68"/>
        <v xml:space="preserve"> </v>
      </c>
      <c r="BD216" s="188" t="str">
        <f t="shared" si="69"/>
        <v xml:space="preserve"> </v>
      </c>
      <c r="BE216" s="188" t="str">
        <f t="shared" si="70"/>
        <v xml:space="preserve"> </v>
      </c>
      <c r="BF216" s="50" t="str">
        <f t="shared" si="55"/>
        <v>TSOWWIN RIVER_Sockeye</v>
      </c>
      <c r="BG216" s="50">
        <f>IFERROR(VLOOKUP(BF216,'[1]WCVI Esc'!$C$5:$W$514,18,FALSE),"-")</f>
        <v>18.666666666666668</v>
      </c>
      <c r="BH216" s="50">
        <f t="shared" si="64"/>
        <v>20</v>
      </c>
      <c r="BI216" s="50">
        <f>IFERROR(VLOOKUP(BF216,'[1]WCVI Esc'!$C$5:$W$514,19,FALSE),"-")</f>
        <v>21.6</v>
      </c>
      <c r="BJ216" s="50">
        <f t="shared" si="65"/>
        <v>20</v>
      </c>
    </row>
    <row r="217" spans="1:62" hidden="1" x14ac:dyDescent="0.2">
      <c r="A217" s="29">
        <v>3</v>
      </c>
      <c r="B217" s="29">
        <v>2</v>
      </c>
      <c r="C217" s="13">
        <v>25</v>
      </c>
      <c r="D217" s="201" t="s">
        <v>299</v>
      </c>
      <c r="E217" s="10" t="s">
        <v>54</v>
      </c>
      <c r="F217" s="10" t="s">
        <v>219</v>
      </c>
      <c r="G217" s="10"/>
      <c r="H217" s="152"/>
      <c r="I217" s="155"/>
      <c r="J217" s="106"/>
      <c r="K217" s="94"/>
      <c r="L217" s="180"/>
      <c r="M217" s="173"/>
      <c r="N217" s="106"/>
      <c r="O217" s="106"/>
      <c r="P217" s="63"/>
      <c r="Q217" s="162"/>
      <c r="R217" s="164"/>
      <c r="S217" s="62"/>
      <c r="T217" s="63"/>
      <c r="U217" s="62"/>
      <c r="V217" s="177"/>
      <c r="W217" s="171"/>
      <c r="X217" s="62"/>
      <c r="Y217" s="45"/>
      <c r="Z217" s="45"/>
      <c r="AA217" s="100">
        <f>Y217/AP217</f>
        <v>0</v>
      </c>
      <c r="AB217" s="100">
        <f>AS217/AP217</f>
        <v>0</v>
      </c>
      <c r="AC217" s="100"/>
      <c r="AD217" s="100"/>
      <c r="AE217" s="100"/>
      <c r="AF217" s="100"/>
      <c r="AG217" s="69">
        <v>25</v>
      </c>
      <c r="AH217" s="69" t="s">
        <v>299</v>
      </c>
      <c r="AI217" s="243" t="s">
        <v>54</v>
      </c>
      <c r="AJ217" s="243" t="s">
        <v>419</v>
      </c>
      <c r="AK217" s="246"/>
      <c r="AL217" s="43" t="str">
        <f t="shared" si="66"/>
        <v>-</v>
      </c>
      <c r="AM217" s="43">
        <f t="shared" si="57"/>
        <v>0</v>
      </c>
      <c r="AN217" s="193">
        <f t="shared" si="57"/>
        <v>0</v>
      </c>
      <c r="AO217" s="270">
        <f t="shared" si="58"/>
        <v>80</v>
      </c>
      <c r="AP217" s="265">
        <f>BJ217</f>
        <v>220</v>
      </c>
      <c r="AQ217" s="26" t="str">
        <f t="shared" si="56"/>
        <v>TSOWWIN RIVERCoho</v>
      </c>
      <c r="AR217" s="26">
        <f t="shared" si="59"/>
        <v>0</v>
      </c>
      <c r="AS217" s="33">
        <f t="shared" si="67"/>
        <v>0</v>
      </c>
      <c r="AW217" s="34"/>
      <c r="AX217" s="47" t="str">
        <f t="shared" si="60"/>
        <v>TSOWWIN RIVERCoho</v>
      </c>
      <c r="AY217" s="49">
        <f t="shared" si="61"/>
        <v>0</v>
      </c>
      <c r="AZ217" s="49">
        <f t="shared" si="62"/>
        <v>0</v>
      </c>
      <c r="BA217" s="31">
        <v>2014</v>
      </c>
      <c r="BB217" s="188">
        <f t="shared" si="63"/>
        <v>0</v>
      </c>
      <c r="BC217" s="188" t="str">
        <f t="shared" si="68"/>
        <v xml:space="preserve"> </v>
      </c>
      <c r="BD217" s="188" t="str">
        <f t="shared" si="69"/>
        <v xml:space="preserve"> </v>
      </c>
      <c r="BE217" s="188" t="str">
        <f t="shared" si="70"/>
        <v xml:space="preserve"> </v>
      </c>
      <c r="BF217" s="50" t="str">
        <f t="shared" si="55"/>
        <v>TSOWWIN RIVER_Coho</v>
      </c>
      <c r="BG217" s="50">
        <f>IFERROR(VLOOKUP(BF217,'[1]WCVI Esc'!$C$5:$W$514,18,FALSE),"-")</f>
        <v>79</v>
      </c>
      <c r="BH217" s="50">
        <f t="shared" si="64"/>
        <v>80</v>
      </c>
      <c r="BI217" s="50">
        <f>IFERROR(VLOOKUP(BF217,'[1]WCVI Esc'!$C$5:$W$514,19,FALSE),"-")</f>
        <v>224.42857142857142</v>
      </c>
      <c r="BJ217" s="50">
        <f t="shared" si="65"/>
        <v>220</v>
      </c>
    </row>
    <row r="218" spans="1:62" hidden="1" x14ac:dyDescent="0.2">
      <c r="A218" s="29">
        <v>3</v>
      </c>
      <c r="B218" s="29">
        <v>3</v>
      </c>
      <c r="C218" s="13">
        <v>25</v>
      </c>
      <c r="D218" s="201" t="s">
        <v>299</v>
      </c>
      <c r="E218" s="10" t="s">
        <v>54</v>
      </c>
      <c r="F218" s="10" t="s">
        <v>208</v>
      </c>
      <c r="G218" s="10"/>
      <c r="H218" s="152"/>
      <c r="I218" s="155"/>
      <c r="J218" s="106"/>
      <c r="K218" s="94"/>
      <c r="L218" s="180"/>
      <c r="M218" s="173"/>
      <c r="N218" s="106"/>
      <c r="O218" s="106"/>
      <c r="P218" s="63"/>
      <c r="Q218" s="162"/>
      <c r="R218" s="164"/>
      <c r="S218" s="62"/>
      <c r="T218" s="63"/>
      <c r="U218" s="62"/>
      <c r="V218" s="177"/>
      <c r="W218" s="171"/>
      <c r="X218" s="62"/>
      <c r="Y218" s="45"/>
      <c r="Z218" s="45"/>
      <c r="AA218" s="100"/>
      <c r="AB218" s="100"/>
      <c r="AC218" s="100"/>
      <c r="AD218" s="100"/>
      <c r="AE218" s="100"/>
      <c r="AF218" s="100"/>
      <c r="AG218" s="69">
        <v>25</v>
      </c>
      <c r="AH218" s="69" t="s">
        <v>299</v>
      </c>
      <c r="AI218" s="243" t="s">
        <v>54</v>
      </c>
      <c r="AJ218" s="243" t="s">
        <v>419</v>
      </c>
      <c r="AK218" s="246"/>
      <c r="AL218" s="43" t="str">
        <f t="shared" si="66"/>
        <v>-</v>
      </c>
      <c r="AM218" s="43">
        <f t="shared" si="57"/>
        <v>0</v>
      </c>
      <c r="AN218" s="193">
        <f t="shared" si="57"/>
        <v>0</v>
      </c>
      <c r="AO218" s="270" t="str">
        <f t="shared" si="58"/>
        <v>-</v>
      </c>
      <c r="AP218" s="266"/>
      <c r="AQ218" s="26" t="str">
        <f t="shared" si="56"/>
        <v>TSOWWIN RIVERPink</v>
      </c>
      <c r="AR218" s="26">
        <f t="shared" si="59"/>
        <v>0</v>
      </c>
      <c r="AS218" s="33">
        <f t="shared" si="67"/>
        <v>0</v>
      </c>
      <c r="AW218" s="34"/>
      <c r="AX218" s="47" t="str">
        <f t="shared" si="60"/>
        <v>TSOWWIN RIVERPink</v>
      </c>
      <c r="AY218" s="49">
        <f t="shared" si="61"/>
        <v>0</v>
      </c>
      <c r="AZ218" s="49">
        <f t="shared" si="62"/>
        <v>0</v>
      </c>
      <c r="BA218" s="31">
        <v>0</v>
      </c>
      <c r="BB218" s="188">
        <f t="shared" si="63"/>
        <v>0</v>
      </c>
      <c r="BC218" s="188" t="str">
        <f t="shared" si="68"/>
        <v xml:space="preserve"> </v>
      </c>
      <c r="BD218" s="188" t="str">
        <f t="shared" si="69"/>
        <v xml:space="preserve"> </v>
      </c>
      <c r="BE218" s="188" t="str">
        <f t="shared" si="70"/>
        <v xml:space="preserve"> </v>
      </c>
      <c r="BF218" s="50" t="str">
        <f t="shared" si="55"/>
        <v>TSOWWIN RIVER_Pink</v>
      </c>
      <c r="BG218" s="50" t="str">
        <f>IFERROR(VLOOKUP(BF218,'[1]WCVI Esc'!$C$5:$W$514,18,FALSE),"-")</f>
        <v>-</v>
      </c>
      <c r="BH218" s="50" t="str">
        <f t="shared" si="64"/>
        <v>-</v>
      </c>
      <c r="BI218" s="50" t="str">
        <f>IFERROR(VLOOKUP(BF218,'[1]WCVI Esc'!$C$5:$W$514,19,FALSE),"-")</f>
        <v>-</v>
      </c>
      <c r="BJ218" s="50" t="str">
        <f t="shared" si="65"/>
        <v>-</v>
      </c>
    </row>
    <row r="219" spans="1:62" hidden="1" x14ac:dyDescent="0.2">
      <c r="A219" s="29">
        <v>3</v>
      </c>
      <c r="B219" s="29">
        <v>4</v>
      </c>
      <c r="C219" s="13">
        <v>25</v>
      </c>
      <c r="D219" s="201" t="s">
        <v>299</v>
      </c>
      <c r="E219" s="10" t="s">
        <v>54</v>
      </c>
      <c r="F219" s="10" t="s">
        <v>209</v>
      </c>
      <c r="G219" s="10"/>
      <c r="H219" s="152"/>
      <c r="I219" s="155"/>
      <c r="J219" s="106"/>
      <c r="K219" s="94"/>
      <c r="L219" s="180"/>
      <c r="M219" s="173"/>
      <c r="N219" s="106"/>
      <c r="O219" s="106"/>
      <c r="P219" s="63"/>
      <c r="Q219" s="162"/>
      <c r="R219" s="164"/>
      <c r="S219" s="62"/>
      <c r="T219" s="63"/>
      <c r="U219" s="62"/>
      <c r="V219" s="177"/>
      <c r="W219" s="171"/>
      <c r="X219" s="62"/>
      <c r="Y219" s="45"/>
      <c r="Z219" s="45"/>
      <c r="AA219" s="100">
        <f>Y219/AP219</f>
        <v>0</v>
      </c>
      <c r="AB219" s="100">
        <f>AS219/AP219</f>
        <v>0</v>
      </c>
      <c r="AC219" s="100"/>
      <c r="AD219" s="100"/>
      <c r="AE219" s="100"/>
      <c r="AF219" s="100"/>
      <c r="AG219" s="69">
        <v>25</v>
      </c>
      <c r="AH219" s="69" t="s">
        <v>299</v>
      </c>
      <c r="AI219" s="243" t="s">
        <v>54</v>
      </c>
      <c r="AJ219" s="243" t="s">
        <v>419</v>
      </c>
      <c r="AK219" s="246"/>
      <c r="AL219" s="43" t="str">
        <f t="shared" si="66"/>
        <v>-</v>
      </c>
      <c r="AM219" s="43">
        <f t="shared" si="57"/>
        <v>0</v>
      </c>
      <c r="AN219" s="193">
        <f t="shared" si="57"/>
        <v>0</v>
      </c>
      <c r="AO219" s="270">
        <f t="shared" si="58"/>
        <v>300</v>
      </c>
      <c r="AP219" s="265">
        <f>BJ219</f>
        <v>1040</v>
      </c>
      <c r="AQ219" s="26" t="str">
        <f t="shared" si="56"/>
        <v>TSOWWIN RIVERChum</v>
      </c>
      <c r="AR219" s="26">
        <f t="shared" si="59"/>
        <v>0</v>
      </c>
      <c r="AS219" s="33">
        <f t="shared" si="67"/>
        <v>0</v>
      </c>
      <c r="AW219" s="34"/>
      <c r="AX219" s="47" t="str">
        <f t="shared" si="60"/>
        <v>TSOWWIN RIVERChum</v>
      </c>
      <c r="AY219" s="49">
        <f t="shared" si="61"/>
        <v>0</v>
      </c>
      <c r="AZ219" s="49">
        <f t="shared" si="62"/>
        <v>0</v>
      </c>
      <c r="BA219" s="31">
        <v>2014</v>
      </c>
      <c r="BB219" s="188">
        <f t="shared" si="63"/>
        <v>0</v>
      </c>
      <c r="BC219" s="188" t="str">
        <f t="shared" si="68"/>
        <v xml:space="preserve"> </v>
      </c>
      <c r="BD219" s="188" t="str">
        <f t="shared" si="69"/>
        <v xml:space="preserve"> </v>
      </c>
      <c r="BE219" s="188" t="str">
        <f t="shared" si="70"/>
        <v xml:space="preserve"> </v>
      </c>
      <c r="BF219" s="50" t="str">
        <f t="shared" si="55"/>
        <v>TSOWWIN RIVER_Chum</v>
      </c>
      <c r="BG219" s="50">
        <f>IFERROR(VLOOKUP(BF219,'[1]WCVI Esc'!$C$5:$W$514,18,FALSE),"-")</f>
        <v>301</v>
      </c>
      <c r="BH219" s="50">
        <f t="shared" si="64"/>
        <v>300</v>
      </c>
      <c r="BI219" s="50">
        <f>IFERROR(VLOOKUP(BF219,'[1]WCVI Esc'!$C$5:$W$514,19,FALSE),"-")</f>
        <v>1040.7142857142858</v>
      </c>
      <c r="BJ219" s="50">
        <f t="shared" si="65"/>
        <v>1040</v>
      </c>
    </row>
    <row r="220" spans="1:62" x14ac:dyDescent="0.2">
      <c r="A220" s="29">
        <v>3</v>
      </c>
      <c r="B220" s="29">
        <v>5</v>
      </c>
      <c r="C220" s="13">
        <v>25</v>
      </c>
      <c r="D220" s="201" t="s">
        <v>299</v>
      </c>
      <c r="E220" s="10" t="s">
        <v>54</v>
      </c>
      <c r="F220" s="10" t="s">
        <v>210</v>
      </c>
      <c r="G220" s="10"/>
      <c r="H220" s="152"/>
      <c r="I220" s="155"/>
      <c r="J220" s="106"/>
      <c r="K220" s="94"/>
      <c r="L220" s="180"/>
      <c r="M220" s="173"/>
      <c r="N220" s="106"/>
      <c r="O220" s="106"/>
      <c r="P220" s="63"/>
      <c r="Q220" s="162"/>
      <c r="R220" s="164"/>
      <c r="S220" s="62"/>
      <c r="T220" s="63"/>
      <c r="U220" s="62"/>
      <c r="V220" s="177"/>
      <c r="W220" s="171"/>
      <c r="X220" s="62"/>
      <c r="Y220" s="45"/>
      <c r="Z220" s="45"/>
      <c r="AA220" s="100">
        <f>Y220/AP220</f>
        <v>0</v>
      </c>
      <c r="AB220" s="100">
        <f>AS220/AP220</f>
        <v>0</v>
      </c>
      <c r="AC220" s="100"/>
      <c r="AD220" s="100"/>
      <c r="AE220" s="100"/>
      <c r="AF220" s="100"/>
      <c r="AG220" s="69">
        <v>25</v>
      </c>
      <c r="AH220" s="69" t="s">
        <v>299</v>
      </c>
      <c r="AI220" s="243" t="s">
        <v>54</v>
      </c>
      <c r="AJ220" s="243" t="s">
        <v>419</v>
      </c>
      <c r="AK220" s="246"/>
      <c r="AL220" s="43" t="str">
        <f t="shared" si="66"/>
        <v>-</v>
      </c>
      <c r="AM220" s="43">
        <f t="shared" si="57"/>
        <v>0</v>
      </c>
      <c r="AN220" s="193">
        <f t="shared" si="57"/>
        <v>0</v>
      </c>
      <c r="AO220" s="270">
        <f t="shared" si="58"/>
        <v>30</v>
      </c>
      <c r="AP220" s="265">
        <f>BJ220</f>
        <v>30</v>
      </c>
      <c r="AQ220" s="26" t="str">
        <f t="shared" si="56"/>
        <v>TSOWWIN RIVERChinook</v>
      </c>
      <c r="AR220" s="26">
        <f t="shared" si="59"/>
        <v>0</v>
      </c>
      <c r="AS220" s="33">
        <f t="shared" si="67"/>
        <v>0</v>
      </c>
      <c r="AT220" s="34"/>
      <c r="AU220" s="34"/>
      <c r="AW220" s="34">
        <f>SUM(AT220:AU220)/2</f>
        <v>0</v>
      </c>
      <c r="AX220" s="47" t="str">
        <f t="shared" si="60"/>
        <v>TSOWWIN RIVERChinook</v>
      </c>
      <c r="AY220" s="49">
        <f t="shared" si="61"/>
        <v>0</v>
      </c>
      <c r="AZ220" s="49">
        <f t="shared" si="62"/>
        <v>0</v>
      </c>
      <c r="BA220" s="31">
        <v>2014</v>
      </c>
      <c r="BB220" s="188">
        <f t="shared" si="63"/>
        <v>0</v>
      </c>
      <c r="BC220" s="188" t="str">
        <f t="shared" si="68"/>
        <v xml:space="preserve"> </v>
      </c>
      <c r="BD220" s="188" t="str">
        <f t="shared" si="69"/>
        <v xml:space="preserve"> </v>
      </c>
      <c r="BE220" s="188" t="str">
        <f t="shared" si="70"/>
        <v xml:space="preserve"> </v>
      </c>
      <c r="BF220" s="50" t="str">
        <f t="shared" si="55"/>
        <v>TSOWWIN RIVER_Chinook</v>
      </c>
      <c r="BG220" s="50">
        <f>IFERROR(VLOOKUP(BF220,'[1]WCVI Esc'!$C$5:$W$514,18,FALSE),"-")</f>
        <v>29</v>
      </c>
      <c r="BH220" s="50">
        <f t="shared" si="64"/>
        <v>30</v>
      </c>
      <c r="BI220" s="50">
        <f>IFERROR(VLOOKUP(BF220,'[1]WCVI Esc'!$C$5:$W$514,19,FALSE),"-")</f>
        <v>26.2</v>
      </c>
      <c r="BJ220" s="50">
        <f t="shared" si="65"/>
        <v>30</v>
      </c>
    </row>
    <row r="221" spans="1:62" hidden="1" x14ac:dyDescent="0.2">
      <c r="A221" s="29">
        <v>3</v>
      </c>
      <c r="B221" s="29">
        <v>6</v>
      </c>
      <c r="C221" s="13">
        <v>25</v>
      </c>
      <c r="D221" s="201" t="s">
        <v>299</v>
      </c>
      <c r="E221" s="10" t="s">
        <v>54</v>
      </c>
      <c r="F221" s="10" t="s">
        <v>211</v>
      </c>
      <c r="G221" s="10"/>
      <c r="H221" s="152"/>
      <c r="I221" s="155"/>
      <c r="J221" s="106"/>
      <c r="K221" s="94"/>
      <c r="L221" s="180"/>
      <c r="M221" s="173"/>
      <c r="N221" s="106"/>
      <c r="O221" s="106"/>
      <c r="P221" s="63"/>
      <c r="Q221" s="162"/>
      <c r="R221" s="164"/>
      <c r="S221" s="62"/>
      <c r="T221" s="63"/>
      <c r="U221" s="62"/>
      <c r="V221" s="177"/>
      <c r="W221" s="171"/>
      <c r="X221" s="62"/>
      <c r="Y221" s="45"/>
      <c r="Z221" s="45"/>
      <c r="AA221" s="100"/>
      <c r="AB221" s="100"/>
      <c r="AC221" s="100"/>
      <c r="AD221" s="100"/>
      <c r="AE221" s="100"/>
      <c r="AF221" s="100"/>
      <c r="AG221" s="69">
        <v>25</v>
      </c>
      <c r="AH221" s="69" t="s">
        <v>299</v>
      </c>
      <c r="AI221" s="243" t="s">
        <v>54</v>
      </c>
      <c r="AJ221" s="243" t="s">
        <v>419</v>
      </c>
      <c r="AK221" s="246"/>
      <c r="AL221" s="43" t="str">
        <f t="shared" si="66"/>
        <v>-</v>
      </c>
      <c r="AM221" s="43">
        <f t="shared" si="57"/>
        <v>0</v>
      </c>
      <c r="AN221" s="193">
        <f t="shared" si="57"/>
        <v>0</v>
      </c>
      <c r="AO221" s="270" t="str">
        <f t="shared" si="58"/>
        <v>-</v>
      </c>
      <c r="AP221" s="266"/>
      <c r="AQ221" s="26" t="str">
        <f t="shared" si="56"/>
        <v>TSOWWIN RIVERSteelhead</v>
      </c>
      <c r="AR221" s="26">
        <f t="shared" si="59"/>
        <v>0</v>
      </c>
      <c r="AS221" s="33">
        <f t="shared" si="67"/>
        <v>0</v>
      </c>
      <c r="AW221" s="34"/>
      <c r="AX221" s="47" t="str">
        <f t="shared" si="60"/>
        <v>TSOWWIN RIVERSteelhead</v>
      </c>
      <c r="AY221" s="49">
        <f t="shared" si="61"/>
        <v>0</v>
      </c>
      <c r="AZ221" s="49">
        <f t="shared" si="62"/>
        <v>0</v>
      </c>
      <c r="BA221" s="31">
        <v>0</v>
      </c>
      <c r="BB221" s="188">
        <f t="shared" si="63"/>
        <v>0</v>
      </c>
      <c r="BC221" s="188" t="str">
        <f t="shared" si="68"/>
        <v xml:space="preserve"> </v>
      </c>
      <c r="BD221" s="188" t="str">
        <f t="shared" si="69"/>
        <v xml:space="preserve"> </v>
      </c>
      <c r="BE221" s="188" t="str">
        <f t="shared" si="70"/>
        <v xml:space="preserve"> </v>
      </c>
      <c r="BF221" s="50" t="str">
        <f t="shared" si="55"/>
        <v>TSOWWIN RIVER_Steelhead</v>
      </c>
      <c r="BG221" s="50" t="str">
        <f>IFERROR(VLOOKUP(BF221,'[1]WCVI Esc'!$C$5:$W$514,18,FALSE),"-")</f>
        <v>-</v>
      </c>
      <c r="BH221" s="50" t="str">
        <f t="shared" si="64"/>
        <v>-</v>
      </c>
      <c r="BI221" s="50" t="str">
        <f>IFERROR(VLOOKUP(BF221,'[1]WCVI Esc'!$C$5:$W$514,19,FALSE),"-")</f>
        <v>-</v>
      </c>
      <c r="BJ221" s="50" t="str">
        <f t="shared" si="65"/>
        <v>-</v>
      </c>
    </row>
    <row r="222" spans="1:62" hidden="1" x14ac:dyDescent="0.2">
      <c r="A222" s="28">
        <v>3</v>
      </c>
      <c r="B222" s="28">
        <v>1</v>
      </c>
      <c r="C222" s="11">
        <v>25</v>
      </c>
      <c r="D222" s="103" t="s">
        <v>300</v>
      </c>
      <c r="E222" s="10" t="s">
        <v>55</v>
      </c>
      <c r="F222" s="10" t="s">
        <v>207</v>
      </c>
      <c r="G222" s="10"/>
      <c r="H222" s="152"/>
      <c r="I222" s="155"/>
      <c r="J222" s="106"/>
      <c r="K222" s="94"/>
      <c r="L222" s="180"/>
      <c r="M222" s="173"/>
      <c r="N222" s="106"/>
      <c r="O222" s="106"/>
      <c r="P222" s="63"/>
      <c r="Q222" s="162"/>
      <c r="R222" s="164"/>
      <c r="S222" s="62"/>
      <c r="T222" s="63"/>
      <c r="U222" s="62"/>
      <c r="V222" s="177"/>
      <c r="W222" s="171"/>
      <c r="X222" s="62"/>
      <c r="Y222" s="45"/>
      <c r="Z222" s="44"/>
      <c r="AA222" s="100">
        <f>Y222/AP222</f>
        <v>0</v>
      </c>
      <c r="AB222" s="100">
        <f>AS222/AP222</f>
        <v>0</v>
      </c>
      <c r="AC222" s="123">
        <v>2</v>
      </c>
      <c r="AD222" s="123"/>
      <c r="AE222" s="123"/>
      <c r="AF222" s="123"/>
      <c r="AG222" s="18">
        <v>25</v>
      </c>
      <c r="AH222" s="69" t="s">
        <v>300</v>
      </c>
      <c r="AI222" s="243" t="s">
        <v>55</v>
      </c>
      <c r="AJ222" s="243" t="s">
        <v>419</v>
      </c>
      <c r="AK222" s="246"/>
      <c r="AL222" s="43" t="str">
        <f t="shared" si="66"/>
        <v>-</v>
      </c>
      <c r="AM222" s="43">
        <f t="shared" si="57"/>
        <v>0</v>
      </c>
      <c r="AN222" s="193">
        <f t="shared" si="57"/>
        <v>0</v>
      </c>
      <c r="AO222" s="264">
        <f t="shared" si="58"/>
        <v>790</v>
      </c>
      <c r="AP222" s="265">
        <f>BJ222</f>
        <v>1360</v>
      </c>
      <c r="AQ222" s="26" t="str">
        <f t="shared" si="56"/>
        <v>ZEBALLOS RIVERSockeye</v>
      </c>
      <c r="AR222" s="26">
        <f t="shared" si="59"/>
        <v>0</v>
      </c>
      <c r="AS222" s="33">
        <f t="shared" si="67"/>
        <v>0</v>
      </c>
      <c r="AX222" s="47" t="str">
        <f t="shared" si="60"/>
        <v>ZEBALLOS RIVERSockeye</v>
      </c>
      <c r="AY222" s="49">
        <f t="shared" si="61"/>
        <v>0</v>
      </c>
      <c r="AZ222" s="49">
        <f t="shared" si="62"/>
        <v>0</v>
      </c>
      <c r="BA222" s="31">
        <v>2016</v>
      </c>
      <c r="BB222" s="188">
        <f t="shared" si="63"/>
        <v>0</v>
      </c>
      <c r="BC222" s="188" t="str">
        <f t="shared" si="68"/>
        <v xml:space="preserve"> </v>
      </c>
      <c r="BD222" s="188" t="str">
        <f t="shared" si="69"/>
        <v xml:space="preserve"> </v>
      </c>
      <c r="BE222" s="188" t="str">
        <f t="shared" si="70"/>
        <v xml:space="preserve"> </v>
      </c>
      <c r="BF222" s="50" t="str">
        <f t="shared" si="55"/>
        <v>ZEBALLOS RIVER_Sockeye</v>
      </c>
      <c r="BG222" s="50">
        <f>IFERROR(VLOOKUP(BF222,'[1]WCVI Esc'!$C$5:$W$534,18,FALSE),"-")</f>
        <v>792.5</v>
      </c>
      <c r="BH222" s="50">
        <f t="shared" si="64"/>
        <v>790</v>
      </c>
      <c r="BI222" s="50">
        <f>IFERROR(VLOOKUP(BF222,'[1]WCVI Esc'!$C$5:$W$534,19,FALSE),"-")</f>
        <v>1364.4166666666667</v>
      </c>
      <c r="BJ222" s="50">
        <f t="shared" si="65"/>
        <v>1360</v>
      </c>
    </row>
    <row r="223" spans="1:62" hidden="1" x14ac:dyDescent="0.2">
      <c r="A223" s="28">
        <v>3</v>
      </c>
      <c r="B223" s="28">
        <v>2</v>
      </c>
      <c r="C223" s="11">
        <v>25</v>
      </c>
      <c r="D223" s="103" t="s">
        <v>300</v>
      </c>
      <c r="E223" s="10" t="s">
        <v>55</v>
      </c>
      <c r="F223" s="10" t="s">
        <v>219</v>
      </c>
      <c r="G223" s="10"/>
      <c r="H223" s="152"/>
      <c r="I223" s="155"/>
      <c r="J223" s="106"/>
      <c r="K223" s="94"/>
      <c r="L223" s="180"/>
      <c r="M223" s="173"/>
      <c r="N223" s="106"/>
      <c r="O223" s="106"/>
      <c r="P223" s="63"/>
      <c r="Q223" s="162"/>
      <c r="R223" s="164"/>
      <c r="S223" s="62"/>
      <c r="T223" s="62"/>
      <c r="U223" s="62"/>
      <c r="V223" s="177"/>
      <c r="W223" s="171"/>
      <c r="X223" s="62"/>
      <c r="Y223" s="45"/>
      <c r="Z223" s="44"/>
      <c r="AA223" s="100">
        <f>Y223/AP223</f>
        <v>0</v>
      </c>
      <c r="AB223" s="100">
        <f>AS223/AP223</f>
        <v>0</v>
      </c>
      <c r="AC223" s="123">
        <v>2</v>
      </c>
      <c r="AD223" s="123"/>
      <c r="AE223" s="123"/>
      <c r="AF223" s="123"/>
      <c r="AG223" s="18">
        <v>25</v>
      </c>
      <c r="AH223" s="69" t="s">
        <v>300</v>
      </c>
      <c r="AI223" s="243" t="s">
        <v>55</v>
      </c>
      <c r="AJ223" s="243" t="s">
        <v>419</v>
      </c>
      <c r="AK223" s="246"/>
      <c r="AL223" s="43" t="str">
        <f t="shared" si="66"/>
        <v>-</v>
      </c>
      <c r="AM223" s="43">
        <f t="shared" si="57"/>
        <v>0</v>
      </c>
      <c r="AN223" s="193">
        <f t="shared" si="57"/>
        <v>0</v>
      </c>
      <c r="AO223" s="264">
        <f t="shared" si="58"/>
        <v>150</v>
      </c>
      <c r="AP223" s="265">
        <f>BJ223</f>
        <v>330</v>
      </c>
      <c r="AQ223" s="26" t="str">
        <f t="shared" si="56"/>
        <v>ZEBALLOS RIVERCoho</v>
      </c>
      <c r="AR223" s="26">
        <f t="shared" si="59"/>
        <v>0</v>
      </c>
      <c r="AS223" s="33">
        <f t="shared" si="67"/>
        <v>0</v>
      </c>
      <c r="AX223" s="47" t="str">
        <f t="shared" si="60"/>
        <v>ZEBALLOS RIVERCoho</v>
      </c>
      <c r="AY223" s="49">
        <f t="shared" si="61"/>
        <v>0</v>
      </c>
      <c r="AZ223" s="49">
        <f t="shared" si="62"/>
        <v>0</v>
      </c>
      <c r="BA223" s="31">
        <v>2016</v>
      </c>
      <c r="BB223" s="188">
        <f t="shared" si="63"/>
        <v>0</v>
      </c>
      <c r="BC223" s="188" t="str">
        <f t="shared" si="68"/>
        <v xml:space="preserve"> </v>
      </c>
      <c r="BD223" s="188" t="str">
        <f t="shared" si="69"/>
        <v xml:space="preserve"> </v>
      </c>
      <c r="BE223" s="188" t="str">
        <f t="shared" si="70"/>
        <v xml:space="preserve"> </v>
      </c>
      <c r="BF223" s="50" t="str">
        <f t="shared" si="55"/>
        <v>ZEBALLOS RIVER_Coho</v>
      </c>
      <c r="BG223" s="50">
        <f>IFERROR(VLOOKUP(BF223,'[1]WCVI Esc'!$C$5:$W$534,18,FALSE),"-")</f>
        <v>149.5</v>
      </c>
      <c r="BH223" s="50">
        <f t="shared" si="64"/>
        <v>150</v>
      </c>
      <c r="BI223" s="50">
        <f>IFERROR(VLOOKUP(BF223,'[1]WCVI Esc'!$C$5:$W$534,19,FALSE),"-")</f>
        <v>328.08333333333331</v>
      </c>
      <c r="BJ223" s="50">
        <f t="shared" si="65"/>
        <v>330</v>
      </c>
    </row>
    <row r="224" spans="1:62" hidden="1" x14ac:dyDescent="0.2">
      <c r="A224" s="28">
        <v>3</v>
      </c>
      <c r="B224" s="28">
        <v>3</v>
      </c>
      <c r="C224" s="11">
        <v>25</v>
      </c>
      <c r="D224" s="103" t="s">
        <v>300</v>
      </c>
      <c r="E224" s="10" t="s">
        <v>55</v>
      </c>
      <c r="F224" s="10" t="s">
        <v>208</v>
      </c>
      <c r="G224" s="10"/>
      <c r="H224" s="152"/>
      <c r="I224" s="155"/>
      <c r="J224" s="106"/>
      <c r="K224" s="94"/>
      <c r="L224" s="180"/>
      <c r="M224" s="173"/>
      <c r="N224" s="106"/>
      <c r="O224" s="106"/>
      <c r="P224" s="63"/>
      <c r="Q224" s="162"/>
      <c r="R224" s="164"/>
      <c r="S224" s="62"/>
      <c r="T224" s="62"/>
      <c r="U224" s="62"/>
      <c r="V224" s="177"/>
      <c r="W224" s="171"/>
      <c r="X224" s="62"/>
      <c r="Y224" s="45"/>
      <c r="Z224" s="44"/>
      <c r="AA224" s="100">
        <f>Y224/AP224</f>
        <v>0</v>
      </c>
      <c r="AB224" s="100">
        <f>AS224/AP224</f>
        <v>0</v>
      </c>
      <c r="AC224" s="100"/>
      <c r="AD224" s="100"/>
      <c r="AE224" s="100"/>
      <c r="AF224" s="100"/>
      <c r="AG224" s="18">
        <v>25</v>
      </c>
      <c r="AH224" s="69" t="s">
        <v>300</v>
      </c>
      <c r="AI224" s="243" t="s">
        <v>55</v>
      </c>
      <c r="AJ224" s="243" t="s">
        <v>419</v>
      </c>
      <c r="AK224" s="246"/>
      <c r="AL224" s="43" t="str">
        <f t="shared" si="66"/>
        <v>-</v>
      </c>
      <c r="AM224" s="43">
        <f t="shared" si="57"/>
        <v>0</v>
      </c>
      <c r="AN224" s="193">
        <f t="shared" si="57"/>
        <v>0</v>
      </c>
      <c r="AO224" s="264" t="str">
        <f t="shared" si="58"/>
        <v>-</v>
      </c>
      <c r="AP224" s="265">
        <f>BJ224</f>
        <v>40</v>
      </c>
      <c r="AQ224" s="26" t="str">
        <f t="shared" si="56"/>
        <v>ZEBALLOS RIVERPink</v>
      </c>
      <c r="AR224" s="26">
        <f t="shared" si="59"/>
        <v>0</v>
      </c>
      <c r="AS224" s="33">
        <f t="shared" si="67"/>
        <v>0</v>
      </c>
      <c r="AX224" s="47" t="str">
        <f t="shared" si="60"/>
        <v>ZEBALLOS RIVERPink</v>
      </c>
      <c r="AY224" s="49">
        <f t="shared" si="61"/>
        <v>0</v>
      </c>
      <c r="AZ224" s="49">
        <f t="shared" si="62"/>
        <v>0</v>
      </c>
      <c r="BA224" s="31">
        <v>2014</v>
      </c>
      <c r="BB224" s="188">
        <f t="shared" si="63"/>
        <v>0</v>
      </c>
      <c r="BC224" s="188" t="str">
        <f t="shared" si="68"/>
        <v xml:space="preserve"> </v>
      </c>
      <c r="BD224" s="188" t="str">
        <f t="shared" si="69"/>
        <v xml:space="preserve"> </v>
      </c>
      <c r="BE224" s="188" t="str">
        <f t="shared" si="70"/>
        <v xml:space="preserve"> </v>
      </c>
      <c r="BF224" s="50" t="str">
        <f t="shared" si="55"/>
        <v>ZEBALLOS RIVER_Pink</v>
      </c>
      <c r="BG224" s="50" t="str">
        <f>IFERROR(VLOOKUP(BF224,'[1]WCVI Esc'!$C$5:$W$534,18,FALSE),"-")</f>
        <v>-</v>
      </c>
      <c r="BH224" s="50" t="str">
        <f t="shared" si="64"/>
        <v>-</v>
      </c>
      <c r="BI224" s="50">
        <f>IFERROR(VLOOKUP(BF224,'[1]WCVI Esc'!$C$5:$W$534,19,FALSE),"-")</f>
        <v>43.666666666666664</v>
      </c>
      <c r="BJ224" s="50">
        <f t="shared" si="65"/>
        <v>40</v>
      </c>
    </row>
    <row r="225" spans="1:65" hidden="1" x14ac:dyDescent="0.2">
      <c r="A225" s="28">
        <v>3</v>
      </c>
      <c r="B225" s="28">
        <v>4</v>
      </c>
      <c r="C225" s="11">
        <v>25</v>
      </c>
      <c r="D225" s="103" t="s">
        <v>300</v>
      </c>
      <c r="E225" s="10" t="s">
        <v>55</v>
      </c>
      <c r="F225" s="10" t="s">
        <v>209</v>
      </c>
      <c r="G225" s="10"/>
      <c r="H225" s="152"/>
      <c r="I225" s="155"/>
      <c r="J225" s="106"/>
      <c r="K225" s="94"/>
      <c r="L225" s="180"/>
      <c r="M225" s="173"/>
      <c r="N225" s="106"/>
      <c r="O225" s="106"/>
      <c r="P225" s="63"/>
      <c r="Q225" s="162"/>
      <c r="R225" s="164"/>
      <c r="S225" s="62"/>
      <c r="T225" s="63"/>
      <c r="U225" s="62"/>
      <c r="V225" s="177"/>
      <c r="W225" s="171"/>
      <c r="X225" s="62"/>
      <c r="Y225" s="45"/>
      <c r="Z225" s="44"/>
      <c r="AA225" s="100">
        <f>Y225/AP225</f>
        <v>0</v>
      </c>
      <c r="AB225" s="100">
        <f>AS225/AP225</f>
        <v>0</v>
      </c>
      <c r="AC225" s="123">
        <v>2</v>
      </c>
      <c r="AD225" s="123"/>
      <c r="AE225" s="123"/>
      <c r="AF225" s="123"/>
      <c r="AG225" s="18">
        <v>25</v>
      </c>
      <c r="AH225" s="69" t="s">
        <v>300</v>
      </c>
      <c r="AI225" s="243" t="s">
        <v>55</v>
      </c>
      <c r="AJ225" s="243" t="s">
        <v>419</v>
      </c>
      <c r="AK225" s="246"/>
      <c r="AL225" s="43" t="str">
        <f t="shared" si="66"/>
        <v>-</v>
      </c>
      <c r="AM225" s="43">
        <f t="shared" si="57"/>
        <v>0</v>
      </c>
      <c r="AN225" s="193">
        <f t="shared" si="57"/>
        <v>0</v>
      </c>
      <c r="AO225" s="264">
        <f t="shared" si="58"/>
        <v>2980</v>
      </c>
      <c r="AP225" s="265">
        <f>BJ225</f>
        <v>5980</v>
      </c>
      <c r="AQ225" s="26" t="str">
        <f t="shared" si="56"/>
        <v>ZEBALLOS RIVERChum</v>
      </c>
      <c r="AR225" s="26">
        <f t="shared" si="59"/>
        <v>0</v>
      </c>
      <c r="AS225" s="33">
        <f t="shared" si="67"/>
        <v>0</v>
      </c>
      <c r="AX225" s="47" t="str">
        <f t="shared" si="60"/>
        <v>ZEBALLOS RIVERChum</v>
      </c>
      <c r="AY225" s="49">
        <f t="shared" si="61"/>
        <v>0</v>
      </c>
      <c r="AZ225" s="49">
        <f t="shared" si="62"/>
        <v>0</v>
      </c>
      <c r="BA225" s="31">
        <v>2016</v>
      </c>
      <c r="BB225" s="188">
        <f t="shared" si="63"/>
        <v>0</v>
      </c>
      <c r="BC225" s="188" t="str">
        <f t="shared" si="68"/>
        <v xml:space="preserve"> </v>
      </c>
      <c r="BD225" s="188" t="str">
        <f t="shared" si="69"/>
        <v xml:space="preserve"> </v>
      </c>
      <c r="BE225" s="188" t="str">
        <f t="shared" si="70"/>
        <v xml:space="preserve"> </v>
      </c>
      <c r="BF225" s="50" t="str">
        <f t="shared" si="55"/>
        <v>ZEBALLOS RIVER_Chum</v>
      </c>
      <c r="BG225" s="50">
        <f>IFERROR(VLOOKUP(BF225,'[1]WCVI Esc'!$C$5:$W$534,18,FALSE),"-")</f>
        <v>2976.5</v>
      </c>
      <c r="BH225" s="50">
        <f t="shared" si="64"/>
        <v>2980</v>
      </c>
      <c r="BI225" s="50">
        <f>IFERROR(VLOOKUP(BF225,'[1]WCVI Esc'!$C$5:$W$534,19,FALSE),"-")</f>
        <v>5983.666666666667</v>
      </c>
      <c r="BJ225" s="50">
        <f t="shared" si="65"/>
        <v>5980</v>
      </c>
    </row>
    <row r="226" spans="1:65" x14ac:dyDescent="0.2">
      <c r="A226" s="28">
        <v>3</v>
      </c>
      <c r="B226" s="28">
        <v>5</v>
      </c>
      <c r="C226" s="11">
        <v>25</v>
      </c>
      <c r="D226" s="103" t="s">
        <v>300</v>
      </c>
      <c r="E226" s="10" t="s">
        <v>55</v>
      </c>
      <c r="F226" s="10" t="s">
        <v>210</v>
      </c>
      <c r="G226" s="10"/>
      <c r="H226" s="152"/>
      <c r="I226" s="155"/>
      <c r="J226" s="106"/>
      <c r="K226" s="94"/>
      <c r="L226" s="180"/>
      <c r="M226" s="173"/>
      <c r="N226" s="106"/>
      <c r="O226" s="106"/>
      <c r="P226" s="63"/>
      <c r="Q226" s="162"/>
      <c r="R226" s="164"/>
      <c r="S226" s="62"/>
      <c r="T226" s="63"/>
      <c r="U226" s="62"/>
      <c r="V226" s="177"/>
      <c r="W226" s="171"/>
      <c r="X226" s="62"/>
      <c r="Y226" s="45"/>
      <c r="Z226" s="44"/>
      <c r="AA226" s="100">
        <f>Y226/AP226</f>
        <v>0</v>
      </c>
      <c r="AB226" s="100">
        <f>AS226/AP226</f>
        <v>0</v>
      </c>
      <c r="AC226" s="123">
        <v>2</v>
      </c>
      <c r="AD226" s="123">
        <v>920</v>
      </c>
      <c r="AE226" s="123">
        <v>271</v>
      </c>
      <c r="AF226" s="123">
        <f>Y226</f>
        <v>0</v>
      </c>
      <c r="AG226" s="18">
        <v>25</v>
      </c>
      <c r="AH226" s="69" t="s">
        <v>300</v>
      </c>
      <c r="AI226" s="243" t="s">
        <v>55</v>
      </c>
      <c r="AJ226" s="243" t="s">
        <v>419</v>
      </c>
      <c r="AK226" s="246"/>
      <c r="AL226" s="43" t="str">
        <f t="shared" si="66"/>
        <v>-</v>
      </c>
      <c r="AM226" s="43">
        <f t="shared" si="57"/>
        <v>0</v>
      </c>
      <c r="AN226" s="193">
        <f t="shared" si="57"/>
        <v>0</v>
      </c>
      <c r="AO226" s="264">
        <f t="shared" si="58"/>
        <v>140</v>
      </c>
      <c r="AP226" s="265">
        <f>BJ226</f>
        <v>240</v>
      </c>
      <c r="AQ226" s="26" t="str">
        <f t="shared" si="56"/>
        <v>ZEBALLOS RIVERChinook</v>
      </c>
      <c r="AR226" s="26">
        <f t="shared" si="59"/>
        <v>0</v>
      </c>
      <c r="AS226" s="33">
        <f t="shared" si="67"/>
        <v>0</v>
      </c>
      <c r="AX226" s="47" t="str">
        <f t="shared" si="60"/>
        <v>ZEBALLOS RIVERChinook</v>
      </c>
      <c r="AY226" s="49">
        <f t="shared" si="61"/>
        <v>0</v>
      </c>
      <c r="AZ226" s="49">
        <f t="shared" si="62"/>
        <v>0</v>
      </c>
      <c r="BA226" s="31">
        <v>2016</v>
      </c>
      <c r="BB226" s="188">
        <f t="shared" si="63"/>
        <v>0</v>
      </c>
      <c r="BC226" s="188" t="str">
        <f t="shared" si="68"/>
        <v xml:space="preserve"> </v>
      </c>
      <c r="BD226" s="188" t="str">
        <f t="shared" si="69"/>
        <v xml:space="preserve"> </v>
      </c>
      <c r="BE226" s="188" t="str">
        <f t="shared" si="70"/>
        <v xml:space="preserve"> </v>
      </c>
      <c r="BF226" s="50" t="str">
        <f t="shared" si="55"/>
        <v>ZEBALLOS RIVER_Chinook</v>
      </c>
      <c r="BG226" s="50">
        <f>IFERROR(VLOOKUP(BF226,'[1]WCVI Esc'!$C$5:$W$534,18,FALSE),"-")</f>
        <v>143.33333333333334</v>
      </c>
      <c r="BH226" s="50">
        <f t="shared" si="64"/>
        <v>140</v>
      </c>
      <c r="BI226" s="50">
        <f>IFERROR(VLOOKUP(BF226,'[1]WCVI Esc'!$C$5:$W$534,19,FALSE),"-")</f>
        <v>241.09090909090909</v>
      </c>
      <c r="BJ226" s="50">
        <f t="shared" si="65"/>
        <v>240</v>
      </c>
      <c r="BK226">
        <v>4</v>
      </c>
      <c r="BL226" s="17" t="s">
        <v>458</v>
      </c>
      <c r="BM226" s="31">
        <v>1</v>
      </c>
    </row>
    <row r="227" spans="1:65" hidden="1" x14ac:dyDescent="0.2">
      <c r="A227" s="28">
        <v>3</v>
      </c>
      <c r="B227" s="28">
        <v>6</v>
      </c>
      <c r="C227" s="11">
        <v>25</v>
      </c>
      <c r="D227" s="103" t="s">
        <v>300</v>
      </c>
      <c r="E227" s="10" t="s">
        <v>55</v>
      </c>
      <c r="F227" s="10" t="s">
        <v>211</v>
      </c>
      <c r="G227" s="10"/>
      <c r="H227" s="152"/>
      <c r="I227" s="155"/>
      <c r="J227" s="106"/>
      <c r="K227" s="94"/>
      <c r="L227" s="180"/>
      <c r="M227" s="173"/>
      <c r="N227" s="106"/>
      <c r="O227" s="106"/>
      <c r="P227" s="63"/>
      <c r="Q227" s="162"/>
      <c r="R227" s="164"/>
      <c r="S227" s="62"/>
      <c r="T227" s="62"/>
      <c r="U227" s="62"/>
      <c r="V227" s="177"/>
      <c r="W227" s="171"/>
      <c r="X227" s="62"/>
      <c r="Y227" s="45"/>
      <c r="Z227" s="44"/>
      <c r="AA227" s="100"/>
      <c r="AB227" s="100"/>
      <c r="AC227" s="24"/>
      <c r="AD227" s="24"/>
      <c r="AE227" s="24"/>
      <c r="AF227" s="24"/>
      <c r="AG227" s="18">
        <v>25</v>
      </c>
      <c r="AH227" s="69" t="s">
        <v>300</v>
      </c>
      <c r="AI227" s="243" t="s">
        <v>55</v>
      </c>
      <c r="AJ227" s="243" t="s">
        <v>419</v>
      </c>
      <c r="AK227" s="246"/>
      <c r="AL227" s="43" t="str">
        <f t="shared" si="66"/>
        <v>-</v>
      </c>
      <c r="AM227" s="43">
        <f t="shared" si="57"/>
        <v>0</v>
      </c>
      <c r="AN227" s="193">
        <f t="shared" si="57"/>
        <v>0</v>
      </c>
      <c r="AO227" s="264" t="str">
        <f t="shared" si="58"/>
        <v>-</v>
      </c>
      <c r="AP227" s="267"/>
      <c r="AQ227" s="26" t="str">
        <f t="shared" si="56"/>
        <v>ZEBALLOS RIVERSteelhead</v>
      </c>
      <c r="AR227" s="26">
        <f t="shared" si="59"/>
        <v>0</v>
      </c>
      <c r="AS227" s="33">
        <f t="shared" si="67"/>
        <v>0</v>
      </c>
      <c r="AX227" s="47" t="str">
        <f t="shared" si="60"/>
        <v>ZEBALLOS RIVERSteelhead</v>
      </c>
      <c r="AY227" s="49">
        <f t="shared" si="61"/>
        <v>0</v>
      </c>
      <c r="AZ227" s="49">
        <f t="shared" si="62"/>
        <v>0</v>
      </c>
      <c r="BA227" s="31">
        <v>0</v>
      </c>
      <c r="BB227" s="188">
        <f t="shared" si="63"/>
        <v>0</v>
      </c>
      <c r="BC227" s="188" t="str">
        <f t="shared" si="68"/>
        <v xml:space="preserve"> </v>
      </c>
      <c r="BD227" s="188" t="str">
        <f t="shared" si="69"/>
        <v xml:space="preserve"> </v>
      </c>
      <c r="BE227" s="188" t="str">
        <f t="shared" si="70"/>
        <v xml:space="preserve"> </v>
      </c>
      <c r="BF227" s="50" t="str">
        <f t="shared" si="55"/>
        <v>ZEBALLOS RIVER_Steelhead</v>
      </c>
      <c r="BG227" s="50" t="str">
        <f>IFERROR(VLOOKUP(BF227,'[1]WCVI Esc'!$C$5:$W$534,18,FALSE),"-")</f>
        <v>-</v>
      </c>
      <c r="BH227" s="50" t="str">
        <f t="shared" si="64"/>
        <v>-</v>
      </c>
      <c r="BI227" s="50" t="str">
        <f>IFERROR(VLOOKUP(BF227,'[1]WCVI Esc'!$C$5:$W$534,19,FALSE),"-")</f>
        <v>-</v>
      </c>
      <c r="BJ227" s="50" t="str">
        <f t="shared" si="65"/>
        <v>-</v>
      </c>
    </row>
    <row r="228" spans="1:65" hidden="1" x14ac:dyDescent="0.2">
      <c r="A228" s="28">
        <v>3</v>
      </c>
      <c r="B228" s="28">
        <v>1</v>
      </c>
      <c r="C228" s="11">
        <v>26</v>
      </c>
      <c r="D228" s="148" t="s">
        <v>301</v>
      </c>
      <c r="E228" s="10" t="s">
        <v>61</v>
      </c>
      <c r="F228" s="10" t="s">
        <v>207</v>
      </c>
      <c r="G228" s="10"/>
      <c r="H228" s="152"/>
      <c r="I228" s="155"/>
      <c r="J228" s="106"/>
      <c r="K228" s="94"/>
      <c r="L228" s="180"/>
      <c r="M228" s="173"/>
      <c r="N228" s="106"/>
      <c r="O228" s="106"/>
      <c r="P228" s="63"/>
      <c r="Q228" s="162"/>
      <c r="R228" s="169"/>
      <c r="S228" s="62"/>
      <c r="T228" s="63"/>
      <c r="U228" s="62"/>
      <c r="V228" s="177"/>
      <c r="W228" s="171"/>
      <c r="X228" s="62"/>
      <c r="Y228" s="45"/>
      <c r="Z228" s="44"/>
      <c r="AA228" s="100"/>
      <c r="AB228" s="100"/>
      <c r="AG228" s="18">
        <v>26</v>
      </c>
      <c r="AH228" s="69" t="s">
        <v>301</v>
      </c>
      <c r="AI228" s="243" t="s">
        <v>61</v>
      </c>
      <c r="AJ228" s="243" t="s">
        <v>419</v>
      </c>
      <c r="AK228" s="244" t="s">
        <v>292</v>
      </c>
      <c r="AL228" s="43" t="str">
        <f t="shared" si="66"/>
        <v>-</v>
      </c>
      <c r="AM228" s="43">
        <f t="shared" ref="AM228:AN251" si="71">AR228</f>
        <v>0</v>
      </c>
      <c r="AN228" s="193">
        <f t="shared" si="71"/>
        <v>0</v>
      </c>
      <c r="AO228" s="264" t="str">
        <f t="shared" si="58"/>
        <v>-</v>
      </c>
      <c r="AP228" s="266"/>
      <c r="AQ228" s="26" t="str">
        <f t="shared" si="56"/>
        <v>JANSEN CREEKSockeye</v>
      </c>
      <c r="AR228" s="26">
        <f t="shared" si="59"/>
        <v>0</v>
      </c>
      <c r="AS228" s="33">
        <f t="shared" si="67"/>
        <v>0</v>
      </c>
      <c r="AX228" s="47" t="str">
        <f t="shared" si="60"/>
        <v>JANSEN CREEKSockeye</v>
      </c>
      <c r="AY228" s="49">
        <f t="shared" si="61"/>
        <v>0</v>
      </c>
      <c r="AZ228" s="49">
        <f t="shared" si="62"/>
        <v>0</v>
      </c>
      <c r="BA228" s="31">
        <v>1992</v>
      </c>
      <c r="BB228" s="188" t="str">
        <f t="shared" si="63"/>
        <v>KCFN/LGL</v>
      </c>
      <c r="BC228" s="188" t="str">
        <f t="shared" si="68"/>
        <v xml:space="preserve"> </v>
      </c>
      <c r="BD228" s="188" t="str">
        <f t="shared" si="69"/>
        <v xml:space="preserve"> </v>
      </c>
      <c r="BE228" s="188" t="str">
        <f t="shared" si="70"/>
        <v xml:space="preserve"> </v>
      </c>
      <c r="BF228" s="50" t="str">
        <f t="shared" si="55"/>
        <v>JANSEN CREEK_Sockeye</v>
      </c>
      <c r="BG228" s="50" t="str">
        <f>IFERROR(VLOOKUP(BF228,'[1]WCVI Esc'!$C$5:$W$534,18,FALSE),"-")</f>
        <v>-</v>
      </c>
      <c r="BH228" s="50" t="str">
        <f t="shared" si="64"/>
        <v>-</v>
      </c>
      <c r="BI228" s="50" t="str">
        <f>IFERROR(VLOOKUP(BF228,'[1]WCVI Esc'!$C$5:$W$534,19,FALSE),"-")</f>
        <v>-</v>
      </c>
      <c r="BJ228" s="50" t="str">
        <f t="shared" si="65"/>
        <v>-</v>
      </c>
    </row>
    <row r="229" spans="1:65" hidden="1" x14ac:dyDescent="0.2">
      <c r="A229" s="28">
        <v>3</v>
      </c>
      <c r="B229" s="28">
        <v>2</v>
      </c>
      <c r="C229" s="11">
        <v>26</v>
      </c>
      <c r="D229" s="148" t="s">
        <v>301</v>
      </c>
      <c r="E229" s="10" t="s">
        <v>61</v>
      </c>
      <c r="F229" s="10" t="s">
        <v>219</v>
      </c>
      <c r="G229" s="10"/>
      <c r="H229" s="152"/>
      <c r="I229" s="155"/>
      <c r="J229" s="106"/>
      <c r="K229" s="94"/>
      <c r="L229" s="180"/>
      <c r="M229" s="173"/>
      <c r="N229" s="106"/>
      <c r="O229" s="106"/>
      <c r="P229" s="63"/>
      <c r="Q229" s="162"/>
      <c r="R229" s="164"/>
      <c r="S229" s="62"/>
      <c r="T229" s="63"/>
      <c r="U229" s="62"/>
      <c r="V229" s="177"/>
      <c r="W229" s="171"/>
      <c r="X229" s="62"/>
      <c r="Y229" s="45"/>
      <c r="Z229" s="44"/>
      <c r="AA229" s="100"/>
      <c r="AB229" s="100"/>
      <c r="AG229" s="18">
        <v>26</v>
      </c>
      <c r="AH229" s="69" t="s">
        <v>301</v>
      </c>
      <c r="AI229" s="243" t="s">
        <v>61</v>
      </c>
      <c r="AJ229" s="243" t="s">
        <v>419</v>
      </c>
      <c r="AK229" s="244" t="s">
        <v>292</v>
      </c>
      <c r="AL229" s="43" t="str">
        <f t="shared" si="66"/>
        <v>-</v>
      </c>
      <c r="AM229" s="43">
        <f t="shared" si="71"/>
        <v>0</v>
      </c>
      <c r="AN229" s="193">
        <f t="shared" si="71"/>
        <v>0</v>
      </c>
      <c r="AO229" s="264" t="str">
        <f t="shared" si="58"/>
        <v>-</v>
      </c>
      <c r="AP229" s="266"/>
      <c r="AQ229" s="26" t="str">
        <f t="shared" si="56"/>
        <v>JANSEN CREEKCoho</v>
      </c>
      <c r="AR229" s="26">
        <f t="shared" si="59"/>
        <v>0</v>
      </c>
      <c r="AS229" s="33">
        <f t="shared" si="67"/>
        <v>0</v>
      </c>
      <c r="AX229" s="47" t="str">
        <f t="shared" si="60"/>
        <v>JANSEN CREEKCoho</v>
      </c>
      <c r="AY229" s="49">
        <f t="shared" si="61"/>
        <v>0</v>
      </c>
      <c r="AZ229" s="49">
        <f t="shared" si="62"/>
        <v>0</v>
      </c>
      <c r="BA229" s="31">
        <v>2015</v>
      </c>
      <c r="BB229" s="188" t="str">
        <f t="shared" si="63"/>
        <v>KCFN/LGL</v>
      </c>
      <c r="BC229" s="188" t="str">
        <f t="shared" si="68"/>
        <v xml:space="preserve"> </v>
      </c>
      <c r="BD229" s="188" t="str">
        <f t="shared" si="69"/>
        <v xml:space="preserve"> </v>
      </c>
      <c r="BE229" s="188" t="str">
        <f t="shared" si="70"/>
        <v xml:space="preserve"> </v>
      </c>
      <c r="BF229" s="50" t="str">
        <f t="shared" si="55"/>
        <v>JANSEN CREEK_Coho</v>
      </c>
      <c r="BG229" s="50" t="str">
        <f>IFERROR(VLOOKUP(BF229,'[1]WCVI Esc'!$C$5:$W$534,18,FALSE),"-")</f>
        <v>-</v>
      </c>
      <c r="BH229" s="50" t="str">
        <f t="shared" si="64"/>
        <v>-</v>
      </c>
      <c r="BI229" s="50" t="str">
        <f>IFERROR(VLOOKUP(BF229,'[1]WCVI Esc'!$C$5:$W$534,19,FALSE),"-")</f>
        <v>-</v>
      </c>
      <c r="BJ229" s="50" t="str">
        <f t="shared" si="65"/>
        <v>-</v>
      </c>
    </row>
    <row r="230" spans="1:65" hidden="1" x14ac:dyDescent="0.2">
      <c r="A230" s="28">
        <v>3</v>
      </c>
      <c r="B230" s="28">
        <v>3</v>
      </c>
      <c r="C230" s="11">
        <v>26</v>
      </c>
      <c r="D230" s="148" t="s">
        <v>301</v>
      </c>
      <c r="E230" s="10" t="s">
        <v>61</v>
      </c>
      <c r="F230" s="10" t="s">
        <v>208</v>
      </c>
      <c r="G230" s="10"/>
      <c r="H230" s="152"/>
      <c r="I230" s="155"/>
      <c r="J230" s="106"/>
      <c r="K230" s="94"/>
      <c r="L230" s="180"/>
      <c r="M230" s="173"/>
      <c r="N230" s="106"/>
      <c r="O230" s="106"/>
      <c r="P230" s="63"/>
      <c r="Q230" s="162"/>
      <c r="R230" s="169"/>
      <c r="S230" s="62"/>
      <c r="T230" s="63"/>
      <c r="U230" s="62"/>
      <c r="V230" s="177"/>
      <c r="W230" s="171"/>
      <c r="X230" s="62"/>
      <c r="Y230" s="45"/>
      <c r="Z230" s="44"/>
      <c r="AA230" s="100"/>
      <c r="AB230" s="100"/>
      <c r="AG230" s="18">
        <v>26</v>
      </c>
      <c r="AH230" s="69" t="s">
        <v>301</v>
      </c>
      <c r="AI230" s="243" t="s">
        <v>61</v>
      </c>
      <c r="AJ230" s="243" t="s">
        <v>419</v>
      </c>
      <c r="AK230" s="244" t="s">
        <v>292</v>
      </c>
      <c r="AL230" s="43" t="str">
        <f t="shared" si="66"/>
        <v>-</v>
      </c>
      <c r="AM230" s="43">
        <f t="shared" si="71"/>
        <v>0</v>
      </c>
      <c r="AN230" s="193">
        <f t="shared" si="71"/>
        <v>0</v>
      </c>
      <c r="AO230" s="264" t="str">
        <f t="shared" si="58"/>
        <v>-</v>
      </c>
      <c r="AP230" s="266"/>
      <c r="AQ230" s="26" t="str">
        <f t="shared" si="56"/>
        <v>JANSEN CREEKPink</v>
      </c>
      <c r="AR230" s="26">
        <f t="shared" si="59"/>
        <v>0</v>
      </c>
      <c r="AS230" s="33">
        <f t="shared" si="67"/>
        <v>0</v>
      </c>
      <c r="AX230" s="47" t="str">
        <f t="shared" si="60"/>
        <v>JANSEN CREEKPink</v>
      </c>
      <c r="AY230" s="49">
        <f t="shared" si="61"/>
        <v>0</v>
      </c>
      <c r="AZ230" s="49">
        <f t="shared" si="62"/>
        <v>0</v>
      </c>
      <c r="BA230" s="31">
        <v>0</v>
      </c>
      <c r="BB230" s="188" t="str">
        <f t="shared" si="63"/>
        <v>KCFN/LGL</v>
      </c>
      <c r="BC230" s="188" t="str">
        <f t="shared" si="68"/>
        <v xml:space="preserve"> </v>
      </c>
      <c r="BD230" s="188" t="str">
        <f t="shared" si="69"/>
        <v xml:space="preserve"> </v>
      </c>
      <c r="BE230" s="188" t="str">
        <f t="shared" si="70"/>
        <v xml:space="preserve"> </v>
      </c>
      <c r="BF230" s="50" t="str">
        <f t="shared" si="55"/>
        <v>JANSEN CREEK_Pink</v>
      </c>
      <c r="BG230" s="50" t="str">
        <f>IFERROR(VLOOKUP(BF230,'[1]WCVI Esc'!$C$5:$W$534,18,FALSE),"-")</f>
        <v>-</v>
      </c>
      <c r="BH230" s="50" t="str">
        <f t="shared" si="64"/>
        <v>-</v>
      </c>
      <c r="BI230" s="50" t="str">
        <f>IFERROR(VLOOKUP(BF230,'[1]WCVI Esc'!$C$5:$W$534,19,FALSE),"-")</f>
        <v>-</v>
      </c>
      <c r="BJ230" s="50" t="str">
        <f t="shared" si="65"/>
        <v>-</v>
      </c>
    </row>
    <row r="231" spans="1:65" hidden="1" x14ac:dyDescent="0.2">
      <c r="A231" s="28">
        <v>3</v>
      </c>
      <c r="B231" s="28">
        <v>4</v>
      </c>
      <c r="C231" s="11">
        <v>26</v>
      </c>
      <c r="D231" s="148" t="s">
        <v>301</v>
      </c>
      <c r="E231" s="10" t="s">
        <v>61</v>
      </c>
      <c r="F231" s="10" t="s">
        <v>209</v>
      </c>
      <c r="G231" s="10"/>
      <c r="H231" s="152"/>
      <c r="I231" s="155"/>
      <c r="J231" s="106"/>
      <c r="K231" s="94"/>
      <c r="L231" s="180"/>
      <c r="M231" s="173"/>
      <c r="N231" s="106"/>
      <c r="O231" s="106"/>
      <c r="P231" s="63"/>
      <c r="Q231" s="162"/>
      <c r="R231" s="169"/>
      <c r="S231" s="62"/>
      <c r="T231" s="63"/>
      <c r="U231" s="62"/>
      <c r="V231" s="177"/>
      <c r="W231" s="171"/>
      <c r="X231" s="62"/>
      <c r="Y231" s="45"/>
      <c r="Z231" s="44"/>
      <c r="AA231" s="100"/>
      <c r="AB231" s="100"/>
      <c r="AG231" s="18">
        <v>26</v>
      </c>
      <c r="AH231" s="69" t="s">
        <v>301</v>
      </c>
      <c r="AI231" s="243" t="s">
        <v>61</v>
      </c>
      <c r="AJ231" s="243" t="s">
        <v>419</v>
      </c>
      <c r="AK231" s="244" t="s">
        <v>292</v>
      </c>
      <c r="AL231" s="43" t="str">
        <f t="shared" si="66"/>
        <v>-</v>
      </c>
      <c r="AM231" s="43">
        <f t="shared" si="71"/>
        <v>0</v>
      </c>
      <c r="AN231" s="193">
        <f t="shared" si="71"/>
        <v>0</v>
      </c>
      <c r="AO231" s="264" t="str">
        <f t="shared" si="58"/>
        <v>-</v>
      </c>
      <c r="AP231" s="266"/>
      <c r="AQ231" s="26" t="str">
        <f t="shared" si="56"/>
        <v>JANSEN CREEKChum</v>
      </c>
      <c r="AR231" s="26">
        <f t="shared" si="59"/>
        <v>0</v>
      </c>
      <c r="AS231" s="33">
        <f t="shared" si="67"/>
        <v>0</v>
      </c>
      <c r="AX231" s="47" t="str">
        <f t="shared" si="60"/>
        <v>JANSEN CREEKChum</v>
      </c>
      <c r="AY231" s="49">
        <f t="shared" si="61"/>
        <v>0</v>
      </c>
      <c r="AZ231" s="49">
        <f t="shared" si="62"/>
        <v>0</v>
      </c>
      <c r="BA231" s="31">
        <v>1987</v>
      </c>
      <c r="BB231" s="188" t="str">
        <f t="shared" si="63"/>
        <v>KCFN/LGL</v>
      </c>
      <c r="BC231" s="188" t="str">
        <f t="shared" si="68"/>
        <v xml:space="preserve"> </v>
      </c>
      <c r="BD231" s="188" t="str">
        <f t="shared" si="69"/>
        <v xml:space="preserve"> </v>
      </c>
      <c r="BE231" s="188" t="str">
        <f t="shared" si="70"/>
        <v xml:space="preserve"> </v>
      </c>
      <c r="BF231" s="50" t="str">
        <f t="shared" si="55"/>
        <v>JANSEN CREEK_Chum</v>
      </c>
      <c r="BG231" s="50" t="str">
        <f>IFERROR(VLOOKUP(BF231,'[1]WCVI Esc'!$C$5:$W$534,18,FALSE),"-")</f>
        <v>-</v>
      </c>
      <c r="BH231" s="50" t="str">
        <f t="shared" si="64"/>
        <v>-</v>
      </c>
      <c r="BI231" s="50" t="str">
        <f>IFERROR(VLOOKUP(BF231,'[1]WCVI Esc'!$C$5:$W$534,19,FALSE),"-")</f>
        <v>-</v>
      </c>
      <c r="BJ231" s="50" t="str">
        <f t="shared" si="65"/>
        <v>-</v>
      </c>
    </row>
    <row r="232" spans="1:65" hidden="1" x14ac:dyDescent="0.2">
      <c r="A232" s="28">
        <v>3</v>
      </c>
      <c r="B232" s="28">
        <v>5</v>
      </c>
      <c r="C232" s="11">
        <v>26</v>
      </c>
      <c r="D232" s="148" t="s">
        <v>301</v>
      </c>
      <c r="E232" s="10" t="s">
        <v>61</v>
      </c>
      <c r="F232" s="10" t="s">
        <v>210</v>
      </c>
      <c r="G232" s="10"/>
      <c r="H232" s="152"/>
      <c r="I232" s="155"/>
      <c r="J232" s="106"/>
      <c r="K232" s="94"/>
      <c r="L232" s="180"/>
      <c r="M232" s="173"/>
      <c r="N232" s="106"/>
      <c r="O232" s="106"/>
      <c r="P232" s="63"/>
      <c r="Q232" s="162"/>
      <c r="R232" s="169"/>
      <c r="S232" s="62"/>
      <c r="T232" s="63"/>
      <c r="U232" s="62"/>
      <c r="V232" s="177"/>
      <c r="W232" s="171"/>
      <c r="X232" s="62"/>
      <c r="Y232" s="45"/>
      <c r="Z232" s="44"/>
      <c r="AA232" s="100"/>
      <c r="AB232" s="100"/>
      <c r="AF232" s="123">
        <f>Y232</f>
        <v>0</v>
      </c>
      <c r="AG232" s="18">
        <v>26</v>
      </c>
      <c r="AH232" s="69" t="s">
        <v>301</v>
      </c>
      <c r="AI232" s="243" t="s">
        <v>61</v>
      </c>
      <c r="AJ232" s="243" t="s">
        <v>419</v>
      </c>
      <c r="AK232" s="244" t="s">
        <v>292</v>
      </c>
      <c r="AL232" s="43" t="str">
        <f t="shared" si="66"/>
        <v>-</v>
      </c>
      <c r="AM232" s="43">
        <f t="shared" si="71"/>
        <v>0</v>
      </c>
      <c r="AN232" s="193">
        <f t="shared" si="71"/>
        <v>0</v>
      </c>
      <c r="AO232" s="264" t="str">
        <f t="shared" si="58"/>
        <v>-</v>
      </c>
      <c r="AP232" s="266"/>
      <c r="AQ232" s="26" t="str">
        <f t="shared" si="56"/>
        <v>JANSEN CREEKChinook</v>
      </c>
      <c r="AR232" s="26">
        <f t="shared" si="59"/>
        <v>0</v>
      </c>
      <c r="AS232" s="33">
        <f t="shared" si="67"/>
        <v>0</v>
      </c>
      <c r="AX232" s="47" t="str">
        <f t="shared" si="60"/>
        <v>JANSEN CREEKChinook</v>
      </c>
      <c r="AY232" s="49">
        <f t="shared" si="61"/>
        <v>0</v>
      </c>
      <c r="AZ232" s="49">
        <f t="shared" si="62"/>
        <v>0</v>
      </c>
      <c r="BA232" s="31">
        <v>0</v>
      </c>
      <c r="BB232" s="188" t="str">
        <f t="shared" si="63"/>
        <v>KCFN/LGL</v>
      </c>
      <c r="BC232" s="188" t="str">
        <f t="shared" si="68"/>
        <v xml:space="preserve"> </v>
      </c>
      <c r="BD232" s="188" t="str">
        <f t="shared" si="69"/>
        <v xml:space="preserve"> </v>
      </c>
      <c r="BE232" s="188" t="str">
        <f t="shared" si="70"/>
        <v xml:space="preserve"> </v>
      </c>
      <c r="BF232" s="50" t="str">
        <f t="shared" si="55"/>
        <v>JANSEN CREEK_Chinook</v>
      </c>
      <c r="BG232" s="50" t="str">
        <f>IFERROR(VLOOKUP(BF232,'[1]WCVI Esc'!$C$5:$W$534,18,FALSE),"-")</f>
        <v>-</v>
      </c>
      <c r="BH232" s="50" t="str">
        <f t="shared" si="64"/>
        <v>-</v>
      </c>
      <c r="BI232" s="50" t="str">
        <f>IFERROR(VLOOKUP(BF232,'[1]WCVI Esc'!$C$5:$W$534,19,FALSE),"-")</f>
        <v>-</v>
      </c>
      <c r="BJ232" s="50" t="str">
        <f t="shared" si="65"/>
        <v>-</v>
      </c>
      <c r="BK232">
        <v>1</v>
      </c>
      <c r="BL232" t="s">
        <v>460</v>
      </c>
    </row>
    <row r="233" spans="1:65" hidden="1" x14ac:dyDescent="0.2">
      <c r="A233" s="28">
        <v>3</v>
      </c>
      <c r="B233" s="28">
        <v>6</v>
      </c>
      <c r="C233" s="11">
        <v>26</v>
      </c>
      <c r="D233" s="148" t="s">
        <v>301</v>
      </c>
      <c r="E233" s="10" t="s">
        <v>61</v>
      </c>
      <c r="F233" s="10" t="s">
        <v>211</v>
      </c>
      <c r="G233" s="10"/>
      <c r="H233" s="152"/>
      <c r="I233" s="155"/>
      <c r="J233" s="106"/>
      <c r="K233" s="94"/>
      <c r="L233" s="180"/>
      <c r="M233" s="173"/>
      <c r="N233" s="106"/>
      <c r="O233" s="106"/>
      <c r="P233" s="63"/>
      <c r="Q233" s="162"/>
      <c r="R233" s="169"/>
      <c r="S233" s="62"/>
      <c r="T233" s="63"/>
      <c r="U233" s="62"/>
      <c r="V233" s="177"/>
      <c r="W233" s="171"/>
      <c r="X233" s="62"/>
      <c r="Y233" s="45"/>
      <c r="Z233" s="44"/>
      <c r="AA233" s="100"/>
      <c r="AB233" s="100"/>
      <c r="AG233" s="18">
        <v>26</v>
      </c>
      <c r="AH233" s="69" t="s">
        <v>301</v>
      </c>
      <c r="AI233" s="243" t="s">
        <v>61</v>
      </c>
      <c r="AJ233" s="243" t="s">
        <v>419</v>
      </c>
      <c r="AK233" s="244" t="s">
        <v>292</v>
      </c>
      <c r="AL233" s="43" t="str">
        <f t="shared" si="66"/>
        <v>-</v>
      </c>
      <c r="AM233" s="43">
        <f t="shared" si="71"/>
        <v>0</v>
      </c>
      <c r="AN233" s="193">
        <f t="shared" si="71"/>
        <v>0</v>
      </c>
      <c r="AO233" s="264" t="str">
        <f t="shared" si="58"/>
        <v>-</v>
      </c>
      <c r="AP233" s="266"/>
      <c r="AQ233" s="26" t="str">
        <f t="shared" si="56"/>
        <v>JANSEN CREEKSteelhead</v>
      </c>
      <c r="AR233" s="26">
        <f t="shared" si="59"/>
        <v>0</v>
      </c>
      <c r="AS233" s="33">
        <f t="shared" si="67"/>
        <v>0</v>
      </c>
      <c r="AX233" s="47" t="str">
        <f t="shared" si="60"/>
        <v>JANSEN CREEKSteelhead</v>
      </c>
      <c r="AY233" s="49">
        <f t="shared" si="61"/>
        <v>0</v>
      </c>
      <c r="AZ233" s="49">
        <f t="shared" si="62"/>
        <v>0</v>
      </c>
      <c r="BA233" s="31">
        <v>0</v>
      </c>
      <c r="BB233" s="188" t="str">
        <f t="shared" si="63"/>
        <v>KCFN/LGL</v>
      </c>
      <c r="BC233" s="188" t="str">
        <f t="shared" si="68"/>
        <v xml:space="preserve"> </v>
      </c>
      <c r="BD233" s="188" t="str">
        <f t="shared" si="69"/>
        <v xml:space="preserve"> </v>
      </c>
      <c r="BE233" s="188" t="str">
        <f t="shared" si="70"/>
        <v xml:space="preserve"> </v>
      </c>
      <c r="BF233" s="50" t="str">
        <f t="shared" si="55"/>
        <v>JANSEN CREEK_Steelhead</v>
      </c>
      <c r="BG233" s="50" t="str">
        <f>IFERROR(VLOOKUP(BF233,'[1]WCVI Esc'!$C$5:$W$534,18,FALSE),"-")</f>
        <v>-</v>
      </c>
      <c r="BH233" s="50" t="str">
        <f t="shared" si="64"/>
        <v>-</v>
      </c>
      <c r="BI233" s="50" t="str">
        <f>IFERROR(VLOOKUP(BF233,'[1]WCVI Esc'!$C$5:$W$534,19,FALSE),"-")</f>
        <v>-</v>
      </c>
      <c r="BJ233" s="50" t="str">
        <f t="shared" si="65"/>
        <v>-</v>
      </c>
    </row>
    <row r="234" spans="1:65" hidden="1" x14ac:dyDescent="0.2">
      <c r="A234" s="28">
        <v>3</v>
      </c>
      <c r="B234" s="28">
        <v>1</v>
      </c>
      <c r="C234" s="11">
        <v>26</v>
      </c>
      <c r="D234" s="148" t="s">
        <v>301</v>
      </c>
      <c r="E234" s="10" t="s">
        <v>63</v>
      </c>
      <c r="F234" s="10" t="s">
        <v>207</v>
      </c>
      <c r="G234" s="10"/>
      <c r="H234" s="152"/>
      <c r="I234" s="155"/>
      <c r="J234" s="106"/>
      <c r="K234" s="94"/>
      <c r="L234" s="180"/>
      <c r="M234" s="173"/>
      <c r="N234" s="106"/>
      <c r="O234" s="106"/>
      <c r="P234" s="63"/>
      <c r="Q234" s="162"/>
      <c r="R234" s="164"/>
      <c r="S234" s="62"/>
      <c r="T234" s="63"/>
      <c r="U234" s="62"/>
      <c r="V234" s="177"/>
      <c r="W234" s="171"/>
      <c r="X234" s="62"/>
      <c r="Y234" s="45"/>
      <c r="Z234" s="44"/>
      <c r="AA234" s="100">
        <f>Y234/AP234</f>
        <v>0</v>
      </c>
      <c r="AB234" s="100">
        <f>AS234/AP234</f>
        <v>0</v>
      </c>
      <c r="AG234" s="18">
        <v>26</v>
      </c>
      <c r="AH234" s="69" t="s">
        <v>301</v>
      </c>
      <c r="AI234" s="243" t="s">
        <v>63</v>
      </c>
      <c r="AJ234" s="243" t="s">
        <v>419</v>
      </c>
      <c r="AK234" s="244" t="s">
        <v>292</v>
      </c>
      <c r="AL234" s="43" t="str">
        <f t="shared" si="66"/>
        <v>-</v>
      </c>
      <c r="AM234" s="43">
        <f t="shared" si="71"/>
        <v>0</v>
      </c>
      <c r="AN234" s="193">
        <f t="shared" si="71"/>
        <v>0</v>
      </c>
      <c r="AO234" s="264">
        <f t="shared" si="58"/>
        <v>0</v>
      </c>
      <c r="AP234" s="265">
        <f>BJ234</f>
        <v>20</v>
      </c>
      <c r="AQ234" s="26" t="str">
        <f t="shared" si="56"/>
        <v>KASHUTL RIVERSockeye</v>
      </c>
      <c r="AR234" s="26">
        <f t="shared" si="59"/>
        <v>0</v>
      </c>
      <c r="AS234" s="33">
        <f t="shared" si="67"/>
        <v>0</v>
      </c>
      <c r="AX234" s="47" t="str">
        <f t="shared" si="60"/>
        <v>KASHUTL RIVERSockeye</v>
      </c>
      <c r="AY234" s="49">
        <f t="shared" si="61"/>
        <v>0</v>
      </c>
      <c r="AZ234" s="49">
        <f t="shared" si="62"/>
        <v>0</v>
      </c>
      <c r="BA234" s="31">
        <v>2011</v>
      </c>
      <c r="BB234" s="188" t="str">
        <f t="shared" si="63"/>
        <v>KCFN/LGL</v>
      </c>
      <c r="BC234" s="188" t="str">
        <f t="shared" si="68"/>
        <v xml:space="preserve"> </v>
      </c>
      <c r="BD234" s="188" t="str">
        <f t="shared" si="69"/>
        <v xml:space="preserve"> </v>
      </c>
      <c r="BE234" s="188" t="str">
        <f t="shared" si="70"/>
        <v xml:space="preserve"> </v>
      </c>
      <c r="BF234" s="50" t="str">
        <f t="shared" si="55"/>
        <v>KASHUTL RIVER_Sockeye</v>
      </c>
      <c r="BG234" s="50">
        <f>IFERROR(VLOOKUP(BF234,'[1]WCVI Esc'!$C$5:$W$534,18,FALSE),"-")</f>
        <v>3</v>
      </c>
      <c r="BH234" s="50">
        <f t="shared" si="64"/>
        <v>0</v>
      </c>
      <c r="BI234" s="50">
        <f>IFERROR(VLOOKUP(BF234,'[1]WCVI Esc'!$C$5:$W$534,19,FALSE),"-")</f>
        <v>17.75</v>
      </c>
      <c r="BJ234" s="50">
        <f t="shared" si="65"/>
        <v>20</v>
      </c>
    </row>
    <row r="235" spans="1:65" hidden="1" x14ac:dyDescent="0.2">
      <c r="A235" s="28">
        <v>3</v>
      </c>
      <c r="B235" s="28">
        <v>2</v>
      </c>
      <c r="C235" s="11">
        <v>26</v>
      </c>
      <c r="D235" s="148" t="s">
        <v>301</v>
      </c>
      <c r="E235" s="10" t="s">
        <v>63</v>
      </c>
      <c r="F235" s="10" t="s">
        <v>219</v>
      </c>
      <c r="G235" s="10"/>
      <c r="H235" s="152"/>
      <c r="I235" s="155"/>
      <c r="J235" s="106"/>
      <c r="K235" s="94"/>
      <c r="L235" s="180"/>
      <c r="M235" s="173"/>
      <c r="N235" s="106"/>
      <c r="O235" s="106"/>
      <c r="P235" s="63"/>
      <c r="Q235" s="162"/>
      <c r="R235" s="164"/>
      <c r="S235" s="62"/>
      <c r="T235" s="63"/>
      <c r="U235" s="62"/>
      <c r="V235" s="177"/>
      <c r="W235" s="171"/>
      <c r="X235" s="62"/>
      <c r="Y235" s="45"/>
      <c r="Z235" s="44"/>
      <c r="AA235" s="100">
        <f>Y235/AP235</f>
        <v>0</v>
      </c>
      <c r="AB235" s="100">
        <f>AS235/AP235</f>
        <v>0</v>
      </c>
      <c r="AG235" s="18">
        <v>26</v>
      </c>
      <c r="AH235" s="69" t="s">
        <v>301</v>
      </c>
      <c r="AI235" s="243" t="s">
        <v>63</v>
      </c>
      <c r="AJ235" s="243" t="s">
        <v>419</v>
      </c>
      <c r="AK235" s="244" t="s">
        <v>292</v>
      </c>
      <c r="AL235" s="43" t="str">
        <f t="shared" si="66"/>
        <v>-</v>
      </c>
      <c r="AM235" s="43">
        <f t="shared" si="71"/>
        <v>0</v>
      </c>
      <c r="AN235" s="193">
        <f t="shared" si="71"/>
        <v>0</v>
      </c>
      <c r="AO235" s="264">
        <f t="shared" si="58"/>
        <v>100</v>
      </c>
      <c r="AP235" s="265">
        <f>BJ235</f>
        <v>190</v>
      </c>
      <c r="AQ235" s="26" t="str">
        <f t="shared" si="56"/>
        <v>KASHUTL RIVERCoho</v>
      </c>
      <c r="AR235" s="26">
        <f t="shared" si="59"/>
        <v>0</v>
      </c>
      <c r="AS235" s="33">
        <f t="shared" si="67"/>
        <v>0</v>
      </c>
      <c r="AX235" s="47" t="str">
        <f t="shared" si="60"/>
        <v>KASHUTL RIVERCoho</v>
      </c>
      <c r="AY235" s="49">
        <f t="shared" si="61"/>
        <v>0</v>
      </c>
      <c r="AZ235" s="49">
        <f t="shared" si="62"/>
        <v>0</v>
      </c>
      <c r="BA235" s="31">
        <v>2016</v>
      </c>
      <c r="BB235" s="188" t="str">
        <f t="shared" si="63"/>
        <v>KCFN/LGL</v>
      </c>
      <c r="BC235" s="188" t="str">
        <f t="shared" si="68"/>
        <v xml:space="preserve"> </v>
      </c>
      <c r="BD235" s="188" t="str">
        <f t="shared" si="69"/>
        <v xml:space="preserve"> </v>
      </c>
      <c r="BE235" s="188" t="str">
        <f t="shared" si="70"/>
        <v xml:space="preserve"> </v>
      </c>
      <c r="BF235" s="50" t="str">
        <f t="shared" si="55"/>
        <v>KASHUTL RIVER_Coho</v>
      </c>
      <c r="BG235" s="50">
        <f>IFERROR(VLOOKUP(BF235,'[1]WCVI Esc'!$C$5:$W$534,18,FALSE),"-")</f>
        <v>103</v>
      </c>
      <c r="BH235" s="50">
        <f t="shared" si="64"/>
        <v>100</v>
      </c>
      <c r="BI235" s="50">
        <f>IFERROR(VLOOKUP(BF235,'[1]WCVI Esc'!$C$5:$W$534,19,FALSE),"-")</f>
        <v>189.8</v>
      </c>
      <c r="BJ235" s="50">
        <f t="shared" si="65"/>
        <v>190</v>
      </c>
    </row>
    <row r="236" spans="1:65" hidden="1" x14ac:dyDescent="0.2">
      <c r="A236" s="28">
        <v>3</v>
      </c>
      <c r="B236" s="28">
        <v>3</v>
      </c>
      <c r="C236" s="11">
        <v>26</v>
      </c>
      <c r="D236" s="148" t="s">
        <v>301</v>
      </c>
      <c r="E236" s="10" t="s">
        <v>63</v>
      </c>
      <c r="F236" s="10" t="s">
        <v>208</v>
      </c>
      <c r="G236" s="10"/>
      <c r="H236" s="152"/>
      <c r="I236" s="155"/>
      <c r="J236" s="106"/>
      <c r="K236" s="94"/>
      <c r="L236" s="180"/>
      <c r="M236" s="173"/>
      <c r="N236" s="106"/>
      <c r="O236" s="106"/>
      <c r="P236" s="63"/>
      <c r="Q236" s="162"/>
      <c r="R236" s="164"/>
      <c r="S236" s="62"/>
      <c r="T236" s="63"/>
      <c r="U236" s="62"/>
      <c r="V236" s="177"/>
      <c r="W236" s="171"/>
      <c r="X236" s="62"/>
      <c r="Y236" s="45"/>
      <c r="Z236" s="44"/>
      <c r="AA236" s="100"/>
      <c r="AB236" s="100"/>
      <c r="AG236" s="18">
        <v>26</v>
      </c>
      <c r="AH236" s="69" t="s">
        <v>301</v>
      </c>
      <c r="AI236" s="243" t="s">
        <v>63</v>
      </c>
      <c r="AJ236" s="243" t="s">
        <v>419</v>
      </c>
      <c r="AK236" s="244" t="s">
        <v>292</v>
      </c>
      <c r="AL236" s="43" t="str">
        <f t="shared" si="66"/>
        <v>-</v>
      </c>
      <c r="AM236" s="43">
        <f t="shared" si="71"/>
        <v>0</v>
      </c>
      <c r="AN236" s="193">
        <f t="shared" si="71"/>
        <v>0</v>
      </c>
      <c r="AO236" s="264" t="str">
        <f t="shared" si="58"/>
        <v>-</v>
      </c>
      <c r="AP236" s="265"/>
      <c r="AQ236" s="26" t="str">
        <f t="shared" si="56"/>
        <v>KASHUTL RIVERPink</v>
      </c>
      <c r="AR236" s="26">
        <f t="shared" si="59"/>
        <v>0</v>
      </c>
      <c r="AS236" s="33">
        <f t="shared" si="67"/>
        <v>0</v>
      </c>
      <c r="AX236" s="47" t="str">
        <f t="shared" si="60"/>
        <v>KASHUTL RIVERPink</v>
      </c>
      <c r="AY236" s="49">
        <f t="shared" si="61"/>
        <v>0</v>
      </c>
      <c r="AZ236" s="49">
        <f t="shared" si="62"/>
        <v>0</v>
      </c>
      <c r="BA236" s="31">
        <v>0</v>
      </c>
      <c r="BB236" s="188" t="str">
        <f t="shared" si="63"/>
        <v>KCFN/LGL</v>
      </c>
      <c r="BC236" s="188" t="str">
        <f t="shared" si="68"/>
        <v xml:space="preserve"> </v>
      </c>
      <c r="BD236" s="188" t="str">
        <f t="shared" si="69"/>
        <v xml:space="preserve"> </v>
      </c>
      <c r="BE236" s="188" t="str">
        <f t="shared" si="70"/>
        <v xml:space="preserve"> </v>
      </c>
      <c r="BF236" s="50" t="str">
        <f t="shared" si="55"/>
        <v>KASHUTL RIVER_Pink</v>
      </c>
      <c r="BG236" s="50" t="str">
        <f>IFERROR(VLOOKUP(BF236,'[1]WCVI Esc'!$C$5:$W$534,18,FALSE),"-")</f>
        <v>-</v>
      </c>
      <c r="BH236" s="50" t="str">
        <f t="shared" si="64"/>
        <v>-</v>
      </c>
      <c r="BI236" s="50" t="str">
        <f>IFERROR(VLOOKUP(BF236,'[1]WCVI Esc'!$C$5:$W$534,19,FALSE),"-")</f>
        <v>-</v>
      </c>
      <c r="BJ236" s="50" t="str">
        <f t="shared" si="65"/>
        <v>-</v>
      </c>
    </row>
    <row r="237" spans="1:65" hidden="1" x14ac:dyDescent="0.2">
      <c r="A237" s="28">
        <v>3</v>
      </c>
      <c r="B237" s="28">
        <v>4</v>
      </c>
      <c r="C237" s="11">
        <v>26</v>
      </c>
      <c r="D237" s="148" t="s">
        <v>301</v>
      </c>
      <c r="E237" s="10" t="s">
        <v>63</v>
      </c>
      <c r="F237" s="10" t="s">
        <v>209</v>
      </c>
      <c r="G237" s="10"/>
      <c r="H237" s="152"/>
      <c r="I237" s="155"/>
      <c r="J237" s="106"/>
      <c r="K237" s="94"/>
      <c r="L237" s="180"/>
      <c r="M237" s="173"/>
      <c r="N237" s="106"/>
      <c r="O237" s="106"/>
      <c r="P237" s="63"/>
      <c r="Q237" s="162"/>
      <c r="R237" s="164"/>
      <c r="S237" s="62"/>
      <c r="T237" s="63"/>
      <c r="U237" s="62"/>
      <c r="V237" s="177"/>
      <c r="W237" s="171"/>
      <c r="X237" s="62"/>
      <c r="Y237" s="45"/>
      <c r="Z237" s="44"/>
      <c r="AA237" s="100">
        <f>Y237/AP237</f>
        <v>0</v>
      </c>
      <c r="AB237" s="100">
        <f>AS237/AP237</f>
        <v>0</v>
      </c>
      <c r="AG237" s="18">
        <v>26</v>
      </c>
      <c r="AH237" s="69" t="s">
        <v>301</v>
      </c>
      <c r="AI237" s="243" t="s">
        <v>63</v>
      </c>
      <c r="AJ237" s="243" t="s">
        <v>419</v>
      </c>
      <c r="AK237" s="244" t="s">
        <v>292</v>
      </c>
      <c r="AL237" s="43" t="str">
        <f t="shared" si="66"/>
        <v>-</v>
      </c>
      <c r="AM237" s="43">
        <f t="shared" si="71"/>
        <v>0</v>
      </c>
      <c r="AN237" s="193">
        <f t="shared" si="71"/>
        <v>0</v>
      </c>
      <c r="AO237" s="264">
        <f t="shared" si="58"/>
        <v>100</v>
      </c>
      <c r="AP237" s="265">
        <f>BJ237</f>
        <v>1670</v>
      </c>
      <c r="AQ237" s="26" t="str">
        <f t="shared" si="56"/>
        <v>KASHUTL RIVERChum</v>
      </c>
      <c r="AR237" s="26">
        <f t="shared" si="59"/>
        <v>0</v>
      </c>
      <c r="AS237" s="33">
        <f t="shared" si="67"/>
        <v>0</v>
      </c>
      <c r="AX237" s="47" t="str">
        <f t="shared" si="60"/>
        <v>KASHUTL RIVERChum</v>
      </c>
      <c r="AY237" s="49">
        <f t="shared" si="61"/>
        <v>0</v>
      </c>
      <c r="AZ237" s="49">
        <f t="shared" si="62"/>
        <v>0</v>
      </c>
      <c r="BA237" s="31">
        <v>2016</v>
      </c>
      <c r="BB237" s="188" t="str">
        <f t="shared" si="63"/>
        <v>KCFN/LGL</v>
      </c>
      <c r="BC237" s="188" t="str">
        <f t="shared" si="68"/>
        <v xml:space="preserve"> </v>
      </c>
      <c r="BD237" s="188" t="str">
        <f t="shared" si="69"/>
        <v xml:space="preserve"> </v>
      </c>
      <c r="BE237" s="188" t="str">
        <f t="shared" si="70"/>
        <v xml:space="preserve"> </v>
      </c>
      <c r="BF237" s="50" t="str">
        <f t="shared" si="55"/>
        <v>KASHUTL RIVER_Chum</v>
      </c>
      <c r="BG237" s="50">
        <f>IFERROR(VLOOKUP(BF237,'[1]WCVI Esc'!$C$5:$W$534,18,FALSE),"-")</f>
        <v>97</v>
      </c>
      <c r="BH237" s="50">
        <f t="shared" si="64"/>
        <v>100</v>
      </c>
      <c r="BI237" s="50">
        <f>IFERROR(VLOOKUP(BF237,'[1]WCVI Esc'!$C$5:$W$534,19,FALSE),"-")</f>
        <v>1674.3</v>
      </c>
      <c r="BJ237" s="50">
        <f t="shared" si="65"/>
        <v>1670</v>
      </c>
    </row>
    <row r="238" spans="1:65" hidden="1" x14ac:dyDescent="0.2">
      <c r="A238" s="28">
        <v>3</v>
      </c>
      <c r="B238" s="28">
        <v>5</v>
      </c>
      <c r="C238" s="11">
        <v>26</v>
      </c>
      <c r="D238" s="148" t="s">
        <v>301</v>
      </c>
      <c r="E238" s="10" t="s">
        <v>63</v>
      </c>
      <c r="F238" s="10" t="s">
        <v>210</v>
      </c>
      <c r="G238" s="10"/>
      <c r="H238" s="152"/>
      <c r="I238" s="155"/>
      <c r="J238" s="106"/>
      <c r="K238" s="94"/>
      <c r="L238" s="180"/>
      <c r="M238" s="173"/>
      <c r="N238" s="106"/>
      <c r="O238" s="106"/>
      <c r="P238" s="63"/>
      <c r="Q238" s="162"/>
      <c r="R238" s="164"/>
      <c r="S238" s="62"/>
      <c r="T238" s="63"/>
      <c r="U238" s="62"/>
      <c r="V238" s="177"/>
      <c r="W238" s="171"/>
      <c r="X238" s="62"/>
      <c r="Y238" s="45"/>
      <c r="Z238" s="44"/>
      <c r="AA238" s="100">
        <f>Y238/AP238</f>
        <v>0</v>
      </c>
      <c r="AB238" s="100">
        <f>AS238/AP238</f>
        <v>0</v>
      </c>
      <c r="AF238" s="123">
        <f>Y238</f>
        <v>0</v>
      </c>
      <c r="AG238" s="18">
        <v>26</v>
      </c>
      <c r="AH238" s="69" t="s">
        <v>301</v>
      </c>
      <c r="AI238" s="243" t="s">
        <v>63</v>
      </c>
      <c r="AJ238" s="243" t="s">
        <v>419</v>
      </c>
      <c r="AK238" s="244" t="s">
        <v>292</v>
      </c>
      <c r="AL238" s="43" t="str">
        <f t="shared" si="66"/>
        <v>-</v>
      </c>
      <c r="AM238" s="43">
        <f t="shared" si="71"/>
        <v>0</v>
      </c>
      <c r="AN238" s="193">
        <f t="shared" si="71"/>
        <v>0</v>
      </c>
      <c r="AO238" s="264">
        <f t="shared" si="58"/>
        <v>0</v>
      </c>
      <c r="AP238" s="265">
        <f>BI238</f>
        <v>2.8</v>
      </c>
      <c r="AQ238" s="26" t="str">
        <f t="shared" si="56"/>
        <v>KASHUTL RIVERChinook</v>
      </c>
      <c r="AR238" s="26">
        <f t="shared" si="59"/>
        <v>0</v>
      </c>
      <c r="AS238" s="33">
        <f t="shared" si="67"/>
        <v>0</v>
      </c>
      <c r="AX238" s="47" t="str">
        <f t="shared" si="60"/>
        <v>KASHUTL RIVERChinook</v>
      </c>
      <c r="AY238" s="49">
        <f t="shared" si="61"/>
        <v>0</v>
      </c>
      <c r="AZ238" s="49">
        <f t="shared" si="62"/>
        <v>0</v>
      </c>
      <c r="BA238" s="31">
        <v>2011</v>
      </c>
      <c r="BB238" s="188" t="str">
        <f t="shared" si="63"/>
        <v>KCFN/LGL</v>
      </c>
      <c r="BC238" s="188" t="str">
        <f t="shared" si="68"/>
        <v xml:space="preserve"> </v>
      </c>
      <c r="BD238" s="188" t="str">
        <f t="shared" si="69"/>
        <v xml:space="preserve"> </v>
      </c>
      <c r="BE238" s="188" t="str">
        <f t="shared" si="70"/>
        <v xml:space="preserve"> </v>
      </c>
      <c r="BF238" s="50" t="str">
        <f t="shared" si="55"/>
        <v>KASHUTL RIVER_Chinook</v>
      </c>
      <c r="BG238" s="50">
        <f>IFERROR(VLOOKUP(BF238,'[1]WCVI Esc'!$C$5:$W$534,18,FALSE),"-")</f>
        <v>1</v>
      </c>
      <c r="BH238" s="50">
        <f t="shared" si="64"/>
        <v>0</v>
      </c>
      <c r="BI238" s="50">
        <f>IFERROR(VLOOKUP(BF238,'[1]WCVI Esc'!$C$5:$W$534,19,FALSE),"-")</f>
        <v>2.8</v>
      </c>
      <c r="BJ238" s="50">
        <f t="shared" si="65"/>
        <v>0</v>
      </c>
      <c r="BK238">
        <v>3</v>
      </c>
      <c r="BL238" s="17" t="s">
        <v>460</v>
      </c>
      <c r="BM238" s="31">
        <v>1</v>
      </c>
    </row>
    <row r="239" spans="1:65" hidden="1" x14ac:dyDescent="0.2">
      <c r="A239" s="28">
        <v>3</v>
      </c>
      <c r="B239" s="28">
        <v>6</v>
      </c>
      <c r="C239" s="11">
        <v>26</v>
      </c>
      <c r="D239" s="148" t="s">
        <v>301</v>
      </c>
      <c r="E239" s="10" t="s">
        <v>63</v>
      </c>
      <c r="F239" s="10" t="s">
        <v>211</v>
      </c>
      <c r="G239" s="10"/>
      <c r="H239" s="152"/>
      <c r="I239" s="155"/>
      <c r="J239" s="106"/>
      <c r="K239" s="94"/>
      <c r="L239" s="180"/>
      <c r="M239" s="173"/>
      <c r="N239" s="106"/>
      <c r="O239" s="106"/>
      <c r="P239" s="63"/>
      <c r="Q239" s="162"/>
      <c r="R239" s="164"/>
      <c r="S239" s="62"/>
      <c r="T239" s="63"/>
      <c r="U239" s="62"/>
      <c r="V239" s="177"/>
      <c r="W239" s="171"/>
      <c r="X239" s="62"/>
      <c r="Y239" s="45"/>
      <c r="Z239" s="44"/>
      <c r="AA239" s="100"/>
      <c r="AB239" s="100"/>
      <c r="AG239" s="18">
        <v>26</v>
      </c>
      <c r="AH239" s="69" t="s">
        <v>301</v>
      </c>
      <c r="AI239" s="243" t="s">
        <v>63</v>
      </c>
      <c r="AJ239" s="243" t="s">
        <v>419</v>
      </c>
      <c r="AK239" s="244" t="s">
        <v>292</v>
      </c>
      <c r="AL239" s="43" t="str">
        <f t="shared" si="66"/>
        <v>-</v>
      </c>
      <c r="AM239" s="43">
        <f t="shared" si="71"/>
        <v>0</v>
      </c>
      <c r="AN239" s="193">
        <f t="shared" si="71"/>
        <v>0</v>
      </c>
      <c r="AO239" s="264" t="str">
        <f t="shared" si="58"/>
        <v>-</v>
      </c>
      <c r="AP239" s="265"/>
      <c r="AQ239" s="26" t="str">
        <f t="shared" si="56"/>
        <v>KASHUTL RIVERSteelhead</v>
      </c>
      <c r="AR239" s="26">
        <f t="shared" si="59"/>
        <v>0</v>
      </c>
      <c r="AS239" s="33">
        <f t="shared" si="67"/>
        <v>0</v>
      </c>
      <c r="AX239" s="47" t="str">
        <f t="shared" si="60"/>
        <v>KASHUTL RIVERSteelhead</v>
      </c>
      <c r="AY239" s="49">
        <f t="shared" si="61"/>
        <v>0</v>
      </c>
      <c r="AZ239" s="49">
        <f t="shared" si="62"/>
        <v>0</v>
      </c>
      <c r="BA239" s="31">
        <v>0</v>
      </c>
      <c r="BB239" s="188" t="str">
        <f t="shared" si="63"/>
        <v>KCFN/LGL</v>
      </c>
      <c r="BC239" s="188" t="str">
        <f t="shared" si="68"/>
        <v xml:space="preserve"> </v>
      </c>
      <c r="BD239" s="188" t="str">
        <f t="shared" si="69"/>
        <v xml:space="preserve"> </v>
      </c>
      <c r="BE239" s="188" t="str">
        <f t="shared" si="70"/>
        <v xml:space="preserve"> </v>
      </c>
      <c r="BF239" s="50" t="str">
        <f t="shared" si="55"/>
        <v>KASHUTL RIVER_Steelhead</v>
      </c>
      <c r="BG239" s="50" t="str">
        <f>IFERROR(VLOOKUP(BF239,'[1]WCVI Esc'!$C$5:$W$534,18,FALSE),"-")</f>
        <v>-</v>
      </c>
      <c r="BH239" s="50" t="str">
        <f t="shared" si="64"/>
        <v>-</v>
      </c>
      <c r="BI239" s="50" t="str">
        <f>IFERROR(VLOOKUP(BF239,'[1]WCVI Esc'!$C$5:$W$534,19,FALSE),"-")</f>
        <v>-</v>
      </c>
      <c r="BJ239" s="50" t="str">
        <f t="shared" si="65"/>
        <v>-</v>
      </c>
    </row>
    <row r="240" spans="1:65" hidden="1" x14ac:dyDescent="0.2">
      <c r="A240" s="28">
        <v>3</v>
      </c>
      <c r="B240" s="28">
        <v>1</v>
      </c>
      <c r="C240" s="11">
        <v>26</v>
      </c>
      <c r="D240" s="148" t="s">
        <v>301</v>
      </c>
      <c r="E240" s="10" t="s">
        <v>64</v>
      </c>
      <c r="F240" s="10" t="s">
        <v>207</v>
      </c>
      <c r="G240" s="10"/>
      <c r="H240" s="152"/>
      <c r="I240" s="155"/>
      <c r="J240" s="106"/>
      <c r="K240" s="94"/>
      <c r="L240" s="180"/>
      <c r="M240" s="173"/>
      <c r="N240" s="106"/>
      <c r="O240" s="106"/>
      <c r="P240" s="63"/>
      <c r="Q240" s="162"/>
      <c r="R240" s="164"/>
      <c r="S240" s="62"/>
      <c r="T240" s="63"/>
      <c r="U240" s="62"/>
      <c r="V240" s="177"/>
      <c r="W240" s="171"/>
      <c r="X240" s="62"/>
      <c r="Y240" s="45"/>
      <c r="Z240" s="44"/>
      <c r="AA240" s="100">
        <f>Y240/AP240</f>
        <v>0</v>
      </c>
      <c r="AB240" s="100">
        <f>AS240/AP240</f>
        <v>0</v>
      </c>
      <c r="AC240" s="123"/>
      <c r="AD240" s="123"/>
      <c r="AE240" s="123"/>
      <c r="AF240" s="123"/>
      <c r="AG240" s="18">
        <v>26</v>
      </c>
      <c r="AH240" s="69" t="s">
        <v>301</v>
      </c>
      <c r="AI240" s="243" t="s">
        <v>64</v>
      </c>
      <c r="AJ240" s="243" t="s">
        <v>419</v>
      </c>
      <c r="AK240" s="244" t="s">
        <v>292</v>
      </c>
      <c r="AL240" s="43" t="str">
        <f t="shared" si="66"/>
        <v>-</v>
      </c>
      <c r="AM240" s="43">
        <f t="shared" si="71"/>
        <v>0</v>
      </c>
      <c r="AN240" s="193">
        <f t="shared" si="71"/>
        <v>0</v>
      </c>
      <c r="AO240" s="264">
        <f t="shared" si="58"/>
        <v>0</v>
      </c>
      <c r="AP240" s="265">
        <f>BJ240</f>
        <v>20</v>
      </c>
      <c r="AQ240" s="26" t="str">
        <f t="shared" si="56"/>
        <v>KAUWINCH RIVERSockeye</v>
      </c>
      <c r="AR240" s="26">
        <f t="shared" si="59"/>
        <v>0</v>
      </c>
      <c r="AS240" s="33">
        <f t="shared" si="67"/>
        <v>0</v>
      </c>
      <c r="AX240" s="47" t="str">
        <f t="shared" si="60"/>
        <v>KAUWINCH RIVERSockeye</v>
      </c>
      <c r="AY240" s="49">
        <f t="shared" si="61"/>
        <v>0</v>
      </c>
      <c r="AZ240" s="49">
        <f t="shared" si="62"/>
        <v>0</v>
      </c>
      <c r="BA240" s="31">
        <v>2016</v>
      </c>
      <c r="BB240" s="188" t="str">
        <f t="shared" si="63"/>
        <v>KCFN/LGL</v>
      </c>
      <c r="BC240" s="188" t="str">
        <f t="shared" si="68"/>
        <v xml:space="preserve"> </v>
      </c>
      <c r="BD240" s="188" t="str">
        <f t="shared" si="69"/>
        <v xml:space="preserve"> </v>
      </c>
      <c r="BE240" s="188" t="str">
        <f t="shared" si="70"/>
        <v xml:space="preserve"> </v>
      </c>
      <c r="BF240" s="50" t="str">
        <f t="shared" si="55"/>
        <v>KAUWINCH RIVER_Sockeye</v>
      </c>
      <c r="BG240" s="50">
        <f>IFERROR(VLOOKUP(BF240,'[1]WCVI Esc'!$C$5:$W$534,18,FALSE),"-")</f>
        <v>3</v>
      </c>
      <c r="BH240" s="50">
        <f t="shared" si="64"/>
        <v>0</v>
      </c>
      <c r="BI240" s="50">
        <f>IFERROR(VLOOKUP(BF240,'[1]WCVI Esc'!$C$5:$W$534,19,FALSE),"-")</f>
        <v>21.857142857142858</v>
      </c>
      <c r="BJ240" s="50">
        <f t="shared" si="65"/>
        <v>20</v>
      </c>
    </row>
    <row r="241" spans="1:65" hidden="1" x14ac:dyDescent="0.2">
      <c r="A241" s="28">
        <v>3</v>
      </c>
      <c r="B241" s="28">
        <v>2</v>
      </c>
      <c r="C241" s="11">
        <v>26</v>
      </c>
      <c r="D241" s="148" t="s">
        <v>301</v>
      </c>
      <c r="E241" s="10" t="s">
        <v>64</v>
      </c>
      <c r="F241" s="10" t="s">
        <v>219</v>
      </c>
      <c r="G241" s="10"/>
      <c r="H241" s="152"/>
      <c r="I241" s="155"/>
      <c r="J241" s="106"/>
      <c r="K241" s="94"/>
      <c r="L241" s="180"/>
      <c r="M241" s="173"/>
      <c r="N241" s="106"/>
      <c r="O241" s="106"/>
      <c r="P241" s="63"/>
      <c r="Q241" s="162"/>
      <c r="R241" s="164"/>
      <c r="S241" s="62"/>
      <c r="T241" s="63"/>
      <c r="U241" s="62"/>
      <c r="V241" s="177"/>
      <c r="W241" s="171"/>
      <c r="X241" s="62"/>
      <c r="Y241" s="45"/>
      <c r="Z241" s="44"/>
      <c r="AA241" s="100">
        <f>Y241/AP241</f>
        <v>0</v>
      </c>
      <c r="AB241" s="100">
        <f>AS241/AP241</f>
        <v>0</v>
      </c>
      <c r="AC241" s="123"/>
      <c r="AD241" s="123"/>
      <c r="AE241" s="123"/>
      <c r="AF241" s="123"/>
      <c r="AG241" s="18">
        <v>26</v>
      </c>
      <c r="AH241" s="69" t="s">
        <v>301</v>
      </c>
      <c r="AI241" s="243" t="s">
        <v>64</v>
      </c>
      <c r="AJ241" s="243" t="s">
        <v>419</v>
      </c>
      <c r="AK241" s="244" t="s">
        <v>292</v>
      </c>
      <c r="AL241" s="43" t="str">
        <f t="shared" si="66"/>
        <v>-</v>
      </c>
      <c r="AM241" s="43">
        <f t="shared" si="71"/>
        <v>0</v>
      </c>
      <c r="AN241" s="193">
        <f t="shared" si="71"/>
        <v>0</v>
      </c>
      <c r="AO241" s="264">
        <f t="shared" si="58"/>
        <v>70</v>
      </c>
      <c r="AP241" s="265">
        <f>BJ241</f>
        <v>970</v>
      </c>
      <c r="AQ241" s="26" t="str">
        <f t="shared" si="56"/>
        <v>KAUWINCH RIVERCoho</v>
      </c>
      <c r="AR241" s="26">
        <f t="shared" si="59"/>
        <v>0</v>
      </c>
      <c r="AS241" s="33">
        <f t="shared" si="67"/>
        <v>0</v>
      </c>
      <c r="AX241" s="47" t="str">
        <f t="shared" si="60"/>
        <v>KAUWINCH RIVERCoho</v>
      </c>
      <c r="AY241" s="49">
        <f t="shared" si="61"/>
        <v>0</v>
      </c>
      <c r="AZ241" s="49">
        <f t="shared" si="62"/>
        <v>0</v>
      </c>
      <c r="BA241" s="31">
        <v>2016</v>
      </c>
      <c r="BB241" s="188" t="str">
        <f t="shared" si="63"/>
        <v>KCFN/LGL</v>
      </c>
      <c r="BC241" s="188" t="str">
        <f t="shared" si="68"/>
        <v xml:space="preserve"> </v>
      </c>
      <c r="BD241" s="188" t="str">
        <f t="shared" si="69"/>
        <v xml:space="preserve"> </v>
      </c>
      <c r="BE241" s="188" t="str">
        <f t="shared" si="70"/>
        <v xml:space="preserve"> </v>
      </c>
      <c r="BF241" s="50" t="str">
        <f t="shared" si="55"/>
        <v>KAUWINCH RIVER_Coho</v>
      </c>
      <c r="BG241" s="50">
        <f>IFERROR(VLOOKUP(BF241,'[1]WCVI Esc'!$C$5:$W$534,18,FALSE),"-")</f>
        <v>74.333333333333329</v>
      </c>
      <c r="BH241" s="50">
        <f t="shared" si="64"/>
        <v>70</v>
      </c>
      <c r="BI241" s="50">
        <f>IFERROR(VLOOKUP(BF241,'[1]WCVI Esc'!$C$5:$W$534,19,FALSE),"-")</f>
        <v>973.4545454545455</v>
      </c>
      <c r="BJ241" s="50">
        <f t="shared" si="65"/>
        <v>970</v>
      </c>
    </row>
    <row r="242" spans="1:65" hidden="1" x14ac:dyDescent="0.2">
      <c r="A242" s="28">
        <v>3</v>
      </c>
      <c r="B242" s="28">
        <v>3</v>
      </c>
      <c r="C242" s="11">
        <v>26</v>
      </c>
      <c r="D242" s="148" t="s">
        <v>301</v>
      </c>
      <c r="E242" s="10" t="s">
        <v>64</v>
      </c>
      <c r="F242" s="10" t="s">
        <v>208</v>
      </c>
      <c r="G242" s="10"/>
      <c r="H242" s="152"/>
      <c r="I242" s="155"/>
      <c r="J242" s="106"/>
      <c r="K242" s="94"/>
      <c r="L242" s="180"/>
      <c r="M242" s="173"/>
      <c r="N242" s="106"/>
      <c r="O242" s="106"/>
      <c r="P242" s="63"/>
      <c r="Q242" s="162"/>
      <c r="R242" s="164"/>
      <c r="S242" s="62"/>
      <c r="T242" s="63"/>
      <c r="U242" s="62"/>
      <c r="V242" s="177"/>
      <c r="W242" s="171"/>
      <c r="X242" s="62"/>
      <c r="Y242" s="45"/>
      <c r="Z242" s="44"/>
      <c r="AA242" s="100"/>
      <c r="AB242" s="100"/>
      <c r="AG242" s="18">
        <v>26</v>
      </c>
      <c r="AH242" s="69" t="s">
        <v>301</v>
      </c>
      <c r="AI242" s="243" t="s">
        <v>64</v>
      </c>
      <c r="AJ242" s="243" t="s">
        <v>419</v>
      </c>
      <c r="AK242" s="244" t="s">
        <v>292</v>
      </c>
      <c r="AL242" s="43" t="str">
        <f t="shared" si="66"/>
        <v>-</v>
      </c>
      <c r="AM242" s="43">
        <f t="shared" si="71"/>
        <v>0</v>
      </c>
      <c r="AN242" s="193">
        <f t="shared" si="71"/>
        <v>0</v>
      </c>
      <c r="AO242" s="264" t="str">
        <f t="shared" si="58"/>
        <v>-</v>
      </c>
      <c r="AP242" s="265"/>
      <c r="AQ242" s="26" t="str">
        <f t="shared" si="56"/>
        <v>KAUWINCH RIVERPink</v>
      </c>
      <c r="AR242" s="26">
        <f t="shared" si="59"/>
        <v>0</v>
      </c>
      <c r="AS242" s="33">
        <f t="shared" si="67"/>
        <v>0</v>
      </c>
      <c r="AX242" s="47" t="str">
        <f t="shared" si="60"/>
        <v>KAUWINCH RIVERPink</v>
      </c>
      <c r="AY242" s="49">
        <f t="shared" si="61"/>
        <v>0</v>
      </c>
      <c r="AZ242" s="49">
        <f t="shared" si="62"/>
        <v>0</v>
      </c>
      <c r="BA242" s="31">
        <v>0</v>
      </c>
      <c r="BB242" s="188" t="str">
        <f t="shared" si="63"/>
        <v>KCFN/LGL</v>
      </c>
      <c r="BC242" s="188" t="str">
        <f t="shared" si="68"/>
        <v xml:space="preserve"> </v>
      </c>
      <c r="BD242" s="188" t="str">
        <f t="shared" si="69"/>
        <v xml:space="preserve"> </v>
      </c>
      <c r="BE242" s="188" t="str">
        <f t="shared" si="70"/>
        <v xml:space="preserve"> </v>
      </c>
      <c r="BF242" s="50" t="str">
        <f t="shared" si="55"/>
        <v>KAUWINCH RIVER_Pink</v>
      </c>
      <c r="BG242" s="50" t="str">
        <f>IFERROR(VLOOKUP(BF242,'[1]WCVI Esc'!$C$5:$W$534,18,FALSE),"-")</f>
        <v>-</v>
      </c>
      <c r="BH242" s="50" t="str">
        <f t="shared" si="64"/>
        <v>-</v>
      </c>
      <c r="BI242" s="50" t="str">
        <f>IFERROR(VLOOKUP(BF242,'[1]WCVI Esc'!$C$5:$W$534,19,FALSE),"-")</f>
        <v>-</v>
      </c>
      <c r="BJ242" s="50" t="str">
        <f t="shared" si="65"/>
        <v>-</v>
      </c>
    </row>
    <row r="243" spans="1:65" hidden="1" x14ac:dyDescent="0.2">
      <c r="A243" s="28">
        <v>3</v>
      </c>
      <c r="B243" s="28">
        <v>4</v>
      </c>
      <c r="C243" s="11">
        <v>26</v>
      </c>
      <c r="D243" s="148" t="s">
        <v>301</v>
      </c>
      <c r="E243" s="10" t="s">
        <v>64</v>
      </c>
      <c r="F243" s="10" t="s">
        <v>209</v>
      </c>
      <c r="G243" s="10"/>
      <c r="H243" s="152"/>
      <c r="I243" s="155"/>
      <c r="J243" s="106"/>
      <c r="K243" s="94"/>
      <c r="L243" s="180"/>
      <c r="M243" s="173"/>
      <c r="N243" s="106"/>
      <c r="O243" s="106"/>
      <c r="P243" s="63"/>
      <c r="Q243" s="162"/>
      <c r="R243" s="164"/>
      <c r="S243" s="62"/>
      <c r="T243" s="63"/>
      <c r="U243" s="62"/>
      <c r="V243" s="177"/>
      <c r="W243" s="171"/>
      <c r="X243" s="62"/>
      <c r="Y243" s="45"/>
      <c r="Z243" s="44"/>
      <c r="AA243" s="100">
        <f>Y243/AP243</f>
        <v>0</v>
      </c>
      <c r="AB243" s="100">
        <f>AS243/AP243</f>
        <v>0</v>
      </c>
      <c r="AC243" s="123"/>
      <c r="AD243" s="123"/>
      <c r="AE243" s="123"/>
      <c r="AF243" s="123"/>
      <c r="AG243" s="18">
        <v>26</v>
      </c>
      <c r="AH243" s="69" t="s">
        <v>301</v>
      </c>
      <c r="AI243" s="243" t="s">
        <v>64</v>
      </c>
      <c r="AJ243" s="243" t="s">
        <v>419</v>
      </c>
      <c r="AK243" s="244" t="s">
        <v>292</v>
      </c>
      <c r="AL243" s="43" t="str">
        <f t="shared" si="66"/>
        <v>-</v>
      </c>
      <c r="AM243" s="43">
        <f t="shared" si="71"/>
        <v>0</v>
      </c>
      <c r="AN243" s="193">
        <f t="shared" si="71"/>
        <v>0</v>
      </c>
      <c r="AO243" s="264">
        <f t="shared" si="58"/>
        <v>510</v>
      </c>
      <c r="AP243" s="265">
        <f>BJ243</f>
        <v>1440</v>
      </c>
      <c r="AQ243" s="26" t="str">
        <f t="shared" si="56"/>
        <v>KAUWINCH RIVERChum</v>
      </c>
      <c r="AR243" s="26">
        <f t="shared" si="59"/>
        <v>0</v>
      </c>
      <c r="AS243" s="33">
        <f t="shared" si="67"/>
        <v>0</v>
      </c>
      <c r="AX243" s="47" t="str">
        <f t="shared" si="60"/>
        <v>KAUWINCH RIVERChum</v>
      </c>
      <c r="AY243" s="49">
        <f t="shared" si="61"/>
        <v>0</v>
      </c>
      <c r="AZ243" s="49">
        <f t="shared" si="62"/>
        <v>0</v>
      </c>
      <c r="BA243" s="31">
        <v>2016</v>
      </c>
      <c r="BB243" s="188" t="str">
        <f t="shared" si="63"/>
        <v>KCFN/LGL</v>
      </c>
      <c r="BC243" s="188" t="str">
        <f t="shared" si="68"/>
        <v xml:space="preserve"> </v>
      </c>
      <c r="BD243" s="188" t="str">
        <f t="shared" si="69"/>
        <v xml:space="preserve"> </v>
      </c>
      <c r="BE243" s="188" t="str">
        <f t="shared" si="70"/>
        <v xml:space="preserve"> </v>
      </c>
      <c r="BF243" s="50" t="str">
        <f t="shared" si="55"/>
        <v>KAUWINCH RIVER_Chum</v>
      </c>
      <c r="BG243" s="50">
        <f>IFERROR(VLOOKUP(BF243,'[1]WCVI Esc'!$C$5:$W$534,18,FALSE),"-")</f>
        <v>506</v>
      </c>
      <c r="BH243" s="50">
        <f t="shared" si="64"/>
        <v>510</v>
      </c>
      <c r="BI243" s="50">
        <f>IFERROR(VLOOKUP(BF243,'[1]WCVI Esc'!$C$5:$W$534,19,FALSE),"-")</f>
        <v>1441.090909090909</v>
      </c>
      <c r="BJ243" s="50">
        <f t="shared" si="65"/>
        <v>1440</v>
      </c>
    </row>
    <row r="244" spans="1:65" hidden="1" x14ac:dyDescent="0.2">
      <c r="A244" s="28">
        <v>3</v>
      </c>
      <c r="B244" s="28">
        <v>5</v>
      </c>
      <c r="C244" s="11">
        <v>26</v>
      </c>
      <c r="D244" s="148" t="s">
        <v>301</v>
      </c>
      <c r="E244" s="10" t="s">
        <v>64</v>
      </c>
      <c r="F244" s="10" t="s">
        <v>210</v>
      </c>
      <c r="G244" s="10"/>
      <c r="H244" s="152"/>
      <c r="I244" s="155"/>
      <c r="J244" s="106"/>
      <c r="K244" s="94"/>
      <c r="L244" s="180"/>
      <c r="M244" s="173"/>
      <c r="N244" s="106"/>
      <c r="O244" s="106"/>
      <c r="P244" s="63"/>
      <c r="Q244" s="162"/>
      <c r="R244" s="164"/>
      <c r="S244" s="62"/>
      <c r="T244" s="63"/>
      <c r="U244" s="62"/>
      <c r="V244" s="177"/>
      <c r="W244" s="171"/>
      <c r="X244" s="62"/>
      <c r="Y244" s="45"/>
      <c r="Z244" s="44"/>
      <c r="AA244" s="100">
        <f>Y244/AP244</f>
        <v>0</v>
      </c>
      <c r="AB244" s="100">
        <f>AS244/AP244</f>
        <v>0</v>
      </c>
      <c r="AC244" s="123">
        <v>3</v>
      </c>
      <c r="AD244" s="123"/>
      <c r="AE244" s="123"/>
      <c r="AF244" s="123">
        <f>Y244</f>
        <v>0</v>
      </c>
      <c r="AG244" s="18">
        <v>26</v>
      </c>
      <c r="AH244" s="69" t="s">
        <v>301</v>
      </c>
      <c r="AI244" s="243" t="s">
        <v>64</v>
      </c>
      <c r="AJ244" s="243" t="s">
        <v>419</v>
      </c>
      <c r="AK244" s="244" t="s">
        <v>292</v>
      </c>
      <c r="AL244" s="43" t="str">
        <f t="shared" si="66"/>
        <v>-</v>
      </c>
      <c r="AM244" s="43">
        <f t="shared" si="71"/>
        <v>0</v>
      </c>
      <c r="AN244" s="193">
        <f t="shared" si="71"/>
        <v>0</v>
      </c>
      <c r="AO244" s="264">
        <f t="shared" si="58"/>
        <v>20</v>
      </c>
      <c r="AP244" s="265">
        <f>BJ244</f>
        <v>110</v>
      </c>
      <c r="AQ244" s="26" t="str">
        <f t="shared" si="56"/>
        <v>KAUWINCH RIVERChinook</v>
      </c>
      <c r="AR244" s="26">
        <f t="shared" si="59"/>
        <v>0</v>
      </c>
      <c r="AS244" s="33">
        <f t="shared" si="67"/>
        <v>0</v>
      </c>
      <c r="AX244" s="47" t="str">
        <f t="shared" si="60"/>
        <v>KAUWINCH RIVERChinook</v>
      </c>
      <c r="AY244" s="49">
        <f t="shared" si="61"/>
        <v>0</v>
      </c>
      <c r="AZ244" s="49">
        <f t="shared" si="62"/>
        <v>0</v>
      </c>
      <c r="BA244" s="31">
        <v>2016</v>
      </c>
      <c r="BB244" s="188" t="str">
        <f t="shared" si="63"/>
        <v>KCFN/LGL</v>
      </c>
      <c r="BC244" s="188" t="str">
        <f t="shared" si="68"/>
        <v xml:space="preserve"> </v>
      </c>
      <c r="BD244" s="188" t="str">
        <f t="shared" si="69"/>
        <v xml:space="preserve"> </v>
      </c>
      <c r="BE244" s="188" t="str">
        <f t="shared" si="70"/>
        <v xml:space="preserve"> </v>
      </c>
      <c r="BF244" s="50" t="str">
        <f t="shared" si="55"/>
        <v>KAUWINCH RIVER_Chinook</v>
      </c>
      <c r="BG244" s="50">
        <f>IFERROR(VLOOKUP(BF244,'[1]WCVI Esc'!$C$5:$W$534,18,FALSE),"-")</f>
        <v>17</v>
      </c>
      <c r="BH244" s="50">
        <f t="shared" si="64"/>
        <v>20</v>
      </c>
      <c r="BI244" s="50">
        <f>IFERROR(VLOOKUP(BF244,'[1]WCVI Esc'!$C$5:$W$534,19,FALSE),"-")</f>
        <v>109.66666666666667</v>
      </c>
      <c r="BJ244" s="50">
        <f t="shared" si="65"/>
        <v>110</v>
      </c>
      <c r="BK244">
        <v>3</v>
      </c>
      <c r="BL244" s="17" t="s">
        <v>460</v>
      </c>
      <c r="BM244" s="31">
        <v>1</v>
      </c>
    </row>
    <row r="245" spans="1:65" hidden="1" x14ac:dyDescent="0.2">
      <c r="A245" s="28">
        <v>3</v>
      </c>
      <c r="B245" s="28">
        <v>6</v>
      </c>
      <c r="C245" s="11">
        <v>26</v>
      </c>
      <c r="D245" s="148" t="s">
        <v>301</v>
      </c>
      <c r="E245" s="10" t="s">
        <v>64</v>
      </c>
      <c r="F245" s="10" t="s">
        <v>211</v>
      </c>
      <c r="G245" s="10"/>
      <c r="H245" s="152"/>
      <c r="I245" s="155"/>
      <c r="J245" s="106"/>
      <c r="K245" s="94"/>
      <c r="L245" s="180"/>
      <c r="M245" s="173"/>
      <c r="N245" s="106"/>
      <c r="O245" s="106"/>
      <c r="P245" s="63"/>
      <c r="Q245" s="162"/>
      <c r="R245" s="164"/>
      <c r="S245" s="62"/>
      <c r="T245" s="63"/>
      <c r="U245" s="62"/>
      <c r="V245" s="177"/>
      <c r="W245" s="171"/>
      <c r="X245" s="62"/>
      <c r="Y245" s="45"/>
      <c r="Z245" s="44"/>
      <c r="AA245" s="100"/>
      <c r="AB245" s="100"/>
      <c r="AG245" s="18">
        <v>26</v>
      </c>
      <c r="AH245" s="69" t="s">
        <v>301</v>
      </c>
      <c r="AI245" s="243" t="s">
        <v>64</v>
      </c>
      <c r="AJ245" s="243" t="s">
        <v>419</v>
      </c>
      <c r="AK245" s="244" t="s">
        <v>292</v>
      </c>
      <c r="AL245" s="43" t="str">
        <f t="shared" si="66"/>
        <v>-</v>
      </c>
      <c r="AM245" s="43">
        <f t="shared" si="71"/>
        <v>0</v>
      </c>
      <c r="AN245" s="193">
        <f t="shared" si="71"/>
        <v>0</v>
      </c>
      <c r="AO245" s="264" t="str">
        <f t="shared" si="58"/>
        <v>-</v>
      </c>
      <c r="AP245" s="265"/>
      <c r="AQ245" s="26" t="str">
        <f t="shared" si="56"/>
        <v>KAUWINCH RIVERSteelhead</v>
      </c>
      <c r="AR245" s="26">
        <f t="shared" si="59"/>
        <v>0</v>
      </c>
      <c r="AS245" s="33">
        <f t="shared" si="67"/>
        <v>0</v>
      </c>
      <c r="AX245" s="47" t="str">
        <f t="shared" si="60"/>
        <v>KAUWINCH RIVERSteelhead</v>
      </c>
      <c r="AY245" s="49">
        <f t="shared" si="61"/>
        <v>0</v>
      </c>
      <c r="AZ245" s="49">
        <f t="shared" si="62"/>
        <v>0</v>
      </c>
      <c r="BA245" s="31">
        <v>0</v>
      </c>
      <c r="BB245" s="188" t="str">
        <f t="shared" si="63"/>
        <v>KCFN/LGL</v>
      </c>
      <c r="BC245" s="188" t="str">
        <f t="shared" si="68"/>
        <v xml:space="preserve"> </v>
      </c>
      <c r="BD245" s="188" t="str">
        <f t="shared" si="69"/>
        <v xml:space="preserve"> </v>
      </c>
      <c r="BE245" s="188" t="str">
        <f t="shared" si="70"/>
        <v xml:space="preserve"> </v>
      </c>
      <c r="BF245" s="50" t="str">
        <f t="shared" si="55"/>
        <v>KAUWINCH RIVER_Steelhead</v>
      </c>
      <c r="BG245" s="50" t="str">
        <f>IFERROR(VLOOKUP(BF245,'[1]WCVI Esc'!$C$5:$W$534,18,FALSE),"-")</f>
        <v>-</v>
      </c>
      <c r="BH245" s="50" t="str">
        <f t="shared" si="64"/>
        <v>-</v>
      </c>
      <c r="BI245" s="50" t="str">
        <f>IFERROR(VLOOKUP(BF245,'[1]WCVI Esc'!$C$5:$W$534,19,FALSE),"-")</f>
        <v>-</v>
      </c>
      <c r="BJ245" s="50" t="str">
        <f t="shared" si="65"/>
        <v>-</v>
      </c>
    </row>
    <row r="246" spans="1:65" hidden="1" x14ac:dyDescent="0.2">
      <c r="A246" s="29">
        <v>3</v>
      </c>
      <c r="B246" s="29">
        <v>1</v>
      </c>
      <c r="C246" s="13">
        <v>26</v>
      </c>
      <c r="D246" s="148" t="s">
        <v>301</v>
      </c>
      <c r="E246" s="10" t="s">
        <v>247</v>
      </c>
      <c r="F246" s="10" t="s">
        <v>207</v>
      </c>
      <c r="G246" s="10"/>
      <c r="H246" s="152"/>
      <c r="I246" s="155"/>
      <c r="J246" s="106"/>
      <c r="K246" s="94"/>
      <c r="L246" s="180"/>
      <c r="M246" s="173"/>
      <c r="N246" s="106"/>
      <c r="O246" s="106"/>
      <c r="P246" s="63"/>
      <c r="Q246" s="162"/>
      <c r="R246" s="164"/>
      <c r="S246" s="62"/>
      <c r="T246" s="63"/>
      <c r="U246" s="62"/>
      <c r="V246" s="177"/>
      <c r="W246" s="171"/>
      <c r="X246" s="62"/>
      <c r="Y246" s="45"/>
      <c r="Z246" s="45"/>
      <c r="AA246" s="100"/>
      <c r="AB246" s="100"/>
      <c r="AC246" s="100"/>
      <c r="AD246" s="100"/>
      <c r="AE246" s="100"/>
      <c r="AF246" s="100"/>
      <c r="AG246" s="69">
        <v>26</v>
      </c>
      <c r="AH246" s="69" t="s">
        <v>301</v>
      </c>
      <c r="AI246" s="243" t="s">
        <v>247</v>
      </c>
      <c r="AJ246" s="243" t="s">
        <v>419</v>
      </c>
      <c r="AK246" s="244" t="s">
        <v>292</v>
      </c>
      <c r="AL246" s="43" t="str">
        <f t="shared" si="66"/>
        <v>-</v>
      </c>
      <c r="AM246" s="43">
        <f t="shared" si="71"/>
        <v>0</v>
      </c>
      <c r="AN246" s="193">
        <f t="shared" si="71"/>
        <v>0</v>
      </c>
      <c r="AO246" s="270" t="str">
        <f t="shared" si="58"/>
        <v>-</v>
      </c>
      <c r="AP246" s="266"/>
      <c r="AQ246" s="26" t="str">
        <f t="shared" si="56"/>
        <v>POWER RIVER/LAKESockeye</v>
      </c>
      <c r="AR246" s="26">
        <f t="shared" si="59"/>
        <v>0</v>
      </c>
      <c r="AS246" s="33">
        <f t="shared" si="67"/>
        <v>0</v>
      </c>
      <c r="AW246" s="34"/>
      <c r="AX246" s="47" t="str">
        <f t="shared" si="60"/>
        <v>POWER RIVER/LAKESockeye</v>
      </c>
      <c r="AY246" s="49">
        <f t="shared" si="61"/>
        <v>0</v>
      </c>
      <c r="AZ246" s="49">
        <f t="shared" si="62"/>
        <v>0</v>
      </c>
      <c r="BA246" s="31">
        <v>2016</v>
      </c>
      <c r="BB246" s="188" t="str">
        <f t="shared" si="63"/>
        <v>KCFN/LGL</v>
      </c>
      <c r="BC246" s="188" t="str">
        <f t="shared" si="68"/>
        <v xml:space="preserve"> </v>
      </c>
      <c r="BD246" s="188" t="str">
        <f t="shared" si="69"/>
        <v xml:space="preserve"> </v>
      </c>
      <c r="BE246" s="188" t="str">
        <f t="shared" si="70"/>
        <v xml:space="preserve"> </v>
      </c>
      <c r="BF246" s="50" t="str">
        <f t="shared" si="55"/>
        <v>POWER RIVER/LAKE_Sockeye</v>
      </c>
      <c r="BG246" s="50" t="str">
        <f>IFERROR(VLOOKUP(BF246,'[1]WCVI Esc'!$C$5:$W$514,18,FALSE),"-")</f>
        <v>-</v>
      </c>
      <c r="BH246" s="50" t="str">
        <f t="shared" si="64"/>
        <v>-</v>
      </c>
      <c r="BI246" s="50" t="str">
        <f>IFERROR(VLOOKUP(BF246,'[1]WCVI Esc'!$C$5:$W$514,19,FALSE),"-")</f>
        <v>-</v>
      </c>
      <c r="BJ246" s="50" t="str">
        <f t="shared" si="65"/>
        <v>-</v>
      </c>
    </row>
    <row r="247" spans="1:65" hidden="1" x14ac:dyDescent="0.2">
      <c r="A247" s="28">
        <v>3</v>
      </c>
      <c r="B247" s="28">
        <v>2</v>
      </c>
      <c r="C247" s="11">
        <v>26</v>
      </c>
      <c r="D247" s="148" t="s">
        <v>301</v>
      </c>
      <c r="E247" s="10" t="s">
        <v>247</v>
      </c>
      <c r="F247" s="10" t="s">
        <v>219</v>
      </c>
      <c r="G247" s="10"/>
      <c r="H247" s="152"/>
      <c r="I247" s="155"/>
      <c r="J247" s="106"/>
      <c r="K247" s="94"/>
      <c r="L247" s="180"/>
      <c r="M247" s="173"/>
      <c r="N247" s="106"/>
      <c r="O247" s="106"/>
      <c r="P247" s="63"/>
      <c r="Q247" s="162"/>
      <c r="R247" s="164"/>
      <c r="S247" s="62"/>
      <c r="T247" s="63"/>
      <c r="U247" s="62"/>
      <c r="V247" s="177"/>
      <c r="W247" s="171"/>
      <c r="X247" s="62"/>
      <c r="Y247" s="45"/>
      <c r="Z247" s="45"/>
      <c r="AA247" s="100"/>
      <c r="AB247" s="100"/>
      <c r="AC247" s="100"/>
      <c r="AD247" s="100"/>
      <c r="AE247" s="100"/>
      <c r="AF247" s="100"/>
      <c r="AG247" s="18">
        <v>26</v>
      </c>
      <c r="AH247" s="69" t="s">
        <v>301</v>
      </c>
      <c r="AI247" s="243" t="s">
        <v>247</v>
      </c>
      <c r="AJ247" s="243" t="s">
        <v>419</v>
      </c>
      <c r="AK247" s="244" t="s">
        <v>292</v>
      </c>
      <c r="AL247" s="43" t="str">
        <f t="shared" si="66"/>
        <v>-</v>
      </c>
      <c r="AM247" s="43">
        <f t="shared" si="71"/>
        <v>0</v>
      </c>
      <c r="AN247" s="193">
        <f t="shared" si="71"/>
        <v>0</v>
      </c>
      <c r="AO247" s="270" t="str">
        <f t="shared" si="58"/>
        <v>-</v>
      </c>
      <c r="AP247" s="266"/>
      <c r="AQ247" s="26" t="str">
        <f t="shared" si="56"/>
        <v>POWER RIVER/LAKECoho</v>
      </c>
      <c r="AR247" s="26">
        <f t="shared" si="59"/>
        <v>0</v>
      </c>
      <c r="AS247" s="33">
        <f t="shared" si="67"/>
        <v>0</v>
      </c>
      <c r="AW247" s="34"/>
      <c r="AX247" s="47" t="str">
        <f t="shared" si="60"/>
        <v>POWER RIVER/LAKECoho</v>
      </c>
      <c r="AY247" s="49">
        <f t="shared" si="61"/>
        <v>0</v>
      </c>
      <c r="AZ247" s="49">
        <f t="shared" si="62"/>
        <v>0</v>
      </c>
      <c r="BA247" s="31">
        <v>2016</v>
      </c>
      <c r="BB247" s="188" t="str">
        <f t="shared" si="63"/>
        <v>KCFN/LGL</v>
      </c>
      <c r="BC247" s="188" t="str">
        <f t="shared" si="68"/>
        <v xml:space="preserve"> </v>
      </c>
      <c r="BD247" s="188" t="str">
        <f t="shared" si="69"/>
        <v xml:space="preserve"> </v>
      </c>
      <c r="BE247" s="188" t="str">
        <f t="shared" si="70"/>
        <v xml:space="preserve"> </v>
      </c>
      <c r="BF247" s="50" t="str">
        <f t="shared" si="55"/>
        <v>POWER RIVER/LAKE_Coho</v>
      </c>
      <c r="BG247" s="50" t="str">
        <f>IFERROR(VLOOKUP(BF247,'[1]WCVI Esc'!$C$5:$W$514,18,FALSE),"-")</f>
        <v>-</v>
      </c>
      <c r="BH247" s="50" t="str">
        <f t="shared" si="64"/>
        <v>-</v>
      </c>
      <c r="BI247" s="50" t="str">
        <f>IFERROR(VLOOKUP(BF247,'[1]WCVI Esc'!$C$5:$W$514,19,FALSE),"-")</f>
        <v>-</v>
      </c>
      <c r="BJ247" s="50" t="str">
        <f t="shared" si="65"/>
        <v>-</v>
      </c>
    </row>
    <row r="248" spans="1:65" hidden="1" x14ac:dyDescent="0.2">
      <c r="A248" s="28">
        <v>3</v>
      </c>
      <c r="B248" s="28">
        <v>3</v>
      </c>
      <c r="C248" s="11">
        <v>26</v>
      </c>
      <c r="D248" s="148" t="s">
        <v>301</v>
      </c>
      <c r="E248" s="10" t="s">
        <v>247</v>
      </c>
      <c r="F248" s="10" t="s">
        <v>208</v>
      </c>
      <c r="G248" s="10"/>
      <c r="H248" s="152"/>
      <c r="I248" s="155"/>
      <c r="J248" s="106"/>
      <c r="K248" s="94"/>
      <c r="L248" s="180"/>
      <c r="M248" s="173"/>
      <c r="N248" s="106"/>
      <c r="O248" s="106"/>
      <c r="P248" s="63"/>
      <c r="Q248" s="162"/>
      <c r="R248" s="164"/>
      <c r="S248" s="62"/>
      <c r="T248" s="63"/>
      <c r="U248" s="62"/>
      <c r="V248" s="177"/>
      <c r="W248" s="171"/>
      <c r="X248" s="62"/>
      <c r="Y248" s="45"/>
      <c r="Z248" s="45"/>
      <c r="AA248" s="100"/>
      <c r="AB248" s="100"/>
      <c r="AC248" s="100"/>
      <c r="AD248" s="100"/>
      <c r="AE248" s="100"/>
      <c r="AF248" s="100"/>
      <c r="AG248" s="18">
        <v>26</v>
      </c>
      <c r="AH248" s="69" t="s">
        <v>301</v>
      </c>
      <c r="AI248" s="243" t="s">
        <v>247</v>
      </c>
      <c r="AJ248" s="243" t="s">
        <v>419</v>
      </c>
      <c r="AK248" s="244" t="s">
        <v>292</v>
      </c>
      <c r="AL248" s="43" t="str">
        <f t="shared" si="66"/>
        <v>-</v>
      </c>
      <c r="AM248" s="43">
        <f t="shared" si="71"/>
        <v>0</v>
      </c>
      <c r="AN248" s="193">
        <f t="shared" si="71"/>
        <v>0</v>
      </c>
      <c r="AO248" s="270" t="str">
        <f t="shared" si="58"/>
        <v>-</v>
      </c>
      <c r="AP248" s="266"/>
      <c r="AQ248" s="26" t="str">
        <f t="shared" si="56"/>
        <v>POWER RIVER/LAKEPink</v>
      </c>
      <c r="AR248" s="26">
        <f t="shared" si="59"/>
        <v>0</v>
      </c>
      <c r="AS248" s="33">
        <f t="shared" si="67"/>
        <v>0</v>
      </c>
      <c r="AW248" s="34"/>
      <c r="AX248" s="47" t="str">
        <f t="shared" si="60"/>
        <v>POWER RIVER/LAKEPink</v>
      </c>
      <c r="AY248" s="49">
        <f t="shared" si="61"/>
        <v>0</v>
      </c>
      <c r="AZ248" s="49">
        <f t="shared" si="62"/>
        <v>0</v>
      </c>
      <c r="BA248" s="31">
        <v>0</v>
      </c>
      <c r="BB248" s="188" t="str">
        <f t="shared" si="63"/>
        <v>KCFN/LGL</v>
      </c>
      <c r="BC248" s="188" t="str">
        <f t="shared" si="68"/>
        <v xml:space="preserve"> </v>
      </c>
      <c r="BD248" s="188" t="str">
        <f t="shared" si="69"/>
        <v xml:space="preserve"> </v>
      </c>
      <c r="BE248" s="188" t="str">
        <f t="shared" si="70"/>
        <v xml:space="preserve"> </v>
      </c>
      <c r="BF248" s="50" t="str">
        <f t="shared" si="55"/>
        <v>POWER RIVER/LAKE_Pink</v>
      </c>
      <c r="BG248" s="50" t="str">
        <f>IFERROR(VLOOKUP(BF248,'[1]WCVI Esc'!$C$5:$W$514,18,FALSE),"-")</f>
        <v>-</v>
      </c>
      <c r="BH248" s="50" t="str">
        <f t="shared" si="64"/>
        <v>-</v>
      </c>
      <c r="BI248" s="50" t="str">
        <f>IFERROR(VLOOKUP(BF248,'[1]WCVI Esc'!$C$5:$W$514,19,FALSE),"-")</f>
        <v>-</v>
      </c>
      <c r="BJ248" s="50" t="str">
        <f t="shared" si="65"/>
        <v>-</v>
      </c>
    </row>
    <row r="249" spans="1:65" hidden="1" x14ac:dyDescent="0.2">
      <c r="A249" s="28">
        <v>3</v>
      </c>
      <c r="B249" s="28">
        <v>4</v>
      </c>
      <c r="C249" s="11">
        <v>26</v>
      </c>
      <c r="D249" s="148" t="s">
        <v>301</v>
      </c>
      <c r="E249" s="10" t="s">
        <v>247</v>
      </c>
      <c r="F249" s="10" t="s">
        <v>209</v>
      </c>
      <c r="G249" s="10"/>
      <c r="H249" s="152"/>
      <c r="I249" s="155"/>
      <c r="J249" s="106"/>
      <c r="K249" s="94"/>
      <c r="L249" s="180"/>
      <c r="M249" s="173"/>
      <c r="N249" s="106"/>
      <c r="O249" s="106"/>
      <c r="P249" s="63"/>
      <c r="Q249" s="162"/>
      <c r="R249" s="164"/>
      <c r="S249" s="62"/>
      <c r="T249" s="63"/>
      <c r="U249" s="62"/>
      <c r="V249" s="177"/>
      <c r="W249" s="171"/>
      <c r="X249" s="62"/>
      <c r="Y249" s="45"/>
      <c r="Z249" s="45"/>
      <c r="AA249" s="100"/>
      <c r="AB249" s="100"/>
      <c r="AC249" s="100"/>
      <c r="AD249" s="100"/>
      <c r="AE249" s="100"/>
      <c r="AF249" s="100"/>
      <c r="AG249" s="18">
        <v>26</v>
      </c>
      <c r="AH249" s="69" t="s">
        <v>301</v>
      </c>
      <c r="AI249" s="243" t="s">
        <v>247</v>
      </c>
      <c r="AJ249" s="243" t="s">
        <v>419</v>
      </c>
      <c r="AK249" s="244" t="s">
        <v>292</v>
      </c>
      <c r="AL249" s="43" t="str">
        <f t="shared" si="66"/>
        <v>-</v>
      </c>
      <c r="AM249" s="43">
        <f t="shared" si="71"/>
        <v>0</v>
      </c>
      <c r="AN249" s="193">
        <f t="shared" si="71"/>
        <v>0</v>
      </c>
      <c r="AO249" s="270" t="str">
        <f t="shared" si="58"/>
        <v>-</v>
      </c>
      <c r="AP249" s="266"/>
      <c r="AQ249" s="26" t="str">
        <f t="shared" si="56"/>
        <v>POWER RIVER/LAKEChum</v>
      </c>
      <c r="AR249" s="26">
        <f t="shared" si="59"/>
        <v>0</v>
      </c>
      <c r="AS249" s="33">
        <f t="shared" si="67"/>
        <v>0</v>
      </c>
      <c r="AW249" s="34"/>
      <c r="AX249" s="47" t="str">
        <f t="shared" si="60"/>
        <v>POWER RIVER/LAKEChum</v>
      </c>
      <c r="AY249" s="49">
        <f t="shared" si="61"/>
        <v>0</v>
      </c>
      <c r="AZ249" s="49">
        <f t="shared" si="62"/>
        <v>0</v>
      </c>
      <c r="BA249" s="31">
        <v>2016</v>
      </c>
      <c r="BB249" s="188" t="str">
        <f t="shared" si="63"/>
        <v>KCFN/LGL</v>
      </c>
      <c r="BC249" s="188" t="str">
        <f t="shared" si="68"/>
        <v xml:space="preserve"> </v>
      </c>
      <c r="BD249" s="188" t="str">
        <f t="shared" si="69"/>
        <v xml:space="preserve"> </v>
      </c>
      <c r="BE249" s="188" t="str">
        <f t="shared" si="70"/>
        <v xml:space="preserve"> </v>
      </c>
      <c r="BF249" s="50" t="str">
        <f t="shared" si="55"/>
        <v>POWER RIVER/LAKE_Chum</v>
      </c>
      <c r="BG249" s="50" t="str">
        <f>IFERROR(VLOOKUP(BF249,'[1]WCVI Esc'!$C$5:$W$514,18,FALSE),"-")</f>
        <v>-</v>
      </c>
      <c r="BH249" s="50" t="str">
        <f t="shared" si="64"/>
        <v>-</v>
      </c>
      <c r="BI249" s="50" t="str">
        <f>IFERROR(VLOOKUP(BF249,'[1]WCVI Esc'!$C$5:$W$514,19,FALSE),"-")</f>
        <v>-</v>
      </c>
      <c r="BJ249" s="50" t="str">
        <f t="shared" si="65"/>
        <v>-</v>
      </c>
    </row>
    <row r="250" spans="1:65" hidden="1" x14ac:dyDescent="0.2">
      <c r="A250" s="28">
        <v>3</v>
      </c>
      <c r="B250" s="28">
        <v>5</v>
      </c>
      <c r="C250" s="11">
        <v>26</v>
      </c>
      <c r="D250" s="148" t="s">
        <v>301</v>
      </c>
      <c r="E250" s="10" t="s">
        <v>247</v>
      </c>
      <c r="F250" s="10" t="s">
        <v>210</v>
      </c>
      <c r="G250" s="10"/>
      <c r="H250" s="152"/>
      <c r="I250" s="155"/>
      <c r="J250" s="106"/>
      <c r="K250" s="94"/>
      <c r="L250" s="180"/>
      <c r="M250" s="173"/>
      <c r="N250" s="106"/>
      <c r="O250" s="106"/>
      <c r="P250" s="63"/>
      <c r="Q250" s="162"/>
      <c r="R250" s="164"/>
      <c r="S250" s="62"/>
      <c r="T250" s="63"/>
      <c r="U250" s="62"/>
      <c r="V250" s="177"/>
      <c r="W250" s="171"/>
      <c r="X250" s="62"/>
      <c r="Y250" s="45"/>
      <c r="Z250" s="45"/>
      <c r="AA250" s="100"/>
      <c r="AB250" s="100"/>
      <c r="AC250" s="100"/>
      <c r="AD250" s="100"/>
      <c r="AE250" s="100"/>
      <c r="AF250" s="100"/>
      <c r="AG250" s="18">
        <v>26</v>
      </c>
      <c r="AH250" s="69" t="s">
        <v>301</v>
      </c>
      <c r="AI250" s="243" t="s">
        <v>247</v>
      </c>
      <c r="AJ250" s="243" t="s">
        <v>419</v>
      </c>
      <c r="AK250" s="244" t="s">
        <v>292</v>
      </c>
      <c r="AL250" s="43" t="str">
        <f t="shared" si="66"/>
        <v>-</v>
      </c>
      <c r="AM250" s="43">
        <f t="shared" si="71"/>
        <v>0</v>
      </c>
      <c r="AN250" s="193">
        <f t="shared" si="71"/>
        <v>0</v>
      </c>
      <c r="AO250" s="270" t="str">
        <f t="shared" si="58"/>
        <v>-</v>
      </c>
      <c r="AP250" s="266"/>
      <c r="AQ250" s="26" t="str">
        <f t="shared" si="56"/>
        <v>POWER RIVER/LAKEChinook</v>
      </c>
      <c r="AR250" s="26">
        <f t="shared" si="59"/>
        <v>0</v>
      </c>
      <c r="AS250" s="33">
        <f t="shared" si="67"/>
        <v>0</v>
      </c>
      <c r="AW250" s="34"/>
      <c r="AX250" s="47" t="str">
        <f t="shared" si="60"/>
        <v>POWER RIVER/LAKEChinook</v>
      </c>
      <c r="AY250" s="49">
        <f t="shared" si="61"/>
        <v>0</v>
      </c>
      <c r="AZ250" s="49">
        <f t="shared" si="62"/>
        <v>0</v>
      </c>
      <c r="BA250" s="31">
        <v>2016</v>
      </c>
      <c r="BB250" s="188" t="str">
        <f t="shared" si="63"/>
        <v>KCFN/LGL</v>
      </c>
      <c r="BC250" s="188" t="str">
        <f t="shared" si="68"/>
        <v xml:space="preserve"> </v>
      </c>
      <c r="BD250" s="188" t="str">
        <f t="shared" si="69"/>
        <v xml:space="preserve"> </v>
      </c>
      <c r="BE250" s="188" t="str">
        <f t="shared" si="70"/>
        <v xml:space="preserve"> </v>
      </c>
      <c r="BF250" s="50" t="str">
        <f t="shared" si="55"/>
        <v>POWER RIVER/LAKE_Chinook</v>
      </c>
      <c r="BG250" s="50" t="str">
        <f>IFERROR(VLOOKUP(BF250,'[1]WCVI Esc'!$C$5:$W$514,18,FALSE),"-")</f>
        <v>-</v>
      </c>
      <c r="BH250" s="50" t="str">
        <f t="shared" si="64"/>
        <v>-</v>
      </c>
      <c r="BI250" s="50" t="str">
        <f>IFERROR(VLOOKUP(BF250,'[1]WCVI Esc'!$C$5:$W$514,19,FALSE),"-")</f>
        <v>-</v>
      </c>
      <c r="BJ250" s="50" t="str">
        <f t="shared" si="65"/>
        <v>-</v>
      </c>
      <c r="BK250">
        <v>3</v>
      </c>
      <c r="BL250" s="17" t="s">
        <v>459</v>
      </c>
      <c r="BM250" s="31">
        <v>1</v>
      </c>
    </row>
    <row r="251" spans="1:65" hidden="1" x14ac:dyDescent="0.2">
      <c r="A251" s="28">
        <v>3</v>
      </c>
      <c r="B251" s="28">
        <v>6</v>
      </c>
      <c r="C251" s="11">
        <v>26</v>
      </c>
      <c r="D251" s="148" t="s">
        <v>301</v>
      </c>
      <c r="E251" s="10" t="s">
        <v>247</v>
      </c>
      <c r="F251" s="10" t="s">
        <v>211</v>
      </c>
      <c r="G251" s="10"/>
      <c r="H251" s="152"/>
      <c r="I251" s="155"/>
      <c r="J251" s="106"/>
      <c r="K251" s="94"/>
      <c r="L251" s="180"/>
      <c r="M251" s="173"/>
      <c r="N251" s="106"/>
      <c r="O251" s="106"/>
      <c r="P251" s="63"/>
      <c r="Q251" s="162"/>
      <c r="R251" s="164"/>
      <c r="S251" s="62"/>
      <c r="T251" s="63"/>
      <c r="U251" s="62"/>
      <c r="V251" s="177"/>
      <c r="W251" s="171"/>
      <c r="X251" s="62"/>
      <c r="Y251" s="45"/>
      <c r="Z251" s="45"/>
      <c r="AA251" s="100"/>
      <c r="AB251" s="100"/>
      <c r="AC251" s="100"/>
      <c r="AD251" s="100"/>
      <c r="AE251" s="100"/>
      <c r="AF251" s="100"/>
      <c r="AG251" s="18">
        <v>26</v>
      </c>
      <c r="AH251" s="69" t="s">
        <v>301</v>
      </c>
      <c r="AI251" s="243" t="s">
        <v>247</v>
      </c>
      <c r="AJ251" s="243" t="s">
        <v>419</v>
      </c>
      <c r="AK251" s="244" t="s">
        <v>292</v>
      </c>
      <c r="AL251" s="43" t="str">
        <f t="shared" si="66"/>
        <v>-</v>
      </c>
      <c r="AM251" s="43">
        <f t="shared" si="71"/>
        <v>0</v>
      </c>
      <c r="AN251" s="193">
        <f t="shared" si="71"/>
        <v>0</v>
      </c>
      <c r="AO251" s="270" t="str">
        <f t="shared" si="58"/>
        <v>-</v>
      </c>
      <c r="AP251" s="266"/>
      <c r="AQ251" s="26" t="str">
        <f t="shared" si="56"/>
        <v>POWER RIVER/LAKESteelhead</v>
      </c>
      <c r="AR251" s="26">
        <f t="shared" si="59"/>
        <v>0</v>
      </c>
      <c r="AS251" s="33">
        <f t="shared" si="67"/>
        <v>0</v>
      </c>
      <c r="AW251" s="34"/>
      <c r="AX251" s="47" t="str">
        <f t="shared" si="60"/>
        <v>POWER RIVER/LAKESteelhead</v>
      </c>
      <c r="AY251" s="49">
        <f t="shared" si="61"/>
        <v>0</v>
      </c>
      <c r="AZ251" s="49">
        <f t="shared" si="62"/>
        <v>0</v>
      </c>
      <c r="BA251" s="31">
        <v>0</v>
      </c>
      <c r="BB251" s="188" t="str">
        <f t="shared" si="63"/>
        <v>KCFN/LGL</v>
      </c>
      <c r="BC251" s="188" t="str">
        <f t="shared" si="68"/>
        <v xml:space="preserve"> </v>
      </c>
      <c r="BD251" s="188" t="str">
        <f t="shared" si="69"/>
        <v xml:space="preserve"> </v>
      </c>
      <c r="BE251" s="188" t="str">
        <f t="shared" si="70"/>
        <v xml:space="preserve"> </v>
      </c>
      <c r="BF251" s="50" t="str">
        <f>CONCATENATE(E251,"_",F251)</f>
        <v>POWER RIVER/LAKE_Steelhead</v>
      </c>
      <c r="BG251" s="50" t="str">
        <f>IFERROR(VLOOKUP(BF251,'[1]WCVI Esc'!$C$5:$W$514,18,FALSE),"-")</f>
        <v>-</v>
      </c>
      <c r="BH251" s="50" t="str">
        <f t="shared" si="64"/>
        <v>-</v>
      </c>
      <c r="BI251" s="50" t="str">
        <f>IFERROR(VLOOKUP(BF251,'[1]WCVI Esc'!$C$5:$W$514,19,FALSE),"-")</f>
        <v>-</v>
      </c>
      <c r="BJ251" s="50" t="str">
        <f t="shared" si="65"/>
        <v>-</v>
      </c>
    </row>
    <row r="252" spans="1:65" ht="25.5" hidden="1" x14ac:dyDescent="0.2">
      <c r="A252" s="29">
        <v>3</v>
      </c>
      <c r="B252" s="59">
        <v>0</v>
      </c>
      <c r="C252" s="199">
        <v>0</v>
      </c>
      <c r="D252" s="199"/>
      <c r="E252" s="199" t="s">
        <v>15</v>
      </c>
      <c r="F252" s="203" t="s">
        <v>206</v>
      </c>
      <c r="G252" s="204" t="s">
        <v>332</v>
      </c>
      <c r="H252" s="206" t="s">
        <v>334</v>
      </c>
      <c r="I252" s="208" t="s">
        <v>333</v>
      </c>
      <c r="J252" s="204" t="s">
        <v>335</v>
      </c>
      <c r="K252" s="204" t="s">
        <v>336</v>
      </c>
      <c r="L252" s="226" t="s">
        <v>337</v>
      </c>
      <c r="M252" s="230" t="s">
        <v>338</v>
      </c>
      <c r="N252" s="204" t="s">
        <v>339</v>
      </c>
      <c r="O252" s="204" t="s">
        <v>340</v>
      </c>
      <c r="P252" s="204" t="s">
        <v>341</v>
      </c>
      <c r="Q252" s="206" t="s">
        <v>342</v>
      </c>
      <c r="R252" s="208" t="s">
        <v>343</v>
      </c>
      <c r="S252" s="204" t="s">
        <v>344</v>
      </c>
      <c r="T252" s="204" t="s">
        <v>345</v>
      </c>
      <c r="U252" s="204" t="s">
        <v>346</v>
      </c>
      <c r="V252" s="226" t="s">
        <v>347</v>
      </c>
      <c r="W252" s="230" t="s">
        <v>348</v>
      </c>
      <c r="X252" s="204" t="s">
        <v>349</v>
      </c>
      <c r="Y252" s="133"/>
      <c r="Z252" s="133"/>
      <c r="AA252" s="100"/>
      <c r="AB252" s="100"/>
      <c r="AC252" s="100"/>
      <c r="AD252" s="100"/>
      <c r="AE252" s="100"/>
      <c r="AF252" s="100"/>
      <c r="AG252" s="43"/>
      <c r="AH252" s="43"/>
      <c r="AI252" s="43"/>
      <c r="AJ252" s="43"/>
      <c r="AK252" s="246"/>
      <c r="AL252" s="43" t="str">
        <f t="shared" si="66"/>
        <v>-</v>
      </c>
      <c r="AM252" s="43"/>
      <c r="AN252" s="193"/>
      <c r="AO252" s="264"/>
      <c r="AP252" s="266"/>
      <c r="AQ252" s="26" t="str">
        <f t="shared" si="56"/>
        <v>SystemSpecies</v>
      </c>
      <c r="AR252" s="26"/>
      <c r="AS252" s="33"/>
      <c r="AW252" s="34"/>
      <c r="AX252" s="47" t="str">
        <f t="shared" si="60"/>
        <v>SystemSpecies</v>
      </c>
      <c r="AY252" s="49">
        <f t="shared" si="61"/>
        <v>0</v>
      </c>
      <c r="AZ252" s="49">
        <f t="shared" si="62"/>
        <v>0</v>
      </c>
      <c r="BA252" s="31">
        <v>0</v>
      </c>
      <c r="BB252" s="188">
        <f t="shared" si="63"/>
        <v>0</v>
      </c>
      <c r="BC252" s="188" t="str">
        <f t="shared" si="68"/>
        <v xml:space="preserve"> </v>
      </c>
      <c r="BD252" s="188" t="str">
        <f t="shared" si="69"/>
        <v xml:space="preserve"> </v>
      </c>
      <c r="BE252" s="188" t="str">
        <f t="shared" si="70"/>
        <v xml:space="preserve"> </v>
      </c>
      <c r="BF252" s="50" t="str">
        <f>CONCATENATE(E252,"_",F252)</f>
        <v>System_Species</v>
      </c>
      <c r="BG252" s="50" t="str">
        <f>IFERROR(VLOOKUP(BF252,'[1]WCVI Esc'!$C$5:$W$534,18,FALSE),"-")</f>
        <v>-</v>
      </c>
      <c r="BH252" s="50" t="str">
        <f t="shared" si="64"/>
        <v>-</v>
      </c>
      <c r="BI252" s="50" t="str">
        <f>IFERROR(VLOOKUP(BF252,'[1]WCVI Esc'!$C$5:$W$534,19,FALSE),"-")</f>
        <v>-</v>
      </c>
      <c r="BJ252" s="50" t="str">
        <f t="shared" si="65"/>
        <v>-</v>
      </c>
    </row>
    <row r="253" spans="1:65" ht="15" hidden="1" x14ac:dyDescent="0.25">
      <c r="A253" s="29">
        <v>3</v>
      </c>
      <c r="B253" s="197">
        <v>0</v>
      </c>
      <c r="C253" s="2">
        <v>0</v>
      </c>
      <c r="D253" s="198" t="s">
        <v>204</v>
      </c>
      <c r="E253" s="67"/>
      <c r="F253" s="202"/>
      <c r="G253" s="202"/>
      <c r="H253" s="205"/>
      <c r="I253" s="207"/>
      <c r="J253" s="202"/>
      <c r="K253" s="68"/>
      <c r="L253" s="227"/>
      <c r="M253" s="231"/>
      <c r="N253" s="212"/>
      <c r="O253" s="212"/>
      <c r="P253" s="212"/>
      <c r="Q253" s="209"/>
      <c r="R253" s="213"/>
      <c r="S253" s="215"/>
      <c r="T253" s="212"/>
      <c r="U253" s="67"/>
      <c r="V253" s="237"/>
      <c r="W253" s="239"/>
      <c r="X253" s="67"/>
      <c r="Y253" s="12"/>
      <c r="Z253" s="12"/>
      <c r="AA253" s="100"/>
      <c r="AB253" s="100"/>
      <c r="AC253" s="100"/>
      <c r="AD253" s="100"/>
      <c r="AE253" s="100"/>
      <c r="AF253" s="100"/>
      <c r="AG253" s="262"/>
      <c r="AH253" s="262"/>
      <c r="AI253" s="263"/>
      <c r="AJ253" s="263"/>
      <c r="AK253" s="246"/>
      <c r="AL253" s="43" t="str">
        <f t="shared" si="66"/>
        <v>-</v>
      </c>
      <c r="AM253" s="43"/>
      <c r="AN253" s="193"/>
      <c r="AO253" s="264"/>
      <c r="AP253" s="266"/>
      <c r="AQ253" s="26" t="str">
        <f t="shared" si="56"/>
        <v/>
      </c>
      <c r="AR253" s="26"/>
      <c r="AS253" s="33"/>
      <c r="AT253" s="34"/>
      <c r="AU253" s="34"/>
      <c r="AV253" s="35"/>
      <c r="AW253" s="34"/>
      <c r="AX253" s="47"/>
      <c r="AY253" s="49"/>
      <c r="AZ253" s="49"/>
      <c r="BA253" s="31">
        <v>0</v>
      </c>
      <c r="BB253" s="188">
        <f t="shared" si="63"/>
        <v>0</v>
      </c>
      <c r="BC253" s="188" t="str">
        <f t="shared" si="68"/>
        <v xml:space="preserve"> </v>
      </c>
      <c r="BD253" s="188" t="str">
        <f t="shared" si="69"/>
        <v xml:space="preserve"> </v>
      </c>
      <c r="BE253" s="188" t="str">
        <f t="shared" si="70"/>
        <v xml:space="preserve"> </v>
      </c>
      <c r="BF253" s="50"/>
      <c r="BG253" s="50" t="str">
        <f>IFERROR(VLOOKUP(BF253,'[1]WCVI Esc'!$C$5:$W$534,18,FALSE),"-")</f>
        <v>-</v>
      </c>
      <c r="BH253" s="50" t="str">
        <f t="shared" si="64"/>
        <v>-</v>
      </c>
      <c r="BI253" s="50" t="str">
        <f>IFERROR(VLOOKUP(BF253,'[1]WCVI Esc'!$C$5:$W$534,19,FALSE),"-")</f>
        <v>-</v>
      </c>
      <c r="BJ253" s="50" t="str">
        <f t="shared" si="65"/>
        <v>-</v>
      </c>
    </row>
    <row r="254" spans="1:65" hidden="1" x14ac:dyDescent="0.2">
      <c r="A254" s="29">
        <v>3</v>
      </c>
      <c r="B254" s="197">
        <v>0</v>
      </c>
      <c r="C254" s="13">
        <v>0</v>
      </c>
      <c r="D254" s="13"/>
      <c r="E254" s="10"/>
      <c r="F254" s="202"/>
      <c r="G254" s="202"/>
      <c r="H254" s="205"/>
      <c r="I254" s="207"/>
      <c r="J254" s="202"/>
      <c r="K254" s="10"/>
      <c r="L254" s="225"/>
      <c r="M254" s="84"/>
      <c r="N254" s="10"/>
      <c r="O254" s="10"/>
      <c r="P254" s="10"/>
      <c r="Q254" s="21"/>
      <c r="R254" s="210"/>
      <c r="S254" s="214"/>
      <c r="T254" s="214"/>
      <c r="U254" s="214"/>
      <c r="V254" s="228"/>
      <c r="W254" s="232"/>
      <c r="X254" s="214"/>
      <c r="Y254" s="101"/>
      <c r="Z254" s="101"/>
      <c r="AA254" s="100"/>
      <c r="AB254" s="100"/>
      <c r="AC254" s="100"/>
      <c r="AD254" s="100"/>
      <c r="AE254" s="100"/>
      <c r="AF254" s="100"/>
      <c r="AG254" s="69"/>
      <c r="AH254" s="69"/>
      <c r="AI254" s="243"/>
      <c r="AJ254" s="243"/>
      <c r="AK254" s="246"/>
      <c r="AL254" s="43" t="str">
        <f t="shared" si="66"/>
        <v>-</v>
      </c>
      <c r="AM254" s="43"/>
      <c r="AN254" s="193"/>
      <c r="AO254" s="264"/>
      <c r="AP254" s="266"/>
      <c r="AQ254" s="26" t="str">
        <f t="shared" si="56"/>
        <v/>
      </c>
      <c r="AR254" s="26"/>
      <c r="AS254" s="33"/>
      <c r="AW254" s="34"/>
      <c r="AX254" s="47"/>
      <c r="AY254" s="49"/>
      <c r="AZ254" s="49"/>
      <c r="BA254" s="31">
        <v>0</v>
      </c>
      <c r="BB254" s="188">
        <f t="shared" si="63"/>
        <v>0</v>
      </c>
      <c r="BC254" s="188" t="str">
        <f t="shared" si="68"/>
        <v xml:space="preserve"> </v>
      </c>
      <c r="BD254" s="188" t="str">
        <f t="shared" si="69"/>
        <v xml:space="preserve"> </v>
      </c>
      <c r="BE254" s="188" t="str">
        <f t="shared" si="70"/>
        <v xml:space="preserve"> </v>
      </c>
      <c r="BF254" s="50"/>
      <c r="BG254" s="50" t="str">
        <f>IFERROR(VLOOKUP(BF254,'[1]WCVI Esc'!$C$5:$W$534,18,FALSE),"-")</f>
        <v>-</v>
      </c>
      <c r="BH254" s="50" t="str">
        <f t="shared" si="64"/>
        <v>-</v>
      </c>
      <c r="BI254" s="50" t="str">
        <f>IFERROR(VLOOKUP(BF254,'[1]WCVI Esc'!$C$5:$W$534,19,FALSE),"-")</f>
        <v>-</v>
      </c>
      <c r="BJ254" s="50" t="str">
        <f t="shared" si="65"/>
        <v>-</v>
      </c>
    </row>
    <row r="255" spans="1:65" hidden="1" x14ac:dyDescent="0.2">
      <c r="A255" s="28">
        <v>4</v>
      </c>
      <c r="B255" s="28">
        <v>1</v>
      </c>
      <c r="C255" s="11">
        <v>20</v>
      </c>
      <c r="D255" s="11" t="s">
        <v>303</v>
      </c>
      <c r="E255" s="10" t="s">
        <v>149</v>
      </c>
      <c r="F255" s="10" t="s">
        <v>207</v>
      </c>
      <c r="G255" s="10"/>
      <c r="H255" s="152"/>
      <c r="I255" s="164"/>
      <c r="J255" s="62"/>
      <c r="K255" s="62"/>
      <c r="L255" s="177"/>
      <c r="M255" s="171"/>
      <c r="N255" s="62"/>
      <c r="O255" s="62"/>
      <c r="P255" s="63"/>
      <c r="Q255" s="162"/>
      <c r="R255" s="164"/>
      <c r="S255" s="62"/>
      <c r="T255" s="63"/>
      <c r="U255" s="62"/>
      <c r="V255" s="177"/>
      <c r="W255" s="171"/>
      <c r="X255" s="62"/>
      <c r="Y255" s="45"/>
      <c r="Z255" s="45"/>
      <c r="AA255" s="100"/>
      <c r="AB255" s="100"/>
      <c r="AC255" s="100"/>
      <c r="AD255" s="100"/>
      <c r="AE255" s="100"/>
      <c r="AF255" s="100"/>
      <c r="AG255" s="18">
        <v>20</v>
      </c>
      <c r="AH255" s="18" t="s">
        <v>303</v>
      </c>
      <c r="AI255" s="243" t="s">
        <v>149</v>
      </c>
      <c r="AJ255" s="243" t="s">
        <v>419</v>
      </c>
      <c r="AK255" s="246"/>
      <c r="AL255" s="43" t="str">
        <f t="shared" si="66"/>
        <v>-</v>
      </c>
      <c r="AM255" s="43">
        <f t="shared" ref="AM255:AN318" si="72">AR255</f>
        <v>0</v>
      </c>
      <c r="AN255" s="193">
        <f t="shared" si="72"/>
        <v>0</v>
      </c>
      <c r="AO255" s="270" t="str">
        <f t="shared" ref="AO255:AO318" si="73">BH255</f>
        <v>-</v>
      </c>
      <c r="AP255" s="266"/>
      <c r="AQ255" s="26" t="str">
        <f t="shared" si="56"/>
        <v>AYUM CREEKSockeye</v>
      </c>
      <c r="AR255" s="26">
        <f t="shared" ref="AR255:AR318" si="74">COUNT(G255:X255)</f>
        <v>0</v>
      </c>
      <c r="AS255" s="33">
        <f t="shared" ref="AS255:AS318" si="75">MAX(G255:X255)</f>
        <v>0</v>
      </c>
      <c r="AU255" s="34"/>
      <c r="AX255" s="47" t="str">
        <f t="shared" ref="AX255:AX318" si="76">CONCATENATE(E255,F255)</f>
        <v>AYUM CREEKSockeye</v>
      </c>
      <c r="AY255" s="49">
        <f t="shared" ref="AY255:AY318" si="77">Z255</f>
        <v>0</v>
      </c>
      <c r="AZ255" s="49">
        <f t="shared" ref="AZ255:AZ318" si="78">Y255</f>
        <v>0</v>
      </c>
      <c r="BA255" s="31">
        <v>2000</v>
      </c>
      <c r="BB255" s="188">
        <f t="shared" si="63"/>
        <v>0</v>
      </c>
      <c r="BC255" s="188" t="str">
        <f t="shared" si="68"/>
        <v xml:space="preserve"> </v>
      </c>
      <c r="BD255" s="188" t="str">
        <f t="shared" si="69"/>
        <v xml:space="preserve"> </v>
      </c>
      <c r="BE255" s="188" t="str">
        <f t="shared" si="70"/>
        <v xml:space="preserve"> </v>
      </c>
      <c r="BF255" s="50" t="str">
        <f t="shared" ref="BF255:BF318" si="79">CONCATENATE(E255,"_",F255)</f>
        <v>AYUM CREEK_Sockeye</v>
      </c>
      <c r="BG255" s="50" t="str">
        <f>IFERROR(VLOOKUP(BF255,'[1]WCVI Esc'!$C$5:$W$514,18,FALSE),"-")</f>
        <v>-</v>
      </c>
      <c r="BH255" s="50" t="str">
        <f t="shared" si="64"/>
        <v>-</v>
      </c>
      <c r="BI255" s="50" t="str">
        <f>IFERROR(VLOOKUP(BF255,'[1]WCVI Esc'!$C$5:$W$514,19,FALSE),"-")</f>
        <v>-</v>
      </c>
      <c r="BJ255" s="50" t="str">
        <f t="shared" si="65"/>
        <v>-</v>
      </c>
    </row>
    <row r="256" spans="1:65" hidden="1" x14ac:dyDescent="0.2">
      <c r="A256" s="28">
        <v>4</v>
      </c>
      <c r="B256" s="28">
        <v>2</v>
      </c>
      <c r="C256" s="11">
        <v>20</v>
      </c>
      <c r="D256" s="11" t="s">
        <v>303</v>
      </c>
      <c r="E256" s="10" t="s">
        <v>149</v>
      </c>
      <c r="F256" s="10" t="s">
        <v>219</v>
      </c>
      <c r="G256" s="10"/>
      <c r="H256" s="152"/>
      <c r="I256" s="164"/>
      <c r="J256" s="62"/>
      <c r="K256" s="62"/>
      <c r="L256" s="177"/>
      <c r="M256" s="171"/>
      <c r="N256" s="62"/>
      <c r="O256" s="62"/>
      <c r="P256" s="62"/>
      <c r="Q256" s="64"/>
      <c r="R256" s="164"/>
      <c r="S256" s="62"/>
      <c r="T256" s="62"/>
      <c r="U256" s="62"/>
      <c r="V256" s="177"/>
      <c r="W256" s="171"/>
      <c r="X256" s="62"/>
      <c r="Y256" s="45"/>
      <c r="Z256" s="45"/>
      <c r="AA256" s="100"/>
      <c r="AB256" s="100"/>
      <c r="AC256" s="100"/>
      <c r="AD256" s="100"/>
      <c r="AE256" s="100"/>
      <c r="AF256" s="100"/>
      <c r="AG256" s="18">
        <v>20</v>
      </c>
      <c r="AH256" s="18" t="s">
        <v>303</v>
      </c>
      <c r="AI256" s="243" t="s">
        <v>149</v>
      </c>
      <c r="AJ256" s="243" t="s">
        <v>419</v>
      </c>
      <c r="AK256" s="246"/>
      <c r="AL256" s="43" t="str">
        <f t="shared" si="66"/>
        <v>-</v>
      </c>
      <c r="AM256" s="43">
        <f t="shared" si="72"/>
        <v>0</v>
      </c>
      <c r="AN256" s="193">
        <f t="shared" si="72"/>
        <v>0</v>
      </c>
      <c r="AO256" s="270" t="str">
        <f t="shared" si="73"/>
        <v>-</v>
      </c>
      <c r="AP256" s="266"/>
      <c r="AQ256" s="26" t="str">
        <f t="shared" si="56"/>
        <v>AYUM CREEKCoho</v>
      </c>
      <c r="AR256" s="26">
        <f t="shared" si="74"/>
        <v>0</v>
      </c>
      <c r="AS256" s="33">
        <f t="shared" si="75"/>
        <v>0</v>
      </c>
      <c r="AU256" s="34"/>
      <c r="AX256" s="47" t="str">
        <f t="shared" si="76"/>
        <v>AYUM CREEKCoho</v>
      </c>
      <c r="AY256" s="49">
        <f t="shared" si="77"/>
        <v>0</v>
      </c>
      <c r="AZ256" s="49">
        <f t="shared" si="78"/>
        <v>0</v>
      </c>
      <c r="BA256" s="31">
        <v>2000</v>
      </c>
      <c r="BB256" s="188">
        <f t="shared" si="63"/>
        <v>0</v>
      </c>
      <c r="BC256" s="188" t="str">
        <f t="shared" si="68"/>
        <v xml:space="preserve"> </v>
      </c>
      <c r="BD256" s="188" t="str">
        <f t="shared" si="69"/>
        <v xml:space="preserve"> </v>
      </c>
      <c r="BE256" s="188" t="str">
        <f t="shared" si="70"/>
        <v xml:space="preserve"> </v>
      </c>
      <c r="BF256" s="50" t="str">
        <f t="shared" si="79"/>
        <v>AYUM CREEK_Coho</v>
      </c>
      <c r="BG256" s="50" t="str">
        <f>IFERROR(VLOOKUP(BF256,'[1]WCVI Esc'!$C$5:$W$514,18,FALSE),"-")</f>
        <v>-</v>
      </c>
      <c r="BH256" s="50" t="str">
        <f t="shared" si="64"/>
        <v>-</v>
      </c>
      <c r="BI256" s="50" t="str">
        <f>IFERROR(VLOOKUP(BF256,'[1]WCVI Esc'!$C$5:$W$514,19,FALSE),"-")</f>
        <v>-</v>
      </c>
      <c r="BJ256" s="50" t="str">
        <f t="shared" si="65"/>
        <v>-</v>
      </c>
    </row>
    <row r="257" spans="1:62" hidden="1" x14ac:dyDescent="0.2">
      <c r="A257" s="28">
        <v>4</v>
      </c>
      <c r="B257" s="28">
        <v>3</v>
      </c>
      <c r="C257" s="11">
        <v>20</v>
      </c>
      <c r="D257" s="11" t="s">
        <v>303</v>
      </c>
      <c r="E257" s="10" t="s">
        <v>149</v>
      </c>
      <c r="F257" s="10" t="s">
        <v>208</v>
      </c>
      <c r="G257" s="10"/>
      <c r="H257" s="152"/>
      <c r="I257" s="164"/>
      <c r="J257" s="62"/>
      <c r="K257" s="62"/>
      <c r="L257" s="177"/>
      <c r="M257" s="171"/>
      <c r="N257" s="62"/>
      <c r="O257" s="62"/>
      <c r="P257" s="62"/>
      <c r="Q257" s="64"/>
      <c r="R257" s="164"/>
      <c r="S257" s="62"/>
      <c r="T257" s="62"/>
      <c r="U257" s="62"/>
      <c r="V257" s="177"/>
      <c r="W257" s="171"/>
      <c r="X257" s="62"/>
      <c r="Y257" s="45"/>
      <c r="Z257" s="45"/>
      <c r="AA257" s="100"/>
      <c r="AB257" s="100"/>
      <c r="AC257" s="24"/>
      <c r="AD257" s="24"/>
      <c r="AE257" s="24"/>
      <c r="AF257" s="24"/>
      <c r="AG257" s="18">
        <v>20</v>
      </c>
      <c r="AH257" s="18" t="s">
        <v>303</v>
      </c>
      <c r="AI257" s="243" t="s">
        <v>149</v>
      </c>
      <c r="AJ257" s="243" t="s">
        <v>419</v>
      </c>
      <c r="AK257" s="246"/>
      <c r="AL257" s="43" t="str">
        <f t="shared" si="66"/>
        <v>-</v>
      </c>
      <c r="AM257" s="43">
        <f t="shared" si="72"/>
        <v>0</v>
      </c>
      <c r="AN257" s="193">
        <f t="shared" si="72"/>
        <v>0</v>
      </c>
      <c r="AO257" s="270" t="str">
        <f t="shared" si="73"/>
        <v>-</v>
      </c>
      <c r="AP257" s="266"/>
      <c r="AQ257" s="26" t="str">
        <f t="shared" si="56"/>
        <v>AYUM CREEKPink</v>
      </c>
      <c r="AR257" s="26">
        <f t="shared" si="74"/>
        <v>0</v>
      </c>
      <c r="AS257" s="33">
        <f t="shared" si="75"/>
        <v>0</v>
      </c>
      <c r="AU257" s="34"/>
      <c r="AX257" s="47" t="str">
        <f t="shared" si="76"/>
        <v>AYUM CREEKPink</v>
      </c>
      <c r="AY257" s="49">
        <f t="shared" si="77"/>
        <v>0</v>
      </c>
      <c r="AZ257" s="49">
        <f t="shared" si="78"/>
        <v>0</v>
      </c>
      <c r="BA257" s="31">
        <v>0</v>
      </c>
      <c r="BB257" s="188">
        <f t="shared" si="63"/>
        <v>0</v>
      </c>
      <c r="BC257" s="188" t="str">
        <f t="shared" si="68"/>
        <v xml:space="preserve"> </v>
      </c>
      <c r="BD257" s="188" t="str">
        <f t="shared" si="69"/>
        <v xml:space="preserve"> </v>
      </c>
      <c r="BE257" s="188" t="str">
        <f t="shared" si="70"/>
        <v xml:space="preserve"> </v>
      </c>
      <c r="BF257" s="50" t="str">
        <f t="shared" si="79"/>
        <v>AYUM CREEK_Pink</v>
      </c>
      <c r="BG257" s="50" t="str">
        <f>IFERROR(VLOOKUP(BF257,'[1]WCVI Esc'!$C$5:$W$514,18,FALSE),"-")</f>
        <v>-</v>
      </c>
      <c r="BH257" s="50" t="str">
        <f t="shared" si="64"/>
        <v>-</v>
      </c>
      <c r="BI257" s="50" t="str">
        <f>IFERROR(VLOOKUP(BF257,'[1]WCVI Esc'!$C$5:$W$514,19,FALSE),"-")</f>
        <v>-</v>
      </c>
      <c r="BJ257" s="50" t="str">
        <f t="shared" si="65"/>
        <v>-</v>
      </c>
    </row>
    <row r="258" spans="1:62" hidden="1" x14ac:dyDescent="0.2">
      <c r="A258" s="28">
        <v>4</v>
      </c>
      <c r="B258" s="28">
        <v>4</v>
      </c>
      <c r="C258" s="11">
        <v>20</v>
      </c>
      <c r="D258" s="11" t="s">
        <v>303</v>
      </c>
      <c r="E258" s="10" t="s">
        <v>149</v>
      </c>
      <c r="F258" s="10" t="s">
        <v>209</v>
      </c>
      <c r="G258" s="10"/>
      <c r="H258" s="152"/>
      <c r="I258" s="164"/>
      <c r="J258" s="62"/>
      <c r="K258" s="62"/>
      <c r="L258" s="177"/>
      <c r="M258" s="171"/>
      <c r="N258" s="62"/>
      <c r="O258" s="62"/>
      <c r="P258" s="62"/>
      <c r="Q258" s="64"/>
      <c r="R258" s="164"/>
      <c r="S258" s="62"/>
      <c r="T258" s="62"/>
      <c r="U258" s="62"/>
      <c r="V258" s="177"/>
      <c r="W258" s="171"/>
      <c r="X258" s="62"/>
      <c r="Y258" s="45"/>
      <c r="Z258" s="45"/>
      <c r="AA258" s="100"/>
      <c r="AB258" s="100"/>
      <c r="AC258" s="24"/>
      <c r="AD258" s="24"/>
      <c r="AE258" s="24"/>
      <c r="AF258" s="24"/>
      <c r="AG258" s="18">
        <v>20</v>
      </c>
      <c r="AH258" s="18" t="s">
        <v>303</v>
      </c>
      <c r="AI258" s="243" t="s">
        <v>149</v>
      </c>
      <c r="AJ258" s="243" t="s">
        <v>419</v>
      </c>
      <c r="AK258" s="246"/>
      <c r="AL258" s="43" t="str">
        <f t="shared" si="66"/>
        <v>-</v>
      </c>
      <c r="AM258" s="43">
        <f t="shared" si="72"/>
        <v>0</v>
      </c>
      <c r="AN258" s="193">
        <f t="shared" si="72"/>
        <v>0</v>
      </c>
      <c r="AO258" s="270" t="str">
        <f t="shared" si="73"/>
        <v>-</v>
      </c>
      <c r="AP258" s="266"/>
      <c r="AQ258" s="26" t="str">
        <f t="shared" si="56"/>
        <v>AYUM CREEKChum</v>
      </c>
      <c r="AR258" s="26">
        <f t="shared" si="74"/>
        <v>0</v>
      </c>
      <c r="AS258" s="33">
        <f t="shared" si="75"/>
        <v>0</v>
      </c>
      <c r="AU258" s="34"/>
      <c r="AX258" s="47" t="str">
        <f t="shared" si="76"/>
        <v>AYUM CREEKChum</v>
      </c>
      <c r="AY258" s="49">
        <f t="shared" si="77"/>
        <v>0</v>
      </c>
      <c r="AZ258" s="49">
        <f t="shared" si="78"/>
        <v>0</v>
      </c>
      <c r="BA258" s="31">
        <v>2000</v>
      </c>
      <c r="BB258" s="188">
        <f t="shared" si="63"/>
        <v>0</v>
      </c>
      <c r="BC258" s="188" t="str">
        <f t="shared" si="68"/>
        <v xml:space="preserve"> </v>
      </c>
      <c r="BD258" s="188" t="str">
        <f t="shared" si="69"/>
        <v xml:space="preserve"> </v>
      </c>
      <c r="BE258" s="188" t="str">
        <f t="shared" si="70"/>
        <v xml:space="preserve"> </v>
      </c>
      <c r="BF258" s="50" t="str">
        <f t="shared" si="79"/>
        <v>AYUM CREEK_Chum</v>
      </c>
      <c r="BG258" s="50" t="str">
        <f>IFERROR(VLOOKUP(BF258,'[1]WCVI Esc'!$C$5:$W$514,18,FALSE),"-")</f>
        <v>-</v>
      </c>
      <c r="BH258" s="50" t="str">
        <f t="shared" si="64"/>
        <v>-</v>
      </c>
      <c r="BI258" s="50" t="str">
        <f>IFERROR(VLOOKUP(BF258,'[1]WCVI Esc'!$C$5:$W$514,19,FALSE),"-")</f>
        <v>-</v>
      </c>
      <c r="BJ258" s="50" t="str">
        <f t="shared" si="65"/>
        <v>-</v>
      </c>
    </row>
    <row r="259" spans="1:62" hidden="1" x14ac:dyDescent="0.2">
      <c r="A259" s="28">
        <v>4</v>
      </c>
      <c r="B259" s="28">
        <v>5</v>
      </c>
      <c r="C259" s="11">
        <v>20</v>
      </c>
      <c r="D259" s="11" t="s">
        <v>303</v>
      </c>
      <c r="E259" s="10" t="s">
        <v>149</v>
      </c>
      <c r="F259" s="10" t="s">
        <v>210</v>
      </c>
      <c r="G259" s="10"/>
      <c r="H259" s="152"/>
      <c r="I259" s="164"/>
      <c r="J259" s="62"/>
      <c r="K259" s="62"/>
      <c r="L259" s="177"/>
      <c r="M259" s="171"/>
      <c r="N259" s="62"/>
      <c r="O259" s="62"/>
      <c r="P259" s="62"/>
      <c r="Q259" s="64"/>
      <c r="R259" s="164"/>
      <c r="S259" s="62"/>
      <c r="T259" s="62"/>
      <c r="U259" s="62"/>
      <c r="V259" s="177"/>
      <c r="W259" s="171"/>
      <c r="X259" s="62"/>
      <c r="Y259" s="45"/>
      <c r="Z259" s="45"/>
      <c r="AA259" s="100"/>
      <c r="AB259" s="100"/>
      <c r="AC259" s="24"/>
      <c r="AD259" s="24"/>
      <c r="AE259" s="24"/>
      <c r="AF259" s="24"/>
      <c r="AG259" s="18">
        <v>20</v>
      </c>
      <c r="AH259" s="18" t="s">
        <v>303</v>
      </c>
      <c r="AI259" s="243" t="s">
        <v>149</v>
      </c>
      <c r="AJ259" s="243" t="s">
        <v>419</v>
      </c>
      <c r="AK259" s="246"/>
      <c r="AL259" s="43" t="str">
        <f t="shared" si="66"/>
        <v>-</v>
      </c>
      <c r="AM259" s="43">
        <f t="shared" si="72"/>
        <v>0</v>
      </c>
      <c r="AN259" s="193">
        <f t="shared" si="72"/>
        <v>0</v>
      </c>
      <c r="AO259" s="270" t="str">
        <f t="shared" si="73"/>
        <v>-</v>
      </c>
      <c r="AP259" s="266"/>
      <c r="AQ259" s="26" t="str">
        <f t="shared" ref="AQ259:AQ322" si="80">CONCATENATE(E259,F259)</f>
        <v>AYUM CREEKChinook</v>
      </c>
      <c r="AR259" s="26">
        <f t="shared" si="74"/>
        <v>0</v>
      </c>
      <c r="AS259" s="33">
        <f t="shared" si="75"/>
        <v>0</v>
      </c>
      <c r="AU259" s="34"/>
      <c r="AX259" s="47" t="str">
        <f t="shared" si="76"/>
        <v>AYUM CREEKChinook</v>
      </c>
      <c r="AY259" s="49">
        <f t="shared" si="77"/>
        <v>0</v>
      </c>
      <c r="AZ259" s="49">
        <f t="shared" si="78"/>
        <v>0</v>
      </c>
      <c r="BA259" s="31">
        <v>2000</v>
      </c>
      <c r="BB259" s="188">
        <f t="shared" si="63"/>
        <v>0</v>
      </c>
      <c r="BC259" s="188" t="str">
        <f t="shared" si="68"/>
        <v xml:space="preserve"> </v>
      </c>
      <c r="BD259" s="188" t="str">
        <f t="shared" si="69"/>
        <v xml:space="preserve"> </v>
      </c>
      <c r="BE259" s="188" t="str">
        <f t="shared" si="70"/>
        <v xml:space="preserve"> </v>
      </c>
      <c r="BF259" s="50" t="str">
        <f t="shared" si="79"/>
        <v>AYUM CREEK_Chinook</v>
      </c>
      <c r="BG259" s="50" t="str">
        <f>IFERROR(VLOOKUP(BF259,'[1]WCVI Esc'!$C$5:$W$514,18,FALSE),"-")</f>
        <v>-</v>
      </c>
      <c r="BH259" s="50" t="str">
        <f t="shared" si="64"/>
        <v>-</v>
      </c>
      <c r="BI259" s="50" t="str">
        <f>IFERROR(VLOOKUP(BF259,'[1]WCVI Esc'!$C$5:$W$514,19,FALSE),"-")</f>
        <v>-</v>
      </c>
      <c r="BJ259" s="50" t="str">
        <f t="shared" si="65"/>
        <v>-</v>
      </c>
    </row>
    <row r="260" spans="1:62" hidden="1" x14ac:dyDescent="0.2">
      <c r="A260" s="28">
        <v>4</v>
      </c>
      <c r="B260" s="28">
        <v>6</v>
      </c>
      <c r="C260" s="11">
        <v>20</v>
      </c>
      <c r="D260" s="11" t="s">
        <v>303</v>
      </c>
      <c r="E260" s="10" t="s">
        <v>149</v>
      </c>
      <c r="F260" s="10" t="s">
        <v>211</v>
      </c>
      <c r="G260" s="10"/>
      <c r="H260" s="152"/>
      <c r="I260" s="164"/>
      <c r="J260" s="62"/>
      <c r="K260" s="62"/>
      <c r="L260" s="177"/>
      <c r="M260" s="171"/>
      <c r="N260" s="62"/>
      <c r="O260" s="62"/>
      <c r="P260" s="62"/>
      <c r="Q260" s="64"/>
      <c r="R260" s="164"/>
      <c r="S260" s="62"/>
      <c r="T260" s="62"/>
      <c r="U260" s="62"/>
      <c r="V260" s="177"/>
      <c r="W260" s="171"/>
      <c r="X260" s="62"/>
      <c r="Y260" s="45"/>
      <c r="Z260" s="45"/>
      <c r="AA260" s="100"/>
      <c r="AB260" s="100"/>
      <c r="AC260" s="24"/>
      <c r="AD260" s="24"/>
      <c r="AE260" s="24"/>
      <c r="AF260" s="24"/>
      <c r="AG260" s="18">
        <v>20</v>
      </c>
      <c r="AH260" s="18" t="s">
        <v>303</v>
      </c>
      <c r="AI260" s="243" t="s">
        <v>149</v>
      </c>
      <c r="AJ260" s="243" t="s">
        <v>419</v>
      </c>
      <c r="AK260" s="246"/>
      <c r="AL260" s="43" t="str">
        <f t="shared" si="66"/>
        <v>-</v>
      </c>
      <c r="AM260" s="43">
        <f t="shared" si="72"/>
        <v>0</v>
      </c>
      <c r="AN260" s="193">
        <f t="shared" si="72"/>
        <v>0</v>
      </c>
      <c r="AO260" s="270" t="str">
        <f t="shared" si="73"/>
        <v>-</v>
      </c>
      <c r="AP260" s="266"/>
      <c r="AQ260" s="26" t="str">
        <f t="shared" si="80"/>
        <v>AYUM CREEKSteelhead</v>
      </c>
      <c r="AR260" s="26">
        <f t="shared" si="74"/>
        <v>0</v>
      </c>
      <c r="AS260" s="33">
        <f t="shared" si="75"/>
        <v>0</v>
      </c>
      <c r="AU260" s="34"/>
      <c r="AX260" s="47" t="str">
        <f t="shared" si="76"/>
        <v>AYUM CREEKSteelhead</v>
      </c>
      <c r="AY260" s="49">
        <f t="shared" si="77"/>
        <v>0</v>
      </c>
      <c r="AZ260" s="49">
        <f t="shared" si="78"/>
        <v>0</v>
      </c>
      <c r="BA260" s="31">
        <v>0</v>
      </c>
      <c r="BB260" s="188">
        <f t="shared" si="63"/>
        <v>0</v>
      </c>
      <c r="BC260" s="188" t="str">
        <f t="shared" si="68"/>
        <v xml:space="preserve"> </v>
      </c>
      <c r="BD260" s="188" t="str">
        <f t="shared" si="69"/>
        <v xml:space="preserve"> </v>
      </c>
      <c r="BE260" s="188" t="str">
        <f t="shared" si="70"/>
        <v xml:space="preserve"> </v>
      </c>
      <c r="BF260" s="50" t="str">
        <f t="shared" si="79"/>
        <v>AYUM CREEK_Steelhead</v>
      </c>
      <c r="BG260" s="50" t="str">
        <f>IFERROR(VLOOKUP(BF260,'[1]WCVI Esc'!$C$5:$W$514,18,FALSE),"-")</f>
        <v>-</v>
      </c>
      <c r="BH260" s="50" t="str">
        <f t="shared" si="64"/>
        <v>-</v>
      </c>
      <c r="BI260" s="50" t="str">
        <f>IFERROR(VLOOKUP(BF260,'[1]WCVI Esc'!$C$5:$W$514,19,FALSE),"-")</f>
        <v>-</v>
      </c>
      <c r="BJ260" s="50" t="str">
        <f t="shared" si="65"/>
        <v>-</v>
      </c>
    </row>
    <row r="261" spans="1:62" hidden="1" x14ac:dyDescent="0.2">
      <c r="A261" s="28">
        <v>4</v>
      </c>
      <c r="B261" s="28">
        <v>1</v>
      </c>
      <c r="C261" s="11">
        <v>20</v>
      </c>
      <c r="D261" s="11" t="s">
        <v>303</v>
      </c>
      <c r="E261" s="10" t="s">
        <v>150</v>
      </c>
      <c r="F261" s="10" t="s">
        <v>207</v>
      </c>
      <c r="G261" s="10"/>
      <c r="H261" s="152"/>
      <c r="I261" s="164"/>
      <c r="J261" s="62"/>
      <c r="K261" s="62"/>
      <c r="L261" s="177"/>
      <c r="M261" s="171"/>
      <c r="N261" s="62"/>
      <c r="O261" s="62"/>
      <c r="P261" s="62"/>
      <c r="Q261" s="64"/>
      <c r="R261" s="164"/>
      <c r="S261" s="62"/>
      <c r="T261" s="62"/>
      <c r="U261" s="62"/>
      <c r="V261" s="177"/>
      <c r="W261" s="171"/>
      <c r="X261" s="62"/>
      <c r="Y261" s="45"/>
      <c r="Z261" s="45"/>
      <c r="AA261" s="100"/>
      <c r="AB261" s="100"/>
      <c r="AC261" s="24"/>
      <c r="AD261" s="24"/>
      <c r="AE261" s="24"/>
      <c r="AF261" s="24"/>
      <c r="AG261" s="18">
        <v>20</v>
      </c>
      <c r="AH261" s="18" t="s">
        <v>303</v>
      </c>
      <c r="AI261" s="243" t="s">
        <v>150</v>
      </c>
      <c r="AJ261" s="243" t="s">
        <v>419</v>
      </c>
      <c r="AK261" s="246"/>
      <c r="AL261" s="43" t="str">
        <f t="shared" si="66"/>
        <v>-</v>
      </c>
      <c r="AM261" s="43">
        <f t="shared" si="72"/>
        <v>0</v>
      </c>
      <c r="AN261" s="193">
        <f t="shared" si="72"/>
        <v>0</v>
      </c>
      <c r="AO261" s="270" t="str">
        <f t="shared" si="73"/>
        <v>-</v>
      </c>
      <c r="AP261" s="266"/>
      <c r="AQ261" s="26" t="str">
        <f t="shared" si="80"/>
        <v>BAKER CREEKSockeye</v>
      </c>
      <c r="AR261" s="26">
        <f t="shared" si="74"/>
        <v>0</v>
      </c>
      <c r="AS261" s="33">
        <f t="shared" si="75"/>
        <v>0</v>
      </c>
      <c r="AX261" s="47" t="str">
        <f t="shared" si="76"/>
        <v>BAKER CREEKSockeye</v>
      </c>
      <c r="AY261" s="49">
        <f t="shared" si="77"/>
        <v>0</v>
      </c>
      <c r="AZ261" s="49">
        <f t="shared" si="78"/>
        <v>0</v>
      </c>
      <c r="BA261" s="31">
        <v>2000</v>
      </c>
      <c r="BB261" s="188">
        <f t="shared" si="63"/>
        <v>0</v>
      </c>
      <c r="BC261" s="188" t="str">
        <f t="shared" si="68"/>
        <v xml:space="preserve"> </v>
      </c>
      <c r="BD261" s="188" t="str">
        <f t="shared" si="69"/>
        <v xml:space="preserve"> </v>
      </c>
      <c r="BE261" s="188" t="str">
        <f t="shared" si="70"/>
        <v xml:space="preserve"> </v>
      </c>
      <c r="BF261" s="50" t="str">
        <f t="shared" si="79"/>
        <v>BAKER CREEK_Sockeye</v>
      </c>
      <c r="BG261" s="50" t="str">
        <f>IFERROR(VLOOKUP(BF261,'[1]WCVI Esc'!$C$5:$W$514,18,FALSE),"-")</f>
        <v>-</v>
      </c>
      <c r="BH261" s="50" t="str">
        <f t="shared" si="64"/>
        <v>-</v>
      </c>
      <c r="BI261" s="50" t="str">
        <f>IFERROR(VLOOKUP(BF261,'[1]WCVI Esc'!$C$5:$W$514,19,FALSE),"-")</f>
        <v>-</v>
      </c>
      <c r="BJ261" s="50" t="str">
        <f t="shared" si="65"/>
        <v>-</v>
      </c>
    </row>
    <row r="262" spans="1:62" hidden="1" x14ac:dyDescent="0.2">
      <c r="A262" s="28">
        <v>4</v>
      </c>
      <c r="B262" s="28">
        <v>2</v>
      </c>
      <c r="C262" s="11">
        <v>20</v>
      </c>
      <c r="D262" s="11" t="s">
        <v>303</v>
      </c>
      <c r="E262" s="10" t="s">
        <v>150</v>
      </c>
      <c r="F262" s="10" t="s">
        <v>219</v>
      </c>
      <c r="G262" s="10"/>
      <c r="H262" s="152"/>
      <c r="I262" s="164"/>
      <c r="J262" s="62"/>
      <c r="K262" s="62"/>
      <c r="L262" s="177"/>
      <c r="M262" s="171"/>
      <c r="N262" s="62"/>
      <c r="O262" s="62"/>
      <c r="P262" s="62"/>
      <c r="Q262" s="64"/>
      <c r="R262" s="164"/>
      <c r="S262" s="62"/>
      <c r="T262" s="62"/>
      <c r="U262" s="62"/>
      <c r="V262" s="177"/>
      <c r="W262" s="171"/>
      <c r="X262" s="62"/>
      <c r="Y262" s="45"/>
      <c r="Z262" s="45"/>
      <c r="AA262" s="100"/>
      <c r="AB262" s="100"/>
      <c r="AC262" s="24"/>
      <c r="AD262" s="24"/>
      <c r="AE262" s="24"/>
      <c r="AF262" s="24"/>
      <c r="AG262" s="18">
        <v>20</v>
      </c>
      <c r="AH262" s="18" t="s">
        <v>303</v>
      </c>
      <c r="AI262" s="243" t="s">
        <v>150</v>
      </c>
      <c r="AJ262" s="243" t="s">
        <v>419</v>
      </c>
      <c r="AK262" s="246"/>
      <c r="AL262" s="43" t="str">
        <f t="shared" si="66"/>
        <v>-</v>
      </c>
      <c r="AM262" s="43">
        <f t="shared" si="72"/>
        <v>0</v>
      </c>
      <c r="AN262" s="193">
        <f t="shared" si="72"/>
        <v>0</v>
      </c>
      <c r="AO262" s="270" t="str">
        <f t="shared" si="73"/>
        <v>-</v>
      </c>
      <c r="AP262" s="266"/>
      <c r="AQ262" s="26" t="str">
        <f t="shared" si="80"/>
        <v>BAKER CREEKCoho</v>
      </c>
      <c r="AR262" s="26">
        <f t="shared" si="74"/>
        <v>0</v>
      </c>
      <c r="AS262" s="33">
        <f t="shared" si="75"/>
        <v>0</v>
      </c>
      <c r="AX262" s="47" t="str">
        <f t="shared" si="76"/>
        <v>BAKER CREEKCoho</v>
      </c>
      <c r="AY262" s="49">
        <f t="shared" si="77"/>
        <v>0</v>
      </c>
      <c r="AZ262" s="49">
        <f t="shared" si="78"/>
        <v>0</v>
      </c>
      <c r="BA262" s="31">
        <v>2000</v>
      </c>
      <c r="BB262" s="188">
        <f t="shared" si="63"/>
        <v>0</v>
      </c>
      <c r="BC262" s="188" t="str">
        <f t="shared" si="68"/>
        <v xml:space="preserve"> </v>
      </c>
      <c r="BD262" s="188" t="str">
        <f t="shared" si="69"/>
        <v xml:space="preserve"> </v>
      </c>
      <c r="BE262" s="188" t="str">
        <f t="shared" si="70"/>
        <v xml:space="preserve"> </v>
      </c>
      <c r="BF262" s="50" t="str">
        <f t="shared" si="79"/>
        <v>BAKER CREEK_Coho</v>
      </c>
      <c r="BG262" s="50" t="str">
        <f>IFERROR(VLOOKUP(BF262,'[1]WCVI Esc'!$C$5:$W$514,18,FALSE),"-")</f>
        <v>-</v>
      </c>
      <c r="BH262" s="50" t="str">
        <f t="shared" si="64"/>
        <v>-</v>
      </c>
      <c r="BI262" s="50" t="str">
        <f>IFERROR(VLOOKUP(BF262,'[1]WCVI Esc'!$C$5:$W$514,19,FALSE),"-")</f>
        <v>-</v>
      </c>
      <c r="BJ262" s="50" t="str">
        <f t="shared" si="65"/>
        <v>-</v>
      </c>
    </row>
    <row r="263" spans="1:62" hidden="1" x14ac:dyDescent="0.2">
      <c r="A263" s="28">
        <v>4</v>
      </c>
      <c r="B263" s="28">
        <v>3</v>
      </c>
      <c r="C263" s="11">
        <v>20</v>
      </c>
      <c r="D263" s="11" t="s">
        <v>303</v>
      </c>
      <c r="E263" s="10" t="s">
        <v>150</v>
      </c>
      <c r="F263" s="10" t="s">
        <v>208</v>
      </c>
      <c r="G263" s="10"/>
      <c r="H263" s="152"/>
      <c r="I263" s="164"/>
      <c r="J263" s="62"/>
      <c r="K263" s="62"/>
      <c r="L263" s="177"/>
      <c r="M263" s="171"/>
      <c r="N263" s="62"/>
      <c r="O263" s="62"/>
      <c r="P263" s="62"/>
      <c r="Q263" s="64"/>
      <c r="R263" s="164"/>
      <c r="S263" s="62"/>
      <c r="T263" s="62"/>
      <c r="U263" s="62"/>
      <c r="V263" s="177"/>
      <c r="W263" s="171"/>
      <c r="X263" s="62"/>
      <c r="Y263" s="45"/>
      <c r="Z263" s="45"/>
      <c r="AA263" s="100"/>
      <c r="AB263" s="100"/>
      <c r="AC263" s="24"/>
      <c r="AD263" s="24"/>
      <c r="AE263" s="24"/>
      <c r="AF263" s="24"/>
      <c r="AG263" s="18">
        <v>20</v>
      </c>
      <c r="AH263" s="18" t="s">
        <v>303</v>
      </c>
      <c r="AI263" s="243" t="s">
        <v>150</v>
      </c>
      <c r="AJ263" s="243" t="s">
        <v>419</v>
      </c>
      <c r="AK263" s="246"/>
      <c r="AL263" s="43" t="str">
        <f t="shared" si="66"/>
        <v>-</v>
      </c>
      <c r="AM263" s="43">
        <f t="shared" si="72"/>
        <v>0</v>
      </c>
      <c r="AN263" s="193">
        <f t="shared" si="72"/>
        <v>0</v>
      </c>
      <c r="AO263" s="270" t="str">
        <f t="shared" si="73"/>
        <v>-</v>
      </c>
      <c r="AP263" s="266"/>
      <c r="AQ263" s="26" t="str">
        <f t="shared" si="80"/>
        <v>BAKER CREEKPink</v>
      </c>
      <c r="AR263" s="26">
        <f t="shared" si="74"/>
        <v>0</v>
      </c>
      <c r="AS263" s="33">
        <f t="shared" si="75"/>
        <v>0</v>
      </c>
      <c r="AX263" s="47" t="str">
        <f t="shared" si="76"/>
        <v>BAKER CREEKPink</v>
      </c>
      <c r="AY263" s="49">
        <f t="shared" si="77"/>
        <v>0</v>
      </c>
      <c r="AZ263" s="49">
        <f t="shared" si="78"/>
        <v>0</v>
      </c>
      <c r="BA263" s="31">
        <v>0</v>
      </c>
      <c r="BB263" s="188">
        <f t="shared" si="63"/>
        <v>0</v>
      </c>
      <c r="BC263" s="188" t="str">
        <f t="shared" si="68"/>
        <v xml:space="preserve"> </v>
      </c>
      <c r="BD263" s="188" t="str">
        <f t="shared" si="69"/>
        <v xml:space="preserve"> </v>
      </c>
      <c r="BE263" s="188" t="str">
        <f t="shared" si="70"/>
        <v xml:space="preserve"> </v>
      </c>
      <c r="BF263" s="50" t="str">
        <f t="shared" si="79"/>
        <v>BAKER CREEK_Pink</v>
      </c>
      <c r="BG263" s="50" t="str">
        <f>IFERROR(VLOOKUP(BF263,'[1]WCVI Esc'!$C$5:$W$514,18,FALSE),"-")</f>
        <v>-</v>
      </c>
      <c r="BH263" s="50" t="str">
        <f t="shared" si="64"/>
        <v>-</v>
      </c>
      <c r="BI263" s="50" t="str">
        <f>IFERROR(VLOOKUP(BF263,'[1]WCVI Esc'!$C$5:$W$514,19,FALSE),"-")</f>
        <v>-</v>
      </c>
      <c r="BJ263" s="50" t="str">
        <f t="shared" si="65"/>
        <v>-</v>
      </c>
    </row>
    <row r="264" spans="1:62" hidden="1" x14ac:dyDescent="0.2">
      <c r="A264" s="28">
        <v>4</v>
      </c>
      <c r="B264" s="28">
        <v>4</v>
      </c>
      <c r="C264" s="11">
        <v>20</v>
      </c>
      <c r="D264" s="11" t="s">
        <v>303</v>
      </c>
      <c r="E264" s="10" t="s">
        <v>150</v>
      </c>
      <c r="F264" s="10" t="s">
        <v>209</v>
      </c>
      <c r="G264" s="10"/>
      <c r="H264" s="152"/>
      <c r="I264" s="164"/>
      <c r="J264" s="62"/>
      <c r="K264" s="62"/>
      <c r="L264" s="177"/>
      <c r="M264" s="171"/>
      <c r="N264" s="62"/>
      <c r="O264" s="62"/>
      <c r="P264" s="62"/>
      <c r="Q264" s="64"/>
      <c r="R264" s="164"/>
      <c r="S264" s="62"/>
      <c r="T264" s="62"/>
      <c r="U264" s="62"/>
      <c r="V264" s="177"/>
      <c r="W264" s="171"/>
      <c r="X264" s="62"/>
      <c r="Y264" s="45"/>
      <c r="Z264" s="45"/>
      <c r="AA264" s="100"/>
      <c r="AB264" s="100"/>
      <c r="AC264" s="24"/>
      <c r="AD264" s="24"/>
      <c r="AE264" s="24"/>
      <c r="AF264" s="24"/>
      <c r="AG264" s="18">
        <v>20</v>
      </c>
      <c r="AH264" s="18" t="s">
        <v>303</v>
      </c>
      <c r="AI264" s="243" t="s">
        <v>150</v>
      </c>
      <c r="AJ264" s="243" t="s">
        <v>419</v>
      </c>
      <c r="AK264" s="246"/>
      <c r="AL264" s="43" t="str">
        <f t="shared" si="66"/>
        <v>-</v>
      </c>
      <c r="AM264" s="43">
        <f t="shared" si="72"/>
        <v>0</v>
      </c>
      <c r="AN264" s="193">
        <f t="shared" si="72"/>
        <v>0</v>
      </c>
      <c r="AO264" s="270" t="str">
        <f t="shared" si="73"/>
        <v>-</v>
      </c>
      <c r="AP264" s="266"/>
      <c r="AQ264" s="26" t="str">
        <f t="shared" si="80"/>
        <v>BAKER CREEKChum</v>
      </c>
      <c r="AR264" s="26">
        <f t="shared" si="74"/>
        <v>0</v>
      </c>
      <c r="AS264" s="33">
        <f t="shared" si="75"/>
        <v>0</v>
      </c>
      <c r="AX264" s="47" t="str">
        <f t="shared" si="76"/>
        <v>BAKER CREEKChum</v>
      </c>
      <c r="AY264" s="49">
        <f t="shared" si="77"/>
        <v>0</v>
      </c>
      <c r="AZ264" s="49">
        <f t="shared" si="78"/>
        <v>0</v>
      </c>
      <c r="BA264" s="31">
        <v>2000</v>
      </c>
      <c r="BB264" s="188">
        <f t="shared" si="63"/>
        <v>0</v>
      </c>
      <c r="BC264" s="188" t="str">
        <f t="shared" si="68"/>
        <v xml:space="preserve"> </v>
      </c>
      <c r="BD264" s="188" t="str">
        <f t="shared" si="69"/>
        <v xml:space="preserve"> </v>
      </c>
      <c r="BE264" s="188" t="str">
        <f t="shared" si="70"/>
        <v xml:space="preserve"> </v>
      </c>
      <c r="BF264" s="50" t="str">
        <f t="shared" si="79"/>
        <v>BAKER CREEK_Chum</v>
      </c>
      <c r="BG264" s="50" t="str">
        <f>IFERROR(VLOOKUP(BF264,'[1]WCVI Esc'!$C$5:$W$514,18,FALSE),"-")</f>
        <v>-</v>
      </c>
      <c r="BH264" s="50" t="str">
        <f t="shared" si="64"/>
        <v>-</v>
      </c>
      <c r="BI264" s="50" t="str">
        <f>IFERROR(VLOOKUP(BF264,'[1]WCVI Esc'!$C$5:$W$514,19,FALSE),"-")</f>
        <v>-</v>
      </c>
      <c r="BJ264" s="50" t="str">
        <f t="shared" si="65"/>
        <v>-</v>
      </c>
    </row>
    <row r="265" spans="1:62" hidden="1" x14ac:dyDescent="0.2">
      <c r="A265" s="28">
        <v>4</v>
      </c>
      <c r="B265" s="28">
        <v>5</v>
      </c>
      <c r="C265" s="11">
        <v>20</v>
      </c>
      <c r="D265" s="11" t="s">
        <v>303</v>
      </c>
      <c r="E265" s="10" t="s">
        <v>150</v>
      </c>
      <c r="F265" s="10" t="s">
        <v>210</v>
      </c>
      <c r="G265" s="10"/>
      <c r="H265" s="152"/>
      <c r="I265" s="164"/>
      <c r="J265" s="62"/>
      <c r="K265" s="62"/>
      <c r="L265" s="177"/>
      <c r="M265" s="171"/>
      <c r="N265" s="62"/>
      <c r="O265" s="62"/>
      <c r="P265" s="62"/>
      <c r="Q265" s="64"/>
      <c r="R265" s="164"/>
      <c r="S265" s="62"/>
      <c r="T265" s="62"/>
      <c r="U265" s="62"/>
      <c r="V265" s="177"/>
      <c r="W265" s="171"/>
      <c r="X265" s="62"/>
      <c r="Y265" s="45"/>
      <c r="Z265" s="45"/>
      <c r="AA265" s="100"/>
      <c r="AB265" s="100"/>
      <c r="AC265" s="24"/>
      <c r="AD265" s="24"/>
      <c r="AE265" s="24"/>
      <c r="AF265" s="24"/>
      <c r="AG265" s="18">
        <v>20</v>
      </c>
      <c r="AH265" s="18" t="s">
        <v>303</v>
      </c>
      <c r="AI265" s="243" t="s">
        <v>150</v>
      </c>
      <c r="AJ265" s="243" t="s">
        <v>419</v>
      </c>
      <c r="AK265" s="246"/>
      <c r="AL265" s="43" t="str">
        <f t="shared" si="66"/>
        <v>-</v>
      </c>
      <c r="AM265" s="43">
        <f t="shared" si="72"/>
        <v>0</v>
      </c>
      <c r="AN265" s="193">
        <f t="shared" si="72"/>
        <v>0</v>
      </c>
      <c r="AO265" s="270" t="str">
        <f t="shared" si="73"/>
        <v>-</v>
      </c>
      <c r="AP265" s="266"/>
      <c r="AQ265" s="26" t="str">
        <f t="shared" si="80"/>
        <v>BAKER CREEKChinook</v>
      </c>
      <c r="AR265" s="26">
        <f t="shared" si="74"/>
        <v>0</v>
      </c>
      <c r="AS265" s="33">
        <f t="shared" si="75"/>
        <v>0</v>
      </c>
      <c r="AX265" s="47" t="str">
        <f t="shared" si="76"/>
        <v>BAKER CREEKChinook</v>
      </c>
      <c r="AY265" s="49">
        <f t="shared" si="77"/>
        <v>0</v>
      </c>
      <c r="AZ265" s="49">
        <f t="shared" si="78"/>
        <v>0</v>
      </c>
      <c r="BA265" s="31">
        <v>2000</v>
      </c>
      <c r="BB265" s="188">
        <f t="shared" ref="BB265:BB328" si="81">AK265</f>
        <v>0</v>
      </c>
      <c r="BC265" s="188" t="str">
        <f t="shared" si="68"/>
        <v xml:space="preserve"> </v>
      </c>
      <c r="BD265" s="188" t="str">
        <f t="shared" si="69"/>
        <v xml:space="preserve"> </v>
      </c>
      <c r="BE265" s="188" t="str">
        <f t="shared" si="70"/>
        <v xml:space="preserve"> </v>
      </c>
      <c r="BF265" s="50" t="str">
        <f t="shared" si="79"/>
        <v>BAKER CREEK_Chinook</v>
      </c>
      <c r="BG265" s="50" t="str">
        <f>IFERROR(VLOOKUP(BF265,'[1]WCVI Esc'!$C$5:$W$514,18,FALSE),"-")</f>
        <v>-</v>
      </c>
      <c r="BH265" s="50" t="str">
        <f t="shared" ref="BH265:BH328" si="82">IFERROR(ROUND(BG265,-1),"-")</f>
        <v>-</v>
      </c>
      <c r="BI265" s="50" t="str">
        <f>IFERROR(VLOOKUP(BF265,'[1]WCVI Esc'!$C$5:$W$514,19,FALSE),"-")</f>
        <v>-</v>
      </c>
      <c r="BJ265" s="50" t="str">
        <f t="shared" ref="BJ265:BJ328" si="83">IFERROR(ROUND(BI265,-1),"-")</f>
        <v>-</v>
      </c>
    </row>
    <row r="266" spans="1:62" hidden="1" x14ac:dyDescent="0.2">
      <c r="A266" s="28">
        <v>4</v>
      </c>
      <c r="B266" s="28">
        <v>6</v>
      </c>
      <c r="C266" s="11">
        <v>20</v>
      </c>
      <c r="D266" s="11" t="s">
        <v>303</v>
      </c>
      <c r="E266" s="10" t="s">
        <v>150</v>
      </c>
      <c r="F266" s="10" t="s">
        <v>211</v>
      </c>
      <c r="G266" s="10"/>
      <c r="H266" s="152"/>
      <c r="I266" s="164"/>
      <c r="J266" s="62"/>
      <c r="K266" s="62"/>
      <c r="L266" s="177"/>
      <c r="M266" s="171"/>
      <c r="N266" s="62"/>
      <c r="O266" s="62"/>
      <c r="P266" s="62"/>
      <c r="Q266" s="64"/>
      <c r="R266" s="164"/>
      <c r="S266" s="62"/>
      <c r="T266" s="62"/>
      <c r="U266" s="62"/>
      <c r="V266" s="177"/>
      <c r="W266" s="171"/>
      <c r="X266" s="62"/>
      <c r="Y266" s="45"/>
      <c r="Z266" s="45"/>
      <c r="AA266" s="100"/>
      <c r="AB266" s="100"/>
      <c r="AC266" s="24"/>
      <c r="AD266" s="24"/>
      <c r="AE266" s="24"/>
      <c r="AF266" s="24"/>
      <c r="AG266" s="18">
        <v>20</v>
      </c>
      <c r="AH266" s="18" t="s">
        <v>303</v>
      </c>
      <c r="AI266" s="243" t="s">
        <v>150</v>
      </c>
      <c r="AJ266" s="243" t="s">
        <v>419</v>
      </c>
      <c r="AK266" s="246"/>
      <c r="AL266" s="43" t="str">
        <f t="shared" ref="AL266:AL329" si="84">IF(BE266=" ",IF(BD266=" ", IF(BC266=" ","-",BC266),BD266), BE266)</f>
        <v>-</v>
      </c>
      <c r="AM266" s="43">
        <f t="shared" si="72"/>
        <v>0</v>
      </c>
      <c r="AN266" s="193">
        <f t="shared" si="72"/>
        <v>0</v>
      </c>
      <c r="AO266" s="270" t="str">
        <f t="shared" si="73"/>
        <v>-</v>
      </c>
      <c r="AP266" s="266"/>
      <c r="AQ266" s="26" t="str">
        <f t="shared" si="80"/>
        <v>BAKER CREEKSteelhead</v>
      </c>
      <c r="AR266" s="26">
        <f t="shared" si="74"/>
        <v>0</v>
      </c>
      <c r="AS266" s="33">
        <f t="shared" si="75"/>
        <v>0</v>
      </c>
      <c r="AX266" s="47" t="str">
        <f t="shared" si="76"/>
        <v>BAKER CREEKSteelhead</v>
      </c>
      <c r="AY266" s="49">
        <f t="shared" si="77"/>
        <v>0</v>
      </c>
      <c r="AZ266" s="49">
        <f t="shared" si="78"/>
        <v>0</v>
      </c>
      <c r="BA266" s="31">
        <v>0</v>
      </c>
      <c r="BB266" s="188">
        <f t="shared" si="81"/>
        <v>0</v>
      </c>
      <c r="BC266" s="188" t="str">
        <f t="shared" ref="BC266:BC329" si="85">IF(ISNUMBER(M266),M$8,IF(ISNUMBER(L266),L$8,IF(ISNUMBER(K266),K$8,IF(ISNUMBER(J266),J$8,IF(ISNUMBER(I266),I$8,IF(ISNUMBER(H266),H$8, IF(ISNUMBER(G266),G$8," ")))))))</f>
        <v xml:space="preserve"> </v>
      </c>
      <c r="BD266" s="188" t="str">
        <f t="shared" ref="BD266:BD329" si="86">IF(ISNUMBER(S266),S$8,IF(ISNUMBER(R266),R$8,IF(ISNUMBER(Q266),Q$8,IF(ISNUMBER(P266),P$8,IF(ISNUMBER(O266),O$8,IF(ISNUMBER(N266),N$8," "))))))</f>
        <v xml:space="preserve"> </v>
      </c>
      <c r="BE266" s="188" t="str">
        <f t="shared" ref="BE266:BE329" si="87">IF(ISNUMBER(X266),X$8,IF(ISNUMBER(W266),W$8,IF(ISNUMBER(V266),V$8,IF(ISNUMBER(U266),U$8,IF(ISNUMBER(T266),T$8," ")))))</f>
        <v xml:space="preserve"> </v>
      </c>
      <c r="BF266" s="50" t="str">
        <f t="shared" si="79"/>
        <v>BAKER CREEK_Steelhead</v>
      </c>
      <c r="BG266" s="50" t="str">
        <f>IFERROR(VLOOKUP(BF266,'[1]WCVI Esc'!$C$5:$W$514,18,FALSE),"-")</f>
        <v>-</v>
      </c>
      <c r="BH266" s="50" t="str">
        <f t="shared" si="82"/>
        <v>-</v>
      </c>
      <c r="BI266" s="50" t="str">
        <f>IFERROR(VLOOKUP(BF266,'[1]WCVI Esc'!$C$5:$W$514,19,FALSE),"-")</f>
        <v>-</v>
      </c>
      <c r="BJ266" s="50" t="str">
        <f t="shared" si="83"/>
        <v>-</v>
      </c>
    </row>
    <row r="267" spans="1:62" hidden="1" x14ac:dyDescent="0.2">
      <c r="A267" s="28">
        <v>4</v>
      </c>
      <c r="B267" s="28">
        <v>1</v>
      </c>
      <c r="C267" s="11">
        <v>20</v>
      </c>
      <c r="D267" s="11" t="s">
        <v>303</v>
      </c>
      <c r="E267" s="10" t="s">
        <v>151</v>
      </c>
      <c r="F267" s="10" t="s">
        <v>207</v>
      </c>
      <c r="G267" s="10"/>
      <c r="H267" s="152"/>
      <c r="I267" s="164"/>
      <c r="J267" s="62"/>
      <c r="K267" s="62"/>
      <c r="L267" s="177"/>
      <c r="M267" s="171"/>
      <c r="N267" s="62"/>
      <c r="O267" s="62"/>
      <c r="P267" s="62"/>
      <c r="Q267" s="64"/>
      <c r="R267" s="164"/>
      <c r="S267" s="62"/>
      <c r="T267" s="62"/>
      <c r="U267" s="62"/>
      <c r="V267" s="177"/>
      <c r="W267" s="171"/>
      <c r="X267" s="62"/>
      <c r="Y267" s="45"/>
      <c r="Z267" s="45"/>
      <c r="AA267" s="100"/>
      <c r="AB267" s="100"/>
      <c r="AC267" s="24"/>
      <c r="AD267" s="24"/>
      <c r="AE267" s="24"/>
      <c r="AF267" s="24"/>
      <c r="AG267" s="18">
        <v>20</v>
      </c>
      <c r="AH267" s="18" t="s">
        <v>303</v>
      </c>
      <c r="AI267" s="243" t="s">
        <v>151</v>
      </c>
      <c r="AJ267" s="243" t="s">
        <v>419</v>
      </c>
      <c r="AK267" s="246"/>
      <c r="AL267" s="43" t="str">
        <f t="shared" si="84"/>
        <v>-</v>
      </c>
      <c r="AM267" s="43">
        <f t="shared" si="72"/>
        <v>0</v>
      </c>
      <c r="AN267" s="193">
        <f t="shared" si="72"/>
        <v>0</v>
      </c>
      <c r="AO267" s="270" t="str">
        <f t="shared" si="73"/>
        <v>-</v>
      </c>
      <c r="AP267" s="266"/>
      <c r="AQ267" s="26" t="str">
        <f t="shared" si="80"/>
        <v>CHARTERS RIVERSockeye</v>
      </c>
      <c r="AR267" s="26">
        <f t="shared" si="74"/>
        <v>0</v>
      </c>
      <c r="AS267" s="33">
        <f t="shared" si="75"/>
        <v>0</v>
      </c>
      <c r="AX267" s="47" t="str">
        <f t="shared" si="76"/>
        <v>CHARTERS RIVERSockeye</v>
      </c>
      <c r="AY267" s="49">
        <f t="shared" si="77"/>
        <v>0</v>
      </c>
      <c r="AZ267" s="49">
        <f t="shared" si="78"/>
        <v>0</v>
      </c>
      <c r="BA267" s="31">
        <v>2000</v>
      </c>
      <c r="BB267" s="188">
        <f t="shared" si="81"/>
        <v>0</v>
      </c>
      <c r="BC267" s="188" t="str">
        <f t="shared" si="85"/>
        <v xml:space="preserve"> </v>
      </c>
      <c r="BD267" s="188" t="str">
        <f t="shared" si="86"/>
        <v xml:space="preserve"> </v>
      </c>
      <c r="BE267" s="188" t="str">
        <f t="shared" si="87"/>
        <v xml:space="preserve"> </v>
      </c>
      <c r="BF267" s="50" t="str">
        <f t="shared" si="79"/>
        <v>CHARTERS RIVER_Sockeye</v>
      </c>
      <c r="BG267" s="50" t="str">
        <f>IFERROR(VLOOKUP(BF267,'[1]WCVI Esc'!$C$5:$W$514,18,FALSE),"-")</f>
        <v>-</v>
      </c>
      <c r="BH267" s="50" t="str">
        <f t="shared" si="82"/>
        <v>-</v>
      </c>
      <c r="BI267" s="50" t="str">
        <f>IFERROR(VLOOKUP(BF267,'[1]WCVI Esc'!$C$5:$W$514,19,FALSE),"-")</f>
        <v>-</v>
      </c>
      <c r="BJ267" s="50" t="str">
        <f t="shared" si="83"/>
        <v>-</v>
      </c>
    </row>
    <row r="268" spans="1:62" hidden="1" x14ac:dyDescent="0.2">
      <c r="A268" s="28">
        <v>4</v>
      </c>
      <c r="B268" s="28">
        <v>2</v>
      </c>
      <c r="C268" s="11">
        <v>20</v>
      </c>
      <c r="D268" s="11" t="s">
        <v>303</v>
      </c>
      <c r="E268" s="10" t="s">
        <v>151</v>
      </c>
      <c r="F268" s="10" t="s">
        <v>219</v>
      </c>
      <c r="G268" s="10"/>
      <c r="H268" s="152"/>
      <c r="I268" s="164"/>
      <c r="J268" s="62"/>
      <c r="K268" s="62"/>
      <c r="L268" s="177"/>
      <c r="M268" s="171"/>
      <c r="N268" s="62"/>
      <c r="O268" s="62"/>
      <c r="P268" s="62"/>
      <c r="Q268" s="64"/>
      <c r="R268" s="164"/>
      <c r="S268" s="62"/>
      <c r="T268" s="62"/>
      <c r="U268" s="62"/>
      <c r="V268" s="177"/>
      <c r="W268" s="171"/>
      <c r="X268" s="62"/>
      <c r="Y268" s="45"/>
      <c r="Z268" s="45"/>
      <c r="AA268" s="100"/>
      <c r="AB268" s="100"/>
      <c r="AC268" s="24"/>
      <c r="AD268" s="24"/>
      <c r="AE268" s="24"/>
      <c r="AF268" s="24"/>
      <c r="AG268" s="18">
        <v>20</v>
      </c>
      <c r="AH268" s="18" t="s">
        <v>303</v>
      </c>
      <c r="AI268" s="243" t="s">
        <v>151</v>
      </c>
      <c r="AJ268" s="243" t="s">
        <v>419</v>
      </c>
      <c r="AK268" s="246"/>
      <c r="AL268" s="43" t="str">
        <f t="shared" si="84"/>
        <v>-</v>
      </c>
      <c r="AM268" s="43">
        <f t="shared" si="72"/>
        <v>0</v>
      </c>
      <c r="AN268" s="193">
        <f t="shared" si="72"/>
        <v>0</v>
      </c>
      <c r="AO268" s="270" t="str">
        <f t="shared" si="73"/>
        <v>-</v>
      </c>
      <c r="AP268" s="266"/>
      <c r="AQ268" s="26" t="str">
        <f t="shared" si="80"/>
        <v>CHARTERS RIVERCoho</v>
      </c>
      <c r="AR268" s="26">
        <f t="shared" si="74"/>
        <v>0</v>
      </c>
      <c r="AS268" s="33">
        <f t="shared" si="75"/>
        <v>0</v>
      </c>
      <c r="AX268" s="47" t="str">
        <f t="shared" si="76"/>
        <v>CHARTERS RIVERCoho</v>
      </c>
      <c r="AY268" s="49">
        <f t="shared" si="77"/>
        <v>0</v>
      </c>
      <c r="AZ268" s="49">
        <f t="shared" si="78"/>
        <v>0</v>
      </c>
      <c r="BA268" s="31">
        <v>2000</v>
      </c>
      <c r="BB268" s="188">
        <f t="shared" si="81"/>
        <v>0</v>
      </c>
      <c r="BC268" s="188" t="str">
        <f t="shared" si="85"/>
        <v xml:space="preserve"> </v>
      </c>
      <c r="BD268" s="188" t="str">
        <f t="shared" si="86"/>
        <v xml:space="preserve"> </v>
      </c>
      <c r="BE268" s="188" t="str">
        <f t="shared" si="87"/>
        <v xml:space="preserve"> </v>
      </c>
      <c r="BF268" s="50" t="str">
        <f t="shared" si="79"/>
        <v>CHARTERS RIVER_Coho</v>
      </c>
      <c r="BG268" s="50" t="str">
        <f>IFERROR(VLOOKUP(BF268,'[1]WCVI Esc'!$C$5:$W$514,18,FALSE),"-")</f>
        <v>-</v>
      </c>
      <c r="BH268" s="50" t="str">
        <f t="shared" si="82"/>
        <v>-</v>
      </c>
      <c r="BI268" s="50" t="str">
        <f>IFERROR(VLOOKUP(BF268,'[1]WCVI Esc'!$C$5:$W$514,19,FALSE),"-")</f>
        <v>-</v>
      </c>
      <c r="BJ268" s="50" t="str">
        <f t="shared" si="83"/>
        <v>-</v>
      </c>
    </row>
    <row r="269" spans="1:62" hidden="1" x14ac:dyDescent="0.2">
      <c r="A269" s="28">
        <v>4</v>
      </c>
      <c r="B269" s="28">
        <v>3</v>
      </c>
      <c r="C269" s="11">
        <v>20</v>
      </c>
      <c r="D269" s="11" t="s">
        <v>303</v>
      </c>
      <c r="E269" s="10" t="s">
        <v>151</v>
      </c>
      <c r="F269" s="10" t="s">
        <v>208</v>
      </c>
      <c r="G269" s="10"/>
      <c r="H269" s="152"/>
      <c r="I269" s="164"/>
      <c r="J269" s="62"/>
      <c r="K269" s="62"/>
      <c r="L269" s="177"/>
      <c r="M269" s="171"/>
      <c r="N269" s="62"/>
      <c r="O269" s="62"/>
      <c r="P269" s="62"/>
      <c r="Q269" s="64"/>
      <c r="R269" s="164"/>
      <c r="S269" s="62"/>
      <c r="T269" s="62"/>
      <c r="U269" s="62"/>
      <c r="V269" s="177"/>
      <c r="W269" s="171"/>
      <c r="X269" s="62"/>
      <c r="Y269" s="45"/>
      <c r="Z269" s="45"/>
      <c r="AA269" s="100"/>
      <c r="AB269" s="100"/>
      <c r="AC269" s="24"/>
      <c r="AD269" s="24"/>
      <c r="AE269" s="24"/>
      <c r="AF269" s="24"/>
      <c r="AG269" s="18">
        <v>20</v>
      </c>
      <c r="AH269" s="18" t="s">
        <v>303</v>
      </c>
      <c r="AI269" s="243" t="s">
        <v>151</v>
      </c>
      <c r="AJ269" s="243" t="s">
        <v>419</v>
      </c>
      <c r="AK269" s="246"/>
      <c r="AL269" s="43" t="str">
        <f t="shared" si="84"/>
        <v>-</v>
      </c>
      <c r="AM269" s="43">
        <f t="shared" si="72"/>
        <v>0</v>
      </c>
      <c r="AN269" s="193">
        <f t="shared" si="72"/>
        <v>0</v>
      </c>
      <c r="AO269" s="270" t="str">
        <f t="shared" si="73"/>
        <v>-</v>
      </c>
      <c r="AP269" s="266"/>
      <c r="AQ269" s="26" t="str">
        <f t="shared" si="80"/>
        <v>CHARTERS RIVERPink</v>
      </c>
      <c r="AR269" s="26">
        <f t="shared" si="74"/>
        <v>0</v>
      </c>
      <c r="AS269" s="33">
        <f t="shared" si="75"/>
        <v>0</v>
      </c>
      <c r="AX269" s="47" t="str">
        <f t="shared" si="76"/>
        <v>CHARTERS RIVERPink</v>
      </c>
      <c r="AY269" s="49">
        <f t="shared" si="77"/>
        <v>0</v>
      </c>
      <c r="AZ269" s="49">
        <f t="shared" si="78"/>
        <v>0</v>
      </c>
      <c r="BA269" s="31">
        <v>0</v>
      </c>
      <c r="BB269" s="188">
        <f t="shared" si="81"/>
        <v>0</v>
      </c>
      <c r="BC269" s="188" t="str">
        <f t="shared" si="85"/>
        <v xml:space="preserve"> </v>
      </c>
      <c r="BD269" s="188" t="str">
        <f t="shared" si="86"/>
        <v xml:space="preserve"> </v>
      </c>
      <c r="BE269" s="188" t="str">
        <f t="shared" si="87"/>
        <v xml:space="preserve"> </v>
      </c>
      <c r="BF269" s="50" t="str">
        <f t="shared" si="79"/>
        <v>CHARTERS RIVER_Pink</v>
      </c>
      <c r="BG269" s="50" t="str">
        <f>IFERROR(VLOOKUP(BF269,'[1]WCVI Esc'!$C$5:$W$514,18,FALSE),"-")</f>
        <v>-</v>
      </c>
      <c r="BH269" s="50" t="str">
        <f t="shared" si="82"/>
        <v>-</v>
      </c>
      <c r="BI269" s="50" t="str">
        <f>IFERROR(VLOOKUP(BF269,'[1]WCVI Esc'!$C$5:$W$514,19,FALSE),"-")</f>
        <v>-</v>
      </c>
      <c r="BJ269" s="50" t="str">
        <f t="shared" si="83"/>
        <v>-</v>
      </c>
    </row>
    <row r="270" spans="1:62" hidden="1" x14ac:dyDescent="0.2">
      <c r="A270" s="28">
        <v>4</v>
      </c>
      <c r="B270" s="28">
        <v>4</v>
      </c>
      <c r="C270" s="11">
        <v>20</v>
      </c>
      <c r="D270" s="11" t="s">
        <v>303</v>
      </c>
      <c r="E270" s="10" t="s">
        <v>151</v>
      </c>
      <c r="F270" s="10" t="s">
        <v>209</v>
      </c>
      <c r="G270" s="10"/>
      <c r="H270" s="152"/>
      <c r="I270" s="164"/>
      <c r="J270" s="62"/>
      <c r="K270" s="62"/>
      <c r="L270" s="177"/>
      <c r="M270" s="171"/>
      <c r="N270" s="62"/>
      <c r="O270" s="62"/>
      <c r="P270" s="62"/>
      <c r="Q270" s="64"/>
      <c r="R270" s="164"/>
      <c r="S270" s="62"/>
      <c r="T270" s="62"/>
      <c r="U270" s="62"/>
      <c r="V270" s="177"/>
      <c r="W270" s="171"/>
      <c r="X270" s="62"/>
      <c r="Y270" s="45"/>
      <c r="Z270" s="45"/>
      <c r="AA270" s="100"/>
      <c r="AB270" s="100"/>
      <c r="AC270" s="24"/>
      <c r="AD270" s="24"/>
      <c r="AE270" s="24"/>
      <c r="AF270" s="24"/>
      <c r="AG270" s="18">
        <v>20</v>
      </c>
      <c r="AH270" s="18" t="s">
        <v>303</v>
      </c>
      <c r="AI270" s="243" t="s">
        <v>151</v>
      </c>
      <c r="AJ270" s="243" t="s">
        <v>419</v>
      </c>
      <c r="AK270" s="246"/>
      <c r="AL270" s="43" t="str">
        <f t="shared" si="84"/>
        <v>-</v>
      </c>
      <c r="AM270" s="43">
        <f t="shared" si="72"/>
        <v>0</v>
      </c>
      <c r="AN270" s="193">
        <f t="shared" si="72"/>
        <v>0</v>
      </c>
      <c r="AO270" s="270" t="str">
        <f t="shared" si="73"/>
        <v>-</v>
      </c>
      <c r="AP270" s="266"/>
      <c r="AQ270" s="26" t="str">
        <f t="shared" si="80"/>
        <v>CHARTERS RIVERChum</v>
      </c>
      <c r="AR270" s="26">
        <f t="shared" si="74"/>
        <v>0</v>
      </c>
      <c r="AS270" s="33">
        <f t="shared" si="75"/>
        <v>0</v>
      </c>
      <c r="AX270" s="47" t="str">
        <f t="shared" si="76"/>
        <v>CHARTERS RIVERChum</v>
      </c>
      <c r="AY270" s="49">
        <f t="shared" si="77"/>
        <v>0</v>
      </c>
      <c r="AZ270" s="49">
        <f t="shared" si="78"/>
        <v>0</v>
      </c>
      <c r="BA270" s="31">
        <v>2000</v>
      </c>
      <c r="BB270" s="188">
        <f t="shared" si="81"/>
        <v>0</v>
      </c>
      <c r="BC270" s="188" t="str">
        <f t="shared" si="85"/>
        <v xml:space="preserve"> </v>
      </c>
      <c r="BD270" s="188" t="str">
        <f t="shared" si="86"/>
        <v xml:space="preserve"> </v>
      </c>
      <c r="BE270" s="188" t="str">
        <f t="shared" si="87"/>
        <v xml:space="preserve"> </v>
      </c>
      <c r="BF270" s="50" t="str">
        <f t="shared" si="79"/>
        <v>CHARTERS RIVER_Chum</v>
      </c>
      <c r="BG270" s="50" t="str">
        <f>IFERROR(VLOOKUP(BF270,'[1]WCVI Esc'!$C$5:$W$514,18,FALSE),"-")</f>
        <v>-</v>
      </c>
      <c r="BH270" s="50" t="str">
        <f t="shared" si="82"/>
        <v>-</v>
      </c>
      <c r="BI270" s="50" t="str">
        <f>IFERROR(VLOOKUP(BF270,'[1]WCVI Esc'!$C$5:$W$514,19,FALSE),"-")</f>
        <v>-</v>
      </c>
      <c r="BJ270" s="50" t="str">
        <f t="shared" si="83"/>
        <v>-</v>
      </c>
    </row>
    <row r="271" spans="1:62" hidden="1" x14ac:dyDescent="0.2">
      <c r="A271" s="28">
        <v>4</v>
      </c>
      <c r="B271" s="28">
        <v>5</v>
      </c>
      <c r="C271" s="11">
        <v>20</v>
      </c>
      <c r="D271" s="11" t="s">
        <v>303</v>
      </c>
      <c r="E271" s="10" t="s">
        <v>151</v>
      </c>
      <c r="F271" s="10" t="s">
        <v>210</v>
      </c>
      <c r="G271" s="10"/>
      <c r="H271" s="152"/>
      <c r="I271" s="164"/>
      <c r="J271" s="62"/>
      <c r="K271" s="62"/>
      <c r="L271" s="177"/>
      <c r="M271" s="171"/>
      <c r="N271" s="62"/>
      <c r="O271" s="62"/>
      <c r="P271" s="62"/>
      <c r="Q271" s="64"/>
      <c r="R271" s="164"/>
      <c r="S271" s="62"/>
      <c r="T271" s="62"/>
      <c r="U271" s="62"/>
      <c r="V271" s="177"/>
      <c r="W271" s="171"/>
      <c r="X271" s="62"/>
      <c r="Y271" s="45"/>
      <c r="Z271" s="45"/>
      <c r="AA271" s="100"/>
      <c r="AB271" s="100"/>
      <c r="AC271" s="24"/>
      <c r="AD271" s="24"/>
      <c r="AE271" s="24"/>
      <c r="AF271" s="24"/>
      <c r="AG271" s="18">
        <v>20</v>
      </c>
      <c r="AH271" s="18" t="s">
        <v>303</v>
      </c>
      <c r="AI271" s="243" t="s">
        <v>151</v>
      </c>
      <c r="AJ271" s="243" t="s">
        <v>419</v>
      </c>
      <c r="AK271" s="246"/>
      <c r="AL271" s="43" t="str">
        <f t="shared" si="84"/>
        <v>-</v>
      </c>
      <c r="AM271" s="43">
        <f t="shared" si="72"/>
        <v>0</v>
      </c>
      <c r="AN271" s="193">
        <f t="shared" si="72"/>
        <v>0</v>
      </c>
      <c r="AO271" s="270" t="str">
        <f t="shared" si="73"/>
        <v>-</v>
      </c>
      <c r="AP271" s="266"/>
      <c r="AQ271" s="26" t="str">
        <f t="shared" si="80"/>
        <v>CHARTERS RIVERChinook</v>
      </c>
      <c r="AR271" s="26">
        <f t="shared" si="74"/>
        <v>0</v>
      </c>
      <c r="AS271" s="33">
        <f t="shared" si="75"/>
        <v>0</v>
      </c>
      <c r="AX271" s="47" t="str">
        <f t="shared" si="76"/>
        <v>CHARTERS RIVERChinook</v>
      </c>
      <c r="AY271" s="49">
        <f t="shared" si="77"/>
        <v>0</v>
      </c>
      <c r="AZ271" s="49">
        <f t="shared" si="78"/>
        <v>0</v>
      </c>
      <c r="BA271" s="31">
        <v>2000</v>
      </c>
      <c r="BB271" s="188">
        <f t="shared" si="81"/>
        <v>0</v>
      </c>
      <c r="BC271" s="188" t="str">
        <f t="shared" si="85"/>
        <v xml:space="preserve"> </v>
      </c>
      <c r="BD271" s="188" t="str">
        <f t="shared" si="86"/>
        <v xml:space="preserve"> </v>
      </c>
      <c r="BE271" s="188" t="str">
        <f t="shared" si="87"/>
        <v xml:space="preserve"> </v>
      </c>
      <c r="BF271" s="50" t="str">
        <f t="shared" si="79"/>
        <v>CHARTERS RIVER_Chinook</v>
      </c>
      <c r="BG271" s="50" t="str">
        <f>IFERROR(VLOOKUP(BF271,'[1]WCVI Esc'!$C$5:$W$514,18,FALSE),"-")</f>
        <v>-</v>
      </c>
      <c r="BH271" s="50" t="str">
        <f t="shared" si="82"/>
        <v>-</v>
      </c>
      <c r="BI271" s="50" t="str">
        <f>IFERROR(VLOOKUP(BF271,'[1]WCVI Esc'!$C$5:$W$514,19,FALSE),"-")</f>
        <v>-</v>
      </c>
      <c r="BJ271" s="50" t="str">
        <f t="shared" si="83"/>
        <v>-</v>
      </c>
    </row>
    <row r="272" spans="1:62" hidden="1" x14ac:dyDescent="0.2">
      <c r="A272" s="28">
        <v>4</v>
      </c>
      <c r="B272" s="28">
        <v>6</v>
      </c>
      <c r="C272" s="11">
        <v>20</v>
      </c>
      <c r="D272" s="11" t="s">
        <v>303</v>
      </c>
      <c r="E272" s="10" t="s">
        <v>151</v>
      </c>
      <c r="F272" s="10" t="s">
        <v>211</v>
      </c>
      <c r="G272" s="10"/>
      <c r="H272" s="152"/>
      <c r="I272" s="164"/>
      <c r="J272" s="62"/>
      <c r="K272" s="62"/>
      <c r="L272" s="177"/>
      <c r="M272" s="171"/>
      <c r="N272" s="62"/>
      <c r="O272" s="62"/>
      <c r="P272" s="62"/>
      <c r="Q272" s="64"/>
      <c r="R272" s="164"/>
      <c r="S272" s="62"/>
      <c r="T272" s="62"/>
      <c r="U272" s="62"/>
      <c r="V272" s="177"/>
      <c r="W272" s="171"/>
      <c r="X272" s="62"/>
      <c r="Y272" s="45"/>
      <c r="Z272" s="45"/>
      <c r="AA272" s="100"/>
      <c r="AB272" s="100"/>
      <c r="AC272" s="24"/>
      <c r="AD272" s="24"/>
      <c r="AE272" s="24"/>
      <c r="AF272" s="24"/>
      <c r="AG272" s="18">
        <v>20</v>
      </c>
      <c r="AH272" s="18" t="s">
        <v>303</v>
      </c>
      <c r="AI272" s="243" t="s">
        <v>151</v>
      </c>
      <c r="AJ272" s="243" t="s">
        <v>419</v>
      </c>
      <c r="AK272" s="246"/>
      <c r="AL272" s="43" t="str">
        <f t="shared" si="84"/>
        <v>-</v>
      </c>
      <c r="AM272" s="43">
        <f t="shared" si="72"/>
        <v>0</v>
      </c>
      <c r="AN272" s="193">
        <f t="shared" si="72"/>
        <v>0</v>
      </c>
      <c r="AO272" s="270" t="str">
        <f t="shared" si="73"/>
        <v>-</v>
      </c>
      <c r="AP272" s="266"/>
      <c r="AQ272" s="26" t="str">
        <f t="shared" si="80"/>
        <v>CHARTERS RIVERSteelhead</v>
      </c>
      <c r="AR272" s="26">
        <f t="shared" si="74"/>
        <v>0</v>
      </c>
      <c r="AS272" s="33">
        <f t="shared" si="75"/>
        <v>0</v>
      </c>
      <c r="AX272" s="47" t="str">
        <f t="shared" si="76"/>
        <v>CHARTERS RIVERSteelhead</v>
      </c>
      <c r="AY272" s="49">
        <f t="shared" si="77"/>
        <v>0</v>
      </c>
      <c r="AZ272" s="49">
        <f t="shared" si="78"/>
        <v>0</v>
      </c>
      <c r="BA272" s="31">
        <v>0</v>
      </c>
      <c r="BB272" s="188">
        <f t="shared" si="81"/>
        <v>0</v>
      </c>
      <c r="BC272" s="188" t="str">
        <f t="shared" si="85"/>
        <v xml:space="preserve"> </v>
      </c>
      <c r="BD272" s="188" t="str">
        <f t="shared" si="86"/>
        <v xml:space="preserve"> </v>
      </c>
      <c r="BE272" s="188" t="str">
        <f t="shared" si="87"/>
        <v xml:space="preserve"> </v>
      </c>
      <c r="BF272" s="50" t="str">
        <f t="shared" si="79"/>
        <v>CHARTERS RIVER_Steelhead</v>
      </c>
      <c r="BG272" s="50" t="str">
        <f>IFERROR(VLOOKUP(BF272,'[1]WCVI Esc'!$C$5:$W$514,18,FALSE),"-")</f>
        <v>-</v>
      </c>
      <c r="BH272" s="50" t="str">
        <f t="shared" si="82"/>
        <v>-</v>
      </c>
      <c r="BI272" s="50" t="str">
        <f>IFERROR(VLOOKUP(BF272,'[1]WCVI Esc'!$C$5:$W$514,19,FALSE),"-")</f>
        <v>-</v>
      </c>
      <c r="BJ272" s="50" t="str">
        <f t="shared" si="83"/>
        <v>-</v>
      </c>
    </row>
    <row r="273" spans="1:62" hidden="1" x14ac:dyDescent="0.2">
      <c r="A273" s="28">
        <v>4</v>
      </c>
      <c r="B273" s="28">
        <v>1</v>
      </c>
      <c r="C273" s="11">
        <v>20</v>
      </c>
      <c r="D273" s="11" t="s">
        <v>303</v>
      </c>
      <c r="E273" s="10" t="s">
        <v>71</v>
      </c>
      <c r="F273" s="10" t="s">
        <v>207</v>
      </c>
      <c r="G273" s="10"/>
      <c r="H273" s="152"/>
      <c r="I273" s="164"/>
      <c r="J273" s="62"/>
      <c r="K273" s="62"/>
      <c r="L273" s="177"/>
      <c r="M273" s="171"/>
      <c r="N273" s="62"/>
      <c r="O273" s="62"/>
      <c r="P273" s="62"/>
      <c r="Q273" s="64"/>
      <c r="R273" s="164"/>
      <c r="S273" s="62"/>
      <c r="T273" s="62"/>
      <c r="U273" s="62"/>
      <c r="V273" s="177"/>
      <c r="W273" s="171"/>
      <c r="X273" s="62"/>
      <c r="Y273" s="45"/>
      <c r="Z273" s="45"/>
      <c r="AA273" s="100"/>
      <c r="AB273" s="100"/>
      <c r="AC273" s="24"/>
      <c r="AD273" s="24"/>
      <c r="AE273" s="24"/>
      <c r="AF273" s="24"/>
      <c r="AG273" s="18">
        <v>20</v>
      </c>
      <c r="AH273" s="18" t="s">
        <v>303</v>
      </c>
      <c r="AI273" s="243" t="s">
        <v>71</v>
      </c>
      <c r="AJ273" s="243" t="s">
        <v>419</v>
      </c>
      <c r="AK273" s="246"/>
      <c r="AL273" s="43" t="str">
        <f t="shared" si="84"/>
        <v>-</v>
      </c>
      <c r="AM273" s="43">
        <f t="shared" si="72"/>
        <v>0</v>
      </c>
      <c r="AN273" s="193">
        <f t="shared" si="72"/>
        <v>0</v>
      </c>
      <c r="AO273" s="270" t="str">
        <f t="shared" si="73"/>
        <v>-</v>
      </c>
      <c r="AP273" s="268"/>
      <c r="AQ273" s="26" t="str">
        <f t="shared" si="80"/>
        <v>DE MAMIEL CREEKSockeye</v>
      </c>
      <c r="AR273" s="26">
        <f t="shared" si="74"/>
        <v>0</v>
      </c>
      <c r="AS273" s="33">
        <f t="shared" si="75"/>
        <v>0</v>
      </c>
      <c r="AX273" s="47" t="str">
        <f t="shared" si="76"/>
        <v>DE MAMIEL CREEKSockeye</v>
      </c>
      <c r="AY273" s="49">
        <f t="shared" si="77"/>
        <v>0</v>
      </c>
      <c r="AZ273" s="49">
        <f t="shared" si="78"/>
        <v>0</v>
      </c>
      <c r="BA273" s="31">
        <v>2010</v>
      </c>
      <c r="BB273" s="188">
        <f t="shared" si="81"/>
        <v>0</v>
      </c>
      <c r="BC273" s="188" t="str">
        <f t="shared" si="85"/>
        <v xml:space="preserve"> </v>
      </c>
      <c r="BD273" s="188" t="str">
        <f t="shared" si="86"/>
        <v xml:space="preserve"> </v>
      </c>
      <c r="BE273" s="188" t="str">
        <f t="shared" si="87"/>
        <v xml:space="preserve"> </v>
      </c>
      <c r="BF273" s="50" t="str">
        <f t="shared" si="79"/>
        <v>DE MAMIEL CREEK_Sockeye</v>
      </c>
      <c r="BG273" s="50" t="str">
        <f>IFERROR(VLOOKUP(BF273,'[1]WCVI Esc'!$C$5:$W$514,18,FALSE),"-")</f>
        <v>-</v>
      </c>
      <c r="BH273" s="50" t="str">
        <f t="shared" si="82"/>
        <v>-</v>
      </c>
      <c r="BI273" s="50" t="str">
        <f>IFERROR(VLOOKUP(BF273,'[1]WCVI Esc'!$C$5:$W$514,19,FALSE),"-")</f>
        <v>-</v>
      </c>
      <c r="BJ273" s="50" t="str">
        <f t="shared" si="83"/>
        <v>-</v>
      </c>
    </row>
    <row r="274" spans="1:62" hidden="1" x14ac:dyDescent="0.2">
      <c r="A274" s="28">
        <v>4</v>
      </c>
      <c r="B274" s="28">
        <v>2</v>
      </c>
      <c r="C274" s="11">
        <v>20</v>
      </c>
      <c r="D274" s="11" t="s">
        <v>303</v>
      </c>
      <c r="E274" s="10" t="s">
        <v>71</v>
      </c>
      <c r="F274" s="10" t="s">
        <v>219</v>
      </c>
      <c r="G274" s="10"/>
      <c r="H274" s="152"/>
      <c r="I274" s="164"/>
      <c r="J274" s="62"/>
      <c r="K274" s="62"/>
      <c r="L274" s="177"/>
      <c r="M274" s="171"/>
      <c r="N274" s="62"/>
      <c r="O274" s="62"/>
      <c r="P274" s="62"/>
      <c r="Q274" s="64"/>
      <c r="R274" s="164"/>
      <c r="S274" s="62"/>
      <c r="T274" s="62"/>
      <c r="U274" s="62"/>
      <c r="V274" s="177"/>
      <c r="W274" s="171"/>
      <c r="X274" s="62"/>
      <c r="Y274" s="45"/>
      <c r="Z274" s="45"/>
      <c r="AA274" s="100">
        <f>Y274/AP274</f>
        <v>0</v>
      </c>
      <c r="AB274" s="100">
        <f>AS274/AP274</f>
        <v>0</v>
      </c>
      <c r="AC274" s="24"/>
      <c r="AD274" s="24"/>
      <c r="AE274" s="24"/>
      <c r="AF274" s="24"/>
      <c r="AG274" s="18">
        <v>20</v>
      </c>
      <c r="AH274" s="18" t="s">
        <v>303</v>
      </c>
      <c r="AI274" s="243" t="s">
        <v>71</v>
      </c>
      <c r="AJ274" s="243" t="s">
        <v>419</v>
      </c>
      <c r="AK274" s="246"/>
      <c r="AL274" s="43" t="str">
        <f t="shared" si="84"/>
        <v>-</v>
      </c>
      <c r="AM274" s="43">
        <f t="shared" si="72"/>
        <v>0</v>
      </c>
      <c r="AN274" s="193">
        <f t="shared" si="72"/>
        <v>0</v>
      </c>
      <c r="AO274" s="270" t="str">
        <f t="shared" si="73"/>
        <v>-</v>
      </c>
      <c r="AP274" s="265">
        <f>BJ274</f>
        <v>200</v>
      </c>
      <c r="AQ274" s="26" t="str">
        <f t="shared" si="80"/>
        <v>DE MAMIEL CREEKCoho</v>
      </c>
      <c r="AR274" s="26">
        <f t="shared" si="74"/>
        <v>0</v>
      </c>
      <c r="AS274" s="33">
        <f t="shared" si="75"/>
        <v>0</v>
      </c>
      <c r="AX274" s="47" t="str">
        <f t="shared" si="76"/>
        <v>DE MAMIEL CREEKCoho</v>
      </c>
      <c r="AY274" s="49">
        <f t="shared" si="77"/>
        <v>0</v>
      </c>
      <c r="AZ274" s="49">
        <f t="shared" si="78"/>
        <v>0</v>
      </c>
      <c r="BA274" s="31">
        <v>2010</v>
      </c>
      <c r="BB274" s="188">
        <f t="shared" si="81"/>
        <v>0</v>
      </c>
      <c r="BC274" s="188" t="str">
        <f t="shared" si="85"/>
        <v xml:space="preserve"> </v>
      </c>
      <c r="BD274" s="188" t="str">
        <f t="shared" si="86"/>
        <v xml:space="preserve"> </v>
      </c>
      <c r="BE274" s="188" t="str">
        <f t="shared" si="87"/>
        <v xml:space="preserve"> </v>
      </c>
      <c r="BF274" s="50" t="str">
        <f t="shared" si="79"/>
        <v>DE MAMIEL CREEK_Coho</v>
      </c>
      <c r="BG274" s="50" t="str">
        <f>IFERROR(VLOOKUP(BF274,'[1]WCVI Esc'!$C$5:$W$514,18,FALSE),"-")</f>
        <v>-</v>
      </c>
      <c r="BH274" s="50" t="str">
        <f t="shared" si="82"/>
        <v>-</v>
      </c>
      <c r="BI274" s="50">
        <f>IFERROR(VLOOKUP(BF274,'[1]WCVI Esc'!$C$5:$W$514,19,FALSE),"-")</f>
        <v>200</v>
      </c>
      <c r="BJ274" s="50">
        <f t="shared" si="83"/>
        <v>200</v>
      </c>
    </row>
    <row r="275" spans="1:62" hidden="1" x14ac:dyDescent="0.2">
      <c r="A275" s="28">
        <v>4</v>
      </c>
      <c r="B275" s="28">
        <v>3</v>
      </c>
      <c r="C275" s="11">
        <v>20</v>
      </c>
      <c r="D275" s="11" t="s">
        <v>303</v>
      </c>
      <c r="E275" s="10" t="s">
        <v>71</v>
      </c>
      <c r="F275" s="10" t="s">
        <v>208</v>
      </c>
      <c r="G275" s="10"/>
      <c r="H275" s="152"/>
      <c r="I275" s="164"/>
      <c r="J275" s="62"/>
      <c r="K275" s="62"/>
      <c r="L275" s="177"/>
      <c r="M275" s="171"/>
      <c r="N275" s="62"/>
      <c r="O275" s="62"/>
      <c r="P275" s="62"/>
      <c r="Q275" s="64"/>
      <c r="R275" s="164"/>
      <c r="S275" s="62"/>
      <c r="T275" s="62"/>
      <c r="U275" s="62"/>
      <c r="V275" s="177"/>
      <c r="W275" s="171"/>
      <c r="X275" s="62"/>
      <c r="Y275" s="45"/>
      <c r="Z275" s="45"/>
      <c r="AA275" s="100"/>
      <c r="AB275" s="100"/>
      <c r="AC275" s="24"/>
      <c r="AD275" s="24"/>
      <c r="AE275" s="24"/>
      <c r="AF275" s="24"/>
      <c r="AG275" s="18">
        <v>20</v>
      </c>
      <c r="AH275" s="18" t="s">
        <v>303</v>
      </c>
      <c r="AI275" s="243" t="s">
        <v>71</v>
      </c>
      <c r="AJ275" s="243" t="s">
        <v>419</v>
      </c>
      <c r="AK275" s="246"/>
      <c r="AL275" s="43" t="str">
        <f t="shared" si="84"/>
        <v>-</v>
      </c>
      <c r="AM275" s="43">
        <f t="shared" si="72"/>
        <v>0</v>
      </c>
      <c r="AN275" s="193">
        <f t="shared" si="72"/>
        <v>0</v>
      </c>
      <c r="AO275" s="270" t="str">
        <f t="shared" si="73"/>
        <v>-</v>
      </c>
      <c r="AP275" s="268"/>
      <c r="AQ275" s="26" t="str">
        <f t="shared" si="80"/>
        <v>DE MAMIEL CREEKPink</v>
      </c>
      <c r="AR275" s="26">
        <f t="shared" si="74"/>
        <v>0</v>
      </c>
      <c r="AS275" s="33">
        <f t="shared" si="75"/>
        <v>0</v>
      </c>
      <c r="AX275" s="47" t="str">
        <f t="shared" si="76"/>
        <v>DE MAMIEL CREEKPink</v>
      </c>
      <c r="AY275" s="49">
        <f t="shared" si="77"/>
        <v>0</v>
      </c>
      <c r="AZ275" s="49">
        <f t="shared" si="78"/>
        <v>0</v>
      </c>
      <c r="BA275" s="31">
        <v>0</v>
      </c>
      <c r="BB275" s="188">
        <f t="shared" si="81"/>
        <v>0</v>
      </c>
      <c r="BC275" s="188" t="str">
        <f t="shared" si="85"/>
        <v xml:space="preserve"> </v>
      </c>
      <c r="BD275" s="188" t="str">
        <f t="shared" si="86"/>
        <v xml:space="preserve"> </v>
      </c>
      <c r="BE275" s="188" t="str">
        <f t="shared" si="87"/>
        <v xml:space="preserve"> </v>
      </c>
      <c r="BF275" s="50" t="str">
        <f t="shared" si="79"/>
        <v>DE MAMIEL CREEK_Pink</v>
      </c>
      <c r="BG275" s="50" t="str">
        <f>IFERROR(VLOOKUP(BF275,'[1]WCVI Esc'!$C$5:$W$514,18,FALSE),"-")</f>
        <v>-</v>
      </c>
      <c r="BH275" s="50" t="str">
        <f t="shared" si="82"/>
        <v>-</v>
      </c>
      <c r="BI275" s="50" t="str">
        <f>IFERROR(VLOOKUP(BF275,'[1]WCVI Esc'!$C$5:$W$514,19,FALSE),"-")</f>
        <v>-</v>
      </c>
      <c r="BJ275" s="50" t="str">
        <f t="shared" si="83"/>
        <v>-</v>
      </c>
    </row>
    <row r="276" spans="1:62" hidden="1" x14ac:dyDescent="0.2">
      <c r="A276" s="28">
        <v>4</v>
      </c>
      <c r="B276" s="28">
        <v>4</v>
      </c>
      <c r="C276" s="11">
        <v>20</v>
      </c>
      <c r="D276" s="11" t="s">
        <v>303</v>
      </c>
      <c r="E276" s="10" t="s">
        <v>71</v>
      </c>
      <c r="F276" s="10" t="s">
        <v>209</v>
      </c>
      <c r="G276" s="10"/>
      <c r="H276" s="152"/>
      <c r="I276" s="164"/>
      <c r="J276" s="62"/>
      <c r="K276" s="62"/>
      <c r="L276" s="177"/>
      <c r="M276" s="171"/>
      <c r="N276" s="62"/>
      <c r="O276" s="62"/>
      <c r="P276" s="62"/>
      <c r="Q276" s="64"/>
      <c r="R276" s="164"/>
      <c r="S276" s="62"/>
      <c r="T276" s="62"/>
      <c r="U276" s="62"/>
      <c r="V276" s="177"/>
      <c r="W276" s="171"/>
      <c r="X276" s="62"/>
      <c r="Y276" s="45"/>
      <c r="Z276" s="45"/>
      <c r="AA276" s="100"/>
      <c r="AB276" s="100"/>
      <c r="AC276" s="24"/>
      <c r="AD276" s="24"/>
      <c r="AE276" s="24"/>
      <c r="AF276" s="24"/>
      <c r="AG276" s="18">
        <v>20</v>
      </c>
      <c r="AH276" s="18" t="s">
        <v>303</v>
      </c>
      <c r="AI276" s="243" t="s">
        <v>71</v>
      </c>
      <c r="AJ276" s="243" t="s">
        <v>419</v>
      </c>
      <c r="AK276" s="246"/>
      <c r="AL276" s="43" t="str">
        <f t="shared" si="84"/>
        <v>-</v>
      </c>
      <c r="AM276" s="43">
        <f t="shared" si="72"/>
        <v>0</v>
      </c>
      <c r="AN276" s="193">
        <f t="shared" si="72"/>
        <v>0</v>
      </c>
      <c r="AO276" s="270" t="str">
        <f t="shared" si="73"/>
        <v>-</v>
      </c>
      <c r="AP276" s="268"/>
      <c r="AQ276" s="26" t="str">
        <f t="shared" si="80"/>
        <v>DE MAMIEL CREEKChum</v>
      </c>
      <c r="AR276" s="26">
        <f t="shared" si="74"/>
        <v>0</v>
      </c>
      <c r="AS276" s="33">
        <f t="shared" si="75"/>
        <v>0</v>
      </c>
      <c r="AX276" s="47" t="str">
        <f t="shared" si="76"/>
        <v>DE MAMIEL CREEKChum</v>
      </c>
      <c r="AY276" s="49">
        <f t="shared" si="77"/>
        <v>0</v>
      </c>
      <c r="AZ276" s="49">
        <f t="shared" si="78"/>
        <v>0</v>
      </c>
      <c r="BA276" s="31">
        <v>2010</v>
      </c>
      <c r="BB276" s="188">
        <f t="shared" si="81"/>
        <v>0</v>
      </c>
      <c r="BC276" s="188" t="str">
        <f t="shared" si="85"/>
        <v xml:space="preserve"> </v>
      </c>
      <c r="BD276" s="188" t="str">
        <f t="shared" si="86"/>
        <v xml:space="preserve"> </v>
      </c>
      <c r="BE276" s="188" t="str">
        <f t="shared" si="87"/>
        <v xml:space="preserve"> </v>
      </c>
      <c r="BF276" s="50" t="str">
        <f t="shared" si="79"/>
        <v>DE MAMIEL CREEK_Chum</v>
      </c>
      <c r="BG276" s="50" t="str">
        <f>IFERROR(VLOOKUP(BF276,'[1]WCVI Esc'!$C$5:$W$514,18,FALSE),"-")</f>
        <v>-</v>
      </c>
      <c r="BH276" s="50" t="str">
        <f t="shared" si="82"/>
        <v>-</v>
      </c>
      <c r="BI276" s="50">
        <f>IFERROR(VLOOKUP(BF276,'[1]WCVI Esc'!$C$5:$W$514,19,FALSE),"-")</f>
        <v>3754</v>
      </c>
      <c r="BJ276" s="50">
        <f t="shared" si="83"/>
        <v>3750</v>
      </c>
    </row>
    <row r="277" spans="1:62" hidden="1" x14ac:dyDescent="0.2">
      <c r="A277" s="28">
        <v>4</v>
      </c>
      <c r="B277" s="28">
        <v>5</v>
      </c>
      <c r="C277" s="11">
        <v>20</v>
      </c>
      <c r="D277" s="11" t="s">
        <v>303</v>
      </c>
      <c r="E277" s="10" t="s">
        <v>71</v>
      </c>
      <c r="F277" s="10" t="s">
        <v>210</v>
      </c>
      <c r="G277" s="10"/>
      <c r="H277" s="152"/>
      <c r="I277" s="164"/>
      <c r="J277" s="62"/>
      <c r="K277" s="62"/>
      <c r="L277" s="177"/>
      <c r="M277" s="171"/>
      <c r="N277" s="62"/>
      <c r="O277" s="62"/>
      <c r="P277" s="62"/>
      <c r="Q277" s="64"/>
      <c r="R277" s="164"/>
      <c r="S277" s="62"/>
      <c r="T277" s="62"/>
      <c r="U277" s="62"/>
      <c r="V277" s="177"/>
      <c r="W277" s="171"/>
      <c r="X277" s="62"/>
      <c r="Y277" s="45"/>
      <c r="Z277" s="45"/>
      <c r="AA277" s="100"/>
      <c r="AB277" s="100"/>
      <c r="AC277" s="24"/>
      <c r="AD277" s="24"/>
      <c r="AE277" s="24"/>
      <c r="AF277" s="24"/>
      <c r="AG277" s="18">
        <v>20</v>
      </c>
      <c r="AH277" s="18" t="s">
        <v>303</v>
      </c>
      <c r="AI277" s="243" t="s">
        <v>71</v>
      </c>
      <c r="AJ277" s="243" t="s">
        <v>419</v>
      </c>
      <c r="AK277" s="246"/>
      <c r="AL277" s="43" t="str">
        <f t="shared" si="84"/>
        <v>-</v>
      </c>
      <c r="AM277" s="43">
        <f t="shared" si="72"/>
        <v>0</v>
      </c>
      <c r="AN277" s="193">
        <f t="shared" si="72"/>
        <v>0</v>
      </c>
      <c r="AO277" s="270" t="str">
        <f t="shared" si="73"/>
        <v>-</v>
      </c>
      <c r="AP277" s="268"/>
      <c r="AQ277" s="26" t="str">
        <f t="shared" si="80"/>
        <v>DE MAMIEL CREEKChinook</v>
      </c>
      <c r="AR277" s="26">
        <f t="shared" si="74"/>
        <v>0</v>
      </c>
      <c r="AS277" s="33">
        <f t="shared" si="75"/>
        <v>0</v>
      </c>
      <c r="AX277" s="47" t="str">
        <f t="shared" si="76"/>
        <v>DE MAMIEL CREEKChinook</v>
      </c>
      <c r="AY277" s="49">
        <f t="shared" si="77"/>
        <v>0</v>
      </c>
      <c r="AZ277" s="49">
        <f t="shared" si="78"/>
        <v>0</v>
      </c>
      <c r="BA277" s="31">
        <v>2010</v>
      </c>
      <c r="BB277" s="188">
        <f t="shared" si="81"/>
        <v>0</v>
      </c>
      <c r="BC277" s="188" t="str">
        <f t="shared" si="85"/>
        <v xml:space="preserve"> </v>
      </c>
      <c r="BD277" s="188" t="str">
        <f t="shared" si="86"/>
        <v xml:space="preserve"> </v>
      </c>
      <c r="BE277" s="188" t="str">
        <f t="shared" si="87"/>
        <v xml:space="preserve"> </v>
      </c>
      <c r="BF277" s="50" t="str">
        <f t="shared" si="79"/>
        <v>DE MAMIEL CREEK_Chinook</v>
      </c>
      <c r="BG277" s="50" t="str">
        <f>IFERROR(VLOOKUP(BF277,'[1]WCVI Esc'!$C$5:$W$514,18,FALSE),"-")</f>
        <v>-</v>
      </c>
      <c r="BH277" s="50" t="str">
        <f t="shared" si="82"/>
        <v>-</v>
      </c>
      <c r="BI277" s="50">
        <f>IFERROR(VLOOKUP(BF277,'[1]WCVI Esc'!$C$5:$W$514,19,FALSE),"-")</f>
        <v>75</v>
      </c>
      <c r="BJ277" s="50">
        <f t="shared" si="83"/>
        <v>80</v>
      </c>
    </row>
    <row r="278" spans="1:62" hidden="1" x14ac:dyDescent="0.2">
      <c r="A278" s="28">
        <v>4</v>
      </c>
      <c r="B278" s="28">
        <v>6</v>
      </c>
      <c r="C278" s="11">
        <v>20</v>
      </c>
      <c r="D278" s="11" t="s">
        <v>303</v>
      </c>
      <c r="E278" s="10" t="s">
        <v>71</v>
      </c>
      <c r="F278" s="10" t="s">
        <v>211</v>
      </c>
      <c r="G278" s="10"/>
      <c r="H278" s="152"/>
      <c r="I278" s="164"/>
      <c r="J278" s="62"/>
      <c r="K278" s="62"/>
      <c r="L278" s="177"/>
      <c r="M278" s="171"/>
      <c r="N278" s="62"/>
      <c r="O278" s="62"/>
      <c r="P278" s="62"/>
      <c r="Q278" s="64"/>
      <c r="R278" s="164"/>
      <c r="S278" s="62"/>
      <c r="T278" s="62"/>
      <c r="U278" s="62"/>
      <c r="V278" s="177"/>
      <c r="W278" s="171"/>
      <c r="X278" s="62"/>
      <c r="Y278" s="45"/>
      <c r="Z278" s="45"/>
      <c r="AA278" s="100"/>
      <c r="AB278" s="100"/>
      <c r="AC278" s="24"/>
      <c r="AD278" s="24"/>
      <c r="AE278" s="24"/>
      <c r="AF278" s="24"/>
      <c r="AG278" s="18">
        <v>20</v>
      </c>
      <c r="AH278" s="18" t="s">
        <v>303</v>
      </c>
      <c r="AI278" s="243" t="s">
        <v>71</v>
      </c>
      <c r="AJ278" s="243" t="s">
        <v>419</v>
      </c>
      <c r="AK278" s="246"/>
      <c r="AL278" s="43" t="str">
        <f t="shared" si="84"/>
        <v>-</v>
      </c>
      <c r="AM278" s="43">
        <f t="shared" si="72"/>
        <v>0</v>
      </c>
      <c r="AN278" s="193">
        <f t="shared" si="72"/>
        <v>0</v>
      </c>
      <c r="AO278" s="270" t="str">
        <f t="shared" si="73"/>
        <v>-</v>
      </c>
      <c r="AP278" s="267"/>
      <c r="AQ278" s="26" t="str">
        <f t="shared" si="80"/>
        <v>DE MAMIEL CREEKSteelhead</v>
      </c>
      <c r="AR278" s="26">
        <f t="shared" si="74"/>
        <v>0</v>
      </c>
      <c r="AS278" s="33">
        <f t="shared" si="75"/>
        <v>0</v>
      </c>
      <c r="AX278" s="47" t="str">
        <f t="shared" si="76"/>
        <v>DE MAMIEL CREEKSteelhead</v>
      </c>
      <c r="AY278" s="49">
        <f t="shared" si="77"/>
        <v>0</v>
      </c>
      <c r="AZ278" s="49">
        <f t="shared" si="78"/>
        <v>0</v>
      </c>
      <c r="BA278" s="31">
        <v>0</v>
      </c>
      <c r="BB278" s="188">
        <f t="shared" si="81"/>
        <v>0</v>
      </c>
      <c r="BC278" s="188" t="str">
        <f t="shared" si="85"/>
        <v xml:space="preserve"> </v>
      </c>
      <c r="BD278" s="188" t="str">
        <f t="shared" si="86"/>
        <v xml:space="preserve"> </v>
      </c>
      <c r="BE278" s="188" t="str">
        <f t="shared" si="87"/>
        <v xml:space="preserve"> </v>
      </c>
      <c r="BF278" s="50" t="str">
        <f t="shared" si="79"/>
        <v>DE MAMIEL CREEK_Steelhead</v>
      </c>
      <c r="BG278" s="50" t="str">
        <f>IFERROR(VLOOKUP(BF278,'[1]WCVI Esc'!$C$5:$W$514,18,FALSE),"-")</f>
        <v>-</v>
      </c>
      <c r="BH278" s="50" t="str">
        <f t="shared" si="82"/>
        <v>-</v>
      </c>
      <c r="BI278" s="50" t="str">
        <f>IFERROR(VLOOKUP(BF278,'[1]WCVI Esc'!$C$5:$W$514,19,FALSE),"-")</f>
        <v>-</v>
      </c>
      <c r="BJ278" s="50" t="str">
        <f t="shared" si="83"/>
        <v>-</v>
      </c>
    </row>
    <row r="279" spans="1:62" hidden="1" x14ac:dyDescent="0.2">
      <c r="A279" s="28">
        <v>4</v>
      </c>
      <c r="B279" s="28">
        <v>1</v>
      </c>
      <c r="C279" s="11">
        <v>20</v>
      </c>
      <c r="D279" s="13" t="s">
        <v>291</v>
      </c>
      <c r="E279" s="10" t="s">
        <v>152</v>
      </c>
      <c r="F279" s="10" t="s">
        <v>207</v>
      </c>
      <c r="G279" s="10"/>
      <c r="H279" s="152"/>
      <c r="I279" s="164"/>
      <c r="J279" s="62"/>
      <c r="K279" s="62"/>
      <c r="L279" s="177"/>
      <c r="M279" s="171"/>
      <c r="N279" s="62"/>
      <c r="O279" s="62"/>
      <c r="P279" s="62"/>
      <c r="Q279" s="64"/>
      <c r="R279" s="164"/>
      <c r="S279" s="62"/>
      <c r="T279" s="62"/>
      <c r="U279" s="62"/>
      <c r="V279" s="177"/>
      <c r="W279" s="171"/>
      <c r="X279" s="62"/>
      <c r="Y279" s="45"/>
      <c r="Z279" s="45"/>
      <c r="AA279" s="100"/>
      <c r="AB279" s="100"/>
      <c r="AC279" s="24"/>
      <c r="AD279" s="24"/>
      <c r="AE279" s="24"/>
      <c r="AF279" s="24"/>
      <c r="AG279" s="18">
        <v>20</v>
      </c>
      <c r="AH279" s="69" t="s">
        <v>291</v>
      </c>
      <c r="AI279" s="243" t="s">
        <v>152</v>
      </c>
      <c r="AJ279" s="243" t="s">
        <v>419</v>
      </c>
      <c r="AK279" s="246"/>
      <c r="AL279" s="43" t="str">
        <f t="shared" si="84"/>
        <v>-</v>
      </c>
      <c r="AM279" s="43">
        <f t="shared" si="72"/>
        <v>0</v>
      </c>
      <c r="AN279" s="193">
        <f t="shared" si="72"/>
        <v>0</v>
      </c>
      <c r="AO279" s="270" t="str">
        <f t="shared" si="73"/>
        <v>-</v>
      </c>
      <c r="AP279" s="266"/>
      <c r="AQ279" s="26" t="str">
        <f t="shared" si="80"/>
        <v>FAIRY CREEKSockeye</v>
      </c>
      <c r="AR279" s="26">
        <f t="shared" si="74"/>
        <v>0</v>
      </c>
      <c r="AS279" s="33">
        <f t="shared" si="75"/>
        <v>0</v>
      </c>
      <c r="AX279" s="47" t="str">
        <f t="shared" si="76"/>
        <v>FAIRY CREEKSockeye</v>
      </c>
      <c r="AY279" s="49">
        <f t="shared" si="77"/>
        <v>0</v>
      </c>
      <c r="AZ279" s="49">
        <f t="shared" si="78"/>
        <v>0</v>
      </c>
      <c r="BA279" s="31">
        <v>0</v>
      </c>
      <c r="BB279" s="188">
        <f t="shared" si="81"/>
        <v>0</v>
      </c>
      <c r="BC279" s="188" t="str">
        <f t="shared" si="85"/>
        <v xml:space="preserve"> </v>
      </c>
      <c r="BD279" s="188" t="str">
        <f t="shared" si="86"/>
        <v xml:space="preserve"> </v>
      </c>
      <c r="BE279" s="188" t="str">
        <f t="shared" si="87"/>
        <v xml:space="preserve"> </v>
      </c>
      <c r="BF279" s="50" t="str">
        <f t="shared" si="79"/>
        <v>FAIRY CREEK_Sockeye</v>
      </c>
      <c r="BG279" s="50" t="str">
        <f>IFERROR(VLOOKUP(BF279,'[1]WCVI Esc'!$C$5:$W$514,18,FALSE),"-")</f>
        <v>-</v>
      </c>
      <c r="BH279" s="50" t="str">
        <f t="shared" si="82"/>
        <v>-</v>
      </c>
      <c r="BI279" s="50" t="str">
        <f>IFERROR(VLOOKUP(BF279,'[1]WCVI Esc'!$C$5:$W$514,19,FALSE),"-")</f>
        <v>-</v>
      </c>
      <c r="BJ279" s="50" t="str">
        <f t="shared" si="83"/>
        <v>-</v>
      </c>
    </row>
    <row r="280" spans="1:62" hidden="1" x14ac:dyDescent="0.2">
      <c r="A280" s="28">
        <v>4</v>
      </c>
      <c r="B280" s="28">
        <v>2</v>
      </c>
      <c r="C280" s="11">
        <v>20</v>
      </c>
      <c r="D280" s="13" t="s">
        <v>291</v>
      </c>
      <c r="E280" s="10" t="s">
        <v>152</v>
      </c>
      <c r="F280" s="10" t="s">
        <v>219</v>
      </c>
      <c r="G280" s="10"/>
      <c r="H280" s="152"/>
      <c r="I280" s="164"/>
      <c r="J280" s="62"/>
      <c r="K280" s="62"/>
      <c r="L280" s="177"/>
      <c r="M280" s="171"/>
      <c r="N280" s="62"/>
      <c r="O280" s="62"/>
      <c r="P280" s="62"/>
      <c r="Q280" s="64"/>
      <c r="R280" s="164"/>
      <c r="S280" s="62"/>
      <c r="T280" s="62"/>
      <c r="U280" s="62"/>
      <c r="V280" s="177"/>
      <c r="W280" s="171"/>
      <c r="X280" s="62"/>
      <c r="Y280" s="45"/>
      <c r="Z280" s="45"/>
      <c r="AA280" s="100"/>
      <c r="AB280" s="100"/>
      <c r="AC280" s="24"/>
      <c r="AD280" s="24"/>
      <c r="AE280" s="24"/>
      <c r="AF280" s="24"/>
      <c r="AG280" s="18">
        <v>20</v>
      </c>
      <c r="AH280" s="69" t="s">
        <v>291</v>
      </c>
      <c r="AI280" s="243" t="s">
        <v>152</v>
      </c>
      <c r="AJ280" s="243" t="s">
        <v>419</v>
      </c>
      <c r="AK280" s="246"/>
      <c r="AL280" s="43" t="str">
        <f t="shared" si="84"/>
        <v>-</v>
      </c>
      <c r="AM280" s="43">
        <f t="shared" si="72"/>
        <v>0</v>
      </c>
      <c r="AN280" s="193">
        <f t="shared" si="72"/>
        <v>0</v>
      </c>
      <c r="AO280" s="270" t="str">
        <f t="shared" si="73"/>
        <v>-</v>
      </c>
      <c r="AP280" s="266"/>
      <c r="AQ280" s="26" t="str">
        <f t="shared" si="80"/>
        <v>FAIRY CREEKCoho</v>
      </c>
      <c r="AR280" s="26">
        <f t="shared" si="74"/>
        <v>0</v>
      </c>
      <c r="AS280" s="33">
        <f t="shared" si="75"/>
        <v>0</v>
      </c>
      <c r="AX280" s="47" t="str">
        <f t="shared" si="76"/>
        <v>FAIRY CREEKCoho</v>
      </c>
      <c r="AY280" s="49">
        <f t="shared" si="77"/>
        <v>0</v>
      </c>
      <c r="AZ280" s="49">
        <f t="shared" si="78"/>
        <v>0</v>
      </c>
      <c r="BA280" s="31">
        <v>0</v>
      </c>
      <c r="BB280" s="188">
        <f t="shared" si="81"/>
        <v>0</v>
      </c>
      <c r="BC280" s="188" t="str">
        <f t="shared" si="85"/>
        <v xml:space="preserve"> </v>
      </c>
      <c r="BD280" s="188" t="str">
        <f t="shared" si="86"/>
        <v xml:space="preserve"> </v>
      </c>
      <c r="BE280" s="188" t="str">
        <f t="shared" si="87"/>
        <v xml:space="preserve"> </v>
      </c>
      <c r="BF280" s="50" t="str">
        <f t="shared" si="79"/>
        <v>FAIRY CREEK_Coho</v>
      </c>
      <c r="BG280" s="50" t="str">
        <f>IFERROR(VLOOKUP(BF280,'[1]WCVI Esc'!$C$5:$W$514,18,FALSE),"-")</f>
        <v>-</v>
      </c>
      <c r="BH280" s="50" t="str">
        <f t="shared" si="82"/>
        <v>-</v>
      </c>
      <c r="BI280" s="50" t="str">
        <f>IFERROR(VLOOKUP(BF280,'[1]WCVI Esc'!$C$5:$W$514,19,FALSE),"-")</f>
        <v>-</v>
      </c>
      <c r="BJ280" s="50" t="str">
        <f t="shared" si="83"/>
        <v>-</v>
      </c>
    </row>
    <row r="281" spans="1:62" hidden="1" x14ac:dyDescent="0.2">
      <c r="A281" s="28">
        <v>4</v>
      </c>
      <c r="B281" s="28">
        <v>3</v>
      </c>
      <c r="C281" s="11">
        <v>20</v>
      </c>
      <c r="D281" s="13" t="s">
        <v>291</v>
      </c>
      <c r="E281" s="10" t="s">
        <v>152</v>
      </c>
      <c r="F281" s="10" t="s">
        <v>208</v>
      </c>
      <c r="G281" s="10"/>
      <c r="H281" s="152"/>
      <c r="I281" s="164"/>
      <c r="J281" s="62"/>
      <c r="K281" s="62"/>
      <c r="L281" s="177"/>
      <c r="M281" s="171"/>
      <c r="N281" s="62"/>
      <c r="O281" s="62"/>
      <c r="P281" s="62"/>
      <c r="Q281" s="64"/>
      <c r="R281" s="164"/>
      <c r="S281" s="62"/>
      <c r="T281" s="62"/>
      <c r="U281" s="62"/>
      <c r="V281" s="177"/>
      <c r="W281" s="171"/>
      <c r="X281" s="62"/>
      <c r="Y281" s="45"/>
      <c r="Z281" s="45"/>
      <c r="AA281" s="100"/>
      <c r="AB281" s="100"/>
      <c r="AC281" s="24"/>
      <c r="AD281" s="24"/>
      <c r="AE281" s="24"/>
      <c r="AF281" s="24"/>
      <c r="AG281" s="18">
        <v>20</v>
      </c>
      <c r="AH281" s="69" t="s">
        <v>291</v>
      </c>
      <c r="AI281" s="243" t="s">
        <v>152</v>
      </c>
      <c r="AJ281" s="243" t="s">
        <v>419</v>
      </c>
      <c r="AK281" s="246"/>
      <c r="AL281" s="43" t="str">
        <f t="shared" si="84"/>
        <v>-</v>
      </c>
      <c r="AM281" s="43">
        <f t="shared" si="72"/>
        <v>0</v>
      </c>
      <c r="AN281" s="193">
        <f t="shared" si="72"/>
        <v>0</v>
      </c>
      <c r="AO281" s="270" t="str">
        <f t="shared" si="73"/>
        <v>-</v>
      </c>
      <c r="AP281" s="266"/>
      <c r="AQ281" s="26" t="str">
        <f t="shared" si="80"/>
        <v>FAIRY CREEKPink</v>
      </c>
      <c r="AR281" s="26">
        <f t="shared" si="74"/>
        <v>0</v>
      </c>
      <c r="AS281" s="33">
        <f t="shared" si="75"/>
        <v>0</v>
      </c>
      <c r="AX281" s="47" t="str">
        <f t="shared" si="76"/>
        <v>FAIRY CREEKPink</v>
      </c>
      <c r="AY281" s="49">
        <f t="shared" si="77"/>
        <v>0</v>
      </c>
      <c r="AZ281" s="49">
        <f t="shared" si="78"/>
        <v>0</v>
      </c>
      <c r="BA281" s="31">
        <v>0</v>
      </c>
      <c r="BB281" s="188">
        <f t="shared" si="81"/>
        <v>0</v>
      </c>
      <c r="BC281" s="188" t="str">
        <f t="shared" si="85"/>
        <v xml:space="preserve"> </v>
      </c>
      <c r="BD281" s="188" t="str">
        <f t="shared" si="86"/>
        <v xml:space="preserve"> </v>
      </c>
      <c r="BE281" s="188" t="str">
        <f t="shared" si="87"/>
        <v xml:space="preserve"> </v>
      </c>
      <c r="BF281" s="50" t="str">
        <f t="shared" si="79"/>
        <v>FAIRY CREEK_Pink</v>
      </c>
      <c r="BG281" s="50" t="str">
        <f>IFERROR(VLOOKUP(BF281,'[1]WCVI Esc'!$C$5:$W$514,18,FALSE),"-")</f>
        <v>-</v>
      </c>
      <c r="BH281" s="50" t="str">
        <f t="shared" si="82"/>
        <v>-</v>
      </c>
      <c r="BI281" s="50" t="str">
        <f>IFERROR(VLOOKUP(BF281,'[1]WCVI Esc'!$C$5:$W$514,19,FALSE),"-")</f>
        <v>-</v>
      </c>
      <c r="BJ281" s="50" t="str">
        <f t="shared" si="83"/>
        <v>-</v>
      </c>
    </row>
    <row r="282" spans="1:62" hidden="1" x14ac:dyDescent="0.2">
      <c r="A282" s="28">
        <v>4</v>
      </c>
      <c r="B282" s="28">
        <v>4</v>
      </c>
      <c r="C282" s="11">
        <v>20</v>
      </c>
      <c r="D282" s="13" t="s">
        <v>291</v>
      </c>
      <c r="E282" s="10" t="s">
        <v>152</v>
      </c>
      <c r="F282" s="10" t="s">
        <v>209</v>
      </c>
      <c r="G282" s="10"/>
      <c r="H282" s="152"/>
      <c r="I282" s="164"/>
      <c r="J282" s="62"/>
      <c r="K282" s="62"/>
      <c r="L282" s="177"/>
      <c r="M282" s="171"/>
      <c r="N282" s="62"/>
      <c r="O282" s="62"/>
      <c r="P282" s="62"/>
      <c r="Q282" s="64"/>
      <c r="R282" s="164"/>
      <c r="S282" s="62"/>
      <c r="T282" s="62"/>
      <c r="U282" s="62"/>
      <c r="V282" s="177"/>
      <c r="W282" s="171"/>
      <c r="X282" s="62"/>
      <c r="Y282" s="45"/>
      <c r="Z282" s="45"/>
      <c r="AA282" s="100"/>
      <c r="AB282" s="100"/>
      <c r="AC282" s="24"/>
      <c r="AD282" s="24"/>
      <c r="AE282" s="24"/>
      <c r="AF282" s="24"/>
      <c r="AG282" s="18">
        <v>20</v>
      </c>
      <c r="AH282" s="69" t="s">
        <v>291</v>
      </c>
      <c r="AI282" s="243" t="s">
        <v>152</v>
      </c>
      <c r="AJ282" s="243" t="s">
        <v>419</v>
      </c>
      <c r="AK282" s="246"/>
      <c r="AL282" s="43" t="str">
        <f t="shared" si="84"/>
        <v>-</v>
      </c>
      <c r="AM282" s="43">
        <f t="shared" si="72"/>
        <v>0</v>
      </c>
      <c r="AN282" s="193">
        <f t="shared" si="72"/>
        <v>0</v>
      </c>
      <c r="AO282" s="270" t="str">
        <f t="shared" si="73"/>
        <v>-</v>
      </c>
      <c r="AP282" s="266"/>
      <c r="AQ282" s="26" t="str">
        <f t="shared" si="80"/>
        <v>FAIRY CREEKChum</v>
      </c>
      <c r="AR282" s="26">
        <f t="shared" si="74"/>
        <v>0</v>
      </c>
      <c r="AS282" s="33">
        <f t="shared" si="75"/>
        <v>0</v>
      </c>
      <c r="AX282" s="47" t="str">
        <f t="shared" si="76"/>
        <v>FAIRY CREEKChum</v>
      </c>
      <c r="AY282" s="49">
        <f t="shared" si="77"/>
        <v>0</v>
      </c>
      <c r="AZ282" s="49">
        <f t="shared" si="78"/>
        <v>0</v>
      </c>
      <c r="BA282" s="31">
        <v>0</v>
      </c>
      <c r="BB282" s="188">
        <f t="shared" si="81"/>
        <v>0</v>
      </c>
      <c r="BC282" s="188" t="str">
        <f t="shared" si="85"/>
        <v xml:space="preserve"> </v>
      </c>
      <c r="BD282" s="188" t="str">
        <f t="shared" si="86"/>
        <v xml:space="preserve"> </v>
      </c>
      <c r="BE282" s="188" t="str">
        <f t="shared" si="87"/>
        <v xml:space="preserve"> </v>
      </c>
      <c r="BF282" s="50" t="str">
        <f t="shared" si="79"/>
        <v>FAIRY CREEK_Chum</v>
      </c>
      <c r="BG282" s="50" t="str">
        <f>IFERROR(VLOOKUP(BF282,'[1]WCVI Esc'!$C$5:$W$514,18,FALSE),"-")</f>
        <v>-</v>
      </c>
      <c r="BH282" s="50" t="str">
        <f t="shared" si="82"/>
        <v>-</v>
      </c>
      <c r="BI282" s="50" t="str">
        <f>IFERROR(VLOOKUP(BF282,'[1]WCVI Esc'!$C$5:$W$514,19,FALSE),"-")</f>
        <v>-</v>
      </c>
      <c r="BJ282" s="50" t="str">
        <f t="shared" si="83"/>
        <v>-</v>
      </c>
    </row>
    <row r="283" spans="1:62" hidden="1" x14ac:dyDescent="0.2">
      <c r="A283" s="28">
        <v>4</v>
      </c>
      <c r="B283" s="28">
        <v>5</v>
      </c>
      <c r="C283" s="11">
        <v>20</v>
      </c>
      <c r="D283" s="13" t="s">
        <v>291</v>
      </c>
      <c r="E283" s="10" t="s">
        <v>152</v>
      </c>
      <c r="F283" s="10" t="s">
        <v>210</v>
      </c>
      <c r="G283" s="10"/>
      <c r="H283" s="152"/>
      <c r="I283" s="164"/>
      <c r="J283" s="62"/>
      <c r="K283" s="62"/>
      <c r="L283" s="177"/>
      <c r="M283" s="171"/>
      <c r="N283" s="62"/>
      <c r="O283" s="62"/>
      <c r="P283" s="62"/>
      <c r="Q283" s="64"/>
      <c r="R283" s="164"/>
      <c r="S283" s="62"/>
      <c r="T283" s="62"/>
      <c r="U283" s="62"/>
      <c r="V283" s="177"/>
      <c r="W283" s="171"/>
      <c r="X283" s="62"/>
      <c r="Y283" s="45"/>
      <c r="Z283" s="45"/>
      <c r="AA283" s="100"/>
      <c r="AB283" s="100"/>
      <c r="AC283" s="24"/>
      <c r="AD283" s="24"/>
      <c r="AE283" s="24"/>
      <c r="AF283" s="24"/>
      <c r="AG283" s="18">
        <v>20</v>
      </c>
      <c r="AH283" s="69" t="s">
        <v>291</v>
      </c>
      <c r="AI283" s="243" t="s">
        <v>152</v>
      </c>
      <c r="AJ283" s="243" t="s">
        <v>419</v>
      </c>
      <c r="AK283" s="246"/>
      <c r="AL283" s="43" t="str">
        <f t="shared" si="84"/>
        <v>-</v>
      </c>
      <c r="AM283" s="43">
        <f t="shared" si="72"/>
        <v>0</v>
      </c>
      <c r="AN283" s="193">
        <f t="shared" si="72"/>
        <v>0</v>
      </c>
      <c r="AO283" s="270" t="str">
        <f t="shared" si="73"/>
        <v>-</v>
      </c>
      <c r="AP283" s="266"/>
      <c r="AQ283" s="26" t="str">
        <f t="shared" si="80"/>
        <v>FAIRY CREEKChinook</v>
      </c>
      <c r="AR283" s="26">
        <f t="shared" si="74"/>
        <v>0</v>
      </c>
      <c r="AS283" s="33">
        <f t="shared" si="75"/>
        <v>0</v>
      </c>
      <c r="AX283" s="47" t="str">
        <f t="shared" si="76"/>
        <v>FAIRY CREEKChinook</v>
      </c>
      <c r="AY283" s="49">
        <f t="shared" si="77"/>
        <v>0</v>
      </c>
      <c r="AZ283" s="49">
        <f t="shared" si="78"/>
        <v>0</v>
      </c>
      <c r="BA283" s="31">
        <v>0</v>
      </c>
      <c r="BB283" s="188">
        <f t="shared" si="81"/>
        <v>0</v>
      </c>
      <c r="BC283" s="188" t="str">
        <f t="shared" si="85"/>
        <v xml:space="preserve"> </v>
      </c>
      <c r="BD283" s="188" t="str">
        <f t="shared" si="86"/>
        <v xml:space="preserve"> </v>
      </c>
      <c r="BE283" s="188" t="str">
        <f t="shared" si="87"/>
        <v xml:space="preserve"> </v>
      </c>
      <c r="BF283" s="50" t="str">
        <f t="shared" si="79"/>
        <v>FAIRY CREEK_Chinook</v>
      </c>
      <c r="BG283" s="50" t="str">
        <f>IFERROR(VLOOKUP(BF283,'[1]WCVI Esc'!$C$5:$W$514,18,FALSE),"-")</f>
        <v>-</v>
      </c>
      <c r="BH283" s="50" t="str">
        <f t="shared" si="82"/>
        <v>-</v>
      </c>
      <c r="BI283" s="50" t="str">
        <f>IFERROR(VLOOKUP(BF283,'[1]WCVI Esc'!$C$5:$W$514,19,FALSE),"-")</f>
        <v>-</v>
      </c>
      <c r="BJ283" s="50" t="str">
        <f t="shared" si="83"/>
        <v>-</v>
      </c>
    </row>
    <row r="284" spans="1:62" hidden="1" x14ac:dyDescent="0.2">
      <c r="A284" s="28">
        <v>4</v>
      </c>
      <c r="B284" s="28">
        <v>6</v>
      </c>
      <c r="C284" s="11">
        <v>20</v>
      </c>
      <c r="D284" s="13" t="s">
        <v>291</v>
      </c>
      <c r="E284" s="10" t="s">
        <v>152</v>
      </c>
      <c r="F284" s="10" t="s">
        <v>211</v>
      </c>
      <c r="G284" s="10"/>
      <c r="H284" s="152"/>
      <c r="I284" s="164"/>
      <c r="J284" s="62"/>
      <c r="K284" s="62"/>
      <c r="L284" s="177"/>
      <c r="M284" s="171"/>
      <c r="N284" s="62"/>
      <c r="O284" s="62"/>
      <c r="P284" s="62"/>
      <c r="Q284" s="64"/>
      <c r="R284" s="164"/>
      <c r="S284" s="62"/>
      <c r="T284" s="62"/>
      <c r="U284" s="62"/>
      <c r="V284" s="177"/>
      <c r="W284" s="171"/>
      <c r="X284" s="62"/>
      <c r="Y284" s="45"/>
      <c r="Z284" s="45"/>
      <c r="AA284" s="100"/>
      <c r="AB284" s="100"/>
      <c r="AC284" s="24"/>
      <c r="AD284" s="24"/>
      <c r="AE284" s="24"/>
      <c r="AF284" s="24"/>
      <c r="AG284" s="18">
        <v>20</v>
      </c>
      <c r="AH284" s="69" t="s">
        <v>291</v>
      </c>
      <c r="AI284" s="243" t="s">
        <v>152</v>
      </c>
      <c r="AJ284" s="243" t="s">
        <v>419</v>
      </c>
      <c r="AK284" s="246"/>
      <c r="AL284" s="43" t="str">
        <f t="shared" si="84"/>
        <v>-</v>
      </c>
      <c r="AM284" s="43">
        <f t="shared" si="72"/>
        <v>0</v>
      </c>
      <c r="AN284" s="193">
        <f t="shared" si="72"/>
        <v>0</v>
      </c>
      <c r="AO284" s="270" t="str">
        <f t="shared" si="73"/>
        <v>-</v>
      </c>
      <c r="AP284" s="266"/>
      <c r="AQ284" s="26" t="str">
        <f t="shared" si="80"/>
        <v>FAIRY CREEKSteelhead</v>
      </c>
      <c r="AR284" s="26">
        <f t="shared" si="74"/>
        <v>0</v>
      </c>
      <c r="AS284" s="33">
        <f t="shared" si="75"/>
        <v>0</v>
      </c>
      <c r="AX284" s="47" t="str">
        <f t="shared" si="76"/>
        <v>FAIRY CREEKSteelhead</v>
      </c>
      <c r="AY284" s="49">
        <f t="shared" si="77"/>
        <v>0</v>
      </c>
      <c r="AZ284" s="49">
        <f t="shared" si="78"/>
        <v>0</v>
      </c>
      <c r="BA284" s="31">
        <v>0</v>
      </c>
      <c r="BB284" s="188">
        <f t="shared" si="81"/>
        <v>0</v>
      </c>
      <c r="BC284" s="188" t="str">
        <f t="shared" si="85"/>
        <v xml:space="preserve"> </v>
      </c>
      <c r="BD284" s="188" t="str">
        <f t="shared" si="86"/>
        <v xml:space="preserve"> </v>
      </c>
      <c r="BE284" s="188" t="str">
        <f t="shared" si="87"/>
        <v xml:space="preserve"> </v>
      </c>
      <c r="BF284" s="50" t="str">
        <f t="shared" si="79"/>
        <v>FAIRY CREEK_Steelhead</v>
      </c>
      <c r="BG284" s="50" t="str">
        <f>IFERROR(VLOOKUP(BF284,'[1]WCVI Esc'!$C$5:$W$514,18,FALSE),"-")</f>
        <v>-</v>
      </c>
      <c r="BH284" s="50" t="str">
        <f t="shared" si="82"/>
        <v>-</v>
      </c>
      <c r="BI284" s="50" t="str">
        <f>IFERROR(VLOOKUP(BF284,'[1]WCVI Esc'!$C$5:$W$514,19,FALSE),"-")</f>
        <v>-</v>
      </c>
      <c r="BJ284" s="50" t="str">
        <f t="shared" si="83"/>
        <v>-</v>
      </c>
    </row>
    <row r="285" spans="1:62" hidden="1" x14ac:dyDescent="0.2">
      <c r="A285" s="28">
        <v>4</v>
      </c>
      <c r="B285" s="28">
        <v>1</v>
      </c>
      <c r="C285" s="11">
        <v>20</v>
      </c>
      <c r="D285" s="13" t="s">
        <v>291</v>
      </c>
      <c r="E285" s="10" t="s">
        <v>72</v>
      </c>
      <c r="F285" s="10" t="s">
        <v>207</v>
      </c>
      <c r="G285" s="10"/>
      <c r="H285" s="152"/>
      <c r="I285" s="164"/>
      <c r="J285" s="62"/>
      <c r="K285" s="62"/>
      <c r="L285" s="177"/>
      <c r="M285" s="171"/>
      <c r="N285" s="62"/>
      <c r="O285" s="62"/>
      <c r="P285" s="62"/>
      <c r="Q285" s="64"/>
      <c r="R285" s="164"/>
      <c r="S285" s="62"/>
      <c r="T285" s="62"/>
      <c r="U285" s="62"/>
      <c r="V285" s="177"/>
      <c r="W285" s="171"/>
      <c r="X285" s="62"/>
      <c r="Y285" s="45"/>
      <c r="Z285" s="45"/>
      <c r="AA285" s="100"/>
      <c r="AB285" s="100"/>
      <c r="AC285" s="24"/>
      <c r="AD285" s="24"/>
      <c r="AE285" s="24"/>
      <c r="AF285" s="24"/>
      <c r="AG285" s="18">
        <v>20</v>
      </c>
      <c r="AH285" s="69" t="s">
        <v>291</v>
      </c>
      <c r="AI285" s="243" t="s">
        <v>72</v>
      </c>
      <c r="AJ285" s="243" t="s">
        <v>419</v>
      </c>
      <c r="AK285" s="246"/>
      <c r="AL285" s="43" t="str">
        <f t="shared" si="84"/>
        <v>-</v>
      </c>
      <c r="AM285" s="43">
        <f t="shared" si="72"/>
        <v>0</v>
      </c>
      <c r="AN285" s="193">
        <f t="shared" si="72"/>
        <v>0</v>
      </c>
      <c r="AO285" s="270" t="str">
        <f t="shared" si="73"/>
        <v>-</v>
      </c>
      <c r="AP285" s="266"/>
      <c r="AQ285" s="26" t="str">
        <f t="shared" si="80"/>
        <v>FALLS CREEKSockeye</v>
      </c>
      <c r="AR285" s="26">
        <f t="shared" si="74"/>
        <v>0</v>
      </c>
      <c r="AS285" s="33">
        <f t="shared" si="75"/>
        <v>0</v>
      </c>
      <c r="AX285" s="47" t="str">
        <f t="shared" si="76"/>
        <v>FALLS CREEKSockeye</v>
      </c>
      <c r="AY285" s="49">
        <f t="shared" si="77"/>
        <v>0</v>
      </c>
      <c r="AZ285" s="49">
        <f t="shared" si="78"/>
        <v>0</v>
      </c>
      <c r="BA285" s="31">
        <v>2013</v>
      </c>
      <c r="BB285" s="188">
        <f t="shared" si="81"/>
        <v>0</v>
      </c>
      <c r="BC285" s="188" t="str">
        <f t="shared" si="85"/>
        <v xml:space="preserve"> </v>
      </c>
      <c r="BD285" s="188" t="str">
        <f t="shared" si="86"/>
        <v xml:space="preserve"> </v>
      </c>
      <c r="BE285" s="188" t="str">
        <f t="shared" si="87"/>
        <v xml:space="preserve"> </v>
      </c>
      <c r="BF285" s="50" t="str">
        <f t="shared" si="79"/>
        <v>FALLS CREEK_Sockeye</v>
      </c>
      <c r="BG285" s="50" t="str">
        <f>IFERROR(VLOOKUP(BF285,'[1]WCVI Esc'!$C$5:$W$514,18,FALSE),"-")</f>
        <v>-</v>
      </c>
      <c r="BH285" s="50" t="str">
        <f t="shared" si="82"/>
        <v>-</v>
      </c>
      <c r="BI285" s="50" t="str">
        <f>IFERROR(VLOOKUP(BF285,'[1]WCVI Esc'!$C$5:$W$514,19,FALSE),"-")</f>
        <v>-</v>
      </c>
      <c r="BJ285" s="50" t="str">
        <f t="shared" si="83"/>
        <v>-</v>
      </c>
    </row>
    <row r="286" spans="1:62" hidden="1" x14ac:dyDescent="0.2">
      <c r="A286" s="28">
        <v>4</v>
      </c>
      <c r="B286" s="28">
        <v>2</v>
      </c>
      <c r="C286" s="11">
        <v>20</v>
      </c>
      <c r="D286" s="13" t="s">
        <v>291</v>
      </c>
      <c r="E286" s="10" t="s">
        <v>72</v>
      </c>
      <c r="F286" s="10" t="s">
        <v>219</v>
      </c>
      <c r="G286" s="10"/>
      <c r="H286" s="152"/>
      <c r="I286" s="164"/>
      <c r="J286" s="62"/>
      <c r="K286" s="62"/>
      <c r="L286" s="177"/>
      <c r="M286" s="171"/>
      <c r="N286" s="62"/>
      <c r="O286" s="62"/>
      <c r="P286" s="62"/>
      <c r="Q286" s="64"/>
      <c r="R286" s="164"/>
      <c r="S286" s="62"/>
      <c r="T286" s="62"/>
      <c r="U286" s="62"/>
      <c r="V286" s="177"/>
      <c r="W286" s="171"/>
      <c r="X286" s="62"/>
      <c r="Y286" s="45"/>
      <c r="Z286" s="45"/>
      <c r="AA286" s="100">
        <f>Y286/AP286</f>
        <v>0</v>
      </c>
      <c r="AB286" s="100">
        <f>AS286/AP286</f>
        <v>0</v>
      </c>
      <c r="AC286" s="24"/>
      <c r="AD286" s="24"/>
      <c r="AE286" s="24"/>
      <c r="AF286" s="24"/>
      <c r="AG286" s="18">
        <v>20</v>
      </c>
      <c r="AH286" s="69" t="s">
        <v>291</v>
      </c>
      <c r="AI286" s="243" t="s">
        <v>72</v>
      </c>
      <c r="AJ286" s="243" t="s">
        <v>419</v>
      </c>
      <c r="AK286" s="246"/>
      <c r="AL286" s="43" t="str">
        <f t="shared" si="84"/>
        <v>-</v>
      </c>
      <c r="AM286" s="43">
        <f t="shared" si="72"/>
        <v>0</v>
      </c>
      <c r="AN286" s="193">
        <f t="shared" si="72"/>
        <v>0</v>
      </c>
      <c r="AO286" s="270" t="str">
        <f t="shared" si="73"/>
        <v>-</v>
      </c>
      <c r="AP286" s="265">
        <f>BJ286</f>
        <v>10</v>
      </c>
      <c r="AQ286" s="26" t="str">
        <f t="shared" si="80"/>
        <v>FALLS CREEKCoho</v>
      </c>
      <c r="AR286" s="26">
        <f t="shared" si="74"/>
        <v>0</v>
      </c>
      <c r="AS286" s="33">
        <f t="shared" si="75"/>
        <v>0</v>
      </c>
      <c r="AX286" s="47" t="str">
        <f t="shared" si="76"/>
        <v>FALLS CREEKCoho</v>
      </c>
      <c r="AY286" s="49">
        <f t="shared" si="77"/>
        <v>0</v>
      </c>
      <c r="AZ286" s="49">
        <f t="shared" si="78"/>
        <v>0</v>
      </c>
      <c r="BA286" s="31">
        <v>2013</v>
      </c>
      <c r="BB286" s="188">
        <f t="shared" si="81"/>
        <v>0</v>
      </c>
      <c r="BC286" s="188" t="str">
        <f t="shared" si="85"/>
        <v xml:space="preserve"> </v>
      </c>
      <c r="BD286" s="188" t="str">
        <f t="shared" si="86"/>
        <v xml:space="preserve"> </v>
      </c>
      <c r="BE286" s="188" t="str">
        <f t="shared" si="87"/>
        <v xml:space="preserve"> </v>
      </c>
      <c r="BF286" s="50" t="str">
        <f t="shared" si="79"/>
        <v>FALLS CREEK_Coho</v>
      </c>
      <c r="BG286" s="50" t="str">
        <f>IFERROR(VLOOKUP(BF286,'[1]WCVI Esc'!$C$5:$W$514,18,FALSE),"-")</f>
        <v>-</v>
      </c>
      <c r="BH286" s="50" t="str">
        <f t="shared" si="82"/>
        <v>-</v>
      </c>
      <c r="BI286" s="50">
        <f>IFERROR(VLOOKUP(BF286,'[1]WCVI Esc'!$C$5:$W$514,19,FALSE),"-")</f>
        <v>8</v>
      </c>
      <c r="BJ286" s="50">
        <f t="shared" si="83"/>
        <v>10</v>
      </c>
    </row>
    <row r="287" spans="1:62" hidden="1" x14ac:dyDescent="0.2">
      <c r="A287" s="28">
        <v>4</v>
      </c>
      <c r="B287" s="28">
        <v>3</v>
      </c>
      <c r="C287" s="11">
        <v>20</v>
      </c>
      <c r="D287" s="13" t="s">
        <v>291</v>
      </c>
      <c r="E287" s="10" t="s">
        <v>72</v>
      </c>
      <c r="F287" s="10" t="s">
        <v>208</v>
      </c>
      <c r="G287" s="10"/>
      <c r="H287" s="152"/>
      <c r="I287" s="164"/>
      <c r="J287" s="62"/>
      <c r="K287" s="62"/>
      <c r="L287" s="177"/>
      <c r="M287" s="171"/>
      <c r="N287" s="62"/>
      <c r="O287" s="62"/>
      <c r="P287" s="62"/>
      <c r="Q287" s="64"/>
      <c r="R287" s="164"/>
      <c r="S287" s="62"/>
      <c r="T287" s="62"/>
      <c r="U287" s="62"/>
      <c r="V287" s="177"/>
      <c r="W287" s="171"/>
      <c r="X287" s="62"/>
      <c r="Y287" s="45"/>
      <c r="Z287" s="45"/>
      <c r="AA287" s="100"/>
      <c r="AB287" s="100"/>
      <c r="AC287" s="24"/>
      <c r="AD287" s="24"/>
      <c r="AE287" s="24"/>
      <c r="AF287" s="24"/>
      <c r="AG287" s="18">
        <v>20</v>
      </c>
      <c r="AH287" s="69" t="s">
        <v>291</v>
      </c>
      <c r="AI287" s="243" t="s">
        <v>72</v>
      </c>
      <c r="AJ287" s="243" t="s">
        <v>419</v>
      </c>
      <c r="AK287" s="246"/>
      <c r="AL287" s="43" t="str">
        <f t="shared" si="84"/>
        <v>-</v>
      </c>
      <c r="AM287" s="43">
        <f t="shared" si="72"/>
        <v>0</v>
      </c>
      <c r="AN287" s="193">
        <f t="shared" si="72"/>
        <v>0</v>
      </c>
      <c r="AO287" s="270" t="str">
        <f t="shared" si="73"/>
        <v>-</v>
      </c>
      <c r="AP287" s="266"/>
      <c r="AQ287" s="26" t="str">
        <f t="shared" si="80"/>
        <v>FALLS CREEKPink</v>
      </c>
      <c r="AR287" s="26">
        <f t="shared" si="74"/>
        <v>0</v>
      </c>
      <c r="AS287" s="33">
        <f t="shared" si="75"/>
        <v>0</v>
      </c>
      <c r="AX287" s="47" t="str">
        <f t="shared" si="76"/>
        <v>FALLS CREEKPink</v>
      </c>
      <c r="AY287" s="49">
        <f t="shared" si="77"/>
        <v>0</v>
      </c>
      <c r="AZ287" s="49">
        <f t="shared" si="78"/>
        <v>0</v>
      </c>
      <c r="BA287" s="31">
        <v>0</v>
      </c>
      <c r="BB287" s="188">
        <f t="shared" si="81"/>
        <v>0</v>
      </c>
      <c r="BC287" s="188" t="str">
        <f t="shared" si="85"/>
        <v xml:space="preserve"> </v>
      </c>
      <c r="BD287" s="188" t="str">
        <f t="shared" si="86"/>
        <v xml:space="preserve"> </v>
      </c>
      <c r="BE287" s="188" t="str">
        <f t="shared" si="87"/>
        <v xml:space="preserve"> </v>
      </c>
      <c r="BF287" s="50" t="str">
        <f t="shared" si="79"/>
        <v>FALLS CREEK_Pink</v>
      </c>
      <c r="BG287" s="50" t="str">
        <f>IFERROR(VLOOKUP(BF287,'[1]WCVI Esc'!$C$5:$W$514,18,FALSE),"-")</f>
        <v>-</v>
      </c>
      <c r="BH287" s="50" t="str">
        <f t="shared" si="82"/>
        <v>-</v>
      </c>
      <c r="BI287" s="50" t="str">
        <f>IFERROR(VLOOKUP(BF287,'[1]WCVI Esc'!$C$5:$W$514,19,FALSE),"-")</f>
        <v>-</v>
      </c>
      <c r="BJ287" s="50" t="str">
        <f t="shared" si="83"/>
        <v>-</v>
      </c>
    </row>
    <row r="288" spans="1:62" hidden="1" x14ac:dyDescent="0.2">
      <c r="A288" s="28">
        <v>4</v>
      </c>
      <c r="B288" s="28">
        <v>4</v>
      </c>
      <c r="C288" s="11">
        <v>20</v>
      </c>
      <c r="D288" s="13" t="s">
        <v>291</v>
      </c>
      <c r="E288" s="10" t="s">
        <v>72</v>
      </c>
      <c r="F288" s="10" t="s">
        <v>209</v>
      </c>
      <c r="G288" s="10"/>
      <c r="H288" s="152"/>
      <c r="I288" s="164"/>
      <c r="J288" s="62"/>
      <c r="K288" s="62"/>
      <c r="L288" s="177"/>
      <c r="M288" s="171"/>
      <c r="N288" s="62"/>
      <c r="O288" s="62"/>
      <c r="P288" s="62"/>
      <c r="Q288" s="64"/>
      <c r="R288" s="164"/>
      <c r="S288" s="62"/>
      <c r="T288" s="62"/>
      <c r="U288" s="62"/>
      <c r="V288" s="177"/>
      <c r="W288" s="171"/>
      <c r="X288" s="62"/>
      <c r="Y288" s="45"/>
      <c r="Z288" s="45"/>
      <c r="AA288" s="100"/>
      <c r="AB288" s="100"/>
      <c r="AC288" s="24"/>
      <c r="AD288" s="24"/>
      <c r="AE288" s="24"/>
      <c r="AF288" s="24"/>
      <c r="AG288" s="18">
        <v>20</v>
      </c>
      <c r="AH288" s="69" t="s">
        <v>291</v>
      </c>
      <c r="AI288" s="243" t="s">
        <v>72</v>
      </c>
      <c r="AJ288" s="243" t="s">
        <v>419</v>
      </c>
      <c r="AK288" s="246"/>
      <c r="AL288" s="43" t="str">
        <f t="shared" si="84"/>
        <v>-</v>
      </c>
      <c r="AM288" s="43">
        <f t="shared" si="72"/>
        <v>0</v>
      </c>
      <c r="AN288" s="193">
        <f t="shared" si="72"/>
        <v>0</v>
      </c>
      <c r="AO288" s="270" t="str">
        <f t="shared" si="73"/>
        <v>-</v>
      </c>
      <c r="AP288" s="266"/>
      <c r="AQ288" s="26" t="str">
        <f t="shared" si="80"/>
        <v>FALLS CREEKChum</v>
      </c>
      <c r="AR288" s="26">
        <f t="shared" si="74"/>
        <v>0</v>
      </c>
      <c r="AS288" s="33">
        <f t="shared" si="75"/>
        <v>0</v>
      </c>
      <c r="AX288" s="47" t="str">
        <f t="shared" si="76"/>
        <v>FALLS CREEKChum</v>
      </c>
      <c r="AY288" s="49">
        <f t="shared" si="77"/>
        <v>0</v>
      </c>
      <c r="AZ288" s="49">
        <f t="shared" si="78"/>
        <v>0</v>
      </c>
      <c r="BA288" s="31">
        <v>2013</v>
      </c>
      <c r="BB288" s="188">
        <f t="shared" si="81"/>
        <v>0</v>
      </c>
      <c r="BC288" s="188" t="str">
        <f t="shared" si="85"/>
        <v xml:space="preserve"> </v>
      </c>
      <c r="BD288" s="188" t="str">
        <f t="shared" si="86"/>
        <v xml:space="preserve"> </v>
      </c>
      <c r="BE288" s="188" t="str">
        <f t="shared" si="87"/>
        <v xml:space="preserve"> </v>
      </c>
      <c r="BF288" s="50" t="str">
        <f t="shared" si="79"/>
        <v>FALLS CREEK_Chum</v>
      </c>
      <c r="BG288" s="50" t="str">
        <f>IFERROR(VLOOKUP(BF288,'[1]WCVI Esc'!$C$5:$W$514,18,FALSE),"-")</f>
        <v>-</v>
      </c>
      <c r="BH288" s="50" t="str">
        <f t="shared" si="82"/>
        <v>-</v>
      </c>
      <c r="BI288" s="50" t="str">
        <f>IFERROR(VLOOKUP(BF288,'[1]WCVI Esc'!$C$5:$W$514,19,FALSE),"-")</f>
        <v>-</v>
      </c>
      <c r="BJ288" s="50" t="str">
        <f t="shared" si="83"/>
        <v>-</v>
      </c>
    </row>
    <row r="289" spans="1:62" hidden="1" x14ac:dyDescent="0.2">
      <c r="A289" s="28">
        <v>4</v>
      </c>
      <c r="B289" s="28">
        <v>5</v>
      </c>
      <c r="C289" s="11">
        <v>20</v>
      </c>
      <c r="D289" s="13" t="s">
        <v>291</v>
      </c>
      <c r="E289" s="10" t="s">
        <v>72</v>
      </c>
      <c r="F289" s="10" t="s">
        <v>210</v>
      </c>
      <c r="G289" s="10"/>
      <c r="H289" s="152"/>
      <c r="I289" s="164"/>
      <c r="J289" s="62"/>
      <c r="K289" s="62"/>
      <c r="L289" s="177"/>
      <c r="M289" s="171"/>
      <c r="N289" s="62"/>
      <c r="O289" s="62"/>
      <c r="P289" s="62"/>
      <c r="Q289" s="64"/>
      <c r="R289" s="164"/>
      <c r="S289" s="62"/>
      <c r="T289" s="62"/>
      <c r="U289" s="62"/>
      <c r="V289" s="177"/>
      <c r="W289" s="171"/>
      <c r="X289" s="62"/>
      <c r="Y289" s="45"/>
      <c r="Z289" s="45"/>
      <c r="AA289" s="100"/>
      <c r="AB289" s="100"/>
      <c r="AC289" s="24"/>
      <c r="AD289" s="24"/>
      <c r="AE289" s="24"/>
      <c r="AF289" s="24"/>
      <c r="AG289" s="18">
        <v>20</v>
      </c>
      <c r="AH289" s="69" t="s">
        <v>291</v>
      </c>
      <c r="AI289" s="243" t="s">
        <v>72</v>
      </c>
      <c r="AJ289" s="243" t="s">
        <v>419</v>
      </c>
      <c r="AK289" s="246"/>
      <c r="AL289" s="43" t="str">
        <f t="shared" si="84"/>
        <v>-</v>
      </c>
      <c r="AM289" s="43">
        <f t="shared" si="72"/>
        <v>0</v>
      </c>
      <c r="AN289" s="193">
        <f t="shared" si="72"/>
        <v>0</v>
      </c>
      <c r="AO289" s="270" t="str">
        <f t="shared" si="73"/>
        <v>-</v>
      </c>
      <c r="AP289" s="266"/>
      <c r="AQ289" s="26" t="str">
        <f t="shared" si="80"/>
        <v>FALLS CREEKChinook</v>
      </c>
      <c r="AR289" s="26">
        <f t="shared" si="74"/>
        <v>0</v>
      </c>
      <c r="AS289" s="33">
        <f t="shared" si="75"/>
        <v>0</v>
      </c>
      <c r="AX289" s="47" t="str">
        <f t="shared" si="76"/>
        <v>FALLS CREEKChinook</v>
      </c>
      <c r="AY289" s="49">
        <f t="shared" si="77"/>
        <v>0</v>
      </c>
      <c r="AZ289" s="49">
        <f t="shared" si="78"/>
        <v>0</v>
      </c>
      <c r="BA289" s="31">
        <v>2013</v>
      </c>
      <c r="BB289" s="188">
        <f t="shared" si="81"/>
        <v>0</v>
      </c>
      <c r="BC289" s="188" t="str">
        <f t="shared" si="85"/>
        <v xml:space="preserve"> </v>
      </c>
      <c r="BD289" s="188" t="str">
        <f t="shared" si="86"/>
        <v xml:space="preserve"> </v>
      </c>
      <c r="BE289" s="188" t="str">
        <f t="shared" si="87"/>
        <v xml:space="preserve"> </v>
      </c>
      <c r="BF289" s="50" t="str">
        <f t="shared" si="79"/>
        <v>FALLS CREEK_Chinook</v>
      </c>
      <c r="BG289" s="50" t="str">
        <f>IFERROR(VLOOKUP(BF289,'[1]WCVI Esc'!$C$5:$W$514,18,FALSE),"-")</f>
        <v>-</v>
      </c>
      <c r="BH289" s="50" t="str">
        <f t="shared" si="82"/>
        <v>-</v>
      </c>
      <c r="BI289" s="50" t="str">
        <f>IFERROR(VLOOKUP(BF289,'[1]WCVI Esc'!$C$5:$W$514,19,FALSE),"-")</f>
        <v>-</v>
      </c>
      <c r="BJ289" s="50" t="str">
        <f t="shared" si="83"/>
        <v>-</v>
      </c>
    </row>
    <row r="290" spans="1:62" hidden="1" x14ac:dyDescent="0.2">
      <c r="A290" s="28">
        <v>4</v>
      </c>
      <c r="B290" s="28">
        <v>6</v>
      </c>
      <c r="C290" s="11">
        <v>20</v>
      </c>
      <c r="D290" s="13" t="s">
        <v>291</v>
      </c>
      <c r="E290" s="10" t="s">
        <v>72</v>
      </c>
      <c r="F290" s="10" t="s">
        <v>211</v>
      </c>
      <c r="G290" s="10"/>
      <c r="H290" s="152"/>
      <c r="I290" s="164"/>
      <c r="J290" s="62"/>
      <c r="K290" s="62"/>
      <c r="L290" s="177"/>
      <c r="M290" s="171"/>
      <c r="N290" s="62"/>
      <c r="O290" s="62"/>
      <c r="P290" s="62"/>
      <c r="Q290" s="64"/>
      <c r="R290" s="164"/>
      <c r="S290" s="62"/>
      <c r="T290" s="62"/>
      <c r="U290" s="62"/>
      <c r="V290" s="177"/>
      <c r="W290" s="171"/>
      <c r="X290" s="62"/>
      <c r="Y290" s="45"/>
      <c r="Z290" s="45"/>
      <c r="AA290" s="100"/>
      <c r="AB290" s="100"/>
      <c r="AC290" s="24"/>
      <c r="AD290" s="24"/>
      <c r="AE290" s="24"/>
      <c r="AF290" s="24"/>
      <c r="AG290" s="18">
        <v>20</v>
      </c>
      <c r="AH290" s="69" t="s">
        <v>291</v>
      </c>
      <c r="AI290" s="243" t="s">
        <v>72</v>
      </c>
      <c r="AJ290" s="243" t="s">
        <v>419</v>
      </c>
      <c r="AK290" s="246"/>
      <c r="AL290" s="43" t="str">
        <f t="shared" si="84"/>
        <v>-</v>
      </c>
      <c r="AM290" s="43">
        <f t="shared" si="72"/>
        <v>0</v>
      </c>
      <c r="AN290" s="193">
        <f t="shared" si="72"/>
        <v>0</v>
      </c>
      <c r="AO290" s="270" t="str">
        <f t="shared" si="73"/>
        <v>-</v>
      </c>
      <c r="AP290" s="266"/>
      <c r="AQ290" s="26" t="str">
        <f t="shared" si="80"/>
        <v>FALLS CREEKSteelhead</v>
      </c>
      <c r="AR290" s="26">
        <f t="shared" si="74"/>
        <v>0</v>
      </c>
      <c r="AS290" s="33">
        <f t="shared" si="75"/>
        <v>0</v>
      </c>
      <c r="AX290" s="47" t="str">
        <f t="shared" si="76"/>
        <v>FALLS CREEKSteelhead</v>
      </c>
      <c r="AY290" s="49">
        <f t="shared" si="77"/>
        <v>0</v>
      </c>
      <c r="AZ290" s="49">
        <f t="shared" si="78"/>
        <v>0</v>
      </c>
      <c r="BA290" s="31">
        <v>0</v>
      </c>
      <c r="BB290" s="188">
        <f t="shared" si="81"/>
        <v>0</v>
      </c>
      <c r="BC290" s="188" t="str">
        <f t="shared" si="85"/>
        <v xml:space="preserve"> </v>
      </c>
      <c r="BD290" s="188" t="str">
        <f t="shared" si="86"/>
        <v xml:space="preserve"> </v>
      </c>
      <c r="BE290" s="188" t="str">
        <f t="shared" si="87"/>
        <v xml:space="preserve"> </v>
      </c>
      <c r="BF290" s="50" t="str">
        <f t="shared" si="79"/>
        <v>FALLS CREEK_Steelhead</v>
      </c>
      <c r="BG290" s="50" t="str">
        <f>IFERROR(VLOOKUP(BF290,'[1]WCVI Esc'!$C$5:$W$514,18,FALSE),"-")</f>
        <v>-</v>
      </c>
      <c r="BH290" s="50" t="str">
        <f t="shared" si="82"/>
        <v>-</v>
      </c>
      <c r="BI290" s="50" t="str">
        <f>IFERROR(VLOOKUP(BF290,'[1]WCVI Esc'!$C$5:$W$514,19,FALSE),"-")</f>
        <v>-</v>
      </c>
      <c r="BJ290" s="50" t="str">
        <f t="shared" si="83"/>
        <v>-</v>
      </c>
    </row>
    <row r="291" spans="1:62" hidden="1" x14ac:dyDescent="0.2">
      <c r="A291" s="28">
        <v>4</v>
      </c>
      <c r="B291" s="28">
        <v>1</v>
      </c>
      <c r="C291" s="11">
        <v>20</v>
      </c>
      <c r="D291" s="13" t="s">
        <v>291</v>
      </c>
      <c r="E291" s="10" t="s">
        <v>153</v>
      </c>
      <c r="F291" s="10" t="s">
        <v>207</v>
      </c>
      <c r="G291" s="10"/>
      <c r="H291" s="152"/>
      <c r="I291" s="164"/>
      <c r="J291" s="62"/>
      <c r="K291" s="62"/>
      <c r="L291" s="177"/>
      <c r="M291" s="171"/>
      <c r="N291" s="62"/>
      <c r="O291" s="62"/>
      <c r="P291" s="62"/>
      <c r="Q291" s="64"/>
      <c r="R291" s="164"/>
      <c r="S291" s="62"/>
      <c r="T291" s="62"/>
      <c r="U291" s="62"/>
      <c r="V291" s="177"/>
      <c r="W291" s="171"/>
      <c r="X291" s="62"/>
      <c r="Y291" s="45"/>
      <c r="Z291" s="45"/>
      <c r="AA291" s="100"/>
      <c r="AB291" s="100"/>
      <c r="AC291" s="24"/>
      <c r="AD291" s="24"/>
      <c r="AE291" s="24"/>
      <c r="AF291" s="24"/>
      <c r="AG291" s="18">
        <v>20</v>
      </c>
      <c r="AH291" s="69" t="s">
        <v>291</v>
      </c>
      <c r="AI291" s="243" t="s">
        <v>153</v>
      </c>
      <c r="AJ291" s="243" t="s">
        <v>419</v>
      </c>
      <c r="AK291" s="246"/>
      <c r="AL291" s="43" t="str">
        <f t="shared" si="84"/>
        <v>-</v>
      </c>
      <c r="AM291" s="43">
        <f t="shared" si="72"/>
        <v>0</v>
      </c>
      <c r="AN291" s="193">
        <f t="shared" si="72"/>
        <v>0</v>
      </c>
      <c r="AO291" s="270" t="str">
        <f t="shared" si="73"/>
        <v>-</v>
      </c>
      <c r="AP291" s="266"/>
      <c r="AQ291" s="26" t="str">
        <f t="shared" si="80"/>
        <v>FIVE MILE CREEKSockeye</v>
      </c>
      <c r="AR291" s="26">
        <f t="shared" si="74"/>
        <v>0</v>
      </c>
      <c r="AS291" s="33">
        <f t="shared" si="75"/>
        <v>0</v>
      </c>
      <c r="AX291" s="47" t="str">
        <f t="shared" si="76"/>
        <v>FIVE MILE CREEKSockeye</v>
      </c>
      <c r="AY291" s="49">
        <f t="shared" si="77"/>
        <v>0</v>
      </c>
      <c r="AZ291" s="49">
        <f t="shared" si="78"/>
        <v>0</v>
      </c>
      <c r="BA291" s="31">
        <v>0</v>
      </c>
      <c r="BB291" s="188">
        <f t="shared" si="81"/>
        <v>0</v>
      </c>
      <c r="BC291" s="188" t="str">
        <f t="shared" si="85"/>
        <v xml:space="preserve"> </v>
      </c>
      <c r="BD291" s="188" t="str">
        <f t="shared" si="86"/>
        <v xml:space="preserve"> </v>
      </c>
      <c r="BE291" s="188" t="str">
        <f t="shared" si="87"/>
        <v xml:space="preserve"> </v>
      </c>
      <c r="BF291" s="50" t="str">
        <f t="shared" si="79"/>
        <v>FIVE MILE CREEK_Sockeye</v>
      </c>
      <c r="BG291" s="50" t="str">
        <f>IFERROR(VLOOKUP(BF291,'[1]WCVI Esc'!$C$5:$W$514,18,FALSE),"-")</f>
        <v>-</v>
      </c>
      <c r="BH291" s="50" t="str">
        <f t="shared" si="82"/>
        <v>-</v>
      </c>
      <c r="BI291" s="50" t="str">
        <f>IFERROR(VLOOKUP(BF291,'[1]WCVI Esc'!$C$5:$W$514,19,FALSE),"-")</f>
        <v>-</v>
      </c>
      <c r="BJ291" s="50" t="str">
        <f t="shared" si="83"/>
        <v>-</v>
      </c>
    </row>
    <row r="292" spans="1:62" hidden="1" x14ac:dyDescent="0.2">
      <c r="A292" s="28">
        <v>4</v>
      </c>
      <c r="B292" s="28">
        <v>2</v>
      </c>
      <c r="C292" s="11">
        <v>20</v>
      </c>
      <c r="D292" s="13" t="s">
        <v>291</v>
      </c>
      <c r="E292" s="10" t="s">
        <v>153</v>
      </c>
      <c r="F292" s="10" t="s">
        <v>219</v>
      </c>
      <c r="G292" s="10"/>
      <c r="H292" s="152"/>
      <c r="I292" s="164"/>
      <c r="J292" s="62"/>
      <c r="K292" s="62"/>
      <c r="L292" s="177"/>
      <c r="M292" s="171"/>
      <c r="N292" s="62"/>
      <c r="O292" s="62"/>
      <c r="P292" s="62"/>
      <c r="Q292" s="64"/>
      <c r="R292" s="164"/>
      <c r="S292" s="62"/>
      <c r="T292" s="62"/>
      <c r="U292" s="62"/>
      <c r="V292" s="177"/>
      <c r="W292" s="171"/>
      <c r="X292" s="62"/>
      <c r="Y292" s="45"/>
      <c r="Z292" s="45"/>
      <c r="AA292" s="100"/>
      <c r="AB292" s="100"/>
      <c r="AC292" s="24"/>
      <c r="AD292" s="24"/>
      <c r="AE292" s="24"/>
      <c r="AF292" s="24"/>
      <c r="AG292" s="18">
        <v>20</v>
      </c>
      <c r="AH292" s="69" t="s">
        <v>291</v>
      </c>
      <c r="AI292" s="243" t="s">
        <v>153</v>
      </c>
      <c r="AJ292" s="243" t="s">
        <v>419</v>
      </c>
      <c r="AK292" s="246"/>
      <c r="AL292" s="43" t="str">
        <f t="shared" si="84"/>
        <v>-</v>
      </c>
      <c r="AM292" s="43">
        <f t="shared" si="72"/>
        <v>0</v>
      </c>
      <c r="AN292" s="193">
        <f t="shared" si="72"/>
        <v>0</v>
      </c>
      <c r="AO292" s="270" t="str">
        <f t="shared" si="73"/>
        <v>-</v>
      </c>
      <c r="AP292" s="266"/>
      <c r="AQ292" s="26" t="str">
        <f t="shared" si="80"/>
        <v>FIVE MILE CREEKCoho</v>
      </c>
      <c r="AR292" s="26">
        <f t="shared" si="74"/>
        <v>0</v>
      </c>
      <c r="AS292" s="33">
        <f t="shared" si="75"/>
        <v>0</v>
      </c>
      <c r="AX292" s="47" t="str">
        <f t="shared" si="76"/>
        <v>FIVE MILE CREEKCoho</v>
      </c>
      <c r="AY292" s="49">
        <f t="shared" si="77"/>
        <v>0</v>
      </c>
      <c r="AZ292" s="49">
        <f t="shared" si="78"/>
        <v>0</v>
      </c>
      <c r="BA292" s="31">
        <v>0</v>
      </c>
      <c r="BB292" s="188">
        <f t="shared" si="81"/>
        <v>0</v>
      </c>
      <c r="BC292" s="188" t="str">
        <f t="shared" si="85"/>
        <v xml:space="preserve"> </v>
      </c>
      <c r="BD292" s="188" t="str">
        <f t="shared" si="86"/>
        <v xml:space="preserve"> </v>
      </c>
      <c r="BE292" s="188" t="str">
        <f t="shared" si="87"/>
        <v xml:space="preserve"> </v>
      </c>
      <c r="BF292" s="50" t="str">
        <f t="shared" si="79"/>
        <v>FIVE MILE CREEK_Coho</v>
      </c>
      <c r="BG292" s="50" t="str">
        <f>IFERROR(VLOOKUP(BF292,'[1]WCVI Esc'!$C$5:$W$514,18,FALSE),"-")</f>
        <v>-</v>
      </c>
      <c r="BH292" s="50" t="str">
        <f t="shared" si="82"/>
        <v>-</v>
      </c>
      <c r="BI292" s="50" t="str">
        <f>IFERROR(VLOOKUP(BF292,'[1]WCVI Esc'!$C$5:$W$514,19,FALSE),"-")</f>
        <v>-</v>
      </c>
      <c r="BJ292" s="50" t="str">
        <f t="shared" si="83"/>
        <v>-</v>
      </c>
    </row>
    <row r="293" spans="1:62" hidden="1" x14ac:dyDescent="0.2">
      <c r="A293" s="28">
        <v>4</v>
      </c>
      <c r="B293" s="28">
        <v>3</v>
      </c>
      <c r="C293" s="11">
        <v>20</v>
      </c>
      <c r="D293" s="13" t="s">
        <v>291</v>
      </c>
      <c r="E293" s="10" t="s">
        <v>153</v>
      </c>
      <c r="F293" s="10" t="s">
        <v>208</v>
      </c>
      <c r="G293" s="10"/>
      <c r="H293" s="152"/>
      <c r="I293" s="164"/>
      <c r="J293" s="62"/>
      <c r="K293" s="62"/>
      <c r="L293" s="177"/>
      <c r="M293" s="171"/>
      <c r="N293" s="62"/>
      <c r="O293" s="62"/>
      <c r="P293" s="62"/>
      <c r="Q293" s="64"/>
      <c r="R293" s="164"/>
      <c r="S293" s="62"/>
      <c r="T293" s="62"/>
      <c r="U293" s="62"/>
      <c r="V293" s="177"/>
      <c r="W293" s="171"/>
      <c r="X293" s="62"/>
      <c r="Y293" s="45"/>
      <c r="Z293" s="45"/>
      <c r="AA293" s="100"/>
      <c r="AB293" s="100"/>
      <c r="AC293" s="24"/>
      <c r="AD293" s="24"/>
      <c r="AE293" s="24"/>
      <c r="AF293" s="24"/>
      <c r="AG293" s="18">
        <v>20</v>
      </c>
      <c r="AH293" s="69" t="s">
        <v>291</v>
      </c>
      <c r="AI293" s="243" t="s">
        <v>153</v>
      </c>
      <c r="AJ293" s="243" t="s">
        <v>419</v>
      </c>
      <c r="AK293" s="246"/>
      <c r="AL293" s="43" t="str">
        <f t="shared" si="84"/>
        <v>-</v>
      </c>
      <c r="AM293" s="43">
        <f t="shared" si="72"/>
        <v>0</v>
      </c>
      <c r="AN293" s="193">
        <f t="shared" si="72"/>
        <v>0</v>
      </c>
      <c r="AO293" s="270" t="str">
        <f t="shared" si="73"/>
        <v>-</v>
      </c>
      <c r="AP293" s="266"/>
      <c r="AQ293" s="26" t="str">
        <f t="shared" si="80"/>
        <v>FIVE MILE CREEKPink</v>
      </c>
      <c r="AR293" s="26">
        <f t="shared" si="74"/>
        <v>0</v>
      </c>
      <c r="AS293" s="33">
        <f t="shared" si="75"/>
        <v>0</v>
      </c>
      <c r="AX293" s="47" t="str">
        <f t="shared" si="76"/>
        <v>FIVE MILE CREEKPink</v>
      </c>
      <c r="AY293" s="49">
        <f t="shared" si="77"/>
        <v>0</v>
      </c>
      <c r="AZ293" s="49">
        <f t="shared" si="78"/>
        <v>0</v>
      </c>
      <c r="BA293" s="31">
        <v>0</v>
      </c>
      <c r="BB293" s="188">
        <f t="shared" si="81"/>
        <v>0</v>
      </c>
      <c r="BC293" s="188" t="str">
        <f t="shared" si="85"/>
        <v xml:space="preserve"> </v>
      </c>
      <c r="BD293" s="188" t="str">
        <f t="shared" si="86"/>
        <v xml:space="preserve"> </v>
      </c>
      <c r="BE293" s="188" t="str">
        <f t="shared" si="87"/>
        <v xml:space="preserve"> </v>
      </c>
      <c r="BF293" s="50" t="str">
        <f t="shared" si="79"/>
        <v>FIVE MILE CREEK_Pink</v>
      </c>
      <c r="BG293" s="50" t="str">
        <f>IFERROR(VLOOKUP(BF293,'[1]WCVI Esc'!$C$5:$W$514,18,FALSE),"-")</f>
        <v>-</v>
      </c>
      <c r="BH293" s="50" t="str">
        <f t="shared" si="82"/>
        <v>-</v>
      </c>
      <c r="BI293" s="50" t="str">
        <f>IFERROR(VLOOKUP(BF293,'[1]WCVI Esc'!$C$5:$W$514,19,FALSE),"-")</f>
        <v>-</v>
      </c>
      <c r="BJ293" s="50" t="str">
        <f t="shared" si="83"/>
        <v>-</v>
      </c>
    </row>
    <row r="294" spans="1:62" hidden="1" x14ac:dyDescent="0.2">
      <c r="A294" s="28">
        <v>4</v>
      </c>
      <c r="B294" s="28">
        <v>4</v>
      </c>
      <c r="C294" s="11">
        <v>20</v>
      </c>
      <c r="D294" s="13" t="s">
        <v>291</v>
      </c>
      <c r="E294" s="10" t="s">
        <v>153</v>
      </c>
      <c r="F294" s="10" t="s">
        <v>209</v>
      </c>
      <c r="G294" s="10"/>
      <c r="H294" s="152"/>
      <c r="I294" s="164"/>
      <c r="J294" s="62"/>
      <c r="K294" s="62"/>
      <c r="L294" s="177"/>
      <c r="M294" s="171"/>
      <c r="N294" s="62"/>
      <c r="O294" s="62"/>
      <c r="P294" s="62"/>
      <c r="Q294" s="64"/>
      <c r="R294" s="164"/>
      <c r="S294" s="62"/>
      <c r="T294" s="62"/>
      <c r="U294" s="62"/>
      <c r="V294" s="177"/>
      <c r="W294" s="171"/>
      <c r="X294" s="62"/>
      <c r="Y294" s="45"/>
      <c r="Z294" s="45"/>
      <c r="AA294" s="100"/>
      <c r="AB294" s="100"/>
      <c r="AC294" s="24"/>
      <c r="AD294" s="24"/>
      <c r="AE294" s="24"/>
      <c r="AF294" s="24"/>
      <c r="AG294" s="18">
        <v>20</v>
      </c>
      <c r="AH294" s="69" t="s">
        <v>291</v>
      </c>
      <c r="AI294" s="243" t="s">
        <v>153</v>
      </c>
      <c r="AJ294" s="243" t="s">
        <v>419</v>
      </c>
      <c r="AK294" s="246"/>
      <c r="AL294" s="43" t="str">
        <f t="shared" si="84"/>
        <v>-</v>
      </c>
      <c r="AM294" s="43">
        <f t="shared" si="72"/>
        <v>0</v>
      </c>
      <c r="AN294" s="193">
        <f t="shared" si="72"/>
        <v>0</v>
      </c>
      <c r="AO294" s="270" t="str">
        <f t="shared" si="73"/>
        <v>-</v>
      </c>
      <c r="AP294" s="266"/>
      <c r="AQ294" s="26" t="str">
        <f t="shared" si="80"/>
        <v>FIVE MILE CREEKChum</v>
      </c>
      <c r="AR294" s="26">
        <f t="shared" si="74"/>
        <v>0</v>
      </c>
      <c r="AS294" s="33">
        <f t="shared" si="75"/>
        <v>0</v>
      </c>
      <c r="AX294" s="47" t="str">
        <f t="shared" si="76"/>
        <v>FIVE MILE CREEKChum</v>
      </c>
      <c r="AY294" s="49">
        <f t="shared" si="77"/>
        <v>0</v>
      </c>
      <c r="AZ294" s="49">
        <f t="shared" si="78"/>
        <v>0</v>
      </c>
      <c r="BA294" s="31">
        <v>0</v>
      </c>
      <c r="BB294" s="188">
        <f t="shared" si="81"/>
        <v>0</v>
      </c>
      <c r="BC294" s="188" t="str">
        <f t="shared" si="85"/>
        <v xml:space="preserve"> </v>
      </c>
      <c r="BD294" s="188" t="str">
        <f t="shared" si="86"/>
        <v xml:space="preserve"> </v>
      </c>
      <c r="BE294" s="188" t="str">
        <f t="shared" si="87"/>
        <v xml:space="preserve"> </v>
      </c>
      <c r="BF294" s="50" t="str">
        <f t="shared" si="79"/>
        <v>FIVE MILE CREEK_Chum</v>
      </c>
      <c r="BG294" s="50" t="str">
        <f>IFERROR(VLOOKUP(BF294,'[1]WCVI Esc'!$C$5:$W$514,18,FALSE),"-")</f>
        <v>-</v>
      </c>
      <c r="BH294" s="50" t="str">
        <f t="shared" si="82"/>
        <v>-</v>
      </c>
      <c r="BI294" s="50" t="str">
        <f>IFERROR(VLOOKUP(BF294,'[1]WCVI Esc'!$C$5:$W$514,19,FALSE),"-")</f>
        <v>-</v>
      </c>
      <c r="BJ294" s="50" t="str">
        <f t="shared" si="83"/>
        <v>-</v>
      </c>
    </row>
    <row r="295" spans="1:62" hidden="1" x14ac:dyDescent="0.2">
      <c r="A295" s="28">
        <v>4</v>
      </c>
      <c r="B295" s="28">
        <v>5</v>
      </c>
      <c r="C295" s="11">
        <v>20</v>
      </c>
      <c r="D295" s="13" t="s">
        <v>291</v>
      </c>
      <c r="E295" s="10" t="s">
        <v>153</v>
      </c>
      <c r="F295" s="10" t="s">
        <v>210</v>
      </c>
      <c r="G295" s="10"/>
      <c r="H295" s="152"/>
      <c r="I295" s="164"/>
      <c r="J295" s="62"/>
      <c r="K295" s="62"/>
      <c r="L295" s="177"/>
      <c r="M295" s="171"/>
      <c r="N295" s="62"/>
      <c r="O295" s="62"/>
      <c r="P295" s="62"/>
      <c r="Q295" s="64"/>
      <c r="R295" s="164"/>
      <c r="S295" s="62"/>
      <c r="T295" s="62"/>
      <c r="U295" s="62"/>
      <c r="V295" s="177"/>
      <c r="W295" s="171"/>
      <c r="X295" s="62"/>
      <c r="Y295" s="45"/>
      <c r="Z295" s="45"/>
      <c r="AA295" s="100"/>
      <c r="AB295" s="100"/>
      <c r="AC295" s="24"/>
      <c r="AD295" s="24"/>
      <c r="AE295" s="24"/>
      <c r="AF295" s="24"/>
      <c r="AG295" s="18">
        <v>20</v>
      </c>
      <c r="AH295" s="69" t="s">
        <v>291</v>
      </c>
      <c r="AI295" s="243" t="s">
        <v>153</v>
      </c>
      <c r="AJ295" s="243" t="s">
        <v>419</v>
      </c>
      <c r="AK295" s="246"/>
      <c r="AL295" s="43" t="str">
        <f t="shared" si="84"/>
        <v>-</v>
      </c>
      <c r="AM295" s="43">
        <f t="shared" si="72"/>
        <v>0</v>
      </c>
      <c r="AN295" s="193">
        <f t="shared" si="72"/>
        <v>0</v>
      </c>
      <c r="AO295" s="270" t="str">
        <f t="shared" si="73"/>
        <v>-</v>
      </c>
      <c r="AP295" s="266"/>
      <c r="AQ295" s="26" t="str">
        <f t="shared" si="80"/>
        <v>FIVE MILE CREEKChinook</v>
      </c>
      <c r="AR295" s="26">
        <f t="shared" si="74"/>
        <v>0</v>
      </c>
      <c r="AS295" s="33">
        <f t="shared" si="75"/>
        <v>0</v>
      </c>
      <c r="AX295" s="47" t="str">
        <f t="shared" si="76"/>
        <v>FIVE MILE CREEKChinook</v>
      </c>
      <c r="AY295" s="49">
        <f t="shared" si="77"/>
        <v>0</v>
      </c>
      <c r="AZ295" s="49">
        <f t="shared" si="78"/>
        <v>0</v>
      </c>
      <c r="BA295" s="31">
        <v>0</v>
      </c>
      <c r="BB295" s="188">
        <f t="shared" si="81"/>
        <v>0</v>
      </c>
      <c r="BC295" s="188" t="str">
        <f t="shared" si="85"/>
        <v xml:space="preserve"> </v>
      </c>
      <c r="BD295" s="188" t="str">
        <f t="shared" si="86"/>
        <v xml:space="preserve"> </v>
      </c>
      <c r="BE295" s="188" t="str">
        <f t="shared" si="87"/>
        <v xml:space="preserve"> </v>
      </c>
      <c r="BF295" s="50" t="str">
        <f t="shared" si="79"/>
        <v>FIVE MILE CREEK_Chinook</v>
      </c>
      <c r="BG295" s="50" t="str">
        <f>IFERROR(VLOOKUP(BF295,'[1]WCVI Esc'!$C$5:$W$514,18,FALSE),"-")</f>
        <v>-</v>
      </c>
      <c r="BH295" s="50" t="str">
        <f t="shared" si="82"/>
        <v>-</v>
      </c>
      <c r="BI295" s="50" t="str">
        <f>IFERROR(VLOOKUP(BF295,'[1]WCVI Esc'!$C$5:$W$514,19,FALSE),"-")</f>
        <v>-</v>
      </c>
      <c r="BJ295" s="50" t="str">
        <f t="shared" si="83"/>
        <v>-</v>
      </c>
    </row>
    <row r="296" spans="1:62" hidden="1" x14ac:dyDescent="0.2">
      <c r="A296" s="28">
        <v>4</v>
      </c>
      <c r="B296" s="28">
        <v>6</v>
      </c>
      <c r="C296" s="11">
        <v>20</v>
      </c>
      <c r="D296" s="13" t="s">
        <v>291</v>
      </c>
      <c r="E296" s="10" t="s">
        <v>153</v>
      </c>
      <c r="F296" s="10" t="s">
        <v>211</v>
      </c>
      <c r="G296" s="10"/>
      <c r="H296" s="152"/>
      <c r="I296" s="164"/>
      <c r="J296" s="62"/>
      <c r="K296" s="62"/>
      <c r="L296" s="177"/>
      <c r="M296" s="171"/>
      <c r="N296" s="62"/>
      <c r="O296" s="62"/>
      <c r="P296" s="62"/>
      <c r="Q296" s="64"/>
      <c r="R296" s="164"/>
      <c r="S296" s="62"/>
      <c r="T296" s="62"/>
      <c r="U296" s="62"/>
      <c r="V296" s="177"/>
      <c r="W296" s="171"/>
      <c r="X296" s="62"/>
      <c r="Y296" s="45"/>
      <c r="Z296" s="45"/>
      <c r="AA296" s="100"/>
      <c r="AB296" s="100"/>
      <c r="AC296" s="24"/>
      <c r="AD296" s="24"/>
      <c r="AE296" s="24"/>
      <c r="AF296" s="24"/>
      <c r="AG296" s="18">
        <v>20</v>
      </c>
      <c r="AH296" s="69" t="s">
        <v>291</v>
      </c>
      <c r="AI296" s="243" t="s">
        <v>153</v>
      </c>
      <c r="AJ296" s="243" t="s">
        <v>419</v>
      </c>
      <c r="AK296" s="246"/>
      <c r="AL296" s="43" t="str">
        <f t="shared" si="84"/>
        <v>-</v>
      </c>
      <c r="AM296" s="43">
        <f t="shared" si="72"/>
        <v>0</v>
      </c>
      <c r="AN296" s="193">
        <f t="shared" si="72"/>
        <v>0</v>
      </c>
      <c r="AO296" s="270" t="str">
        <f t="shared" si="73"/>
        <v>-</v>
      </c>
      <c r="AP296" s="266"/>
      <c r="AQ296" s="26" t="str">
        <f t="shared" si="80"/>
        <v>FIVE MILE CREEKSteelhead</v>
      </c>
      <c r="AR296" s="26">
        <f t="shared" si="74"/>
        <v>0</v>
      </c>
      <c r="AS296" s="33">
        <f t="shared" si="75"/>
        <v>0</v>
      </c>
      <c r="AX296" s="47" t="str">
        <f t="shared" si="76"/>
        <v>FIVE MILE CREEKSteelhead</v>
      </c>
      <c r="AY296" s="49">
        <f t="shared" si="77"/>
        <v>0</v>
      </c>
      <c r="AZ296" s="49">
        <f t="shared" si="78"/>
        <v>0</v>
      </c>
      <c r="BA296" s="31">
        <v>0</v>
      </c>
      <c r="BB296" s="188">
        <f t="shared" si="81"/>
        <v>0</v>
      </c>
      <c r="BC296" s="188" t="str">
        <f t="shared" si="85"/>
        <v xml:space="preserve"> </v>
      </c>
      <c r="BD296" s="188" t="str">
        <f t="shared" si="86"/>
        <v xml:space="preserve"> </v>
      </c>
      <c r="BE296" s="188" t="str">
        <f t="shared" si="87"/>
        <v xml:space="preserve"> </v>
      </c>
      <c r="BF296" s="50" t="str">
        <f t="shared" si="79"/>
        <v>FIVE MILE CREEK_Steelhead</v>
      </c>
      <c r="BG296" s="50" t="str">
        <f>IFERROR(VLOOKUP(BF296,'[1]WCVI Esc'!$C$5:$W$514,18,FALSE),"-")</f>
        <v>-</v>
      </c>
      <c r="BH296" s="50" t="str">
        <f t="shared" si="82"/>
        <v>-</v>
      </c>
      <c r="BI296" s="50" t="str">
        <f>IFERROR(VLOOKUP(BF296,'[1]WCVI Esc'!$C$5:$W$514,19,FALSE),"-")</f>
        <v>-</v>
      </c>
      <c r="BJ296" s="50" t="str">
        <f t="shared" si="83"/>
        <v>-</v>
      </c>
    </row>
    <row r="297" spans="1:62" hidden="1" x14ac:dyDescent="0.2">
      <c r="A297" s="28">
        <v>4</v>
      </c>
      <c r="B297" s="28">
        <v>1</v>
      </c>
      <c r="C297" s="11">
        <v>20</v>
      </c>
      <c r="D297" s="13" t="s">
        <v>291</v>
      </c>
      <c r="E297" s="10" t="s">
        <v>154</v>
      </c>
      <c r="F297" s="10" t="s">
        <v>207</v>
      </c>
      <c r="G297" s="10"/>
      <c r="H297" s="152"/>
      <c r="I297" s="164"/>
      <c r="J297" s="62"/>
      <c r="K297" s="62"/>
      <c r="L297" s="177"/>
      <c r="M297" s="171"/>
      <c r="N297" s="62"/>
      <c r="O297" s="62"/>
      <c r="P297" s="62"/>
      <c r="Q297" s="64"/>
      <c r="R297" s="164"/>
      <c r="S297" s="62"/>
      <c r="T297" s="62"/>
      <c r="U297" s="62"/>
      <c r="V297" s="177"/>
      <c r="W297" s="171"/>
      <c r="X297" s="62"/>
      <c r="Y297" s="45"/>
      <c r="Z297" s="45"/>
      <c r="AA297" s="100"/>
      <c r="AB297" s="100"/>
      <c r="AC297" s="24"/>
      <c r="AD297" s="24"/>
      <c r="AE297" s="24"/>
      <c r="AF297" s="24"/>
      <c r="AG297" s="18">
        <v>20</v>
      </c>
      <c r="AH297" s="69" t="s">
        <v>291</v>
      </c>
      <c r="AI297" s="243" t="s">
        <v>154</v>
      </c>
      <c r="AJ297" s="243" t="s">
        <v>419</v>
      </c>
      <c r="AK297" s="246"/>
      <c r="AL297" s="43" t="str">
        <f t="shared" si="84"/>
        <v>-</v>
      </c>
      <c r="AM297" s="43">
        <f t="shared" si="72"/>
        <v>0</v>
      </c>
      <c r="AN297" s="193">
        <f t="shared" si="72"/>
        <v>0</v>
      </c>
      <c r="AO297" s="270" t="str">
        <f t="shared" si="73"/>
        <v>-</v>
      </c>
      <c r="AP297" s="266"/>
      <c r="AQ297" s="26" t="str">
        <f t="shared" si="80"/>
        <v>FOUR MILE CREEKSockeye</v>
      </c>
      <c r="AR297" s="26">
        <f t="shared" si="74"/>
        <v>0</v>
      </c>
      <c r="AS297" s="33">
        <f t="shared" si="75"/>
        <v>0</v>
      </c>
      <c r="AX297" s="47" t="str">
        <f t="shared" si="76"/>
        <v>FOUR MILE CREEKSockeye</v>
      </c>
      <c r="AY297" s="49">
        <f t="shared" si="77"/>
        <v>0</v>
      </c>
      <c r="AZ297" s="49">
        <f t="shared" si="78"/>
        <v>0</v>
      </c>
      <c r="BA297" s="31">
        <v>0</v>
      </c>
      <c r="BB297" s="188">
        <f t="shared" si="81"/>
        <v>0</v>
      </c>
      <c r="BC297" s="188" t="str">
        <f t="shared" si="85"/>
        <v xml:space="preserve"> </v>
      </c>
      <c r="BD297" s="188" t="str">
        <f t="shared" si="86"/>
        <v xml:space="preserve"> </v>
      </c>
      <c r="BE297" s="188" t="str">
        <f t="shared" si="87"/>
        <v xml:space="preserve"> </v>
      </c>
      <c r="BF297" s="50" t="str">
        <f t="shared" si="79"/>
        <v>FOUR MILE CREEK_Sockeye</v>
      </c>
      <c r="BG297" s="50" t="str">
        <f>IFERROR(VLOOKUP(BF297,'[1]WCVI Esc'!$C$5:$W$514,18,FALSE),"-")</f>
        <v>-</v>
      </c>
      <c r="BH297" s="50" t="str">
        <f t="shared" si="82"/>
        <v>-</v>
      </c>
      <c r="BI297" s="50" t="str">
        <f>IFERROR(VLOOKUP(BF297,'[1]WCVI Esc'!$C$5:$W$514,19,FALSE),"-")</f>
        <v>-</v>
      </c>
      <c r="BJ297" s="50" t="str">
        <f t="shared" si="83"/>
        <v>-</v>
      </c>
    </row>
    <row r="298" spans="1:62" hidden="1" x14ac:dyDescent="0.2">
      <c r="A298" s="28">
        <v>4</v>
      </c>
      <c r="B298" s="28">
        <v>2</v>
      </c>
      <c r="C298" s="11">
        <v>20</v>
      </c>
      <c r="D298" s="13" t="s">
        <v>291</v>
      </c>
      <c r="E298" s="10" t="s">
        <v>154</v>
      </c>
      <c r="F298" s="10" t="s">
        <v>219</v>
      </c>
      <c r="G298" s="10"/>
      <c r="H298" s="152"/>
      <c r="I298" s="164"/>
      <c r="J298" s="62"/>
      <c r="K298" s="62"/>
      <c r="L298" s="177"/>
      <c r="M298" s="171"/>
      <c r="N298" s="62"/>
      <c r="O298" s="62"/>
      <c r="P298" s="62"/>
      <c r="Q298" s="64"/>
      <c r="R298" s="164"/>
      <c r="S298" s="62"/>
      <c r="T298" s="62"/>
      <c r="U298" s="62"/>
      <c r="V298" s="177"/>
      <c r="W298" s="171"/>
      <c r="X298" s="62"/>
      <c r="Y298" s="45"/>
      <c r="Z298" s="45"/>
      <c r="AA298" s="100"/>
      <c r="AB298" s="100"/>
      <c r="AC298" s="24"/>
      <c r="AD298" s="24"/>
      <c r="AE298" s="24"/>
      <c r="AF298" s="24"/>
      <c r="AG298" s="18">
        <v>20</v>
      </c>
      <c r="AH298" s="69" t="s">
        <v>291</v>
      </c>
      <c r="AI298" s="243" t="s">
        <v>154</v>
      </c>
      <c r="AJ298" s="243" t="s">
        <v>419</v>
      </c>
      <c r="AK298" s="246"/>
      <c r="AL298" s="43" t="str">
        <f t="shared" si="84"/>
        <v>-</v>
      </c>
      <c r="AM298" s="43">
        <f t="shared" si="72"/>
        <v>0</v>
      </c>
      <c r="AN298" s="193">
        <f t="shared" si="72"/>
        <v>0</v>
      </c>
      <c r="AO298" s="270" t="str">
        <f t="shared" si="73"/>
        <v>-</v>
      </c>
      <c r="AP298" s="266"/>
      <c r="AQ298" s="26" t="str">
        <f t="shared" si="80"/>
        <v>FOUR MILE CREEKCoho</v>
      </c>
      <c r="AR298" s="26">
        <f t="shared" si="74"/>
        <v>0</v>
      </c>
      <c r="AS298" s="33">
        <f t="shared" si="75"/>
        <v>0</v>
      </c>
      <c r="AX298" s="47" t="str">
        <f t="shared" si="76"/>
        <v>FOUR MILE CREEKCoho</v>
      </c>
      <c r="AY298" s="49">
        <f t="shared" si="77"/>
        <v>0</v>
      </c>
      <c r="AZ298" s="49">
        <f t="shared" si="78"/>
        <v>0</v>
      </c>
      <c r="BA298" s="31">
        <v>0</v>
      </c>
      <c r="BB298" s="188">
        <f t="shared" si="81"/>
        <v>0</v>
      </c>
      <c r="BC298" s="188" t="str">
        <f t="shared" si="85"/>
        <v xml:space="preserve"> </v>
      </c>
      <c r="BD298" s="188" t="str">
        <f t="shared" si="86"/>
        <v xml:space="preserve"> </v>
      </c>
      <c r="BE298" s="188" t="str">
        <f t="shared" si="87"/>
        <v xml:space="preserve"> </v>
      </c>
      <c r="BF298" s="50" t="str">
        <f t="shared" si="79"/>
        <v>FOUR MILE CREEK_Coho</v>
      </c>
      <c r="BG298" s="50" t="str">
        <f>IFERROR(VLOOKUP(BF298,'[1]WCVI Esc'!$C$5:$W$514,18,FALSE),"-")</f>
        <v>-</v>
      </c>
      <c r="BH298" s="50" t="str">
        <f t="shared" si="82"/>
        <v>-</v>
      </c>
      <c r="BI298" s="50" t="str">
        <f>IFERROR(VLOOKUP(BF298,'[1]WCVI Esc'!$C$5:$W$514,19,FALSE),"-")</f>
        <v>-</v>
      </c>
      <c r="BJ298" s="50" t="str">
        <f t="shared" si="83"/>
        <v>-</v>
      </c>
    </row>
    <row r="299" spans="1:62" hidden="1" x14ac:dyDescent="0.2">
      <c r="A299" s="28">
        <v>4</v>
      </c>
      <c r="B299" s="28">
        <v>3</v>
      </c>
      <c r="C299" s="11">
        <v>20</v>
      </c>
      <c r="D299" s="13" t="s">
        <v>291</v>
      </c>
      <c r="E299" s="10" t="s">
        <v>154</v>
      </c>
      <c r="F299" s="10" t="s">
        <v>208</v>
      </c>
      <c r="G299" s="10"/>
      <c r="H299" s="152"/>
      <c r="I299" s="164"/>
      <c r="J299" s="62"/>
      <c r="K299" s="62"/>
      <c r="L299" s="177"/>
      <c r="M299" s="171"/>
      <c r="N299" s="62"/>
      <c r="O299" s="62"/>
      <c r="P299" s="62"/>
      <c r="Q299" s="64"/>
      <c r="R299" s="164"/>
      <c r="S299" s="62"/>
      <c r="T299" s="62"/>
      <c r="U299" s="62"/>
      <c r="V299" s="177"/>
      <c r="W299" s="171"/>
      <c r="X299" s="62"/>
      <c r="Y299" s="45"/>
      <c r="Z299" s="45"/>
      <c r="AA299" s="100"/>
      <c r="AB299" s="100"/>
      <c r="AC299" s="24"/>
      <c r="AD299" s="24"/>
      <c r="AE299" s="24"/>
      <c r="AF299" s="24"/>
      <c r="AG299" s="18">
        <v>20</v>
      </c>
      <c r="AH299" s="69" t="s">
        <v>291</v>
      </c>
      <c r="AI299" s="243" t="s">
        <v>154</v>
      </c>
      <c r="AJ299" s="243" t="s">
        <v>419</v>
      </c>
      <c r="AK299" s="246"/>
      <c r="AL299" s="43" t="str">
        <f t="shared" si="84"/>
        <v>-</v>
      </c>
      <c r="AM299" s="43">
        <f t="shared" si="72"/>
        <v>0</v>
      </c>
      <c r="AN299" s="193">
        <f t="shared" si="72"/>
        <v>0</v>
      </c>
      <c r="AO299" s="270" t="str">
        <f t="shared" si="73"/>
        <v>-</v>
      </c>
      <c r="AP299" s="266"/>
      <c r="AQ299" s="26" t="str">
        <f t="shared" si="80"/>
        <v>FOUR MILE CREEKPink</v>
      </c>
      <c r="AR299" s="26">
        <f t="shared" si="74"/>
        <v>0</v>
      </c>
      <c r="AS299" s="33">
        <f t="shared" si="75"/>
        <v>0</v>
      </c>
      <c r="AX299" s="47" t="str">
        <f t="shared" si="76"/>
        <v>FOUR MILE CREEKPink</v>
      </c>
      <c r="AY299" s="49">
        <f t="shared" si="77"/>
        <v>0</v>
      </c>
      <c r="AZ299" s="49">
        <f t="shared" si="78"/>
        <v>0</v>
      </c>
      <c r="BA299" s="31">
        <v>0</v>
      </c>
      <c r="BB299" s="188">
        <f t="shared" si="81"/>
        <v>0</v>
      </c>
      <c r="BC299" s="188" t="str">
        <f t="shared" si="85"/>
        <v xml:space="preserve"> </v>
      </c>
      <c r="BD299" s="188" t="str">
        <f t="shared" si="86"/>
        <v xml:space="preserve"> </v>
      </c>
      <c r="BE299" s="188" t="str">
        <f t="shared" si="87"/>
        <v xml:space="preserve"> </v>
      </c>
      <c r="BF299" s="50" t="str">
        <f t="shared" si="79"/>
        <v>FOUR MILE CREEK_Pink</v>
      </c>
      <c r="BG299" s="50" t="str">
        <f>IFERROR(VLOOKUP(BF299,'[1]WCVI Esc'!$C$5:$W$514,18,FALSE),"-")</f>
        <v>-</v>
      </c>
      <c r="BH299" s="50" t="str">
        <f t="shared" si="82"/>
        <v>-</v>
      </c>
      <c r="BI299" s="50" t="str">
        <f>IFERROR(VLOOKUP(BF299,'[1]WCVI Esc'!$C$5:$W$514,19,FALSE),"-")</f>
        <v>-</v>
      </c>
      <c r="BJ299" s="50" t="str">
        <f t="shared" si="83"/>
        <v>-</v>
      </c>
    </row>
    <row r="300" spans="1:62" hidden="1" x14ac:dyDescent="0.2">
      <c r="A300" s="28">
        <v>4</v>
      </c>
      <c r="B300" s="28">
        <v>4</v>
      </c>
      <c r="C300" s="11">
        <v>20</v>
      </c>
      <c r="D300" s="13" t="s">
        <v>291</v>
      </c>
      <c r="E300" s="10" t="s">
        <v>154</v>
      </c>
      <c r="F300" s="10" t="s">
        <v>209</v>
      </c>
      <c r="G300" s="10"/>
      <c r="H300" s="152"/>
      <c r="I300" s="164"/>
      <c r="J300" s="62"/>
      <c r="K300" s="62"/>
      <c r="L300" s="177"/>
      <c r="M300" s="171"/>
      <c r="N300" s="62"/>
      <c r="O300" s="62"/>
      <c r="P300" s="62"/>
      <c r="Q300" s="64"/>
      <c r="R300" s="164"/>
      <c r="S300" s="62"/>
      <c r="T300" s="62"/>
      <c r="U300" s="62"/>
      <c r="V300" s="177"/>
      <c r="W300" s="171"/>
      <c r="X300" s="62"/>
      <c r="Y300" s="45"/>
      <c r="Z300" s="45"/>
      <c r="AA300" s="100"/>
      <c r="AB300" s="100"/>
      <c r="AC300" s="24"/>
      <c r="AD300" s="24"/>
      <c r="AE300" s="24"/>
      <c r="AF300" s="24"/>
      <c r="AG300" s="18">
        <v>20</v>
      </c>
      <c r="AH300" s="69" t="s">
        <v>291</v>
      </c>
      <c r="AI300" s="243" t="s">
        <v>154</v>
      </c>
      <c r="AJ300" s="243" t="s">
        <v>419</v>
      </c>
      <c r="AK300" s="246"/>
      <c r="AL300" s="43" t="str">
        <f t="shared" si="84"/>
        <v>-</v>
      </c>
      <c r="AM300" s="43">
        <f t="shared" si="72"/>
        <v>0</v>
      </c>
      <c r="AN300" s="193">
        <f t="shared" si="72"/>
        <v>0</v>
      </c>
      <c r="AO300" s="270" t="str">
        <f t="shared" si="73"/>
        <v>-</v>
      </c>
      <c r="AP300" s="266"/>
      <c r="AQ300" s="26" t="str">
        <f t="shared" si="80"/>
        <v>FOUR MILE CREEKChum</v>
      </c>
      <c r="AR300" s="26">
        <f t="shared" si="74"/>
        <v>0</v>
      </c>
      <c r="AS300" s="33">
        <f t="shared" si="75"/>
        <v>0</v>
      </c>
      <c r="AX300" s="47" t="str">
        <f t="shared" si="76"/>
        <v>FOUR MILE CREEKChum</v>
      </c>
      <c r="AY300" s="49">
        <f t="shared" si="77"/>
        <v>0</v>
      </c>
      <c r="AZ300" s="49">
        <f t="shared" si="78"/>
        <v>0</v>
      </c>
      <c r="BA300" s="31">
        <v>0</v>
      </c>
      <c r="BB300" s="188">
        <f t="shared" si="81"/>
        <v>0</v>
      </c>
      <c r="BC300" s="188" t="str">
        <f t="shared" si="85"/>
        <v xml:space="preserve"> </v>
      </c>
      <c r="BD300" s="188" t="str">
        <f t="shared" si="86"/>
        <v xml:space="preserve"> </v>
      </c>
      <c r="BE300" s="188" t="str">
        <f t="shared" si="87"/>
        <v xml:space="preserve"> </v>
      </c>
      <c r="BF300" s="50" t="str">
        <f t="shared" si="79"/>
        <v>FOUR MILE CREEK_Chum</v>
      </c>
      <c r="BG300" s="50" t="str">
        <f>IFERROR(VLOOKUP(BF300,'[1]WCVI Esc'!$C$5:$W$514,18,FALSE),"-")</f>
        <v>-</v>
      </c>
      <c r="BH300" s="50" t="str">
        <f t="shared" si="82"/>
        <v>-</v>
      </c>
      <c r="BI300" s="50" t="str">
        <f>IFERROR(VLOOKUP(BF300,'[1]WCVI Esc'!$C$5:$W$514,19,FALSE),"-")</f>
        <v>-</v>
      </c>
      <c r="BJ300" s="50" t="str">
        <f t="shared" si="83"/>
        <v>-</v>
      </c>
    </row>
    <row r="301" spans="1:62" hidden="1" x14ac:dyDescent="0.2">
      <c r="A301" s="28">
        <v>4</v>
      </c>
      <c r="B301" s="28">
        <v>5</v>
      </c>
      <c r="C301" s="11">
        <v>20</v>
      </c>
      <c r="D301" s="13" t="s">
        <v>291</v>
      </c>
      <c r="E301" s="10" t="s">
        <v>154</v>
      </c>
      <c r="F301" s="10" t="s">
        <v>210</v>
      </c>
      <c r="G301" s="10"/>
      <c r="H301" s="152"/>
      <c r="I301" s="164"/>
      <c r="J301" s="62"/>
      <c r="K301" s="62"/>
      <c r="L301" s="177"/>
      <c r="M301" s="171"/>
      <c r="N301" s="62"/>
      <c r="O301" s="62"/>
      <c r="P301" s="62"/>
      <c r="Q301" s="64"/>
      <c r="R301" s="164"/>
      <c r="S301" s="62"/>
      <c r="T301" s="62"/>
      <c r="U301" s="62"/>
      <c r="V301" s="177"/>
      <c r="W301" s="171"/>
      <c r="X301" s="62"/>
      <c r="Y301" s="45"/>
      <c r="Z301" s="45"/>
      <c r="AA301" s="100"/>
      <c r="AB301" s="100"/>
      <c r="AC301" s="24"/>
      <c r="AD301" s="24"/>
      <c r="AE301" s="24"/>
      <c r="AF301" s="24"/>
      <c r="AG301" s="18">
        <v>20</v>
      </c>
      <c r="AH301" s="69" t="s">
        <v>291</v>
      </c>
      <c r="AI301" s="243" t="s">
        <v>154</v>
      </c>
      <c r="AJ301" s="243" t="s">
        <v>419</v>
      </c>
      <c r="AK301" s="246"/>
      <c r="AL301" s="43" t="str">
        <f t="shared" si="84"/>
        <v>-</v>
      </c>
      <c r="AM301" s="43">
        <f t="shared" si="72"/>
        <v>0</v>
      </c>
      <c r="AN301" s="193">
        <f t="shared" si="72"/>
        <v>0</v>
      </c>
      <c r="AO301" s="270" t="str">
        <f t="shared" si="73"/>
        <v>-</v>
      </c>
      <c r="AP301" s="266"/>
      <c r="AQ301" s="26" t="str">
        <f t="shared" si="80"/>
        <v>FOUR MILE CREEKChinook</v>
      </c>
      <c r="AR301" s="26">
        <f t="shared" si="74"/>
        <v>0</v>
      </c>
      <c r="AS301" s="33">
        <f t="shared" si="75"/>
        <v>0</v>
      </c>
      <c r="AX301" s="47" t="str">
        <f t="shared" si="76"/>
        <v>FOUR MILE CREEKChinook</v>
      </c>
      <c r="AY301" s="49">
        <f t="shared" si="77"/>
        <v>0</v>
      </c>
      <c r="AZ301" s="49">
        <f t="shared" si="78"/>
        <v>0</v>
      </c>
      <c r="BA301" s="31">
        <v>0</v>
      </c>
      <c r="BB301" s="188">
        <f t="shared" si="81"/>
        <v>0</v>
      </c>
      <c r="BC301" s="188" t="str">
        <f t="shared" si="85"/>
        <v xml:space="preserve"> </v>
      </c>
      <c r="BD301" s="188" t="str">
        <f t="shared" si="86"/>
        <v xml:space="preserve"> </v>
      </c>
      <c r="BE301" s="188" t="str">
        <f t="shared" si="87"/>
        <v xml:space="preserve"> </v>
      </c>
      <c r="BF301" s="50" t="str">
        <f t="shared" si="79"/>
        <v>FOUR MILE CREEK_Chinook</v>
      </c>
      <c r="BG301" s="50" t="str">
        <f>IFERROR(VLOOKUP(BF301,'[1]WCVI Esc'!$C$5:$W$514,18,FALSE),"-")</f>
        <v>-</v>
      </c>
      <c r="BH301" s="50" t="str">
        <f t="shared" si="82"/>
        <v>-</v>
      </c>
      <c r="BI301" s="50" t="str">
        <f>IFERROR(VLOOKUP(BF301,'[1]WCVI Esc'!$C$5:$W$514,19,FALSE),"-")</f>
        <v>-</v>
      </c>
      <c r="BJ301" s="50" t="str">
        <f t="shared" si="83"/>
        <v>-</v>
      </c>
    </row>
    <row r="302" spans="1:62" hidden="1" x14ac:dyDescent="0.2">
      <c r="A302" s="28">
        <v>4</v>
      </c>
      <c r="B302" s="28">
        <v>6</v>
      </c>
      <c r="C302" s="11">
        <v>20</v>
      </c>
      <c r="D302" s="13" t="s">
        <v>291</v>
      </c>
      <c r="E302" s="10" t="s">
        <v>154</v>
      </c>
      <c r="F302" s="10" t="s">
        <v>211</v>
      </c>
      <c r="G302" s="10"/>
      <c r="H302" s="152"/>
      <c r="I302" s="164"/>
      <c r="J302" s="62"/>
      <c r="K302" s="62"/>
      <c r="L302" s="177"/>
      <c r="M302" s="171"/>
      <c r="N302" s="62"/>
      <c r="O302" s="62"/>
      <c r="P302" s="62"/>
      <c r="Q302" s="64"/>
      <c r="R302" s="164"/>
      <c r="S302" s="62"/>
      <c r="T302" s="62"/>
      <c r="U302" s="62"/>
      <c r="V302" s="177"/>
      <c r="W302" s="171"/>
      <c r="X302" s="62"/>
      <c r="Y302" s="45"/>
      <c r="Z302" s="45"/>
      <c r="AA302" s="100"/>
      <c r="AB302" s="100"/>
      <c r="AC302" s="24"/>
      <c r="AD302" s="24"/>
      <c r="AE302" s="24"/>
      <c r="AF302" s="24"/>
      <c r="AG302" s="18">
        <v>20</v>
      </c>
      <c r="AH302" s="69" t="s">
        <v>291</v>
      </c>
      <c r="AI302" s="243" t="s">
        <v>154</v>
      </c>
      <c r="AJ302" s="243" t="s">
        <v>419</v>
      </c>
      <c r="AK302" s="246"/>
      <c r="AL302" s="43" t="str">
        <f t="shared" si="84"/>
        <v>-</v>
      </c>
      <c r="AM302" s="43">
        <f t="shared" si="72"/>
        <v>0</v>
      </c>
      <c r="AN302" s="193">
        <f t="shared" si="72"/>
        <v>0</v>
      </c>
      <c r="AO302" s="270" t="str">
        <f t="shared" si="73"/>
        <v>-</v>
      </c>
      <c r="AP302" s="266"/>
      <c r="AQ302" s="26" t="str">
        <f t="shared" si="80"/>
        <v>FOUR MILE CREEKSteelhead</v>
      </c>
      <c r="AR302" s="26">
        <f t="shared" si="74"/>
        <v>0</v>
      </c>
      <c r="AS302" s="33">
        <f t="shared" si="75"/>
        <v>0</v>
      </c>
      <c r="AX302" s="47" t="str">
        <f t="shared" si="76"/>
        <v>FOUR MILE CREEKSteelhead</v>
      </c>
      <c r="AY302" s="49">
        <f t="shared" si="77"/>
        <v>0</v>
      </c>
      <c r="AZ302" s="49">
        <f t="shared" si="78"/>
        <v>0</v>
      </c>
      <c r="BA302" s="31">
        <v>0</v>
      </c>
      <c r="BB302" s="188">
        <f t="shared" si="81"/>
        <v>0</v>
      </c>
      <c r="BC302" s="188" t="str">
        <f t="shared" si="85"/>
        <v xml:space="preserve"> </v>
      </c>
      <c r="BD302" s="188" t="str">
        <f t="shared" si="86"/>
        <v xml:space="preserve"> </v>
      </c>
      <c r="BE302" s="188" t="str">
        <f t="shared" si="87"/>
        <v xml:space="preserve"> </v>
      </c>
      <c r="BF302" s="50" t="str">
        <f t="shared" si="79"/>
        <v>FOUR MILE CREEK_Steelhead</v>
      </c>
      <c r="BG302" s="50" t="str">
        <f>IFERROR(VLOOKUP(BF302,'[1]WCVI Esc'!$C$5:$W$514,18,FALSE),"-")</f>
        <v>-</v>
      </c>
      <c r="BH302" s="50" t="str">
        <f t="shared" si="82"/>
        <v>-</v>
      </c>
      <c r="BI302" s="50" t="str">
        <f>IFERROR(VLOOKUP(BF302,'[1]WCVI Esc'!$C$5:$W$514,19,FALSE),"-")</f>
        <v>-</v>
      </c>
      <c r="BJ302" s="50" t="str">
        <f t="shared" si="83"/>
        <v>-</v>
      </c>
    </row>
    <row r="303" spans="1:62" hidden="1" x14ac:dyDescent="0.2">
      <c r="A303" s="28">
        <v>4</v>
      </c>
      <c r="B303" s="28">
        <v>1</v>
      </c>
      <c r="C303" s="11">
        <v>20</v>
      </c>
      <c r="D303" s="13" t="s">
        <v>291</v>
      </c>
      <c r="E303" s="10" t="s">
        <v>17</v>
      </c>
      <c r="F303" s="10" t="s">
        <v>207</v>
      </c>
      <c r="G303" s="10"/>
      <c r="H303" s="152"/>
      <c r="I303" s="164"/>
      <c r="J303" s="62"/>
      <c r="K303" s="62"/>
      <c r="L303" s="177"/>
      <c r="M303" s="171"/>
      <c r="N303" s="62"/>
      <c r="O303" s="62"/>
      <c r="P303" s="62"/>
      <c r="Q303" s="64"/>
      <c r="R303" s="169"/>
      <c r="S303" s="62"/>
      <c r="T303" s="62"/>
      <c r="U303" s="94"/>
      <c r="V303" s="177"/>
      <c r="W303" s="171"/>
      <c r="X303" s="62"/>
      <c r="Y303" s="45"/>
      <c r="Z303" s="45"/>
      <c r="AA303" s="100">
        <f>Y303/AP303</f>
        <v>0</v>
      </c>
      <c r="AB303" s="100">
        <f>AS303/AP303</f>
        <v>0</v>
      </c>
      <c r="AC303" s="24"/>
      <c r="AD303" s="24"/>
      <c r="AE303" s="24"/>
      <c r="AF303" s="24"/>
      <c r="AG303" s="18">
        <v>20</v>
      </c>
      <c r="AH303" s="69" t="s">
        <v>291</v>
      </c>
      <c r="AI303" s="243" t="s">
        <v>17</v>
      </c>
      <c r="AJ303" s="243" t="s">
        <v>419</v>
      </c>
      <c r="AK303" s="246"/>
      <c r="AL303" s="43" t="str">
        <f t="shared" si="84"/>
        <v>-</v>
      </c>
      <c r="AM303" s="43">
        <f t="shared" si="72"/>
        <v>0</v>
      </c>
      <c r="AN303" s="193">
        <f t="shared" si="72"/>
        <v>0</v>
      </c>
      <c r="AO303" s="270">
        <f t="shared" si="73"/>
        <v>20</v>
      </c>
      <c r="AP303" s="265">
        <f>BJ303</f>
        <v>20</v>
      </c>
      <c r="AQ303" s="26" t="str">
        <f t="shared" si="80"/>
        <v>GORDON RIVERSockeye</v>
      </c>
      <c r="AR303" s="26">
        <f t="shared" si="74"/>
        <v>0</v>
      </c>
      <c r="AS303" s="33">
        <f t="shared" si="75"/>
        <v>0</v>
      </c>
      <c r="AX303" s="47" t="str">
        <f t="shared" si="76"/>
        <v>GORDON RIVERSockeye</v>
      </c>
      <c r="AY303" s="49">
        <f t="shared" si="77"/>
        <v>0</v>
      </c>
      <c r="AZ303" s="49">
        <f t="shared" si="78"/>
        <v>0</v>
      </c>
      <c r="BA303" s="31">
        <v>2015</v>
      </c>
      <c r="BB303" s="188">
        <f t="shared" si="81"/>
        <v>0</v>
      </c>
      <c r="BC303" s="188" t="str">
        <f t="shared" si="85"/>
        <v xml:space="preserve"> </v>
      </c>
      <c r="BD303" s="188" t="str">
        <f t="shared" si="86"/>
        <v xml:space="preserve"> </v>
      </c>
      <c r="BE303" s="188" t="str">
        <f t="shared" si="87"/>
        <v xml:space="preserve"> </v>
      </c>
      <c r="BF303" s="50" t="str">
        <f t="shared" si="79"/>
        <v>GORDON RIVER_Sockeye</v>
      </c>
      <c r="BG303" s="50">
        <f>IFERROR(VLOOKUP(BF303,'[1]WCVI Esc'!$C$5:$W$514,18,FALSE),"-")</f>
        <v>18</v>
      </c>
      <c r="BH303" s="50">
        <f t="shared" si="82"/>
        <v>20</v>
      </c>
      <c r="BI303" s="50">
        <f>IFERROR(VLOOKUP(BF303,'[1]WCVI Esc'!$C$5:$W$514,19,FALSE),"-")</f>
        <v>18</v>
      </c>
      <c r="BJ303" s="50">
        <f t="shared" si="83"/>
        <v>20</v>
      </c>
    </row>
    <row r="304" spans="1:62" hidden="1" x14ac:dyDescent="0.2">
      <c r="A304" s="28">
        <v>4</v>
      </c>
      <c r="B304" s="28">
        <v>2</v>
      </c>
      <c r="C304" s="11">
        <v>20</v>
      </c>
      <c r="D304" s="13" t="s">
        <v>291</v>
      </c>
      <c r="E304" s="10" t="s">
        <v>17</v>
      </c>
      <c r="F304" s="10" t="s">
        <v>219</v>
      </c>
      <c r="G304" s="10"/>
      <c r="H304" s="152"/>
      <c r="I304" s="164"/>
      <c r="J304" s="62"/>
      <c r="K304" s="62"/>
      <c r="L304" s="177"/>
      <c r="M304" s="171"/>
      <c r="N304" s="62"/>
      <c r="O304" s="62"/>
      <c r="P304" s="62"/>
      <c r="Q304" s="64"/>
      <c r="R304" s="169"/>
      <c r="S304" s="62"/>
      <c r="T304" s="62"/>
      <c r="U304" s="94"/>
      <c r="V304" s="177"/>
      <c r="W304" s="171"/>
      <c r="X304" s="62"/>
      <c r="Y304" s="45"/>
      <c r="Z304" s="45"/>
      <c r="AA304" s="100">
        <f>Y304/AP304</f>
        <v>0</v>
      </c>
      <c r="AB304" s="100">
        <f>AS304/AP304</f>
        <v>0</v>
      </c>
      <c r="AC304" s="24"/>
      <c r="AD304" s="24"/>
      <c r="AE304" s="24"/>
      <c r="AF304" s="24"/>
      <c r="AG304" s="18">
        <v>20</v>
      </c>
      <c r="AH304" s="69" t="s">
        <v>291</v>
      </c>
      <c r="AI304" s="243" t="s">
        <v>17</v>
      </c>
      <c r="AJ304" s="243" t="s">
        <v>419</v>
      </c>
      <c r="AK304" s="246"/>
      <c r="AL304" s="43" t="str">
        <f t="shared" si="84"/>
        <v>-</v>
      </c>
      <c r="AM304" s="43">
        <f t="shared" si="72"/>
        <v>0</v>
      </c>
      <c r="AN304" s="193">
        <f t="shared" si="72"/>
        <v>0</v>
      </c>
      <c r="AO304" s="270">
        <f t="shared" si="73"/>
        <v>720</v>
      </c>
      <c r="AP304" s="265">
        <f>BJ304</f>
        <v>680</v>
      </c>
      <c r="AQ304" s="26" t="str">
        <f t="shared" si="80"/>
        <v>GORDON RIVERCoho</v>
      </c>
      <c r="AR304" s="26">
        <f t="shared" si="74"/>
        <v>0</v>
      </c>
      <c r="AS304" s="33">
        <f t="shared" si="75"/>
        <v>0</v>
      </c>
      <c r="AX304" s="47" t="str">
        <f t="shared" si="76"/>
        <v>GORDON RIVERCoho</v>
      </c>
      <c r="AY304" s="49">
        <f t="shared" si="77"/>
        <v>0</v>
      </c>
      <c r="AZ304" s="49">
        <f t="shared" si="78"/>
        <v>0</v>
      </c>
      <c r="BA304" s="31">
        <v>2015</v>
      </c>
      <c r="BB304" s="188">
        <f t="shared" si="81"/>
        <v>0</v>
      </c>
      <c r="BC304" s="188" t="str">
        <f t="shared" si="85"/>
        <v xml:space="preserve"> </v>
      </c>
      <c r="BD304" s="188" t="str">
        <f t="shared" si="86"/>
        <v xml:space="preserve"> </v>
      </c>
      <c r="BE304" s="188" t="str">
        <f t="shared" si="87"/>
        <v xml:space="preserve"> </v>
      </c>
      <c r="BF304" s="50" t="str">
        <f t="shared" si="79"/>
        <v>GORDON RIVER_Coho</v>
      </c>
      <c r="BG304" s="50">
        <f>IFERROR(VLOOKUP(BF304,'[1]WCVI Esc'!$C$5:$W$514,18,FALSE),"-")</f>
        <v>719.66666666666663</v>
      </c>
      <c r="BH304" s="50">
        <f t="shared" si="82"/>
        <v>720</v>
      </c>
      <c r="BI304" s="50">
        <f>IFERROR(VLOOKUP(BF304,'[1]WCVI Esc'!$C$5:$W$514,19,FALSE),"-")</f>
        <v>683.2</v>
      </c>
      <c r="BJ304" s="50">
        <f t="shared" si="83"/>
        <v>680</v>
      </c>
    </row>
    <row r="305" spans="1:65" hidden="1" x14ac:dyDescent="0.2">
      <c r="A305" s="28">
        <v>4</v>
      </c>
      <c r="B305" s="28">
        <v>3</v>
      </c>
      <c r="C305" s="11">
        <v>20</v>
      </c>
      <c r="D305" s="13" t="s">
        <v>291</v>
      </c>
      <c r="E305" s="10" t="s">
        <v>17</v>
      </c>
      <c r="F305" s="10" t="s">
        <v>208</v>
      </c>
      <c r="G305" s="10"/>
      <c r="H305" s="152"/>
      <c r="I305" s="164"/>
      <c r="J305" s="62"/>
      <c r="K305" s="62"/>
      <c r="L305" s="177"/>
      <c r="M305" s="171"/>
      <c r="N305" s="62"/>
      <c r="O305" s="62"/>
      <c r="P305" s="62"/>
      <c r="Q305" s="64"/>
      <c r="R305" s="169"/>
      <c r="S305" s="62"/>
      <c r="T305" s="62"/>
      <c r="U305" s="94"/>
      <c r="V305" s="177"/>
      <c r="W305" s="171"/>
      <c r="X305" s="62"/>
      <c r="Y305" s="45"/>
      <c r="Z305" s="45"/>
      <c r="AA305" s="100" t="e">
        <f>Y305/AP305</f>
        <v>#VALUE!</v>
      </c>
      <c r="AB305" s="100" t="e">
        <f>AS305/AP305</f>
        <v>#VALUE!</v>
      </c>
      <c r="AC305" s="24"/>
      <c r="AD305" s="24"/>
      <c r="AE305" s="24"/>
      <c r="AF305" s="24"/>
      <c r="AG305" s="18">
        <v>20</v>
      </c>
      <c r="AH305" s="69" t="s">
        <v>291</v>
      </c>
      <c r="AI305" s="243" t="s">
        <v>17</v>
      </c>
      <c r="AJ305" s="243" t="s">
        <v>419</v>
      </c>
      <c r="AK305" s="246"/>
      <c r="AL305" s="43" t="str">
        <f t="shared" si="84"/>
        <v>-</v>
      </c>
      <c r="AM305" s="43">
        <f t="shared" si="72"/>
        <v>0</v>
      </c>
      <c r="AN305" s="193">
        <f t="shared" si="72"/>
        <v>0</v>
      </c>
      <c r="AO305" s="270" t="str">
        <f t="shared" si="73"/>
        <v>-</v>
      </c>
      <c r="AP305" s="265" t="str">
        <f>BJ305</f>
        <v>-</v>
      </c>
      <c r="AQ305" s="26" t="str">
        <f t="shared" si="80"/>
        <v>GORDON RIVERPink</v>
      </c>
      <c r="AR305" s="26">
        <f t="shared" si="74"/>
        <v>0</v>
      </c>
      <c r="AS305" s="33">
        <f t="shared" si="75"/>
        <v>0</v>
      </c>
      <c r="AX305" s="47" t="str">
        <f t="shared" si="76"/>
        <v>GORDON RIVERPink</v>
      </c>
      <c r="AY305" s="49">
        <f t="shared" si="77"/>
        <v>0</v>
      </c>
      <c r="AZ305" s="49">
        <f t="shared" si="78"/>
        <v>0</v>
      </c>
      <c r="BA305" s="31">
        <v>2009</v>
      </c>
      <c r="BB305" s="188">
        <f t="shared" si="81"/>
        <v>0</v>
      </c>
      <c r="BC305" s="188" t="str">
        <f t="shared" si="85"/>
        <v xml:space="preserve"> </v>
      </c>
      <c r="BD305" s="188" t="str">
        <f t="shared" si="86"/>
        <v xml:space="preserve"> </v>
      </c>
      <c r="BE305" s="188" t="str">
        <f t="shared" si="87"/>
        <v xml:space="preserve"> </v>
      </c>
      <c r="BF305" s="50" t="str">
        <f t="shared" si="79"/>
        <v>GORDON RIVER_Pink</v>
      </c>
      <c r="BG305" s="50" t="str">
        <f>IFERROR(VLOOKUP(BF305,'[1]WCVI Esc'!$C$5:$W$514,18,FALSE),"-")</f>
        <v>-</v>
      </c>
      <c r="BH305" s="50" t="str">
        <f t="shared" si="82"/>
        <v>-</v>
      </c>
      <c r="BI305" s="50" t="str">
        <f>IFERROR(VLOOKUP(BF305,'[1]WCVI Esc'!$C$5:$W$514,19,FALSE),"-")</f>
        <v>-</v>
      </c>
      <c r="BJ305" s="50" t="str">
        <f t="shared" si="83"/>
        <v>-</v>
      </c>
    </row>
    <row r="306" spans="1:65" hidden="1" x14ac:dyDescent="0.2">
      <c r="A306" s="28">
        <v>4</v>
      </c>
      <c r="B306" s="28">
        <v>4</v>
      </c>
      <c r="C306" s="11">
        <v>20</v>
      </c>
      <c r="D306" s="13" t="s">
        <v>291</v>
      </c>
      <c r="E306" s="10" t="s">
        <v>17</v>
      </c>
      <c r="F306" s="10" t="s">
        <v>209</v>
      </c>
      <c r="G306" s="10"/>
      <c r="H306" s="152"/>
      <c r="I306" s="164"/>
      <c r="J306" s="62"/>
      <c r="K306" s="62"/>
      <c r="L306" s="177"/>
      <c r="M306" s="171"/>
      <c r="N306" s="62"/>
      <c r="O306" s="62"/>
      <c r="P306" s="62"/>
      <c r="Q306" s="64"/>
      <c r="R306" s="169"/>
      <c r="S306" s="62"/>
      <c r="T306" s="62"/>
      <c r="U306" s="94"/>
      <c r="V306" s="177"/>
      <c r="W306" s="171"/>
      <c r="X306" s="62"/>
      <c r="Y306" s="45"/>
      <c r="Z306" s="45"/>
      <c r="AA306" s="100">
        <f>Y306/AP306</f>
        <v>0</v>
      </c>
      <c r="AB306" s="100">
        <f>AS306/AP306</f>
        <v>0</v>
      </c>
      <c r="AC306" s="24"/>
      <c r="AD306" s="24"/>
      <c r="AE306" s="24"/>
      <c r="AF306" s="24"/>
      <c r="AG306" s="18">
        <v>20</v>
      </c>
      <c r="AH306" s="69" t="s">
        <v>291</v>
      </c>
      <c r="AI306" s="243" t="s">
        <v>17</v>
      </c>
      <c r="AJ306" s="243" t="s">
        <v>419</v>
      </c>
      <c r="AK306" s="246"/>
      <c r="AL306" s="43" t="str">
        <f t="shared" si="84"/>
        <v>-</v>
      </c>
      <c r="AM306" s="43">
        <f t="shared" si="72"/>
        <v>0</v>
      </c>
      <c r="AN306" s="193">
        <f t="shared" si="72"/>
        <v>0</v>
      </c>
      <c r="AO306" s="270">
        <f t="shared" si="73"/>
        <v>190</v>
      </c>
      <c r="AP306" s="265">
        <f>BJ306</f>
        <v>170</v>
      </c>
      <c r="AQ306" s="26" t="str">
        <f t="shared" si="80"/>
        <v>GORDON RIVERChum</v>
      </c>
      <c r="AR306" s="26">
        <f t="shared" si="74"/>
        <v>0</v>
      </c>
      <c r="AS306" s="33">
        <f t="shared" si="75"/>
        <v>0</v>
      </c>
      <c r="AX306" s="47" t="str">
        <f t="shared" si="76"/>
        <v>GORDON RIVERChum</v>
      </c>
      <c r="AY306" s="49">
        <f t="shared" si="77"/>
        <v>0</v>
      </c>
      <c r="AZ306" s="49">
        <f t="shared" si="78"/>
        <v>0</v>
      </c>
      <c r="BA306" s="31">
        <v>2015</v>
      </c>
      <c r="BB306" s="188">
        <f t="shared" si="81"/>
        <v>0</v>
      </c>
      <c r="BC306" s="188" t="str">
        <f t="shared" si="85"/>
        <v xml:space="preserve"> </v>
      </c>
      <c r="BD306" s="188" t="str">
        <f t="shared" si="86"/>
        <v xml:space="preserve"> </v>
      </c>
      <c r="BE306" s="188" t="str">
        <f t="shared" si="87"/>
        <v xml:space="preserve"> </v>
      </c>
      <c r="BF306" s="50" t="str">
        <f t="shared" si="79"/>
        <v>GORDON RIVER_Chum</v>
      </c>
      <c r="BG306" s="50">
        <f>IFERROR(VLOOKUP(BF306,'[1]WCVI Esc'!$C$5:$W$514,18,FALSE),"-")</f>
        <v>190</v>
      </c>
      <c r="BH306" s="50">
        <f t="shared" si="82"/>
        <v>190</v>
      </c>
      <c r="BI306" s="50">
        <f>IFERROR(VLOOKUP(BF306,'[1]WCVI Esc'!$C$5:$W$514,19,FALSE),"-")</f>
        <v>173.8</v>
      </c>
      <c r="BJ306" s="50">
        <f t="shared" si="83"/>
        <v>170</v>
      </c>
    </row>
    <row r="307" spans="1:65" hidden="1" x14ac:dyDescent="0.2">
      <c r="A307" s="28">
        <v>4</v>
      </c>
      <c r="B307" s="28">
        <v>5</v>
      </c>
      <c r="C307" s="11">
        <v>20</v>
      </c>
      <c r="D307" s="13" t="s">
        <v>291</v>
      </c>
      <c r="E307" s="10" t="s">
        <v>17</v>
      </c>
      <c r="F307" s="10" t="s">
        <v>210</v>
      </c>
      <c r="G307" s="10"/>
      <c r="H307" s="152"/>
      <c r="I307" s="164"/>
      <c r="J307" s="62"/>
      <c r="K307" s="62"/>
      <c r="L307" s="177"/>
      <c r="M307" s="171"/>
      <c r="N307" s="62"/>
      <c r="O307" s="62"/>
      <c r="P307" s="62"/>
      <c r="Q307" s="64"/>
      <c r="R307" s="169"/>
      <c r="S307" s="62"/>
      <c r="T307" s="62"/>
      <c r="U307" s="94"/>
      <c r="V307" s="177"/>
      <c r="W307" s="171"/>
      <c r="X307" s="62"/>
      <c r="Y307" s="45"/>
      <c r="Z307" s="45"/>
      <c r="AA307" s="100">
        <f>Y307/AP307</f>
        <v>0</v>
      </c>
      <c r="AB307" s="100">
        <f>AS307/AP307</f>
        <v>0</v>
      </c>
      <c r="AC307" s="24"/>
      <c r="AD307" s="24"/>
      <c r="AE307" s="24"/>
      <c r="AF307" s="24"/>
      <c r="AG307" s="18">
        <v>20</v>
      </c>
      <c r="AH307" s="69" t="s">
        <v>291</v>
      </c>
      <c r="AI307" s="243" t="s">
        <v>17</v>
      </c>
      <c r="AJ307" s="243" t="s">
        <v>419</v>
      </c>
      <c r="AK307" s="246"/>
      <c r="AL307" s="43" t="str">
        <f t="shared" si="84"/>
        <v>-</v>
      </c>
      <c r="AM307" s="43">
        <f t="shared" si="72"/>
        <v>0</v>
      </c>
      <c r="AN307" s="193">
        <f t="shared" si="72"/>
        <v>0</v>
      </c>
      <c r="AO307" s="270">
        <f t="shared" si="73"/>
        <v>80</v>
      </c>
      <c r="AP307" s="265">
        <f>BJ307</f>
        <v>60</v>
      </c>
      <c r="AQ307" s="26" t="str">
        <f t="shared" si="80"/>
        <v>GORDON RIVERChinook</v>
      </c>
      <c r="AR307" s="26">
        <f t="shared" si="74"/>
        <v>0</v>
      </c>
      <c r="AS307" s="33">
        <f t="shared" si="75"/>
        <v>0</v>
      </c>
      <c r="AX307" s="47" t="str">
        <f t="shared" si="76"/>
        <v>GORDON RIVERChinook</v>
      </c>
      <c r="AY307" s="49">
        <f t="shared" si="77"/>
        <v>0</v>
      </c>
      <c r="AZ307" s="49">
        <f t="shared" si="78"/>
        <v>0</v>
      </c>
      <c r="BA307" s="31">
        <v>2015</v>
      </c>
      <c r="BB307" s="188">
        <f t="shared" si="81"/>
        <v>0</v>
      </c>
      <c r="BC307" s="188" t="str">
        <f t="shared" si="85"/>
        <v xml:space="preserve"> </v>
      </c>
      <c r="BD307" s="188" t="str">
        <f t="shared" si="86"/>
        <v xml:space="preserve"> </v>
      </c>
      <c r="BE307" s="188" t="str">
        <f t="shared" si="87"/>
        <v xml:space="preserve"> </v>
      </c>
      <c r="BF307" s="50" t="str">
        <f t="shared" si="79"/>
        <v>GORDON RIVER_Chinook</v>
      </c>
      <c r="BG307" s="50">
        <f>IFERROR(VLOOKUP(BF307,'[1]WCVI Esc'!$C$5:$W$514,18,FALSE),"-")</f>
        <v>84.5</v>
      </c>
      <c r="BH307" s="50">
        <f t="shared" si="82"/>
        <v>80</v>
      </c>
      <c r="BI307" s="50">
        <f>IFERROR(VLOOKUP(BF307,'[1]WCVI Esc'!$C$5:$W$514,19,FALSE),"-")</f>
        <v>64.333333333333329</v>
      </c>
      <c r="BJ307" s="50">
        <f t="shared" si="83"/>
        <v>60</v>
      </c>
    </row>
    <row r="308" spans="1:65" hidden="1" x14ac:dyDescent="0.2">
      <c r="A308" s="28">
        <v>4</v>
      </c>
      <c r="B308" s="28">
        <v>6</v>
      </c>
      <c r="C308" s="11">
        <v>20</v>
      </c>
      <c r="D308" s="13" t="s">
        <v>291</v>
      </c>
      <c r="E308" s="10" t="s">
        <v>17</v>
      </c>
      <c r="F308" s="10" t="s">
        <v>211</v>
      </c>
      <c r="G308" s="10"/>
      <c r="H308" s="152"/>
      <c r="I308" s="164"/>
      <c r="J308" s="62"/>
      <c r="K308" s="62"/>
      <c r="L308" s="177"/>
      <c r="M308" s="171"/>
      <c r="N308" s="62"/>
      <c r="O308" s="62"/>
      <c r="P308" s="62"/>
      <c r="Q308" s="64"/>
      <c r="R308" s="169"/>
      <c r="S308" s="62"/>
      <c r="T308" s="62"/>
      <c r="U308" s="94"/>
      <c r="V308" s="177"/>
      <c r="W308" s="171"/>
      <c r="X308" s="62"/>
      <c r="Y308" s="45"/>
      <c r="Z308" s="45"/>
      <c r="AA308" s="100"/>
      <c r="AB308" s="100"/>
      <c r="AC308" s="24"/>
      <c r="AD308" s="24"/>
      <c r="AE308" s="24"/>
      <c r="AF308" s="24"/>
      <c r="AG308" s="18">
        <v>20</v>
      </c>
      <c r="AH308" s="69" t="s">
        <v>291</v>
      </c>
      <c r="AI308" s="243" t="s">
        <v>17</v>
      </c>
      <c r="AJ308" s="243" t="s">
        <v>419</v>
      </c>
      <c r="AK308" s="246"/>
      <c r="AL308" s="43" t="str">
        <f t="shared" si="84"/>
        <v>-</v>
      </c>
      <c r="AM308" s="43">
        <f t="shared" si="72"/>
        <v>0</v>
      </c>
      <c r="AN308" s="193">
        <f t="shared" si="72"/>
        <v>0</v>
      </c>
      <c r="AO308" s="270" t="str">
        <f t="shared" si="73"/>
        <v>-</v>
      </c>
      <c r="AP308" s="266"/>
      <c r="AQ308" s="26" t="str">
        <f t="shared" si="80"/>
        <v>GORDON RIVERSteelhead</v>
      </c>
      <c r="AR308" s="26">
        <f t="shared" si="74"/>
        <v>0</v>
      </c>
      <c r="AS308" s="33">
        <f t="shared" si="75"/>
        <v>0</v>
      </c>
      <c r="AX308" s="47" t="str">
        <f t="shared" si="76"/>
        <v>GORDON RIVERSteelhead</v>
      </c>
      <c r="AY308" s="49">
        <f t="shared" si="77"/>
        <v>0</v>
      </c>
      <c r="AZ308" s="49">
        <f t="shared" si="78"/>
        <v>0</v>
      </c>
      <c r="BA308" s="31">
        <v>0</v>
      </c>
      <c r="BB308" s="188">
        <f t="shared" si="81"/>
        <v>0</v>
      </c>
      <c r="BC308" s="188" t="str">
        <f t="shared" si="85"/>
        <v xml:space="preserve"> </v>
      </c>
      <c r="BD308" s="188" t="str">
        <f t="shared" si="86"/>
        <v xml:space="preserve"> </v>
      </c>
      <c r="BE308" s="188" t="str">
        <f t="shared" si="87"/>
        <v xml:space="preserve"> </v>
      </c>
      <c r="BF308" s="50" t="str">
        <f t="shared" si="79"/>
        <v>GORDON RIVER_Steelhead</v>
      </c>
      <c r="BG308" s="50" t="str">
        <f>IFERROR(VLOOKUP(BF308,'[1]WCVI Esc'!$C$5:$W$514,18,FALSE),"-")</f>
        <v>-</v>
      </c>
      <c r="BH308" s="50" t="str">
        <f t="shared" si="82"/>
        <v>-</v>
      </c>
      <c r="BI308" s="50" t="str">
        <f>IFERROR(VLOOKUP(BF308,'[1]WCVI Esc'!$C$5:$W$514,19,FALSE),"-")</f>
        <v>-</v>
      </c>
      <c r="BJ308" s="50" t="str">
        <f t="shared" si="83"/>
        <v>-</v>
      </c>
    </row>
    <row r="309" spans="1:65" hidden="1" x14ac:dyDescent="0.2">
      <c r="A309" s="28">
        <v>4</v>
      </c>
      <c r="B309" s="28">
        <v>1</v>
      </c>
      <c r="C309" s="11">
        <v>20</v>
      </c>
      <c r="D309" s="13" t="s">
        <v>291</v>
      </c>
      <c r="E309" s="10" t="s">
        <v>18</v>
      </c>
      <c r="F309" s="10" t="s">
        <v>207</v>
      </c>
      <c r="G309" s="10"/>
      <c r="H309" s="152"/>
      <c r="I309" s="155"/>
      <c r="J309" s="106"/>
      <c r="K309" s="94"/>
      <c r="L309" s="180"/>
      <c r="M309" s="173"/>
      <c r="N309" s="106"/>
      <c r="O309" s="106"/>
      <c r="P309" s="63"/>
      <c r="Q309" s="162"/>
      <c r="R309" s="164"/>
      <c r="S309" s="62"/>
      <c r="T309" s="62"/>
      <c r="U309" s="62"/>
      <c r="V309" s="177"/>
      <c r="W309" s="171"/>
      <c r="X309" s="62"/>
      <c r="Y309" s="45"/>
      <c r="Z309" s="45"/>
      <c r="AA309" s="100"/>
      <c r="AB309" s="100"/>
      <c r="AC309" s="24"/>
      <c r="AD309" s="24"/>
      <c r="AE309" s="24"/>
      <c r="AF309" s="24"/>
      <c r="AG309" s="18">
        <v>20</v>
      </c>
      <c r="AH309" s="69" t="s">
        <v>291</v>
      </c>
      <c r="AI309" s="243" t="s">
        <v>18</v>
      </c>
      <c r="AJ309" s="243" t="s">
        <v>419</v>
      </c>
      <c r="AK309" s="244" t="s">
        <v>370</v>
      </c>
      <c r="AL309" s="43" t="str">
        <f t="shared" si="84"/>
        <v>-</v>
      </c>
      <c r="AM309" s="43">
        <f t="shared" si="72"/>
        <v>0</v>
      </c>
      <c r="AN309" s="193">
        <f t="shared" si="72"/>
        <v>0</v>
      </c>
      <c r="AO309" s="264" t="str">
        <f t="shared" si="73"/>
        <v>-</v>
      </c>
      <c r="AP309" s="266"/>
      <c r="AQ309" s="26" t="str">
        <f t="shared" si="80"/>
        <v>HARRIS CREEKSockeye</v>
      </c>
      <c r="AR309" s="26">
        <f t="shared" si="74"/>
        <v>0</v>
      </c>
      <c r="AS309" s="33">
        <f t="shared" si="75"/>
        <v>0</v>
      </c>
      <c r="AX309" s="47" t="str">
        <f t="shared" si="76"/>
        <v>HARRIS CREEKSockeye</v>
      </c>
      <c r="AY309" s="49">
        <f t="shared" si="77"/>
        <v>0</v>
      </c>
      <c r="AZ309" s="49">
        <f t="shared" si="78"/>
        <v>0</v>
      </c>
      <c r="BA309" s="31">
        <v>2016</v>
      </c>
      <c r="BB309" s="188" t="str">
        <f t="shared" si="81"/>
        <v>PFN</v>
      </c>
      <c r="BC309" s="188" t="str">
        <f t="shared" si="85"/>
        <v xml:space="preserve"> </v>
      </c>
      <c r="BD309" s="188" t="str">
        <f t="shared" si="86"/>
        <v xml:space="preserve"> </v>
      </c>
      <c r="BE309" s="188" t="str">
        <f t="shared" si="87"/>
        <v xml:space="preserve"> </v>
      </c>
      <c r="BF309" s="50" t="str">
        <f t="shared" si="79"/>
        <v>HARRIS CREEK_Sockeye</v>
      </c>
      <c r="BG309" s="50" t="str">
        <f>IFERROR(VLOOKUP(BF309,'[1]WCVI Esc'!$C$5:$W$534,18,FALSE),"-")</f>
        <v>-</v>
      </c>
      <c r="BH309" s="50" t="str">
        <f t="shared" si="82"/>
        <v>-</v>
      </c>
      <c r="BI309" s="50" t="str">
        <f>IFERROR(VLOOKUP(BF309,'[1]WCVI Esc'!$C$5:$W$534,19,FALSE),"-")</f>
        <v>-</v>
      </c>
      <c r="BJ309" s="50" t="str">
        <f t="shared" si="83"/>
        <v>-</v>
      </c>
    </row>
    <row r="310" spans="1:65" hidden="1" x14ac:dyDescent="0.2">
      <c r="A310" s="28">
        <v>4</v>
      </c>
      <c r="B310" s="28">
        <v>2</v>
      </c>
      <c r="C310" s="11">
        <v>20</v>
      </c>
      <c r="D310" s="13" t="s">
        <v>291</v>
      </c>
      <c r="E310" s="10" t="s">
        <v>18</v>
      </c>
      <c r="F310" s="10" t="s">
        <v>219</v>
      </c>
      <c r="G310" s="10"/>
      <c r="H310" s="152"/>
      <c r="I310" s="155"/>
      <c r="J310" s="106"/>
      <c r="K310" s="94"/>
      <c r="L310" s="180"/>
      <c r="M310" s="173"/>
      <c r="N310" s="106"/>
      <c r="O310" s="106"/>
      <c r="P310" s="63"/>
      <c r="Q310" s="162"/>
      <c r="R310" s="164"/>
      <c r="S310" s="62"/>
      <c r="T310" s="63"/>
      <c r="U310" s="62"/>
      <c r="V310" s="177"/>
      <c r="W310" s="171"/>
      <c r="X310" s="62"/>
      <c r="Y310" s="45"/>
      <c r="Z310" s="45"/>
      <c r="AA310" s="100">
        <f>Y310/AP310</f>
        <v>0</v>
      </c>
      <c r="AB310" s="100">
        <f>AS310/AP310</f>
        <v>0</v>
      </c>
      <c r="AC310" s="100"/>
      <c r="AD310" s="100"/>
      <c r="AE310" s="100"/>
      <c r="AF310" s="100"/>
      <c r="AG310" s="18">
        <v>20</v>
      </c>
      <c r="AH310" s="69" t="s">
        <v>291</v>
      </c>
      <c r="AI310" s="243" t="s">
        <v>18</v>
      </c>
      <c r="AJ310" s="243" t="s">
        <v>419</v>
      </c>
      <c r="AK310" s="244" t="s">
        <v>370</v>
      </c>
      <c r="AL310" s="43" t="str">
        <f t="shared" si="84"/>
        <v>-</v>
      </c>
      <c r="AM310" s="43">
        <f t="shared" si="72"/>
        <v>0</v>
      </c>
      <c r="AN310" s="193">
        <f t="shared" si="72"/>
        <v>0</v>
      </c>
      <c r="AO310" s="264">
        <f t="shared" si="73"/>
        <v>970</v>
      </c>
      <c r="AP310" s="265">
        <f>BJ310</f>
        <v>1100</v>
      </c>
      <c r="AQ310" s="26" t="str">
        <f t="shared" si="80"/>
        <v>HARRIS CREEKCoho</v>
      </c>
      <c r="AR310" s="26">
        <f t="shared" si="74"/>
        <v>0</v>
      </c>
      <c r="AS310" s="33">
        <f t="shared" si="75"/>
        <v>0</v>
      </c>
      <c r="AX310" s="47" t="str">
        <f t="shared" si="76"/>
        <v>HARRIS CREEKCoho</v>
      </c>
      <c r="AY310" s="49">
        <f t="shared" si="77"/>
        <v>0</v>
      </c>
      <c r="AZ310" s="49">
        <f t="shared" si="78"/>
        <v>0</v>
      </c>
      <c r="BA310" s="31">
        <v>2016</v>
      </c>
      <c r="BB310" s="188" t="str">
        <f t="shared" si="81"/>
        <v>PFN</v>
      </c>
      <c r="BC310" s="188" t="str">
        <f t="shared" si="85"/>
        <v xml:space="preserve"> </v>
      </c>
      <c r="BD310" s="188" t="str">
        <f t="shared" si="86"/>
        <v xml:space="preserve"> </v>
      </c>
      <c r="BE310" s="188" t="str">
        <f t="shared" si="87"/>
        <v xml:space="preserve"> </v>
      </c>
      <c r="BF310" s="50" t="str">
        <f t="shared" si="79"/>
        <v>HARRIS CREEK_Coho</v>
      </c>
      <c r="BG310" s="50">
        <f>IFERROR(VLOOKUP(BF310,'[1]WCVI Esc'!$C$5:$W$534,18,FALSE),"-")</f>
        <v>970.33333333333337</v>
      </c>
      <c r="BH310" s="50">
        <f t="shared" si="82"/>
        <v>970</v>
      </c>
      <c r="BI310" s="50">
        <f>IFERROR(VLOOKUP(BF310,'[1]WCVI Esc'!$C$5:$W$534,19,FALSE),"-")</f>
        <v>1102</v>
      </c>
      <c r="BJ310" s="50">
        <f t="shared" si="83"/>
        <v>1100</v>
      </c>
    </row>
    <row r="311" spans="1:65" hidden="1" x14ac:dyDescent="0.2">
      <c r="A311" s="28">
        <v>4</v>
      </c>
      <c r="B311" s="28">
        <v>3</v>
      </c>
      <c r="C311" s="11">
        <v>20</v>
      </c>
      <c r="D311" s="13" t="s">
        <v>291</v>
      </c>
      <c r="E311" s="10" t="s">
        <v>18</v>
      </c>
      <c r="F311" s="10" t="s">
        <v>208</v>
      </c>
      <c r="G311" s="10"/>
      <c r="H311" s="152"/>
      <c r="I311" s="155"/>
      <c r="J311" s="106"/>
      <c r="K311" s="94"/>
      <c r="L311" s="180"/>
      <c r="M311" s="173"/>
      <c r="N311" s="106"/>
      <c r="O311" s="106"/>
      <c r="P311" s="63"/>
      <c r="Q311" s="162"/>
      <c r="R311" s="164"/>
      <c r="S311" s="62"/>
      <c r="T311" s="62"/>
      <c r="U311" s="62"/>
      <c r="V311" s="177"/>
      <c r="W311" s="171"/>
      <c r="X311" s="62"/>
      <c r="Y311" s="45"/>
      <c r="Z311" s="45"/>
      <c r="AA311" s="100"/>
      <c r="AB311" s="100"/>
      <c r="AC311" s="100"/>
      <c r="AD311" s="100"/>
      <c r="AE311" s="100"/>
      <c r="AF311" s="100"/>
      <c r="AG311" s="18">
        <v>20</v>
      </c>
      <c r="AH311" s="69" t="s">
        <v>291</v>
      </c>
      <c r="AI311" s="243" t="s">
        <v>18</v>
      </c>
      <c r="AJ311" s="243" t="s">
        <v>419</v>
      </c>
      <c r="AK311" s="244" t="s">
        <v>370</v>
      </c>
      <c r="AL311" s="43" t="str">
        <f t="shared" si="84"/>
        <v>-</v>
      </c>
      <c r="AM311" s="43">
        <f t="shared" si="72"/>
        <v>0</v>
      </c>
      <c r="AN311" s="193">
        <f t="shared" si="72"/>
        <v>0</v>
      </c>
      <c r="AO311" s="264" t="str">
        <f t="shared" si="73"/>
        <v>-</v>
      </c>
      <c r="AP311" s="266"/>
      <c r="AQ311" s="26" t="str">
        <f t="shared" si="80"/>
        <v>HARRIS CREEKPink</v>
      </c>
      <c r="AR311" s="26">
        <f t="shared" si="74"/>
        <v>0</v>
      </c>
      <c r="AS311" s="33">
        <f t="shared" si="75"/>
        <v>0</v>
      </c>
      <c r="AX311" s="47" t="str">
        <f t="shared" si="76"/>
        <v>HARRIS CREEKPink</v>
      </c>
      <c r="AY311" s="49">
        <f t="shared" si="77"/>
        <v>0</v>
      </c>
      <c r="AZ311" s="49">
        <f t="shared" si="78"/>
        <v>0</v>
      </c>
      <c r="BA311" s="31">
        <v>0</v>
      </c>
      <c r="BB311" s="188" t="str">
        <f t="shared" si="81"/>
        <v>PFN</v>
      </c>
      <c r="BC311" s="188" t="str">
        <f t="shared" si="85"/>
        <v xml:space="preserve"> </v>
      </c>
      <c r="BD311" s="188" t="str">
        <f t="shared" si="86"/>
        <v xml:space="preserve"> </v>
      </c>
      <c r="BE311" s="188" t="str">
        <f t="shared" si="87"/>
        <v xml:space="preserve"> </v>
      </c>
      <c r="BF311" s="50" t="str">
        <f t="shared" si="79"/>
        <v>HARRIS CREEK_Pink</v>
      </c>
      <c r="BG311" s="50" t="str">
        <f>IFERROR(VLOOKUP(BF311,'[1]WCVI Esc'!$C$5:$W$534,18,FALSE),"-")</f>
        <v>-</v>
      </c>
      <c r="BH311" s="50" t="str">
        <f t="shared" si="82"/>
        <v>-</v>
      </c>
      <c r="BI311" s="50" t="str">
        <f>IFERROR(VLOOKUP(BF311,'[1]WCVI Esc'!$C$5:$W$534,19,FALSE),"-")</f>
        <v>-</v>
      </c>
      <c r="BJ311" s="50" t="str">
        <f t="shared" si="83"/>
        <v>-</v>
      </c>
    </row>
    <row r="312" spans="1:65" hidden="1" x14ac:dyDescent="0.2">
      <c r="A312" s="28">
        <v>4</v>
      </c>
      <c r="B312" s="28">
        <v>4</v>
      </c>
      <c r="C312" s="11">
        <v>20</v>
      </c>
      <c r="D312" s="13" t="s">
        <v>291</v>
      </c>
      <c r="E312" s="10" t="s">
        <v>18</v>
      </c>
      <c r="F312" s="10" t="s">
        <v>209</v>
      </c>
      <c r="G312" s="10"/>
      <c r="H312" s="152"/>
      <c r="I312" s="155"/>
      <c r="J312" s="106"/>
      <c r="K312" s="94"/>
      <c r="L312" s="180"/>
      <c r="M312" s="173"/>
      <c r="N312" s="106"/>
      <c r="O312" s="106"/>
      <c r="P312" s="63"/>
      <c r="Q312" s="162"/>
      <c r="R312" s="164"/>
      <c r="S312" s="62"/>
      <c r="T312" s="63"/>
      <c r="U312" s="62"/>
      <c r="V312" s="177"/>
      <c r="W312" s="171"/>
      <c r="X312" s="62"/>
      <c r="Y312" s="45"/>
      <c r="Z312" s="45"/>
      <c r="AA312" s="100">
        <f>Y312/AP312</f>
        <v>0</v>
      </c>
      <c r="AB312" s="100">
        <f>AS312/AP312</f>
        <v>0</v>
      </c>
      <c r="AC312" s="100"/>
      <c r="AD312" s="100"/>
      <c r="AE312" s="100"/>
      <c r="AF312" s="100"/>
      <c r="AG312" s="18">
        <v>20</v>
      </c>
      <c r="AH312" s="69" t="s">
        <v>291</v>
      </c>
      <c r="AI312" s="243" t="s">
        <v>18</v>
      </c>
      <c r="AJ312" s="243" t="s">
        <v>419</v>
      </c>
      <c r="AK312" s="244" t="s">
        <v>370</v>
      </c>
      <c r="AL312" s="43" t="str">
        <f t="shared" si="84"/>
        <v>-</v>
      </c>
      <c r="AM312" s="43">
        <f t="shared" si="72"/>
        <v>0</v>
      </c>
      <c r="AN312" s="193">
        <f t="shared" si="72"/>
        <v>0</v>
      </c>
      <c r="AO312" s="264">
        <f t="shared" si="73"/>
        <v>0</v>
      </c>
      <c r="AP312" s="265">
        <f>BJ312</f>
        <v>10</v>
      </c>
      <c r="AQ312" s="26" t="str">
        <f t="shared" si="80"/>
        <v>HARRIS CREEKChum</v>
      </c>
      <c r="AR312" s="26">
        <f t="shared" si="74"/>
        <v>0</v>
      </c>
      <c r="AS312" s="33">
        <f t="shared" si="75"/>
        <v>0</v>
      </c>
      <c r="AX312" s="47" t="str">
        <f t="shared" si="76"/>
        <v>HARRIS CREEKChum</v>
      </c>
      <c r="AY312" s="49">
        <f t="shared" si="77"/>
        <v>0</v>
      </c>
      <c r="AZ312" s="49">
        <f t="shared" si="78"/>
        <v>0</v>
      </c>
      <c r="BA312" s="31">
        <v>2016</v>
      </c>
      <c r="BB312" s="188" t="str">
        <f t="shared" si="81"/>
        <v>PFN</v>
      </c>
      <c r="BC312" s="188" t="str">
        <f t="shared" si="85"/>
        <v xml:space="preserve"> </v>
      </c>
      <c r="BD312" s="188" t="str">
        <f t="shared" si="86"/>
        <v xml:space="preserve"> </v>
      </c>
      <c r="BE312" s="188" t="str">
        <f t="shared" si="87"/>
        <v xml:space="preserve"> </v>
      </c>
      <c r="BF312" s="50" t="str">
        <f t="shared" si="79"/>
        <v>HARRIS CREEK_Chum</v>
      </c>
      <c r="BG312" s="50">
        <f>IFERROR(VLOOKUP(BF312,'[1]WCVI Esc'!$C$5:$W$534,18,FALSE),"-")</f>
        <v>4</v>
      </c>
      <c r="BH312" s="50">
        <f t="shared" si="82"/>
        <v>0</v>
      </c>
      <c r="BI312" s="50">
        <f>IFERROR(VLOOKUP(BF312,'[1]WCVI Esc'!$C$5:$W$534,19,FALSE),"-")</f>
        <v>14.8</v>
      </c>
      <c r="BJ312" s="50">
        <f t="shared" si="83"/>
        <v>10</v>
      </c>
    </row>
    <row r="313" spans="1:65" hidden="1" x14ac:dyDescent="0.2">
      <c r="A313" s="28">
        <v>4</v>
      </c>
      <c r="B313" s="28">
        <v>5</v>
      </c>
      <c r="C313" s="11">
        <v>20</v>
      </c>
      <c r="D313" s="13" t="s">
        <v>291</v>
      </c>
      <c r="E313" s="10" t="s">
        <v>18</v>
      </c>
      <c r="F313" s="10" t="s">
        <v>210</v>
      </c>
      <c r="G313" s="10"/>
      <c r="H313" s="152"/>
      <c r="I313" s="155"/>
      <c r="J313" s="106"/>
      <c r="K313" s="94"/>
      <c r="L313" s="180"/>
      <c r="M313" s="173"/>
      <c r="N313" s="106"/>
      <c r="O313" s="106"/>
      <c r="P313" s="63"/>
      <c r="Q313" s="162"/>
      <c r="R313" s="164"/>
      <c r="S313" s="62"/>
      <c r="T313" s="63"/>
      <c r="U313" s="62"/>
      <c r="V313" s="177"/>
      <c r="W313" s="171"/>
      <c r="X313" s="62"/>
      <c r="Y313" s="45"/>
      <c r="Z313" s="45"/>
      <c r="AA313" s="100">
        <f>Y313/AP313</f>
        <v>0</v>
      </c>
      <c r="AB313" s="100">
        <f>AS313/AP313</f>
        <v>0</v>
      </c>
      <c r="AC313" s="100"/>
      <c r="AD313" s="100"/>
      <c r="AE313" s="100"/>
      <c r="AF313" s="123">
        <f>Y313</f>
        <v>0</v>
      </c>
      <c r="AG313" s="18">
        <v>20</v>
      </c>
      <c r="AH313" s="69" t="s">
        <v>291</v>
      </c>
      <c r="AI313" s="243" t="s">
        <v>18</v>
      </c>
      <c r="AJ313" s="243" t="s">
        <v>419</v>
      </c>
      <c r="AK313" s="244" t="s">
        <v>370</v>
      </c>
      <c r="AL313" s="43" t="str">
        <f t="shared" si="84"/>
        <v>-</v>
      </c>
      <c r="AM313" s="43">
        <f t="shared" si="72"/>
        <v>0</v>
      </c>
      <c r="AN313" s="193">
        <f t="shared" si="72"/>
        <v>0</v>
      </c>
      <c r="AO313" s="264">
        <f t="shared" si="73"/>
        <v>240</v>
      </c>
      <c r="AP313" s="265">
        <f>BJ313</f>
        <v>90</v>
      </c>
      <c r="AQ313" s="26" t="str">
        <f t="shared" si="80"/>
        <v>HARRIS CREEKChinook</v>
      </c>
      <c r="AR313" s="26">
        <f t="shared" si="74"/>
        <v>0</v>
      </c>
      <c r="AS313" s="33">
        <f t="shared" si="75"/>
        <v>0</v>
      </c>
      <c r="AX313" s="47" t="str">
        <f t="shared" si="76"/>
        <v>HARRIS CREEKChinook</v>
      </c>
      <c r="AY313" s="49">
        <f t="shared" si="77"/>
        <v>0</v>
      </c>
      <c r="AZ313" s="49">
        <f t="shared" si="78"/>
        <v>0</v>
      </c>
      <c r="BA313" s="31">
        <v>2016</v>
      </c>
      <c r="BB313" s="188" t="str">
        <f t="shared" si="81"/>
        <v>PFN</v>
      </c>
      <c r="BC313" s="188" t="str">
        <f t="shared" si="85"/>
        <v xml:space="preserve"> </v>
      </c>
      <c r="BD313" s="188" t="str">
        <f t="shared" si="86"/>
        <v xml:space="preserve"> </v>
      </c>
      <c r="BE313" s="188" t="str">
        <f t="shared" si="87"/>
        <v xml:space="preserve"> </v>
      </c>
      <c r="BF313" s="50" t="str">
        <f t="shared" si="79"/>
        <v>HARRIS CREEK_Chinook</v>
      </c>
      <c r="BG313" s="50">
        <f>IFERROR(VLOOKUP(BF313,'[1]WCVI Esc'!$C$5:$W$534,18,FALSE),"-")</f>
        <v>244</v>
      </c>
      <c r="BH313" s="50">
        <f t="shared" si="82"/>
        <v>240</v>
      </c>
      <c r="BI313" s="50">
        <f>IFERROR(VLOOKUP(BF313,'[1]WCVI Esc'!$C$5:$W$534,19,FALSE),"-")</f>
        <v>89.25</v>
      </c>
      <c r="BJ313" s="50">
        <f t="shared" si="83"/>
        <v>90</v>
      </c>
      <c r="BK313">
        <v>1</v>
      </c>
      <c r="BL313" t="s">
        <v>370</v>
      </c>
      <c r="BM313" s="31">
        <v>1</v>
      </c>
    </row>
    <row r="314" spans="1:65" hidden="1" x14ac:dyDescent="0.2">
      <c r="A314" s="28">
        <v>4</v>
      </c>
      <c r="B314" s="28">
        <v>6</v>
      </c>
      <c r="C314" s="11">
        <v>20</v>
      </c>
      <c r="D314" s="13" t="s">
        <v>291</v>
      </c>
      <c r="E314" s="10" t="s">
        <v>18</v>
      </c>
      <c r="F314" s="10" t="s">
        <v>211</v>
      </c>
      <c r="G314" s="10"/>
      <c r="H314" s="152"/>
      <c r="I314" s="155"/>
      <c r="J314" s="106"/>
      <c r="K314" s="94"/>
      <c r="L314" s="180"/>
      <c r="M314" s="173"/>
      <c r="N314" s="106"/>
      <c r="O314" s="106"/>
      <c r="P314" s="63"/>
      <c r="Q314" s="162"/>
      <c r="R314" s="164"/>
      <c r="S314" s="62"/>
      <c r="T314" s="62"/>
      <c r="U314" s="62"/>
      <c r="V314" s="177"/>
      <c r="W314" s="171"/>
      <c r="X314" s="62"/>
      <c r="Y314" s="45"/>
      <c r="Z314" s="45"/>
      <c r="AA314" s="100"/>
      <c r="AB314" s="100"/>
      <c r="AC314" s="24"/>
      <c r="AD314" s="24"/>
      <c r="AE314" s="24"/>
      <c r="AF314" s="24"/>
      <c r="AG314" s="18">
        <v>20</v>
      </c>
      <c r="AH314" s="69" t="s">
        <v>291</v>
      </c>
      <c r="AI314" s="243" t="s">
        <v>18</v>
      </c>
      <c r="AJ314" s="243" t="s">
        <v>419</v>
      </c>
      <c r="AK314" s="244" t="s">
        <v>370</v>
      </c>
      <c r="AL314" s="43" t="str">
        <f t="shared" si="84"/>
        <v>-</v>
      </c>
      <c r="AM314" s="43">
        <f t="shared" si="72"/>
        <v>0</v>
      </c>
      <c r="AN314" s="193">
        <f t="shared" si="72"/>
        <v>0</v>
      </c>
      <c r="AO314" s="264" t="str">
        <f t="shared" si="73"/>
        <v>-</v>
      </c>
      <c r="AP314" s="266"/>
      <c r="AQ314" s="26" t="str">
        <f t="shared" si="80"/>
        <v>HARRIS CREEKSteelhead</v>
      </c>
      <c r="AR314" s="26">
        <f t="shared" si="74"/>
        <v>0</v>
      </c>
      <c r="AS314" s="33">
        <f t="shared" si="75"/>
        <v>0</v>
      </c>
      <c r="AX314" s="47" t="str">
        <f t="shared" si="76"/>
        <v>HARRIS CREEKSteelhead</v>
      </c>
      <c r="AY314" s="49">
        <f t="shared" si="77"/>
        <v>0</v>
      </c>
      <c r="AZ314" s="49">
        <f t="shared" si="78"/>
        <v>0</v>
      </c>
      <c r="BA314" s="31">
        <v>0</v>
      </c>
      <c r="BB314" s="188" t="str">
        <f t="shared" si="81"/>
        <v>PFN</v>
      </c>
      <c r="BC314" s="188" t="str">
        <f t="shared" si="85"/>
        <v xml:space="preserve"> </v>
      </c>
      <c r="BD314" s="188" t="str">
        <f t="shared" si="86"/>
        <v xml:space="preserve"> </v>
      </c>
      <c r="BE314" s="188" t="str">
        <f t="shared" si="87"/>
        <v xml:space="preserve"> </v>
      </c>
      <c r="BF314" s="50" t="str">
        <f t="shared" si="79"/>
        <v>HARRIS CREEK_Steelhead</v>
      </c>
      <c r="BG314" s="50" t="str">
        <f>IFERROR(VLOOKUP(BF314,'[1]WCVI Esc'!$C$5:$W$534,18,FALSE),"-")</f>
        <v>-</v>
      </c>
      <c r="BH314" s="50" t="str">
        <f t="shared" si="82"/>
        <v>-</v>
      </c>
      <c r="BI314" s="50" t="str">
        <f>IFERROR(VLOOKUP(BF314,'[1]WCVI Esc'!$C$5:$W$534,19,FALSE),"-")</f>
        <v>-</v>
      </c>
      <c r="BJ314" s="50" t="str">
        <f t="shared" si="83"/>
        <v>-</v>
      </c>
    </row>
    <row r="315" spans="1:65" hidden="1" x14ac:dyDescent="0.2">
      <c r="A315" s="28">
        <v>4</v>
      </c>
      <c r="B315" s="28">
        <v>1</v>
      </c>
      <c r="C315" s="11">
        <v>20</v>
      </c>
      <c r="D315" s="13" t="s">
        <v>291</v>
      </c>
      <c r="E315" s="10" t="s">
        <v>155</v>
      </c>
      <c r="F315" s="10" t="s">
        <v>207</v>
      </c>
      <c r="G315" s="10"/>
      <c r="H315" s="152"/>
      <c r="I315" s="164"/>
      <c r="J315" s="62"/>
      <c r="K315" s="62"/>
      <c r="L315" s="177"/>
      <c r="M315" s="171"/>
      <c r="N315" s="62"/>
      <c r="O315" s="62"/>
      <c r="P315" s="62"/>
      <c r="Q315" s="64"/>
      <c r="R315" s="164"/>
      <c r="S315" s="62"/>
      <c r="T315" s="62"/>
      <c r="U315" s="62"/>
      <c r="V315" s="177"/>
      <c r="W315" s="171"/>
      <c r="X315" s="62"/>
      <c r="Y315" s="45"/>
      <c r="Z315" s="45"/>
      <c r="AA315" s="100"/>
      <c r="AB315" s="100"/>
      <c r="AC315" s="24"/>
      <c r="AD315" s="24"/>
      <c r="AE315" s="24"/>
      <c r="AF315" s="24"/>
      <c r="AG315" s="18">
        <v>20</v>
      </c>
      <c r="AH315" s="69" t="s">
        <v>291</v>
      </c>
      <c r="AI315" s="243" t="s">
        <v>155</v>
      </c>
      <c r="AJ315" s="243" t="s">
        <v>419</v>
      </c>
      <c r="AK315" s="246"/>
      <c r="AL315" s="43" t="str">
        <f t="shared" si="84"/>
        <v>-</v>
      </c>
      <c r="AM315" s="43">
        <f t="shared" si="72"/>
        <v>0</v>
      </c>
      <c r="AN315" s="193">
        <f t="shared" si="72"/>
        <v>0</v>
      </c>
      <c r="AO315" s="270" t="str">
        <f t="shared" si="73"/>
        <v>-</v>
      </c>
      <c r="AP315" s="271"/>
      <c r="AQ315" s="26" t="str">
        <f t="shared" si="80"/>
        <v>HEMMINGSEN CREEKSockeye</v>
      </c>
      <c r="AR315" s="26">
        <f t="shared" si="74"/>
        <v>0</v>
      </c>
      <c r="AS315" s="33">
        <f t="shared" si="75"/>
        <v>0</v>
      </c>
      <c r="AX315" s="47" t="str">
        <f t="shared" si="76"/>
        <v>HEMMINGSEN CREEKSockeye</v>
      </c>
      <c r="AY315" s="49">
        <f t="shared" si="77"/>
        <v>0</v>
      </c>
      <c r="AZ315" s="49">
        <f t="shared" si="78"/>
        <v>0</v>
      </c>
      <c r="BA315" s="31">
        <v>1998</v>
      </c>
      <c r="BB315" s="188">
        <f t="shared" si="81"/>
        <v>0</v>
      </c>
      <c r="BC315" s="188" t="str">
        <f t="shared" si="85"/>
        <v xml:space="preserve"> </v>
      </c>
      <c r="BD315" s="188" t="str">
        <f t="shared" si="86"/>
        <v xml:space="preserve"> </v>
      </c>
      <c r="BE315" s="188" t="str">
        <f t="shared" si="87"/>
        <v xml:space="preserve"> </v>
      </c>
      <c r="BF315" s="50" t="str">
        <f t="shared" si="79"/>
        <v>HEMMINGSEN CREEK_Sockeye</v>
      </c>
      <c r="BG315" s="50" t="str">
        <f>IFERROR(VLOOKUP(BF315,'[1]WCVI Esc'!$C$5:$W$514,18,FALSE),"-")</f>
        <v>-</v>
      </c>
      <c r="BH315" s="50" t="str">
        <f t="shared" si="82"/>
        <v>-</v>
      </c>
      <c r="BI315" s="50" t="str">
        <f>IFERROR(VLOOKUP(BF315,'[1]WCVI Esc'!$C$5:$W$514,19,FALSE),"-")</f>
        <v>-</v>
      </c>
      <c r="BJ315" s="50" t="str">
        <f t="shared" si="83"/>
        <v>-</v>
      </c>
    </row>
    <row r="316" spans="1:65" hidden="1" x14ac:dyDescent="0.2">
      <c r="A316" s="28">
        <v>4</v>
      </c>
      <c r="B316" s="28">
        <v>2</v>
      </c>
      <c r="C316" s="11">
        <v>20</v>
      </c>
      <c r="D316" s="13" t="s">
        <v>291</v>
      </c>
      <c r="E316" s="10" t="s">
        <v>155</v>
      </c>
      <c r="F316" s="10" t="s">
        <v>219</v>
      </c>
      <c r="G316" s="10"/>
      <c r="H316" s="152"/>
      <c r="I316" s="164"/>
      <c r="J316" s="62"/>
      <c r="K316" s="62"/>
      <c r="L316" s="177"/>
      <c r="M316" s="171"/>
      <c r="N316" s="62"/>
      <c r="O316" s="62"/>
      <c r="P316" s="62"/>
      <c r="Q316" s="64"/>
      <c r="R316" s="164"/>
      <c r="S316" s="62"/>
      <c r="T316" s="62"/>
      <c r="U316" s="62"/>
      <c r="V316" s="177"/>
      <c r="W316" s="171"/>
      <c r="X316" s="62"/>
      <c r="Y316" s="45"/>
      <c r="Z316" s="45"/>
      <c r="AA316" s="100"/>
      <c r="AB316" s="100"/>
      <c r="AC316" s="24"/>
      <c r="AD316" s="24"/>
      <c r="AE316" s="24"/>
      <c r="AF316" s="24"/>
      <c r="AG316" s="18">
        <v>20</v>
      </c>
      <c r="AH316" s="69" t="s">
        <v>291</v>
      </c>
      <c r="AI316" s="243" t="s">
        <v>155</v>
      </c>
      <c r="AJ316" s="243" t="s">
        <v>419</v>
      </c>
      <c r="AK316" s="246"/>
      <c r="AL316" s="43" t="str">
        <f t="shared" si="84"/>
        <v>-</v>
      </c>
      <c r="AM316" s="43">
        <f t="shared" si="72"/>
        <v>0</v>
      </c>
      <c r="AN316" s="193">
        <f t="shared" si="72"/>
        <v>0</v>
      </c>
      <c r="AO316" s="270" t="str">
        <f t="shared" si="73"/>
        <v>-</v>
      </c>
      <c r="AP316" s="271"/>
      <c r="AQ316" s="26" t="str">
        <f t="shared" si="80"/>
        <v>HEMMINGSEN CREEKCoho</v>
      </c>
      <c r="AR316" s="26">
        <f t="shared" si="74"/>
        <v>0</v>
      </c>
      <c r="AS316" s="33">
        <f t="shared" si="75"/>
        <v>0</v>
      </c>
      <c r="AX316" s="47" t="str">
        <f t="shared" si="76"/>
        <v>HEMMINGSEN CREEKCoho</v>
      </c>
      <c r="AY316" s="49">
        <f t="shared" si="77"/>
        <v>0</v>
      </c>
      <c r="AZ316" s="49">
        <f t="shared" si="78"/>
        <v>0</v>
      </c>
      <c r="BA316" s="31">
        <v>1998</v>
      </c>
      <c r="BB316" s="188">
        <f t="shared" si="81"/>
        <v>0</v>
      </c>
      <c r="BC316" s="188" t="str">
        <f t="shared" si="85"/>
        <v xml:space="preserve"> </v>
      </c>
      <c r="BD316" s="188" t="str">
        <f t="shared" si="86"/>
        <v xml:space="preserve"> </v>
      </c>
      <c r="BE316" s="188" t="str">
        <f t="shared" si="87"/>
        <v xml:space="preserve"> </v>
      </c>
      <c r="BF316" s="50" t="str">
        <f t="shared" si="79"/>
        <v>HEMMINGSEN CREEK_Coho</v>
      </c>
      <c r="BG316" s="50" t="str">
        <f>IFERROR(VLOOKUP(BF316,'[1]WCVI Esc'!$C$5:$W$514,18,FALSE),"-")</f>
        <v>-</v>
      </c>
      <c r="BH316" s="50" t="str">
        <f t="shared" si="82"/>
        <v>-</v>
      </c>
      <c r="BI316" s="50" t="str">
        <f>IFERROR(VLOOKUP(BF316,'[1]WCVI Esc'!$C$5:$W$514,19,FALSE),"-")</f>
        <v>-</v>
      </c>
      <c r="BJ316" s="50" t="str">
        <f t="shared" si="83"/>
        <v>-</v>
      </c>
    </row>
    <row r="317" spans="1:65" hidden="1" x14ac:dyDescent="0.2">
      <c r="A317" s="28">
        <v>4</v>
      </c>
      <c r="B317" s="28">
        <v>3</v>
      </c>
      <c r="C317" s="11">
        <v>20</v>
      </c>
      <c r="D317" s="13" t="s">
        <v>291</v>
      </c>
      <c r="E317" s="10" t="s">
        <v>155</v>
      </c>
      <c r="F317" s="10" t="s">
        <v>208</v>
      </c>
      <c r="G317" s="10"/>
      <c r="H317" s="152"/>
      <c r="I317" s="164"/>
      <c r="J317" s="62"/>
      <c r="K317" s="62"/>
      <c r="L317" s="177"/>
      <c r="M317" s="171"/>
      <c r="N317" s="62"/>
      <c r="O317" s="62"/>
      <c r="P317" s="62"/>
      <c r="Q317" s="64"/>
      <c r="R317" s="164"/>
      <c r="S317" s="62"/>
      <c r="T317" s="62"/>
      <c r="U317" s="62"/>
      <c r="V317" s="177"/>
      <c r="W317" s="171"/>
      <c r="X317" s="62"/>
      <c r="Y317" s="45"/>
      <c r="Z317" s="45"/>
      <c r="AA317" s="100"/>
      <c r="AB317" s="100"/>
      <c r="AC317" s="24"/>
      <c r="AD317" s="24"/>
      <c r="AE317" s="24"/>
      <c r="AF317" s="24"/>
      <c r="AG317" s="18">
        <v>20</v>
      </c>
      <c r="AH317" s="69" t="s">
        <v>291</v>
      </c>
      <c r="AI317" s="243" t="s">
        <v>155</v>
      </c>
      <c r="AJ317" s="243" t="s">
        <v>419</v>
      </c>
      <c r="AK317" s="246"/>
      <c r="AL317" s="43" t="str">
        <f t="shared" si="84"/>
        <v>-</v>
      </c>
      <c r="AM317" s="43">
        <f t="shared" si="72"/>
        <v>0</v>
      </c>
      <c r="AN317" s="193">
        <f t="shared" si="72"/>
        <v>0</v>
      </c>
      <c r="AO317" s="270" t="str">
        <f t="shared" si="73"/>
        <v>-</v>
      </c>
      <c r="AP317" s="266"/>
      <c r="AQ317" s="26" t="str">
        <f t="shared" si="80"/>
        <v>HEMMINGSEN CREEKPink</v>
      </c>
      <c r="AR317" s="26">
        <f t="shared" si="74"/>
        <v>0</v>
      </c>
      <c r="AS317" s="33">
        <f t="shared" si="75"/>
        <v>0</v>
      </c>
      <c r="AX317" s="47" t="str">
        <f t="shared" si="76"/>
        <v>HEMMINGSEN CREEKPink</v>
      </c>
      <c r="AY317" s="49">
        <f t="shared" si="77"/>
        <v>0</v>
      </c>
      <c r="AZ317" s="49">
        <f t="shared" si="78"/>
        <v>0</v>
      </c>
      <c r="BA317" s="31">
        <v>0</v>
      </c>
      <c r="BB317" s="188">
        <f t="shared" si="81"/>
        <v>0</v>
      </c>
      <c r="BC317" s="188" t="str">
        <f t="shared" si="85"/>
        <v xml:space="preserve"> </v>
      </c>
      <c r="BD317" s="188" t="str">
        <f t="shared" si="86"/>
        <v xml:space="preserve"> </v>
      </c>
      <c r="BE317" s="188" t="str">
        <f t="shared" si="87"/>
        <v xml:space="preserve"> </v>
      </c>
      <c r="BF317" s="50" t="str">
        <f t="shared" si="79"/>
        <v>HEMMINGSEN CREEK_Pink</v>
      </c>
      <c r="BG317" s="50" t="str">
        <f>IFERROR(VLOOKUP(BF317,'[1]WCVI Esc'!$C$5:$W$514,18,FALSE),"-")</f>
        <v>-</v>
      </c>
      <c r="BH317" s="50" t="str">
        <f t="shared" si="82"/>
        <v>-</v>
      </c>
      <c r="BI317" s="50" t="str">
        <f>IFERROR(VLOOKUP(BF317,'[1]WCVI Esc'!$C$5:$W$514,19,FALSE),"-")</f>
        <v>-</v>
      </c>
      <c r="BJ317" s="50" t="str">
        <f t="shared" si="83"/>
        <v>-</v>
      </c>
    </row>
    <row r="318" spans="1:65" hidden="1" x14ac:dyDescent="0.2">
      <c r="A318" s="28">
        <v>4</v>
      </c>
      <c r="B318" s="28">
        <v>4</v>
      </c>
      <c r="C318" s="11">
        <v>20</v>
      </c>
      <c r="D318" s="13" t="s">
        <v>291</v>
      </c>
      <c r="E318" s="10" t="s">
        <v>155</v>
      </c>
      <c r="F318" s="10" t="s">
        <v>209</v>
      </c>
      <c r="G318" s="10"/>
      <c r="H318" s="152"/>
      <c r="I318" s="164"/>
      <c r="J318" s="62"/>
      <c r="K318" s="62"/>
      <c r="L318" s="177"/>
      <c r="M318" s="171"/>
      <c r="N318" s="62"/>
      <c r="O318" s="62"/>
      <c r="P318" s="62"/>
      <c r="Q318" s="64"/>
      <c r="R318" s="164"/>
      <c r="S318" s="62"/>
      <c r="T318" s="62"/>
      <c r="U318" s="62"/>
      <c r="V318" s="177"/>
      <c r="W318" s="171"/>
      <c r="X318" s="62"/>
      <c r="Y318" s="45"/>
      <c r="Z318" s="45"/>
      <c r="AA318" s="100"/>
      <c r="AB318" s="100"/>
      <c r="AC318" s="24"/>
      <c r="AD318" s="24"/>
      <c r="AE318" s="24"/>
      <c r="AF318" s="24"/>
      <c r="AG318" s="18">
        <v>20</v>
      </c>
      <c r="AH318" s="69" t="s">
        <v>291</v>
      </c>
      <c r="AI318" s="243" t="s">
        <v>155</v>
      </c>
      <c r="AJ318" s="243" t="s">
        <v>419</v>
      </c>
      <c r="AK318" s="246"/>
      <c r="AL318" s="43" t="str">
        <f t="shared" si="84"/>
        <v>-</v>
      </c>
      <c r="AM318" s="43">
        <f t="shared" si="72"/>
        <v>0</v>
      </c>
      <c r="AN318" s="193">
        <f t="shared" si="72"/>
        <v>0</v>
      </c>
      <c r="AO318" s="270" t="str">
        <f t="shared" si="73"/>
        <v>-</v>
      </c>
      <c r="AP318" s="271"/>
      <c r="AQ318" s="26" t="str">
        <f t="shared" si="80"/>
        <v>HEMMINGSEN CREEKChum</v>
      </c>
      <c r="AR318" s="26">
        <f t="shared" si="74"/>
        <v>0</v>
      </c>
      <c r="AS318" s="33">
        <f t="shared" si="75"/>
        <v>0</v>
      </c>
      <c r="AX318" s="47" t="str">
        <f t="shared" si="76"/>
        <v>HEMMINGSEN CREEKChum</v>
      </c>
      <c r="AY318" s="49">
        <f t="shared" si="77"/>
        <v>0</v>
      </c>
      <c r="AZ318" s="49">
        <f t="shared" si="78"/>
        <v>0</v>
      </c>
      <c r="BA318" s="31">
        <v>1998</v>
      </c>
      <c r="BB318" s="188">
        <f t="shared" si="81"/>
        <v>0</v>
      </c>
      <c r="BC318" s="188" t="str">
        <f t="shared" si="85"/>
        <v xml:space="preserve"> </v>
      </c>
      <c r="BD318" s="188" t="str">
        <f t="shared" si="86"/>
        <v xml:space="preserve"> </v>
      </c>
      <c r="BE318" s="188" t="str">
        <f t="shared" si="87"/>
        <v xml:space="preserve"> </v>
      </c>
      <c r="BF318" s="50" t="str">
        <f t="shared" si="79"/>
        <v>HEMMINGSEN CREEK_Chum</v>
      </c>
      <c r="BG318" s="50" t="str">
        <f>IFERROR(VLOOKUP(BF318,'[1]WCVI Esc'!$C$5:$W$514,18,FALSE),"-")</f>
        <v>-</v>
      </c>
      <c r="BH318" s="50" t="str">
        <f t="shared" si="82"/>
        <v>-</v>
      </c>
      <c r="BI318" s="50" t="str">
        <f>IFERROR(VLOOKUP(BF318,'[1]WCVI Esc'!$C$5:$W$514,19,FALSE),"-")</f>
        <v>-</v>
      </c>
      <c r="BJ318" s="50" t="str">
        <f t="shared" si="83"/>
        <v>-</v>
      </c>
    </row>
    <row r="319" spans="1:65" hidden="1" x14ac:dyDescent="0.2">
      <c r="A319" s="28">
        <v>4</v>
      </c>
      <c r="B319" s="28">
        <v>5</v>
      </c>
      <c r="C319" s="11">
        <v>20</v>
      </c>
      <c r="D319" s="13" t="s">
        <v>291</v>
      </c>
      <c r="E319" s="10" t="s">
        <v>155</v>
      </c>
      <c r="F319" s="10" t="s">
        <v>210</v>
      </c>
      <c r="G319" s="10"/>
      <c r="H319" s="152"/>
      <c r="I319" s="164"/>
      <c r="J319" s="62"/>
      <c r="K319" s="62"/>
      <c r="L319" s="177"/>
      <c r="M319" s="171"/>
      <c r="N319" s="62"/>
      <c r="O319" s="62"/>
      <c r="P319" s="62"/>
      <c r="Q319" s="64"/>
      <c r="R319" s="164"/>
      <c r="S319" s="62"/>
      <c r="T319" s="62"/>
      <c r="U319" s="62"/>
      <c r="V319" s="177"/>
      <c r="W319" s="171"/>
      <c r="X319" s="62"/>
      <c r="Y319" s="45"/>
      <c r="Z319" s="45"/>
      <c r="AA319" s="100"/>
      <c r="AB319" s="100"/>
      <c r="AC319" s="24"/>
      <c r="AD319" s="24"/>
      <c r="AE319" s="24"/>
      <c r="AF319" s="24"/>
      <c r="AG319" s="18">
        <v>20</v>
      </c>
      <c r="AH319" s="69" t="s">
        <v>291</v>
      </c>
      <c r="AI319" s="243" t="s">
        <v>155</v>
      </c>
      <c r="AJ319" s="243" t="s">
        <v>419</v>
      </c>
      <c r="AK319" s="246"/>
      <c r="AL319" s="43" t="str">
        <f t="shared" si="84"/>
        <v>-</v>
      </c>
      <c r="AM319" s="43">
        <f t="shared" ref="AM319:AN382" si="88">AR319</f>
        <v>0</v>
      </c>
      <c r="AN319" s="193">
        <f t="shared" si="88"/>
        <v>0</v>
      </c>
      <c r="AO319" s="270" t="str">
        <f t="shared" ref="AO319:AO382" si="89">BH319</f>
        <v>-</v>
      </c>
      <c r="AP319" s="271"/>
      <c r="AQ319" s="26" t="str">
        <f t="shared" si="80"/>
        <v>HEMMINGSEN CREEKChinook</v>
      </c>
      <c r="AR319" s="26">
        <f t="shared" ref="AR319:AR382" si="90">COUNT(G319:X319)</f>
        <v>0</v>
      </c>
      <c r="AS319" s="33">
        <f t="shared" ref="AS319:AS382" si="91">MAX(G319:X319)</f>
        <v>0</v>
      </c>
      <c r="AX319" s="47" t="str">
        <f t="shared" ref="AX319:AX382" si="92">CONCATENATE(E319,F319)</f>
        <v>HEMMINGSEN CREEKChinook</v>
      </c>
      <c r="AY319" s="49">
        <f t="shared" ref="AY319:AY382" si="93">Z319</f>
        <v>0</v>
      </c>
      <c r="AZ319" s="49">
        <f t="shared" ref="AZ319:AZ382" si="94">Y319</f>
        <v>0</v>
      </c>
      <c r="BA319" s="31">
        <v>1998</v>
      </c>
      <c r="BB319" s="188">
        <f t="shared" si="81"/>
        <v>0</v>
      </c>
      <c r="BC319" s="188" t="str">
        <f t="shared" si="85"/>
        <v xml:space="preserve"> </v>
      </c>
      <c r="BD319" s="188" t="str">
        <f t="shared" si="86"/>
        <v xml:space="preserve"> </v>
      </c>
      <c r="BE319" s="188" t="str">
        <f t="shared" si="87"/>
        <v xml:space="preserve"> </v>
      </c>
      <c r="BF319" s="50" t="str">
        <f t="shared" ref="BF319:BF382" si="95">CONCATENATE(E319,"_",F319)</f>
        <v>HEMMINGSEN CREEK_Chinook</v>
      </c>
      <c r="BG319" s="50" t="str">
        <f>IFERROR(VLOOKUP(BF319,'[1]WCVI Esc'!$C$5:$W$514,18,FALSE),"-")</f>
        <v>-</v>
      </c>
      <c r="BH319" s="50" t="str">
        <f t="shared" si="82"/>
        <v>-</v>
      </c>
      <c r="BI319" s="50" t="str">
        <f>IFERROR(VLOOKUP(BF319,'[1]WCVI Esc'!$C$5:$W$514,19,FALSE),"-")</f>
        <v>-</v>
      </c>
      <c r="BJ319" s="50" t="str">
        <f t="shared" si="83"/>
        <v>-</v>
      </c>
    </row>
    <row r="320" spans="1:65" hidden="1" x14ac:dyDescent="0.2">
      <c r="A320" s="28">
        <v>4</v>
      </c>
      <c r="B320" s="28">
        <v>6</v>
      </c>
      <c r="C320" s="11">
        <v>20</v>
      </c>
      <c r="D320" s="13" t="s">
        <v>291</v>
      </c>
      <c r="E320" s="10" t="s">
        <v>155</v>
      </c>
      <c r="F320" s="10" t="s">
        <v>211</v>
      </c>
      <c r="G320" s="10"/>
      <c r="H320" s="152"/>
      <c r="I320" s="164"/>
      <c r="J320" s="62"/>
      <c r="K320" s="62"/>
      <c r="L320" s="177"/>
      <c r="M320" s="171"/>
      <c r="N320" s="62"/>
      <c r="O320" s="62"/>
      <c r="P320" s="62"/>
      <c r="Q320" s="64"/>
      <c r="R320" s="164"/>
      <c r="S320" s="62"/>
      <c r="T320" s="62"/>
      <c r="U320" s="62"/>
      <c r="V320" s="177"/>
      <c r="W320" s="171"/>
      <c r="X320" s="62"/>
      <c r="Y320" s="45"/>
      <c r="Z320" s="45"/>
      <c r="AA320" s="100"/>
      <c r="AB320" s="100"/>
      <c r="AC320" s="24"/>
      <c r="AD320" s="24"/>
      <c r="AE320" s="24"/>
      <c r="AF320" s="24"/>
      <c r="AG320" s="18">
        <v>20</v>
      </c>
      <c r="AH320" s="69" t="s">
        <v>291</v>
      </c>
      <c r="AI320" s="243" t="s">
        <v>155</v>
      </c>
      <c r="AJ320" s="243" t="s">
        <v>419</v>
      </c>
      <c r="AK320" s="246"/>
      <c r="AL320" s="43" t="str">
        <f t="shared" si="84"/>
        <v>-</v>
      </c>
      <c r="AM320" s="43">
        <f t="shared" si="88"/>
        <v>0</v>
      </c>
      <c r="AN320" s="193">
        <f t="shared" si="88"/>
        <v>0</v>
      </c>
      <c r="AO320" s="270" t="str">
        <f t="shared" si="89"/>
        <v>-</v>
      </c>
      <c r="AP320" s="266"/>
      <c r="AQ320" s="26" t="str">
        <f t="shared" si="80"/>
        <v>HEMMINGSEN CREEKSteelhead</v>
      </c>
      <c r="AR320" s="26">
        <f t="shared" si="90"/>
        <v>0</v>
      </c>
      <c r="AS320" s="33">
        <f t="shared" si="91"/>
        <v>0</v>
      </c>
      <c r="AX320" s="47" t="str">
        <f t="shared" si="92"/>
        <v>HEMMINGSEN CREEKSteelhead</v>
      </c>
      <c r="AY320" s="49">
        <f t="shared" si="93"/>
        <v>0</v>
      </c>
      <c r="AZ320" s="49">
        <f t="shared" si="94"/>
        <v>0</v>
      </c>
      <c r="BA320" s="31">
        <v>0</v>
      </c>
      <c r="BB320" s="188">
        <f t="shared" si="81"/>
        <v>0</v>
      </c>
      <c r="BC320" s="188" t="str">
        <f t="shared" si="85"/>
        <v xml:space="preserve"> </v>
      </c>
      <c r="BD320" s="188" t="str">
        <f t="shared" si="86"/>
        <v xml:space="preserve"> </v>
      </c>
      <c r="BE320" s="188" t="str">
        <f t="shared" si="87"/>
        <v xml:space="preserve"> </v>
      </c>
      <c r="BF320" s="50" t="str">
        <f t="shared" si="95"/>
        <v>HEMMINGSEN CREEK_Steelhead</v>
      </c>
      <c r="BG320" s="50" t="str">
        <f>IFERROR(VLOOKUP(BF320,'[1]WCVI Esc'!$C$5:$W$514,18,FALSE),"-")</f>
        <v>-</v>
      </c>
      <c r="BH320" s="50" t="str">
        <f t="shared" si="82"/>
        <v>-</v>
      </c>
      <c r="BI320" s="50" t="str">
        <f>IFERROR(VLOOKUP(BF320,'[1]WCVI Esc'!$C$5:$W$514,19,FALSE),"-")</f>
        <v>-</v>
      </c>
      <c r="BJ320" s="50" t="str">
        <f t="shared" si="83"/>
        <v>-</v>
      </c>
    </row>
    <row r="321" spans="1:66" hidden="1" x14ac:dyDescent="0.2">
      <c r="A321" s="28">
        <v>4</v>
      </c>
      <c r="B321" s="28">
        <v>1</v>
      </c>
      <c r="C321" s="11">
        <v>20</v>
      </c>
      <c r="D321" s="13" t="s">
        <v>291</v>
      </c>
      <c r="E321" s="10" t="s">
        <v>156</v>
      </c>
      <c r="F321" s="10" t="s">
        <v>207</v>
      </c>
      <c r="G321" s="10"/>
      <c r="H321" s="152"/>
      <c r="I321" s="164"/>
      <c r="J321" s="62"/>
      <c r="K321" s="62"/>
      <c r="L321" s="177"/>
      <c r="M321" s="171"/>
      <c r="N321" s="62"/>
      <c r="O321" s="62"/>
      <c r="P321" s="62"/>
      <c r="Q321" s="64"/>
      <c r="R321" s="164"/>
      <c r="S321" s="62"/>
      <c r="T321" s="62"/>
      <c r="U321" s="62"/>
      <c r="V321" s="177"/>
      <c r="W321" s="171"/>
      <c r="X321" s="62"/>
      <c r="Y321" s="45"/>
      <c r="Z321" s="45"/>
      <c r="AA321" s="100"/>
      <c r="AB321" s="100"/>
      <c r="AC321" s="24"/>
      <c r="AD321" s="24"/>
      <c r="AE321" s="24"/>
      <c r="AF321" s="24"/>
      <c r="AG321" s="18">
        <v>20</v>
      </c>
      <c r="AH321" s="69" t="s">
        <v>291</v>
      </c>
      <c r="AI321" s="243" t="s">
        <v>156</v>
      </c>
      <c r="AJ321" s="243" t="s">
        <v>419</v>
      </c>
      <c r="AK321" s="246"/>
      <c r="AL321" s="43" t="str">
        <f t="shared" si="84"/>
        <v>-</v>
      </c>
      <c r="AM321" s="43">
        <f t="shared" si="88"/>
        <v>0</v>
      </c>
      <c r="AN321" s="193">
        <f t="shared" si="88"/>
        <v>0</v>
      </c>
      <c r="AO321" s="270" t="str">
        <f t="shared" si="89"/>
        <v>-</v>
      </c>
      <c r="AP321" s="266"/>
      <c r="AQ321" s="26" t="str">
        <f t="shared" si="80"/>
        <v>HOLLIDAY CREEKSockeye</v>
      </c>
      <c r="AR321" s="26">
        <f t="shared" si="90"/>
        <v>0</v>
      </c>
      <c r="AS321" s="33">
        <f t="shared" si="91"/>
        <v>0</v>
      </c>
      <c r="AX321" s="47" t="str">
        <f t="shared" si="92"/>
        <v>HOLLIDAY CREEKSockeye</v>
      </c>
      <c r="AY321" s="49">
        <f t="shared" si="93"/>
        <v>0</v>
      </c>
      <c r="AZ321" s="49">
        <f t="shared" si="94"/>
        <v>0</v>
      </c>
      <c r="BA321" s="31">
        <v>0</v>
      </c>
      <c r="BB321" s="188">
        <f t="shared" si="81"/>
        <v>0</v>
      </c>
      <c r="BC321" s="188" t="str">
        <f t="shared" si="85"/>
        <v xml:space="preserve"> </v>
      </c>
      <c r="BD321" s="188" t="str">
        <f t="shared" si="86"/>
        <v xml:space="preserve"> </v>
      </c>
      <c r="BE321" s="188" t="str">
        <f t="shared" si="87"/>
        <v xml:space="preserve"> </v>
      </c>
      <c r="BF321" s="50" t="str">
        <f t="shared" si="95"/>
        <v>HOLLIDAY CREEK_Sockeye</v>
      </c>
      <c r="BG321" s="50" t="str">
        <f>IFERROR(VLOOKUP(BF321,'[1]WCVI Esc'!$C$5:$W$514,18,FALSE),"-")</f>
        <v>-</v>
      </c>
      <c r="BH321" s="50" t="str">
        <f t="shared" si="82"/>
        <v>-</v>
      </c>
      <c r="BI321" s="50" t="str">
        <f>IFERROR(VLOOKUP(BF321,'[1]WCVI Esc'!$C$5:$W$514,19,FALSE),"-")</f>
        <v>-</v>
      </c>
      <c r="BJ321" s="50" t="str">
        <f t="shared" si="83"/>
        <v>-</v>
      </c>
    </row>
    <row r="322" spans="1:66" hidden="1" x14ac:dyDescent="0.2">
      <c r="A322" s="28">
        <v>4</v>
      </c>
      <c r="B322" s="28">
        <v>2</v>
      </c>
      <c r="C322" s="11">
        <v>20</v>
      </c>
      <c r="D322" s="13" t="s">
        <v>291</v>
      </c>
      <c r="E322" s="10" t="s">
        <v>156</v>
      </c>
      <c r="F322" s="10" t="s">
        <v>219</v>
      </c>
      <c r="G322" s="10"/>
      <c r="H322" s="152"/>
      <c r="I322" s="164"/>
      <c r="J322" s="62"/>
      <c r="K322" s="62"/>
      <c r="L322" s="177"/>
      <c r="M322" s="171"/>
      <c r="N322" s="62"/>
      <c r="O322" s="62"/>
      <c r="P322" s="62"/>
      <c r="Q322" s="64"/>
      <c r="R322" s="164"/>
      <c r="S322" s="62"/>
      <c r="T322" s="62"/>
      <c r="U322" s="62"/>
      <c r="V322" s="177"/>
      <c r="W322" s="171"/>
      <c r="X322" s="62"/>
      <c r="Y322" s="45"/>
      <c r="Z322" s="45"/>
      <c r="AA322" s="100"/>
      <c r="AB322" s="100"/>
      <c r="AC322" s="24"/>
      <c r="AD322" s="24"/>
      <c r="AE322" s="24"/>
      <c r="AF322" s="24"/>
      <c r="AG322" s="18">
        <v>20</v>
      </c>
      <c r="AH322" s="69" t="s">
        <v>291</v>
      </c>
      <c r="AI322" s="243" t="s">
        <v>156</v>
      </c>
      <c r="AJ322" s="243" t="s">
        <v>419</v>
      </c>
      <c r="AK322" s="246"/>
      <c r="AL322" s="43" t="str">
        <f t="shared" si="84"/>
        <v>-</v>
      </c>
      <c r="AM322" s="43">
        <f t="shared" si="88"/>
        <v>0</v>
      </c>
      <c r="AN322" s="193">
        <f t="shared" si="88"/>
        <v>0</v>
      </c>
      <c r="AO322" s="270" t="str">
        <f t="shared" si="89"/>
        <v>-</v>
      </c>
      <c r="AP322" s="266"/>
      <c r="AQ322" s="26" t="str">
        <f t="shared" si="80"/>
        <v>HOLLIDAY CREEKCoho</v>
      </c>
      <c r="AR322" s="26">
        <f t="shared" si="90"/>
        <v>0</v>
      </c>
      <c r="AS322" s="33">
        <f t="shared" si="91"/>
        <v>0</v>
      </c>
      <c r="AX322" s="47" t="str">
        <f t="shared" si="92"/>
        <v>HOLLIDAY CREEKCoho</v>
      </c>
      <c r="AY322" s="49">
        <f t="shared" si="93"/>
        <v>0</v>
      </c>
      <c r="AZ322" s="49">
        <f t="shared" si="94"/>
        <v>0</v>
      </c>
      <c r="BA322" s="31">
        <v>0</v>
      </c>
      <c r="BB322" s="188">
        <f t="shared" si="81"/>
        <v>0</v>
      </c>
      <c r="BC322" s="188" t="str">
        <f t="shared" si="85"/>
        <v xml:space="preserve"> </v>
      </c>
      <c r="BD322" s="188" t="str">
        <f t="shared" si="86"/>
        <v xml:space="preserve"> </v>
      </c>
      <c r="BE322" s="188" t="str">
        <f t="shared" si="87"/>
        <v xml:space="preserve"> </v>
      </c>
      <c r="BF322" s="50" t="str">
        <f t="shared" si="95"/>
        <v>HOLLIDAY CREEK_Coho</v>
      </c>
      <c r="BG322" s="50" t="str">
        <f>IFERROR(VLOOKUP(BF322,'[1]WCVI Esc'!$C$5:$W$514,18,FALSE),"-")</f>
        <v>-</v>
      </c>
      <c r="BH322" s="50" t="str">
        <f t="shared" si="82"/>
        <v>-</v>
      </c>
      <c r="BI322" s="50" t="str">
        <f>IFERROR(VLOOKUP(BF322,'[1]WCVI Esc'!$C$5:$W$514,19,FALSE),"-")</f>
        <v>-</v>
      </c>
      <c r="BJ322" s="50" t="str">
        <f t="shared" si="83"/>
        <v>-</v>
      </c>
    </row>
    <row r="323" spans="1:66" hidden="1" x14ac:dyDescent="0.2">
      <c r="A323" s="28">
        <v>4</v>
      </c>
      <c r="B323" s="28">
        <v>3</v>
      </c>
      <c r="C323" s="11">
        <v>20</v>
      </c>
      <c r="D323" s="13" t="s">
        <v>291</v>
      </c>
      <c r="E323" s="10" t="s">
        <v>156</v>
      </c>
      <c r="F323" s="10" t="s">
        <v>208</v>
      </c>
      <c r="G323" s="10"/>
      <c r="H323" s="152"/>
      <c r="I323" s="164"/>
      <c r="J323" s="62"/>
      <c r="K323" s="62"/>
      <c r="L323" s="177"/>
      <c r="M323" s="171"/>
      <c r="N323" s="62"/>
      <c r="O323" s="62"/>
      <c r="P323" s="62"/>
      <c r="Q323" s="64"/>
      <c r="R323" s="164"/>
      <c r="S323" s="62"/>
      <c r="T323" s="62"/>
      <c r="U323" s="62"/>
      <c r="V323" s="177"/>
      <c r="W323" s="171"/>
      <c r="X323" s="62"/>
      <c r="Y323" s="45"/>
      <c r="Z323" s="45"/>
      <c r="AA323" s="100"/>
      <c r="AB323" s="100"/>
      <c r="AC323" s="24"/>
      <c r="AD323" s="24"/>
      <c r="AE323" s="24"/>
      <c r="AF323" s="24"/>
      <c r="AG323" s="18">
        <v>20</v>
      </c>
      <c r="AH323" s="69" t="s">
        <v>291</v>
      </c>
      <c r="AI323" s="243" t="s">
        <v>156</v>
      </c>
      <c r="AJ323" s="243" t="s">
        <v>419</v>
      </c>
      <c r="AK323" s="246"/>
      <c r="AL323" s="43" t="str">
        <f t="shared" si="84"/>
        <v>-</v>
      </c>
      <c r="AM323" s="43">
        <f t="shared" si="88"/>
        <v>0</v>
      </c>
      <c r="AN323" s="193">
        <f t="shared" si="88"/>
        <v>0</v>
      </c>
      <c r="AO323" s="270" t="str">
        <f t="shared" si="89"/>
        <v>-</v>
      </c>
      <c r="AP323" s="266"/>
      <c r="AQ323" s="26" t="str">
        <f t="shared" ref="AQ323:AQ386" si="96">CONCATENATE(E323,F323)</f>
        <v>HOLLIDAY CREEKPink</v>
      </c>
      <c r="AR323" s="26">
        <f t="shared" si="90"/>
        <v>0</v>
      </c>
      <c r="AS323" s="33">
        <f t="shared" si="91"/>
        <v>0</v>
      </c>
      <c r="AX323" s="47" t="str">
        <f t="shared" si="92"/>
        <v>HOLLIDAY CREEKPink</v>
      </c>
      <c r="AY323" s="49">
        <f t="shared" si="93"/>
        <v>0</v>
      </c>
      <c r="AZ323" s="49">
        <f t="shared" si="94"/>
        <v>0</v>
      </c>
      <c r="BA323" s="31">
        <v>0</v>
      </c>
      <c r="BB323" s="188">
        <f t="shared" si="81"/>
        <v>0</v>
      </c>
      <c r="BC323" s="188" t="str">
        <f t="shared" si="85"/>
        <v xml:space="preserve"> </v>
      </c>
      <c r="BD323" s="188" t="str">
        <f t="shared" si="86"/>
        <v xml:space="preserve"> </v>
      </c>
      <c r="BE323" s="188" t="str">
        <f t="shared" si="87"/>
        <v xml:space="preserve"> </v>
      </c>
      <c r="BF323" s="50" t="str">
        <f t="shared" si="95"/>
        <v>HOLLIDAY CREEK_Pink</v>
      </c>
      <c r="BG323" s="50" t="str">
        <f>IFERROR(VLOOKUP(BF323,'[1]WCVI Esc'!$C$5:$W$514,18,FALSE),"-")</f>
        <v>-</v>
      </c>
      <c r="BH323" s="50" t="str">
        <f t="shared" si="82"/>
        <v>-</v>
      </c>
      <c r="BI323" s="50" t="str">
        <f>IFERROR(VLOOKUP(BF323,'[1]WCVI Esc'!$C$5:$W$514,19,FALSE),"-")</f>
        <v>-</v>
      </c>
      <c r="BJ323" s="50" t="str">
        <f t="shared" si="83"/>
        <v>-</v>
      </c>
    </row>
    <row r="324" spans="1:66" hidden="1" x14ac:dyDescent="0.2">
      <c r="A324" s="28">
        <v>4</v>
      </c>
      <c r="B324" s="28">
        <v>4</v>
      </c>
      <c r="C324" s="11">
        <v>20</v>
      </c>
      <c r="D324" s="13" t="s">
        <v>291</v>
      </c>
      <c r="E324" s="10" t="s">
        <v>156</v>
      </c>
      <c r="F324" s="10" t="s">
        <v>209</v>
      </c>
      <c r="G324" s="10"/>
      <c r="H324" s="152"/>
      <c r="I324" s="164"/>
      <c r="J324" s="62"/>
      <c r="K324" s="62"/>
      <c r="L324" s="177"/>
      <c r="M324" s="171"/>
      <c r="N324" s="62"/>
      <c r="O324" s="62"/>
      <c r="P324" s="62"/>
      <c r="Q324" s="64"/>
      <c r="R324" s="164"/>
      <c r="S324" s="62"/>
      <c r="T324" s="62"/>
      <c r="U324" s="62"/>
      <c r="V324" s="177"/>
      <c r="W324" s="171"/>
      <c r="X324" s="62"/>
      <c r="Y324" s="45"/>
      <c r="Z324" s="45"/>
      <c r="AA324" s="100"/>
      <c r="AB324" s="100"/>
      <c r="AC324" s="24"/>
      <c r="AD324" s="24"/>
      <c r="AE324" s="24"/>
      <c r="AF324" s="24"/>
      <c r="AG324" s="18">
        <v>20</v>
      </c>
      <c r="AH324" s="69" t="s">
        <v>291</v>
      </c>
      <c r="AI324" s="243" t="s">
        <v>156</v>
      </c>
      <c r="AJ324" s="243" t="s">
        <v>419</v>
      </c>
      <c r="AK324" s="246"/>
      <c r="AL324" s="43" t="str">
        <f t="shared" si="84"/>
        <v>-</v>
      </c>
      <c r="AM324" s="43">
        <f t="shared" si="88"/>
        <v>0</v>
      </c>
      <c r="AN324" s="193">
        <f t="shared" si="88"/>
        <v>0</v>
      </c>
      <c r="AO324" s="270" t="str">
        <f t="shared" si="89"/>
        <v>-</v>
      </c>
      <c r="AP324" s="266"/>
      <c r="AQ324" s="26" t="str">
        <f t="shared" si="96"/>
        <v>HOLLIDAY CREEKChum</v>
      </c>
      <c r="AR324" s="26">
        <f t="shared" si="90"/>
        <v>0</v>
      </c>
      <c r="AS324" s="33">
        <f t="shared" si="91"/>
        <v>0</v>
      </c>
      <c r="AX324" s="47" t="str">
        <f t="shared" si="92"/>
        <v>HOLLIDAY CREEKChum</v>
      </c>
      <c r="AY324" s="49">
        <f t="shared" si="93"/>
        <v>0</v>
      </c>
      <c r="AZ324" s="49">
        <f t="shared" si="94"/>
        <v>0</v>
      </c>
      <c r="BA324" s="31">
        <v>0</v>
      </c>
      <c r="BB324" s="188">
        <f t="shared" si="81"/>
        <v>0</v>
      </c>
      <c r="BC324" s="188" t="str">
        <f t="shared" si="85"/>
        <v xml:space="preserve"> </v>
      </c>
      <c r="BD324" s="188" t="str">
        <f t="shared" si="86"/>
        <v xml:space="preserve"> </v>
      </c>
      <c r="BE324" s="188" t="str">
        <f t="shared" si="87"/>
        <v xml:space="preserve"> </v>
      </c>
      <c r="BF324" s="50" t="str">
        <f t="shared" si="95"/>
        <v>HOLLIDAY CREEK_Chum</v>
      </c>
      <c r="BG324" s="50" t="str">
        <f>IFERROR(VLOOKUP(BF324,'[1]WCVI Esc'!$C$5:$W$514,18,FALSE),"-")</f>
        <v>-</v>
      </c>
      <c r="BH324" s="50" t="str">
        <f t="shared" si="82"/>
        <v>-</v>
      </c>
      <c r="BI324" s="50" t="str">
        <f>IFERROR(VLOOKUP(BF324,'[1]WCVI Esc'!$C$5:$W$514,19,FALSE),"-")</f>
        <v>-</v>
      </c>
      <c r="BJ324" s="50" t="str">
        <f t="shared" si="83"/>
        <v>-</v>
      </c>
    </row>
    <row r="325" spans="1:66" hidden="1" x14ac:dyDescent="0.2">
      <c r="A325" s="28">
        <v>4</v>
      </c>
      <c r="B325" s="28">
        <v>5</v>
      </c>
      <c r="C325" s="11">
        <v>20</v>
      </c>
      <c r="D325" s="13" t="s">
        <v>291</v>
      </c>
      <c r="E325" s="10" t="s">
        <v>156</v>
      </c>
      <c r="F325" s="10" t="s">
        <v>210</v>
      </c>
      <c r="G325" s="10"/>
      <c r="H325" s="152"/>
      <c r="I325" s="164"/>
      <c r="J325" s="62"/>
      <c r="K325" s="62"/>
      <c r="L325" s="177"/>
      <c r="M325" s="171"/>
      <c r="N325" s="62"/>
      <c r="O325" s="62"/>
      <c r="P325" s="62"/>
      <c r="Q325" s="64"/>
      <c r="R325" s="164"/>
      <c r="S325" s="62"/>
      <c r="T325" s="62"/>
      <c r="U325" s="62"/>
      <c r="V325" s="177"/>
      <c r="W325" s="171"/>
      <c r="X325" s="62"/>
      <c r="Y325" s="45"/>
      <c r="Z325" s="45"/>
      <c r="AA325" s="100"/>
      <c r="AB325" s="100"/>
      <c r="AC325" s="24"/>
      <c r="AD325" s="24"/>
      <c r="AE325" s="24"/>
      <c r="AF325" s="24"/>
      <c r="AG325" s="18">
        <v>20</v>
      </c>
      <c r="AH325" s="69" t="s">
        <v>291</v>
      </c>
      <c r="AI325" s="243" t="s">
        <v>156</v>
      </c>
      <c r="AJ325" s="243" t="s">
        <v>419</v>
      </c>
      <c r="AK325" s="246"/>
      <c r="AL325" s="43" t="str">
        <f t="shared" si="84"/>
        <v>-</v>
      </c>
      <c r="AM325" s="43">
        <f t="shared" si="88"/>
        <v>0</v>
      </c>
      <c r="AN325" s="193">
        <f t="shared" si="88"/>
        <v>0</v>
      </c>
      <c r="AO325" s="270" t="str">
        <f t="shared" si="89"/>
        <v>-</v>
      </c>
      <c r="AP325" s="266"/>
      <c r="AQ325" s="26" t="str">
        <f t="shared" si="96"/>
        <v>HOLLIDAY CREEKChinook</v>
      </c>
      <c r="AR325" s="26">
        <f t="shared" si="90"/>
        <v>0</v>
      </c>
      <c r="AS325" s="33">
        <f t="shared" si="91"/>
        <v>0</v>
      </c>
      <c r="AX325" s="47" t="str">
        <f t="shared" si="92"/>
        <v>HOLLIDAY CREEKChinook</v>
      </c>
      <c r="AY325" s="49">
        <f t="shared" si="93"/>
        <v>0</v>
      </c>
      <c r="AZ325" s="49">
        <f t="shared" si="94"/>
        <v>0</v>
      </c>
      <c r="BA325" s="31">
        <v>0</v>
      </c>
      <c r="BB325" s="188">
        <f t="shared" si="81"/>
        <v>0</v>
      </c>
      <c r="BC325" s="188" t="str">
        <f t="shared" si="85"/>
        <v xml:space="preserve"> </v>
      </c>
      <c r="BD325" s="188" t="str">
        <f t="shared" si="86"/>
        <v xml:space="preserve"> </v>
      </c>
      <c r="BE325" s="188" t="str">
        <f t="shared" si="87"/>
        <v xml:space="preserve"> </v>
      </c>
      <c r="BF325" s="50" t="str">
        <f t="shared" si="95"/>
        <v>HOLLIDAY CREEK_Chinook</v>
      </c>
      <c r="BG325" s="50" t="str">
        <f>IFERROR(VLOOKUP(BF325,'[1]WCVI Esc'!$C$5:$W$514,18,FALSE),"-")</f>
        <v>-</v>
      </c>
      <c r="BH325" s="50" t="str">
        <f t="shared" si="82"/>
        <v>-</v>
      </c>
      <c r="BI325" s="50" t="str">
        <f>IFERROR(VLOOKUP(BF325,'[1]WCVI Esc'!$C$5:$W$514,19,FALSE),"-")</f>
        <v>-</v>
      </c>
      <c r="BJ325" s="50" t="str">
        <f t="shared" si="83"/>
        <v>-</v>
      </c>
    </row>
    <row r="326" spans="1:66" hidden="1" x14ac:dyDescent="0.2">
      <c r="A326" s="28">
        <v>4</v>
      </c>
      <c r="B326" s="28">
        <v>6</v>
      </c>
      <c r="C326" s="11">
        <v>20</v>
      </c>
      <c r="D326" s="13" t="s">
        <v>291</v>
      </c>
      <c r="E326" s="10" t="s">
        <v>156</v>
      </c>
      <c r="F326" s="10" t="s">
        <v>211</v>
      </c>
      <c r="G326" s="10"/>
      <c r="H326" s="152"/>
      <c r="I326" s="164"/>
      <c r="J326" s="62"/>
      <c r="K326" s="62"/>
      <c r="L326" s="177"/>
      <c r="M326" s="171"/>
      <c r="N326" s="62"/>
      <c r="O326" s="62"/>
      <c r="P326" s="62"/>
      <c r="Q326" s="64"/>
      <c r="R326" s="164"/>
      <c r="S326" s="62"/>
      <c r="T326" s="62"/>
      <c r="U326" s="62"/>
      <c r="V326" s="177"/>
      <c r="W326" s="171"/>
      <c r="X326" s="62"/>
      <c r="Y326" s="45"/>
      <c r="Z326" s="45"/>
      <c r="AA326" s="100"/>
      <c r="AB326" s="100"/>
      <c r="AC326" s="24"/>
      <c r="AD326" s="24"/>
      <c r="AE326" s="24"/>
      <c r="AF326" s="24"/>
      <c r="AG326" s="18">
        <v>20</v>
      </c>
      <c r="AH326" s="69" t="s">
        <v>291</v>
      </c>
      <c r="AI326" s="243" t="s">
        <v>156</v>
      </c>
      <c r="AJ326" s="243" t="s">
        <v>419</v>
      </c>
      <c r="AK326" s="246"/>
      <c r="AL326" s="43" t="str">
        <f t="shared" si="84"/>
        <v>-</v>
      </c>
      <c r="AM326" s="43">
        <f t="shared" si="88"/>
        <v>0</v>
      </c>
      <c r="AN326" s="193">
        <f t="shared" si="88"/>
        <v>0</v>
      </c>
      <c r="AO326" s="270" t="str">
        <f t="shared" si="89"/>
        <v>-</v>
      </c>
      <c r="AP326" s="266"/>
      <c r="AQ326" s="26" t="str">
        <f t="shared" si="96"/>
        <v>HOLLIDAY CREEKSteelhead</v>
      </c>
      <c r="AR326" s="26">
        <f t="shared" si="90"/>
        <v>0</v>
      </c>
      <c r="AS326" s="33">
        <f t="shared" si="91"/>
        <v>0</v>
      </c>
      <c r="AX326" s="47" t="str">
        <f t="shared" si="92"/>
        <v>HOLLIDAY CREEKSteelhead</v>
      </c>
      <c r="AY326" s="49">
        <f t="shared" si="93"/>
        <v>0</v>
      </c>
      <c r="AZ326" s="49">
        <f t="shared" si="94"/>
        <v>0</v>
      </c>
      <c r="BA326" s="31">
        <v>0</v>
      </c>
      <c r="BB326" s="188">
        <f t="shared" si="81"/>
        <v>0</v>
      </c>
      <c r="BC326" s="188" t="str">
        <f t="shared" si="85"/>
        <v xml:space="preserve"> </v>
      </c>
      <c r="BD326" s="188" t="str">
        <f t="shared" si="86"/>
        <v xml:space="preserve"> </v>
      </c>
      <c r="BE326" s="188" t="str">
        <f t="shared" si="87"/>
        <v xml:space="preserve"> </v>
      </c>
      <c r="BF326" s="50" t="str">
        <f t="shared" si="95"/>
        <v>HOLLIDAY CREEK_Steelhead</v>
      </c>
      <c r="BG326" s="50" t="str">
        <f>IFERROR(VLOOKUP(BF326,'[1]WCVI Esc'!$C$5:$W$514,18,FALSE),"-")</f>
        <v>-</v>
      </c>
      <c r="BH326" s="50" t="str">
        <f t="shared" si="82"/>
        <v>-</v>
      </c>
      <c r="BI326" s="50" t="str">
        <f>IFERROR(VLOOKUP(BF326,'[1]WCVI Esc'!$C$5:$W$514,19,FALSE),"-")</f>
        <v>-</v>
      </c>
      <c r="BJ326" s="50" t="str">
        <f t="shared" si="83"/>
        <v>-</v>
      </c>
    </row>
    <row r="327" spans="1:66" hidden="1" x14ac:dyDescent="0.2">
      <c r="A327" s="28">
        <v>4</v>
      </c>
      <c r="B327" s="28">
        <v>1</v>
      </c>
      <c r="C327" s="11">
        <v>20</v>
      </c>
      <c r="D327" s="13" t="s">
        <v>291</v>
      </c>
      <c r="E327" s="10" t="s">
        <v>157</v>
      </c>
      <c r="F327" s="10" t="s">
        <v>207</v>
      </c>
      <c r="G327" s="10"/>
      <c r="H327" s="152"/>
      <c r="I327" s="155"/>
      <c r="J327" s="106"/>
      <c r="K327" s="94"/>
      <c r="L327" s="180"/>
      <c r="M327" s="173"/>
      <c r="N327" s="106"/>
      <c r="O327" s="106"/>
      <c r="P327" s="63"/>
      <c r="Q327" s="190"/>
      <c r="R327" s="164"/>
      <c r="S327" s="62"/>
      <c r="T327" s="63"/>
      <c r="U327" s="62"/>
      <c r="V327" s="177"/>
      <c r="W327" s="171"/>
      <c r="X327" s="62"/>
      <c r="Y327" s="45"/>
      <c r="Z327" s="45"/>
      <c r="AA327" s="100"/>
      <c r="AB327" s="100"/>
      <c r="AC327" s="24"/>
      <c r="AD327" s="24"/>
      <c r="AE327" s="24"/>
      <c r="AF327" s="24"/>
      <c r="AG327" s="18">
        <v>20</v>
      </c>
      <c r="AH327" s="69" t="s">
        <v>291</v>
      </c>
      <c r="AI327" s="243" t="s">
        <v>157</v>
      </c>
      <c r="AJ327" s="243" t="s">
        <v>419</v>
      </c>
      <c r="AK327" s="246"/>
      <c r="AL327" s="43" t="str">
        <f t="shared" si="84"/>
        <v>-</v>
      </c>
      <c r="AM327" s="43">
        <f t="shared" si="88"/>
        <v>0</v>
      </c>
      <c r="AN327" s="193">
        <f t="shared" si="88"/>
        <v>0</v>
      </c>
      <c r="AO327" s="270" t="str">
        <f t="shared" si="89"/>
        <v>-</v>
      </c>
      <c r="AP327" s="266"/>
      <c r="AQ327" s="26" t="str">
        <f t="shared" si="96"/>
        <v>JORDAN RIVERSockeye</v>
      </c>
      <c r="AR327" s="26">
        <f t="shared" si="90"/>
        <v>0</v>
      </c>
      <c r="AS327" s="33">
        <f t="shared" si="91"/>
        <v>0</v>
      </c>
      <c r="AX327" s="47" t="str">
        <f t="shared" si="92"/>
        <v>JORDAN RIVERSockeye</v>
      </c>
      <c r="AY327" s="49">
        <f t="shared" si="93"/>
        <v>0</v>
      </c>
      <c r="AZ327" s="49">
        <f t="shared" si="94"/>
        <v>0</v>
      </c>
      <c r="BA327" s="31">
        <v>0</v>
      </c>
      <c r="BB327" s="188">
        <f t="shared" si="81"/>
        <v>0</v>
      </c>
      <c r="BC327" s="188" t="str">
        <f t="shared" si="85"/>
        <v xml:space="preserve"> </v>
      </c>
      <c r="BD327" s="188" t="str">
        <f t="shared" si="86"/>
        <v xml:space="preserve"> </v>
      </c>
      <c r="BE327" s="188" t="str">
        <f t="shared" si="87"/>
        <v xml:space="preserve"> </v>
      </c>
      <c r="BF327" s="50" t="str">
        <f t="shared" si="95"/>
        <v>JORDAN RIVER_Sockeye</v>
      </c>
      <c r="BG327" s="50" t="str">
        <f>IFERROR(VLOOKUP(BF327,'[1]WCVI Esc'!$C$5:$W$514,18,FALSE),"-")</f>
        <v>-</v>
      </c>
      <c r="BH327" s="50" t="str">
        <f t="shared" si="82"/>
        <v>-</v>
      </c>
      <c r="BI327" s="50" t="str">
        <f>IFERROR(VLOOKUP(BF327,'[1]WCVI Esc'!$C$5:$W$514,19,FALSE),"-")</f>
        <v>-</v>
      </c>
      <c r="BJ327" s="50" t="str">
        <f t="shared" si="83"/>
        <v>-</v>
      </c>
    </row>
    <row r="328" spans="1:66" hidden="1" x14ac:dyDescent="0.2">
      <c r="A328" s="28">
        <v>4</v>
      </c>
      <c r="B328" s="28">
        <v>2</v>
      </c>
      <c r="C328" s="11">
        <v>20</v>
      </c>
      <c r="D328" s="13" t="s">
        <v>291</v>
      </c>
      <c r="E328" s="10" t="s">
        <v>157</v>
      </c>
      <c r="F328" s="10" t="s">
        <v>219</v>
      </c>
      <c r="G328" s="10"/>
      <c r="H328" s="152"/>
      <c r="I328" s="155"/>
      <c r="J328" s="106"/>
      <c r="K328" s="94"/>
      <c r="L328" s="180"/>
      <c r="M328" s="173"/>
      <c r="N328" s="106"/>
      <c r="O328" s="106"/>
      <c r="P328" s="63"/>
      <c r="Q328" s="190"/>
      <c r="R328" s="164"/>
      <c r="S328" s="62"/>
      <c r="T328" s="63"/>
      <c r="U328" s="62"/>
      <c r="V328" s="177"/>
      <c r="W328" s="171"/>
      <c r="X328" s="62"/>
      <c r="Y328" s="45"/>
      <c r="Z328" s="45"/>
      <c r="AA328" s="100"/>
      <c r="AB328" s="100"/>
      <c r="AC328" s="24"/>
      <c r="AD328" s="24"/>
      <c r="AE328" s="24"/>
      <c r="AF328" s="24"/>
      <c r="AG328" s="18">
        <v>20</v>
      </c>
      <c r="AH328" s="69" t="s">
        <v>291</v>
      </c>
      <c r="AI328" s="243" t="s">
        <v>157</v>
      </c>
      <c r="AJ328" s="243" t="s">
        <v>419</v>
      </c>
      <c r="AK328" s="246"/>
      <c r="AL328" s="43" t="str">
        <f t="shared" si="84"/>
        <v>-</v>
      </c>
      <c r="AM328" s="43">
        <f t="shared" si="88"/>
        <v>0</v>
      </c>
      <c r="AN328" s="193">
        <f t="shared" si="88"/>
        <v>0</v>
      </c>
      <c r="AO328" s="270" t="str">
        <f t="shared" si="89"/>
        <v>-</v>
      </c>
      <c r="AP328" s="266"/>
      <c r="AQ328" s="26" t="str">
        <f t="shared" si="96"/>
        <v>JORDAN RIVERCoho</v>
      </c>
      <c r="AR328" s="26">
        <f t="shared" si="90"/>
        <v>0</v>
      </c>
      <c r="AS328" s="33">
        <f t="shared" si="91"/>
        <v>0</v>
      </c>
      <c r="AX328" s="47" t="str">
        <f t="shared" si="92"/>
        <v>JORDAN RIVERCoho</v>
      </c>
      <c r="AY328" s="49">
        <f t="shared" si="93"/>
        <v>0</v>
      </c>
      <c r="AZ328" s="49">
        <f t="shared" si="94"/>
        <v>0</v>
      </c>
      <c r="BA328" s="31">
        <v>0</v>
      </c>
      <c r="BB328" s="188">
        <f t="shared" si="81"/>
        <v>0</v>
      </c>
      <c r="BC328" s="188" t="str">
        <f t="shared" si="85"/>
        <v xml:space="preserve"> </v>
      </c>
      <c r="BD328" s="188" t="str">
        <f t="shared" si="86"/>
        <v xml:space="preserve"> </v>
      </c>
      <c r="BE328" s="188" t="str">
        <f t="shared" si="87"/>
        <v xml:space="preserve"> </v>
      </c>
      <c r="BF328" s="50" t="str">
        <f t="shared" si="95"/>
        <v>JORDAN RIVER_Coho</v>
      </c>
      <c r="BG328" s="50" t="str">
        <f>IFERROR(VLOOKUP(BF328,'[1]WCVI Esc'!$C$5:$W$514,18,FALSE),"-")</f>
        <v>-</v>
      </c>
      <c r="BH328" s="50" t="str">
        <f t="shared" si="82"/>
        <v>-</v>
      </c>
      <c r="BI328" s="50" t="str">
        <f>IFERROR(VLOOKUP(BF328,'[1]WCVI Esc'!$C$5:$W$514,19,FALSE),"-")</f>
        <v>-</v>
      </c>
      <c r="BJ328" s="50" t="str">
        <f t="shared" si="83"/>
        <v>-</v>
      </c>
    </row>
    <row r="329" spans="1:66" hidden="1" x14ac:dyDescent="0.2">
      <c r="A329" s="28">
        <v>4</v>
      </c>
      <c r="B329" s="28">
        <v>3</v>
      </c>
      <c r="C329" s="11">
        <v>20</v>
      </c>
      <c r="D329" s="13" t="s">
        <v>291</v>
      </c>
      <c r="E329" s="10" t="s">
        <v>157</v>
      </c>
      <c r="F329" s="10" t="s">
        <v>208</v>
      </c>
      <c r="G329" s="10"/>
      <c r="H329" s="152"/>
      <c r="I329" s="155"/>
      <c r="J329" s="106"/>
      <c r="K329" s="94"/>
      <c r="L329" s="180"/>
      <c r="M329" s="173"/>
      <c r="N329" s="106"/>
      <c r="O329" s="106"/>
      <c r="P329" s="63"/>
      <c r="Q329" s="190"/>
      <c r="R329" s="164"/>
      <c r="S329" s="62"/>
      <c r="T329" s="63"/>
      <c r="U329" s="62"/>
      <c r="V329" s="177"/>
      <c r="W329" s="171"/>
      <c r="X329" s="62"/>
      <c r="Y329" s="45"/>
      <c r="Z329" s="45"/>
      <c r="AA329" s="100"/>
      <c r="AB329" s="100"/>
      <c r="AC329" s="24"/>
      <c r="AD329" s="24"/>
      <c r="AE329" s="24"/>
      <c r="AF329" s="24"/>
      <c r="AG329" s="18">
        <v>20</v>
      </c>
      <c r="AH329" s="69" t="s">
        <v>291</v>
      </c>
      <c r="AI329" s="243" t="s">
        <v>157</v>
      </c>
      <c r="AJ329" s="243" t="s">
        <v>419</v>
      </c>
      <c r="AK329" s="246"/>
      <c r="AL329" s="43" t="str">
        <f t="shared" si="84"/>
        <v>-</v>
      </c>
      <c r="AM329" s="43">
        <f t="shared" si="88"/>
        <v>0</v>
      </c>
      <c r="AN329" s="193">
        <f t="shared" si="88"/>
        <v>0</v>
      </c>
      <c r="AO329" s="270" t="str">
        <f t="shared" si="89"/>
        <v>-</v>
      </c>
      <c r="AP329" s="266"/>
      <c r="AQ329" s="26" t="str">
        <f t="shared" si="96"/>
        <v>JORDAN RIVERPink</v>
      </c>
      <c r="AR329" s="26">
        <f t="shared" si="90"/>
        <v>0</v>
      </c>
      <c r="AS329" s="33">
        <f t="shared" si="91"/>
        <v>0</v>
      </c>
      <c r="AX329" s="47" t="str">
        <f t="shared" si="92"/>
        <v>JORDAN RIVERPink</v>
      </c>
      <c r="AY329" s="49">
        <f t="shared" si="93"/>
        <v>0</v>
      </c>
      <c r="AZ329" s="49">
        <f t="shared" si="94"/>
        <v>0</v>
      </c>
      <c r="BA329" s="31">
        <v>0</v>
      </c>
      <c r="BB329" s="188">
        <f t="shared" ref="BB329:BB392" si="97">AK329</f>
        <v>0</v>
      </c>
      <c r="BC329" s="188" t="str">
        <f t="shared" si="85"/>
        <v xml:space="preserve"> </v>
      </c>
      <c r="BD329" s="188" t="str">
        <f t="shared" si="86"/>
        <v xml:space="preserve"> </v>
      </c>
      <c r="BE329" s="188" t="str">
        <f t="shared" si="87"/>
        <v xml:space="preserve"> </v>
      </c>
      <c r="BF329" s="50" t="str">
        <f t="shared" si="95"/>
        <v>JORDAN RIVER_Pink</v>
      </c>
      <c r="BG329" s="50" t="str">
        <f>IFERROR(VLOOKUP(BF329,'[1]WCVI Esc'!$C$5:$W$514,18,FALSE),"-")</f>
        <v>-</v>
      </c>
      <c r="BH329" s="50" t="str">
        <f t="shared" ref="BH329:BH392" si="98">IFERROR(ROUND(BG329,-1),"-")</f>
        <v>-</v>
      </c>
      <c r="BI329" s="50" t="str">
        <f>IFERROR(VLOOKUP(BF329,'[1]WCVI Esc'!$C$5:$W$514,19,FALSE),"-")</f>
        <v>-</v>
      </c>
      <c r="BJ329" s="50" t="str">
        <f t="shared" ref="BJ329:BJ392" si="99">IFERROR(ROUND(BI329,-1),"-")</f>
        <v>-</v>
      </c>
    </row>
    <row r="330" spans="1:66" hidden="1" x14ac:dyDescent="0.2">
      <c r="A330" s="28">
        <v>4</v>
      </c>
      <c r="B330" s="28">
        <v>4</v>
      </c>
      <c r="C330" s="11">
        <v>20</v>
      </c>
      <c r="D330" s="13" t="s">
        <v>291</v>
      </c>
      <c r="E330" s="10" t="s">
        <v>157</v>
      </c>
      <c r="F330" s="10" t="s">
        <v>209</v>
      </c>
      <c r="G330" s="10"/>
      <c r="H330" s="152"/>
      <c r="I330" s="155"/>
      <c r="J330" s="106"/>
      <c r="K330" s="94"/>
      <c r="L330" s="180"/>
      <c r="M330" s="173"/>
      <c r="N330" s="106"/>
      <c r="O330" s="106"/>
      <c r="P330" s="63"/>
      <c r="Q330" s="190"/>
      <c r="R330" s="164"/>
      <c r="S330" s="62"/>
      <c r="T330" s="63"/>
      <c r="U330" s="62"/>
      <c r="V330" s="177"/>
      <c r="W330" s="171"/>
      <c r="X330" s="62"/>
      <c r="Y330" s="45"/>
      <c r="Z330" s="45"/>
      <c r="AA330" s="100"/>
      <c r="AB330" s="100"/>
      <c r="AC330" s="24"/>
      <c r="AD330" s="24"/>
      <c r="AE330" s="24"/>
      <c r="AF330" s="24"/>
      <c r="AG330" s="18">
        <v>20</v>
      </c>
      <c r="AH330" s="69" t="s">
        <v>291</v>
      </c>
      <c r="AI330" s="243" t="s">
        <v>157</v>
      </c>
      <c r="AJ330" s="243" t="s">
        <v>419</v>
      </c>
      <c r="AK330" s="246"/>
      <c r="AL330" s="43" t="str">
        <f t="shared" ref="AL330:AL393" si="100">IF(BE330=" ",IF(BD330=" ", IF(BC330=" ","-",BC330),BD330), BE330)</f>
        <v>-</v>
      </c>
      <c r="AM330" s="43">
        <f t="shared" si="88"/>
        <v>0</v>
      </c>
      <c r="AN330" s="193">
        <f t="shared" si="88"/>
        <v>0</v>
      </c>
      <c r="AO330" s="270" t="str">
        <f t="shared" si="89"/>
        <v>-</v>
      </c>
      <c r="AP330" s="266"/>
      <c r="AQ330" s="26" t="str">
        <f t="shared" si="96"/>
        <v>JORDAN RIVERChum</v>
      </c>
      <c r="AR330" s="26">
        <f t="shared" si="90"/>
        <v>0</v>
      </c>
      <c r="AS330" s="33">
        <f t="shared" si="91"/>
        <v>0</v>
      </c>
      <c r="AX330" s="47" t="str">
        <f t="shared" si="92"/>
        <v>JORDAN RIVERChum</v>
      </c>
      <c r="AY330" s="49">
        <f t="shared" si="93"/>
        <v>0</v>
      </c>
      <c r="AZ330" s="49">
        <f t="shared" si="94"/>
        <v>0</v>
      </c>
      <c r="BA330" s="31">
        <v>0</v>
      </c>
      <c r="BB330" s="188">
        <f t="shared" si="97"/>
        <v>0</v>
      </c>
      <c r="BC330" s="188" t="str">
        <f t="shared" ref="BC330:BC393" si="101">IF(ISNUMBER(M330),M$8,IF(ISNUMBER(L330),L$8,IF(ISNUMBER(K330),K$8,IF(ISNUMBER(J330),J$8,IF(ISNUMBER(I330),I$8,IF(ISNUMBER(H330),H$8, IF(ISNUMBER(G330),G$8," ")))))))</f>
        <v xml:space="preserve"> </v>
      </c>
      <c r="BD330" s="188" t="str">
        <f t="shared" ref="BD330:BD393" si="102">IF(ISNUMBER(S330),S$8,IF(ISNUMBER(R330),R$8,IF(ISNUMBER(Q330),Q$8,IF(ISNUMBER(P330),P$8,IF(ISNUMBER(O330),O$8,IF(ISNUMBER(N330),N$8," "))))))</f>
        <v xml:space="preserve"> </v>
      </c>
      <c r="BE330" s="188" t="str">
        <f t="shared" ref="BE330:BE393" si="103">IF(ISNUMBER(X330),X$8,IF(ISNUMBER(W330),W$8,IF(ISNUMBER(V330),V$8,IF(ISNUMBER(U330),U$8,IF(ISNUMBER(T330),T$8," ")))))</f>
        <v xml:space="preserve"> </v>
      </c>
      <c r="BF330" s="50" t="str">
        <f t="shared" si="95"/>
        <v>JORDAN RIVER_Chum</v>
      </c>
      <c r="BG330" s="50" t="str">
        <f>IFERROR(VLOOKUP(BF330,'[1]WCVI Esc'!$C$5:$W$514,18,FALSE),"-")</f>
        <v>-</v>
      </c>
      <c r="BH330" s="50" t="str">
        <f t="shared" si="98"/>
        <v>-</v>
      </c>
      <c r="BI330" s="50" t="str">
        <f>IFERROR(VLOOKUP(BF330,'[1]WCVI Esc'!$C$5:$W$514,19,FALSE),"-")</f>
        <v>-</v>
      </c>
      <c r="BJ330" s="50" t="str">
        <f t="shared" si="99"/>
        <v>-</v>
      </c>
    </row>
    <row r="331" spans="1:66" hidden="1" x14ac:dyDescent="0.2">
      <c r="A331" s="28">
        <v>4</v>
      </c>
      <c r="B331" s="28">
        <v>5</v>
      </c>
      <c r="C331" s="11">
        <v>20</v>
      </c>
      <c r="D331" s="13" t="s">
        <v>291</v>
      </c>
      <c r="E331" s="10" t="s">
        <v>157</v>
      </c>
      <c r="F331" s="10" t="s">
        <v>210</v>
      </c>
      <c r="G331" s="10"/>
      <c r="H331" s="152"/>
      <c r="I331" s="155"/>
      <c r="J331" s="106"/>
      <c r="K331" s="94"/>
      <c r="L331" s="180"/>
      <c r="M331" s="173"/>
      <c r="N331" s="106"/>
      <c r="O331" s="106"/>
      <c r="P331" s="63"/>
      <c r="Q331" s="190"/>
      <c r="R331" s="164"/>
      <c r="S331" s="62"/>
      <c r="T331" s="63"/>
      <c r="U331" s="62"/>
      <c r="V331" s="177"/>
      <c r="W331" s="171"/>
      <c r="X331" s="62"/>
      <c r="Y331" s="45"/>
      <c r="Z331" s="45"/>
      <c r="AA331" s="100"/>
      <c r="AB331" s="100"/>
      <c r="AC331" s="24"/>
      <c r="AD331" s="24"/>
      <c r="AE331" s="24"/>
      <c r="AF331" s="123">
        <f>Y331</f>
        <v>0</v>
      </c>
      <c r="AG331" s="18">
        <v>20</v>
      </c>
      <c r="AH331" s="69" t="s">
        <v>291</v>
      </c>
      <c r="AI331" s="243" t="s">
        <v>157</v>
      </c>
      <c r="AJ331" s="243" t="s">
        <v>419</v>
      </c>
      <c r="AK331" s="246"/>
      <c r="AL331" s="43" t="str">
        <f t="shared" si="100"/>
        <v>-</v>
      </c>
      <c r="AM331" s="43">
        <f t="shared" si="88"/>
        <v>0</v>
      </c>
      <c r="AN331" s="193">
        <f t="shared" si="88"/>
        <v>0</v>
      </c>
      <c r="AO331" s="270" t="str">
        <f t="shared" si="89"/>
        <v>-</v>
      </c>
      <c r="AP331" s="266"/>
      <c r="AQ331" s="26" t="str">
        <f t="shared" si="96"/>
        <v>JORDAN RIVERChinook</v>
      </c>
      <c r="AR331" s="26">
        <f t="shared" si="90"/>
        <v>0</v>
      </c>
      <c r="AS331" s="33">
        <f t="shared" si="91"/>
        <v>0</v>
      </c>
      <c r="AX331" s="47" t="str">
        <f t="shared" si="92"/>
        <v>JORDAN RIVERChinook</v>
      </c>
      <c r="AY331" s="49">
        <f t="shared" si="93"/>
        <v>0</v>
      </c>
      <c r="AZ331" s="49">
        <f t="shared" si="94"/>
        <v>0</v>
      </c>
      <c r="BA331" s="31">
        <v>0</v>
      </c>
      <c r="BB331" s="188">
        <f t="shared" si="97"/>
        <v>0</v>
      </c>
      <c r="BC331" s="188" t="str">
        <f t="shared" si="101"/>
        <v xml:space="preserve"> </v>
      </c>
      <c r="BD331" s="188" t="str">
        <f t="shared" si="102"/>
        <v xml:space="preserve"> </v>
      </c>
      <c r="BE331" s="188" t="str">
        <f t="shared" si="103"/>
        <v xml:space="preserve"> </v>
      </c>
      <c r="BF331" s="50" t="str">
        <f t="shared" si="95"/>
        <v>JORDAN RIVER_Chinook</v>
      </c>
      <c r="BG331" s="50" t="str">
        <f>IFERROR(VLOOKUP(BF331,'[1]WCVI Esc'!$C$5:$W$514,18,FALSE),"-")</f>
        <v>-</v>
      </c>
      <c r="BH331" s="50" t="str">
        <f t="shared" si="98"/>
        <v>-</v>
      </c>
      <c r="BI331" s="50" t="str">
        <f>IFERROR(VLOOKUP(BF331,'[1]WCVI Esc'!$C$5:$W$514,19,FALSE),"-")</f>
        <v>-</v>
      </c>
      <c r="BJ331" s="50" t="str">
        <f t="shared" si="99"/>
        <v>-</v>
      </c>
      <c r="BL331" s="17" t="s">
        <v>370</v>
      </c>
      <c r="BN331" s="31">
        <v>1</v>
      </c>
    </row>
    <row r="332" spans="1:66" hidden="1" x14ac:dyDescent="0.2">
      <c r="A332" s="28">
        <v>4</v>
      </c>
      <c r="B332" s="28">
        <v>6</v>
      </c>
      <c r="C332" s="11">
        <v>20</v>
      </c>
      <c r="D332" s="13" t="s">
        <v>291</v>
      </c>
      <c r="E332" s="10" t="s">
        <v>157</v>
      </c>
      <c r="F332" s="10" t="s">
        <v>211</v>
      </c>
      <c r="G332" s="10"/>
      <c r="H332" s="152"/>
      <c r="I332" s="155"/>
      <c r="J332" s="106"/>
      <c r="K332" s="94"/>
      <c r="L332" s="180"/>
      <c r="M332" s="173"/>
      <c r="N332" s="106"/>
      <c r="O332" s="106"/>
      <c r="P332" s="63"/>
      <c r="Q332" s="190"/>
      <c r="R332" s="164"/>
      <c r="S332" s="62"/>
      <c r="T332" s="63"/>
      <c r="U332" s="62"/>
      <c r="V332" s="177"/>
      <c r="W332" s="171"/>
      <c r="X332" s="62"/>
      <c r="Y332" s="45"/>
      <c r="Z332" s="45"/>
      <c r="AA332" s="100"/>
      <c r="AB332" s="100"/>
      <c r="AC332" s="24"/>
      <c r="AD332" s="24"/>
      <c r="AE332" s="24"/>
      <c r="AF332" s="24"/>
      <c r="AG332" s="18">
        <v>20</v>
      </c>
      <c r="AH332" s="69" t="s">
        <v>291</v>
      </c>
      <c r="AI332" s="243" t="s">
        <v>157</v>
      </c>
      <c r="AJ332" s="243" t="s">
        <v>419</v>
      </c>
      <c r="AK332" s="246"/>
      <c r="AL332" s="43" t="str">
        <f t="shared" si="100"/>
        <v>-</v>
      </c>
      <c r="AM332" s="43">
        <f t="shared" si="88"/>
        <v>0</v>
      </c>
      <c r="AN332" s="193">
        <f t="shared" si="88"/>
        <v>0</v>
      </c>
      <c r="AO332" s="270" t="str">
        <f t="shared" si="89"/>
        <v>-</v>
      </c>
      <c r="AP332" s="266"/>
      <c r="AQ332" s="26" t="str">
        <f t="shared" si="96"/>
        <v>JORDAN RIVERSteelhead</v>
      </c>
      <c r="AR332" s="26">
        <f t="shared" si="90"/>
        <v>0</v>
      </c>
      <c r="AS332" s="33">
        <f t="shared" si="91"/>
        <v>0</v>
      </c>
      <c r="AX332" s="47" t="str">
        <f t="shared" si="92"/>
        <v>JORDAN RIVERSteelhead</v>
      </c>
      <c r="AY332" s="49">
        <f t="shared" si="93"/>
        <v>0</v>
      </c>
      <c r="AZ332" s="49">
        <f t="shared" si="94"/>
        <v>0</v>
      </c>
      <c r="BA332" s="31">
        <v>0</v>
      </c>
      <c r="BB332" s="188">
        <f t="shared" si="97"/>
        <v>0</v>
      </c>
      <c r="BC332" s="188" t="str">
        <f t="shared" si="101"/>
        <v xml:space="preserve"> </v>
      </c>
      <c r="BD332" s="188" t="str">
        <f t="shared" si="102"/>
        <v xml:space="preserve"> </v>
      </c>
      <c r="BE332" s="188" t="str">
        <f t="shared" si="103"/>
        <v xml:space="preserve"> </v>
      </c>
      <c r="BF332" s="50" t="str">
        <f t="shared" si="95"/>
        <v>JORDAN RIVER_Steelhead</v>
      </c>
      <c r="BG332" s="50" t="str">
        <f>IFERROR(VLOOKUP(BF332,'[1]WCVI Esc'!$C$5:$W$514,18,FALSE),"-")</f>
        <v>-</v>
      </c>
      <c r="BH332" s="50" t="str">
        <f t="shared" si="98"/>
        <v>-</v>
      </c>
      <c r="BI332" s="50" t="str">
        <f>IFERROR(VLOOKUP(BF332,'[1]WCVI Esc'!$C$5:$W$514,19,FALSE),"-")</f>
        <v>-</v>
      </c>
      <c r="BJ332" s="50" t="str">
        <f t="shared" si="99"/>
        <v>-</v>
      </c>
    </row>
    <row r="333" spans="1:66" hidden="1" x14ac:dyDescent="0.2">
      <c r="A333" s="28">
        <v>4</v>
      </c>
      <c r="B333" s="28">
        <v>1</v>
      </c>
      <c r="C333" s="11">
        <v>20</v>
      </c>
      <c r="D333" s="13" t="s">
        <v>303</v>
      </c>
      <c r="E333" s="10" t="s">
        <v>158</v>
      </c>
      <c r="F333" s="10" t="s">
        <v>207</v>
      </c>
      <c r="G333" s="10"/>
      <c r="H333" s="152"/>
      <c r="I333" s="164"/>
      <c r="J333" s="62"/>
      <c r="K333" s="62"/>
      <c r="L333" s="177"/>
      <c r="M333" s="171"/>
      <c r="N333" s="62"/>
      <c r="O333" s="62"/>
      <c r="P333" s="62"/>
      <c r="Q333" s="64"/>
      <c r="R333" s="164"/>
      <c r="S333" s="62"/>
      <c r="T333" s="62"/>
      <c r="U333" s="62"/>
      <c r="V333" s="177"/>
      <c r="W333" s="171"/>
      <c r="X333" s="62"/>
      <c r="Y333" s="45"/>
      <c r="Z333" s="45"/>
      <c r="AA333" s="100"/>
      <c r="AB333" s="100"/>
      <c r="AC333" s="24"/>
      <c r="AD333" s="24"/>
      <c r="AE333" s="24"/>
      <c r="AF333" s="24"/>
      <c r="AG333" s="18">
        <v>20</v>
      </c>
      <c r="AH333" s="69" t="s">
        <v>303</v>
      </c>
      <c r="AI333" s="243" t="s">
        <v>158</v>
      </c>
      <c r="AJ333" s="243" t="s">
        <v>419</v>
      </c>
      <c r="AK333" s="246"/>
      <c r="AL333" s="43" t="str">
        <f t="shared" si="100"/>
        <v>-</v>
      </c>
      <c r="AM333" s="43">
        <f t="shared" si="88"/>
        <v>0</v>
      </c>
      <c r="AN333" s="193">
        <f t="shared" si="88"/>
        <v>0</v>
      </c>
      <c r="AO333" s="270" t="str">
        <f t="shared" si="89"/>
        <v>-</v>
      </c>
      <c r="AP333" s="266"/>
      <c r="AQ333" s="26" t="str">
        <f t="shared" si="96"/>
        <v>KING CREEKSockeye</v>
      </c>
      <c r="AR333" s="26">
        <f t="shared" si="90"/>
        <v>0</v>
      </c>
      <c r="AS333" s="33">
        <f t="shared" si="91"/>
        <v>0</v>
      </c>
      <c r="AX333" s="47" t="str">
        <f t="shared" si="92"/>
        <v>KING CREEKSockeye</v>
      </c>
      <c r="AY333" s="49">
        <f t="shared" si="93"/>
        <v>0</v>
      </c>
      <c r="AZ333" s="49">
        <f t="shared" si="94"/>
        <v>0</v>
      </c>
      <c r="BA333" s="31">
        <v>0</v>
      </c>
      <c r="BB333" s="188">
        <f t="shared" si="97"/>
        <v>0</v>
      </c>
      <c r="BC333" s="188" t="str">
        <f t="shared" si="101"/>
        <v xml:space="preserve"> </v>
      </c>
      <c r="BD333" s="188" t="str">
        <f t="shared" si="102"/>
        <v xml:space="preserve"> </v>
      </c>
      <c r="BE333" s="188" t="str">
        <f t="shared" si="103"/>
        <v xml:space="preserve"> </v>
      </c>
      <c r="BF333" s="50" t="str">
        <f t="shared" si="95"/>
        <v>KING CREEK_Sockeye</v>
      </c>
      <c r="BG333" s="50" t="str">
        <f>IFERROR(VLOOKUP(BF333,'[1]WCVI Esc'!$C$5:$W$514,18,FALSE),"-")</f>
        <v>-</v>
      </c>
      <c r="BH333" s="50" t="str">
        <f t="shared" si="98"/>
        <v>-</v>
      </c>
      <c r="BI333" s="50" t="str">
        <f>IFERROR(VLOOKUP(BF333,'[1]WCVI Esc'!$C$5:$W$514,19,FALSE),"-")</f>
        <v>-</v>
      </c>
      <c r="BJ333" s="50" t="str">
        <f t="shared" si="99"/>
        <v>-</v>
      </c>
    </row>
    <row r="334" spans="1:66" hidden="1" x14ac:dyDescent="0.2">
      <c r="A334" s="28">
        <v>4</v>
      </c>
      <c r="B334" s="28">
        <v>2</v>
      </c>
      <c r="C334" s="11">
        <v>20</v>
      </c>
      <c r="D334" s="13" t="s">
        <v>303</v>
      </c>
      <c r="E334" s="10" t="s">
        <v>158</v>
      </c>
      <c r="F334" s="10" t="s">
        <v>219</v>
      </c>
      <c r="G334" s="10"/>
      <c r="H334" s="152"/>
      <c r="I334" s="164"/>
      <c r="J334" s="62"/>
      <c r="K334" s="62"/>
      <c r="L334" s="177"/>
      <c r="M334" s="171"/>
      <c r="N334" s="62"/>
      <c r="O334" s="62"/>
      <c r="P334" s="62"/>
      <c r="Q334" s="64"/>
      <c r="R334" s="164"/>
      <c r="S334" s="62"/>
      <c r="T334" s="62"/>
      <c r="U334" s="62"/>
      <c r="V334" s="177"/>
      <c r="W334" s="171"/>
      <c r="X334" s="62"/>
      <c r="Y334" s="45"/>
      <c r="Z334" s="45"/>
      <c r="AA334" s="100"/>
      <c r="AB334" s="100"/>
      <c r="AC334" s="24"/>
      <c r="AD334" s="24"/>
      <c r="AE334" s="24"/>
      <c r="AF334" s="24"/>
      <c r="AG334" s="18">
        <v>20</v>
      </c>
      <c r="AH334" s="69" t="s">
        <v>303</v>
      </c>
      <c r="AI334" s="243" t="s">
        <v>158</v>
      </c>
      <c r="AJ334" s="243" t="s">
        <v>419</v>
      </c>
      <c r="AK334" s="246"/>
      <c r="AL334" s="43" t="str">
        <f t="shared" si="100"/>
        <v>-</v>
      </c>
      <c r="AM334" s="43">
        <f t="shared" si="88"/>
        <v>0</v>
      </c>
      <c r="AN334" s="193">
        <f t="shared" si="88"/>
        <v>0</v>
      </c>
      <c r="AO334" s="270" t="str">
        <f t="shared" si="89"/>
        <v>-</v>
      </c>
      <c r="AP334" s="266"/>
      <c r="AQ334" s="26" t="str">
        <f t="shared" si="96"/>
        <v>KING CREEKCoho</v>
      </c>
      <c r="AR334" s="26">
        <f t="shared" si="90"/>
        <v>0</v>
      </c>
      <c r="AS334" s="33">
        <f t="shared" si="91"/>
        <v>0</v>
      </c>
      <c r="AX334" s="47" t="str">
        <f t="shared" si="92"/>
        <v>KING CREEKCoho</v>
      </c>
      <c r="AY334" s="49">
        <f t="shared" si="93"/>
        <v>0</v>
      </c>
      <c r="AZ334" s="49">
        <f t="shared" si="94"/>
        <v>0</v>
      </c>
      <c r="BA334" s="31">
        <v>0</v>
      </c>
      <c r="BB334" s="188">
        <f t="shared" si="97"/>
        <v>0</v>
      </c>
      <c r="BC334" s="188" t="str">
        <f t="shared" si="101"/>
        <v xml:space="preserve"> </v>
      </c>
      <c r="BD334" s="188" t="str">
        <f t="shared" si="102"/>
        <v xml:space="preserve"> </v>
      </c>
      <c r="BE334" s="188" t="str">
        <f t="shared" si="103"/>
        <v xml:space="preserve"> </v>
      </c>
      <c r="BF334" s="50" t="str">
        <f t="shared" si="95"/>
        <v>KING CREEK_Coho</v>
      </c>
      <c r="BG334" s="50" t="str">
        <f>IFERROR(VLOOKUP(BF334,'[1]WCVI Esc'!$C$5:$W$514,18,FALSE),"-")</f>
        <v>-</v>
      </c>
      <c r="BH334" s="50" t="str">
        <f t="shared" si="98"/>
        <v>-</v>
      </c>
      <c r="BI334" s="50" t="str">
        <f>IFERROR(VLOOKUP(BF334,'[1]WCVI Esc'!$C$5:$W$514,19,FALSE),"-")</f>
        <v>-</v>
      </c>
      <c r="BJ334" s="50" t="str">
        <f t="shared" si="99"/>
        <v>-</v>
      </c>
    </row>
    <row r="335" spans="1:66" hidden="1" x14ac:dyDescent="0.2">
      <c r="A335" s="28">
        <v>4</v>
      </c>
      <c r="B335" s="28">
        <v>3</v>
      </c>
      <c r="C335" s="11">
        <v>20</v>
      </c>
      <c r="D335" s="13" t="s">
        <v>303</v>
      </c>
      <c r="E335" s="10" t="s">
        <v>158</v>
      </c>
      <c r="F335" s="10" t="s">
        <v>208</v>
      </c>
      <c r="G335" s="10"/>
      <c r="H335" s="152"/>
      <c r="I335" s="164"/>
      <c r="J335" s="62"/>
      <c r="K335" s="62"/>
      <c r="L335" s="177"/>
      <c r="M335" s="171"/>
      <c r="N335" s="62"/>
      <c r="O335" s="62"/>
      <c r="P335" s="62"/>
      <c r="Q335" s="64"/>
      <c r="R335" s="164"/>
      <c r="S335" s="62"/>
      <c r="T335" s="62"/>
      <c r="U335" s="62"/>
      <c r="V335" s="177"/>
      <c r="W335" s="171"/>
      <c r="X335" s="62"/>
      <c r="Y335" s="45"/>
      <c r="Z335" s="45"/>
      <c r="AA335" s="100"/>
      <c r="AB335" s="100"/>
      <c r="AC335" s="24"/>
      <c r="AD335" s="24"/>
      <c r="AE335" s="24"/>
      <c r="AF335" s="24"/>
      <c r="AG335" s="18">
        <v>20</v>
      </c>
      <c r="AH335" s="69" t="s">
        <v>303</v>
      </c>
      <c r="AI335" s="243" t="s">
        <v>158</v>
      </c>
      <c r="AJ335" s="243" t="s">
        <v>419</v>
      </c>
      <c r="AK335" s="246"/>
      <c r="AL335" s="43" t="str">
        <f t="shared" si="100"/>
        <v>-</v>
      </c>
      <c r="AM335" s="43">
        <f t="shared" si="88"/>
        <v>0</v>
      </c>
      <c r="AN335" s="193">
        <f t="shared" si="88"/>
        <v>0</v>
      </c>
      <c r="AO335" s="270" t="str">
        <f t="shared" si="89"/>
        <v>-</v>
      </c>
      <c r="AP335" s="266"/>
      <c r="AQ335" s="26" t="str">
        <f t="shared" si="96"/>
        <v>KING CREEKPink</v>
      </c>
      <c r="AR335" s="26">
        <f t="shared" si="90"/>
        <v>0</v>
      </c>
      <c r="AS335" s="33">
        <f t="shared" si="91"/>
        <v>0</v>
      </c>
      <c r="AX335" s="47" t="str">
        <f t="shared" si="92"/>
        <v>KING CREEKPink</v>
      </c>
      <c r="AY335" s="49">
        <f t="shared" si="93"/>
        <v>0</v>
      </c>
      <c r="AZ335" s="49">
        <f t="shared" si="94"/>
        <v>0</v>
      </c>
      <c r="BA335" s="31">
        <v>0</v>
      </c>
      <c r="BB335" s="188">
        <f t="shared" si="97"/>
        <v>0</v>
      </c>
      <c r="BC335" s="188" t="str">
        <f t="shared" si="101"/>
        <v xml:space="preserve"> </v>
      </c>
      <c r="BD335" s="188" t="str">
        <f t="shared" si="102"/>
        <v xml:space="preserve"> </v>
      </c>
      <c r="BE335" s="188" t="str">
        <f t="shared" si="103"/>
        <v xml:space="preserve"> </v>
      </c>
      <c r="BF335" s="50" t="str">
        <f t="shared" si="95"/>
        <v>KING CREEK_Pink</v>
      </c>
      <c r="BG335" s="50" t="str">
        <f>IFERROR(VLOOKUP(BF335,'[1]WCVI Esc'!$C$5:$W$514,18,FALSE),"-")</f>
        <v>-</v>
      </c>
      <c r="BH335" s="50" t="str">
        <f t="shared" si="98"/>
        <v>-</v>
      </c>
      <c r="BI335" s="50" t="str">
        <f>IFERROR(VLOOKUP(BF335,'[1]WCVI Esc'!$C$5:$W$514,19,FALSE),"-")</f>
        <v>-</v>
      </c>
      <c r="BJ335" s="50" t="str">
        <f t="shared" si="99"/>
        <v>-</v>
      </c>
    </row>
    <row r="336" spans="1:66" hidden="1" x14ac:dyDescent="0.2">
      <c r="A336" s="28">
        <v>4</v>
      </c>
      <c r="B336" s="28">
        <v>4</v>
      </c>
      <c r="C336" s="11">
        <v>20</v>
      </c>
      <c r="D336" s="13" t="s">
        <v>303</v>
      </c>
      <c r="E336" s="10" t="s">
        <v>158</v>
      </c>
      <c r="F336" s="10" t="s">
        <v>209</v>
      </c>
      <c r="G336" s="10"/>
      <c r="H336" s="152"/>
      <c r="I336" s="164"/>
      <c r="J336" s="62"/>
      <c r="K336" s="62"/>
      <c r="L336" s="177"/>
      <c r="M336" s="171"/>
      <c r="N336" s="62"/>
      <c r="O336" s="62"/>
      <c r="P336" s="62"/>
      <c r="Q336" s="64"/>
      <c r="R336" s="164"/>
      <c r="S336" s="62"/>
      <c r="T336" s="62"/>
      <c r="U336" s="62"/>
      <c r="V336" s="177"/>
      <c r="W336" s="171"/>
      <c r="X336" s="62"/>
      <c r="Y336" s="45"/>
      <c r="Z336" s="45"/>
      <c r="AA336" s="100"/>
      <c r="AB336" s="100"/>
      <c r="AC336" s="24"/>
      <c r="AD336" s="24"/>
      <c r="AE336" s="24"/>
      <c r="AF336" s="24"/>
      <c r="AG336" s="18">
        <v>20</v>
      </c>
      <c r="AH336" s="69" t="s">
        <v>303</v>
      </c>
      <c r="AI336" s="243" t="s">
        <v>158</v>
      </c>
      <c r="AJ336" s="243" t="s">
        <v>419</v>
      </c>
      <c r="AK336" s="246"/>
      <c r="AL336" s="43" t="str">
        <f t="shared" si="100"/>
        <v>-</v>
      </c>
      <c r="AM336" s="43">
        <f t="shared" si="88"/>
        <v>0</v>
      </c>
      <c r="AN336" s="193">
        <f t="shared" si="88"/>
        <v>0</v>
      </c>
      <c r="AO336" s="270" t="str">
        <f t="shared" si="89"/>
        <v>-</v>
      </c>
      <c r="AP336" s="266"/>
      <c r="AQ336" s="26" t="str">
        <f t="shared" si="96"/>
        <v>KING CREEKChum</v>
      </c>
      <c r="AR336" s="26">
        <f t="shared" si="90"/>
        <v>0</v>
      </c>
      <c r="AS336" s="33">
        <f t="shared" si="91"/>
        <v>0</v>
      </c>
      <c r="AX336" s="47" t="str">
        <f t="shared" si="92"/>
        <v>KING CREEKChum</v>
      </c>
      <c r="AY336" s="49">
        <f t="shared" si="93"/>
        <v>0</v>
      </c>
      <c r="AZ336" s="49">
        <f t="shared" si="94"/>
        <v>0</v>
      </c>
      <c r="BA336" s="31">
        <v>0</v>
      </c>
      <c r="BB336" s="188">
        <f t="shared" si="97"/>
        <v>0</v>
      </c>
      <c r="BC336" s="188" t="str">
        <f t="shared" si="101"/>
        <v xml:space="preserve"> </v>
      </c>
      <c r="BD336" s="188" t="str">
        <f t="shared" si="102"/>
        <v xml:space="preserve"> </v>
      </c>
      <c r="BE336" s="188" t="str">
        <f t="shared" si="103"/>
        <v xml:space="preserve"> </v>
      </c>
      <c r="BF336" s="50" t="str">
        <f t="shared" si="95"/>
        <v>KING CREEK_Chum</v>
      </c>
      <c r="BG336" s="50" t="str">
        <f>IFERROR(VLOOKUP(BF336,'[1]WCVI Esc'!$C$5:$W$514,18,FALSE),"-")</f>
        <v>-</v>
      </c>
      <c r="BH336" s="50" t="str">
        <f t="shared" si="98"/>
        <v>-</v>
      </c>
      <c r="BI336" s="50" t="str">
        <f>IFERROR(VLOOKUP(BF336,'[1]WCVI Esc'!$C$5:$W$514,19,FALSE),"-")</f>
        <v>-</v>
      </c>
      <c r="BJ336" s="50" t="str">
        <f t="shared" si="99"/>
        <v>-</v>
      </c>
    </row>
    <row r="337" spans="1:62" hidden="1" x14ac:dyDescent="0.2">
      <c r="A337" s="28">
        <v>4</v>
      </c>
      <c r="B337" s="28">
        <v>5</v>
      </c>
      <c r="C337" s="11">
        <v>20</v>
      </c>
      <c r="D337" s="13" t="s">
        <v>303</v>
      </c>
      <c r="E337" s="10" t="s">
        <v>158</v>
      </c>
      <c r="F337" s="10" t="s">
        <v>210</v>
      </c>
      <c r="G337" s="10"/>
      <c r="H337" s="152"/>
      <c r="I337" s="164"/>
      <c r="J337" s="62"/>
      <c r="K337" s="62"/>
      <c r="L337" s="177"/>
      <c r="M337" s="171"/>
      <c r="N337" s="62"/>
      <c r="O337" s="62"/>
      <c r="P337" s="62"/>
      <c r="Q337" s="64"/>
      <c r="R337" s="164"/>
      <c r="S337" s="62"/>
      <c r="T337" s="62"/>
      <c r="U337" s="62"/>
      <c r="V337" s="177"/>
      <c r="W337" s="171"/>
      <c r="X337" s="62"/>
      <c r="Y337" s="45"/>
      <c r="Z337" s="45"/>
      <c r="AA337" s="100"/>
      <c r="AB337" s="100"/>
      <c r="AC337" s="24"/>
      <c r="AD337" s="24"/>
      <c r="AE337" s="24"/>
      <c r="AF337" s="24"/>
      <c r="AG337" s="18">
        <v>20</v>
      </c>
      <c r="AH337" s="69" t="s">
        <v>303</v>
      </c>
      <c r="AI337" s="243" t="s">
        <v>158</v>
      </c>
      <c r="AJ337" s="243" t="s">
        <v>419</v>
      </c>
      <c r="AK337" s="246"/>
      <c r="AL337" s="43" t="str">
        <f t="shared" si="100"/>
        <v>-</v>
      </c>
      <c r="AM337" s="43">
        <f t="shared" si="88"/>
        <v>0</v>
      </c>
      <c r="AN337" s="193">
        <f t="shared" si="88"/>
        <v>0</v>
      </c>
      <c r="AO337" s="270" t="str">
        <f t="shared" si="89"/>
        <v>-</v>
      </c>
      <c r="AP337" s="266"/>
      <c r="AQ337" s="26" t="str">
        <f t="shared" si="96"/>
        <v>KING CREEKChinook</v>
      </c>
      <c r="AR337" s="26">
        <f t="shared" si="90"/>
        <v>0</v>
      </c>
      <c r="AS337" s="33">
        <f t="shared" si="91"/>
        <v>0</v>
      </c>
      <c r="AX337" s="47" t="str">
        <f t="shared" si="92"/>
        <v>KING CREEKChinook</v>
      </c>
      <c r="AY337" s="49">
        <f t="shared" si="93"/>
        <v>0</v>
      </c>
      <c r="AZ337" s="49">
        <f t="shared" si="94"/>
        <v>0</v>
      </c>
      <c r="BA337" s="31">
        <v>0</v>
      </c>
      <c r="BB337" s="188">
        <f t="shared" si="97"/>
        <v>0</v>
      </c>
      <c r="BC337" s="188" t="str">
        <f t="shared" si="101"/>
        <v xml:space="preserve"> </v>
      </c>
      <c r="BD337" s="188" t="str">
        <f t="shared" si="102"/>
        <v xml:space="preserve"> </v>
      </c>
      <c r="BE337" s="188" t="str">
        <f t="shared" si="103"/>
        <v xml:space="preserve"> </v>
      </c>
      <c r="BF337" s="50" t="str">
        <f t="shared" si="95"/>
        <v>KING CREEK_Chinook</v>
      </c>
      <c r="BG337" s="50" t="str">
        <f>IFERROR(VLOOKUP(BF337,'[1]WCVI Esc'!$C$5:$W$514,18,FALSE),"-")</f>
        <v>-</v>
      </c>
      <c r="BH337" s="50" t="str">
        <f t="shared" si="98"/>
        <v>-</v>
      </c>
      <c r="BI337" s="50" t="str">
        <f>IFERROR(VLOOKUP(BF337,'[1]WCVI Esc'!$C$5:$W$514,19,FALSE),"-")</f>
        <v>-</v>
      </c>
      <c r="BJ337" s="50" t="str">
        <f t="shared" si="99"/>
        <v>-</v>
      </c>
    </row>
    <row r="338" spans="1:62" hidden="1" x14ac:dyDescent="0.2">
      <c r="A338" s="28">
        <v>4</v>
      </c>
      <c r="B338" s="28">
        <v>6</v>
      </c>
      <c r="C338" s="11">
        <v>20</v>
      </c>
      <c r="D338" s="13" t="s">
        <v>303</v>
      </c>
      <c r="E338" s="10" t="s">
        <v>158</v>
      </c>
      <c r="F338" s="10" t="s">
        <v>211</v>
      </c>
      <c r="G338" s="10"/>
      <c r="H338" s="152"/>
      <c r="I338" s="164"/>
      <c r="J338" s="62"/>
      <c r="K338" s="62"/>
      <c r="L338" s="177"/>
      <c r="M338" s="171"/>
      <c r="N338" s="62"/>
      <c r="O338" s="62"/>
      <c r="P338" s="62"/>
      <c r="Q338" s="64"/>
      <c r="R338" s="164"/>
      <c r="S338" s="62"/>
      <c r="T338" s="62"/>
      <c r="U338" s="62"/>
      <c r="V338" s="177"/>
      <c r="W338" s="171"/>
      <c r="X338" s="62"/>
      <c r="Y338" s="45"/>
      <c r="Z338" s="45"/>
      <c r="AA338" s="100"/>
      <c r="AB338" s="100"/>
      <c r="AC338" s="24"/>
      <c r="AD338" s="24"/>
      <c r="AE338" s="24"/>
      <c r="AF338" s="24"/>
      <c r="AG338" s="18">
        <v>20</v>
      </c>
      <c r="AH338" s="69" t="s">
        <v>303</v>
      </c>
      <c r="AI338" s="243" t="s">
        <v>158</v>
      </c>
      <c r="AJ338" s="243" t="s">
        <v>419</v>
      </c>
      <c r="AK338" s="246"/>
      <c r="AL338" s="43" t="str">
        <f t="shared" si="100"/>
        <v>-</v>
      </c>
      <c r="AM338" s="43">
        <f t="shared" si="88"/>
        <v>0</v>
      </c>
      <c r="AN338" s="193">
        <f t="shared" si="88"/>
        <v>0</v>
      </c>
      <c r="AO338" s="270" t="str">
        <f t="shared" si="89"/>
        <v>-</v>
      </c>
      <c r="AP338" s="266"/>
      <c r="AQ338" s="26" t="str">
        <f t="shared" si="96"/>
        <v>KING CREEKSteelhead</v>
      </c>
      <c r="AR338" s="26">
        <f t="shared" si="90"/>
        <v>0</v>
      </c>
      <c r="AS338" s="33">
        <f t="shared" si="91"/>
        <v>0</v>
      </c>
      <c r="AX338" s="47" t="str">
        <f t="shared" si="92"/>
        <v>KING CREEKSteelhead</v>
      </c>
      <c r="AY338" s="49">
        <f t="shared" si="93"/>
        <v>0</v>
      </c>
      <c r="AZ338" s="49">
        <f t="shared" si="94"/>
        <v>0</v>
      </c>
      <c r="BA338" s="31">
        <v>0</v>
      </c>
      <c r="BB338" s="188">
        <f t="shared" si="97"/>
        <v>0</v>
      </c>
      <c r="BC338" s="188" t="str">
        <f t="shared" si="101"/>
        <v xml:space="preserve"> </v>
      </c>
      <c r="BD338" s="188" t="str">
        <f t="shared" si="102"/>
        <v xml:space="preserve"> </v>
      </c>
      <c r="BE338" s="188" t="str">
        <f t="shared" si="103"/>
        <v xml:space="preserve"> </v>
      </c>
      <c r="BF338" s="50" t="str">
        <f t="shared" si="95"/>
        <v>KING CREEK_Steelhead</v>
      </c>
      <c r="BG338" s="50" t="str">
        <f>IFERROR(VLOOKUP(BF338,'[1]WCVI Esc'!$C$5:$W$514,18,FALSE),"-")</f>
        <v>-</v>
      </c>
      <c r="BH338" s="50" t="str">
        <f t="shared" si="98"/>
        <v>-</v>
      </c>
      <c r="BI338" s="50" t="str">
        <f>IFERROR(VLOOKUP(BF338,'[1]WCVI Esc'!$C$5:$W$514,19,FALSE),"-")</f>
        <v>-</v>
      </c>
      <c r="BJ338" s="50" t="str">
        <f t="shared" si="99"/>
        <v>-</v>
      </c>
    </row>
    <row r="339" spans="1:62" hidden="1" x14ac:dyDescent="0.2">
      <c r="A339" s="28">
        <v>4</v>
      </c>
      <c r="B339" s="28">
        <v>1</v>
      </c>
      <c r="C339" s="11">
        <v>20</v>
      </c>
      <c r="D339" s="13" t="s">
        <v>303</v>
      </c>
      <c r="E339" s="10" t="s">
        <v>19</v>
      </c>
      <c r="F339" s="10" t="s">
        <v>207</v>
      </c>
      <c r="G339" s="10"/>
      <c r="H339" s="152"/>
      <c r="I339" s="164"/>
      <c r="J339" s="62"/>
      <c r="K339" s="62"/>
      <c r="L339" s="177"/>
      <c r="M339" s="171"/>
      <c r="N339" s="62"/>
      <c r="O339" s="62"/>
      <c r="P339" s="62"/>
      <c r="Q339" s="64"/>
      <c r="R339" s="164"/>
      <c r="S339" s="62"/>
      <c r="T339" s="62"/>
      <c r="U339" s="62"/>
      <c r="V339" s="177"/>
      <c r="W339" s="171"/>
      <c r="X339" s="62"/>
      <c r="Y339" s="45"/>
      <c r="Z339" s="45"/>
      <c r="AA339" s="100"/>
      <c r="AB339" s="100"/>
      <c r="AC339" s="24"/>
      <c r="AD339" s="24"/>
      <c r="AE339" s="24"/>
      <c r="AF339" s="24"/>
      <c r="AG339" s="18">
        <v>20</v>
      </c>
      <c r="AH339" s="69" t="s">
        <v>303</v>
      </c>
      <c r="AI339" s="243" t="s">
        <v>19</v>
      </c>
      <c r="AJ339" s="243" t="s">
        <v>419</v>
      </c>
      <c r="AK339" s="246"/>
      <c r="AL339" s="43" t="str">
        <f t="shared" si="100"/>
        <v>-</v>
      </c>
      <c r="AM339" s="43">
        <f t="shared" si="88"/>
        <v>0</v>
      </c>
      <c r="AN339" s="193">
        <f t="shared" si="88"/>
        <v>0</v>
      </c>
      <c r="AO339" s="270" t="str">
        <f t="shared" si="89"/>
        <v>-</v>
      </c>
      <c r="AP339" s="266"/>
      <c r="AQ339" s="26" t="str">
        <f t="shared" si="96"/>
        <v>KIRBY CREEKSockeye</v>
      </c>
      <c r="AR339" s="26">
        <f t="shared" si="90"/>
        <v>0</v>
      </c>
      <c r="AS339" s="33">
        <f t="shared" si="91"/>
        <v>0</v>
      </c>
      <c r="AX339" s="47" t="str">
        <f t="shared" si="92"/>
        <v>KIRBY CREEKSockeye</v>
      </c>
      <c r="AY339" s="49">
        <f t="shared" si="93"/>
        <v>0</v>
      </c>
      <c r="AZ339" s="49">
        <f t="shared" si="94"/>
        <v>0</v>
      </c>
      <c r="BA339" s="31">
        <v>0</v>
      </c>
      <c r="BB339" s="188">
        <f t="shared" si="97"/>
        <v>0</v>
      </c>
      <c r="BC339" s="188" t="str">
        <f t="shared" si="101"/>
        <v xml:space="preserve"> </v>
      </c>
      <c r="BD339" s="188" t="str">
        <f t="shared" si="102"/>
        <v xml:space="preserve"> </v>
      </c>
      <c r="BE339" s="188" t="str">
        <f t="shared" si="103"/>
        <v xml:space="preserve"> </v>
      </c>
      <c r="BF339" s="50" t="str">
        <f t="shared" si="95"/>
        <v>KIRBY CREEK_Sockeye</v>
      </c>
      <c r="BG339" s="50" t="str">
        <f>IFERROR(VLOOKUP(BF339,'[1]WCVI Esc'!$C$5:$W$514,18,FALSE),"-")</f>
        <v>-</v>
      </c>
      <c r="BH339" s="50" t="str">
        <f t="shared" si="98"/>
        <v>-</v>
      </c>
      <c r="BI339" s="50" t="str">
        <f>IFERROR(VLOOKUP(BF339,'[1]WCVI Esc'!$C$5:$W$514,19,FALSE),"-")</f>
        <v>-</v>
      </c>
      <c r="BJ339" s="50" t="str">
        <f t="shared" si="99"/>
        <v>-</v>
      </c>
    </row>
    <row r="340" spans="1:62" hidden="1" x14ac:dyDescent="0.2">
      <c r="A340" s="28">
        <v>4</v>
      </c>
      <c r="B340" s="28">
        <v>2</v>
      </c>
      <c r="C340" s="11">
        <v>20</v>
      </c>
      <c r="D340" s="13" t="s">
        <v>303</v>
      </c>
      <c r="E340" s="10" t="s">
        <v>19</v>
      </c>
      <c r="F340" s="10" t="s">
        <v>219</v>
      </c>
      <c r="G340" s="10"/>
      <c r="H340" s="152"/>
      <c r="I340" s="164"/>
      <c r="J340" s="62"/>
      <c r="K340" s="62"/>
      <c r="L340" s="177"/>
      <c r="M340" s="171"/>
      <c r="N340" s="62"/>
      <c r="O340" s="62"/>
      <c r="P340" s="62"/>
      <c r="Q340" s="64"/>
      <c r="R340" s="164"/>
      <c r="S340" s="62"/>
      <c r="T340" s="62"/>
      <c r="U340" s="62"/>
      <c r="V340" s="177"/>
      <c r="W340" s="171"/>
      <c r="X340" s="62"/>
      <c r="Y340" s="45"/>
      <c r="Z340" s="45"/>
      <c r="AA340" s="100"/>
      <c r="AB340" s="100"/>
      <c r="AC340" s="24"/>
      <c r="AD340" s="24"/>
      <c r="AE340" s="24"/>
      <c r="AF340" s="24"/>
      <c r="AG340" s="18">
        <v>20</v>
      </c>
      <c r="AH340" s="69" t="s">
        <v>303</v>
      </c>
      <c r="AI340" s="243" t="s">
        <v>19</v>
      </c>
      <c r="AJ340" s="243" t="s">
        <v>419</v>
      </c>
      <c r="AK340" s="246"/>
      <c r="AL340" s="43" t="str">
        <f t="shared" si="100"/>
        <v>-</v>
      </c>
      <c r="AM340" s="43">
        <f t="shared" si="88"/>
        <v>0</v>
      </c>
      <c r="AN340" s="193">
        <f t="shared" si="88"/>
        <v>0</v>
      </c>
      <c r="AO340" s="270" t="str">
        <f t="shared" si="89"/>
        <v>-</v>
      </c>
      <c r="AP340" s="266"/>
      <c r="AQ340" s="26" t="str">
        <f t="shared" si="96"/>
        <v>KIRBY CREEKCoho</v>
      </c>
      <c r="AR340" s="26">
        <f t="shared" si="90"/>
        <v>0</v>
      </c>
      <c r="AS340" s="33">
        <f t="shared" si="91"/>
        <v>0</v>
      </c>
      <c r="AX340" s="47" t="str">
        <f t="shared" si="92"/>
        <v>KIRBY CREEKCoho</v>
      </c>
      <c r="AY340" s="49">
        <f t="shared" si="93"/>
        <v>0</v>
      </c>
      <c r="AZ340" s="49">
        <f t="shared" si="94"/>
        <v>0</v>
      </c>
      <c r="BA340" s="31">
        <v>0</v>
      </c>
      <c r="BB340" s="188">
        <f t="shared" si="97"/>
        <v>0</v>
      </c>
      <c r="BC340" s="188" t="str">
        <f t="shared" si="101"/>
        <v xml:space="preserve"> </v>
      </c>
      <c r="BD340" s="188" t="str">
        <f t="shared" si="102"/>
        <v xml:space="preserve"> </v>
      </c>
      <c r="BE340" s="188" t="str">
        <f t="shared" si="103"/>
        <v xml:space="preserve"> </v>
      </c>
      <c r="BF340" s="50" t="str">
        <f t="shared" si="95"/>
        <v>KIRBY CREEK_Coho</v>
      </c>
      <c r="BG340" s="50" t="str">
        <f>IFERROR(VLOOKUP(BF340,'[1]WCVI Esc'!$C$5:$W$514,18,FALSE),"-")</f>
        <v>-</v>
      </c>
      <c r="BH340" s="50" t="str">
        <f t="shared" si="98"/>
        <v>-</v>
      </c>
      <c r="BI340" s="50" t="str">
        <f>IFERROR(VLOOKUP(BF340,'[1]WCVI Esc'!$C$5:$W$514,19,FALSE),"-")</f>
        <v>-</v>
      </c>
      <c r="BJ340" s="50" t="str">
        <f t="shared" si="99"/>
        <v>-</v>
      </c>
    </row>
    <row r="341" spans="1:62" hidden="1" x14ac:dyDescent="0.2">
      <c r="A341" s="28">
        <v>4</v>
      </c>
      <c r="B341" s="28">
        <v>3</v>
      </c>
      <c r="C341" s="11">
        <v>20</v>
      </c>
      <c r="D341" s="13" t="s">
        <v>303</v>
      </c>
      <c r="E341" s="10" t="s">
        <v>19</v>
      </c>
      <c r="F341" s="10" t="s">
        <v>208</v>
      </c>
      <c r="G341" s="10"/>
      <c r="H341" s="152"/>
      <c r="I341" s="164"/>
      <c r="J341" s="62"/>
      <c r="K341" s="62"/>
      <c r="L341" s="177"/>
      <c r="M341" s="171"/>
      <c r="N341" s="62"/>
      <c r="O341" s="62"/>
      <c r="P341" s="62"/>
      <c r="Q341" s="64"/>
      <c r="R341" s="164"/>
      <c r="S341" s="62"/>
      <c r="T341" s="62"/>
      <c r="U341" s="62"/>
      <c r="V341" s="177"/>
      <c r="W341" s="171"/>
      <c r="X341" s="62"/>
      <c r="Y341" s="45"/>
      <c r="Z341" s="45"/>
      <c r="AA341" s="100"/>
      <c r="AB341" s="100"/>
      <c r="AC341" s="24"/>
      <c r="AD341" s="24"/>
      <c r="AE341" s="24"/>
      <c r="AF341" s="24"/>
      <c r="AG341" s="18">
        <v>20</v>
      </c>
      <c r="AH341" s="69" t="s">
        <v>303</v>
      </c>
      <c r="AI341" s="243" t="s">
        <v>19</v>
      </c>
      <c r="AJ341" s="243" t="s">
        <v>419</v>
      </c>
      <c r="AK341" s="246"/>
      <c r="AL341" s="43" t="str">
        <f t="shared" si="100"/>
        <v>-</v>
      </c>
      <c r="AM341" s="43">
        <f t="shared" si="88"/>
        <v>0</v>
      </c>
      <c r="AN341" s="193">
        <f t="shared" si="88"/>
        <v>0</v>
      </c>
      <c r="AO341" s="270" t="str">
        <f t="shared" si="89"/>
        <v>-</v>
      </c>
      <c r="AP341" s="266"/>
      <c r="AQ341" s="26" t="str">
        <f t="shared" si="96"/>
        <v>KIRBY CREEKPink</v>
      </c>
      <c r="AR341" s="26">
        <f t="shared" si="90"/>
        <v>0</v>
      </c>
      <c r="AS341" s="33">
        <f t="shared" si="91"/>
        <v>0</v>
      </c>
      <c r="AX341" s="47" t="str">
        <f t="shared" si="92"/>
        <v>KIRBY CREEKPink</v>
      </c>
      <c r="AY341" s="49">
        <f t="shared" si="93"/>
        <v>0</v>
      </c>
      <c r="AZ341" s="49">
        <f t="shared" si="94"/>
        <v>0</v>
      </c>
      <c r="BA341" s="31">
        <v>0</v>
      </c>
      <c r="BB341" s="188">
        <f t="shared" si="97"/>
        <v>0</v>
      </c>
      <c r="BC341" s="188" t="str">
        <f t="shared" si="101"/>
        <v xml:space="preserve"> </v>
      </c>
      <c r="BD341" s="188" t="str">
        <f t="shared" si="102"/>
        <v xml:space="preserve"> </v>
      </c>
      <c r="BE341" s="188" t="str">
        <f t="shared" si="103"/>
        <v xml:space="preserve"> </v>
      </c>
      <c r="BF341" s="50" t="str">
        <f t="shared" si="95"/>
        <v>KIRBY CREEK_Pink</v>
      </c>
      <c r="BG341" s="50" t="str">
        <f>IFERROR(VLOOKUP(BF341,'[1]WCVI Esc'!$C$5:$W$514,18,FALSE),"-")</f>
        <v>-</v>
      </c>
      <c r="BH341" s="50" t="str">
        <f t="shared" si="98"/>
        <v>-</v>
      </c>
      <c r="BI341" s="50" t="str">
        <f>IFERROR(VLOOKUP(BF341,'[1]WCVI Esc'!$C$5:$W$514,19,FALSE),"-")</f>
        <v>-</v>
      </c>
      <c r="BJ341" s="50" t="str">
        <f t="shared" si="99"/>
        <v>-</v>
      </c>
    </row>
    <row r="342" spans="1:62" hidden="1" x14ac:dyDescent="0.2">
      <c r="A342" s="28">
        <v>4</v>
      </c>
      <c r="B342" s="28">
        <v>4</v>
      </c>
      <c r="C342" s="11">
        <v>20</v>
      </c>
      <c r="D342" s="13" t="s">
        <v>303</v>
      </c>
      <c r="E342" s="10" t="s">
        <v>19</v>
      </c>
      <c r="F342" s="10" t="s">
        <v>209</v>
      </c>
      <c r="G342" s="10"/>
      <c r="H342" s="152"/>
      <c r="I342" s="164"/>
      <c r="J342" s="62"/>
      <c r="K342" s="62"/>
      <c r="L342" s="177"/>
      <c r="M342" s="171"/>
      <c r="N342" s="62"/>
      <c r="O342" s="62"/>
      <c r="P342" s="62"/>
      <c r="Q342" s="64"/>
      <c r="R342" s="164"/>
      <c r="S342" s="62"/>
      <c r="T342" s="62"/>
      <c r="U342" s="62"/>
      <c r="V342" s="177"/>
      <c r="W342" s="171"/>
      <c r="X342" s="62"/>
      <c r="Y342" s="45"/>
      <c r="Z342" s="45"/>
      <c r="AA342" s="100"/>
      <c r="AB342" s="100"/>
      <c r="AC342" s="24"/>
      <c r="AD342" s="24"/>
      <c r="AE342" s="24"/>
      <c r="AF342" s="24"/>
      <c r="AG342" s="18">
        <v>20</v>
      </c>
      <c r="AH342" s="69" t="s">
        <v>303</v>
      </c>
      <c r="AI342" s="243" t="s">
        <v>19</v>
      </c>
      <c r="AJ342" s="243" t="s">
        <v>419</v>
      </c>
      <c r="AK342" s="246"/>
      <c r="AL342" s="43" t="str">
        <f t="shared" si="100"/>
        <v>-</v>
      </c>
      <c r="AM342" s="43">
        <f t="shared" si="88"/>
        <v>0</v>
      </c>
      <c r="AN342" s="193">
        <f t="shared" si="88"/>
        <v>0</v>
      </c>
      <c r="AO342" s="270" t="str">
        <f t="shared" si="89"/>
        <v>-</v>
      </c>
      <c r="AP342" s="266"/>
      <c r="AQ342" s="26" t="str">
        <f t="shared" si="96"/>
        <v>KIRBY CREEKChum</v>
      </c>
      <c r="AR342" s="26">
        <f t="shared" si="90"/>
        <v>0</v>
      </c>
      <c r="AS342" s="33">
        <f t="shared" si="91"/>
        <v>0</v>
      </c>
      <c r="AX342" s="47" t="str">
        <f t="shared" si="92"/>
        <v>KIRBY CREEKChum</v>
      </c>
      <c r="AY342" s="49">
        <f t="shared" si="93"/>
        <v>0</v>
      </c>
      <c r="AZ342" s="49">
        <f t="shared" si="94"/>
        <v>0</v>
      </c>
      <c r="BA342" s="31">
        <v>0</v>
      </c>
      <c r="BB342" s="188">
        <f t="shared" si="97"/>
        <v>0</v>
      </c>
      <c r="BC342" s="188" t="str">
        <f t="shared" si="101"/>
        <v xml:space="preserve"> </v>
      </c>
      <c r="BD342" s="188" t="str">
        <f t="shared" si="102"/>
        <v xml:space="preserve"> </v>
      </c>
      <c r="BE342" s="188" t="str">
        <f t="shared" si="103"/>
        <v xml:space="preserve"> </v>
      </c>
      <c r="BF342" s="50" t="str">
        <f t="shared" si="95"/>
        <v>KIRBY CREEK_Chum</v>
      </c>
      <c r="BG342" s="50" t="str">
        <f>IFERROR(VLOOKUP(BF342,'[1]WCVI Esc'!$C$5:$W$514,18,FALSE),"-")</f>
        <v>-</v>
      </c>
      <c r="BH342" s="50" t="str">
        <f t="shared" si="98"/>
        <v>-</v>
      </c>
      <c r="BI342" s="50" t="str">
        <f>IFERROR(VLOOKUP(BF342,'[1]WCVI Esc'!$C$5:$W$514,19,FALSE),"-")</f>
        <v>-</v>
      </c>
      <c r="BJ342" s="50" t="str">
        <f t="shared" si="99"/>
        <v>-</v>
      </c>
    </row>
    <row r="343" spans="1:62" hidden="1" x14ac:dyDescent="0.2">
      <c r="A343" s="28">
        <v>4</v>
      </c>
      <c r="B343" s="28">
        <v>5</v>
      </c>
      <c r="C343" s="11">
        <v>20</v>
      </c>
      <c r="D343" s="13" t="s">
        <v>303</v>
      </c>
      <c r="E343" s="10" t="s">
        <v>19</v>
      </c>
      <c r="F343" s="10" t="s">
        <v>210</v>
      </c>
      <c r="G343" s="10"/>
      <c r="H343" s="152"/>
      <c r="I343" s="164"/>
      <c r="J343" s="62"/>
      <c r="K343" s="62"/>
      <c r="L343" s="177"/>
      <c r="M343" s="171"/>
      <c r="N343" s="62"/>
      <c r="O343" s="62"/>
      <c r="P343" s="62"/>
      <c r="Q343" s="64"/>
      <c r="R343" s="164"/>
      <c r="S343" s="62"/>
      <c r="T343" s="62"/>
      <c r="U343" s="62"/>
      <c r="V343" s="177"/>
      <c r="W343" s="171"/>
      <c r="X343" s="62"/>
      <c r="Y343" s="45"/>
      <c r="Z343" s="45"/>
      <c r="AA343" s="100"/>
      <c r="AB343" s="100"/>
      <c r="AC343" s="24"/>
      <c r="AD343" s="24"/>
      <c r="AE343" s="24"/>
      <c r="AF343" s="24"/>
      <c r="AG343" s="18">
        <v>20</v>
      </c>
      <c r="AH343" s="69" t="s">
        <v>303</v>
      </c>
      <c r="AI343" s="243" t="s">
        <v>19</v>
      </c>
      <c r="AJ343" s="243" t="s">
        <v>419</v>
      </c>
      <c r="AK343" s="246"/>
      <c r="AL343" s="43" t="str">
        <f t="shared" si="100"/>
        <v>-</v>
      </c>
      <c r="AM343" s="43">
        <f t="shared" si="88"/>
        <v>0</v>
      </c>
      <c r="AN343" s="193">
        <f t="shared" si="88"/>
        <v>0</v>
      </c>
      <c r="AO343" s="270" t="str">
        <f t="shared" si="89"/>
        <v>-</v>
      </c>
      <c r="AP343" s="266"/>
      <c r="AQ343" s="26" t="str">
        <f t="shared" si="96"/>
        <v>KIRBY CREEKChinook</v>
      </c>
      <c r="AR343" s="26">
        <f t="shared" si="90"/>
        <v>0</v>
      </c>
      <c r="AS343" s="33">
        <f t="shared" si="91"/>
        <v>0</v>
      </c>
      <c r="AX343" s="47" t="str">
        <f t="shared" si="92"/>
        <v>KIRBY CREEKChinook</v>
      </c>
      <c r="AY343" s="49">
        <f t="shared" si="93"/>
        <v>0</v>
      </c>
      <c r="AZ343" s="49">
        <f t="shared" si="94"/>
        <v>0</v>
      </c>
      <c r="BA343" s="31">
        <v>0</v>
      </c>
      <c r="BB343" s="188">
        <f t="shared" si="97"/>
        <v>0</v>
      </c>
      <c r="BC343" s="188" t="str">
        <f t="shared" si="101"/>
        <v xml:space="preserve"> </v>
      </c>
      <c r="BD343" s="188" t="str">
        <f t="shared" si="102"/>
        <v xml:space="preserve"> </v>
      </c>
      <c r="BE343" s="188" t="str">
        <f t="shared" si="103"/>
        <v xml:space="preserve"> </v>
      </c>
      <c r="BF343" s="50" t="str">
        <f t="shared" si="95"/>
        <v>KIRBY CREEK_Chinook</v>
      </c>
      <c r="BG343" s="50" t="str">
        <f>IFERROR(VLOOKUP(BF343,'[1]WCVI Esc'!$C$5:$W$514,18,FALSE),"-")</f>
        <v>-</v>
      </c>
      <c r="BH343" s="50" t="str">
        <f t="shared" si="98"/>
        <v>-</v>
      </c>
      <c r="BI343" s="50" t="str">
        <f>IFERROR(VLOOKUP(BF343,'[1]WCVI Esc'!$C$5:$W$514,19,FALSE),"-")</f>
        <v>-</v>
      </c>
      <c r="BJ343" s="50" t="str">
        <f t="shared" si="99"/>
        <v>-</v>
      </c>
    </row>
    <row r="344" spans="1:62" hidden="1" x14ac:dyDescent="0.2">
      <c r="A344" s="28">
        <v>4</v>
      </c>
      <c r="B344" s="28">
        <v>6</v>
      </c>
      <c r="C344" s="11">
        <v>20</v>
      </c>
      <c r="D344" s="13" t="s">
        <v>303</v>
      </c>
      <c r="E344" s="10" t="s">
        <v>19</v>
      </c>
      <c r="F344" s="10" t="s">
        <v>211</v>
      </c>
      <c r="G344" s="10"/>
      <c r="H344" s="152"/>
      <c r="I344" s="164"/>
      <c r="J344" s="62"/>
      <c r="K344" s="62"/>
      <c r="L344" s="177"/>
      <c r="M344" s="171"/>
      <c r="N344" s="62"/>
      <c r="O344" s="62"/>
      <c r="P344" s="62"/>
      <c r="Q344" s="64"/>
      <c r="R344" s="164"/>
      <c r="S344" s="62"/>
      <c r="T344" s="62"/>
      <c r="U344" s="62"/>
      <c r="V344" s="177"/>
      <c r="W344" s="171"/>
      <c r="X344" s="62"/>
      <c r="Y344" s="45"/>
      <c r="Z344" s="45"/>
      <c r="AA344" s="100"/>
      <c r="AB344" s="100"/>
      <c r="AC344" s="24"/>
      <c r="AD344" s="24"/>
      <c r="AE344" s="24"/>
      <c r="AF344" s="24"/>
      <c r="AG344" s="18">
        <v>20</v>
      </c>
      <c r="AH344" s="69" t="s">
        <v>303</v>
      </c>
      <c r="AI344" s="243" t="s">
        <v>19</v>
      </c>
      <c r="AJ344" s="243" t="s">
        <v>419</v>
      </c>
      <c r="AK344" s="246"/>
      <c r="AL344" s="43" t="str">
        <f t="shared" si="100"/>
        <v>-</v>
      </c>
      <c r="AM344" s="43">
        <f t="shared" si="88"/>
        <v>0</v>
      </c>
      <c r="AN344" s="193">
        <f t="shared" si="88"/>
        <v>0</v>
      </c>
      <c r="AO344" s="270" t="str">
        <f t="shared" si="89"/>
        <v>-</v>
      </c>
      <c r="AP344" s="266"/>
      <c r="AQ344" s="26" t="str">
        <f t="shared" si="96"/>
        <v>KIRBY CREEKSteelhead</v>
      </c>
      <c r="AR344" s="26">
        <f t="shared" si="90"/>
        <v>0</v>
      </c>
      <c r="AS344" s="33">
        <f t="shared" si="91"/>
        <v>0</v>
      </c>
      <c r="AX344" s="47" t="str">
        <f t="shared" si="92"/>
        <v>KIRBY CREEKSteelhead</v>
      </c>
      <c r="AY344" s="49">
        <f t="shared" si="93"/>
        <v>0</v>
      </c>
      <c r="AZ344" s="49">
        <f t="shared" si="94"/>
        <v>0</v>
      </c>
      <c r="BA344" s="31">
        <v>0</v>
      </c>
      <c r="BB344" s="188">
        <f t="shared" si="97"/>
        <v>0</v>
      </c>
      <c r="BC344" s="188" t="str">
        <f t="shared" si="101"/>
        <v xml:space="preserve"> </v>
      </c>
      <c r="BD344" s="188" t="str">
        <f t="shared" si="102"/>
        <v xml:space="preserve"> </v>
      </c>
      <c r="BE344" s="188" t="str">
        <f t="shared" si="103"/>
        <v xml:space="preserve"> </v>
      </c>
      <c r="BF344" s="50" t="str">
        <f t="shared" si="95"/>
        <v>KIRBY CREEK_Steelhead</v>
      </c>
      <c r="BG344" s="50" t="str">
        <f>IFERROR(VLOOKUP(BF344,'[1]WCVI Esc'!$C$5:$W$514,18,FALSE),"-")</f>
        <v>-</v>
      </c>
      <c r="BH344" s="50" t="str">
        <f t="shared" si="98"/>
        <v>-</v>
      </c>
      <c r="BI344" s="50" t="str">
        <f>IFERROR(VLOOKUP(BF344,'[1]WCVI Esc'!$C$5:$W$514,19,FALSE),"-")</f>
        <v>-</v>
      </c>
      <c r="BJ344" s="50" t="str">
        <f t="shared" si="99"/>
        <v>-</v>
      </c>
    </row>
    <row r="345" spans="1:62" hidden="1" x14ac:dyDescent="0.2">
      <c r="A345" s="28">
        <v>4</v>
      </c>
      <c r="B345" s="28">
        <v>1</v>
      </c>
      <c r="C345" s="11">
        <v>20</v>
      </c>
      <c r="D345" s="13" t="s">
        <v>303</v>
      </c>
      <c r="E345" s="10" t="s">
        <v>159</v>
      </c>
      <c r="F345" s="10" t="s">
        <v>207</v>
      </c>
      <c r="G345" s="10"/>
      <c r="H345" s="152"/>
      <c r="I345" s="164"/>
      <c r="J345" s="62"/>
      <c r="K345" s="62"/>
      <c r="L345" s="177"/>
      <c r="M345" s="171"/>
      <c r="N345" s="62"/>
      <c r="O345" s="62"/>
      <c r="P345" s="62"/>
      <c r="Q345" s="64"/>
      <c r="R345" s="164"/>
      <c r="S345" s="62"/>
      <c r="T345" s="62"/>
      <c r="U345" s="62"/>
      <c r="V345" s="177"/>
      <c r="W345" s="171"/>
      <c r="X345" s="62"/>
      <c r="Y345" s="45"/>
      <c r="Z345" s="45"/>
      <c r="AA345" s="100"/>
      <c r="AB345" s="100"/>
      <c r="AC345" s="24"/>
      <c r="AD345" s="24"/>
      <c r="AE345" s="24"/>
      <c r="AF345" s="24"/>
      <c r="AG345" s="18">
        <v>20</v>
      </c>
      <c r="AH345" s="69" t="s">
        <v>303</v>
      </c>
      <c r="AI345" s="243" t="s">
        <v>159</v>
      </c>
      <c r="AJ345" s="243" t="s">
        <v>419</v>
      </c>
      <c r="AK345" s="246"/>
      <c r="AL345" s="43" t="str">
        <f t="shared" si="100"/>
        <v>-</v>
      </c>
      <c r="AM345" s="43">
        <f t="shared" si="88"/>
        <v>0</v>
      </c>
      <c r="AN345" s="193">
        <f t="shared" si="88"/>
        <v>0</v>
      </c>
      <c r="AO345" s="270" t="str">
        <f t="shared" si="89"/>
        <v>-</v>
      </c>
      <c r="AP345" s="266"/>
      <c r="AQ345" s="26" t="str">
        <f t="shared" si="96"/>
        <v>LANNON CREEKSockeye</v>
      </c>
      <c r="AR345" s="26">
        <f t="shared" si="90"/>
        <v>0</v>
      </c>
      <c r="AS345" s="33">
        <f t="shared" si="91"/>
        <v>0</v>
      </c>
      <c r="AX345" s="47" t="str">
        <f t="shared" si="92"/>
        <v>LANNON CREEKSockeye</v>
      </c>
      <c r="AY345" s="49">
        <f t="shared" si="93"/>
        <v>0</v>
      </c>
      <c r="AZ345" s="49">
        <f t="shared" si="94"/>
        <v>0</v>
      </c>
      <c r="BA345" s="31">
        <v>0</v>
      </c>
      <c r="BB345" s="188">
        <f t="shared" si="97"/>
        <v>0</v>
      </c>
      <c r="BC345" s="188" t="str">
        <f t="shared" si="101"/>
        <v xml:space="preserve"> </v>
      </c>
      <c r="BD345" s="188" t="str">
        <f t="shared" si="102"/>
        <v xml:space="preserve"> </v>
      </c>
      <c r="BE345" s="188" t="str">
        <f t="shared" si="103"/>
        <v xml:space="preserve"> </v>
      </c>
      <c r="BF345" s="50" t="str">
        <f t="shared" si="95"/>
        <v>LANNON CREEK_Sockeye</v>
      </c>
      <c r="BG345" s="50" t="str">
        <f>IFERROR(VLOOKUP(BF345,'[1]WCVI Esc'!$C$5:$W$514,18,FALSE),"-")</f>
        <v>-</v>
      </c>
      <c r="BH345" s="50" t="str">
        <f t="shared" si="98"/>
        <v>-</v>
      </c>
      <c r="BI345" s="50" t="str">
        <f>IFERROR(VLOOKUP(BF345,'[1]WCVI Esc'!$C$5:$W$514,19,FALSE),"-")</f>
        <v>-</v>
      </c>
      <c r="BJ345" s="50" t="str">
        <f t="shared" si="99"/>
        <v>-</v>
      </c>
    </row>
    <row r="346" spans="1:62" hidden="1" x14ac:dyDescent="0.2">
      <c r="A346" s="28">
        <v>4</v>
      </c>
      <c r="B346" s="28">
        <v>2</v>
      </c>
      <c r="C346" s="11">
        <v>20</v>
      </c>
      <c r="D346" s="13" t="s">
        <v>303</v>
      </c>
      <c r="E346" s="10" t="s">
        <v>159</v>
      </c>
      <c r="F346" s="10" t="s">
        <v>219</v>
      </c>
      <c r="G346" s="10"/>
      <c r="H346" s="152"/>
      <c r="I346" s="164"/>
      <c r="J346" s="62"/>
      <c r="K346" s="62"/>
      <c r="L346" s="177"/>
      <c r="M346" s="171"/>
      <c r="N346" s="62"/>
      <c r="O346" s="62"/>
      <c r="P346" s="62"/>
      <c r="Q346" s="64"/>
      <c r="R346" s="164"/>
      <c r="S346" s="62"/>
      <c r="T346" s="62"/>
      <c r="U346" s="62"/>
      <c r="V346" s="177"/>
      <c r="W346" s="171"/>
      <c r="X346" s="62"/>
      <c r="Y346" s="45"/>
      <c r="Z346" s="45"/>
      <c r="AA346" s="100"/>
      <c r="AB346" s="100"/>
      <c r="AC346" s="24"/>
      <c r="AD346" s="24"/>
      <c r="AE346" s="24"/>
      <c r="AF346" s="24"/>
      <c r="AG346" s="18">
        <v>20</v>
      </c>
      <c r="AH346" s="69" t="s">
        <v>303</v>
      </c>
      <c r="AI346" s="243" t="s">
        <v>159</v>
      </c>
      <c r="AJ346" s="243" t="s">
        <v>419</v>
      </c>
      <c r="AK346" s="246"/>
      <c r="AL346" s="43" t="str">
        <f t="shared" si="100"/>
        <v>-</v>
      </c>
      <c r="AM346" s="43">
        <f t="shared" si="88"/>
        <v>0</v>
      </c>
      <c r="AN346" s="193">
        <f t="shared" si="88"/>
        <v>0</v>
      </c>
      <c r="AO346" s="270" t="str">
        <f t="shared" si="89"/>
        <v>-</v>
      </c>
      <c r="AP346" s="266"/>
      <c r="AQ346" s="26" t="str">
        <f t="shared" si="96"/>
        <v>LANNON CREEKCoho</v>
      </c>
      <c r="AR346" s="26">
        <f t="shared" si="90"/>
        <v>0</v>
      </c>
      <c r="AS346" s="33">
        <f t="shared" si="91"/>
        <v>0</v>
      </c>
      <c r="AX346" s="47" t="str">
        <f t="shared" si="92"/>
        <v>LANNON CREEKCoho</v>
      </c>
      <c r="AY346" s="49">
        <f t="shared" si="93"/>
        <v>0</v>
      </c>
      <c r="AZ346" s="49">
        <f t="shared" si="94"/>
        <v>0</v>
      </c>
      <c r="BA346" s="31">
        <v>0</v>
      </c>
      <c r="BB346" s="188">
        <f t="shared" si="97"/>
        <v>0</v>
      </c>
      <c r="BC346" s="188" t="str">
        <f t="shared" si="101"/>
        <v xml:space="preserve"> </v>
      </c>
      <c r="BD346" s="188" t="str">
        <f t="shared" si="102"/>
        <v xml:space="preserve"> </v>
      </c>
      <c r="BE346" s="188" t="str">
        <f t="shared" si="103"/>
        <v xml:space="preserve"> </v>
      </c>
      <c r="BF346" s="50" t="str">
        <f t="shared" si="95"/>
        <v>LANNON CREEK_Coho</v>
      </c>
      <c r="BG346" s="50" t="str">
        <f>IFERROR(VLOOKUP(BF346,'[1]WCVI Esc'!$C$5:$W$514,18,FALSE),"-")</f>
        <v>-</v>
      </c>
      <c r="BH346" s="50" t="str">
        <f t="shared" si="98"/>
        <v>-</v>
      </c>
      <c r="BI346" s="50" t="str">
        <f>IFERROR(VLOOKUP(BF346,'[1]WCVI Esc'!$C$5:$W$514,19,FALSE),"-")</f>
        <v>-</v>
      </c>
      <c r="BJ346" s="50" t="str">
        <f t="shared" si="99"/>
        <v>-</v>
      </c>
    </row>
    <row r="347" spans="1:62" hidden="1" x14ac:dyDescent="0.2">
      <c r="A347" s="28">
        <v>4</v>
      </c>
      <c r="B347" s="28">
        <v>3</v>
      </c>
      <c r="C347" s="11">
        <v>20</v>
      </c>
      <c r="D347" s="13" t="s">
        <v>303</v>
      </c>
      <c r="E347" s="10" t="s">
        <v>159</v>
      </c>
      <c r="F347" s="10" t="s">
        <v>208</v>
      </c>
      <c r="G347" s="10"/>
      <c r="H347" s="152"/>
      <c r="I347" s="164"/>
      <c r="J347" s="62"/>
      <c r="K347" s="62"/>
      <c r="L347" s="177"/>
      <c r="M347" s="171"/>
      <c r="N347" s="62"/>
      <c r="O347" s="62"/>
      <c r="P347" s="62"/>
      <c r="Q347" s="64"/>
      <c r="R347" s="164"/>
      <c r="S347" s="62"/>
      <c r="T347" s="62"/>
      <c r="U347" s="62"/>
      <c r="V347" s="177"/>
      <c r="W347" s="171"/>
      <c r="X347" s="62"/>
      <c r="Y347" s="45"/>
      <c r="Z347" s="45"/>
      <c r="AA347" s="100"/>
      <c r="AB347" s="100"/>
      <c r="AC347" s="24"/>
      <c r="AD347" s="24"/>
      <c r="AE347" s="24"/>
      <c r="AF347" s="24"/>
      <c r="AG347" s="18">
        <v>20</v>
      </c>
      <c r="AH347" s="69" t="s">
        <v>303</v>
      </c>
      <c r="AI347" s="243" t="s">
        <v>159</v>
      </c>
      <c r="AJ347" s="243" t="s">
        <v>419</v>
      </c>
      <c r="AK347" s="246"/>
      <c r="AL347" s="43" t="str">
        <f t="shared" si="100"/>
        <v>-</v>
      </c>
      <c r="AM347" s="43">
        <f t="shared" si="88"/>
        <v>0</v>
      </c>
      <c r="AN347" s="193">
        <f t="shared" si="88"/>
        <v>0</v>
      </c>
      <c r="AO347" s="270" t="str">
        <f t="shared" si="89"/>
        <v>-</v>
      </c>
      <c r="AP347" s="266"/>
      <c r="AQ347" s="26" t="str">
        <f t="shared" si="96"/>
        <v>LANNON CREEKPink</v>
      </c>
      <c r="AR347" s="26">
        <f t="shared" si="90"/>
        <v>0</v>
      </c>
      <c r="AS347" s="33">
        <f t="shared" si="91"/>
        <v>0</v>
      </c>
      <c r="AX347" s="47" t="str">
        <f t="shared" si="92"/>
        <v>LANNON CREEKPink</v>
      </c>
      <c r="AY347" s="49">
        <f t="shared" si="93"/>
        <v>0</v>
      </c>
      <c r="AZ347" s="49">
        <f t="shared" si="94"/>
        <v>0</v>
      </c>
      <c r="BA347" s="31">
        <v>0</v>
      </c>
      <c r="BB347" s="188">
        <f t="shared" si="97"/>
        <v>0</v>
      </c>
      <c r="BC347" s="188" t="str">
        <f t="shared" si="101"/>
        <v xml:space="preserve"> </v>
      </c>
      <c r="BD347" s="188" t="str">
        <f t="shared" si="102"/>
        <v xml:space="preserve"> </v>
      </c>
      <c r="BE347" s="188" t="str">
        <f t="shared" si="103"/>
        <v xml:space="preserve"> </v>
      </c>
      <c r="BF347" s="50" t="str">
        <f t="shared" si="95"/>
        <v>LANNON CREEK_Pink</v>
      </c>
      <c r="BG347" s="50" t="str">
        <f>IFERROR(VLOOKUP(BF347,'[1]WCVI Esc'!$C$5:$W$514,18,FALSE),"-")</f>
        <v>-</v>
      </c>
      <c r="BH347" s="50" t="str">
        <f t="shared" si="98"/>
        <v>-</v>
      </c>
      <c r="BI347" s="50" t="str">
        <f>IFERROR(VLOOKUP(BF347,'[1]WCVI Esc'!$C$5:$W$514,19,FALSE),"-")</f>
        <v>-</v>
      </c>
      <c r="BJ347" s="50" t="str">
        <f t="shared" si="99"/>
        <v>-</v>
      </c>
    </row>
    <row r="348" spans="1:62" hidden="1" x14ac:dyDescent="0.2">
      <c r="A348" s="28">
        <v>4</v>
      </c>
      <c r="B348" s="28">
        <v>4</v>
      </c>
      <c r="C348" s="11">
        <v>20</v>
      </c>
      <c r="D348" s="13" t="s">
        <v>303</v>
      </c>
      <c r="E348" s="10" t="s">
        <v>159</v>
      </c>
      <c r="F348" s="10" t="s">
        <v>209</v>
      </c>
      <c r="G348" s="10"/>
      <c r="H348" s="152"/>
      <c r="I348" s="164"/>
      <c r="J348" s="62"/>
      <c r="K348" s="62"/>
      <c r="L348" s="177"/>
      <c r="M348" s="171"/>
      <c r="N348" s="62"/>
      <c r="O348" s="62"/>
      <c r="P348" s="62"/>
      <c r="Q348" s="64"/>
      <c r="R348" s="164"/>
      <c r="S348" s="62"/>
      <c r="T348" s="62"/>
      <c r="U348" s="62"/>
      <c r="V348" s="177"/>
      <c r="W348" s="171"/>
      <c r="X348" s="62"/>
      <c r="Y348" s="45"/>
      <c r="Z348" s="45"/>
      <c r="AA348" s="100"/>
      <c r="AB348" s="100"/>
      <c r="AC348" s="24"/>
      <c r="AD348" s="24"/>
      <c r="AE348" s="24"/>
      <c r="AF348" s="24"/>
      <c r="AG348" s="18">
        <v>20</v>
      </c>
      <c r="AH348" s="69" t="s">
        <v>303</v>
      </c>
      <c r="AI348" s="243" t="s">
        <v>159</v>
      </c>
      <c r="AJ348" s="243" t="s">
        <v>419</v>
      </c>
      <c r="AK348" s="246"/>
      <c r="AL348" s="43" t="str">
        <f t="shared" si="100"/>
        <v>-</v>
      </c>
      <c r="AM348" s="43">
        <f t="shared" si="88"/>
        <v>0</v>
      </c>
      <c r="AN348" s="193">
        <f t="shared" si="88"/>
        <v>0</v>
      </c>
      <c r="AO348" s="270" t="str">
        <f t="shared" si="89"/>
        <v>-</v>
      </c>
      <c r="AP348" s="266"/>
      <c r="AQ348" s="26" t="str">
        <f t="shared" si="96"/>
        <v>LANNON CREEKChum</v>
      </c>
      <c r="AR348" s="26">
        <f t="shared" si="90"/>
        <v>0</v>
      </c>
      <c r="AS348" s="33">
        <f t="shared" si="91"/>
        <v>0</v>
      </c>
      <c r="AX348" s="47" t="str">
        <f t="shared" si="92"/>
        <v>LANNON CREEKChum</v>
      </c>
      <c r="AY348" s="49">
        <f t="shared" si="93"/>
        <v>0</v>
      </c>
      <c r="AZ348" s="49">
        <f t="shared" si="94"/>
        <v>0</v>
      </c>
      <c r="BA348" s="31">
        <v>0</v>
      </c>
      <c r="BB348" s="188">
        <f t="shared" si="97"/>
        <v>0</v>
      </c>
      <c r="BC348" s="188" t="str">
        <f t="shared" si="101"/>
        <v xml:space="preserve"> </v>
      </c>
      <c r="BD348" s="188" t="str">
        <f t="shared" si="102"/>
        <v xml:space="preserve"> </v>
      </c>
      <c r="BE348" s="188" t="str">
        <f t="shared" si="103"/>
        <v xml:space="preserve"> </v>
      </c>
      <c r="BF348" s="50" t="str">
        <f t="shared" si="95"/>
        <v>LANNON CREEK_Chum</v>
      </c>
      <c r="BG348" s="50" t="str">
        <f>IFERROR(VLOOKUP(BF348,'[1]WCVI Esc'!$C$5:$W$514,18,FALSE),"-")</f>
        <v>-</v>
      </c>
      <c r="BH348" s="50" t="str">
        <f t="shared" si="98"/>
        <v>-</v>
      </c>
      <c r="BI348" s="50" t="str">
        <f>IFERROR(VLOOKUP(BF348,'[1]WCVI Esc'!$C$5:$W$514,19,FALSE),"-")</f>
        <v>-</v>
      </c>
      <c r="BJ348" s="50" t="str">
        <f t="shared" si="99"/>
        <v>-</v>
      </c>
    </row>
    <row r="349" spans="1:62" hidden="1" x14ac:dyDescent="0.2">
      <c r="A349" s="28">
        <v>4</v>
      </c>
      <c r="B349" s="28">
        <v>5</v>
      </c>
      <c r="C349" s="11">
        <v>20</v>
      </c>
      <c r="D349" s="13" t="s">
        <v>303</v>
      </c>
      <c r="E349" s="10" t="s">
        <v>159</v>
      </c>
      <c r="F349" s="10" t="s">
        <v>210</v>
      </c>
      <c r="G349" s="10"/>
      <c r="H349" s="152"/>
      <c r="I349" s="164"/>
      <c r="J349" s="62"/>
      <c r="K349" s="62"/>
      <c r="L349" s="177"/>
      <c r="M349" s="171"/>
      <c r="N349" s="62"/>
      <c r="O349" s="62"/>
      <c r="P349" s="62"/>
      <c r="Q349" s="64"/>
      <c r="R349" s="164"/>
      <c r="S349" s="62"/>
      <c r="T349" s="62"/>
      <c r="U349" s="62"/>
      <c r="V349" s="177"/>
      <c r="W349" s="171"/>
      <c r="X349" s="62"/>
      <c r="Y349" s="45"/>
      <c r="Z349" s="45"/>
      <c r="AA349" s="100"/>
      <c r="AB349" s="100"/>
      <c r="AC349" s="24"/>
      <c r="AD349" s="24"/>
      <c r="AE349" s="24"/>
      <c r="AF349" s="24"/>
      <c r="AG349" s="18">
        <v>20</v>
      </c>
      <c r="AH349" s="69" t="s">
        <v>303</v>
      </c>
      <c r="AI349" s="243" t="s">
        <v>159</v>
      </c>
      <c r="AJ349" s="243" t="s">
        <v>419</v>
      </c>
      <c r="AK349" s="246"/>
      <c r="AL349" s="43" t="str">
        <f t="shared" si="100"/>
        <v>-</v>
      </c>
      <c r="AM349" s="43">
        <f t="shared" si="88"/>
        <v>0</v>
      </c>
      <c r="AN349" s="193">
        <f t="shared" si="88"/>
        <v>0</v>
      </c>
      <c r="AO349" s="270" t="str">
        <f t="shared" si="89"/>
        <v>-</v>
      </c>
      <c r="AP349" s="266"/>
      <c r="AQ349" s="26" t="str">
        <f t="shared" si="96"/>
        <v>LANNON CREEKChinook</v>
      </c>
      <c r="AR349" s="26">
        <f t="shared" si="90"/>
        <v>0</v>
      </c>
      <c r="AS349" s="33">
        <f t="shared" si="91"/>
        <v>0</v>
      </c>
      <c r="AX349" s="47" t="str">
        <f t="shared" si="92"/>
        <v>LANNON CREEKChinook</v>
      </c>
      <c r="AY349" s="49">
        <f t="shared" si="93"/>
        <v>0</v>
      </c>
      <c r="AZ349" s="49">
        <f t="shared" si="94"/>
        <v>0</v>
      </c>
      <c r="BA349" s="31">
        <v>0</v>
      </c>
      <c r="BB349" s="188">
        <f t="shared" si="97"/>
        <v>0</v>
      </c>
      <c r="BC349" s="188" t="str">
        <f t="shared" si="101"/>
        <v xml:space="preserve"> </v>
      </c>
      <c r="BD349" s="188" t="str">
        <f t="shared" si="102"/>
        <v xml:space="preserve"> </v>
      </c>
      <c r="BE349" s="188" t="str">
        <f t="shared" si="103"/>
        <v xml:space="preserve"> </v>
      </c>
      <c r="BF349" s="50" t="str">
        <f t="shared" si="95"/>
        <v>LANNON CREEK_Chinook</v>
      </c>
      <c r="BG349" s="50" t="str">
        <f>IFERROR(VLOOKUP(BF349,'[1]WCVI Esc'!$C$5:$W$514,18,FALSE),"-")</f>
        <v>-</v>
      </c>
      <c r="BH349" s="50" t="str">
        <f t="shared" si="98"/>
        <v>-</v>
      </c>
      <c r="BI349" s="50" t="str">
        <f>IFERROR(VLOOKUP(BF349,'[1]WCVI Esc'!$C$5:$W$514,19,FALSE),"-")</f>
        <v>-</v>
      </c>
      <c r="BJ349" s="50" t="str">
        <f t="shared" si="99"/>
        <v>-</v>
      </c>
    </row>
    <row r="350" spans="1:62" hidden="1" x14ac:dyDescent="0.2">
      <c r="A350" s="28">
        <v>4</v>
      </c>
      <c r="B350" s="28">
        <v>6</v>
      </c>
      <c r="C350" s="11">
        <v>20</v>
      </c>
      <c r="D350" s="13" t="s">
        <v>303</v>
      </c>
      <c r="E350" s="10" t="s">
        <v>159</v>
      </c>
      <c r="F350" s="10" t="s">
        <v>211</v>
      </c>
      <c r="G350" s="10"/>
      <c r="H350" s="152"/>
      <c r="I350" s="164"/>
      <c r="J350" s="62"/>
      <c r="K350" s="62"/>
      <c r="L350" s="177"/>
      <c r="M350" s="171"/>
      <c r="N350" s="62"/>
      <c r="O350" s="62"/>
      <c r="P350" s="62"/>
      <c r="Q350" s="64"/>
      <c r="R350" s="164"/>
      <c r="S350" s="62"/>
      <c r="T350" s="62"/>
      <c r="U350" s="62"/>
      <c r="V350" s="177"/>
      <c r="W350" s="171"/>
      <c r="X350" s="62"/>
      <c r="Y350" s="45"/>
      <c r="Z350" s="45"/>
      <c r="AA350" s="100"/>
      <c r="AB350" s="100"/>
      <c r="AC350" s="24"/>
      <c r="AD350" s="24"/>
      <c r="AE350" s="24"/>
      <c r="AF350" s="24"/>
      <c r="AG350" s="18">
        <v>20</v>
      </c>
      <c r="AH350" s="69" t="s">
        <v>303</v>
      </c>
      <c r="AI350" s="243" t="s">
        <v>159</v>
      </c>
      <c r="AJ350" s="243" t="s">
        <v>419</v>
      </c>
      <c r="AK350" s="246"/>
      <c r="AL350" s="43" t="str">
        <f t="shared" si="100"/>
        <v>-</v>
      </c>
      <c r="AM350" s="43">
        <f t="shared" si="88"/>
        <v>0</v>
      </c>
      <c r="AN350" s="193">
        <f t="shared" si="88"/>
        <v>0</v>
      </c>
      <c r="AO350" s="270" t="str">
        <f t="shared" si="89"/>
        <v>-</v>
      </c>
      <c r="AP350" s="266"/>
      <c r="AQ350" s="26" t="str">
        <f t="shared" si="96"/>
        <v>LANNON CREEKSteelhead</v>
      </c>
      <c r="AR350" s="26">
        <f t="shared" si="90"/>
        <v>0</v>
      </c>
      <c r="AS350" s="33">
        <f t="shared" si="91"/>
        <v>0</v>
      </c>
      <c r="AX350" s="47" t="str">
        <f t="shared" si="92"/>
        <v>LANNON CREEKSteelhead</v>
      </c>
      <c r="AY350" s="49">
        <f t="shared" si="93"/>
        <v>0</v>
      </c>
      <c r="AZ350" s="49">
        <f t="shared" si="94"/>
        <v>0</v>
      </c>
      <c r="BA350" s="31">
        <v>0</v>
      </c>
      <c r="BB350" s="188">
        <f t="shared" si="97"/>
        <v>0</v>
      </c>
      <c r="BC350" s="188" t="str">
        <f t="shared" si="101"/>
        <v xml:space="preserve"> </v>
      </c>
      <c r="BD350" s="188" t="str">
        <f t="shared" si="102"/>
        <v xml:space="preserve"> </v>
      </c>
      <c r="BE350" s="188" t="str">
        <f t="shared" si="103"/>
        <v xml:space="preserve"> </v>
      </c>
      <c r="BF350" s="50" t="str">
        <f t="shared" si="95"/>
        <v>LANNON CREEK_Steelhead</v>
      </c>
      <c r="BG350" s="50" t="str">
        <f>IFERROR(VLOOKUP(BF350,'[1]WCVI Esc'!$C$5:$W$514,18,FALSE),"-")</f>
        <v>-</v>
      </c>
      <c r="BH350" s="50" t="str">
        <f t="shared" si="98"/>
        <v>-</v>
      </c>
      <c r="BI350" s="50" t="str">
        <f>IFERROR(VLOOKUP(BF350,'[1]WCVI Esc'!$C$5:$W$514,19,FALSE),"-")</f>
        <v>-</v>
      </c>
      <c r="BJ350" s="50" t="str">
        <f t="shared" si="99"/>
        <v>-</v>
      </c>
    </row>
    <row r="351" spans="1:62" hidden="1" x14ac:dyDescent="0.2">
      <c r="A351" s="28">
        <v>4</v>
      </c>
      <c r="B351" s="28">
        <v>1</v>
      </c>
      <c r="C351" s="11">
        <v>20</v>
      </c>
      <c r="D351" s="13" t="s">
        <v>291</v>
      </c>
      <c r="E351" s="10" t="s">
        <v>73</v>
      </c>
      <c r="F351" s="10" t="s">
        <v>207</v>
      </c>
      <c r="G351" s="10"/>
      <c r="H351" s="152"/>
      <c r="I351" s="155"/>
      <c r="J351" s="106"/>
      <c r="K351" s="94"/>
      <c r="L351" s="180"/>
      <c r="M351" s="173"/>
      <c r="N351" s="106"/>
      <c r="O351" s="106"/>
      <c r="P351" s="63"/>
      <c r="Q351" s="162"/>
      <c r="R351" s="164"/>
      <c r="S351" s="62"/>
      <c r="T351" s="63"/>
      <c r="U351" s="62"/>
      <c r="V351" s="177"/>
      <c r="W351" s="171"/>
      <c r="X351" s="62"/>
      <c r="Y351" s="45"/>
      <c r="Z351" s="45"/>
      <c r="AA351" s="100"/>
      <c r="AB351" s="100"/>
      <c r="AG351" s="18">
        <v>20</v>
      </c>
      <c r="AH351" s="69" t="s">
        <v>291</v>
      </c>
      <c r="AI351" s="243" t="s">
        <v>73</v>
      </c>
      <c r="AJ351" s="243" t="s">
        <v>419</v>
      </c>
      <c r="AK351" s="244" t="s">
        <v>370</v>
      </c>
      <c r="AL351" s="43" t="str">
        <f t="shared" si="100"/>
        <v>-</v>
      </c>
      <c r="AM351" s="43">
        <f t="shared" si="88"/>
        <v>0</v>
      </c>
      <c r="AN351" s="193">
        <f t="shared" si="88"/>
        <v>0</v>
      </c>
      <c r="AO351" s="264" t="str">
        <f t="shared" si="89"/>
        <v>-</v>
      </c>
      <c r="AP351" s="266"/>
      <c r="AQ351" s="26" t="str">
        <f t="shared" si="96"/>
        <v>LENS CREEKSockeye</v>
      </c>
      <c r="AR351" s="26">
        <f t="shared" si="90"/>
        <v>0</v>
      </c>
      <c r="AS351" s="33">
        <f t="shared" si="91"/>
        <v>0</v>
      </c>
      <c r="AX351" s="47" t="str">
        <f t="shared" si="92"/>
        <v>LENS CREEKSockeye</v>
      </c>
      <c r="AY351" s="49">
        <f t="shared" si="93"/>
        <v>0</v>
      </c>
      <c r="AZ351" s="49">
        <f t="shared" si="94"/>
        <v>0</v>
      </c>
      <c r="BA351" s="31">
        <v>2016</v>
      </c>
      <c r="BB351" s="188" t="str">
        <f t="shared" si="97"/>
        <v>PFN</v>
      </c>
      <c r="BC351" s="188" t="str">
        <f t="shared" si="101"/>
        <v xml:space="preserve"> </v>
      </c>
      <c r="BD351" s="188" t="str">
        <f t="shared" si="102"/>
        <v xml:space="preserve"> </v>
      </c>
      <c r="BE351" s="188" t="str">
        <f t="shared" si="103"/>
        <v xml:space="preserve"> </v>
      </c>
      <c r="BF351" s="50" t="str">
        <f t="shared" si="95"/>
        <v>LENS CREEK_Sockeye</v>
      </c>
      <c r="BG351" s="50" t="str">
        <f>IFERROR(VLOOKUP(BF351,'[1]WCVI Esc'!$C$5:$W$534,18,FALSE),"-")</f>
        <v>-</v>
      </c>
      <c r="BH351" s="50" t="str">
        <f t="shared" si="98"/>
        <v>-</v>
      </c>
      <c r="BI351" s="50" t="str">
        <f>IFERROR(VLOOKUP(BF351,'[1]WCVI Esc'!$C$5:$W$534,19,FALSE),"-")</f>
        <v>-</v>
      </c>
      <c r="BJ351" s="50" t="str">
        <f t="shared" si="99"/>
        <v>-</v>
      </c>
    </row>
    <row r="352" spans="1:62" hidden="1" x14ac:dyDescent="0.2">
      <c r="A352" s="28">
        <v>4</v>
      </c>
      <c r="B352" s="28">
        <v>2</v>
      </c>
      <c r="C352" s="11">
        <v>20</v>
      </c>
      <c r="D352" s="13" t="s">
        <v>291</v>
      </c>
      <c r="E352" s="10" t="s">
        <v>73</v>
      </c>
      <c r="F352" s="10" t="s">
        <v>219</v>
      </c>
      <c r="G352" s="10"/>
      <c r="H352" s="152"/>
      <c r="I352" s="155"/>
      <c r="J352" s="106"/>
      <c r="K352" s="94"/>
      <c r="L352" s="180"/>
      <c r="M352" s="173"/>
      <c r="N352" s="106"/>
      <c r="O352" s="106"/>
      <c r="P352" s="63"/>
      <c r="Q352" s="162"/>
      <c r="R352" s="164"/>
      <c r="S352" s="62"/>
      <c r="T352" s="63"/>
      <c r="U352" s="62"/>
      <c r="V352" s="177"/>
      <c r="W352" s="171"/>
      <c r="X352" s="62"/>
      <c r="Y352" s="45"/>
      <c r="Z352" s="45"/>
      <c r="AA352" s="100">
        <f>Y352/AP352</f>
        <v>0</v>
      </c>
      <c r="AB352" s="100">
        <f>AS352/AP352</f>
        <v>0</v>
      </c>
      <c r="AC352" s="123"/>
      <c r="AD352" s="123"/>
      <c r="AE352" s="123"/>
      <c r="AF352" s="123"/>
      <c r="AG352" s="18">
        <v>20</v>
      </c>
      <c r="AH352" s="69" t="s">
        <v>291</v>
      </c>
      <c r="AI352" s="243" t="s">
        <v>73</v>
      </c>
      <c r="AJ352" s="243" t="s">
        <v>419</v>
      </c>
      <c r="AK352" s="244" t="s">
        <v>370</v>
      </c>
      <c r="AL352" s="43" t="str">
        <f t="shared" si="100"/>
        <v>-</v>
      </c>
      <c r="AM352" s="43">
        <f t="shared" si="88"/>
        <v>0</v>
      </c>
      <c r="AN352" s="193">
        <f t="shared" si="88"/>
        <v>0</v>
      </c>
      <c r="AO352" s="264">
        <f t="shared" si="89"/>
        <v>650</v>
      </c>
      <c r="AP352" s="265">
        <f>BJ352</f>
        <v>680</v>
      </c>
      <c r="AQ352" s="26" t="str">
        <f t="shared" si="96"/>
        <v>LENS CREEKCoho</v>
      </c>
      <c r="AR352" s="26">
        <f t="shared" si="90"/>
        <v>0</v>
      </c>
      <c r="AS352" s="33">
        <f t="shared" si="91"/>
        <v>0</v>
      </c>
      <c r="AX352" s="47" t="str">
        <f t="shared" si="92"/>
        <v>LENS CREEKCoho</v>
      </c>
      <c r="AY352" s="49">
        <f t="shared" si="93"/>
        <v>0</v>
      </c>
      <c r="AZ352" s="49">
        <f t="shared" si="94"/>
        <v>0</v>
      </c>
      <c r="BA352" s="31">
        <v>2016</v>
      </c>
      <c r="BB352" s="188" t="str">
        <f t="shared" si="97"/>
        <v>PFN</v>
      </c>
      <c r="BC352" s="188" t="str">
        <f t="shared" si="101"/>
        <v xml:space="preserve"> </v>
      </c>
      <c r="BD352" s="188" t="str">
        <f t="shared" si="102"/>
        <v xml:space="preserve"> </v>
      </c>
      <c r="BE352" s="188" t="str">
        <f t="shared" si="103"/>
        <v xml:space="preserve"> </v>
      </c>
      <c r="BF352" s="50" t="str">
        <f t="shared" si="95"/>
        <v>LENS CREEK_Coho</v>
      </c>
      <c r="BG352" s="50">
        <f>IFERROR(VLOOKUP(BF352,'[1]WCVI Esc'!$C$5:$W$534,18,FALSE),"-")</f>
        <v>645.66666666666663</v>
      </c>
      <c r="BH352" s="50">
        <f t="shared" si="98"/>
        <v>650</v>
      </c>
      <c r="BI352" s="50">
        <f>IFERROR(VLOOKUP(BF352,'[1]WCVI Esc'!$C$5:$W$534,19,FALSE),"-")</f>
        <v>682.9</v>
      </c>
      <c r="BJ352" s="50">
        <f t="shared" si="99"/>
        <v>680</v>
      </c>
    </row>
    <row r="353" spans="1:65" hidden="1" x14ac:dyDescent="0.2">
      <c r="A353" s="28">
        <v>4</v>
      </c>
      <c r="B353" s="28">
        <v>3</v>
      </c>
      <c r="C353" s="11">
        <v>20</v>
      </c>
      <c r="D353" s="13" t="s">
        <v>291</v>
      </c>
      <c r="E353" s="10" t="s">
        <v>73</v>
      </c>
      <c r="F353" s="10" t="s">
        <v>208</v>
      </c>
      <c r="G353" s="10"/>
      <c r="H353" s="152"/>
      <c r="I353" s="155"/>
      <c r="J353" s="106"/>
      <c r="K353" s="94"/>
      <c r="L353" s="180"/>
      <c r="M353" s="173"/>
      <c r="N353" s="106"/>
      <c r="O353" s="106"/>
      <c r="P353" s="63"/>
      <c r="Q353" s="162"/>
      <c r="R353" s="169"/>
      <c r="S353" s="62"/>
      <c r="T353" s="63"/>
      <c r="U353" s="62"/>
      <c r="V353" s="177"/>
      <c r="W353" s="171"/>
      <c r="X353" s="62"/>
      <c r="Y353" s="45"/>
      <c r="Z353" s="45"/>
      <c r="AA353" s="100"/>
      <c r="AB353" s="100"/>
      <c r="AC353" s="123"/>
      <c r="AD353" s="123"/>
      <c r="AE353" s="123"/>
      <c r="AF353" s="123"/>
      <c r="AG353" s="18">
        <v>20</v>
      </c>
      <c r="AH353" s="69" t="s">
        <v>291</v>
      </c>
      <c r="AI353" s="243" t="s">
        <v>73</v>
      </c>
      <c r="AJ353" s="243" t="s">
        <v>419</v>
      </c>
      <c r="AK353" s="244" t="s">
        <v>370</v>
      </c>
      <c r="AL353" s="43" t="str">
        <f t="shared" si="100"/>
        <v>-</v>
      </c>
      <c r="AM353" s="43">
        <f t="shared" si="88"/>
        <v>0</v>
      </c>
      <c r="AN353" s="193">
        <f t="shared" si="88"/>
        <v>0</v>
      </c>
      <c r="AO353" s="264" t="str">
        <f t="shared" si="89"/>
        <v>-</v>
      </c>
      <c r="AP353" s="266"/>
      <c r="AQ353" s="26" t="str">
        <f t="shared" si="96"/>
        <v>LENS CREEKPink</v>
      </c>
      <c r="AR353" s="26">
        <f t="shared" si="90"/>
        <v>0</v>
      </c>
      <c r="AS353" s="33">
        <f t="shared" si="91"/>
        <v>0</v>
      </c>
      <c r="AX353" s="47" t="str">
        <f t="shared" si="92"/>
        <v>LENS CREEKPink</v>
      </c>
      <c r="AY353" s="49">
        <f t="shared" si="93"/>
        <v>0</v>
      </c>
      <c r="AZ353" s="49">
        <f t="shared" si="94"/>
        <v>0</v>
      </c>
      <c r="BA353" s="31">
        <v>0</v>
      </c>
      <c r="BB353" s="188" t="str">
        <f t="shared" si="97"/>
        <v>PFN</v>
      </c>
      <c r="BC353" s="188" t="str">
        <f t="shared" si="101"/>
        <v xml:space="preserve"> </v>
      </c>
      <c r="BD353" s="188" t="str">
        <f t="shared" si="102"/>
        <v xml:space="preserve"> </v>
      </c>
      <c r="BE353" s="188" t="str">
        <f t="shared" si="103"/>
        <v xml:space="preserve"> </v>
      </c>
      <c r="BF353" s="50" t="str">
        <f t="shared" si="95"/>
        <v>LENS CREEK_Pink</v>
      </c>
      <c r="BG353" s="50" t="str">
        <f>IFERROR(VLOOKUP(BF353,'[1]WCVI Esc'!$C$5:$W$534,18,FALSE),"-")</f>
        <v>-</v>
      </c>
      <c r="BH353" s="50" t="str">
        <f t="shared" si="98"/>
        <v>-</v>
      </c>
      <c r="BI353" s="50" t="str">
        <f>IFERROR(VLOOKUP(BF353,'[1]WCVI Esc'!$C$5:$W$534,19,FALSE),"-")</f>
        <v>-</v>
      </c>
      <c r="BJ353" s="50" t="str">
        <f t="shared" si="99"/>
        <v>-</v>
      </c>
    </row>
    <row r="354" spans="1:65" hidden="1" x14ac:dyDescent="0.2">
      <c r="A354" s="28">
        <v>4</v>
      </c>
      <c r="B354" s="28">
        <v>4</v>
      </c>
      <c r="C354" s="11">
        <v>20</v>
      </c>
      <c r="D354" s="13" t="s">
        <v>291</v>
      </c>
      <c r="E354" s="10" t="s">
        <v>73</v>
      </c>
      <c r="F354" s="10" t="s">
        <v>209</v>
      </c>
      <c r="G354" s="10"/>
      <c r="H354" s="152"/>
      <c r="I354" s="155"/>
      <c r="J354" s="106"/>
      <c r="K354" s="94"/>
      <c r="L354" s="180"/>
      <c r="M354" s="173"/>
      <c r="N354" s="106"/>
      <c r="O354" s="106"/>
      <c r="P354" s="63"/>
      <c r="Q354" s="162"/>
      <c r="R354" s="164"/>
      <c r="S354" s="62"/>
      <c r="T354" s="63"/>
      <c r="U354" s="62"/>
      <c r="V354" s="177"/>
      <c r="W354" s="171"/>
      <c r="X354" s="62"/>
      <c r="Y354" s="45"/>
      <c r="Z354" s="45"/>
      <c r="AA354" s="100">
        <f>Y354/AP354</f>
        <v>0</v>
      </c>
      <c r="AB354" s="100">
        <f>AS354/AP354</f>
        <v>0</v>
      </c>
      <c r="AC354" s="123"/>
      <c r="AD354" s="123"/>
      <c r="AE354" s="123"/>
      <c r="AF354" s="123"/>
      <c r="AG354" s="18">
        <v>20</v>
      </c>
      <c r="AH354" s="69" t="s">
        <v>291</v>
      </c>
      <c r="AI354" s="243" t="s">
        <v>73</v>
      </c>
      <c r="AJ354" s="243" t="s">
        <v>419</v>
      </c>
      <c r="AK354" s="244" t="s">
        <v>370</v>
      </c>
      <c r="AL354" s="43" t="str">
        <f t="shared" si="100"/>
        <v>-</v>
      </c>
      <c r="AM354" s="43">
        <f t="shared" si="88"/>
        <v>0</v>
      </c>
      <c r="AN354" s="193">
        <f t="shared" si="88"/>
        <v>0</v>
      </c>
      <c r="AO354" s="264">
        <f t="shared" si="89"/>
        <v>20</v>
      </c>
      <c r="AP354" s="265">
        <f>BJ354</f>
        <v>10</v>
      </c>
      <c r="AQ354" s="26" t="str">
        <f t="shared" si="96"/>
        <v>LENS CREEKChum</v>
      </c>
      <c r="AR354" s="26">
        <f t="shared" si="90"/>
        <v>0</v>
      </c>
      <c r="AS354" s="33">
        <f t="shared" si="91"/>
        <v>0</v>
      </c>
      <c r="AX354" s="47" t="str">
        <f t="shared" si="92"/>
        <v>LENS CREEKChum</v>
      </c>
      <c r="AY354" s="49">
        <f t="shared" si="93"/>
        <v>0</v>
      </c>
      <c r="AZ354" s="49">
        <f t="shared" si="94"/>
        <v>0</v>
      </c>
      <c r="BA354" s="31">
        <v>2016</v>
      </c>
      <c r="BB354" s="188" t="str">
        <f t="shared" si="97"/>
        <v>PFN</v>
      </c>
      <c r="BC354" s="188" t="str">
        <f t="shared" si="101"/>
        <v xml:space="preserve"> </v>
      </c>
      <c r="BD354" s="188" t="str">
        <f t="shared" si="102"/>
        <v xml:space="preserve"> </v>
      </c>
      <c r="BE354" s="188" t="str">
        <f t="shared" si="103"/>
        <v xml:space="preserve"> </v>
      </c>
      <c r="BF354" s="50" t="str">
        <f t="shared" si="95"/>
        <v>LENS CREEK_Chum</v>
      </c>
      <c r="BG354" s="50">
        <f>IFERROR(VLOOKUP(BF354,'[1]WCVI Esc'!$C$5:$W$534,18,FALSE),"-")</f>
        <v>16</v>
      </c>
      <c r="BH354" s="50">
        <f t="shared" si="98"/>
        <v>20</v>
      </c>
      <c r="BI354" s="50">
        <f>IFERROR(VLOOKUP(BF354,'[1]WCVI Esc'!$C$5:$W$534,19,FALSE),"-")</f>
        <v>11.6</v>
      </c>
      <c r="BJ354" s="50">
        <f t="shared" si="99"/>
        <v>10</v>
      </c>
    </row>
    <row r="355" spans="1:65" hidden="1" x14ac:dyDescent="0.2">
      <c r="A355" s="28">
        <v>4</v>
      </c>
      <c r="B355" s="28">
        <v>5</v>
      </c>
      <c r="C355" s="11">
        <v>20</v>
      </c>
      <c r="D355" s="13" t="s">
        <v>291</v>
      </c>
      <c r="E355" s="10" t="s">
        <v>73</v>
      </c>
      <c r="F355" s="10" t="s">
        <v>210</v>
      </c>
      <c r="G355" s="10"/>
      <c r="H355" s="152"/>
      <c r="I355" s="155"/>
      <c r="J355" s="106"/>
      <c r="K355" s="94"/>
      <c r="L355" s="180"/>
      <c r="M355" s="173"/>
      <c r="N355" s="106"/>
      <c r="O355" s="106"/>
      <c r="P355" s="63"/>
      <c r="Q355" s="162"/>
      <c r="R355" s="164"/>
      <c r="S355" s="62"/>
      <c r="T355" s="63"/>
      <c r="U355" s="62"/>
      <c r="V355" s="177"/>
      <c r="W355" s="171"/>
      <c r="X355" s="62"/>
      <c r="Y355" s="45"/>
      <c r="Z355" s="45"/>
      <c r="AA355" s="100">
        <f>Y355/AP355</f>
        <v>0</v>
      </c>
      <c r="AB355" s="100">
        <f>AS355/AP355</f>
        <v>0</v>
      </c>
      <c r="AC355" s="123"/>
      <c r="AD355" s="123"/>
      <c r="AE355" s="123"/>
      <c r="AF355" s="123">
        <f>Y355</f>
        <v>0</v>
      </c>
      <c r="AG355" s="18">
        <v>20</v>
      </c>
      <c r="AH355" s="69" t="s">
        <v>291</v>
      </c>
      <c r="AI355" s="243" t="s">
        <v>73</v>
      </c>
      <c r="AJ355" s="243" t="s">
        <v>419</v>
      </c>
      <c r="AK355" s="244" t="s">
        <v>370</v>
      </c>
      <c r="AL355" s="43" t="str">
        <f t="shared" si="100"/>
        <v>-</v>
      </c>
      <c r="AM355" s="43">
        <f t="shared" si="88"/>
        <v>0</v>
      </c>
      <c r="AN355" s="193">
        <f t="shared" si="88"/>
        <v>0</v>
      </c>
      <c r="AO355" s="264">
        <f t="shared" si="89"/>
        <v>10</v>
      </c>
      <c r="AP355" s="265">
        <f>BJ355</f>
        <v>40</v>
      </c>
      <c r="AQ355" s="26" t="str">
        <f t="shared" si="96"/>
        <v>LENS CREEKChinook</v>
      </c>
      <c r="AR355" s="26">
        <f t="shared" si="90"/>
        <v>0</v>
      </c>
      <c r="AS355" s="33">
        <f t="shared" si="91"/>
        <v>0</v>
      </c>
      <c r="AX355" s="47" t="str">
        <f t="shared" si="92"/>
        <v>LENS CREEKChinook</v>
      </c>
      <c r="AY355" s="49">
        <f t="shared" si="93"/>
        <v>0</v>
      </c>
      <c r="AZ355" s="49">
        <f t="shared" si="94"/>
        <v>0</v>
      </c>
      <c r="BA355" s="31">
        <v>2016</v>
      </c>
      <c r="BB355" s="188" t="str">
        <f t="shared" si="97"/>
        <v>PFN</v>
      </c>
      <c r="BC355" s="188" t="str">
        <f t="shared" si="101"/>
        <v xml:space="preserve"> </v>
      </c>
      <c r="BD355" s="188" t="str">
        <f t="shared" si="102"/>
        <v xml:space="preserve"> </v>
      </c>
      <c r="BE355" s="188" t="str">
        <f t="shared" si="103"/>
        <v xml:space="preserve"> </v>
      </c>
      <c r="BF355" s="50" t="str">
        <f t="shared" si="95"/>
        <v>LENS CREEK_Chinook</v>
      </c>
      <c r="BG355" s="50">
        <f>IFERROR(VLOOKUP(BF355,'[1]WCVI Esc'!$C$5:$W$534,18,FALSE),"-")</f>
        <v>10.5</v>
      </c>
      <c r="BH355" s="50">
        <f t="shared" si="98"/>
        <v>10</v>
      </c>
      <c r="BI355" s="50">
        <f>IFERROR(VLOOKUP(BF355,'[1]WCVI Esc'!$C$5:$W$534,19,FALSE),"-")</f>
        <v>38</v>
      </c>
      <c r="BJ355" s="50">
        <f t="shared" si="99"/>
        <v>40</v>
      </c>
      <c r="BK355">
        <v>1</v>
      </c>
      <c r="BL355" t="s">
        <v>370</v>
      </c>
      <c r="BM355" s="31">
        <v>1</v>
      </c>
    </row>
    <row r="356" spans="1:65" hidden="1" x14ac:dyDescent="0.2">
      <c r="A356" s="28">
        <v>4</v>
      </c>
      <c r="B356" s="28">
        <v>6</v>
      </c>
      <c r="C356" s="11">
        <v>20</v>
      </c>
      <c r="D356" s="13" t="s">
        <v>291</v>
      </c>
      <c r="E356" s="10" t="s">
        <v>73</v>
      </c>
      <c r="F356" s="10" t="s">
        <v>211</v>
      </c>
      <c r="G356" s="10"/>
      <c r="H356" s="152"/>
      <c r="I356" s="155"/>
      <c r="J356" s="106"/>
      <c r="K356" s="94"/>
      <c r="L356" s="180"/>
      <c r="M356" s="173"/>
      <c r="N356" s="106"/>
      <c r="O356" s="106"/>
      <c r="P356" s="63"/>
      <c r="Q356" s="162"/>
      <c r="R356" s="169"/>
      <c r="S356" s="62"/>
      <c r="T356" s="63"/>
      <c r="U356" s="62"/>
      <c r="V356" s="177"/>
      <c r="W356" s="171"/>
      <c r="X356" s="62"/>
      <c r="Y356" s="45"/>
      <c r="Z356" s="45"/>
      <c r="AA356" s="100"/>
      <c r="AB356" s="100"/>
      <c r="AC356" s="123"/>
      <c r="AD356" s="123"/>
      <c r="AE356" s="123"/>
      <c r="AF356" s="123"/>
      <c r="AG356" s="18">
        <v>20</v>
      </c>
      <c r="AH356" s="69" t="s">
        <v>291</v>
      </c>
      <c r="AI356" s="243" t="s">
        <v>73</v>
      </c>
      <c r="AJ356" s="243" t="s">
        <v>419</v>
      </c>
      <c r="AK356" s="244" t="s">
        <v>370</v>
      </c>
      <c r="AL356" s="43" t="str">
        <f t="shared" si="100"/>
        <v>-</v>
      </c>
      <c r="AM356" s="43">
        <f t="shared" si="88"/>
        <v>0</v>
      </c>
      <c r="AN356" s="193">
        <f t="shared" si="88"/>
        <v>0</v>
      </c>
      <c r="AO356" s="264" t="str">
        <f t="shared" si="89"/>
        <v>-</v>
      </c>
      <c r="AP356" s="266"/>
      <c r="AQ356" s="26" t="str">
        <f t="shared" si="96"/>
        <v>LENS CREEKSteelhead</v>
      </c>
      <c r="AR356" s="26">
        <f t="shared" si="90"/>
        <v>0</v>
      </c>
      <c r="AS356" s="33">
        <f t="shared" si="91"/>
        <v>0</v>
      </c>
      <c r="AX356" s="47" t="str">
        <f t="shared" si="92"/>
        <v>LENS CREEKSteelhead</v>
      </c>
      <c r="AY356" s="49">
        <f t="shared" si="93"/>
        <v>0</v>
      </c>
      <c r="AZ356" s="49">
        <f t="shared" si="94"/>
        <v>0</v>
      </c>
      <c r="BA356" s="31">
        <v>0</v>
      </c>
      <c r="BB356" s="188" t="str">
        <f t="shared" si="97"/>
        <v>PFN</v>
      </c>
      <c r="BC356" s="188" t="str">
        <f t="shared" si="101"/>
        <v xml:space="preserve"> </v>
      </c>
      <c r="BD356" s="188" t="str">
        <f t="shared" si="102"/>
        <v xml:space="preserve"> </v>
      </c>
      <c r="BE356" s="188" t="str">
        <f t="shared" si="103"/>
        <v xml:space="preserve"> </v>
      </c>
      <c r="BF356" s="50" t="str">
        <f t="shared" si="95"/>
        <v>LENS CREEK_Steelhead</v>
      </c>
      <c r="BG356" s="50" t="str">
        <f>IFERROR(VLOOKUP(BF356,'[1]WCVI Esc'!$C$5:$W$534,18,FALSE),"-")</f>
        <v>-</v>
      </c>
      <c r="BH356" s="50" t="str">
        <f t="shared" si="98"/>
        <v>-</v>
      </c>
      <c r="BI356" s="50" t="str">
        <f>IFERROR(VLOOKUP(BF356,'[1]WCVI Esc'!$C$5:$W$534,19,FALSE),"-")</f>
        <v>-</v>
      </c>
      <c r="BJ356" s="50" t="str">
        <f t="shared" si="99"/>
        <v>-</v>
      </c>
    </row>
    <row r="357" spans="1:65" hidden="1" x14ac:dyDescent="0.2">
      <c r="A357" s="28">
        <v>4</v>
      </c>
      <c r="B357" s="28">
        <v>1</v>
      </c>
      <c r="C357" s="11">
        <v>20</v>
      </c>
      <c r="D357" s="13" t="s">
        <v>303</v>
      </c>
      <c r="E357" s="10" t="s">
        <v>160</v>
      </c>
      <c r="F357" s="10" t="s">
        <v>207</v>
      </c>
      <c r="G357" s="10"/>
      <c r="H357" s="152"/>
      <c r="I357" s="164"/>
      <c r="J357" s="62"/>
      <c r="K357" s="62"/>
      <c r="L357" s="177"/>
      <c r="M357" s="171"/>
      <c r="N357" s="62"/>
      <c r="O357" s="62"/>
      <c r="P357" s="62"/>
      <c r="Q357" s="64"/>
      <c r="R357" s="164"/>
      <c r="S357" s="62"/>
      <c r="T357" s="62"/>
      <c r="U357" s="62"/>
      <c r="V357" s="177"/>
      <c r="W357" s="171"/>
      <c r="X357" s="62"/>
      <c r="Y357" s="45"/>
      <c r="Z357" s="45"/>
      <c r="AA357" s="100"/>
      <c r="AB357" s="100"/>
      <c r="AC357" s="100"/>
      <c r="AD357" s="100"/>
      <c r="AE357" s="100"/>
      <c r="AF357" s="100"/>
      <c r="AG357" s="18">
        <v>20</v>
      </c>
      <c r="AH357" s="69" t="s">
        <v>303</v>
      </c>
      <c r="AI357" s="243" t="s">
        <v>160</v>
      </c>
      <c r="AJ357" s="243" t="s">
        <v>419</v>
      </c>
      <c r="AK357" s="246"/>
      <c r="AL357" s="43" t="str">
        <f t="shared" si="100"/>
        <v>-</v>
      </c>
      <c r="AM357" s="43">
        <f t="shared" si="88"/>
        <v>0</v>
      </c>
      <c r="AN357" s="193">
        <f t="shared" si="88"/>
        <v>0</v>
      </c>
      <c r="AO357" s="270" t="str">
        <f t="shared" si="89"/>
        <v>-</v>
      </c>
      <c r="AP357" s="266"/>
      <c r="AQ357" s="26" t="str">
        <f t="shared" si="96"/>
        <v>LUNSON CREEKSockeye</v>
      </c>
      <c r="AR357" s="26">
        <f t="shared" si="90"/>
        <v>0</v>
      </c>
      <c r="AS357" s="33">
        <f t="shared" si="91"/>
        <v>0</v>
      </c>
      <c r="AX357" s="47" t="str">
        <f t="shared" si="92"/>
        <v>LUNSON CREEKSockeye</v>
      </c>
      <c r="AY357" s="49">
        <f t="shared" si="93"/>
        <v>0</v>
      </c>
      <c r="AZ357" s="49">
        <f t="shared" si="94"/>
        <v>0</v>
      </c>
      <c r="BA357" s="31">
        <v>0</v>
      </c>
      <c r="BB357" s="188">
        <f t="shared" si="97"/>
        <v>0</v>
      </c>
      <c r="BC357" s="188" t="str">
        <f t="shared" si="101"/>
        <v xml:space="preserve"> </v>
      </c>
      <c r="BD357" s="188" t="str">
        <f t="shared" si="102"/>
        <v xml:space="preserve"> </v>
      </c>
      <c r="BE357" s="188" t="str">
        <f t="shared" si="103"/>
        <v xml:space="preserve"> </v>
      </c>
      <c r="BF357" s="50" t="str">
        <f t="shared" si="95"/>
        <v>LUNSON CREEK_Sockeye</v>
      </c>
      <c r="BG357" s="50" t="str">
        <f>IFERROR(VLOOKUP(BF357,'[1]WCVI Esc'!$C$5:$W$514,18,FALSE),"-")</f>
        <v>-</v>
      </c>
      <c r="BH357" s="50" t="str">
        <f t="shared" si="98"/>
        <v>-</v>
      </c>
      <c r="BI357" s="50" t="str">
        <f>IFERROR(VLOOKUP(BF357,'[1]WCVI Esc'!$C$5:$W$514,19,FALSE),"-")</f>
        <v>-</v>
      </c>
      <c r="BJ357" s="50" t="str">
        <f t="shared" si="99"/>
        <v>-</v>
      </c>
    </row>
    <row r="358" spans="1:65" hidden="1" x14ac:dyDescent="0.2">
      <c r="A358" s="28">
        <v>4</v>
      </c>
      <c r="B358" s="28">
        <v>2</v>
      </c>
      <c r="C358" s="11">
        <v>20</v>
      </c>
      <c r="D358" s="13" t="s">
        <v>303</v>
      </c>
      <c r="E358" s="10" t="s">
        <v>160</v>
      </c>
      <c r="F358" s="10" t="s">
        <v>219</v>
      </c>
      <c r="G358" s="10"/>
      <c r="H358" s="152"/>
      <c r="I358" s="164"/>
      <c r="J358" s="62"/>
      <c r="K358" s="62"/>
      <c r="L358" s="177"/>
      <c r="M358" s="171"/>
      <c r="N358" s="62"/>
      <c r="O358" s="62"/>
      <c r="P358" s="62"/>
      <c r="Q358" s="64"/>
      <c r="R358" s="164"/>
      <c r="S358" s="62"/>
      <c r="T358" s="62"/>
      <c r="U358" s="62"/>
      <c r="V358" s="177"/>
      <c r="W358" s="171"/>
      <c r="X358" s="62"/>
      <c r="Y358" s="45"/>
      <c r="Z358" s="45"/>
      <c r="AA358" s="100"/>
      <c r="AB358" s="100"/>
      <c r="AC358" s="100"/>
      <c r="AD358" s="100"/>
      <c r="AE358" s="100"/>
      <c r="AF358" s="100"/>
      <c r="AG358" s="18">
        <v>20</v>
      </c>
      <c r="AH358" s="69" t="s">
        <v>303</v>
      </c>
      <c r="AI358" s="243" t="s">
        <v>160</v>
      </c>
      <c r="AJ358" s="243" t="s">
        <v>419</v>
      </c>
      <c r="AK358" s="246"/>
      <c r="AL358" s="43" t="str">
        <f t="shared" si="100"/>
        <v>-</v>
      </c>
      <c r="AM358" s="43">
        <f t="shared" si="88"/>
        <v>0</v>
      </c>
      <c r="AN358" s="193">
        <f t="shared" si="88"/>
        <v>0</v>
      </c>
      <c r="AO358" s="270" t="str">
        <f t="shared" si="89"/>
        <v>-</v>
      </c>
      <c r="AP358" s="266"/>
      <c r="AQ358" s="26" t="str">
        <f t="shared" si="96"/>
        <v>LUNSON CREEKCoho</v>
      </c>
      <c r="AR358" s="26">
        <f t="shared" si="90"/>
        <v>0</v>
      </c>
      <c r="AS358" s="33">
        <f t="shared" si="91"/>
        <v>0</v>
      </c>
      <c r="AX358" s="47" t="str">
        <f t="shared" si="92"/>
        <v>LUNSON CREEKCoho</v>
      </c>
      <c r="AY358" s="49">
        <f t="shared" si="93"/>
        <v>0</v>
      </c>
      <c r="AZ358" s="49">
        <f t="shared" si="94"/>
        <v>0</v>
      </c>
      <c r="BA358" s="31">
        <v>0</v>
      </c>
      <c r="BB358" s="188">
        <f t="shared" si="97"/>
        <v>0</v>
      </c>
      <c r="BC358" s="188" t="str">
        <f t="shared" si="101"/>
        <v xml:space="preserve"> </v>
      </c>
      <c r="BD358" s="188" t="str">
        <f t="shared" si="102"/>
        <v xml:space="preserve"> </v>
      </c>
      <c r="BE358" s="188" t="str">
        <f t="shared" si="103"/>
        <v xml:space="preserve"> </v>
      </c>
      <c r="BF358" s="50" t="str">
        <f t="shared" si="95"/>
        <v>LUNSON CREEK_Coho</v>
      </c>
      <c r="BG358" s="50" t="str">
        <f>IFERROR(VLOOKUP(BF358,'[1]WCVI Esc'!$C$5:$W$514,18,FALSE),"-")</f>
        <v>-</v>
      </c>
      <c r="BH358" s="50" t="str">
        <f t="shared" si="98"/>
        <v>-</v>
      </c>
      <c r="BI358" s="50" t="str">
        <f>IFERROR(VLOOKUP(BF358,'[1]WCVI Esc'!$C$5:$W$514,19,FALSE),"-")</f>
        <v>-</v>
      </c>
      <c r="BJ358" s="50" t="str">
        <f t="shared" si="99"/>
        <v>-</v>
      </c>
    </row>
    <row r="359" spans="1:65" hidden="1" x14ac:dyDescent="0.2">
      <c r="A359" s="28">
        <v>4</v>
      </c>
      <c r="B359" s="28">
        <v>3</v>
      </c>
      <c r="C359" s="11">
        <v>20</v>
      </c>
      <c r="D359" s="13" t="s">
        <v>303</v>
      </c>
      <c r="E359" s="10" t="s">
        <v>160</v>
      </c>
      <c r="F359" s="10" t="s">
        <v>208</v>
      </c>
      <c r="G359" s="10"/>
      <c r="H359" s="152"/>
      <c r="I359" s="164"/>
      <c r="J359" s="62"/>
      <c r="K359" s="62"/>
      <c r="L359" s="177"/>
      <c r="M359" s="171"/>
      <c r="N359" s="62"/>
      <c r="O359" s="62"/>
      <c r="P359" s="62"/>
      <c r="Q359" s="64"/>
      <c r="R359" s="164"/>
      <c r="S359" s="62"/>
      <c r="T359" s="62"/>
      <c r="U359" s="62"/>
      <c r="V359" s="177"/>
      <c r="W359" s="171"/>
      <c r="X359" s="62"/>
      <c r="Y359" s="45"/>
      <c r="Z359" s="45"/>
      <c r="AA359" s="100"/>
      <c r="AB359" s="100"/>
      <c r="AC359" s="100"/>
      <c r="AD359" s="100"/>
      <c r="AE359" s="100"/>
      <c r="AF359" s="100"/>
      <c r="AG359" s="18">
        <v>20</v>
      </c>
      <c r="AH359" s="69" t="s">
        <v>303</v>
      </c>
      <c r="AI359" s="243" t="s">
        <v>160</v>
      </c>
      <c r="AJ359" s="243" t="s">
        <v>419</v>
      </c>
      <c r="AK359" s="246"/>
      <c r="AL359" s="43" t="str">
        <f t="shared" si="100"/>
        <v>-</v>
      </c>
      <c r="AM359" s="43">
        <f t="shared" si="88"/>
        <v>0</v>
      </c>
      <c r="AN359" s="193">
        <f t="shared" si="88"/>
        <v>0</v>
      </c>
      <c r="AO359" s="270" t="str">
        <f t="shared" si="89"/>
        <v>-</v>
      </c>
      <c r="AP359" s="266"/>
      <c r="AQ359" s="26" t="str">
        <f t="shared" si="96"/>
        <v>LUNSON CREEKPink</v>
      </c>
      <c r="AR359" s="26">
        <f t="shared" si="90"/>
        <v>0</v>
      </c>
      <c r="AS359" s="33">
        <f t="shared" si="91"/>
        <v>0</v>
      </c>
      <c r="AX359" s="47" t="str">
        <f t="shared" si="92"/>
        <v>LUNSON CREEKPink</v>
      </c>
      <c r="AY359" s="49">
        <f t="shared" si="93"/>
        <v>0</v>
      </c>
      <c r="AZ359" s="49">
        <f t="shared" si="94"/>
        <v>0</v>
      </c>
      <c r="BA359" s="31">
        <v>0</v>
      </c>
      <c r="BB359" s="188">
        <f t="shared" si="97"/>
        <v>0</v>
      </c>
      <c r="BC359" s="188" t="str">
        <f t="shared" si="101"/>
        <v xml:space="preserve"> </v>
      </c>
      <c r="BD359" s="188" t="str">
        <f t="shared" si="102"/>
        <v xml:space="preserve"> </v>
      </c>
      <c r="BE359" s="188" t="str">
        <f t="shared" si="103"/>
        <v xml:space="preserve"> </v>
      </c>
      <c r="BF359" s="50" t="str">
        <f t="shared" si="95"/>
        <v>LUNSON CREEK_Pink</v>
      </c>
      <c r="BG359" s="50" t="str">
        <f>IFERROR(VLOOKUP(BF359,'[1]WCVI Esc'!$C$5:$W$514,18,FALSE),"-")</f>
        <v>-</v>
      </c>
      <c r="BH359" s="50" t="str">
        <f t="shared" si="98"/>
        <v>-</v>
      </c>
      <c r="BI359" s="50" t="str">
        <f>IFERROR(VLOOKUP(BF359,'[1]WCVI Esc'!$C$5:$W$514,19,FALSE),"-")</f>
        <v>-</v>
      </c>
      <c r="BJ359" s="50" t="str">
        <f t="shared" si="99"/>
        <v>-</v>
      </c>
    </row>
    <row r="360" spans="1:65" hidden="1" x14ac:dyDescent="0.2">
      <c r="A360" s="28">
        <v>4</v>
      </c>
      <c r="B360" s="28">
        <v>4</v>
      </c>
      <c r="C360" s="11">
        <v>20</v>
      </c>
      <c r="D360" s="13" t="s">
        <v>303</v>
      </c>
      <c r="E360" s="10" t="s">
        <v>160</v>
      </c>
      <c r="F360" s="10" t="s">
        <v>209</v>
      </c>
      <c r="G360" s="10"/>
      <c r="H360" s="152"/>
      <c r="I360" s="164"/>
      <c r="J360" s="62"/>
      <c r="K360" s="62"/>
      <c r="L360" s="177"/>
      <c r="M360" s="171"/>
      <c r="N360" s="62"/>
      <c r="O360" s="62"/>
      <c r="P360" s="62"/>
      <c r="Q360" s="64"/>
      <c r="R360" s="164"/>
      <c r="S360" s="62"/>
      <c r="T360" s="62"/>
      <c r="U360" s="62"/>
      <c r="V360" s="177"/>
      <c r="W360" s="171"/>
      <c r="X360" s="62"/>
      <c r="Y360" s="45"/>
      <c r="Z360" s="45"/>
      <c r="AA360" s="100"/>
      <c r="AB360" s="100"/>
      <c r="AC360" s="100"/>
      <c r="AD360" s="100"/>
      <c r="AE360" s="100"/>
      <c r="AF360" s="100"/>
      <c r="AG360" s="18">
        <v>20</v>
      </c>
      <c r="AH360" s="69" t="s">
        <v>303</v>
      </c>
      <c r="AI360" s="243" t="s">
        <v>160</v>
      </c>
      <c r="AJ360" s="243" t="s">
        <v>419</v>
      </c>
      <c r="AK360" s="246"/>
      <c r="AL360" s="43" t="str">
        <f t="shared" si="100"/>
        <v>-</v>
      </c>
      <c r="AM360" s="43">
        <f t="shared" si="88"/>
        <v>0</v>
      </c>
      <c r="AN360" s="193">
        <f t="shared" si="88"/>
        <v>0</v>
      </c>
      <c r="AO360" s="270" t="str">
        <f t="shared" si="89"/>
        <v>-</v>
      </c>
      <c r="AP360" s="266"/>
      <c r="AQ360" s="26" t="str">
        <f t="shared" si="96"/>
        <v>LUNSON CREEKChum</v>
      </c>
      <c r="AR360" s="26">
        <f t="shared" si="90"/>
        <v>0</v>
      </c>
      <c r="AS360" s="33">
        <f t="shared" si="91"/>
        <v>0</v>
      </c>
      <c r="AX360" s="47" t="str">
        <f t="shared" si="92"/>
        <v>LUNSON CREEKChum</v>
      </c>
      <c r="AY360" s="49">
        <f t="shared" si="93"/>
        <v>0</v>
      </c>
      <c r="AZ360" s="49">
        <f t="shared" si="94"/>
        <v>0</v>
      </c>
      <c r="BA360" s="31">
        <v>0</v>
      </c>
      <c r="BB360" s="188">
        <f t="shared" si="97"/>
        <v>0</v>
      </c>
      <c r="BC360" s="188" t="str">
        <f t="shared" si="101"/>
        <v xml:space="preserve"> </v>
      </c>
      <c r="BD360" s="188" t="str">
        <f t="shared" si="102"/>
        <v xml:space="preserve"> </v>
      </c>
      <c r="BE360" s="188" t="str">
        <f t="shared" si="103"/>
        <v xml:space="preserve"> </v>
      </c>
      <c r="BF360" s="50" t="str">
        <f t="shared" si="95"/>
        <v>LUNSON CREEK_Chum</v>
      </c>
      <c r="BG360" s="50" t="str">
        <f>IFERROR(VLOOKUP(BF360,'[1]WCVI Esc'!$C$5:$W$514,18,FALSE),"-")</f>
        <v>-</v>
      </c>
      <c r="BH360" s="50" t="str">
        <f t="shared" si="98"/>
        <v>-</v>
      </c>
      <c r="BI360" s="50" t="str">
        <f>IFERROR(VLOOKUP(BF360,'[1]WCVI Esc'!$C$5:$W$514,19,FALSE),"-")</f>
        <v>-</v>
      </c>
      <c r="BJ360" s="50" t="str">
        <f t="shared" si="99"/>
        <v>-</v>
      </c>
    </row>
    <row r="361" spans="1:65" hidden="1" x14ac:dyDescent="0.2">
      <c r="A361" s="28">
        <v>4</v>
      </c>
      <c r="B361" s="28">
        <v>5</v>
      </c>
      <c r="C361" s="11">
        <v>20</v>
      </c>
      <c r="D361" s="13" t="s">
        <v>303</v>
      </c>
      <c r="E361" s="10" t="s">
        <v>160</v>
      </c>
      <c r="F361" s="10" t="s">
        <v>210</v>
      </c>
      <c r="G361" s="10"/>
      <c r="H361" s="152"/>
      <c r="I361" s="164"/>
      <c r="J361" s="62"/>
      <c r="K361" s="62"/>
      <c r="L361" s="177"/>
      <c r="M361" s="171"/>
      <c r="N361" s="62"/>
      <c r="O361" s="62"/>
      <c r="P361" s="62"/>
      <c r="Q361" s="64"/>
      <c r="R361" s="164"/>
      <c r="S361" s="62"/>
      <c r="T361" s="62"/>
      <c r="U361" s="62"/>
      <c r="V361" s="177"/>
      <c r="W361" s="171"/>
      <c r="X361" s="62"/>
      <c r="Y361" s="45"/>
      <c r="Z361" s="45"/>
      <c r="AA361" s="100"/>
      <c r="AB361" s="100"/>
      <c r="AC361" s="100"/>
      <c r="AD361" s="100"/>
      <c r="AE361" s="100"/>
      <c r="AF361" s="100"/>
      <c r="AG361" s="18">
        <v>20</v>
      </c>
      <c r="AH361" s="69" t="s">
        <v>303</v>
      </c>
      <c r="AI361" s="243" t="s">
        <v>160</v>
      </c>
      <c r="AJ361" s="243" t="s">
        <v>419</v>
      </c>
      <c r="AK361" s="246"/>
      <c r="AL361" s="43" t="str">
        <f t="shared" si="100"/>
        <v>-</v>
      </c>
      <c r="AM361" s="43">
        <f t="shared" si="88"/>
        <v>0</v>
      </c>
      <c r="AN361" s="193">
        <f t="shared" si="88"/>
        <v>0</v>
      </c>
      <c r="AO361" s="270" t="str">
        <f t="shared" si="89"/>
        <v>-</v>
      </c>
      <c r="AP361" s="266"/>
      <c r="AQ361" s="26" t="str">
        <f t="shared" si="96"/>
        <v>LUNSON CREEKChinook</v>
      </c>
      <c r="AR361" s="26">
        <f t="shared" si="90"/>
        <v>0</v>
      </c>
      <c r="AS361" s="33">
        <f t="shared" si="91"/>
        <v>0</v>
      </c>
      <c r="AX361" s="47" t="str">
        <f t="shared" si="92"/>
        <v>LUNSON CREEKChinook</v>
      </c>
      <c r="AY361" s="49">
        <f t="shared" si="93"/>
        <v>0</v>
      </c>
      <c r="AZ361" s="49">
        <f t="shared" si="94"/>
        <v>0</v>
      </c>
      <c r="BA361" s="31">
        <v>0</v>
      </c>
      <c r="BB361" s="188">
        <f t="shared" si="97"/>
        <v>0</v>
      </c>
      <c r="BC361" s="188" t="str">
        <f t="shared" si="101"/>
        <v xml:space="preserve"> </v>
      </c>
      <c r="BD361" s="188" t="str">
        <f t="shared" si="102"/>
        <v xml:space="preserve"> </v>
      </c>
      <c r="BE361" s="188" t="str">
        <f t="shared" si="103"/>
        <v xml:space="preserve"> </v>
      </c>
      <c r="BF361" s="50" t="str">
        <f t="shared" si="95"/>
        <v>LUNSON CREEK_Chinook</v>
      </c>
      <c r="BG361" s="50" t="str">
        <f>IFERROR(VLOOKUP(BF361,'[1]WCVI Esc'!$C$5:$W$514,18,FALSE),"-")</f>
        <v>-</v>
      </c>
      <c r="BH361" s="50" t="str">
        <f t="shared" si="98"/>
        <v>-</v>
      </c>
      <c r="BI361" s="50" t="str">
        <f>IFERROR(VLOOKUP(BF361,'[1]WCVI Esc'!$C$5:$W$514,19,FALSE),"-")</f>
        <v>-</v>
      </c>
      <c r="BJ361" s="50" t="str">
        <f t="shared" si="99"/>
        <v>-</v>
      </c>
    </row>
    <row r="362" spans="1:65" hidden="1" x14ac:dyDescent="0.2">
      <c r="A362" s="28">
        <v>4</v>
      </c>
      <c r="B362" s="28">
        <v>6</v>
      </c>
      <c r="C362" s="11">
        <v>20</v>
      </c>
      <c r="D362" s="13" t="s">
        <v>303</v>
      </c>
      <c r="E362" s="10" t="s">
        <v>160</v>
      </c>
      <c r="F362" s="10" t="s">
        <v>211</v>
      </c>
      <c r="G362" s="10"/>
      <c r="H362" s="152"/>
      <c r="I362" s="164"/>
      <c r="J362" s="62"/>
      <c r="K362" s="62"/>
      <c r="L362" s="177"/>
      <c r="M362" s="171"/>
      <c r="N362" s="62"/>
      <c r="O362" s="62"/>
      <c r="P362" s="62"/>
      <c r="Q362" s="64"/>
      <c r="R362" s="164"/>
      <c r="S362" s="62"/>
      <c r="T362" s="62"/>
      <c r="U362" s="62"/>
      <c r="V362" s="177"/>
      <c r="W362" s="171"/>
      <c r="X362" s="62"/>
      <c r="Y362" s="45"/>
      <c r="Z362" s="45"/>
      <c r="AA362" s="100"/>
      <c r="AB362" s="100"/>
      <c r="AC362" s="100"/>
      <c r="AD362" s="100"/>
      <c r="AE362" s="100"/>
      <c r="AF362" s="100"/>
      <c r="AG362" s="18">
        <v>20</v>
      </c>
      <c r="AH362" s="69" t="s">
        <v>303</v>
      </c>
      <c r="AI362" s="243" t="s">
        <v>160</v>
      </c>
      <c r="AJ362" s="243" t="s">
        <v>419</v>
      </c>
      <c r="AK362" s="246"/>
      <c r="AL362" s="43" t="str">
        <f t="shared" si="100"/>
        <v>-</v>
      </c>
      <c r="AM362" s="43">
        <f t="shared" si="88"/>
        <v>0</v>
      </c>
      <c r="AN362" s="193">
        <f t="shared" si="88"/>
        <v>0</v>
      </c>
      <c r="AO362" s="270" t="str">
        <f t="shared" si="89"/>
        <v>-</v>
      </c>
      <c r="AP362" s="266"/>
      <c r="AQ362" s="26" t="str">
        <f t="shared" si="96"/>
        <v>LUNSON CREEKSteelhead</v>
      </c>
      <c r="AR362" s="26">
        <f t="shared" si="90"/>
        <v>0</v>
      </c>
      <c r="AS362" s="33">
        <f t="shared" si="91"/>
        <v>0</v>
      </c>
      <c r="AX362" s="47" t="str">
        <f t="shared" si="92"/>
        <v>LUNSON CREEKSteelhead</v>
      </c>
      <c r="AY362" s="49">
        <f t="shared" si="93"/>
        <v>0</v>
      </c>
      <c r="AZ362" s="49">
        <f t="shared" si="94"/>
        <v>0</v>
      </c>
      <c r="BA362" s="31">
        <v>0</v>
      </c>
      <c r="BB362" s="188">
        <f t="shared" si="97"/>
        <v>0</v>
      </c>
      <c r="BC362" s="188" t="str">
        <f t="shared" si="101"/>
        <v xml:space="preserve"> </v>
      </c>
      <c r="BD362" s="188" t="str">
        <f t="shared" si="102"/>
        <v xml:space="preserve"> </v>
      </c>
      <c r="BE362" s="188" t="str">
        <f t="shared" si="103"/>
        <v xml:space="preserve"> </v>
      </c>
      <c r="BF362" s="50" t="str">
        <f t="shared" si="95"/>
        <v>LUNSON CREEK_Steelhead</v>
      </c>
      <c r="BG362" s="50" t="str">
        <f>IFERROR(VLOOKUP(BF362,'[1]WCVI Esc'!$C$5:$W$514,18,FALSE),"-")</f>
        <v>-</v>
      </c>
      <c r="BH362" s="50" t="str">
        <f t="shared" si="98"/>
        <v>-</v>
      </c>
      <c r="BI362" s="50" t="str">
        <f>IFERROR(VLOOKUP(BF362,'[1]WCVI Esc'!$C$5:$W$514,19,FALSE),"-")</f>
        <v>-</v>
      </c>
      <c r="BJ362" s="50" t="str">
        <f t="shared" si="99"/>
        <v>-</v>
      </c>
    </row>
    <row r="363" spans="1:65" hidden="1" x14ac:dyDescent="0.2">
      <c r="A363" s="28">
        <v>4</v>
      </c>
      <c r="B363" s="28">
        <v>1</v>
      </c>
      <c r="C363" s="11">
        <v>20</v>
      </c>
      <c r="D363" s="13" t="s">
        <v>291</v>
      </c>
      <c r="E363" s="10" t="s">
        <v>161</v>
      </c>
      <c r="F363" s="10" t="s">
        <v>207</v>
      </c>
      <c r="G363" s="10"/>
      <c r="H363" s="152"/>
      <c r="I363" s="164"/>
      <c r="J363" s="62"/>
      <c r="K363" s="62"/>
      <c r="L363" s="177"/>
      <c r="M363" s="171"/>
      <c r="N363" s="62"/>
      <c r="O363" s="62"/>
      <c r="P363" s="62"/>
      <c r="Q363" s="64"/>
      <c r="R363" s="164"/>
      <c r="S363" s="62"/>
      <c r="T363" s="62"/>
      <c r="U363" s="62"/>
      <c r="V363" s="177"/>
      <c r="W363" s="171"/>
      <c r="X363" s="62"/>
      <c r="Y363" s="45"/>
      <c r="Z363" s="45"/>
      <c r="AA363" s="100"/>
      <c r="AB363" s="100"/>
      <c r="AC363" s="100"/>
      <c r="AD363" s="100"/>
      <c r="AE363" s="100"/>
      <c r="AF363" s="100"/>
      <c r="AG363" s="18">
        <v>20</v>
      </c>
      <c r="AH363" s="69" t="s">
        <v>291</v>
      </c>
      <c r="AI363" s="243" t="s">
        <v>161</v>
      </c>
      <c r="AJ363" s="243" t="s">
        <v>419</v>
      </c>
      <c r="AK363" s="246"/>
      <c r="AL363" s="43" t="str">
        <f t="shared" si="100"/>
        <v>-</v>
      </c>
      <c r="AM363" s="43">
        <f t="shared" si="88"/>
        <v>0</v>
      </c>
      <c r="AN363" s="193">
        <f t="shared" si="88"/>
        <v>0</v>
      </c>
      <c r="AO363" s="270" t="str">
        <f t="shared" si="89"/>
        <v>-</v>
      </c>
      <c r="AP363" s="266"/>
      <c r="AQ363" s="26" t="str">
        <f t="shared" si="96"/>
        <v>MAIDENHAIR CREEKSockeye</v>
      </c>
      <c r="AR363" s="26">
        <f t="shared" si="90"/>
        <v>0</v>
      </c>
      <c r="AS363" s="33">
        <f t="shared" si="91"/>
        <v>0</v>
      </c>
      <c r="AX363" s="47" t="str">
        <f t="shared" si="92"/>
        <v>MAIDENHAIR CREEKSockeye</v>
      </c>
      <c r="AY363" s="49">
        <f t="shared" si="93"/>
        <v>0</v>
      </c>
      <c r="AZ363" s="49">
        <f t="shared" si="94"/>
        <v>0</v>
      </c>
      <c r="BA363" s="31">
        <v>0</v>
      </c>
      <c r="BB363" s="188">
        <f t="shared" si="97"/>
        <v>0</v>
      </c>
      <c r="BC363" s="188" t="str">
        <f t="shared" si="101"/>
        <v xml:space="preserve"> </v>
      </c>
      <c r="BD363" s="188" t="str">
        <f t="shared" si="102"/>
        <v xml:space="preserve"> </v>
      </c>
      <c r="BE363" s="188" t="str">
        <f t="shared" si="103"/>
        <v xml:space="preserve"> </v>
      </c>
      <c r="BF363" s="50" t="str">
        <f t="shared" si="95"/>
        <v>MAIDENHAIR CREEK_Sockeye</v>
      </c>
      <c r="BG363" s="50" t="str">
        <f>IFERROR(VLOOKUP(BF363,'[1]WCVI Esc'!$C$5:$W$514,18,FALSE),"-")</f>
        <v>-</v>
      </c>
      <c r="BH363" s="50" t="str">
        <f t="shared" si="98"/>
        <v>-</v>
      </c>
      <c r="BI363" s="50" t="str">
        <f>IFERROR(VLOOKUP(BF363,'[1]WCVI Esc'!$C$5:$W$514,19,FALSE),"-")</f>
        <v>-</v>
      </c>
      <c r="BJ363" s="50" t="str">
        <f t="shared" si="99"/>
        <v>-</v>
      </c>
    </row>
    <row r="364" spans="1:65" hidden="1" x14ac:dyDescent="0.2">
      <c r="A364" s="28">
        <v>4</v>
      </c>
      <c r="B364" s="28">
        <v>2</v>
      </c>
      <c r="C364" s="11">
        <v>20</v>
      </c>
      <c r="D364" s="13" t="s">
        <v>291</v>
      </c>
      <c r="E364" s="10" t="s">
        <v>161</v>
      </c>
      <c r="F364" s="10" t="s">
        <v>219</v>
      </c>
      <c r="G364" s="10"/>
      <c r="H364" s="152"/>
      <c r="I364" s="164"/>
      <c r="J364" s="62"/>
      <c r="K364" s="62"/>
      <c r="L364" s="177"/>
      <c r="M364" s="171"/>
      <c r="N364" s="62"/>
      <c r="O364" s="62"/>
      <c r="P364" s="62"/>
      <c r="Q364" s="64"/>
      <c r="R364" s="164"/>
      <c r="S364" s="62"/>
      <c r="T364" s="62"/>
      <c r="U364" s="62"/>
      <c r="V364" s="177"/>
      <c r="W364" s="171"/>
      <c r="X364" s="62"/>
      <c r="Y364" s="45"/>
      <c r="Z364" s="45"/>
      <c r="AA364" s="100"/>
      <c r="AB364" s="100"/>
      <c r="AC364" s="100"/>
      <c r="AD364" s="100"/>
      <c r="AE364" s="100"/>
      <c r="AF364" s="100"/>
      <c r="AG364" s="18">
        <v>20</v>
      </c>
      <c r="AH364" s="69" t="s">
        <v>291</v>
      </c>
      <c r="AI364" s="243" t="s">
        <v>161</v>
      </c>
      <c r="AJ364" s="243" t="s">
        <v>419</v>
      </c>
      <c r="AK364" s="246"/>
      <c r="AL364" s="43" t="str">
        <f t="shared" si="100"/>
        <v>-</v>
      </c>
      <c r="AM364" s="43">
        <f t="shared" si="88"/>
        <v>0</v>
      </c>
      <c r="AN364" s="193">
        <f t="shared" si="88"/>
        <v>0</v>
      </c>
      <c r="AO364" s="270" t="str">
        <f t="shared" si="89"/>
        <v>-</v>
      </c>
      <c r="AP364" s="266"/>
      <c r="AQ364" s="26" t="str">
        <f t="shared" si="96"/>
        <v>MAIDENHAIR CREEKCoho</v>
      </c>
      <c r="AR364" s="26">
        <f t="shared" si="90"/>
        <v>0</v>
      </c>
      <c r="AS364" s="33">
        <f t="shared" si="91"/>
        <v>0</v>
      </c>
      <c r="AX364" s="47" t="str">
        <f t="shared" si="92"/>
        <v>MAIDENHAIR CREEKCoho</v>
      </c>
      <c r="AY364" s="49">
        <f t="shared" si="93"/>
        <v>0</v>
      </c>
      <c r="AZ364" s="49">
        <f t="shared" si="94"/>
        <v>0</v>
      </c>
      <c r="BA364" s="31">
        <v>0</v>
      </c>
      <c r="BB364" s="188">
        <f t="shared" si="97"/>
        <v>0</v>
      </c>
      <c r="BC364" s="188" t="str">
        <f t="shared" si="101"/>
        <v xml:space="preserve"> </v>
      </c>
      <c r="BD364" s="188" t="str">
        <f t="shared" si="102"/>
        <v xml:space="preserve"> </v>
      </c>
      <c r="BE364" s="188" t="str">
        <f t="shared" si="103"/>
        <v xml:space="preserve"> </v>
      </c>
      <c r="BF364" s="50" t="str">
        <f t="shared" si="95"/>
        <v>MAIDENHAIR CREEK_Coho</v>
      </c>
      <c r="BG364" s="50" t="str">
        <f>IFERROR(VLOOKUP(BF364,'[1]WCVI Esc'!$C$5:$W$514,18,FALSE),"-")</f>
        <v>-</v>
      </c>
      <c r="BH364" s="50" t="str">
        <f t="shared" si="98"/>
        <v>-</v>
      </c>
      <c r="BI364" s="50" t="str">
        <f>IFERROR(VLOOKUP(BF364,'[1]WCVI Esc'!$C$5:$W$514,19,FALSE),"-")</f>
        <v>-</v>
      </c>
      <c r="BJ364" s="50" t="str">
        <f t="shared" si="99"/>
        <v>-</v>
      </c>
    </row>
    <row r="365" spans="1:65" hidden="1" x14ac:dyDescent="0.2">
      <c r="A365" s="28">
        <v>4</v>
      </c>
      <c r="B365" s="28">
        <v>3</v>
      </c>
      <c r="C365" s="11">
        <v>20</v>
      </c>
      <c r="D365" s="13" t="s">
        <v>291</v>
      </c>
      <c r="E365" s="10" t="s">
        <v>161</v>
      </c>
      <c r="F365" s="10" t="s">
        <v>208</v>
      </c>
      <c r="G365" s="10"/>
      <c r="H365" s="152"/>
      <c r="I365" s="164"/>
      <c r="J365" s="62"/>
      <c r="K365" s="62"/>
      <c r="L365" s="177"/>
      <c r="M365" s="171"/>
      <c r="N365" s="62"/>
      <c r="O365" s="62"/>
      <c r="P365" s="62"/>
      <c r="Q365" s="64"/>
      <c r="R365" s="164"/>
      <c r="S365" s="62"/>
      <c r="T365" s="62"/>
      <c r="U365" s="62"/>
      <c r="V365" s="177"/>
      <c r="W365" s="171"/>
      <c r="X365" s="62"/>
      <c r="Y365" s="45"/>
      <c r="Z365" s="45"/>
      <c r="AA365" s="100"/>
      <c r="AB365" s="100"/>
      <c r="AC365" s="100"/>
      <c r="AD365" s="100"/>
      <c r="AE365" s="100"/>
      <c r="AF365" s="100"/>
      <c r="AG365" s="18">
        <v>20</v>
      </c>
      <c r="AH365" s="69" t="s">
        <v>291</v>
      </c>
      <c r="AI365" s="243" t="s">
        <v>161</v>
      </c>
      <c r="AJ365" s="243" t="s">
        <v>419</v>
      </c>
      <c r="AK365" s="246"/>
      <c r="AL365" s="43" t="str">
        <f t="shared" si="100"/>
        <v>-</v>
      </c>
      <c r="AM365" s="43">
        <f t="shared" si="88"/>
        <v>0</v>
      </c>
      <c r="AN365" s="193">
        <f t="shared" si="88"/>
        <v>0</v>
      </c>
      <c r="AO365" s="270" t="str">
        <f t="shared" si="89"/>
        <v>-</v>
      </c>
      <c r="AP365" s="266"/>
      <c r="AQ365" s="26" t="str">
        <f t="shared" si="96"/>
        <v>MAIDENHAIR CREEKPink</v>
      </c>
      <c r="AR365" s="26">
        <f t="shared" si="90"/>
        <v>0</v>
      </c>
      <c r="AS365" s="33">
        <f t="shared" si="91"/>
        <v>0</v>
      </c>
      <c r="AX365" s="47" t="str">
        <f t="shared" si="92"/>
        <v>MAIDENHAIR CREEKPink</v>
      </c>
      <c r="AY365" s="49">
        <f t="shared" si="93"/>
        <v>0</v>
      </c>
      <c r="AZ365" s="49">
        <f t="shared" si="94"/>
        <v>0</v>
      </c>
      <c r="BA365" s="31">
        <v>0</v>
      </c>
      <c r="BB365" s="188">
        <f t="shared" si="97"/>
        <v>0</v>
      </c>
      <c r="BC365" s="188" t="str">
        <f t="shared" si="101"/>
        <v xml:space="preserve"> </v>
      </c>
      <c r="BD365" s="188" t="str">
        <f t="shared" si="102"/>
        <v xml:space="preserve"> </v>
      </c>
      <c r="BE365" s="188" t="str">
        <f t="shared" si="103"/>
        <v xml:space="preserve"> </v>
      </c>
      <c r="BF365" s="50" t="str">
        <f t="shared" si="95"/>
        <v>MAIDENHAIR CREEK_Pink</v>
      </c>
      <c r="BG365" s="50" t="str">
        <f>IFERROR(VLOOKUP(BF365,'[1]WCVI Esc'!$C$5:$W$514,18,FALSE),"-")</f>
        <v>-</v>
      </c>
      <c r="BH365" s="50" t="str">
        <f t="shared" si="98"/>
        <v>-</v>
      </c>
      <c r="BI365" s="50" t="str">
        <f>IFERROR(VLOOKUP(BF365,'[1]WCVI Esc'!$C$5:$W$514,19,FALSE),"-")</f>
        <v>-</v>
      </c>
      <c r="BJ365" s="50" t="str">
        <f t="shared" si="99"/>
        <v>-</v>
      </c>
    </row>
    <row r="366" spans="1:65" hidden="1" x14ac:dyDescent="0.2">
      <c r="A366" s="28">
        <v>4</v>
      </c>
      <c r="B366" s="28">
        <v>4</v>
      </c>
      <c r="C366" s="11">
        <v>20</v>
      </c>
      <c r="D366" s="13" t="s">
        <v>291</v>
      </c>
      <c r="E366" s="10" t="s">
        <v>161</v>
      </c>
      <c r="F366" s="10" t="s">
        <v>209</v>
      </c>
      <c r="G366" s="10"/>
      <c r="H366" s="152"/>
      <c r="I366" s="164"/>
      <c r="J366" s="62"/>
      <c r="K366" s="62"/>
      <c r="L366" s="177"/>
      <c r="M366" s="171"/>
      <c r="N366" s="62"/>
      <c r="O366" s="62"/>
      <c r="P366" s="62"/>
      <c r="Q366" s="64"/>
      <c r="R366" s="164"/>
      <c r="S366" s="62"/>
      <c r="T366" s="62"/>
      <c r="U366" s="62"/>
      <c r="V366" s="177"/>
      <c r="W366" s="171"/>
      <c r="X366" s="62"/>
      <c r="Y366" s="45"/>
      <c r="Z366" s="45"/>
      <c r="AA366" s="100"/>
      <c r="AB366" s="100"/>
      <c r="AC366" s="100"/>
      <c r="AD366" s="100"/>
      <c r="AE366" s="100"/>
      <c r="AF366" s="100"/>
      <c r="AG366" s="18">
        <v>20</v>
      </c>
      <c r="AH366" s="69" t="s">
        <v>291</v>
      </c>
      <c r="AI366" s="243" t="s">
        <v>161</v>
      </c>
      <c r="AJ366" s="243" t="s">
        <v>419</v>
      </c>
      <c r="AK366" s="246"/>
      <c r="AL366" s="43" t="str">
        <f t="shared" si="100"/>
        <v>-</v>
      </c>
      <c r="AM366" s="43">
        <f t="shared" si="88"/>
        <v>0</v>
      </c>
      <c r="AN366" s="193">
        <f t="shared" si="88"/>
        <v>0</v>
      </c>
      <c r="AO366" s="270" t="str">
        <f t="shared" si="89"/>
        <v>-</v>
      </c>
      <c r="AP366" s="266"/>
      <c r="AQ366" s="26" t="str">
        <f t="shared" si="96"/>
        <v>MAIDENHAIR CREEKChum</v>
      </c>
      <c r="AR366" s="26">
        <f t="shared" si="90"/>
        <v>0</v>
      </c>
      <c r="AS366" s="33">
        <f t="shared" si="91"/>
        <v>0</v>
      </c>
      <c r="AX366" s="47" t="str">
        <f t="shared" si="92"/>
        <v>MAIDENHAIR CREEKChum</v>
      </c>
      <c r="AY366" s="49">
        <f t="shared" si="93"/>
        <v>0</v>
      </c>
      <c r="AZ366" s="49">
        <f t="shared" si="94"/>
        <v>0</v>
      </c>
      <c r="BA366" s="31">
        <v>0</v>
      </c>
      <c r="BB366" s="188">
        <f t="shared" si="97"/>
        <v>0</v>
      </c>
      <c r="BC366" s="188" t="str">
        <f t="shared" si="101"/>
        <v xml:space="preserve"> </v>
      </c>
      <c r="BD366" s="188" t="str">
        <f t="shared" si="102"/>
        <v xml:space="preserve"> </v>
      </c>
      <c r="BE366" s="188" t="str">
        <f t="shared" si="103"/>
        <v xml:space="preserve"> </v>
      </c>
      <c r="BF366" s="50" t="str">
        <f t="shared" si="95"/>
        <v>MAIDENHAIR CREEK_Chum</v>
      </c>
      <c r="BG366" s="50" t="str">
        <f>IFERROR(VLOOKUP(BF366,'[1]WCVI Esc'!$C$5:$W$514,18,FALSE),"-")</f>
        <v>-</v>
      </c>
      <c r="BH366" s="50" t="str">
        <f t="shared" si="98"/>
        <v>-</v>
      </c>
      <c r="BI366" s="50" t="str">
        <f>IFERROR(VLOOKUP(BF366,'[1]WCVI Esc'!$C$5:$W$514,19,FALSE),"-")</f>
        <v>-</v>
      </c>
      <c r="BJ366" s="50" t="str">
        <f t="shared" si="99"/>
        <v>-</v>
      </c>
    </row>
    <row r="367" spans="1:65" hidden="1" x14ac:dyDescent="0.2">
      <c r="A367" s="28">
        <v>4</v>
      </c>
      <c r="B367" s="28">
        <v>5</v>
      </c>
      <c r="C367" s="11">
        <v>20</v>
      </c>
      <c r="D367" s="13" t="s">
        <v>291</v>
      </c>
      <c r="E367" s="10" t="s">
        <v>161</v>
      </c>
      <c r="F367" s="10" t="s">
        <v>210</v>
      </c>
      <c r="G367" s="10"/>
      <c r="H367" s="152"/>
      <c r="I367" s="164"/>
      <c r="J367" s="62"/>
      <c r="K367" s="62"/>
      <c r="L367" s="177"/>
      <c r="M367" s="171"/>
      <c r="N367" s="62"/>
      <c r="O367" s="62"/>
      <c r="P367" s="62"/>
      <c r="Q367" s="64"/>
      <c r="R367" s="164"/>
      <c r="S367" s="62"/>
      <c r="T367" s="62"/>
      <c r="U367" s="62"/>
      <c r="V367" s="177"/>
      <c r="W367" s="171"/>
      <c r="X367" s="62"/>
      <c r="Y367" s="45"/>
      <c r="Z367" s="45"/>
      <c r="AA367" s="100"/>
      <c r="AB367" s="100"/>
      <c r="AC367" s="100"/>
      <c r="AD367" s="100"/>
      <c r="AE367" s="100"/>
      <c r="AF367" s="100"/>
      <c r="AG367" s="18">
        <v>20</v>
      </c>
      <c r="AH367" s="69" t="s">
        <v>291</v>
      </c>
      <c r="AI367" s="243" t="s">
        <v>161</v>
      </c>
      <c r="AJ367" s="243" t="s">
        <v>419</v>
      </c>
      <c r="AK367" s="246"/>
      <c r="AL367" s="43" t="str">
        <f t="shared" si="100"/>
        <v>-</v>
      </c>
      <c r="AM367" s="43">
        <f t="shared" si="88"/>
        <v>0</v>
      </c>
      <c r="AN367" s="193">
        <f t="shared" si="88"/>
        <v>0</v>
      </c>
      <c r="AO367" s="270" t="str">
        <f t="shared" si="89"/>
        <v>-</v>
      </c>
      <c r="AP367" s="266"/>
      <c r="AQ367" s="26" t="str">
        <f t="shared" si="96"/>
        <v>MAIDENHAIR CREEKChinook</v>
      </c>
      <c r="AR367" s="26">
        <f t="shared" si="90"/>
        <v>0</v>
      </c>
      <c r="AS367" s="33">
        <f t="shared" si="91"/>
        <v>0</v>
      </c>
      <c r="AX367" s="47" t="str">
        <f t="shared" si="92"/>
        <v>MAIDENHAIR CREEKChinook</v>
      </c>
      <c r="AY367" s="49">
        <f t="shared" si="93"/>
        <v>0</v>
      </c>
      <c r="AZ367" s="49">
        <f t="shared" si="94"/>
        <v>0</v>
      </c>
      <c r="BA367" s="31">
        <v>0</v>
      </c>
      <c r="BB367" s="188">
        <f t="shared" si="97"/>
        <v>0</v>
      </c>
      <c r="BC367" s="188" t="str">
        <f t="shared" si="101"/>
        <v xml:space="preserve"> </v>
      </c>
      <c r="BD367" s="188" t="str">
        <f t="shared" si="102"/>
        <v xml:space="preserve"> </v>
      </c>
      <c r="BE367" s="188" t="str">
        <f t="shared" si="103"/>
        <v xml:space="preserve"> </v>
      </c>
      <c r="BF367" s="50" t="str">
        <f t="shared" si="95"/>
        <v>MAIDENHAIR CREEK_Chinook</v>
      </c>
      <c r="BG367" s="50" t="str">
        <f>IFERROR(VLOOKUP(BF367,'[1]WCVI Esc'!$C$5:$W$514,18,FALSE),"-")</f>
        <v>-</v>
      </c>
      <c r="BH367" s="50" t="str">
        <f t="shared" si="98"/>
        <v>-</v>
      </c>
      <c r="BI367" s="50" t="str">
        <f>IFERROR(VLOOKUP(BF367,'[1]WCVI Esc'!$C$5:$W$514,19,FALSE),"-")</f>
        <v>-</v>
      </c>
      <c r="BJ367" s="50" t="str">
        <f t="shared" si="99"/>
        <v>-</v>
      </c>
    </row>
    <row r="368" spans="1:65" hidden="1" x14ac:dyDescent="0.2">
      <c r="A368" s="28">
        <v>4</v>
      </c>
      <c r="B368" s="28">
        <v>6</v>
      </c>
      <c r="C368" s="11">
        <v>20</v>
      </c>
      <c r="D368" s="13" t="s">
        <v>291</v>
      </c>
      <c r="E368" s="10" t="s">
        <v>161</v>
      </c>
      <c r="F368" s="10" t="s">
        <v>211</v>
      </c>
      <c r="G368" s="10"/>
      <c r="H368" s="152"/>
      <c r="I368" s="164"/>
      <c r="J368" s="62"/>
      <c r="K368" s="62"/>
      <c r="L368" s="177"/>
      <c r="M368" s="171"/>
      <c r="N368" s="62"/>
      <c r="O368" s="62"/>
      <c r="P368" s="62"/>
      <c r="Q368" s="64"/>
      <c r="R368" s="164"/>
      <c r="S368" s="62"/>
      <c r="T368" s="62"/>
      <c r="U368" s="62"/>
      <c r="V368" s="177"/>
      <c r="W368" s="171"/>
      <c r="X368" s="62"/>
      <c r="Y368" s="45"/>
      <c r="Z368" s="45"/>
      <c r="AA368" s="100"/>
      <c r="AB368" s="100"/>
      <c r="AC368" s="100"/>
      <c r="AD368" s="100"/>
      <c r="AE368" s="100"/>
      <c r="AF368" s="100"/>
      <c r="AG368" s="18">
        <v>20</v>
      </c>
      <c r="AH368" s="69" t="s">
        <v>291</v>
      </c>
      <c r="AI368" s="243" t="s">
        <v>161</v>
      </c>
      <c r="AJ368" s="243" t="s">
        <v>419</v>
      </c>
      <c r="AK368" s="246"/>
      <c r="AL368" s="43" t="str">
        <f t="shared" si="100"/>
        <v>-</v>
      </c>
      <c r="AM368" s="43">
        <f t="shared" si="88"/>
        <v>0</v>
      </c>
      <c r="AN368" s="193">
        <f t="shared" si="88"/>
        <v>0</v>
      </c>
      <c r="AO368" s="270" t="str">
        <f t="shared" si="89"/>
        <v>-</v>
      </c>
      <c r="AP368" s="266"/>
      <c r="AQ368" s="26" t="str">
        <f t="shared" si="96"/>
        <v>MAIDENHAIR CREEKSteelhead</v>
      </c>
      <c r="AR368" s="26">
        <f t="shared" si="90"/>
        <v>0</v>
      </c>
      <c r="AS368" s="33">
        <f t="shared" si="91"/>
        <v>0</v>
      </c>
      <c r="AX368" s="47" t="str">
        <f t="shared" si="92"/>
        <v>MAIDENHAIR CREEKSteelhead</v>
      </c>
      <c r="AY368" s="49">
        <f t="shared" si="93"/>
        <v>0</v>
      </c>
      <c r="AZ368" s="49">
        <f t="shared" si="94"/>
        <v>0</v>
      </c>
      <c r="BA368" s="31">
        <v>0</v>
      </c>
      <c r="BB368" s="188">
        <f t="shared" si="97"/>
        <v>0</v>
      </c>
      <c r="BC368" s="188" t="str">
        <f t="shared" si="101"/>
        <v xml:space="preserve"> </v>
      </c>
      <c r="BD368" s="188" t="str">
        <f t="shared" si="102"/>
        <v xml:space="preserve"> </v>
      </c>
      <c r="BE368" s="188" t="str">
        <f t="shared" si="103"/>
        <v xml:space="preserve"> </v>
      </c>
      <c r="BF368" s="50" t="str">
        <f t="shared" si="95"/>
        <v>MAIDENHAIR CREEK_Steelhead</v>
      </c>
      <c r="BG368" s="50" t="str">
        <f>IFERROR(VLOOKUP(BF368,'[1]WCVI Esc'!$C$5:$W$514,18,FALSE),"-")</f>
        <v>-</v>
      </c>
      <c r="BH368" s="50" t="str">
        <f t="shared" si="98"/>
        <v>-</v>
      </c>
      <c r="BI368" s="50" t="str">
        <f>IFERROR(VLOOKUP(BF368,'[1]WCVI Esc'!$C$5:$W$514,19,FALSE),"-")</f>
        <v>-</v>
      </c>
      <c r="BJ368" s="50" t="str">
        <f t="shared" si="99"/>
        <v>-</v>
      </c>
    </row>
    <row r="369" spans="1:62" hidden="1" x14ac:dyDescent="0.2">
      <c r="A369" s="28">
        <v>4</v>
      </c>
      <c r="B369" s="28">
        <v>1</v>
      </c>
      <c r="C369" s="11">
        <v>20</v>
      </c>
      <c r="D369" s="13" t="s">
        <v>291</v>
      </c>
      <c r="E369" s="10" t="s">
        <v>20</v>
      </c>
      <c r="F369" s="10" t="s">
        <v>207</v>
      </c>
      <c r="G369" s="10"/>
      <c r="H369" s="152"/>
      <c r="I369" s="164"/>
      <c r="J369" s="62"/>
      <c r="K369" s="62"/>
      <c r="L369" s="177"/>
      <c r="M369" s="171"/>
      <c r="N369" s="62"/>
      <c r="O369" s="62"/>
      <c r="P369" s="62"/>
      <c r="Q369" s="64"/>
      <c r="R369" s="164"/>
      <c r="S369" s="62"/>
      <c r="T369" s="62"/>
      <c r="U369" s="62"/>
      <c r="V369" s="177"/>
      <c r="W369" s="171"/>
      <c r="X369" s="62"/>
      <c r="Y369" s="45"/>
      <c r="Z369" s="45"/>
      <c r="AA369" s="100"/>
      <c r="AB369" s="100"/>
      <c r="AC369" s="100"/>
      <c r="AD369" s="100"/>
      <c r="AE369" s="100"/>
      <c r="AF369" s="100"/>
      <c r="AG369" s="18">
        <v>20</v>
      </c>
      <c r="AH369" s="69" t="s">
        <v>291</v>
      </c>
      <c r="AI369" s="243" t="s">
        <v>20</v>
      </c>
      <c r="AJ369" s="243" t="s">
        <v>419</v>
      </c>
      <c r="AK369" s="246"/>
      <c r="AL369" s="43" t="str">
        <f t="shared" si="100"/>
        <v>-</v>
      </c>
      <c r="AM369" s="43">
        <f t="shared" si="88"/>
        <v>0</v>
      </c>
      <c r="AN369" s="193">
        <f t="shared" si="88"/>
        <v>0</v>
      </c>
      <c r="AO369" s="270" t="str">
        <f t="shared" si="89"/>
        <v>-</v>
      </c>
      <c r="AP369" s="266"/>
      <c r="AQ369" s="26" t="str">
        <f t="shared" si="96"/>
        <v>MOSQUITO CREEKSockeye</v>
      </c>
      <c r="AR369" s="26">
        <f t="shared" si="90"/>
        <v>0</v>
      </c>
      <c r="AS369" s="33">
        <f t="shared" si="91"/>
        <v>0</v>
      </c>
      <c r="AX369" s="47" t="str">
        <f t="shared" si="92"/>
        <v>MOSQUITO CREEKSockeye</v>
      </c>
      <c r="AY369" s="49">
        <f t="shared" si="93"/>
        <v>0</v>
      </c>
      <c r="AZ369" s="49">
        <f t="shared" si="94"/>
        <v>0</v>
      </c>
      <c r="BA369" s="31">
        <v>2011</v>
      </c>
      <c r="BB369" s="188">
        <f t="shared" si="97"/>
        <v>0</v>
      </c>
      <c r="BC369" s="188" t="str">
        <f t="shared" si="101"/>
        <v xml:space="preserve"> </v>
      </c>
      <c r="BD369" s="188" t="str">
        <f t="shared" si="102"/>
        <v xml:space="preserve"> </v>
      </c>
      <c r="BE369" s="188" t="str">
        <f t="shared" si="103"/>
        <v xml:space="preserve"> </v>
      </c>
      <c r="BF369" s="50" t="str">
        <f t="shared" si="95"/>
        <v>MOSQUITO CREEK_Sockeye</v>
      </c>
      <c r="BG369" s="50" t="str">
        <f>IFERROR(VLOOKUP(BF369,'[1]WCVI Esc'!$C$5:$W$514,18,FALSE),"-")</f>
        <v>-</v>
      </c>
      <c r="BH369" s="50" t="str">
        <f t="shared" si="98"/>
        <v>-</v>
      </c>
      <c r="BI369" s="50" t="str">
        <f>IFERROR(VLOOKUP(BF369,'[1]WCVI Esc'!$C$5:$W$514,19,FALSE),"-")</f>
        <v>-</v>
      </c>
      <c r="BJ369" s="50" t="str">
        <f t="shared" si="99"/>
        <v>-</v>
      </c>
    </row>
    <row r="370" spans="1:62" hidden="1" x14ac:dyDescent="0.2">
      <c r="A370" s="28">
        <v>4</v>
      </c>
      <c r="B370" s="28">
        <v>2</v>
      </c>
      <c r="C370" s="11">
        <v>20</v>
      </c>
      <c r="D370" s="13" t="s">
        <v>291</v>
      </c>
      <c r="E370" s="10" t="s">
        <v>20</v>
      </c>
      <c r="F370" s="10" t="s">
        <v>219</v>
      </c>
      <c r="G370" s="10"/>
      <c r="H370" s="152"/>
      <c r="I370" s="164"/>
      <c r="J370" s="62"/>
      <c r="K370" s="62"/>
      <c r="L370" s="177"/>
      <c r="M370" s="171"/>
      <c r="N370" s="62"/>
      <c r="O370" s="62"/>
      <c r="P370" s="62"/>
      <c r="Q370" s="64"/>
      <c r="R370" s="164"/>
      <c r="S370" s="62"/>
      <c r="T370" s="62"/>
      <c r="U370" s="62"/>
      <c r="V370" s="177"/>
      <c r="W370" s="171"/>
      <c r="X370" s="62"/>
      <c r="Y370" s="45"/>
      <c r="Z370" s="45"/>
      <c r="AA370" s="100">
        <f>Y370/AP370</f>
        <v>0</v>
      </c>
      <c r="AB370" s="100">
        <f>AS370/AP370</f>
        <v>0</v>
      </c>
      <c r="AC370" s="100"/>
      <c r="AD370" s="100"/>
      <c r="AE370" s="100"/>
      <c r="AF370" s="100"/>
      <c r="AG370" s="18">
        <v>20</v>
      </c>
      <c r="AH370" s="69" t="s">
        <v>291</v>
      </c>
      <c r="AI370" s="243" t="s">
        <v>20</v>
      </c>
      <c r="AJ370" s="243" t="s">
        <v>419</v>
      </c>
      <c r="AK370" s="246"/>
      <c r="AL370" s="43" t="str">
        <f t="shared" si="100"/>
        <v>-</v>
      </c>
      <c r="AM370" s="43">
        <f t="shared" si="88"/>
        <v>0</v>
      </c>
      <c r="AN370" s="193">
        <f t="shared" si="88"/>
        <v>0</v>
      </c>
      <c r="AO370" s="270" t="str">
        <f t="shared" si="89"/>
        <v>-</v>
      </c>
      <c r="AP370" s="265">
        <f>BJ370</f>
        <v>60</v>
      </c>
      <c r="AQ370" s="26" t="str">
        <f t="shared" si="96"/>
        <v>MOSQUITO CREEKCoho</v>
      </c>
      <c r="AR370" s="26">
        <f t="shared" si="90"/>
        <v>0</v>
      </c>
      <c r="AS370" s="33">
        <f t="shared" si="91"/>
        <v>0</v>
      </c>
      <c r="AX370" s="47" t="str">
        <f t="shared" si="92"/>
        <v>MOSQUITO CREEKCoho</v>
      </c>
      <c r="AY370" s="49">
        <f t="shared" si="93"/>
        <v>0</v>
      </c>
      <c r="AZ370" s="49">
        <f t="shared" si="94"/>
        <v>0</v>
      </c>
      <c r="BA370" s="31">
        <v>2011</v>
      </c>
      <c r="BB370" s="188">
        <f t="shared" si="97"/>
        <v>0</v>
      </c>
      <c r="BC370" s="188" t="str">
        <f t="shared" si="101"/>
        <v xml:space="preserve"> </v>
      </c>
      <c r="BD370" s="188" t="str">
        <f t="shared" si="102"/>
        <v xml:space="preserve"> </v>
      </c>
      <c r="BE370" s="188" t="str">
        <f t="shared" si="103"/>
        <v xml:space="preserve"> </v>
      </c>
      <c r="BF370" s="50" t="str">
        <f t="shared" si="95"/>
        <v>MOSQUITO CREEK_Coho</v>
      </c>
      <c r="BG370" s="50" t="str">
        <f>IFERROR(VLOOKUP(BF370,'[1]WCVI Esc'!$C$5:$W$514,18,FALSE),"-")</f>
        <v>-</v>
      </c>
      <c r="BH370" s="50" t="str">
        <f t="shared" si="98"/>
        <v>-</v>
      </c>
      <c r="BI370" s="50">
        <f>IFERROR(VLOOKUP(BF370,'[1]WCVI Esc'!$C$5:$W$514,19,FALSE),"-")</f>
        <v>62</v>
      </c>
      <c r="BJ370" s="50">
        <f t="shared" si="99"/>
        <v>60</v>
      </c>
    </row>
    <row r="371" spans="1:62" hidden="1" x14ac:dyDescent="0.2">
      <c r="A371" s="28">
        <v>4</v>
      </c>
      <c r="B371" s="28">
        <v>3</v>
      </c>
      <c r="C371" s="11">
        <v>20</v>
      </c>
      <c r="D371" s="13" t="s">
        <v>291</v>
      </c>
      <c r="E371" s="10" t="s">
        <v>20</v>
      </c>
      <c r="F371" s="10" t="s">
        <v>208</v>
      </c>
      <c r="G371" s="10"/>
      <c r="H371" s="152"/>
      <c r="I371" s="164"/>
      <c r="J371" s="62"/>
      <c r="K371" s="62"/>
      <c r="L371" s="177"/>
      <c r="M371" s="171"/>
      <c r="N371" s="62"/>
      <c r="O371" s="62"/>
      <c r="P371" s="62"/>
      <c r="Q371" s="64"/>
      <c r="R371" s="164"/>
      <c r="S371" s="62"/>
      <c r="T371" s="62"/>
      <c r="U371" s="62"/>
      <c r="V371" s="177"/>
      <c r="W371" s="171"/>
      <c r="X371" s="62"/>
      <c r="Y371" s="45"/>
      <c r="Z371" s="45"/>
      <c r="AA371" s="100"/>
      <c r="AB371" s="100"/>
      <c r="AC371" s="100"/>
      <c r="AD371" s="100"/>
      <c r="AE371" s="100"/>
      <c r="AF371" s="100"/>
      <c r="AG371" s="18">
        <v>20</v>
      </c>
      <c r="AH371" s="69" t="s">
        <v>291</v>
      </c>
      <c r="AI371" s="243" t="s">
        <v>20</v>
      </c>
      <c r="AJ371" s="243" t="s">
        <v>419</v>
      </c>
      <c r="AK371" s="246"/>
      <c r="AL371" s="43" t="str">
        <f t="shared" si="100"/>
        <v>-</v>
      </c>
      <c r="AM371" s="43">
        <f t="shared" si="88"/>
        <v>0</v>
      </c>
      <c r="AN371" s="193">
        <f t="shared" si="88"/>
        <v>0</v>
      </c>
      <c r="AO371" s="270" t="str">
        <f t="shared" si="89"/>
        <v>-</v>
      </c>
      <c r="AP371" s="266"/>
      <c r="AQ371" s="26" t="str">
        <f t="shared" si="96"/>
        <v>MOSQUITO CREEKPink</v>
      </c>
      <c r="AR371" s="26">
        <f t="shared" si="90"/>
        <v>0</v>
      </c>
      <c r="AS371" s="33">
        <f t="shared" si="91"/>
        <v>0</v>
      </c>
      <c r="AX371" s="47" t="str">
        <f t="shared" si="92"/>
        <v>MOSQUITO CREEKPink</v>
      </c>
      <c r="AY371" s="49">
        <f t="shared" si="93"/>
        <v>0</v>
      </c>
      <c r="AZ371" s="49">
        <f t="shared" si="94"/>
        <v>0</v>
      </c>
      <c r="BA371" s="31">
        <v>0</v>
      </c>
      <c r="BB371" s="188">
        <f t="shared" si="97"/>
        <v>0</v>
      </c>
      <c r="BC371" s="188" t="str">
        <f t="shared" si="101"/>
        <v xml:space="preserve"> </v>
      </c>
      <c r="BD371" s="188" t="str">
        <f t="shared" si="102"/>
        <v xml:space="preserve"> </v>
      </c>
      <c r="BE371" s="188" t="str">
        <f t="shared" si="103"/>
        <v xml:space="preserve"> </v>
      </c>
      <c r="BF371" s="50" t="str">
        <f t="shared" si="95"/>
        <v>MOSQUITO CREEK_Pink</v>
      </c>
      <c r="BG371" s="50" t="str">
        <f>IFERROR(VLOOKUP(BF371,'[1]WCVI Esc'!$C$5:$W$514,18,FALSE),"-")</f>
        <v>-</v>
      </c>
      <c r="BH371" s="50" t="str">
        <f t="shared" si="98"/>
        <v>-</v>
      </c>
      <c r="BI371" s="50" t="str">
        <f>IFERROR(VLOOKUP(BF371,'[1]WCVI Esc'!$C$5:$W$514,19,FALSE),"-")</f>
        <v>-</v>
      </c>
      <c r="BJ371" s="50" t="str">
        <f t="shared" si="99"/>
        <v>-</v>
      </c>
    </row>
    <row r="372" spans="1:62" hidden="1" x14ac:dyDescent="0.2">
      <c r="A372" s="28">
        <v>4</v>
      </c>
      <c r="B372" s="28">
        <v>4</v>
      </c>
      <c r="C372" s="11">
        <v>20</v>
      </c>
      <c r="D372" s="13" t="s">
        <v>291</v>
      </c>
      <c r="E372" s="10" t="s">
        <v>20</v>
      </c>
      <c r="F372" s="10" t="s">
        <v>209</v>
      </c>
      <c r="G372" s="10"/>
      <c r="H372" s="152"/>
      <c r="I372" s="164"/>
      <c r="J372" s="62"/>
      <c r="K372" s="62"/>
      <c r="L372" s="177"/>
      <c r="M372" s="171"/>
      <c r="N372" s="62"/>
      <c r="O372" s="62"/>
      <c r="P372" s="62"/>
      <c r="Q372" s="64"/>
      <c r="R372" s="164"/>
      <c r="S372" s="62"/>
      <c r="T372" s="62"/>
      <c r="U372" s="62"/>
      <c r="V372" s="177"/>
      <c r="W372" s="171"/>
      <c r="X372" s="62"/>
      <c r="Y372" s="45"/>
      <c r="Z372" s="45"/>
      <c r="AA372" s="100"/>
      <c r="AB372" s="100"/>
      <c r="AC372" s="100"/>
      <c r="AD372" s="100"/>
      <c r="AE372" s="100"/>
      <c r="AF372" s="100"/>
      <c r="AG372" s="18">
        <v>20</v>
      </c>
      <c r="AH372" s="69" t="s">
        <v>291</v>
      </c>
      <c r="AI372" s="243" t="s">
        <v>20</v>
      </c>
      <c r="AJ372" s="243" t="s">
        <v>419</v>
      </c>
      <c r="AK372" s="246"/>
      <c r="AL372" s="43" t="str">
        <f t="shared" si="100"/>
        <v>-</v>
      </c>
      <c r="AM372" s="43">
        <f t="shared" si="88"/>
        <v>0</v>
      </c>
      <c r="AN372" s="193">
        <f t="shared" si="88"/>
        <v>0</v>
      </c>
      <c r="AO372" s="270" t="str">
        <f t="shared" si="89"/>
        <v>-</v>
      </c>
      <c r="AP372" s="266"/>
      <c r="AQ372" s="26" t="str">
        <f t="shared" si="96"/>
        <v>MOSQUITO CREEKChum</v>
      </c>
      <c r="AR372" s="26">
        <f t="shared" si="90"/>
        <v>0</v>
      </c>
      <c r="AS372" s="33">
        <f t="shared" si="91"/>
        <v>0</v>
      </c>
      <c r="AX372" s="47" t="str">
        <f t="shared" si="92"/>
        <v>MOSQUITO CREEKChum</v>
      </c>
      <c r="AY372" s="49">
        <f t="shared" si="93"/>
        <v>0</v>
      </c>
      <c r="AZ372" s="49">
        <f t="shared" si="94"/>
        <v>0</v>
      </c>
      <c r="BA372" s="31">
        <v>2011</v>
      </c>
      <c r="BB372" s="188">
        <f t="shared" si="97"/>
        <v>0</v>
      </c>
      <c r="BC372" s="188" t="str">
        <f t="shared" si="101"/>
        <v xml:space="preserve"> </v>
      </c>
      <c r="BD372" s="188" t="str">
        <f t="shared" si="102"/>
        <v xml:space="preserve"> </v>
      </c>
      <c r="BE372" s="188" t="str">
        <f t="shared" si="103"/>
        <v xml:space="preserve"> </v>
      </c>
      <c r="BF372" s="50" t="str">
        <f t="shared" si="95"/>
        <v>MOSQUITO CREEK_Chum</v>
      </c>
      <c r="BG372" s="50" t="str">
        <f>IFERROR(VLOOKUP(BF372,'[1]WCVI Esc'!$C$5:$W$514,18,FALSE),"-")</f>
        <v>-</v>
      </c>
      <c r="BH372" s="50" t="str">
        <f t="shared" si="98"/>
        <v>-</v>
      </c>
      <c r="BI372" s="50" t="str">
        <f>IFERROR(VLOOKUP(BF372,'[1]WCVI Esc'!$C$5:$W$514,19,FALSE),"-")</f>
        <v>-</v>
      </c>
      <c r="BJ372" s="50" t="str">
        <f t="shared" si="99"/>
        <v>-</v>
      </c>
    </row>
    <row r="373" spans="1:62" hidden="1" x14ac:dyDescent="0.2">
      <c r="A373" s="28">
        <v>4</v>
      </c>
      <c r="B373" s="28">
        <v>5</v>
      </c>
      <c r="C373" s="11">
        <v>20</v>
      </c>
      <c r="D373" s="13" t="s">
        <v>291</v>
      </c>
      <c r="E373" s="10" t="s">
        <v>20</v>
      </c>
      <c r="F373" s="10" t="s">
        <v>210</v>
      </c>
      <c r="G373" s="10"/>
      <c r="H373" s="152"/>
      <c r="I373" s="164"/>
      <c r="J373" s="62"/>
      <c r="K373" s="62"/>
      <c r="L373" s="177"/>
      <c r="M373" s="171"/>
      <c r="N373" s="62"/>
      <c r="O373" s="62"/>
      <c r="P373" s="62"/>
      <c r="Q373" s="64"/>
      <c r="R373" s="164"/>
      <c r="S373" s="62"/>
      <c r="T373" s="62"/>
      <c r="U373" s="62"/>
      <c r="V373" s="177"/>
      <c r="W373" s="171"/>
      <c r="X373" s="62"/>
      <c r="Y373" s="45"/>
      <c r="Z373" s="45"/>
      <c r="AA373" s="100"/>
      <c r="AB373" s="100"/>
      <c r="AC373" s="100"/>
      <c r="AD373" s="100"/>
      <c r="AE373" s="100"/>
      <c r="AF373" s="100"/>
      <c r="AG373" s="18">
        <v>20</v>
      </c>
      <c r="AH373" s="69" t="s">
        <v>291</v>
      </c>
      <c r="AI373" s="243" t="s">
        <v>20</v>
      </c>
      <c r="AJ373" s="243" t="s">
        <v>419</v>
      </c>
      <c r="AK373" s="246"/>
      <c r="AL373" s="43" t="str">
        <f t="shared" si="100"/>
        <v>-</v>
      </c>
      <c r="AM373" s="43">
        <f t="shared" si="88"/>
        <v>0</v>
      </c>
      <c r="AN373" s="193">
        <f t="shared" si="88"/>
        <v>0</v>
      </c>
      <c r="AO373" s="270" t="str">
        <f t="shared" si="89"/>
        <v>-</v>
      </c>
      <c r="AP373" s="266"/>
      <c r="AQ373" s="26" t="str">
        <f t="shared" si="96"/>
        <v>MOSQUITO CREEKChinook</v>
      </c>
      <c r="AR373" s="26">
        <f t="shared" si="90"/>
        <v>0</v>
      </c>
      <c r="AS373" s="33">
        <f t="shared" si="91"/>
        <v>0</v>
      </c>
      <c r="AX373" s="47" t="str">
        <f t="shared" si="92"/>
        <v>MOSQUITO CREEKChinook</v>
      </c>
      <c r="AY373" s="49">
        <f t="shared" si="93"/>
        <v>0</v>
      </c>
      <c r="AZ373" s="49">
        <f t="shared" si="94"/>
        <v>0</v>
      </c>
      <c r="BA373" s="31">
        <v>2011</v>
      </c>
      <c r="BB373" s="188">
        <f t="shared" si="97"/>
        <v>0</v>
      </c>
      <c r="BC373" s="188" t="str">
        <f t="shared" si="101"/>
        <v xml:space="preserve"> </v>
      </c>
      <c r="BD373" s="188" t="str">
        <f t="shared" si="102"/>
        <v xml:space="preserve"> </v>
      </c>
      <c r="BE373" s="188" t="str">
        <f t="shared" si="103"/>
        <v xml:space="preserve"> </v>
      </c>
      <c r="BF373" s="50" t="str">
        <f t="shared" si="95"/>
        <v>MOSQUITO CREEK_Chinook</v>
      </c>
      <c r="BG373" s="50" t="str">
        <f>IFERROR(VLOOKUP(BF373,'[1]WCVI Esc'!$C$5:$W$514,18,FALSE),"-")</f>
        <v>-</v>
      </c>
      <c r="BH373" s="50" t="str">
        <f t="shared" si="98"/>
        <v>-</v>
      </c>
      <c r="BI373" s="50" t="str">
        <f>IFERROR(VLOOKUP(BF373,'[1]WCVI Esc'!$C$5:$W$514,19,FALSE),"-")</f>
        <v>-</v>
      </c>
      <c r="BJ373" s="50" t="str">
        <f t="shared" si="99"/>
        <v>-</v>
      </c>
    </row>
    <row r="374" spans="1:62" hidden="1" x14ac:dyDescent="0.2">
      <c r="A374" s="28">
        <v>4</v>
      </c>
      <c r="B374" s="28">
        <v>6</v>
      </c>
      <c r="C374" s="11">
        <v>20</v>
      </c>
      <c r="D374" s="13" t="s">
        <v>291</v>
      </c>
      <c r="E374" s="10" t="s">
        <v>20</v>
      </c>
      <c r="F374" s="10" t="s">
        <v>211</v>
      </c>
      <c r="G374" s="10"/>
      <c r="H374" s="152"/>
      <c r="I374" s="164"/>
      <c r="J374" s="62"/>
      <c r="K374" s="62"/>
      <c r="L374" s="177"/>
      <c r="M374" s="171"/>
      <c r="N374" s="62"/>
      <c r="O374" s="62"/>
      <c r="P374" s="62"/>
      <c r="Q374" s="64"/>
      <c r="R374" s="164"/>
      <c r="S374" s="62"/>
      <c r="T374" s="62"/>
      <c r="U374" s="62"/>
      <c r="V374" s="177"/>
      <c r="W374" s="171"/>
      <c r="X374" s="62"/>
      <c r="Y374" s="45"/>
      <c r="Z374" s="45"/>
      <c r="AA374" s="100"/>
      <c r="AB374" s="100"/>
      <c r="AC374" s="100"/>
      <c r="AD374" s="100"/>
      <c r="AE374" s="100"/>
      <c r="AF374" s="100"/>
      <c r="AG374" s="18">
        <v>20</v>
      </c>
      <c r="AH374" s="69" t="s">
        <v>291</v>
      </c>
      <c r="AI374" s="243" t="s">
        <v>20</v>
      </c>
      <c r="AJ374" s="243" t="s">
        <v>419</v>
      </c>
      <c r="AK374" s="246"/>
      <c r="AL374" s="43" t="str">
        <f t="shared" si="100"/>
        <v>-</v>
      </c>
      <c r="AM374" s="43">
        <f t="shared" si="88"/>
        <v>0</v>
      </c>
      <c r="AN374" s="193">
        <f t="shared" si="88"/>
        <v>0</v>
      </c>
      <c r="AO374" s="270" t="str">
        <f t="shared" si="89"/>
        <v>-</v>
      </c>
      <c r="AP374" s="266"/>
      <c r="AQ374" s="26" t="str">
        <f t="shared" si="96"/>
        <v>MOSQUITO CREEKSteelhead</v>
      </c>
      <c r="AR374" s="26">
        <f t="shared" si="90"/>
        <v>0</v>
      </c>
      <c r="AS374" s="33">
        <f t="shared" si="91"/>
        <v>0</v>
      </c>
      <c r="AX374" s="47" t="str">
        <f t="shared" si="92"/>
        <v>MOSQUITO CREEKSteelhead</v>
      </c>
      <c r="AY374" s="49">
        <f t="shared" si="93"/>
        <v>0</v>
      </c>
      <c r="AZ374" s="49">
        <f t="shared" si="94"/>
        <v>0</v>
      </c>
      <c r="BA374" s="31">
        <v>0</v>
      </c>
      <c r="BB374" s="188">
        <f t="shared" si="97"/>
        <v>0</v>
      </c>
      <c r="BC374" s="188" t="str">
        <f t="shared" si="101"/>
        <v xml:space="preserve"> </v>
      </c>
      <c r="BD374" s="188" t="str">
        <f t="shared" si="102"/>
        <v xml:space="preserve"> </v>
      </c>
      <c r="BE374" s="188" t="str">
        <f t="shared" si="103"/>
        <v xml:space="preserve"> </v>
      </c>
      <c r="BF374" s="50" t="str">
        <f t="shared" si="95"/>
        <v>MOSQUITO CREEK_Steelhead</v>
      </c>
      <c r="BG374" s="50" t="str">
        <f>IFERROR(VLOOKUP(BF374,'[1]WCVI Esc'!$C$5:$W$514,18,FALSE),"-")</f>
        <v>-</v>
      </c>
      <c r="BH374" s="50" t="str">
        <f t="shared" si="98"/>
        <v>-</v>
      </c>
      <c r="BI374" s="50" t="str">
        <f>IFERROR(VLOOKUP(BF374,'[1]WCVI Esc'!$C$5:$W$514,19,FALSE),"-")</f>
        <v>-</v>
      </c>
      <c r="BJ374" s="50" t="str">
        <f t="shared" si="99"/>
        <v>-</v>
      </c>
    </row>
    <row r="375" spans="1:62" hidden="1" x14ac:dyDescent="0.2">
      <c r="A375" s="28">
        <v>4</v>
      </c>
      <c r="B375" s="28">
        <v>1</v>
      </c>
      <c r="C375" s="11">
        <v>20</v>
      </c>
      <c r="D375" s="13" t="s">
        <v>303</v>
      </c>
      <c r="E375" s="10" t="s">
        <v>21</v>
      </c>
      <c r="F375" s="10" t="s">
        <v>207</v>
      </c>
      <c r="G375" s="10"/>
      <c r="H375" s="152"/>
      <c r="I375" s="164"/>
      <c r="J375" s="62"/>
      <c r="K375" s="62"/>
      <c r="L375" s="177"/>
      <c r="M375" s="171"/>
      <c r="N375" s="62"/>
      <c r="O375" s="62"/>
      <c r="P375" s="62"/>
      <c r="Q375" s="64"/>
      <c r="R375" s="164"/>
      <c r="S375" s="62"/>
      <c r="T375" s="62"/>
      <c r="U375" s="62"/>
      <c r="V375" s="177"/>
      <c r="W375" s="171"/>
      <c r="X375" s="62"/>
      <c r="Y375" s="45"/>
      <c r="Z375" s="45"/>
      <c r="AA375" s="100"/>
      <c r="AB375" s="100"/>
      <c r="AC375" s="100"/>
      <c r="AD375" s="100"/>
      <c r="AE375" s="100"/>
      <c r="AF375" s="100"/>
      <c r="AG375" s="18">
        <v>20</v>
      </c>
      <c r="AH375" s="69" t="s">
        <v>303</v>
      </c>
      <c r="AI375" s="243" t="s">
        <v>21</v>
      </c>
      <c r="AJ375" s="243" t="s">
        <v>419</v>
      </c>
      <c r="AK375" s="246"/>
      <c r="AL375" s="43" t="str">
        <f t="shared" si="100"/>
        <v>-</v>
      </c>
      <c r="AM375" s="43">
        <f t="shared" si="88"/>
        <v>0</v>
      </c>
      <c r="AN375" s="193">
        <f t="shared" si="88"/>
        <v>0</v>
      </c>
      <c r="AO375" s="270" t="str">
        <f t="shared" si="89"/>
        <v>-</v>
      </c>
      <c r="AP375" s="266"/>
      <c r="AQ375" s="26" t="str">
        <f t="shared" si="96"/>
        <v>MUIR CREEKSockeye</v>
      </c>
      <c r="AR375" s="26">
        <f t="shared" si="90"/>
        <v>0</v>
      </c>
      <c r="AS375" s="33">
        <f t="shared" si="91"/>
        <v>0</v>
      </c>
      <c r="AX375" s="47" t="str">
        <f t="shared" si="92"/>
        <v>MUIR CREEKSockeye</v>
      </c>
      <c r="AY375" s="49">
        <f t="shared" si="93"/>
        <v>0</v>
      </c>
      <c r="AZ375" s="49">
        <f t="shared" si="94"/>
        <v>0</v>
      </c>
      <c r="BA375" s="31">
        <v>2003</v>
      </c>
      <c r="BB375" s="188">
        <f t="shared" si="97"/>
        <v>0</v>
      </c>
      <c r="BC375" s="188" t="str">
        <f t="shared" si="101"/>
        <v xml:space="preserve"> </v>
      </c>
      <c r="BD375" s="188" t="str">
        <f t="shared" si="102"/>
        <v xml:space="preserve"> </v>
      </c>
      <c r="BE375" s="188" t="str">
        <f t="shared" si="103"/>
        <v xml:space="preserve"> </v>
      </c>
      <c r="BF375" s="50" t="str">
        <f t="shared" si="95"/>
        <v>MUIR CREEK_Sockeye</v>
      </c>
      <c r="BG375" s="50" t="str">
        <f>IFERROR(VLOOKUP(BF375,'[1]WCVI Esc'!$C$5:$W$514,18,FALSE),"-")</f>
        <v>-</v>
      </c>
      <c r="BH375" s="50" t="str">
        <f t="shared" si="98"/>
        <v>-</v>
      </c>
      <c r="BI375" s="50" t="str">
        <f>IFERROR(VLOOKUP(BF375,'[1]WCVI Esc'!$C$5:$W$514,19,FALSE),"-")</f>
        <v>-</v>
      </c>
      <c r="BJ375" s="50" t="str">
        <f t="shared" si="99"/>
        <v>-</v>
      </c>
    </row>
    <row r="376" spans="1:62" hidden="1" x14ac:dyDescent="0.2">
      <c r="A376" s="28">
        <v>4</v>
      </c>
      <c r="B376" s="28">
        <v>2</v>
      </c>
      <c r="C376" s="11">
        <v>20</v>
      </c>
      <c r="D376" s="13" t="s">
        <v>303</v>
      </c>
      <c r="E376" s="10" t="s">
        <v>21</v>
      </c>
      <c r="F376" s="10" t="s">
        <v>219</v>
      </c>
      <c r="G376" s="10"/>
      <c r="H376" s="152"/>
      <c r="I376" s="164"/>
      <c r="J376" s="62"/>
      <c r="K376" s="62"/>
      <c r="L376" s="177"/>
      <c r="M376" s="171"/>
      <c r="N376" s="62"/>
      <c r="O376" s="62"/>
      <c r="P376" s="62"/>
      <c r="Q376" s="64"/>
      <c r="R376" s="164"/>
      <c r="S376" s="62"/>
      <c r="T376" s="62"/>
      <c r="U376" s="62"/>
      <c r="V376" s="177"/>
      <c r="W376" s="171"/>
      <c r="X376" s="62"/>
      <c r="Y376" s="45"/>
      <c r="Z376" s="45"/>
      <c r="AA376" s="100"/>
      <c r="AB376" s="100"/>
      <c r="AC376" s="100"/>
      <c r="AD376" s="100"/>
      <c r="AE376" s="100"/>
      <c r="AF376" s="100"/>
      <c r="AG376" s="18">
        <v>20</v>
      </c>
      <c r="AH376" s="69" t="s">
        <v>303</v>
      </c>
      <c r="AI376" s="243" t="s">
        <v>21</v>
      </c>
      <c r="AJ376" s="243" t="s">
        <v>419</v>
      </c>
      <c r="AK376" s="246"/>
      <c r="AL376" s="43" t="str">
        <f t="shared" si="100"/>
        <v>-</v>
      </c>
      <c r="AM376" s="43">
        <f t="shared" si="88"/>
        <v>0</v>
      </c>
      <c r="AN376" s="193">
        <f t="shared" si="88"/>
        <v>0</v>
      </c>
      <c r="AO376" s="270" t="str">
        <f t="shared" si="89"/>
        <v>-</v>
      </c>
      <c r="AP376" s="266"/>
      <c r="AQ376" s="26" t="str">
        <f t="shared" si="96"/>
        <v>MUIR CREEKCoho</v>
      </c>
      <c r="AR376" s="26">
        <f t="shared" si="90"/>
        <v>0</v>
      </c>
      <c r="AS376" s="33">
        <f t="shared" si="91"/>
        <v>0</v>
      </c>
      <c r="AX376" s="47" t="str">
        <f t="shared" si="92"/>
        <v>MUIR CREEKCoho</v>
      </c>
      <c r="AY376" s="49">
        <f t="shared" si="93"/>
        <v>0</v>
      </c>
      <c r="AZ376" s="49">
        <f t="shared" si="94"/>
        <v>0</v>
      </c>
      <c r="BA376" s="31">
        <v>2003</v>
      </c>
      <c r="BB376" s="188">
        <f t="shared" si="97"/>
        <v>0</v>
      </c>
      <c r="BC376" s="188" t="str">
        <f t="shared" si="101"/>
        <v xml:space="preserve"> </v>
      </c>
      <c r="BD376" s="188" t="str">
        <f t="shared" si="102"/>
        <v xml:space="preserve"> </v>
      </c>
      <c r="BE376" s="188" t="str">
        <f t="shared" si="103"/>
        <v xml:space="preserve"> </v>
      </c>
      <c r="BF376" s="50" t="str">
        <f t="shared" si="95"/>
        <v>MUIR CREEK_Coho</v>
      </c>
      <c r="BG376" s="50" t="str">
        <f>IFERROR(VLOOKUP(BF376,'[1]WCVI Esc'!$C$5:$W$514,18,FALSE),"-")</f>
        <v>-</v>
      </c>
      <c r="BH376" s="50" t="str">
        <f t="shared" si="98"/>
        <v>-</v>
      </c>
      <c r="BI376" s="50" t="str">
        <f>IFERROR(VLOOKUP(BF376,'[1]WCVI Esc'!$C$5:$W$514,19,FALSE),"-")</f>
        <v>-</v>
      </c>
      <c r="BJ376" s="50" t="str">
        <f t="shared" si="99"/>
        <v>-</v>
      </c>
    </row>
    <row r="377" spans="1:62" hidden="1" x14ac:dyDescent="0.2">
      <c r="A377" s="28">
        <v>4</v>
      </c>
      <c r="B377" s="28">
        <v>3</v>
      </c>
      <c r="C377" s="11">
        <v>20</v>
      </c>
      <c r="D377" s="13" t="s">
        <v>303</v>
      </c>
      <c r="E377" s="10" t="s">
        <v>21</v>
      </c>
      <c r="F377" s="10" t="s">
        <v>208</v>
      </c>
      <c r="G377" s="10"/>
      <c r="H377" s="152"/>
      <c r="I377" s="164"/>
      <c r="J377" s="62"/>
      <c r="K377" s="62"/>
      <c r="L377" s="177"/>
      <c r="M377" s="171"/>
      <c r="N377" s="62"/>
      <c r="O377" s="62"/>
      <c r="P377" s="62"/>
      <c r="Q377" s="64"/>
      <c r="R377" s="164"/>
      <c r="S377" s="62"/>
      <c r="T377" s="62"/>
      <c r="U377" s="62"/>
      <c r="V377" s="177"/>
      <c r="W377" s="171"/>
      <c r="X377" s="62"/>
      <c r="Y377" s="45"/>
      <c r="Z377" s="45"/>
      <c r="AA377" s="100"/>
      <c r="AB377" s="100"/>
      <c r="AC377" s="100"/>
      <c r="AD377" s="100"/>
      <c r="AE377" s="100"/>
      <c r="AF377" s="100"/>
      <c r="AG377" s="18">
        <v>20</v>
      </c>
      <c r="AH377" s="69" t="s">
        <v>303</v>
      </c>
      <c r="AI377" s="243" t="s">
        <v>21</v>
      </c>
      <c r="AJ377" s="243" t="s">
        <v>419</v>
      </c>
      <c r="AK377" s="246"/>
      <c r="AL377" s="43" t="str">
        <f t="shared" si="100"/>
        <v>-</v>
      </c>
      <c r="AM377" s="43">
        <f t="shared" si="88"/>
        <v>0</v>
      </c>
      <c r="AN377" s="193">
        <f t="shared" si="88"/>
        <v>0</v>
      </c>
      <c r="AO377" s="270" t="str">
        <f t="shared" si="89"/>
        <v>-</v>
      </c>
      <c r="AP377" s="266"/>
      <c r="AQ377" s="26" t="str">
        <f t="shared" si="96"/>
        <v>MUIR CREEKPink</v>
      </c>
      <c r="AR377" s="26">
        <f t="shared" si="90"/>
        <v>0</v>
      </c>
      <c r="AS377" s="33">
        <f t="shared" si="91"/>
        <v>0</v>
      </c>
      <c r="AX377" s="47" t="str">
        <f t="shared" si="92"/>
        <v>MUIR CREEKPink</v>
      </c>
      <c r="AY377" s="49">
        <f t="shared" si="93"/>
        <v>0</v>
      </c>
      <c r="AZ377" s="49">
        <f t="shared" si="94"/>
        <v>0</v>
      </c>
      <c r="BA377" s="31">
        <v>0</v>
      </c>
      <c r="BB377" s="188">
        <f t="shared" si="97"/>
        <v>0</v>
      </c>
      <c r="BC377" s="188" t="str">
        <f t="shared" si="101"/>
        <v xml:space="preserve"> </v>
      </c>
      <c r="BD377" s="188" t="str">
        <f t="shared" si="102"/>
        <v xml:space="preserve"> </v>
      </c>
      <c r="BE377" s="188" t="str">
        <f t="shared" si="103"/>
        <v xml:space="preserve"> </v>
      </c>
      <c r="BF377" s="50" t="str">
        <f t="shared" si="95"/>
        <v>MUIR CREEK_Pink</v>
      </c>
      <c r="BG377" s="50" t="str">
        <f>IFERROR(VLOOKUP(BF377,'[1]WCVI Esc'!$C$5:$W$514,18,FALSE),"-")</f>
        <v>-</v>
      </c>
      <c r="BH377" s="50" t="str">
        <f t="shared" si="98"/>
        <v>-</v>
      </c>
      <c r="BI377" s="50" t="str">
        <f>IFERROR(VLOOKUP(BF377,'[1]WCVI Esc'!$C$5:$W$514,19,FALSE),"-")</f>
        <v>-</v>
      </c>
      <c r="BJ377" s="50" t="str">
        <f t="shared" si="99"/>
        <v>-</v>
      </c>
    </row>
    <row r="378" spans="1:62" hidden="1" x14ac:dyDescent="0.2">
      <c r="A378" s="28">
        <v>4</v>
      </c>
      <c r="B378" s="28">
        <v>4</v>
      </c>
      <c r="C378" s="11">
        <v>20</v>
      </c>
      <c r="D378" s="13" t="s">
        <v>303</v>
      </c>
      <c r="E378" s="10" t="s">
        <v>21</v>
      </c>
      <c r="F378" s="10" t="s">
        <v>209</v>
      </c>
      <c r="G378" s="10"/>
      <c r="H378" s="152"/>
      <c r="I378" s="164"/>
      <c r="J378" s="62"/>
      <c r="K378" s="62"/>
      <c r="L378" s="177"/>
      <c r="M378" s="171"/>
      <c r="N378" s="62"/>
      <c r="O378" s="62"/>
      <c r="P378" s="62"/>
      <c r="Q378" s="64"/>
      <c r="R378" s="164"/>
      <c r="S378" s="62"/>
      <c r="T378" s="62"/>
      <c r="U378" s="62"/>
      <c r="V378" s="177"/>
      <c r="W378" s="171"/>
      <c r="X378" s="62"/>
      <c r="Y378" s="45"/>
      <c r="Z378" s="45"/>
      <c r="AA378" s="100"/>
      <c r="AB378" s="100"/>
      <c r="AC378" s="100"/>
      <c r="AD378" s="100"/>
      <c r="AE378" s="100"/>
      <c r="AF378" s="100"/>
      <c r="AG378" s="18">
        <v>20</v>
      </c>
      <c r="AH378" s="69" t="s">
        <v>303</v>
      </c>
      <c r="AI378" s="243" t="s">
        <v>21</v>
      </c>
      <c r="AJ378" s="243" t="s">
        <v>419</v>
      </c>
      <c r="AK378" s="246"/>
      <c r="AL378" s="43" t="str">
        <f t="shared" si="100"/>
        <v>-</v>
      </c>
      <c r="AM378" s="43">
        <f t="shared" si="88"/>
        <v>0</v>
      </c>
      <c r="AN378" s="193">
        <f t="shared" si="88"/>
        <v>0</v>
      </c>
      <c r="AO378" s="270" t="str">
        <f t="shared" si="89"/>
        <v>-</v>
      </c>
      <c r="AP378" s="266"/>
      <c r="AQ378" s="26" t="str">
        <f t="shared" si="96"/>
        <v>MUIR CREEKChum</v>
      </c>
      <c r="AR378" s="26">
        <f t="shared" si="90"/>
        <v>0</v>
      </c>
      <c r="AS378" s="33">
        <f t="shared" si="91"/>
        <v>0</v>
      </c>
      <c r="AX378" s="47" t="str">
        <f t="shared" si="92"/>
        <v>MUIR CREEKChum</v>
      </c>
      <c r="AY378" s="49">
        <f t="shared" si="93"/>
        <v>0</v>
      </c>
      <c r="AZ378" s="49">
        <f t="shared" si="94"/>
        <v>0</v>
      </c>
      <c r="BA378" s="31">
        <v>2003</v>
      </c>
      <c r="BB378" s="188">
        <f t="shared" si="97"/>
        <v>0</v>
      </c>
      <c r="BC378" s="188" t="str">
        <f t="shared" si="101"/>
        <v xml:space="preserve"> </v>
      </c>
      <c r="BD378" s="188" t="str">
        <f t="shared" si="102"/>
        <v xml:space="preserve"> </v>
      </c>
      <c r="BE378" s="188" t="str">
        <f t="shared" si="103"/>
        <v xml:space="preserve"> </v>
      </c>
      <c r="BF378" s="50" t="str">
        <f t="shared" si="95"/>
        <v>MUIR CREEK_Chum</v>
      </c>
      <c r="BG378" s="50" t="str">
        <f>IFERROR(VLOOKUP(BF378,'[1]WCVI Esc'!$C$5:$W$514,18,FALSE),"-")</f>
        <v>-</v>
      </c>
      <c r="BH378" s="50" t="str">
        <f t="shared" si="98"/>
        <v>-</v>
      </c>
      <c r="BI378" s="50" t="str">
        <f>IFERROR(VLOOKUP(BF378,'[1]WCVI Esc'!$C$5:$W$514,19,FALSE),"-")</f>
        <v>-</v>
      </c>
      <c r="BJ378" s="50" t="str">
        <f t="shared" si="99"/>
        <v>-</v>
      </c>
    </row>
    <row r="379" spans="1:62" hidden="1" x14ac:dyDescent="0.2">
      <c r="A379" s="28">
        <v>4</v>
      </c>
      <c r="B379" s="28">
        <v>5</v>
      </c>
      <c r="C379" s="11">
        <v>20</v>
      </c>
      <c r="D379" s="13" t="s">
        <v>303</v>
      </c>
      <c r="E379" s="10" t="s">
        <v>21</v>
      </c>
      <c r="F379" s="10" t="s">
        <v>210</v>
      </c>
      <c r="G379" s="10"/>
      <c r="H379" s="152"/>
      <c r="I379" s="164"/>
      <c r="J379" s="62"/>
      <c r="K379" s="62"/>
      <c r="L379" s="177"/>
      <c r="M379" s="171"/>
      <c r="N379" s="62"/>
      <c r="O379" s="62"/>
      <c r="P379" s="62"/>
      <c r="Q379" s="64"/>
      <c r="R379" s="164"/>
      <c r="S379" s="62"/>
      <c r="T379" s="62"/>
      <c r="U379" s="62"/>
      <c r="V379" s="177"/>
      <c r="W379" s="171"/>
      <c r="X379" s="62"/>
      <c r="Y379" s="45"/>
      <c r="Z379" s="45"/>
      <c r="AA379" s="100"/>
      <c r="AB379" s="100"/>
      <c r="AC379" s="100"/>
      <c r="AD379" s="100"/>
      <c r="AE379" s="100"/>
      <c r="AF379" s="100"/>
      <c r="AG379" s="18">
        <v>20</v>
      </c>
      <c r="AH379" s="69" t="s">
        <v>303</v>
      </c>
      <c r="AI379" s="243" t="s">
        <v>21</v>
      </c>
      <c r="AJ379" s="243" t="s">
        <v>419</v>
      </c>
      <c r="AK379" s="246"/>
      <c r="AL379" s="43" t="str">
        <f t="shared" si="100"/>
        <v>-</v>
      </c>
      <c r="AM379" s="43">
        <f t="shared" si="88"/>
        <v>0</v>
      </c>
      <c r="AN379" s="193">
        <f t="shared" si="88"/>
        <v>0</v>
      </c>
      <c r="AO379" s="270" t="str">
        <f t="shared" si="89"/>
        <v>-</v>
      </c>
      <c r="AP379" s="266"/>
      <c r="AQ379" s="26" t="str">
        <f t="shared" si="96"/>
        <v>MUIR CREEKChinook</v>
      </c>
      <c r="AR379" s="26">
        <f t="shared" si="90"/>
        <v>0</v>
      </c>
      <c r="AS379" s="33">
        <f t="shared" si="91"/>
        <v>0</v>
      </c>
      <c r="AX379" s="47" t="str">
        <f t="shared" si="92"/>
        <v>MUIR CREEKChinook</v>
      </c>
      <c r="AY379" s="49">
        <f t="shared" si="93"/>
        <v>0</v>
      </c>
      <c r="AZ379" s="49">
        <f t="shared" si="94"/>
        <v>0</v>
      </c>
      <c r="BA379" s="31">
        <v>2003</v>
      </c>
      <c r="BB379" s="188">
        <f t="shared" si="97"/>
        <v>0</v>
      </c>
      <c r="BC379" s="188" t="str">
        <f t="shared" si="101"/>
        <v xml:space="preserve"> </v>
      </c>
      <c r="BD379" s="188" t="str">
        <f t="shared" si="102"/>
        <v xml:space="preserve"> </v>
      </c>
      <c r="BE379" s="188" t="str">
        <f t="shared" si="103"/>
        <v xml:space="preserve"> </v>
      </c>
      <c r="BF379" s="50" t="str">
        <f t="shared" si="95"/>
        <v>MUIR CREEK_Chinook</v>
      </c>
      <c r="BG379" s="50" t="str">
        <f>IFERROR(VLOOKUP(BF379,'[1]WCVI Esc'!$C$5:$W$514,18,FALSE),"-")</f>
        <v>-</v>
      </c>
      <c r="BH379" s="50" t="str">
        <f t="shared" si="98"/>
        <v>-</v>
      </c>
      <c r="BI379" s="50" t="str">
        <f>IFERROR(VLOOKUP(BF379,'[1]WCVI Esc'!$C$5:$W$514,19,FALSE),"-")</f>
        <v>-</v>
      </c>
      <c r="BJ379" s="50" t="str">
        <f t="shared" si="99"/>
        <v>-</v>
      </c>
    </row>
    <row r="380" spans="1:62" hidden="1" x14ac:dyDescent="0.2">
      <c r="A380" s="28">
        <v>4</v>
      </c>
      <c r="B380" s="28">
        <v>6</v>
      </c>
      <c r="C380" s="11">
        <v>20</v>
      </c>
      <c r="D380" s="13" t="s">
        <v>303</v>
      </c>
      <c r="E380" s="10" t="s">
        <v>21</v>
      </c>
      <c r="F380" s="10" t="s">
        <v>211</v>
      </c>
      <c r="G380" s="10"/>
      <c r="H380" s="152"/>
      <c r="I380" s="164"/>
      <c r="J380" s="62"/>
      <c r="K380" s="62"/>
      <c r="L380" s="177"/>
      <c r="M380" s="171"/>
      <c r="N380" s="62"/>
      <c r="O380" s="62"/>
      <c r="P380" s="62"/>
      <c r="Q380" s="64"/>
      <c r="R380" s="164"/>
      <c r="S380" s="62"/>
      <c r="T380" s="62"/>
      <c r="U380" s="62"/>
      <c r="V380" s="177"/>
      <c r="W380" s="171"/>
      <c r="X380" s="62"/>
      <c r="Y380" s="45"/>
      <c r="Z380" s="45"/>
      <c r="AA380" s="100"/>
      <c r="AB380" s="100"/>
      <c r="AC380" s="100"/>
      <c r="AD380" s="100"/>
      <c r="AE380" s="100"/>
      <c r="AF380" s="100"/>
      <c r="AG380" s="18">
        <v>20</v>
      </c>
      <c r="AH380" s="69" t="s">
        <v>303</v>
      </c>
      <c r="AI380" s="243" t="s">
        <v>21</v>
      </c>
      <c r="AJ380" s="243" t="s">
        <v>419</v>
      </c>
      <c r="AK380" s="246"/>
      <c r="AL380" s="43" t="str">
        <f t="shared" si="100"/>
        <v>-</v>
      </c>
      <c r="AM380" s="43">
        <f t="shared" si="88"/>
        <v>0</v>
      </c>
      <c r="AN380" s="193">
        <f t="shared" si="88"/>
        <v>0</v>
      </c>
      <c r="AO380" s="270" t="str">
        <f t="shared" si="89"/>
        <v>-</v>
      </c>
      <c r="AP380" s="266"/>
      <c r="AQ380" s="26" t="str">
        <f t="shared" si="96"/>
        <v>MUIR CREEKSteelhead</v>
      </c>
      <c r="AR380" s="26">
        <f t="shared" si="90"/>
        <v>0</v>
      </c>
      <c r="AS380" s="33">
        <f t="shared" si="91"/>
        <v>0</v>
      </c>
      <c r="AX380" s="47" t="str">
        <f t="shared" si="92"/>
        <v>MUIR CREEKSteelhead</v>
      </c>
      <c r="AY380" s="49">
        <f t="shared" si="93"/>
        <v>0</v>
      </c>
      <c r="AZ380" s="49">
        <f t="shared" si="94"/>
        <v>0</v>
      </c>
      <c r="BA380" s="31">
        <v>0</v>
      </c>
      <c r="BB380" s="188">
        <f t="shared" si="97"/>
        <v>0</v>
      </c>
      <c r="BC380" s="188" t="str">
        <f t="shared" si="101"/>
        <v xml:space="preserve"> </v>
      </c>
      <c r="BD380" s="188" t="str">
        <f t="shared" si="102"/>
        <v xml:space="preserve"> </v>
      </c>
      <c r="BE380" s="188" t="str">
        <f t="shared" si="103"/>
        <v xml:space="preserve"> </v>
      </c>
      <c r="BF380" s="50" t="str">
        <f t="shared" si="95"/>
        <v>MUIR CREEK_Steelhead</v>
      </c>
      <c r="BG380" s="50" t="str">
        <f>IFERROR(VLOOKUP(BF380,'[1]WCVI Esc'!$C$5:$W$514,18,FALSE),"-")</f>
        <v>-</v>
      </c>
      <c r="BH380" s="50" t="str">
        <f t="shared" si="98"/>
        <v>-</v>
      </c>
      <c r="BI380" s="50" t="str">
        <f>IFERROR(VLOOKUP(BF380,'[1]WCVI Esc'!$C$5:$W$514,19,FALSE),"-")</f>
        <v>-</v>
      </c>
      <c r="BJ380" s="50" t="str">
        <f t="shared" si="99"/>
        <v>-</v>
      </c>
    </row>
    <row r="381" spans="1:62" hidden="1" x14ac:dyDescent="0.2">
      <c r="A381" s="28">
        <v>4</v>
      </c>
      <c r="B381" s="28">
        <v>1</v>
      </c>
      <c r="C381" s="11">
        <v>20</v>
      </c>
      <c r="D381" s="13" t="s">
        <v>303</v>
      </c>
      <c r="E381" s="10" t="s">
        <v>162</v>
      </c>
      <c r="F381" s="10" t="s">
        <v>207</v>
      </c>
      <c r="G381" s="10"/>
      <c r="H381" s="152"/>
      <c r="I381" s="164"/>
      <c r="J381" s="62"/>
      <c r="K381" s="62"/>
      <c r="L381" s="177"/>
      <c r="M381" s="171"/>
      <c r="N381" s="62"/>
      <c r="O381" s="62"/>
      <c r="P381" s="62"/>
      <c r="Q381" s="64"/>
      <c r="R381" s="164"/>
      <c r="S381" s="62"/>
      <c r="T381" s="62"/>
      <c r="U381" s="62"/>
      <c r="V381" s="177"/>
      <c r="W381" s="171"/>
      <c r="X381" s="62"/>
      <c r="Y381" s="45"/>
      <c r="Z381" s="45"/>
      <c r="AA381" s="100"/>
      <c r="AB381" s="100"/>
      <c r="AC381" s="100"/>
      <c r="AD381" s="100"/>
      <c r="AE381" s="100"/>
      <c r="AF381" s="100"/>
      <c r="AG381" s="18">
        <v>20</v>
      </c>
      <c r="AH381" s="69" t="s">
        <v>303</v>
      </c>
      <c r="AI381" s="243" t="s">
        <v>162</v>
      </c>
      <c r="AJ381" s="243" t="s">
        <v>419</v>
      </c>
      <c r="AK381" s="246"/>
      <c r="AL381" s="43" t="str">
        <f t="shared" si="100"/>
        <v>-</v>
      </c>
      <c r="AM381" s="43">
        <f t="shared" si="88"/>
        <v>0</v>
      </c>
      <c r="AN381" s="193">
        <f t="shared" si="88"/>
        <v>0</v>
      </c>
      <c r="AO381" s="270" t="str">
        <f t="shared" si="89"/>
        <v>-</v>
      </c>
      <c r="AP381" s="266"/>
      <c r="AQ381" s="26" t="str">
        <f t="shared" si="96"/>
        <v>ORVEAS CREEKSockeye</v>
      </c>
      <c r="AR381" s="26">
        <f t="shared" si="90"/>
        <v>0</v>
      </c>
      <c r="AS381" s="33">
        <f t="shared" si="91"/>
        <v>0</v>
      </c>
      <c r="AX381" s="47" t="str">
        <f t="shared" si="92"/>
        <v>ORVEAS CREEKSockeye</v>
      </c>
      <c r="AY381" s="49">
        <f t="shared" si="93"/>
        <v>0</v>
      </c>
      <c r="AZ381" s="49">
        <f t="shared" si="94"/>
        <v>0</v>
      </c>
      <c r="BA381" s="31">
        <v>0</v>
      </c>
      <c r="BB381" s="188">
        <f t="shared" si="97"/>
        <v>0</v>
      </c>
      <c r="BC381" s="188" t="str">
        <f t="shared" si="101"/>
        <v xml:space="preserve"> </v>
      </c>
      <c r="BD381" s="188" t="str">
        <f t="shared" si="102"/>
        <v xml:space="preserve"> </v>
      </c>
      <c r="BE381" s="188" t="str">
        <f t="shared" si="103"/>
        <v xml:space="preserve"> </v>
      </c>
      <c r="BF381" s="50" t="str">
        <f t="shared" si="95"/>
        <v>ORVEAS CREEK_Sockeye</v>
      </c>
      <c r="BG381" s="50" t="str">
        <f>IFERROR(VLOOKUP(BF381,'[1]WCVI Esc'!$C$5:$W$514,18,FALSE),"-")</f>
        <v>-</v>
      </c>
      <c r="BH381" s="50" t="str">
        <f t="shared" si="98"/>
        <v>-</v>
      </c>
      <c r="BI381" s="50" t="str">
        <f>IFERROR(VLOOKUP(BF381,'[1]WCVI Esc'!$C$5:$W$514,19,FALSE),"-")</f>
        <v>-</v>
      </c>
      <c r="BJ381" s="50" t="str">
        <f t="shared" si="99"/>
        <v>-</v>
      </c>
    </row>
    <row r="382" spans="1:62" hidden="1" x14ac:dyDescent="0.2">
      <c r="A382" s="28">
        <v>4</v>
      </c>
      <c r="B382" s="28">
        <v>2</v>
      </c>
      <c r="C382" s="11">
        <v>20</v>
      </c>
      <c r="D382" s="13" t="s">
        <v>303</v>
      </c>
      <c r="E382" s="10" t="s">
        <v>162</v>
      </c>
      <c r="F382" s="10" t="s">
        <v>219</v>
      </c>
      <c r="G382" s="10"/>
      <c r="H382" s="152"/>
      <c r="I382" s="164"/>
      <c r="J382" s="62"/>
      <c r="K382" s="62"/>
      <c r="L382" s="177"/>
      <c r="M382" s="171"/>
      <c r="N382" s="62"/>
      <c r="O382" s="62"/>
      <c r="P382" s="62"/>
      <c r="Q382" s="64"/>
      <c r="R382" s="164"/>
      <c r="S382" s="62"/>
      <c r="T382" s="62"/>
      <c r="U382" s="62"/>
      <c r="V382" s="177"/>
      <c r="W382" s="171"/>
      <c r="X382" s="62"/>
      <c r="Y382" s="45"/>
      <c r="Z382" s="45"/>
      <c r="AA382" s="100"/>
      <c r="AB382" s="100"/>
      <c r="AC382" s="100"/>
      <c r="AD382" s="100"/>
      <c r="AE382" s="100"/>
      <c r="AF382" s="100"/>
      <c r="AG382" s="18">
        <v>20</v>
      </c>
      <c r="AH382" s="69" t="s">
        <v>303</v>
      </c>
      <c r="AI382" s="243" t="s">
        <v>162</v>
      </c>
      <c r="AJ382" s="243" t="s">
        <v>419</v>
      </c>
      <c r="AK382" s="246"/>
      <c r="AL382" s="43" t="str">
        <f t="shared" si="100"/>
        <v>-</v>
      </c>
      <c r="AM382" s="43">
        <f t="shared" si="88"/>
        <v>0</v>
      </c>
      <c r="AN382" s="193">
        <f t="shared" si="88"/>
        <v>0</v>
      </c>
      <c r="AO382" s="270" t="str">
        <f t="shared" si="89"/>
        <v>-</v>
      </c>
      <c r="AP382" s="266"/>
      <c r="AQ382" s="26" t="str">
        <f t="shared" si="96"/>
        <v>ORVEAS CREEKCoho</v>
      </c>
      <c r="AR382" s="26">
        <f t="shared" si="90"/>
        <v>0</v>
      </c>
      <c r="AS382" s="33">
        <f t="shared" si="91"/>
        <v>0</v>
      </c>
      <c r="AX382" s="47" t="str">
        <f t="shared" si="92"/>
        <v>ORVEAS CREEKCoho</v>
      </c>
      <c r="AY382" s="49">
        <f t="shared" si="93"/>
        <v>0</v>
      </c>
      <c r="AZ382" s="49">
        <f t="shared" si="94"/>
        <v>0</v>
      </c>
      <c r="BA382" s="31">
        <v>0</v>
      </c>
      <c r="BB382" s="188">
        <f t="shared" si="97"/>
        <v>0</v>
      </c>
      <c r="BC382" s="188" t="str">
        <f t="shared" si="101"/>
        <v xml:space="preserve"> </v>
      </c>
      <c r="BD382" s="188" t="str">
        <f t="shared" si="102"/>
        <v xml:space="preserve"> </v>
      </c>
      <c r="BE382" s="188" t="str">
        <f t="shared" si="103"/>
        <v xml:space="preserve"> </v>
      </c>
      <c r="BF382" s="50" t="str">
        <f t="shared" si="95"/>
        <v>ORVEAS CREEK_Coho</v>
      </c>
      <c r="BG382" s="50" t="str">
        <f>IFERROR(VLOOKUP(BF382,'[1]WCVI Esc'!$C$5:$W$514,18,FALSE),"-")</f>
        <v>-</v>
      </c>
      <c r="BH382" s="50" t="str">
        <f t="shared" si="98"/>
        <v>-</v>
      </c>
      <c r="BI382" s="50" t="str">
        <f>IFERROR(VLOOKUP(BF382,'[1]WCVI Esc'!$C$5:$W$514,19,FALSE),"-")</f>
        <v>-</v>
      </c>
      <c r="BJ382" s="50" t="str">
        <f t="shared" si="99"/>
        <v>-</v>
      </c>
    </row>
    <row r="383" spans="1:62" hidden="1" x14ac:dyDescent="0.2">
      <c r="A383" s="28">
        <v>4</v>
      </c>
      <c r="B383" s="28">
        <v>3</v>
      </c>
      <c r="C383" s="11">
        <v>20</v>
      </c>
      <c r="D383" s="13" t="s">
        <v>303</v>
      </c>
      <c r="E383" s="10" t="s">
        <v>162</v>
      </c>
      <c r="F383" s="10" t="s">
        <v>208</v>
      </c>
      <c r="G383" s="10"/>
      <c r="H383" s="152"/>
      <c r="I383" s="164"/>
      <c r="J383" s="62"/>
      <c r="K383" s="62"/>
      <c r="L383" s="177"/>
      <c r="M383" s="171"/>
      <c r="N383" s="62"/>
      <c r="O383" s="62"/>
      <c r="P383" s="62"/>
      <c r="Q383" s="64"/>
      <c r="R383" s="164"/>
      <c r="S383" s="62"/>
      <c r="T383" s="62"/>
      <c r="U383" s="62"/>
      <c r="V383" s="177"/>
      <c r="W383" s="171"/>
      <c r="X383" s="62"/>
      <c r="Y383" s="45"/>
      <c r="Z383" s="45"/>
      <c r="AA383" s="100"/>
      <c r="AB383" s="100"/>
      <c r="AC383" s="100"/>
      <c r="AD383" s="100"/>
      <c r="AE383" s="100"/>
      <c r="AF383" s="100"/>
      <c r="AG383" s="18">
        <v>20</v>
      </c>
      <c r="AH383" s="69" t="s">
        <v>303</v>
      </c>
      <c r="AI383" s="243" t="s">
        <v>162</v>
      </c>
      <c r="AJ383" s="243" t="s">
        <v>419</v>
      </c>
      <c r="AK383" s="246"/>
      <c r="AL383" s="43" t="str">
        <f t="shared" si="100"/>
        <v>-</v>
      </c>
      <c r="AM383" s="43">
        <f t="shared" ref="AM383:AN446" si="104">AR383</f>
        <v>0</v>
      </c>
      <c r="AN383" s="193">
        <f t="shared" si="104"/>
        <v>0</v>
      </c>
      <c r="AO383" s="270" t="str">
        <f t="shared" ref="AO383:AO446" si="105">BH383</f>
        <v>-</v>
      </c>
      <c r="AP383" s="266"/>
      <c r="AQ383" s="26" t="str">
        <f t="shared" si="96"/>
        <v>ORVEAS CREEKPink</v>
      </c>
      <c r="AR383" s="26">
        <f t="shared" ref="AR383:AR446" si="106">COUNT(G383:X383)</f>
        <v>0</v>
      </c>
      <c r="AS383" s="33">
        <f t="shared" ref="AS383:AS446" si="107">MAX(G383:X383)</f>
        <v>0</v>
      </c>
      <c r="AX383" s="47" t="str">
        <f t="shared" ref="AX383:AX446" si="108">CONCATENATE(E383,F383)</f>
        <v>ORVEAS CREEKPink</v>
      </c>
      <c r="AY383" s="49">
        <f t="shared" ref="AY383:AY446" si="109">Z383</f>
        <v>0</v>
      </c>
      <c r="AZ383" s="49">
        <f t="shared" ref="AZ383:AZ446" si="110">Y383</f>
        <v>0</v>
      </c>
      <c r="BA383" s="31">
        <v>0</v>
      </c>
      <c r="BB383" s="188">
        <f t="shared" si="97"/>
        <v>0</v>
      </c>
      <c r="BC383" s="188" t="str">
        <f t="shared" si="101"/>
        <v xml:space="preserve"> </v>
      </c>
      <c r="BD383" s="188" t="str">
        <f t="shared" si="102"/>
        <v xml:space="preserve"> </v>
      </c>
      <c r="BE383" s="188" t="str">
        <f t="shared" si="103"/>
        <v xml:space="preserve"> </v>
      </c>
      <c r="BF383" s="50" t="str">
        <f t="shared" ref="BF383:BF446" si="111">CONCATENATE(E383,"_",F383)</f>
        <v>ORVEAS CREEK_Pink</v>
      </c>
      <c r="BG383" s="50" t="str">
        <f>IFERROR(VLOOKUP(BF383,'[1]WCVI Esc'!$C$5:$W$514,18,FALSE),"-")</f>
        <v>-</v>
      </c>
      <c r="BH383" s="50" t="str">
        <f t="shared" si="98"/>
        <v>-</v>
      </c>
      <c r="BI383" s="50" t="str">
        <f>IFERROR(VLOOKUP(BF383,'[1]WCVI Esc'!$C$5:$W$514,19,FALSE),"-")</f>
        <v>-</v>
      </c>
      <c r="BJ383" s="50" t="str">
        <f t="shared" si="99"/>
        <v>-</v>
      </c>
    </row>
    <row r="384" spans="1:62" hidden="1" x14ac:dyDescent="0.2">
      <c r="A384" s="28">
        <v>4</v>
      </c>
      <c r="B384" s="28">
        <v>4</v>
      </c>
      <c r="C384" s="11">
        <v>20</v>
      </c>
      <c r="D384" s="13" t="s">
        <v>303</v>
      </c>
      <c r="E384" s="10" t="s">
        <v>162</v>
      </c>
      <c r="F384" s="10" t="s">
        <v>209</v>
      </c>
      <c r="G384" s="10"/>
      <c r="H384" s="152"/>
      <c r="I384" s="164"/>
      <c r="J384" s="62"/>
      <c r="K384" s="62"/>
      <c r="L384" s="177"/>
      <c r="M384" s="171"/>
      <c r="N384" s="62"/>
      <c r="O384" s="62"/>
      <c r="P384" s="62"/>
      <c r="Q384" s="64"/>
      <c r="R384" s="164"/>
      <c r="S384" s="62"/>
      <c r="T384" s="62"/>
      <c r="U384" s="62"/>
      <c r="V384" s="177"/>
      <c r="W384" s="171"/>
      <c r="X384" s="62"/>
      <c r="Y384" s="45"/>
      <c r="Z384" s="45"/>
      <c r="AA384" s="100"/>
      <c r="AB384" s="100"/>
      <c r="AC384" s="100"/>
      <c r="AD384" s="100"/>
      <c r="AE384" s="100"/>
      <c r="AF384" s="100"/>
      <c r="AG384" s="18">
        <v>20</v>
      </c>
      <c r="AH384" s="69" t="s">
        <v>303</v>
      </c>
      <c r="AI384" s="243" t="s">
        <v>162</v>
      </c>
      <c r="AJ384" s="243" t="s">
        <v>419</v>
      </c>
      <c r="AK384" s="246"/>
      <c r="AL384" s="43" t="str">
        <f t="shared" si="100"/>
        <v>-</v>
      </c>
      <c r="AM384" s="43">
        <f t="shared" si="104"/>
        <v>0</v>
      </c>
      <c r="AN384" s="193">
        <f t="shared" si="104"/>
        <v>0</v>
      </c>
      <c r="AO384" s="270" t="str">
        <f t="shared" si="105"/>
        <v>-</v>
      </c>
      <c r="AP384" s="266"/>
      <c r="AQ384" s="26" t="str">
        <f t="shared" si="96"/>
        <v>ORVEAS CREEKChum</v>
      </c>
      <c r="AR384" s="26">
        <f t="shared" si="106"/>
        <v>0</v>
      </c>
      <c r="AS384" s="33">
        <f t="shared" si="107"/>
        <v>0</v>
      </c>
      <c r="AX384" s="47" t="str">
        <f t="shared" si="108"/>
        <v>ORVEAS CREEKChum</v>
      </c>
      <c r="AY384" s="49">
        <f t="shared" si="109"/>
        <v>0</v>
      </c>
      <c r="AZ384" s="49">
        <f t="shared" si="110"/>
        <v>0</v>
      </c>
      <c r="BA384" s="31">
        <v>0</v>
      </c>
      <c r="BB384" s="188">
        <f t="shared" si="97"/>
        <v>0</v>
      </c>
      <c r="BC384" s="188" t="str">
        <f t="shared" si="101"/>
        <v xml:space="preserve"> </v>
      </c>
      <c r="BD384" s="188" t="str">
        <f t="shared" si="102"/>
        <v xml:space="preserve"> </v>
      </c>
      <c r="BE384" s="188" t="str">
        <f t="shared" si="103"/>
        <v xml:space="preserve"> </v>
      </c>
      <c r="BF384" s="50" t="str">
        <f t="shared" si="111"/>
        <v>ORVEAS CREEK_Chum</v>
      </c>
      <c r="BG384" s="50" t="str">
        <f>IFERROR(VLOOKUP(BF384,'[1]WCVI Esc'!$C$5:$W$514,18,FALSE),"-")</f>
        <v>-</v>
      </c>
      <c r="BH384" s="50" t="str">
        <f t="shared" si="98"/>
        <v>-</v>
      </c>
      <c r="BI384" s="50" t="str">
        <f>IFERROR(VLOOKUP(BF384,'[1]WCVI Esc'!$C$5:$W$514,19,FALSE),"-")</f>
        <v>-</v>
      </c>
      <c r="BJ384" s="50" t="str">
        <f t="shared" si="99"/>
        <v>-</v>
      </c>
    </row>
    <row r="385" spans="1:65" hidden="1" x14ac:dyDescent="0.2">
      <c r="A385" s="28">
        <v>4</v>
      </c>
      <c r="B385" s="28">
        <v>5</v>
      </c>
      <c r="C385" s="11">
        <v>20</v>
      </c>
      <c r="D385" s="13" t="s">
        <v>303</v>
      </c>
      <c r="E385" s="10" t="s">
        <v>162</v>
      </c>
      <c r="F385" s="10" t="s">
        <v>210</v>
      </c>
      <c r="G385" s="10"/>
      <c r="H385" s="152"/>
      <c r="I385" s="164"/>
      <c r="J385" s="62"/>
      <c r="K385" s="62"/>
      <c r="L385" s="177"/>
      <c r="M385" s="171"/>
      <c r="N385" s="62"/>
      <c r="O385" s="62"/>
      <c r="P385" s="62"/>
      <c r="Q385" s="64"/>
      <c r="R385" s="164"/>
      <c r="S385" s="62"/>
      <c r="T385" s="62"/>
      <c r="U385" s="62"/>
      <c r="V385" s="177"/>
      <c r="W385" s="171"/>
      <c r="X385" s="62"/>
      <c r="Y385" s="45"/>
      <c r="Z385" s="45"/>
      <c r="AA385" s="100"/>
      <c r="AB385" s="100"/>
      <c r="AC385" s="100"/>
      <c r="AD385" s="100"/>
      <c r="AE385" s="100"/>
      <c r="AF385" s="100"/>
      <c r="AG385" s="18">
        <v>20</v>
      </c>
      <c r="AH385" s="69" t="s">
        <v>303</v>
      </c>
      <c r="AI385" s="243" t="s">
        <v>162</v>
      </c>
      <c r="AJ385" s="243" t="s">
        <v>419</v>
      </c>
      <c r="AK385" s="246"/>
      <c r="AL385" s="43" t="str">
        <f t="shared" si="100"/>
        <v>-</v>
      </c>
      <c r="AM385" s="43">
        <f t="shared" si="104"/>
        <v>0</v>
      </c>
      <c r="AN385" s="193">
        <f t="shared" si="104"/>
        <v>0</v>
      </c>
      <c r="AO385" s="270" t="str">
        <f t="shared" si="105"/>
        <v>-</v>
      </c>
      <c r="AP385" s="266"/>
      <c r="AQ385" s="26" t="str">
        <f t="shared" si="96"/>
        <v>ORVEAS CREEKChinook</v>
      </c>
      <c r="AR385" s="26">
        <f t="shared" si="106"/>
        <v>0</v>
      </c>
      <c r="AS385" s="33">
        <f t="shared" si="107"/>
        <v>0</v>
      </c>
      <c r="AX385" s="47" t="str">
        <f t="shared" si="108"/>
        <v>ORVEAS CREEKChinook</v>
      </c>
      <c r="AY385" s="49">
        <f t="shared" si="109"/>
        <v>0</v>
      </c>
      <c r="AZ385" s="49">
        <f t="shared" si="110"/>
        <v>0</v>
      </c>
      <c r="BA385" s="31">
        <v>0</v>
      </c>
      <c r="BB385" s="188">
        <f t="shared" si="97"/>
        <v>0</v>
      </c>
      <c r="BC385" s="188" t="str">
        <f t="shared" si="101"/>
        <v xml:space="preserve"> </v>
      </c>
      <c r="BD385" s="188" t="str">
        <f t="shared" si="102"/>
        <v xml:space="preserve"> </v>
      </c>
      <c r="BE385" s="188" t="str">
        <f t="shared" si="103"/>
        <v xml:space="preserve"> </v>
      </c>
      <c r="BF385" s="50" t="str">
        <f t="shared" si="111"/>
        <v>ORVEAS CREEK_Chinook</v>
      </c>
      <c r="BG385" s="50" t="str">
        <f>IFERROR(VLOOKUP(BF385,'[1]WCVI Esc'!$C$5:$W$514,18,FALSE),"-")</f>
        <v>-</v>
      </c>
      <c r="BH385" s="50" t="str">
        <f t="shared" si="98"/>
        <v>-</v>
      </c>
      <c r="BI385" s="50" t="str">
        <f>IFERROR(VLOOKUP(BF385,'[1]WCVI Esc'!$C$5:$W$514,19,FALSE),"-")</f>
        <v>-</v>
      </c>
      <c r="BJ385" s="50" t="str">
        <f t="shared" si="99"/>
        <v>-</v>
      </c>
    </row>
    <row r="386" spans="1:65" hidden="1" x14ac:dyDescent="0.2">
      <c r="A386" s="28">
        <v>4</v>
      </c>
      <c r="B386" s="28">
        <v>6</v>
      </c>
      <c r="C386" s="11">
        <v>20</v>
      </c>
      <c r="D386" s="13" t="s">
        <v>303</v>
      </c>
      <c r="E386" s="10" t="s">
        <v>162</v>
      </c>
      <c r="F386" s="10" t="s">
        <v>211</v>
      </c>
      <c r="G386" s="10"/>
      <c r="H386" s="152"/>
      <c r="I386" s="164"/>
      <c r="J386" s="62"/>
      <c r="K386" s="62"/>
      <c r="L386" s="177"/>
      <c r="M386" s="171"/>
      <c r="N386" s="62"/>
      <c r="O386" s="62"/>
      <c r="P386" s="62"/>
      <c r="Q386" s="64"/>
      <c r="R386" s="164"/>
      <c r="S386" s="62"/>
      <c r="T386" s="62"/>
      <c r="U386" s="62"/>
      <c r="V386" s="177"/>
      <c r="W386" s="171"/>
      <c r="X386" s="62"/>
      <c r="Y386" s="45"/>
      <c r="Z386" s="45"/>
      <c r="AA386" s="100"/>
      <c r="AB386" s="100"/>
      <c r="AC386" s="100"/>
      <c r="AD386" s="100"/>
      <c r="AE386" s="100"/>
      <c r="AF386" s="100"/>
      <c r="AG386" s="18">
        <v>20</v>
      </c>
      <c r="AH386" s="69" t="s">
        <v>303</v>
      </c>
      <c r="AI386" s="243" t="s">
        <v>162</v>
      </c>
      <c r="AJ386" s="243" t="s">
        <v>419</v>
      </c>
      <c r="AK386" s="246"/>
      <c r="AL386" s="43" t="str">
        <f t="shared" si="100"/>
        <v>-</v>
      </c>
      <c r="AM386" s="43">
        <f t="shared" si="104"/>
        <v>0</v>
      </c>
      <c r="AN386" s="193">
        <f t="shared" si="104"/>
        <v>0</v>
      </c>
      <c r="AO386" s="270" t="str">
        <f t="shared" si="105"/>
        <v>-</v>
      </c>
      <c r="AP386" s="266"/>
      <c r="AQ386" s="26" t="str">
        <f t="shared" si="96"/>
        <v>ORVEAS CREEKSteelhead</v>
      </c>
      <c r="AR386" s="26">
        <f t="shared" si="106"/>
        <v>0</v>
      </c>
      <c r="AS386" s="33">
        <f t="shared" si="107"/>
        <v>0</v>
      </c>
      <c r="AX386" s="47" t="str">
        <f t="shared" si="108"/>
        <v>ORVEAS CREEKSteelhead</v>
      </c>
      <c r="AY386" s="49">
        <f t="shared" si="109"/>
        <v>0</v>
      </c>
      <c r="AZ386" s="49">
        <f t="shared" si="110"/>
        <v>0</v>
      </c>
      <c r="BA386" s="31">
        <v>0</v>
      </c>
      <c r="BB386" s="188">
        <f t="shared" si="97"/>
        <v>0</v>
      </c>
      <c r="BC386" s="188" t="str">
        <f t="shared" si="101"/>
        <v xml:space="preserve"> </v>
      </c>
      <c r="BD386" s="188" t="str">
        <f t="shared" si="102"/>
        <v xml:space="preserve"> </v>
      </c>
      <c r="BE386" s="188" t="str">
        <f t="shared" si="103"/>
        <v xml:space="preserve"> </v>
      </c>
      <c r="BF386" s="50" t="str">
        <f t="shared" si="111"/>
        <v>ORVEAS CREEK_Steelhead</v>
      </c>
      <c r="BG386" s="50" t="str">
        <f>IFERROR(VLOOKUP(BF386,'[1]WCVI Esc'!$C$5:$W$514,18,FALSE),"-")</f>
        <v>-</v>
      </c>
      <c r="BH386" s="50" t="str">
        <f t="shared" si="98"/>
        <v>-</v>
      </c>
      <c r="BI386" s="50" t="str">
        <f>IFERROR(VLOOKUP(BF386,'[1]WCVI Esc'!$C$5:$W$514,19,FALSE),"-")</f>
        <v>-</v>
      </c>
      <c r="BJ386" s="50" t="str">
        <f t="shared" si="99"/>
        <v>-</v>
      </c>
    </row>
    <row r="387" spans="1:65" hidden="1" x14ac:dyDescent="0.2">
      <c r="A387" s="28">
        <v>4</v>
      </c>
      <c r="B387" s="28">
        <v>1</v>
      </c>
      <c r="C387" s="11">
        <v>20</v>
      </c>
      <c r="D387" s="13" t="s">
        <v>291</v>
      </c>
      <c r="E387" s="10" t="s">
        <v>163</v>
      </c>
      <c r="F387" s="10" t="s">
        <v>207</v>
      </c>
      <c r="G387" s="10"/>
      <c r="H387" s="152"/>
      <c r="I387" s="164"/>
      <c r="J387" s="62"/>
      <c r="K387" s="62"/>
      <c r="L387" s="177"/>
      <c r="M387" s="171"/>
      <c r="N387" s="62"/>
      <c r="O387" s="62"/>
      <c r="P387" s="62"/>
      <c r="Q387" s="64"/>
      <c r="R387" s="164"/>
      <c r="S387" s="62"/>
      <c r="T387" s="62"/>
      <c r="U387" s="62"/>
      <c r="V387" s="177"/>
      <c r="W387" s="171"/>
      <c r="X387" s="62"/>
      <c r="Y387" s="45"/>
      <c r="Z387" s="45"/>
      <c r="AA387" s="100"/>
      <c r="AB387" s="100"/>
      <c r="AC387" s="100"/>
      <c r="AD387" s="100"/>
      <c r="AE387" s="100"/>
      <c r="AF387" s="100"/>
      <c r="AG387" s="18">
        <v>20</v>
      </c>
      <c r="AH387" s="69" t="s">
        <v>291</v>
      </c>
      <c r="AI387" s="243" t="s">
        <v>163</v>
      </c>
      <c r="AJ387" s="243" t="s">
        <v>419</v>
      </c>
      <c r="AK387" s="246"/>
      <c r="AL387" s="43" t="str">
        <f t="shared" si="100"/>
        <v>-</v>
      </c>
      <c r="AM387" s="43">
        <f t="shared" si="104"/>
        <v>0</v>
      </c>
      <c r="AN387" s="193">
        <f t="shared" si="104"/>
        <v>0</v>
      </c>
      <c r="AO387" s="270" t="str">
        <f t="shared" si="105"/>
        <v>-</v>
      </c>
      <c r="AP387" s="266"/>
      <c r="AQ387" s="26" t="str">
        <f t="shared" ref="AQ387:AQ450" si="112">CONCATENATE(E387,F387)</f>
        <v>PIXIE CREEKSockeye</v>
      </c>
      <c r="AR387" s="26">
        <f t="shared" si="106"/>
        <v>0</v>
      </c>
      <c r="AS387" s="33">
        <f t="shared" si="107"/>
        <v>0</v>
      </c>
      <c r="AX387" s="47" t="str">
        <f t="shared" si="108"/>
        <v>PIXIE CREEKSockeye</v>
      </c>
      <c r="AY387" s="49">
        <f t="shared" si="109"/>
        <v>0</v>
      </c>
      <c r="AZ387" s="49">
        <f t="shared" si="110"/>
        <v>0</v>
      </c>
      <c r="BA387" s="31">
        <v>0</v>
      </c>
      <c r="BB387" s="188">
        <f t="shared" si="97"/>
        <v>0</v>
      </c>
      <c r="BC387" s="188" t="str">
        <f t="shared" si="101"/>
        <v xml:space="preserve"> </v>
      </c>
      <c r="BD387" s="188" t="str">
        <f t="shared" si="102"/>
        <v xml:space="preserve"> </v>
      </c>
      <c r="BE387" s="188" t="str">
        <f t="shared" si="103"/>
        <v xml:space="preserve"> </v>
      </c>
      <c r="BF387" s="50" t="str">
        <f t="shared" si="111"/>
        <v>PIXIE CREEK_Sockeye</v>
      </c>
      <c r="BG387" s="50" t="str">
        <f>IFERROR(VLOOKUP(BF387,'[1]WCVI Esc'!$C$5:$W$514,18,FALSE),"-")</f>
        <v>-</v>
      </c>
      <c r="BH387" s="50" t="str">
        <f t="shared" si="98"/>
        <v>-</v>
      </c>
      <c r="BI387" s="50" t="str">
        <f>IFERROR(VLOOKUP(BF387,'[1]WCVI Esc'!$C$5:$W$514,19,FALSE),"-")</f>
        <v>-</v>
      </c>
      <c r="BJ387" s="50" t="str">
        <f t="shared" si="99"/>
        <v>-</v>
      </c>
    </row>
    <row r="388" spans="1:65" hidden="1" x14ac:dyDescent="0.2">
      <c r="A388" s="28">
        <v>4</v>
      </c>
      <c r="B388" s="28">
        <v>2</v>
      </c>
      <c r="C388" s="11">
        <v>20</v>
      </c>
      <c r="D388" s="13" t="s">
        <v>291</v>
      </c>
      <c r="E388" s="10" t="s">
        <v>163</v>
      </c>
      <c r="F388" s="10" t="s">
        <v>219</v>
      </c>
      <c r="G388" s="10"/>
      <c r="H388" s="152"/>
      <c r="I388" s="164"/>
      <c r="J388" s="62"/>
      <c r="K388" s="62"/>
      <c r="L388" s="177"/>
      <c r="M388" s="171"/>
      <c r="N388" s="62"/>
      <c r="O388" s="62"/>
      <c r="P388" s="62"/>
      <c r="Q388" s="64"/>
      <c r="R388" s="164"/>
      <c r="S388" s="62"/>
      <c r="T388" s="62"/>
      <c r="U388" s="62"/>
      <c r="V388" s="177"/>
      <c r="W388" s="171"/>
      <c r="X388" s="62"/>
      <c r="Y388" s="45"/>
      <c r="Z388" s="45"/>
      <c r="AA388" s="100"/>
      <c r="AB388" s="100"/>
      <c r="AC388" s="100"/>
      <c r="AD388" s="100"/>
      <c r="AE388" s="100"/>
      <c r="AF388" s="100"/>
      <c r="AG388" s="18">
        <v>20</v>
      </c>
      <c r="AH388" s="69" t="s">
        <v>291</v>
      </c>
      <c r="AI388" s="243" t="s">
        <v>163</v>
      </c>
      <c r="AJ388" s="243" t="s">
        <v>419</v>
      </c>
      <c r="AK388" s="246"/>
      <c r="AL388" s="43" t="str">
        <f t="shared" si="100"/>
        <v>-</v>
      </c>
      <c r="AM388" s="43">
        <f t="shared" si="104"/>
        <v>0</v>
      </c>
      <c r="AN388" s="193">
        <f t="shared" si="104"/>
        <v>0</v>
      </c>
      <c r="AO388" s="270" t="str">
        <f t="shared" si="105"/>
        <v>-</v>
      </c>
      <c r="AP388" s="266"/>
      <c r="AQ388" s="26" t="str">
        <f t="shared" si="112"/>
        <v>PIXIE CREEKCoho</v>
      </c>
      <c r="AR388" s="26">
        <f t="shared" si="106"/>
        <v>0</v>
      </c>
      <c r="AS388" s="33">
        <f t="shared" si="107"/>
        <v>0</v>
      </c>
      <c r="AX388" s="47" t="str">
        <f t="shared" si="108"/>
        <v>PIXIE CREEKCoho</v>
      </c>
      <c r="AY388" s="49">
        <f t="shared" si="109"/>
        <v>0</v>
      </c>
      <c r="AZ388" s="49">
        <f t="shared" si="110"/>
        <v>0</v>
      </c>
      <c r="BA388" s="31">
        <v>0</v>
      </c>
      <c r="BB388" s="188">
        <f t="shared" si="97"/>
        <v>0</v>
      </c>
      <c r="BC388" s="188" t="str">
        <f t="shared" si="101"/>
        <v xml:space="preserve"> </v>
      </c>
      <c r="BD388" s="188" t="str">
        <f t="shared" si="102"/>
        <v xml:space="preserve"> </v>
      </c>
      <c r="BE388" s="188" t="str">
        <f t="shared" si="103"/>
        <v xml:space="preserve"> </v>
      </c>
      <c r="BF388" s="50" t="str">
        <f t="shared" si="111"/>
        <v>PIXIE CREEK_Coho</v>
      </c>
      <c r="BG388" s="50" t="str">
        <f>IFERROR(VLOOKUP(BF388,'[1]WCVI Esc'!$C$5:$W$514,18,FALSE),"-")</f>
        <v>-</v>
      </c>
      <c r="BH388" s="50" t="str">
        <f t="shared" si="98"/>
        <v>-</v>
      </c>
      <c r="BI388" s="50" t="str">
        <f>IFERROR(VLOOKUP(BF388,'[1]WCVI Esc'!$C$5:$W$514,19,FALSE),"-")</f>
        <v>-</v>
      </c>
      <c r="BJ388" s="50" t="str">
        <f t="shared" si="99"/>
        <v>-</v>
      </c>
    </row>
    <row r="389" spans="1:65" hidden="1" x14ac:dyDescent="0.2">
      <c r="A389" s="28">
        <v>4</v>
      </c>
      <c r="B389" s="28">
        <v>3</v>
      </c>
      <c r="C389" s="11">
        <v>20</v>
      </c>
      <c r="D389" s="13" t="s">
        <v>291</v>
      </c>
      <c r="E389" s="10" t="s">
        <v>163</v>
      </c>
      <c r="F389" s="10" t="s">
        <v>208</v>
      </c>
      <c r="G389" s="10"/>
      <c r="H389" s="152"/>
      <c r="I389" s="164"/>
      <c r="J389" s="62"/>
      <c r="K389" s="62"/>
      <c r="L389" s="177"/>
      <c r="M389" s="171"/>
      <c r="N389" s="62"/>
      <c r="O389" s="62"/>
      <c r="P389" s="62"/>
      <c r="Q389" s="64"/>
      <c r="R389" s="164"/>
      <c r="S389" s="62"/>
      <c r="T389" s="62"/>
      <c r="U389" s="62"/>
      <c r="V389" s="177"/>
      <c r="W389" s="171"/>
      <c r="X389" s="62"/>
      <c r="Y389" s="45"/>
      <c r="Z389" s="45"/>
      <c r="AA389" s="100"/>
      <c r="AB389" s="100"/>
      <c r="AC389" s="100"/>
      <c r="AD389" s="100"/>
      <c r="AE389" s="100"/>
      <c r="AF389" s="100"/>
      <c r="AG389" s="18">
        <v>20</v>
      </c>
      <c r="AH389" s="69" t="s">
        <v>291</v>
      </c>
      <c r="AI389" s="243" t="s">
        <v>163</v>
      </c>
      <c r="AJ389" s="243" t="s">
        <v>419</v>
      </c>
      <c r="AK389" s="246"/>
      <c r="AL389" s="43" t="str">
        <f t="shared" si="100"/>
        <v>-</v>
      </c>
      <c r="AM389" s="43">
        <f t="shared" si="104"/>
        <v>0</v>
      </c>
      <c r="AN389" s="193">
        <f t="shared" si="104"/>
        <v>0</v>
      </c>
      <c r="AO389" s="270" t="str">
        <f t="shared" si="105"/>
        <v>-</v>
      </c>
      <c r="AP389" s="266"/>
      <c r="AQ389" s="26" t="str">
        <f t="shared" si="112"/>
        <v>PIXIE CREEKPink</v>
      </c>
      <c r="AR389" s="26">
        <f t="shared" si="106"/>
        <v>0</v>
      </c>
      <c r="AS389" s="33">
        <f t="shared" si="107"/>
        <v>0</v>
      </c>
      <c r="AX389" s="47" t="str">
        <f t="shared" si="108"/>
        <v>PIXIE CREEKPink</v>
      </c>
      <c r="AY389" s="49">
        <f t="shared" si="109"/>
        <v>0</v>
      </c>
      <c r="AZ389" s="49">
        <f t="shared" si="110"/>
        <v>0</v>
      </c>
      <c r="BA389" s="31">
        <v>0</v>
      </c>
      <c r="BB389" s="188">
        <f t="shared" si="97"/>
        <v>0</v>
      </c>
      <c r="BC389" s="188" t="str">
        <f t="shared" si="101"/>
        <v xml:space="preserve"> </v>
      </c>
      <c r="BD389" s="188" t="str">
        <f t="shared" si="102"/>
        <v xml:space="preserve"> </v>
      </c>
      <c r="BE389" s="188" t="str">
        <f t="shared" si="103"/>
        <v xml:space="preserve"> </v>
      </c>
      <c r="BF389" s="50" t="str">
        <f t="shared" si="111"/>
        <v>PIXIE CREEK_Pink</v>
      </c>
      <c r="BG389" s="50" t="str">
        <f>IFERROR(VLOOKUP(BF389,'[1]WCVI Esc'!$C$5:$W$514,18,FALSE),"-")</f>
        <v>-</v>
      </c>
      <c r="BH389" s="50" t="str">
        <f t="shared" si="98"/>
        <v>-</v>
      </c>
      <c r="BI389" s="50" t="str">
        <f>IFERROR(VLOOKUP(BF389,'[1]WCVI Esc'!$C$5:$W$514,19,FALSE),"-")</f>
        <v>-</v>
      </c>
      <c r="BJ389" s="50" t="str">
        <f t="shared" si="99"/>
        <v>-</v>
      </c>
    </row>
    <row r="390" spans="1:65" hidden="1" x14ac:dyDescent="0.2">
      <c r="A390" s="28">
        <v>4</v>
      </c>
      <c r="B390" s="28">
        <v>4</v>
      </c>
      <c r="C390" s="11">
        <v>20</v>
      </c>
      <c r="D390" s="13" t="s">
        <v>291</v>
      </c>
      <c r="E390" s="10" t="s">
        <v>163</v>
      </c>
      <c r="F390" s="10" t="s">
        <v>209</v>
      </c>
      <c r="G390" s="10"/>
      <c r="H390" s="152"/>
      <c r="I390" s="164"/>
      <c r="J390" s="62"/>
      <c r="K390" s="62"/>
      <c r="L390" s="177"/>
      <c r="M390" s="171"/>
      <c r="N390" s="62"/>
      <c r="O390" s="62"/>
      <c r="P390" s="62"/>
      <c r="Q390" s="64"/>
      <c r="R390" s="164"/>
      <c r="S390" s="62"/>
      <c r="T390" s="62"/>
      <c r="U390" s="62"/>
      <c r="V390" s="177"/>
      <c r="W390" s="171"/>
      <c r="X390" s="62"/>
      <c r="Y390" s="45"/>
      <c r="Z390" s="45"/>
      <c r="AA390" s="100"/>
      <c r="AB390" s="100"/>
      <c r="AC390" s="100"/>
      <c r="AD390" s="100"/>
      <c r="AE390" s="100"/>
      <c r="AF390" s="100"/>
      <c r="AG390" s="18">
        <v>20</v>
      </c>
      <c r="AH390" s="69" t="s">
        <v>291</v>
      </c>
      <c r="AI390" s="243" t="s">
        <v>163</v>
      </c>
      <c r="AJ390" s="243" t="s">
        <v>419</v>
      </c>
      <c r="AK390" s="246"/>
      <c r="AL390" s="43" t="str">
        <f t="shared" si="100"/>
        <v>-</v>
      </c>
      <c r="AM390" s="43">
        <f t="shared" si="104"/>
        <v>0</v>
      </c>
      <c r="AN390" s="193">
        <f t="shared" si="104"/>
        <v>0</v>
      </c>
      <c r="AO390" s="270" t="str">
        <f t="shared" si="105"/>
        <v>-</v>
      </c>
      <c r="AP390" s="266"/>
      <c r="AQ390" s="26" t="str">
        <f t="shared" si="112"/>
        <v>PIXIE CREEKChum</v>
      </c>
      <c r="AR390" s="26">
        <f t="shared" si="106"/>
        <v>0</v>
      </c>
      <c r="AS390" s="33">
        <f t="shared" si="107"/>
        <v>0</v>
      </c>
      <c r="AX390" s="47" t="str">
        <f t="shared" si="108"/>
        <v>PIXIE CREEKChum</v>
      </c>
      <c r="AY390" s="49">
        <f t="shared" si="109"/>
        <v>0</v>
      </c>
      <c r="AZ390" s="49">
        <f t="shared" si="110"/>
        <v>0</v>
      </c>
      <c r="BA390" s="31">
        <v>0</v>
      </c>
      <c r="BB390" s="188">
        <f t="shared" si="97"/>
        <v>0</v>
      </c>
      <c r="BC390" s="188" t="str">
        <f t="shared" si="101"/>
        <v xml:space="preserve"> </v>
      </c>
      <c r="BD390" s="188" t="str">
        <f t="shared" si="102"/>
        <v xml:space="preserve"> </v>
      </c>
      <c r="BE390" s="188" t="str">
        <f t="shared" si="103"/>
        <v xml:space="preserve"> </v>
      </c>
      <c r="BF390" s="50" t="str">
        <f t="shared" si="111"/>
        <v>PIXIE CREEK_Chum</v>
      </c>
      <c r="BG390" s="50" t="str">
        <f>IFERROR(VLOOKUP(BF390,'[1]WCVI Esc'!$C$5:$W$514,18,FALSE),"-")</f>
        <v>-</v>
      </c>
      <c r="BH390" s="50" t="str">
        <f t="shared" si="98"/>
        <v>-</v>
      </c>
      <c r="BI390" s="50" t="str">
        <f>IFERROR(VLOOKUP(BF390,'[1]WCVI Esc'!$C$5:$W$514,19,FALSE),"-")</f>
        <v>-</v>
      </c>
      <c r="BJ390" s="50" t="str">
        <f t="shared" si="99"/>
        <v>-</v>
      </c>
    </row>
    <row r="391" spans="1:65" hidden="1" x14ac:dyDescent="0.2">
      <c r="A391" s="28">
        <v>4</v>
      </c>
      <c r="B391" s="28">
        <v>5</v>
      </c>
      <c r="C391" s="11">
        <v>20</v>
      </c>
      <c r="D391" s="13" t="s">
        <v>291</v>
      </c>
      <c r="E391" s="10" t="s">
        <v>163</v>
      </c>
      <c r="F391" s="10" t="s">
        <v>210</v>
      </c>
      <c r="G391" s="10"/>
      <c r="H391" s="152"/>
      <c r="I391" s="164"/>
      <c r="J391" s="62"/>
      <c r="K391" s="62"/>
      <c r="L391" s="177"/>
      <c r="M391" s="171"/>
      <c r="N391" s="62"/>
      <c r="O391" s="62"/>
      <c r="P391" s="62"/>
      <c r="Q391" s="64"/>
      <c r="R391" s="164"/>
      <c r="S391" s="62"/>
      <c r="T391" s="62"/>
      <c r="U391" s="62"/>
      <c r="V391" s="177"/>
      <c r="W391" s="171"/>
      <c r="X391" s="62"/>
      <c r="Y391" s="45"/>
      <c r="Z391" s="45"/>
      <c r="AA391" s="100"/>
      <c r="AB391" s="100"/>
      <c r="AC391" s="100"/>
      <c r="AD391" s="100"/>
      <c r="AE391" s="100"/>
      <c r="AF391" s="100"/>
      <c r="AG391" s="18">
        <v>20</v>
      </c>
      <c r="AH391" s="69" t="s">
        <v>291</v>
      </c>
      <c r="AI391" s="243" t="s">
        <v>163</v>
      </c>
      <c r="AJ391" s="243" t="s">
        <v>419</v>
      </c>
      <c r="AK391" s="246"/>
      <c r="AL391" s="43" t="str">
        <f t="shared" si="100"/>
        <v>-</v>
      </c>
      <c r="AM391" s="43">
        <f t="shared" si="104"/>
        <v>0</v>
      </c>
      <c r="AN391" s="193">
        <f t="shared" si="104"/>
        <v>0</v>
      </c>
      <c r="AO391" s="270" t="str">
        <f t="shared" si="105"/>
        <v>-</v>
      </c>
      <c r="AP391" s="266"/>
      <c r="AQ391" s="26" t="str">
        <f t="shared" si="112"/>
        <v>PIXIE CREEKChinook</v>
      </c>
      <c r="AR391" s="26">
        <f t="shared" si="106"/>
        <v>0</v>
      </c>
      <c r="AS391" s="33">
        <f t="shared" si="107"/>
        <v>0</v>
      </c>
      <c r="AX391" s="47" t="str">
        <f t="shared" si="108"/>
        <v>PIXIE CREEKChinook</v>
      </c>
      <c r="AY391" s="49">
        <f t="shared" si="109"/>
        <v>0</v>
      </c>
      <c r="AZ391" s="49">
        <f t="shared" si="110"/>
        <v>0</v>
      </c>
      <c r="BA391" s="31">
        <v>0</v>
      </c>
      <c r="BB391" s="188">
        <f t="shared" si="97"/>
        <v>0</v>
      </c>
      <c r="BC391" s="188" t="str">
        <f t="shared" si="101"/>
        <v xml:space="preserve"> </v>
      </c>
      <c r="BD391" s="188" t="str">
        <f t="shared" si="102"/>
        <v xml:space="preserve"> </v>
      </c>
      <c r="BE391" s="188" t="str">
        <f t="shared" si="103"/>
        <v xml:space="preserve"> </v>
      </c>
      <c r="BF391" s="50" t="str">
        <f t="shared" si="111"/>
        <v>PIXIE CREEK_Chinook</v>
      </c>
      <c r="BG391" s="50" t="str">
        <f>IFERROR(VLOOKUP(BF391,'[1]WCVI Esc'!$C$5:$W$514,18,FALSE),"-")</f>
        <v>-</v>
      </c>
      <c r="BH391" s="50" t="str">
        <f t="shared" si="98"/>
        <v>-</v>
      </c>
      <c r="BI391" s="50" t="str">
        <f>IFERROR(VLOOKUP(BF391,'[1]WCVI Esc'!$C$5:$W$514,19,FALSE),"-")</f>
        <v>-</v>
      </c>
      <c r="BJ391" s="50" t="str">
        <f t="shared" si="99"/>
        <v>-</v>
      </c>
    </row>
    <row r="392" spans="1:65" hidden="1" x14ac:dyDescent="0.2">
      <c r="A392" s="28">
        <v>4</v>
      </c>
      <c r="B392" s="28">
        <v>6</v>
      </c>
      <c r="C392" s="11">
        <v>20</v>
      </c>
      <c r="D392" s="13" t="s">
        <v>291</v>
      </c>
      <c r="E392" s="10" t="s">
        <v>163</v>
      </c>
      <c r="F392" s="10" t="s">
        <v>211</v>
      </c>
      <c r="G392" s="10"/>
      <c r="H392" s="152"/>
      <c r="I392" s="164"/>
      <c r="J392" s="62"/>
      <c r="K392" s="62"/>
      <c r="L392" s="177"/>
      <c r="M392" s="171"/>
      <c r="N392" s="62"/>
      <c r="O392" s="62"/>
      <c r="P392" s="62"/>
      <c r="Q392" s="64"/>
      <c r="R392" s="164"/>
      <c r="S392" s="62"/>
      <c r="T392" s="62"/>
      <c r="U392" s="62"/>
      <c r="V392" s="177"/>
      <c r="W392" s="171"/>
      <c r="X392" s="62"/>
      <c r="Y392" s="45"/>
      <c r="Z392" s="45"/>
      <c r="AA392" s="100"/>
      <c r="AB392" s="100"/>
      <c r="AC392" s="100"/>
      <c r="AD392" s="100"/>
      <c r="AE392" s="100"/>
      <c r="AF392" s="100"/>
      <c r="AG392" s="18">
        <v>20</v>
      </c>
      <c r="AH392" s="69" t="s">
        <v>291</v>
      </c>
      <c r="AI392" s="243" t="s">
        <v>163</v>
      </c>
      <c r="AJ392" s="243" t="s">
        <v>419</v>
      </c>
      <c r="AK392" s="246"/>
      <c r="AL392" s="43" t="str">
        <f t="shared" si="100"/>
        <v>-</v>
      </c>
      <c r="AM392" s="43">
        <f t="shared" si="104"/>
        <v>0</v>
      </c>
      <c r="AN392" s="193">
        <f t="shared" si="104"/>
        <v>0</v>
      </c>
      <c r="AO392" s="270" t="str">
        <f t="shared" si="105"/>
        <v>-</v>
      </c>
      <c r="AP392" s="266"/>
      <c r="AQ392" s="26" t="str">
        <f t="shared" si="112"/>
        <v>PIXIE CREEKSteelhead</v>
      </c>
      <c r="AR392" s="26">
        <f t="shared" si="106"/>
        <v>0</v>
      </c>
      <c r="AS392" s="33">
        <f t="shared" si="107"/>
        <v>0</v>
      </c>
      <c r="AX392" s="47" t="str">
        <f t="shared" si="108"/>
        <v>PIXIE CREEKSteelhead</v>
      </c>
      <c r="AY392" s="49">
        <f t="shared" si="109"/>
        <v>0</v>
      </c>
      <c r="AZ392" s="49">
        <f t="shared" si="110"/>
        <v>0</v>
      </c>
      <c r="BA392" s="31">
        <v>0</v>
      </c>
      <c r="BB392" s="188">
        <f t="shared" si="97"/>
        <v>0</v>
      </c>
      <c r="BC392" s="188" t="str">
        <f t="shared" si="101"/>
        <v xml:space="preserve"> </v>
      </c>
      <c r="BD392" s="188" t="str">
        <f t="shared" si="102"/>
        <v xml:space="preserve"> </v>
      </c>
      <c r="BE392" s="188" t="str">
        <f t="shared" si="103"/>
        <v xml:space="preserve"> </v>
      </c>
      <c r="BF392" s="50" t="str">
        <f t="shared" si="111"/>
        <v>PIXIE CREEK_Steelhead</v>
      </c>
      <c r="BG392" s="50" t="str">
        <f>IFERROR(VLOOKUP(BF392,'[1]WCVI Esc'!$C$5:$W$514,18,FALSE),"-")</f>
        <v>-</v>
      </c>
      <c r="BH392" s="50" t="str">
        <f t="shared" si="98"/>
        <v>-</v>
      </c>
      <c r="BI392" s="50" t="str">
        <f>IFERROR(VLOOKUP(BF392,'[1]WCVI Esc'!$C$5:$W$514,19,FALSE),"-")</f>
        <v>-</v>
      </c>
      <c r="BJ392" s="50" t="str">
        <f t="shared" si="99"/>
        <v>-</v>
      </c>
    </row>
    <row r="393" spans="1:65" hidden="1" x14ac:dyDescent="0.2">
      <c r="A393" s="28">
        <v>4</v>
      </c>
      <c r="B393" s="28">
        <v>1</v>
      </c>
      <c r="C393" s="11">
        <v>20</v>
      </c>
      <c r="D393" s="13" t="s">
        <v>291</v>
      </c>
      <c r="E393" s="10" t="s">
        <v>74</v>
      </c>
      <c r="F393" s="10" t="s">
        <v>207</v>
      </c>
      <c r="G393" s="10"/>
      <c r="H393" s="152"/>
      <c r="I393" s="155"/>
      <c r="J393" s="106"/>
      <c r="K393" s="94"/>
      <c r="L393" s="180"/>
      <c r="M393" s="173"/>
      <c r="N393" s="106"/>
      <c r="O393" s="106"/>
      <c r="P393" s="63"/>
      <c r="Q393" s="162"/>
      <c r="R393" s="164"/>
      <c r="S393" s="62"/>
      <c r="T393" s="63"/>
      <c r="U393" s="62"/>
      <c r="V393" s="177"/>
      <c r="W393" s="171"/>
      <c r="X393" s="62"/>
      <c r="Y393" s="45"/>
      <c r="Z393" s="45"/>
      <c r="AA393" s="100">
        <f>Y393/AP393</f>
        <v>0</v>
      </c>
      <c r="AB393" s="100">
        <f>AS393/AP393</f>
        <v>0</v>
      </c>
      <c r="AC393" s="100"/>
      <c r="AD393" s="100"/>
      <c r="AE393" s="100"/>
      <c r="AF393" s="100"/>
      <c r="AG393" s="18">
        <v>20</v>
      </c>
      <c r="AH393" s="69" t="s">
        <v>291</v>
      </c>
      <c r="AI393" s="243" t="s">
        <v>74</v>
      </c>
      <c r="AJ393" s="243" t="s">
        <v>419</v>
      </c>
      <c r="AK393" s="244" t="s">
        <v>370</v>
      </c>
      <c r="AL393" s="43" t="str">
        <f t="shared" si="100"/>
        <v>-</v>
      </c>
      <c r="AM393" s="43">
        <f t="shared" si="104"/>
        <v>0</v>
      </c>
      <c r="AN393" s="193">
        <f t="shared" si="104"/>
        <v>0</v>
      </c>
      <c r="AO393" s="264">
        <f t="shared" si="105"/>
        <v>30</v>
      </c>
      <c r="AP393" s="265">
        <f>BJ393</f>
        <v>30</v>
      </c>
      <c r="AQ393" s="26" t="str">
        <f t="shared" si="112"/>
        <v>RENFREW CREEKSockeye</v>
      </c>
      <c r="AR393" s="26">
        <f t="shared" si="106"/>
        <v>0</v>
      </c>
      <c r="AS393" s="33">
        <f t="shared" si="107"/>
        <v>0</v>
      </c>
      <c r="AX393" s="47" t="str">
        <f t="shared" si="108"/>
        <v>RENFREW CREEKSockeye</v>
      </c>
      <c r="AY393" s="49">
        <f t="shared" si="109"/>
        <v>0</v>
      </c>
      <c r="AZ393" s="49">
        <f t="shared" si="110"/>
        <v>0</v>
      </c>
      <c r="BA393" s="31">
        <v>2016</v>
      </c>
      <c r="BB393" s="188" t="str">
        <f t="shared" ref="BB393:BB456" si="113">AK393</f>
        <v>PFN</v>
      </c>
      <c r="BC393" s="188" t="str">
        <f t="shared" si="101"/>
        <v xml:space="preserve"> </v>
      </c>
      <c r="BD393" s="188" t="str">
        <f t="shared" si="102"/>
        <v xml:space="preserve"> </v>
      </c>
      <c r="BE393" s="188" t="str">
        <f t="shared" si="103"/>
        <v xml:space="preserve"> </v>
      </c>
      <c r="BF393" s="50" t="str">
        <f t="shared" si="111"/>
        <v>RENFREW CREEK_Sockeye</v>
      </c>
      <c r="BG393" s="50">
        <f>IFERROR(VLOOKUP(BF393,'[1]WCVI Esc'!$C$5:$W$534,18,FALSE),"-")</f>
        <v>33</v>
      </c>
      <c r="BH393" s="50">
        <f t="shared" ref="BH393:BH456" si="114">IFERROR(ROUND(BG393,-1),"-")</f>
        <v>30</v>
      </c>
      <c r="BI393" s="50">
        <f>IFERROR(VLOOKUP(BF393,'[1]WCVI Esc'!$C$5:$W$534,19,FALSE),"-")</f>
        <v>27.2</v>
      </c>
      <c r="BJ393" s="50">
        <f t="shared" ref="BJ393:BJ456" si="115">IFERROR(ROUND(BI393,-1),"-")</f>
        <v>30</v>
      </c>
    </row>
    <row r="394" spans="1:65" hidden="1" x14ac:dyDescent="0.2">
      <c r="A394" s="28">
        <v>4</v>
      </c>
      <c r="B394" s="28">
        <v>2</v>
      </c>
      <c r="C394" s="11">
        <v>20</v>
      </c>
      <c r="D394" s="13" t="s">
        <v>291</v>
      </c>
      <c r="E394" s="10" t="s">
        <v>74</v>
      </c>
      <c r="F394" s="10" t="s">
        <v>219</v>
      </c>
      <c r="G394" s="10"/>
      <c r="H394" s="152"/>
      <c r="I394" s="155"/>
      <c r="J394" s="106"/>
      <c r="K394" s="94"/>
      <c r="L394" s="180"/>
      <c r="M394" s="173"/>
      <c r="N394" s="106"/>
      <c r="O394" s="106"/>
      <c r="P394" s="63"/>
      <c r="Q394" s="162"/>
      <c r="R394" s="164"/>
      <c r="S394" s="62"/>
      <c r="T394" s="63"/>
      <c r="U394" s="62"/>
      <c r="V394" s="177"/>
      <c r="W394" s="171"/>
      <c r="X394" s="62"/>
      <c r="Y394" s="45"/>
      <c r="Z394" s="45"/>
      <c r="AA394" s="100">
        <f>Y394/AP394</f>
        <v>0</v>
      </c>
      <c r="AB394" s="100">
        <f>AS394/AP394</f>
        <v>0</v>
      </c>
      <c r="AC394" s="100"/>
      <c r="AD394" s="100"/>
      <c r="AE394" s="100"/>
      <c r="AF394" s="100"/>
      <c r="AG394" s="18">
        <v>20</v>
      </c>
      <c r="AH394" s="69" t="s">
        <v>291</v>
      </c>
      <c r="AI394" s="243" t="s">
        <v>74</v>
      </c>
      <c r="AJ394" s="243" t="s">
        <v>419</v>
      </c>
      <c r="AK394" s="244" t="s">
        <v>370</v>
      </c>
      <c r="AL394" s="43" t="str">
        <f t="shared" ref="AL394:AL457" si="116">IF(BE394=" ",IF(BD394=" ", IF(BC394=" ","-",BC394),BD394), BE394)</f>
        <v>-</v>
      </c>
      <c r="AM394" s="43">
        <f t="shared" si="104"/>
        <v>0</v>
      </c>
      <c r="AN394" s="193">
        <f t="shared" si="104"/>
        <v>0</v>
      </c>
      <c r="AO394" s="264">
        <f t="shared" si="105"/>
        <v>550</v>
      </c>
      <c r="AP394" s="265">
        <f>BJ394</f>
        <v>730</v>
      </c>
      <c r="AQ394" s="26" t="str">
        <f t="shared" si="112"/>
        <v>RENFREW CREEKCoho</v>
      </c>
      <c r="AR394" s="26">
        <f t="shared" si="106"/>
        <v>0</v>
      </c>
      <c r="AS394" s="33">
        <f t="shared" si="107"/>
        <v>0</v>
      </c>
      <c r="AX394" s="47" t="str">
        <f t="shared" si="108"/>
        <v>RENFREW CREEKCoho</v>
      </c>
      <c r="AY394" s="49">
        <f t="shared" si="109"/>
        <v>0</v>
      </c>
      <c r="AZ394" s="49">
        <f t="shared" si="110"/>
        <v>0</v>
      </c>
      <c r="BA394" s="31">
        <v>2016</v>
      </c>
      <c r="BB394" s="188" t="str">
        <f t="shared" si="113"/>
        <v>PFN</v>
      </c>
      <c r="BC394" s="188" t="str">
        <f t="shared" ref="BC394:BC457" si="117">IF(ISNUMBER(M394),M$8,IF(ISNUMBER(L394),L$8,IF(ISNUMBER(K394),K$8,IF(ISNUMBER(J394),J$8,IF(ISNUMBER(I394),I$8,IF(ISNUMBER(H394),H$8, IF(ISNUMBER(G394),G$8," ")))))))</f>
        <v xml:space="preserve"> </v>
      </c>
      <c r="BD394" s="188" t="str">
        <f t="shared" ref="BD394:BD457" si="118">IF(ISNUMBER(S394),S$8,IF(ISNUMBER(R394),R$8,IF(ISNUMBER(Q394),Q$8,IF(ISNUMBER(P394),P$8,IF(ISNUMBER(O394),O$8,IF(ISNUMBER(N394),N$8," "))))))</f>
        <v xml:space="preserve"> </v>
      </c>
      <c r="BE394" s="188" t="str">
        <f t="shared" ref="BE394:BE457" si="119">IF(ISNUMBER(X394),X$8,IF(ISNUMBER(W394),W$8,IF(ISNUMBER(V394),V$8,IF(ISNUMBER(U394),U$8,IF(ISNUMBER(T394),T$8," ")))))</f>
        <v xml:space="preserve"> </v>
      </c>
      <c r="BF394" s="50" t="str">
        <f t="shared" si="111"/>
        <v>RENFREW CREEK_Coho</v>
      </c>
      <c r="BG394" s="50">
        <f>IFERROR(VLOOKUP(BF394,'[1]WCVI Esc'!$C$5:$W$534,18,FALSE),"-")</f>
        <v>554.66666666666663</v>
      </c>
      <c r="BH394" s="50">
        <f t="shared" si="114"/>
        <v>550</v>
      </c>
      <c r="BI394" s="50">
        <f>IFERROR(VLOOKUP(BF394,'[1]WCVI Esc'!$C$5:$W$534,19,FALSE),"-")</f>
        <v>733.3</v>
      </c>
      <c r="BJ394" s="50">
        <f t="shared" si="115"/>
        <v>730</v>
      </c>
    </row>
    <row r="395" spans="1:65" hidden="1" x14ac:dyDescent="0.2">
      <c r="A395" s="28">
        <v>4</v>
      </c>
      <c r="B395" s="28">
        <v>3</v>
      </c>
      <c r="C395" s="11">
        <v>20</v>
      </c>
      <c r="D395" s="13" t="s">
        <v>291</v>
      </c>
      <c r="E395" s="10" t="s">
        <v>74</v>
      </c>
      <c r="F395" s="10" t="s">
        <v>208</v>
      </c>
      <c r="G395" s="10"/>
      <c r="H395" s="152"/>
      <c r="I395" s="155"/>
      <c r="J395" s="106"/>
      <c r="K395" s="94"/>
      <c r="L395" s="180"/>
      <c r="M395" s="173"/>
      <c r="N395" s="106"/>
      <c r="O395" s="106"/>
      <c r="P395" s="63"/>
      <c r="Q395" s="162"/>
      <c r="R395" s="164"/>
      <c r="S395" s="62"/>
      <c r="T395" s="62"/>
      <c r="U395" s="62"/>
      <c r="V395" s="177"/>
      <c r="W395" s="171"/>
      <c r="X395" s="62"/>
      <c r="Y395" s="45"/>
      <c r="Z395" s="45"/>
      <c r="AA395" s="100"/>
      <c r="AB395" s="100"/>
      <c r="AC395" s="100"/>
      <c r="AD395" s="100"/>
      <c r="AE395" s="100"/>
      <c r="AF395" s="100"/>
      <c r="AG395" s="18">
        <v>20</v>
      </c>
      <c r="AH395" s="69" t="s">
        <v>291</v>
      </c>
      <c r="AI395" s="243" t="s">
        <v>74</v>
      </c>
      <c r="AJ395" s="243" t="s">
        <v>419</v>
      </c>
      <c r="AK395" s="244" t="s">
        <v>370</v>
      </c>
      <c r="AL395" s="43" t="str">
        <f t="shared" si="116"/>
        <v>-</v>
      </c>
      <c r="AM395" s="43">
        <f t="shared" si="104"/>
        <v>0</v>
      </c>
      <c r="AN395" s="193">
        <f t="shared" si="104"/>
        <v>0</v>
      </c>
      <c r="AO395" s="264" t="str">
        <f t="shared" si="105"/>
        <v>-</v>
      </c>
      <c r="AP395" s="272"/>
      <c r="AQ395" s="26" t="str">
        <f t="shared" si="112"/>
        <v>RENFREW CREEKPink</v>
      </c>
      <c r="AR395" s="26">
        <f t="shared" si="106"/>
        <v>0</v>
      </c>
      <c r="AS395" s="33">
        <f t="shared" si="107"/>
        <v>0</v>
      </c>
      <c r="AX395" s="47" t="str">
        <f t="shared" si="108"/>
        <v>RENFREW CREEKPink</v>
      </c>
      <c r="AY395" s="49">
        <f t="shared" si="109"/>
        <v>0</v>
      </c>
      <c r="AZ395" s="49">
        <f t="shared" si="110"/>
        <v>0</v>
      </c>
      <c r="BA395" s="31">
        <v>0</v>
      </c>
      <c r="BB395" s="188" t="str">
        <f t="shared" si="113"/>
        <v>PFN</v>
      </c>
      <c r="BC395" s="188" t="str">
        <f t="shared" si="117"/>
        <v xml:space="preserve"> </v>
      </c>
      <c r="BD395" s="188" t="str">
        <f t="shared" si="118"/>
        <v xml:space="preserve"> </v>
      </c>
      <c r="BE395" s="188" t="str">
        <f t="shared" si="119"/>
        <v xml:space="preserve"> </v>
      </c>
      <c r="BF395" s="50" t="str">
        <f t="shared" si="111"/>
        <v>RENFREW CREEK_Pink</v>
      </c>
      <c r="BG395" s="50" t="str">
        <f>IFERROR(VLOOKUP(BF395,'[1]WCVI Esc'!$C$5:$W$534,18,FALSE),"-")</f>
        <v>-</v>
      </c>
      <c r="BH395" s="50" t="str">
        <f t="shared" si="114"/>
        <v>-</v>
      </c>
      <c r="BI395" s="50" t="str">
        <f>IFERROR(VLOOKUP(BF395,'[1]WCVI Esc'!$C$5:$W$534,19,FALSE),"-")</f>
        <v>-</v>
      </c>
      <c r="BJ395" s="50" t="str">
        <f t="shared" si="115"/>
        <v>-</v>
      </c>
    </row>
    <row r="396" spans="1:65" hidden="1" x14ac:dyDescent="0.2">
      <c r="A396" s="28">
        <v>4</v>
      </c>
      <c r="B396" s="28">
        <v>4</v>
      </c>
      <c r="C396" s="11">
        <v>20</v>
      </c>
      <c r="D396" s="13" t="s">
        <v>291</v>
      </c>
      <c r="E396" s="10" t="s">
        <v>74</v>
      </c>
      <c r="F396" s="10" t="s">
        <v>209</v>
      </c>
      <c r="G396" s="10"/>
      <c r="H396" s="152"/>
      <c r="I396" s="155"/>
      <c r="J396" s="106"/>
      <c r="K396" s="94"/>
      <c r="L396" s="180"/>
      <c r="M396" s="173"/>
      <c r="N396" s="106"/>
      <c r="O396" s="106"/>
      <c r="P396" s="63"/>
      <c r="Q396" s="162"/>
      <c r="R396" s="164"/>
      <c r="S396" s="62"/>
      <c r="T396" s="63"/>
      <c r="U396" s="62"/>
      <c r="V396" s="177"/>
      <c r="W396" s="171"/>
      <c r="X396" s="62"/>
      <c r="Y396" s="45"/>
      <c r="Z396" s="45"/>
      <c r="AA396" s="100">
        <f>Y396/AP396</f>
        <v>0</v>
      </c>
      <c r="AB396" s="100">
        <f>AS396/AP396</f>
        <v>0</v>
      </c>
      <c r="AC396" s="100"/>
      <c r="AD396" s="100"/>
      <c r="AE396" s="100"/>
      <c r="AF396" s="100"/>
      <c r="AG396" s="18">
        <v>20</v>
      </c>
      <c r="AH396" s="69" t="s">
        <v>291</v>
      </c>
      <c r="AI396" s="243" t="s">
        <v>74</v>
      </c>
      <c r="AJ396" s="243" t="s">
        <v>419</v>
      </c>
      <c r="AK396" s="244" t="s">
        <v>370</v>
      </c>
      <c r="AL396" s="43" t="str">
        <f t="shared" si="116"/>
        <v>-</v>
      </c>
      <c r="AM396" s="43">
        <f t="shared" si="104"/>
        <v>0</v>
      </c>
      <c r="AN396" s="193">
        <f t="shared" si="104"/>
        <v>0</v>
      </c>
      <c r="AO396" s="264">
        <f t="shared" si="105"/>
        <v>140</v>
      </c>
      <c r="AP396" s="265">
        <f>BJ396</f>
        <v>290</v>
      </c>
      <c r="AQ396" s="26" t="str">
        <f t="shared" si="112"/>
        <v>RENFREW CREEKChum</v>
      </c>
      <c r="AR396" s="26">
        <f t="shared" si="106"/>
        <v>0</v>
      </c>
      <c r="AS396" s="33">
        <f t="shared" si="107"/>
        <v>0</v>
      </c>
      <c r="AX396" s="47" t="str">
        <f t="shared" si="108"/>
        <v>RENFREW CREEKChum</v>
      </c>
      <c r="AY396" s="49">
        <f t="shared" si="109"/>
        <v>0</v>
      </c>
      <c r="AZ396" s="49">
        <f t="shared" si="110"/>
        <v>0</v>
      </c>
      <c r="BA396" s="31">
        <v>2016</v>
      </c>
      <c r="BB396" s="188" t="str">
        <f t="shared" si="113"/>
        <v>PFN</v>
      </c>
      <c r="BC396" s="188" t="str">
        <f t="shared" si="117"/>
        <v xml:space="preserve"> </v>
      </c>
      <c r="BD396" s="188" t="str">
        <f t="shared" si="118"/>
        <v xml:space="preserve"> </v>
      </c>
      <c r="BE396" s="188" t="str">
        <f t="shared" si="119"/>
        <v xml:space="preserve"> </v>
      </c>
      <c r="BF396" s="50" t="str">
        <f t="shared" si="111"/>
        <v>RENFREW CREEK_Chum</v>
      </c>
      <c r="BG396" s="50">
        <f>IFERROR(VLOOKUP(BF396,'[1]WCVI Esc'!$C$5:$W$534,18,FALSE),"-")</f>
        <v>139</v>
      </c>
      <c r="BH396" s="50">
        <f t="shared" si="114"/>
        <v>140</v>
      </c>
      <c r="BI396" s="50">
        <f>IFERROR(VLOOKUP(BF396,'[1]WCVI Esc'!$C$5:$W$534,19,FALSE),"-")</f>
        <v>288.625</v>
      </c>
      <c r="BJ396" s="50">
        <f t="shared" si="115"/>
        <v>290</v>
      </c>
    </row>
    <row r="397" spans="1:65" hidden="1" x14ac:dyDescent="0.2">
      <c r="A397" s="28">
        <v>4</v>
      </c>
      <c r="B397" s="28">
        <v>5</v>
      </c>
      <c r="C397" s="11">
        <v>20</v>
      </c>
      <c r="D397" s="13" t="s">
        <v>291</v>
      </c>
      <c r="E397" s="10" t="s">
        <v>74</v>
      </c>
      <c r="F397" s="10" t="s">
        <v>210</v>
      </c>
      <c r="G397" s="10"/>
      <c r="H397" s="152"/>
      <c r="I397" s="155"/>
      <c r="J397" s="106"/>
      <c r="K397" s="94"/>
      <c r="L397" s="180"/>
      <c r="M397" s="173"/>
      <c r="N397" s="106"/>
      <c r="O397" s="106"/>
      <c r="P397" s="63"/>
      <c r="Q397" s="162"/>
      <c r="R397" s="164"/>
      <c r="S397" s="62"/>
      <c r="T397" s="62"/>
      <c r="U397" s="62"/>
      <c r="V397" s="177"/>
      <c r="W397" s="171"/>
      <c r="X397" s="62"/>
      <c r="Y397" s="45"/>
      <c r="Z397" s="45"/>
      <c r="AA397" s="100">
        <f>Y397/AP397</f>
        <v>0</v>
      </c>
      <c r="AB397" s="100">
        <f>AS397/AP397</f>
        <v>0</v>
      </c>
      <c r="AC397" s="100"/>
      <c r="AD397" s="100"/>
      <c r="AE397" s="100"/>
      <c r="AF397" s="123">
        <f>Y397</f>
        <v>0</v>
      </c>
      <c r="AG397" s="18">
        <v>20</v>
      </c>
      <c r="AH397" s="69" t="s">
        <v>291</v>
      </c>
      <c r="AI397" s="243" t="s">
        <v>74</v>
      </c>
      <c r="AJ397" s="243" t="s">
        <v>419</v>
      </c>
      <c r="AK397" s="244" t="s">
        <v>370</v>
      </c>
      <c r="AL397" s="43" t="str">
        <f t="shared" si="116"/>
        <v>-</v>
      </c>
      <c r="AM397" s="43">
        <f t="shared" si="104"/>
        <v>0</v>
      </c>
      <c r="AN397" s="193">
        <f t="shared" si="104"/>
        <v>0</v>
      </c>
      <c r="AO397" s="264">
        <f t="shared" si="105"/>
        <v>60</v>
      </c>
      <c r="AP397" s="265">
        <f>BJ397</f>
        <v>30</v>
      </c>
      <c r="AQ397" s="26" t="str">
        <f t="shared" si="112"/>
        <v>RENFREW CREEKChinook</v>
      </c>
      <c r="AR397" s="26">
        <f t="shared" si="106"/>
        <v>0</v>
      </c>
      <c r="AS397" s="33">
        <f t="shared" si="107"/>
        <v>0</v>
      </c>
      <c r="AX397" s="47" t="str">
        <f t="shared" si="108"/>
        <v>RENFREW CREEKChinook</v>
      </c>
      <c r="AY397" s="49">
        <f t="shared" si="109"/>
        <v>0</v>
      </c>
      <c r="AZ397" s="49">
        <f t="shared" si="110"/>
        <v>0</v>
      </c>
      <c r="BA397" s="31">
        <v>2016</v>
      </c>
      <c r="BB397" s="188" t="str">
        <f t="shared" si="113"/>
        <v>PFN</v>
      </c>
      <c r="BC397" s="188" t="str">
        <f t="shared" si="117"/>
        <v xml:space="preserve"> </v>
      </c>
      <c r="BD397" s="188" t="str">
        <f t="shared" si="118"/>
        <v xml:space="preserve"> </v>
      </c>
      <c r="BE397" s="188" t="str">
        <f t="shared" si="119"/>
        <v xml:space="preserve"> </v>
      </c>
      <c r="BF397" s="50" t="str">
        <f t="shared" si="111"/>
        <v>RENFREW CREEK_Chinook</v>
      </c>
      <c r="BG397" s="50">
        <f>IFERROR(VLOOKUP(BF397,'[1]WCVI Esc'!$C$5:$W$534,18,FALSE),"-")</f>
        <v>57</v>
      </c>
      <c r="BH397" s="50">
        <f t="shared" si="114"/>
        <v>60</v>
      </c>
      <c r="BI397" s="50">
        <f>IFERROR(VLOOKUP(BF397,'[1]WCVI Esc'!$C$5:$W$534,19,FALSE),"-")</f>
        <v>29.75</v>
      </c>
      <c r="BJ397" s="50">
        <f t="shared" si="115"/>
        <v>30</v>
      </c>
      <c r="BK397">
        <v>1</v>
      </c>
      <c r="BL397" t="s">
        <v>370</v>
      </c>
      <c r="BM397" s="31">
        <v>1</v>
      </c>
    </row>
    <row r="398" spans="1:65" hidden="1" x14ac:dyDescent="0.2">
      <c r="A398" s="28">
        <v>4</v>
      </c>
      <c r="B398" s="28">
        <v>6</v>
      </c>
      <c r="C398" s="11">
        <v>20</v>
      </c>
      <c r="D398" s="13" t="s">
        <v>291</v>
      </c>
      <c r="E398" s="10" t="s">
        <v>74</v>
      </c>
      <c r="F398" s="10" t="s">
        <v>211</v>
      </c>
      <c r="G398" s="10"/>
      <c r="H398" s="152"/>
      <c r="I398" s="155"/>
      <c r="J398" s="106"/>
      <c r="K398" s="94"/>
      <c r="L398" s="180"/>
      <c r="M398" s="173"/>
      <c r="N398" s="106"/>
      <c r="O398" s="106"/>
      <c r="P398" s="63"/>
      <c r="Q398" s="162"/>
      <c r="R398" s="164"/>
      <c r="S398" s="62"/>
      <c r="T398" s="62"/>
      <c r="U398" s="62"/>
      <c r="V398" s="177"/>
      <c r="W398" s="171"/>
      <c r="X398" s="62"/>
      <c r="Y398" s="45"/>
      <c r="Z398" s="45"/>
      <c r="AA398" s="100"/>
      <c r="AB398" s="100"/>
      <c r="AC398" s="100"/>
      <c r="AD398" s="100"/>
      <c r="AE398" s="100"/>
      <c r="AF398" s="100"/>
      <c r="AG398" s="18">
        <v>20</v>
      </c>
      <c r="AH398" s="69" t="s">
        <v>291</v>
      </c>
      <c r="AI398" s="243" t="s">
        <v>74</v>
      </c>
      <c r="AJ398" s="243" t="s">
        <v>419</v>
      </c>
      <c r="AK398" s="244" t="s">
        <v>370</v>
      </c>
      <c r="AL398" s="43" t="str">
        <f t="shared" si="116"/>
        <v>-</v>
      </c>
      <c r="AM398" s="43">
        <f t="shared" si="104"/>
        <v>0</v>
      </c>
      <c r="AN398" s="193">
        <f t="shared" si="104"/>
        <v>0</v>
      </c>
      <c r="AO398" s="264" t="str">
        <f t="shared" si="105"/>
        <v>-</v>
      </c>
      <c r="AP398" s="266"/>
      <c r="AQ398" s="26" t="str">
        <f t="shared" si="112"/>
        <v>RENFREW CREEKSteelhead</v>
      </c>
      <c r="AR398" s="26">
        <f t="shared" si="106"/>
        <v>0</v>
      </c>
      <c r="AS398" s="33">
        <f t="shared" si="107"/>
        <v>0</v>
      </c>
      <c r="AX398" s="47" t="str">
        <f t="shared" si="108"/>
        <v>RENFREW CREEKSteelhead</v>
      </c>
      <c r="AY398" s="49">
        <f t="shared" si="109"/>
        <v>0</v>
      </c>
      <c r="AZ398" s="49">
        <f t="shared" si="110"/>
        <v>0</v>
      </c>
      <c r="BA398" s="31">
        <v>0</v>
      </c>
      <c r="BB398" s="188" t="str">
        <f t="shared" si="113"/>
        <v>PFN</v>
      </c>
      <c r="BC398" s="188" t="str">
        <f t="shared" si="117"/>
        <v xml:space="preserve"> </v>
      </c>
      <c r="BD398" s="188" t="str">
        <f t="shared" si="118"/>
        <v xml:space="preserve"> </v>
      </c>
      <c r="BE398" s="188" t="str">
        <f t="shared" si="119"/>
        <v xml:space="preserve"> </v>
      </c>
      <c r="BF398" s="50" t="str">
        <f t="shared" si="111"/>
        <v>RENFREW CREEK_Steelhead</v>
      </c>
      <c r="BG398" s="50" t="str">
        <f>IFERROR(VLOOKUP(BF398,'[1]WCVI Esc'!$C$5:$W$534,18,FALSE),"-")</f>
        <v>-</v>
      </c>
      <c r="BH398" s="50" t="str">
        <f t="shared" si="114"/>
        <v>-</v>
      </c>
      <c r="BI398" s="50" t="str">
        <f>IFERROR(VLOOKUP(BF398,'[1]WCVI Esc'!$C$5:$W$534,19,FALSE),"-")</f>
        <v>-</v>
      </c>
      <c r="BJ398" s="50" t="str">
        <f t="shared" si="115"/>
        <v>-</v>
      </c>
    </row>
    <row r="399" spans="1:65" hidden="1" x14ac:dyDescent="0.2">
      <c r="A399" s="28">
        <v>4</v>
      </c>
      <c r="B399" s="28">
        <v>1</v>
      </c>
      <c r="C399" s="11">
        <v>20</v>
      </c>
      <c r="D399" s="13" t="s">
        <v>303</v>
      </c>
      <c r="E399" s="10" t="s">
        <v>164</v>
      </c>
      <c r="F399" s="10" t="s">
        <v>207</v>
      </c>
      <c r="G399" s="10"/>
      <c r="H399" s="152"/>
      <c r="I399" s="164"/>
      <c r="J399" s="62"/>
      <c r="K399" s="62"/>
      <c r="L399" s="177"/>
      <c r="M399" s="171"/>
      <c r="N399" s="62"/>
      <c r="O399" s="62"/>
      <c r="P399" s="62"/>
      <c r="Q399" s="64"/>
      <c r="R399" s="164"/>
      <c r="S399" s="62"/>
      <c r="T399" s="62"/>
      <c r="U399" s="62"/>
      <c r="V399" s="177"/>
      <c r="W399" s="171"/>
      <c r="X399" s="62"/>
      <c r="Y399" s="45"/>
      <c r="Z399" s="45"/>
      <c r="AA399" s="100"/>
      <c r="AB399" s="100"/>
      <c r="AC399" s="100"/>
      <c r="AD399" s="100"/>
      <c r="AE399" s="100"/>
      <c r="AF399" s="100"/>
      <c r="AG399" s="18">
        <v>20</v>
      </c>
      <c r="AH399" s="69" t="s">
        <v>303</v>
      </c>
      <c r="AI399" s="243" t="s">
        <v>164</v>
      </c>
      <c r="AJ399" s="243" t="s">
        <v>419</v>
      </c>
      <c r="AK399" s="246"/>
      <c r="AL399" s="43" t="str">
        <f t="shared" si="116"/>
        <v>-</v>
      </c>
      <c r="AM399" s="43">
        <f t="shared" si="104"/>
        <v>0</v>
      </c>
      <c r="AN399" s="193">
        <f t="shared" si="104"/>
        <v>0</v>
      </c>
      <c r="AO399" s="270" t="str">
        <f t="shared" si="105"/>
        <v>-</v>
      </c>
      <c r="AP399" s="266"/>
      <c r="AQ399" s="26" t="str">
        <f t="shared" si="112"/>
        <v>ROCKY CREEKSockeye</v>
      </c>
      <c r="AR399" s="26">
        <f t="shared" si="106"/>
        <v>0</v>
      </c>
      <c r="AS399" s="33">
        <f t="shared" si="107"/>
        <v>0</v>
      </c>
      <c r="AX399" s="47" t="str">
        <f t="shared" si="108"/>
        <v>ROCKY CREEKSockeye</v>
      </c>
      <c r="AY399" s="49">
        <f t="shared" si="109"/>
        <v>0</v>
      </c>
      <c r="AZ399" s="49">
        <f t="shared" si="110"/>
        <v>0</v>
      </c>
      <c r="BA399" s="31">
        <v>0</v>
      </c>
      <c r="BB399" s="188">
        <f t="shared" si="113"/>
        <v>0</v>
      </c>
      <c r="BC399" s="188" t="str">
        <f t="shared" si="117"/>
        <v xml:space="preserve"> </v>
      </c>
      <c r="BD399" s="188" t="str">
        <f t="shared" si="118"/>
        <v xml:space="preserve"> </v>
      </c>
      <c r="BE399" s="188" t="str">
        <f t="shared" si="119"/>
        <v xml:space="preserve"> </v>
      </c>
      <c r="BF399" s="50" t="str">
        <f t="shared" si="111"/>
        <v>ROCKY CREEK_Sockeye</v>
      </c>
      <c r="BG399" s="50" t="str">
        <f>IFERROR(VLOOKUP(BF399,'[1]WCVI Esc'!$C$5:$W$514,18,FALSE),"-")</f>
        <v>-</v>
      </c>
      <c r="BH399" s="50" t="str">
        <f t="shared" si="114"/>
        <v>-</v>
      </c>
      <c r="BI399" s="50" t="str">
        <f>IFERROR(VLOOKUP(BF399,'[1]WCVI Esc'!$C$5:$W$514,19,FALSE),"-")</f>
        <v>-</v>
      </c>
      <c r="BJ399" s="50" t="str">
        <f t="shared" si="115"/>
        <v>-</v>
      </c>
    </row>
    <row r="400" spans="1:65" hidden="1" x14ac:dyDescent="0.2">
      <c r="A400" s="28">
        <v>4</v>
      </c>
      <c r="B400" s="28">
        <v>2</v>
      </c>
      <c r="C400" s="11">
        <v>20</v>
      </c>
      <c r="D400" s="13" t="s">
        <v>303</v>
      </c>
      <c r="E400" s="10" t="s">
        <v>164</v>
      </c>
      <c r="F400" s="10" t="s">
        <v>219</v>
      </c>
      <c r="G400" s="10"/>
      <c r="H400" s="152"/>
      <c r="I400" s="164"/>
      <c r="J400" s="62"/>
      <c r="K400" s="62"/>
      <c r="L400" s="177"/>
      <c r="M400" s="171"/>
      <c r="N400" s="62"/>
      <c r="O400" s="62"/>
      <c r="P400" s="62"/>
      <c r="Q400" s="64"/>
      <c r="R400" s="164"/>
      <c r="S400" s="62"/>
      <c r="T400" s="62"/>
      <c r="U400" s="62"/>
      <c r="V400" s="177"/>
      <c r="W400" s="171"/>
      <c r="X400" s="62"/>
      <c r="Y400" s="45"/>
      <c r="Z400" s="45"/>
      <c r="AA400" s="100"/>
      <c r="AB400" s="100"/>
      <c r="AC400" s="100"/>
      <c r="AD400" s="100"/>
      <c r="AE400" s="100"/>
      <c r="AF400" s="100"/>
      <c r="AG400" s="18">
        <v>20</v>
      </c>
      <c r="AH400" s="69" t="s">
        <v>303</v>
      </c>
      <c r="AI400" s="243" t="s">
        <v>164</v>
      </c>
      <c r="AJ400" s="243" t="s">
        <v>419</v>
      </c>
      <c r="AK400" s="246"/>
      <c r="AL400" s="43" t="str">
        <f t="shared" si="116"/>
        <v>-</v>
      </c>
      <c r="AM400" s="43">
        <f t="shared" si="104"/>
        <v>0</v>
      </c>
      <c r="AN400" s="193">
        <f t="shared" si="104"/>
        <v>0</v>
      </c>
      <c r="AO400" s="270" t="str">
        <f t="shared" si="105"/>
        <v>-</v>
      </c>
      <c r="AP400" s="266"/>
      <c r="AQ400" s="26" t="str">
        <f t="shared" si="112"/>
        <v>ROCKY CREEKCoho</v>
      </c>
      <c r="AR400" s="26">
        <f t="shared" si="106"/>
        <v>0</v>
      </c>
      <c r="AS400" s="33">
        <f t="shared" si="107"/>
        <v>0</v>
      </c>
      <c r="AX400" s="47" t="str">
        <f t="shared" si="108"/>
        <v>ROCKY CREEKCoho</v>
      </c>
      <c r="AY400" s="49">
        <f t="shared" si="109"/>
        <v>0</v>
      </c>
      <c r="AZ400" s="49">
        <f t="shared" si="110"/>
        <v>0</v>
      </c>
      <c r="BA400" s="31">
        <v>0</v>
      </c>
      <c r="BB400" s="188">
        <f t="shared" si="113"/>
        <v>0</v>
      </c>
      <c r="BC400" s="188" t="str">
        <f t="shared" si="117"/>
        <v xml:space="preserve"> </v>
      </c>
      <c r="BD400" s="188" t="str">
        <f t="shared" si="118"/>
        <v xml:space="preserve"> </v>
      </c>
      <c r="BE400" s="188" t="str">
        <f t="shared" si="119"/>
        <v xml:space="preserve"> </v>
      </c>
      <c r="BF400" s="50" t="str">
        <f t="shared" si="111"/>
        <v>ROCKY CREEK_Coho</v>
      </c>
      <c r="BG400" s="50" t="str">
        <f>IFERROR(VLOOKUP(BF400,'[1]WCVI Esc'!$C$5:$W$514,18,FALSE),"-")</f>
        <v>-</v>
      </c>
      <c r="BH400" s="50" t="str">
        <f t="shared" si="114"/>
        <v>-</v>
      </c>
      <c r="BI400" s="50" t="str">
        <f>IFERROR(VLOOKUP(BF400,'[1]WCVI Esc'!$C$5:$W$514,19,FALSE),"-")</f>
        <v>-</v>
      </c>
      <c r="BJ400" s="50" t="str">
        <f t="shared" si="115"/>
        <v>-</v>
      </c>
    </row>
    <row r="401" spans="1:62" hidden="1" x14ac:dyDescent="0.2">
      <c r="A401" s="28">
        <v>4</v>
      </c>
      <c r="B401" s="28">
        <v>3</v>
      </c>
      <c r="C401" s="11">
        <v>20</v>
      </c>
      <c r="D401" s="13" t="s">
        <v>303</v>
      </c>
      <c r="E401" s="10" t="s">
        <v>164</v>
      </c>
      <c r="F401" s="10" t="s">
        <v>208</v>
      </c>
      <c r="G401" s="10"/>
      <c r="H401" s="152"/>
      <c r="I401" s="164"/>
      <c r="J401" s="62"/>
      <c r="K401" s="62"/>
      <c r="L401" s="177"/>
      <c r="M401" s="171"/>
      <c r="N401" s="62"/>
      <c r="O401" s="62"/>
      <c r="P401" s="62"/>
      <c r="Q401" s="64"/>
      <c r="R401" s="164"/>
      <c r="S401" s="62"/>
      <c r="T401" s="62"/>
      <c r="U401" s="62"/>
      <c r="V401" s="177"/>
      <c r="W401" s="171"/>
      <c r="X401" s="62"/>
      <c r="Y401" s="45"/>
      <c r="Z401" s="45"/>
      <c r="AA401" s="100"/>
      <c r="AB401" s="100"/>
      <c r="AC401" s="100"/>
      <c r="AD401" s="100"/>
      <c r="AE401" s="100"/>
      <c r="AF401" s="100"/>
      <c r="AG401" s="18">
        <v>20</v>
      </c>
      <c r="AH401" s="69" t="s">
        <v>303</v>
      </c>
      <c r="AI401" s="243" t="s">
        <v>164</v>
      </c>
      <c r="AJ401" s="243" t="s">
        <v>419</v>
      </c>
      <c r="AK401" s="246"/>
      <c r="AL401" s="43" t="str">
        <f t="shared" si="116"/>
        <v>-</v>
      </c>
      <c r="AM401" s="43">
        <f t="shared" si="104"/>
        <v>0</v>
      </c>
      <c r="AN401" s="193">
        <f t="shared" si="104"/>
        <v>0</v>
      </c>
      <c r="AO401" s="270" t="str">
        <f t="shared" si="105"/>
        <v>-</v>
      </c>
      <c r="AP401" s="266"/>
      <c r="AQ401" s="26" t="str">
        <f t="shared" si="112"/>
        <v>ROCKY CREEKPink</v>
      </c>
      <c r="AR401" s="26">
        <f t="shared" si="106"/>
        <v>0</v>
      </c>
      <c r="AS401" s="33">
        <f t="shared" si="107"/>
        <v>0</v>
      </c>
      <c r="AX401" s="47" t="str">
        <f t="shared" si="108"/>
        <v>ROCKY CREEKPink</v>
      </c>
      <c r="AY401" s="49">
        <f t="shared" si="109"/>
        <v>0</v>
      </c>
      <c r="AZ401" s="49">
        <f t="shared" si="110"/>
        <v>0</v>
      </c>
      <c r="BA401" s="31">
        <v>0</v>
      </c>
      <c r="BB401" s="188">
        <f t="shared" si="113"/>
        <v>0</v>
      </c>
      <c r="BC401" s="188" t="str">
        <f t="shared" si="117"/>
        <v xml:space="preserve"> </v>
      </c>
      <c r="BD401" s="188" t="str">
        <f t="shared" si="118"/>
        <v xml:space="preserve"> </v>
      </c>
      <c r="BE401" s="188" t="str">
        <f t="shared" si="119"/>
        <v xml:space="preserve"> </v>
      </c>
      <c r="BF401" s="50" t="str">
        <f t="shared" si="111"/>
        <v>ROCKY CREEK_Pink</v>
      </c>
      <c r="BG401" s="50" t="str">
        <f>IFERROR(VLOOKUP(BF401,'[1]WCVI Esc'!$C$5:$W$514,18,FALSE),"-")</f>
        <v>-</v>
      </c>
      <c r="BH401" s="50" t="str">
        <f t="shared" si="114"/>
        <v>-</v>
      </c>
      <c r="BI401" s="50" t="str">
        <f>IFERROR(VLOOKUP(BF401,'[1]WCVI Esc'!$C$5:$W$514,19,FALSE),"-")</f>
        <v>-</v>
      </c>
      <c r="BJ401" s="50" t="str">
        <f t="shared" si="115"/>
        <v>-</v>
      </c>
    </row>
    <row r="402" spans="1:62" hidden="1" x14ac:dyDescent="0.2">
      <c r="A402" s="28">
        <v>4</v>
      </c>
      <c r="B402" s="28">
        <v>4</v>
      </c>
      <c r="C402" s="11">
        <v>20</v>
      </c>
      <c r="D402" s="13" t="s">
        <v>303</v>
      </c>
      <c r="E402" s="10" t="s">
        <v>164</v>
      </c>
      <c r="F402" s="10" t="s">
        <v>209</v>
      </c>
      <c r="G402" s="10"/>
      <c r="H402" s="152"/>
      <c r="I402" s="164"/>
      <c r="J402" s="62"/>
      <c r="K402" s="62"/>
      <c r="L402" s="177"/>
      <c r="M402" s="171"/>
      <c r="N402" s="62"/>
      <c r="O402" s="62"/>
      <c r="P402" s="62"/>
      <c r="Q402" s="64"/>
      <c r="R402" s="164"/>
      <c r="S402" s="62"/>
      <c r="T402" s="62"/>
      <c r="U402" s="62"/>
      <c r="V402" s="177"/>
      <c r="W402" s="171"/>
      <c r="X402" s="62"/>
      <c r="Y402" s="45"/>
      <c r="Z402" s="45"/>
      <c r="AA402" s="100"/>
      <c r="AB402" s="100"/>
      <c r="AC402" s="100"/>
      <c r="AD402" s="100"/>
      <c r="AE402" s="100"/>
      <c r="AF402" s="100"/>
      <c r="AG402" s="18">
        <v>20</v>
      </c>
      <c r="AH402" s="69" t="s">
        <v>303</v>
      </c>
      <c r="AI402" s="243" t="s">
        <v>164</v>
      </c>
      <c r="AJ402" s="243" t="s">
        <v>419</v>
      </c>
      <c r="AK402" s="246"/>
      <c r="AL402" s="43" t="str">
        <f t="shared" si="116"/>
        <v>-</v>
      </c>
      <c r="AM402" s="43">
        <f t="shared" si="104"/>
        <v>0</v>
      </c>
      <c r="AN402" s="193">
        <f t="shared" si="104"/>
        <v>0</v>
      </c>
      <c r="AO402" s="270" t="str">
        <f t="shared" si="105"/>
        <v>-</v>
      </c>
      <c r="AP402" s="266"/>
      <c r="AQ402" s="26" t="str">
        <f t="shared" si="112"/>
        <v>ROCKY CREEKChum</v>
      </c>
      <c r="AR402" s="26">
        <f t="shared" si="106"/>
        <v>0</v>
      </c>
      <c r="AS402" s="33">
        <f t="shared" si="107"/>
        <v>0</v>
      </c>
      <c r="AX402" s="47" t="str">
        <f t="shared" si="108"/>
        <v>ROCKY CREEKChum</v>
      </c>
      <c r="AY402" s="49">
        <f t="shared" si="109"/>
        <v>0</v>
      </c>
      <c r="AZ402" s="49">
        <f t="shared" si="110"/>
        <v>0</v>
      </c>
      <c r="BA402" s="31">
        <v>0</v>
      </c>
      <c r="BB402" s="188">
        <f t="shared" si="113"/>
        <v>0</v>
      </c>
      <c r="BC402" s="188" t="str">
        <f t="shared" si="117"/>
        <v xml:space="preserve"> </v>
      </c>
      <c r="BD402" s="188" t="str">
        <f t="shared" si="118"/>
        <v xml:space="preserve"> </v>
      </c>
      <c r="BE402" s="188" t="str">
        <f t="shared" si="119"/>
        <v xml:space="preserve"> </v>
      </c>
      <c r="BF402" s="50" t="str">
        <f t="shared" si="111"/>
        <v>ROCKY CREEK_Chum</v>
      </c>
      <c r="BG402" s="50" t="str">
        <f>IFERROR(VLOOKUP(BF402,'[1]WCVI Esc'!$C$5:$W$514,18,FALSE),"-")</f>
        <v>-</v>
      </c>
      <c r="BH402" s="50" t="str">
        <f t="shared" si="114"/>
        <v>-</v>
      </c>
      <c r="BI402" s="50" t="str">
        <f>IFERROR(VLOOKUP(BF402,'[1]WCVI Esc'!$C$5:$W$514,19,FALSE),"-")</f>
        <v>-</v>
      </c>
      <c r="BJ402" s="50" t="str">
        <f t="shared" si="115"/>
        <v>-</v>
      </c>
    </row>
    <row r="403" spans="1:62" hidden="1" x14ac:dyDescent="0.2">
      <c r="A403" s="28">
        <v>4</v>
      </c>
      <c r="B403" s="28">
        <v>5</v>
      </c>
      <c r="C403" s="11">
        <v>20</v>
      </c>
      <c r="D403" s="13" t="s">
        <v>303</v>
      </c>
      <c r="E403" s="10" t="s">
        <v>164</v>
      </c>
      <c r="F403" s="10" t="s">
        <v>210</v>
      </c>
      <c r="G403" s="10"/>
      <c r="H403" s="152"/>
      <c r="I403" s="164"/>
      <c r="J403" s="62"/>
      <c r="K403" s="62"/>
      <c r="L403" s="177"/>
      <c r="M403" s="171"/>
      <c r="N403" s="62"/>
      <c r="O403" s="62"/>
      <c r="P403" s="62"/>
      <c r="Q403" s="64"/>
      <c r="R403" s="164"/>
      <c r="S403" s="62"/>
      <c r="T403" s="62"/>
      <c r="U403" s="62"/>
      <c r="V403" s="177"/>
      <c r="W403" s="171"/>
      <c r="X403" s="62"/>
      <c r="Y403" s="45"/>
      <c r="Z403" s="45"/>
      <c r="AA403" s="100"/>
      <c r="AB403" s="100"/>
      <c r="AC403" s="100"/>
      <c r="AD403" s="100"/>
      <c r="AE403" s="100"/>
      <c r="AF403" s="100"/>
      <c r="AG403" s="18">
        <v>20</v>
      </c>
      <c r="AH403" s="69" t="s">
        <v>303</v>
      </c>
      <c r="AI403" s="243" t="s">
        <v>164</v>
      </c>
      <c r="AJ403" s="243" t="s">
        <v>419</v>
      </c>
      <c r="AK403" s="246"/>
      <c r="AL403" s="43" t="str">
        <f t="shared" si="116"/>
        <v>-</v>
      </c>
      <c r="AM403" s="43">
        <f t="shared" si="104"/>
        <v>0</v>
      </c>
      <c r="AN403" s="193">
        <f t="shared" si="104"/>
        <v>0</v>
      </c>
      <c r="AO403" s="270" t="str">
        <f t="shared" si="105"/>
        <v>-</v>
      </c>
      <c r="AP403" s="266"/>
      <c r="AQ403" s="26" t="str">
        <f t="shared" si="112"/>
        <v>ROCKY CREEKChinook</v>
      </c>
      <c r="AR403" s="26">
        <f t="shared" si="106"/>
        <v>0</v>
      </c>
      <c r="AS403" s="33">
        <f t="shared" si="107"/>
        <v>0</v>
      </c>
      <c r="AX403" s="47" t="str">
        <f t="shared" si="108"/>
        <v>ROCKY CREEKChinook</v>
      </c>
      <c r="AY403" s="49">
        <f t="shared" si="109"/>
        <v>0</v>
      </c>
      <c r="AZ403" s="49">
        <f t="shared" si="110"/>
        <v>0</v>
      </c>
      <c r="BA403" s="31">
        <v>0</v>
      </c>
      <c r="BB403" s="188">
        <f t="shared" si="113"/>
        <v>0</v>
      </c>
      <c r="BC403" s="188" t="str">
        <f t="shared" si="117"/>
        <v xml:space="preserve"> </v>
      </c>
      <c r="BD403" s="188" t="str">
        <f t="shared" si="118"/>
        <v xml:space="preserve"> </v>
      </c>
      <c r="BE403" s="188" t="str">
        <f t="shared" si="119"/>
        <v xml:space="preserve"> </v>
      </c>
      <c r="BF403" s="50" t="str">
        <f t="shared" si="111"/>
        <v>ROCKY CREEK_Chinook</v>
      </c>
      <c r="BG403" s="50" t="str">
        <f>IFERROR(VLOOKUP(BF403,'[1]WCVI Esc'!$C$5:$W$514,18,FALSE),"-")</f>
        <v>-</v>
      </c>
      <c r="BH403" s="50" t="str">
        <f t="shared" si="114"/>
        <v>-</v>
      </c>
      <c r="BI403" s="50" t="str">
        <f>IFERROR(VLOOKUP(BF403,'[1]WCVI Esc'!$C$5:$W$514,19,FALSE),"-")</f>
        <v>-</v>
      </c>
      <c r="BJ403" s="50" t="str">
        <f t="shared" si="115"/>
        <v>-</v>
      </c>
    </row>
    <row r="404" spans="1:62" hidden="1" x14ac:dyDescent="0.2">
      <c r="A404" s="28">
        <v>4</v>
      </c>
      <c r="B404" s="28">
        <v>6</v>
      </c>
      <c r="C404" s="11">
        <v>20</v>
      </c>
      <c r="D404" s="13" t="s">
        <v>303</v>
      </c>
      <c r="E404" s="10" t="s">
        <v>164</v>
      </c>
      <c r="F404" s="10" t="s">
        <v>211</v>
      </c>
      <c r="G404" s="10"/>
      <c r="H404" s="152"/>
      <c r="I404" s="164"/>
      <c r="J404" s="62"/>
      <c r="K404" s="62"/>
      <c r="L404" s="177"/>
      <c r="M404" s="171"/>
      <c r="N404" s="62"/>
      <c r="O404" s="62"/>
      <c r="P404" s="62"/>
      <c r="Q404" s="64"/>
      <c r="R404" s="164"/>
      <c r="S404" s="62"/>
      <c r="T404" s="62"/>
      <c r="U404" s="62"/>
      <c r="V404" s="177"/>
      <c r="W404" s="171"/>
      <c r="X404" s="62"/>
      <c r="Y404" s="45"/>
      <c r="Z404" s="45"/>
      <c r="AA404" s="100"/>
      <c r="AB404" s="100"/>
      <c r="AC404" s="100"/>
      <c r="AD404" s="100"/>
      <c r="AE404" s="100"/>
      <c r="AF404" s="100"/>
      <c r="AG404" s="18">
        <v>20</v>
      </c>
      <c r="AH404" s="69" t="s">
        <v>303</v>
      </c>
      <c r="AI404" s="243" t="s">
        <v>164</v>
      </c>
      <c r="AJ404" s="243" t="s">
        <v>419</v>
      </c>
      <c r="AK404" s="246"/>
      <c r="AL404" s="43" t="str">
        <f t="shared" si="116"/>
        <v>-</v>
      </c>
      <c r="AM404" s="43">
        <f t="shared" si="104"/>
        <v>0</v>
      </c>
      <c r="AN404" s="193">
        <f t="shared" si="104"/>
        <v>0</v>
      </c>
      <c r="AO404" s="270" t="str">
        <f t="shared" si="105"/>
        <v>-</v>
      </c>
      <c r="AP404" s="266"/>
      <c r="AQ404" s="26" t="str">
        <f t="shared" si="112"/>
        <v>ROCKY CREEKSteelhead</v>
      </c>
      <c r="AR404" s="26">
        <f t="shared" si="106"/>
        <v>0</v>
      </c>
      <c r="AS404" s="33">
        <f t="shared" si="107"/>
        <v>0</v>
      </c>
      <c r="AX404" s="47" t="str">
        <f t="shared" si="108"/>
        <v>ROCKY CREEKSteelhead</v>
      </c>
      <c r="AY404" s="49">
        <f t="shared" si="109"/>
        <v>0</v>
      </c>
      <c r="AZ404" s="49">
        <f t="shared" si="110"/>
        <v>0</v>
      </c>
      <c r="BA404" s="31">
        <v>0</v>
      </c>
      <c r="BB404" s="188">
        <f t="shared" si="113"/>
        <v>0</v>
      </c>
      <c r="BC404" s="188" t="str">
        <f t="shared" si="117"/>
        <v xml:space="preserve"> </v>
      </c>
      <c r="BD404" s="188" t="str">
        <f t="shared" si="118"/>
        <v xml:space="preserve"> </v>
      </c>
      <c r="BE404" s="188" t="str">
        <f t="shared" si="119"/>
        <v xml:space="preserve"> </v>
      </c>
      <c r="BF404" s="50" t="str">
        <f t="shared" si="111"/>
        <v>ROCKY CREEK_Steelhead</v>
      </c>
      <c r="BG404" s="50" t="str">
        <f>IFERROR(VLOOKUP(BF404,'[1]WCVI Esc'!$C$5:$W$514,18,FALSE),"-")</f>
        <v>-</v>
      </c>
      <c r="BH404" s="50" t="str">
        <f t="shared" si="114"/>
        <v>-</v>
      </c>
      <c r="BI404" s="50" t="str">
        <f>IFERROR(VLOOKUP(BF404,'[1]WCVI Esc'!$C$5:$W$514,19,FALSE),"-")</f>
        <v>-</v>
      </c>
      <c r="BJ404" s="50" t="str">
        <f t="shared" si="115"/>
        <v>-</v>
      </c>
    </row>
    <row r="405" spans="1:62" hidden="1" x14ac:dyDescent="0.2">
      <c r="A405" s="28">
        <v>4</v>
      </c>
      <c r="B405" s="28">
        <v>1</v>
      </c>
      <c r="C405" s="11">
        <v>20</v>
      </c>
      <c r="D405" s="13" t="s">
        <v>303</v>
      </c>
      <c r="E405" s="10" t="s">
        <v>75</v>
      </c>
      <c r="F405" s="10" t="s">
        <v>207</v>
      </c>
      <c r="G405" s="10"/>
      <c r="H405" s="152"/>
      <c r="I405" s="164"/>
      <c r="J405" s="62"/>
      <c r="K405" s="62"/>
      <c r="L405" s="177"/>
      <c r="M405" s="171"/>
      <c r="N405" s="62"/>
      <c r="O405" s="62"/>
      <c r="P405" s="62"/>
      <c r="Q405" s="64"/>
      <c r="R405" s="164"/>
      <c r="S405" s="62"/>
      <c r="T405" s="62"/>
      <c r="U405" s="62"/>
      <c r="V405" s="177"/>
      <c r="W405" s="171"/>
      <c r="X405" s="62"/>
      <c r="Y405" s="45"/>
      <c r="Z405" s="45"/>
      <c r="AA405" s="100"/>
      <c r="AB405" s="100"/>
      <c r="AC405" s="100"/>
      <c r="AD405" s="100"/>
      <c r="AE405" s="100"/>
      <c r="AF405" s="100"/>
      <c r="AG405" s="18">
        <v>20</v>
      </c>
      <c r="AH405" s="69" t="s">
        <v>303</v>
      </c>
      <c r="AI405" s="243" t="s">
        <v>75</v>
      </c>
      <c r="AJ405" s="243" t="s">
        <v>419</v>
      </c>
      <c r="AK405" s="246"/>
      <c r="AL405" s="43" t="str">
        <f t="shared" si="116"/>
        <v>-</v>
      </c>
      <c r="AM405" s="43">
        <f t="shared" si="104"/>
        <v>0</v>
      </c>
      <c r="AN405" s="193">
        <f t="shared" si="104"/>
        <v>0</v>
      </c>
      <c r="AO405" s="270" t="str">
        <f t="shared" si="105"/>
        <v>-</v>
      </c>
      <c r="AP405" s="266"/>
      <c r="AQ405" s="26" t="str">
        <f t="shared" si="112"/>
        <v>SOOKE RIVERSockeye</v>
      </c>
      <c r="AR405" s="26">
        <f t="shared" si="106"/>
        <v>0</v>
      </c>
      <c r="AS405" s="33">
        <f t="shared" si="107"/>
        <v>0</v>
      </c>
      <c r="AX405" s="47" t="str">
        <f t="shared" si="108"/>
        <v>SOOKE RIVERSockeye</v>
      </c>
      <c r="AY405" s="49">
        <f t="shared" si="109"/>
        <v>0</v>
      </c>
      <c r="AZ405" s="49">
        <f t="shared" si="110"/>
        <v>0</v>
      </c>
      <c r="BA405" s="31">
        <v>0</v>
      </c>
      <c r="BB405" s="188">
        <f t="shared" si="113"/>
        <v>0</v>
      </c>
      <c r="BC405" s="188" t="str">
        <f t="shared" si="117"/>
        <v xml:space="preserve"> </v>
      </c>
      <c r="BD405" s="188" t="str">
        <f t="shared" si="118"/>
        <v xml:space="preserve"> </v>
      </c>
      <c r="BE405" s="188" t="str">
        <f t="shared" si="119"/>
        <v xml:space="preserve"> </v>
      </c>
      <c r="BF405" s="50" t="str">
        <f t="shared" si="111"/>
        <v>SOOKE RIVER_Sockeye</v>
      </c>
      <c r="BG405" s="50" t="str">
        <f>IFERROR(VLOOKUP(BF405,'[1]WCVI Esc'!$C$5:$W$514,18,FALSE),"-")</f>
        <v>-</v>
      </c>
      <c r="BH405" s="50" t="str">
        <f t="shared" si="114"/>
        <v>-</v>
      </c>
      <c r="BI405" s="50" t="str">
        <f>IFERROR(VLOOKUP(BF405,'[1]WCVI Esc'!$C$5:$W$514,19,FALSE),"-")</f>
        <v>-</v>
      </c>
      <c r="BJ405" s="50" t="str">
        <f t="shared" si="115"/>
        <v>-</v>
      </c>
    </row>
    <row r="406" spans="1:62" hidden="1" x14ac:dyDescent="0.2">
      <c r="A406" s="28">
        <v>4</v>
      </c>
      <c r="B406" s="28">
        <v>2</v>
      </c>
      <c r="C406" s="11">
        <v>20</v>
      </c>
      <c r="D406" s="13" t="s">
        <v>303</v>
      </c>
      <c r="E406" s="10" t="s">
        <v>75</v>
      </c>
      <c r="F406" s="10" t="s">
        <v>219</v>
      </c>
      <c r="G406" s="10"/>
      <c r="H406" s="152"/>
      <c r="I406" s="164"/>
      <c r="J406" s="62"/>
      <c r="K406" s="62"/>
      <c r="L406" s="177"/>
      <c r="M406" s="171"/>
      <c r="N406" s="62"/>
      <c r="O406" s="62"/>
      <c r="P406" s="62"/>
      <c r="Q406" s="64"/>
      <c r="R406" s="164"/>
      <c r="S406" s="62"/>
      <c r="T406" s="62"/>
      <c r="U406" s="62"/>
      <c r="V406" s="177"/>
      <c r="W406" s="171"/>
      <c r="X406" s="62"/>
      <c r="Y406" s="45"/>
      <c r="Z406" s="45"/>
      <c r="AA406" s="100"/>
      <c r="AB406" s="100"/>
      <c r="AC406" s="100"/>
      <c r="AD406" s="100"/>
      <c r="AE406" s="100"/>
      <c r="AF406" s="100"/>
      <c r="AG406" s="18">
        <v>20</v>
      </c>
      <c r="AH406" s="69" t="s">
        <v>303</v>
      </c>
      <c r="AI406" s="243" t="s">
        <v>75</v>
      </c>
      <c r="AJ406" s="243" t="s">
        <v>419</v>
      </c>
      <c r="AK406" s="246"/>
      <c r="AL406" s="43" t="str">
        <f t="shared" si="116"/>
        <v>-</v>
      </c>
      <c r="AM406" s="43">
        <f t="shared" si="104"/>
        <v>0</v>
      </c>
      <c r="AN406" s="193">
        <f t="shared" si="104"/>
        <v>0</v>
      </c>
      <c r="AO406" s="270" t="str">
        <f t="shared" si="105"/>
        <v>-</v>
      </c>
      <c r="AP406" s="266"/>
      <c r="AQ406" s="26" t="str">
        <f t="shared" si="112"/>
        <v>SOOKE RIVERCoho</v>
      </c>
      <c r="AR406" s="26">
        <f t="shared" si="106"/>
        <v>0</v>
      </c>
      <c r="AS406" s="33">
        <f t="shared" si="107"/>
        <v>0</v>
      </c>
      <c r="AX406" s="47" t="str">
        <f t="shared" si="108"/>
        <v>SOOKE RIVERCoho</v>
      </c>
      <c r="AY406" s="49">
        <f t="shared" si="109"/>
        <v>0</v>
      </c>
      <c r="AZ406" s="49">
        <f t="shared" si="110"/>
        <v>0</v>
      </c>
      <c r="BA406" s="31">
        <v>0</v>
      </c>
      <c r="BB406" s="188">
        <f t="shared" si="113"/>
        <v>0</v>
      </c>
      <c r="BC406" s="188" t="str">
        <f t="shared" si="117"/>
        <v xml:space="preserve"> </v>
      </c>
      <c r="BD406" s="188" t="str">
        <f t="shared" si="118"/>
        <v xml:space="preserve"> </v>
      </c>
      <c r="BE406" s="188" t="str">
        <f t="shared" si="119"/>
        <v xml:space="preserve"> </v>
      </c>
      <c r="BF406" s="50" t="str">
        <f t="shared" si="111"/>
        <v>SOOKE RIVER_Coho</v>
      </c>
      <c r="BG406" s="50" t="str">
        <f>IFERROR(VLOOKUP(BF406,'[1]WCVI Esc'!$C$5:$W$514,18,FALSE),"-")</f>
        <v>-</v>
      </c>
      <c r="BH406" s="50" t="str">
        <f t="shared" si="114"/>
        <v>-</v>
      </c>
      <c r="BI406" s="50" t="str">
        <f>IFERROR(VLOOKUP(BF406,'[1]WCVI Esc'!$C$5:$W$514,19,FALSE),"-")</f>
        <v>-</v>
      </c>
      <c r="BJ406" s="50" t="str">
        <f t="shared" si="115"/>
        <v>-</v>
      </c>
    </row>
    <row r="407" spans="1:62" hidden="1" x14ac:dyDescent="0.2">
      <c r="A407" s="28">
        <v>4</v>
      </c>
      <c r="B407" s="28">
        <v>3</v>
      </c>
      <c r="C407" s="11">
        <v>20</v>
      </c>
      <c r="D407" s="13" t="s">
        <v>303</v>
      </c>
      <c r="E407" s="10" t="s">
        <v>75</v>
      </c>
      <c r="F407" s="10" t="s">
        <v>208</v>
      </c>
      <c r="G407" s="10"/>
      <c r="H407" s="152"/>
      <c r="I407" s="164"/>
      <c r="J407" s="62"/>
      <c r="K407" s="62"/>
      <c r="L407" s="177"/>
      <c r="M407" s="171"/>
      <c r="N407" s="62"/>
      <c r="O407" s="62"/>
      <c r="P407" s="62"/>
      <c r="Q407" s="64"/>
      <c r="R407" s="164"/>
      <c r="S407" s="62"/>
      <c r="T407" s="62"/>
      <c r="U407" s="62"/>
      <c r="V407" s="177"/>
      <c r="W407" s="171"/>
      <c r="X407" s="62"/>
      <c r="Y407" s="45"/>
      <c r="Z407" s="45"/>
      <c r="AA407" s="100"/>
      <c r="AB407" s="100"/>
      <c r="AC407" s="100"/>
      <c r="AD407" s="100"/>
      <c r="AE407" s="100"/>
      <c r="AF407" s="100"/>
      <c r="AG407" s="18">
        <v>20</v>
      </c>
      <c r="AH407" s="69" t="s">
        <v>303</v>
      </c>
      <c r="AI407" s="243" t="s">
        <v>75</v>
      </c>
      <c r="AJ407" s="243" t="s">
        <v>419</v>
      </c>
      <c r="AK407" s="246"/>
      <c r="AL407" s="43" t="str">
        <f t="shared" si="116"/>
        <v>-</v>
      </c>
      <c r="AM407" s="43">
        <f t="shared" si="104"/>
        <v>0</v>
      </c>
      <c r="AN407" s="193">
        <f t="shared" si="104"/>
        <v>0</v>
      </c>
      <c r="AO407" s="270" t="str">
        <f t="shared" si="105"/>
        <v>-</v>
      </c>
      <c r="AP407" s="266"/>
      <c r="AQ407" s="26" t="str">
        <f t="shared" si="112"/>
        <v>SOOKE RIVERPink</v>
      </c>
      <c r="AR407" s="26">
        <f t="shared" si="106"/>
        <v>0</v>
      </c>
      <c r="AS407" s="33">
        <f t="shared" si="107"/>
        <v>0</v>
      </c>
      <c r="AX407" s="47" t="str">
        <f t="shared" si="108"/>
        <v>SOOKE RIVERPink</v>
      </c>
      <c r="AY407" s="49">
        <f t="shared" si="109"/>
        <v>0</v>
      </c>
      <c r="AZ407" s="49">
        <f t="shared" si="110"/>
        <v>0</v>
      </c>
      <c r="BA407" s="31">
        <v>0</v>
      </c>
      <c r="BB407" s="188">
        <f t="shared" si="113"/>
        <v>0</v>
      </c>
      <c r="BC407" s="188" t="str">
        <f t="shared" si="117"/>
        <v xml:space="preserve"> </v>
      </c>
      <c r="BD407" s="188" t="str">
        <f t="shared" si="118"/>
        <v xml:space="preserve"> </v>
      </c>
      <c r="BE407" s="188" t="str">
        <f t="shared" si="119"/>
        <v xml:space="preserve"> </v>
      </c>
      <c r="BF407" s="50" t="str">
        <f t="shared" si="111"/>
        <v>SOOKE RIVER_Pink</v>
      </c>
      <c r="BG407" s="50" t="str">
        <f>IFERROR(VLOOKUP(BF407,'[1]WCVI Esc'!$C$5:$W$514,18,FALSE),"-")</f>
        <v>-</v>
      </c>
      <c r="BH407" s="50" t="str">
        <f t="shared" si="114"/>
        <v>-</v>
      </c>
      <c r="BI407" s="50" t="str">
        <f>IFERROR(VLOOKUP(BF407,'[1]WCVI Esc'!$C$5:$W$514,19,FALSE),"-")</f>
        <v>-</v>
      </c>
      <c r="BJ407" s="50" t="str">
        <f t="shared" si="115"/>
        <v>-</v>
      </c>
    </row>
    <row r="408" spans="1:62" hidden="1" x14ac:dyDescent="0.2">
      <c r="A408" s="28">
        <v>4</v>
      </c>
      <c r="B408" s="28">
        <v>4</v>
      </c>
      <c r="C408" s="11">
        <v>20</v>
      </c>
      <c r="D408" s="13" t="s">
        <v>303</v>
      </c>
      <c r="E408" s="10" t="s">
        <v>75</v>
      </c>
      <c r="F408" s="10" t="s">
        <v>209</v>
      </c>
      <c r="G408" s="10"/>
      <c r="H408" s="152"/>
      <c r="I408" s="164"/>
      <c r="J408" s="62"/>
      <c r="K408" s="62"/>
      <c r="L408" s="177"/>
      <c r="M408" s="171"/>
      <c r="N408" s="62"/>
      <c r="O408" s="62"/>
      <c r="P408" s="62"/>
      <c r="Q408" s="64"/>
      <c r="R408" s="164"/>
      <c r="S408" s="62"/>
      <c r="T408" s="62"/>
      <c r="U408" s="62"/>
      <c r="V408" s="177"/>
      <c r="W408" s="171"/>
      <c r="X408" s="62"/>
      <c r="Y408" s="45"/>
      <c r="Z408" s="45"/>
      <c r="AA408" s="100"/>
      <c r="AB408" s="100"/>
      <c r="AC408" s="100"/>
      <c r="AD408" s="100"/>
      <c r="AE408" s="100"/>
      <c r="AF408" s="100"/>
      <c r="AG408" s="18">
        <v>20</v>
      </c>
      <c r="AH408" s="69" t="s">
        <v>303</v>
      </c>
      <c r="AI408" s="243" t="s">
        <v>75</v>
      </c>
      <c r="AJ408" s="243" t="s">
        <v>419</v>
      </c>
      <c r="AK408" s="246"/>
      <c r="AL408" s="43" t="str">
        <f t="shared" si="116"/>
        <v>-</v>
      </c>
      <c r="AM408" s="43">
        <f t="shared" si="104"/>
        <v>0</v>
      </c>
      <c r="AN408" s="193">
        <f t="shared" si="104"/>
        <v>0</v>
      </c>
      <c r="AO408" s="270" t="str">
        <f t="shared" si="105"/>
        <v>-</v>
      </c>
      <c r="AP408" s="266"/>
      <c r="AQ408" s="26" t="str">
        <f t="shared" si="112"/>
        <v>SOOKE RIVERChum</v>
      </c>
      <c r="AR408" s="26">
        <f t="shared" si="106"/>
        <v>0</v>
      </c>
      <c r="AS408" s="33">
        <f t="shared" si="107"/>
        <v>0</v>
      </c>
      <c r="AX408" s="47" t="str">
        <f t="shared" si="108"/>
        <v>SOOKE RIVERChum</v>
      </c>
      <c r="AY408" s="49">
        <f t="shared" si="109"/>
        <v>0</v>
      </c>
      <c r="AZ408" s="49">
        <f t="shared" si="110"/>
        <v>0</v>
      </c>
      <c r="BA408" s="31">
        <v>0</v>
      </c>
      <c r="BB408" s="188">
        <f t="shared" si="113"/>
        <v>0</v>
      </c>
      <c r="BC408" s="188" t="str">
        <f t="shared" si="117"/>
        <v xml:space="preserve"> </v>
      </c>
      <c r="BD408" s="188" t="str">
        <f t="shared" si="118"/>
        <v xml:space="preserve"> </v>
      </c>
      <c r="BE408" s="188" t="str">
        <f t="shared" si="119"/>
        <v xml:space="preserve"> </v>
      </c>
      <c r="BF408" s="50" t="str">
        <f t="shared" si="111"/>
        <v>SOOKE RIVER_Chum</v>
      </c>
      <c r="BG408" s="50" t="str">
        <f>IFERROR(VLOOKUP(BF408,'[1]WCVI Esc'!$C$5:$W$514,18,FALSE),"-")</f>
        <v>-</v>
      </c>
      <c r="BH408" s="50" t="str">
        <f t="shared" si="114"/>
        <v>-</v>
      </c>
      <c r="BI408" s="50" t="str">
        <f>IFERROR(VLOOKUP(BF408,'[1]WCVI Esc'!$C$5:$W$514,19,FALSE),"-")</f>
        <v>-</v>
      </c>
      <c r="BJ408" s="50" t="str">
        <f t="shared" si="115"/>
        <v>-</v>
      </c>
    </row>
    <row r="409" spans="1:62" hidden="1" x14ac:dyDescent="0.2">
      <c r="A409" s="28">
        <v>4</v>
      </c>
      <c r="B409" s="28">
        <v>5</v>
      </c>
      <c r="C409" s="11">
        <v>20</v>
      </c>
      <c r="D409" s="13" t="s">
        <v>303</v>
      </c>
      <c r="E409" s="10" t="s">
        <v>75</v>
      </c>
      <c r="F409" s="10" t="s">
        <v>210</v>
      </c>
      <c r="G409" s="10"/>
      <c r="H409" s="152"/>
      <c r="I409" s="164"/>
      <c r="J409" s="62"/>
      <c r="K409" s="62"/>
      <c r="L409" s="177"/>
      <c r="M409" s="171"/>
      <c r="N409" s="62"/>
      <c r="O409" s="62"/>
      <c r="P409" s="62"/>
      <c r="Q409" s="64"/>
      <c r="R409" s="164"/>
      <c r="S409" s="62"/>
      <c r="T409" s="62"/>
      <c r="U409" s="62"/>
      <c r="V409" s="177"/>
      <c r="W409" s="171"/>
      <c r="X409" s="62"/>
      <c r="Y409" s="45"/>
      <c r="Z409" s="45"/>
      <c r="AA409" s="100"/>
      <c r="AB409" s="100"/>
      <c r="AC409" s="100"/>
      <c r="AD409" s="100"/>
      <c r="AE409" s="100"/>
      <c r="AF409" s="100"/>
      <c r="AG409" s="18">
        <v>20</v>
      </c>
      <c r="AH409" s="69" t="s">
        <v>303</v>
      </c>
      <c r="AI409" s="243" t="s">
        <v>75</v>
      </c>
      <c r="AJ409" s="243" t="s">
        <v>419</v>
      </c>
      <c r="AK409" s="246"/>
      <c r="AL409" s="43" t="str">
        <f t="shared" si="116"/>
        <v>-</v>
      </c>
      <c r="AM409" s="43">
        <f t="shared" si="104"/>
        <v>0</v>
      </c>
      <c r="AN409" s="193">
        <f t="shared" si="104"/>
        <v>0</v>
      </c>
      <c r="AO409" s="270" t="str">
        <f t="shared" si="105"/>
        <v>-</v>
      </c>
      <c r="AP409" s="266"/>
      <c r="AQ409" s="26" t="str">
        <f t="shared" si="112"/>
        <v>SOOKE RIVERChinook</v>
      </c>
      <c r="AR409" s="26">
        <f t="shared" si="106"/>
        <v>0</v>
      </c>
      <c r="AS409" s="33">
        <f t="shared" si="107"/>
        <v>0</v>
      </c>
      <c r="AX409" s="47" t="str">
        <f t="shared" si="108"/>
        <v>SOOKE RIVERChinook</v>
      </c>
      <c r="AY409" s="49">
        <f t="shared" si="109"/>
        <v>0</v>
      </c>
      <c r="AZ409" s="49">
        <f t="shared" si="110"/>
        <v>0</v>
      </c>
      <c r="BA409" s="31">
        <v>0</v>
      </c>
      <c r="BB409" s="188">
        <f t="shared" si="113"/>
        <v>0</v>
      </c>
      <c r="BC409" s="188" t="str">
        <f t="shared" si="117"/>
        <v xml:space="preserve"> </v>
      </c>
      <c r="BD409" s="188" t="str">
        <f t="shared" si="118"/>
        <v xml:space="preserve"> </v>
      </c>
      <c r="BE409" s="188" t="str">
        <f t="shared" si="119"/>
        <v xml:space="preserve"> </v>
      </c>
      <c r="BF409" s="50" t="str">
        <f t="shared" si="111"/>
        <v>SOOKE RIVER_Chinook</v>
      </c>
      <c r="BG409" s="50" t="str">
        <f>IFERROR(VLOOKUP(BF409,'[1]WCVI Esc'!$C$5:$W$514,18,FALSE),"-")</f>
        <v>-</v>
      </c>
      <c r="BH409" s="50" t="str">
        <f t="shared" si="114"/>
        <v>-</v>
      </c>
      <c r="BI409" s="50" t="str">
        <f>IFERROR(VLOOKUP(BF409,'[1]WCVI Esc'!$C$5:$W$514,19,FALSE),"-")</f>
        <v>-</v>
      </c>
      <c r="BJ409" s="50" t="str">
        <f t="shared" si="115"/>
        <v>-</v>
      </c>
    </row>
    <row r="410" spans="1:62" hidden="1" x14ac:dyDescent="0.2">
      <c r="A410" s="28">
        <v>4</v>
      </c>
      <c r="B410" s="28">
        <v>6</v>
      </c>
      <c r="C410" s="11">
        <v>20</v>
      </c>
      <c r="D410" s="13" t="s">
        <v>303</v>
      </c>
      <c r="E410" s="10" t="s">
        <v>75</v>
      </c>
      <c r="F410" s="10" t="s">
        <v>211</v>
      </c>
      <c r="G410" s="10"/>
      <c r="H410" s="152"/>
      <c r="I410" s="164"/>
      <c r="J410" s="62"/>
      <c r="K410" s="62"/>
      <c r="L410" s="177"/>
      <c r="M410" s="171"/>
      <c r="N410" s="62"/>
      <c r="O410" s="62"/>
      <c r="P410" s="62"/>
      <c r="Q410" s="64"/>
      <c r="R410" s="164"/>
      <c r="S410" s="62"/>
      <c r="T410" s="62"/>
      <c r="U410" s="62"/>
      <c r="V410" s="177"/>
      <c r="W410" s="171"/>
      <c r="X410" s="62"/>
      <c r="Y410" s="45"/>
      <c r="Z410" s="45"/>
      <c r="AA410" s="100"/>
      <c r="AB410" s="100"/>
      <c r="AC410" s="100"/>
      <c r="AD410" s="100"/>
      <c r="AE410" s="100"/>
      <c r="AF410" s="100"/>
      <c r="AG410" s="18">
        <v>20</v>
      </c>
      <c r="AH410" s="69" t="s">
        <v>303</v>
      </c>
      <c r="AI410" s="243" t="s">
        <v>75</v>
      </c>
      <c r="AJ410" s="243" t="s">
        <v>419</v>
      </c>
      <c r="AK410" s="246"/>
      <c r="AL410" s="43" t="str">
        <f t="shared" si="116"/>
        <v>-</v>
      </c>
      <c r="AM410" s="43">
        <f t="shared" si="104"/>
        <v>0</v>
      </c>
      <c r="AN410" s="193">
        <f t="shared" si="104"/>
        <v>0</v>
      </c>
      <c r="AO410" s="270" t="str">
        <f t="shared" si="105"/>
        <v>-</v>
      </c>
      <c r="AP410" s="266"/>
      <c r="AQ410" s="26" t="str">
        <f t="shared" si="112"/>
        <v>SOOKE RIVERSteelhead</v>
      </c>
      <c r="AR410" s="26">
        <f t="shared" si="106"/>
        <v>0</v>
      </c>
      <c r="AS410" s="33">
        <f t="shared" si="107"/>
        <v>0</v>
      </c>
      <c r="AX410" s="47" t="str">
        <f t="shared" si="108"/>
        <v>SOOKE RIVERSteelhead</v>
      </c>
      <c r="AY410" s="49">
        <f t="shared" si="109"/>
        <v>0</v>
      </c>
      <c r="AZ410" s="49">
        <f t="shared" si="110"/>
        <v>0</v>
      </c>
      <c r="BA410" s="31">
        <v>0</v>
      </c>
      <c r="BB410" s="188">
        <f t="shared" si="113"/>
        <v>0</v>
      </c>
      <c r="BC410" s="188" t="str">
        <f t="shared" si="117"/>
        <v xml:space="preserve"> </v>
      </c>
      <c r="BD410" s="188" t="str">
        <f t="shared" si="118"/>
        <v xml:space="preserve"> </v>
      </c>
      <c r="BE410" s="188" t="str">
        <f t="shared" si="119"/>
        <v xml:space="preserve"> </v>
      </c>
      <c r="BF410" s="50" t="str">
        <f t="shared" si="111"/>
        <v>SOOKE RIVER_Steelhead</v>
      </c>
      <c r="BG410" s="50" t="str">
        <f>IFERROR(VLOOKUP(BF410,'[1]WCVI Esc'!$C$5:$W$514,18,FALSE),"-")</f>
        <v>-</v>
      </c>
      <c r="BH410" s="50" t="str">
        <f t="shared" si="114"/>
        <v>-</v>
      </c>
      <c r="BI410" s="50" t="str">
        <f>IFERROR(VLOOKUP(BF410,'[1]WCVI Esc'!$C$5:$W$514,19,FALSE),"-")</f>
        <v>-</v>
      </c>
      <c r="BJ410" s="50" t="str">
        <f t="shared" si="115"/>
        <v>-</v>
      </c>
    </row>
    <row r="411" spans="1:62" hidden="1" x14ac:dyDescent="0.2">
      <c r="A411" s="28">
        <v>4</v>
      </c>
      <c r="B411" s="28">
        <v>1</v>
      </c>
      <c r="C411" s="11">
        <v>20</v>
      </c>
      <c r="D411" s="13" t="s">
        <v>291</v>
      </c>
      <c r="E411" s="10" t="s">
        <v>165</v>
      </c>
      <c r="F411" s="10" t="s">
        <v>207</v>
      </c>
      <c r="G411" s="10"/>
      <c r="H411" s="152"/>
      <c r="I411" s="164"/>
      <c r="J411" s="62"/>
      <c r="K411" s="62"/>
      <c r="L411" s="177"/>
      <c r="M411" s="171"/>
      <c r="N411" s="62"/>
      <c r="O411" s="62"/>
      <c r="P411" s="62"/>
      <c r="Q411" s="64"/>
      <c r="R411" s="164"/>
      <c r="S411" s="62"/>
      <c r="T411" s="62"/>
      <c r="U411" s="62"/>
      <c r="V411" s="177"/>
      <c r="W411" s="171"/>
      <c r="X411" s="62"/>
      <c r="Y411" s="45"/>
      <c r="Z411" s="45"/>
      <c r="AA411" s="100"/>
      <c r="AB411" s="100"/>
      <c r="AC411" s="100"/>
      <c r="AD411" s="100"/>
      <c r="AE411" s="100"/>
      <c r="AF411" s="100"/>
      <c r="AG411" s="18">
        <v>20</v>
      </c>
      <c r="AH411" s="69" t="s">
        <v>291</v>
      </c>
      <c r="AI411" s="243" t="s">
        <v>165</v>
      </c>
      <c r="AJ411" s="243" t="s">
        <v>419</v>
      </c>
      <c r="AK411" s="246"/>
      <c r="AL411" s="43" t="str">
        <f t="shared" si="116"/>
        <v>-</v>
      </c>
      <c r="AM411" s="43">
        <f t="shared" si="104"/>
        <v>0</v>
      </c>
      <c r="AN411" s="193">
        <f t="shared" si="104"/>
        <v>0</v>
      </c>
      <c r="AO411" s="270" t="str">
        <f t="shared" si="105"/>
        <v>-</v>
      </c>
      <c r="AP411" s="266"/>
      <c r="AQ411" s="26" t="str">
        <f t="shared" si="112"/>
        <v>TREMBLAY CREEKSockeye</v>
      </c>
      <c r="AR411" s="26">
        <f t="shared" si="106"/>
        <v>0</v>
      </c>
      <c r="AS411" s="33">
        <f t="shared" si="107"/>
        <v>0</v>
      </c>
      <c r="AX411" s="47" t="str">
        <f t="shared" si="108"/>
        <v>TREMBLAY CREEKSockeye</v>
      </c>
      <c r="AY411" s="49">
        <f t="shared" si="109"/>
        <v>0</v>
      </c>
      <c r="AZ411" s="49">
        <f t="shared" si="110"/>
        <v>0</v>
      </c>
      <c r="BA411" s="31">
        <v>0</v>
      </c>
      <c r="BB411" s="188">
        <f t="shared" si="113"/>
        <v>0</v>
      </c>
      <c r="BC411" s="188" t="str">
        <f t="shared" si="117"/>
        <v xml:space="preserve"> </v>
      </c>
      <c r="BD411" s="188" t="str">
        <f t="shared" si="118"/>
        <v xml:space="preserve"> </v>
      </c>
      <c r="BE411" s="188" t="str">
        <f t="shared" si="119"/>
        <v xml:space="preserve"> </v>
      </c>
      <c r="BF411" s="50" t="str">
        <f t="shared" si="111"/>
        <v>TREMBLAY CREEK_Sockeye</v>
      </c>
      <c r="BG411" s="50" t="str">
        <f>IFERROR(VLOOKUP(BF411,'[1]WCVI Esc'!$C$5:$W$514,18,FALSE),"-")</f>
        <v>-</v>
      </c>
      <c r="BH411" s="50" t="str">
        <f t="shared" si="114"/>
        <v>-</v>
      </c>
      <c r="BI411" s="50" t="str">
        <f>IFERROR(VLOOKUP(BF411,'[1]WCVI Esc'!$C$5:$W$514,19,FALSE),"-")</f>
        <v>-</v>
      </c>
      <c r="BJ411" s="50" t="str">
        <f t="shared" si="115"/>
        <v>-</v>
      </c>
    </row>
    <row r="412" spans="1:62" hidden="1" x14ac:dyDescent="0.2">
      <c r="A412" s="28">
        <v>4</v>
      </c>
      <c r="B412" s="28">
        <v>2</v>
      </c>
      <c r="C412" s="11">
        <v>20</v>
      </c>
      <c r="D412" s="13" t="s">
        <v>291</v>
      </c>
      <c r="E412" s="10" t="s">
        <v>165</v>
      </c>
      <c r="F412" s="10" t="s">
        <v>219</v>
      </c>
      <c r="G412" s="10"/>
      <c r="H412" s="152"/>
      <c r="I412" s="164"/>
      <c r="J412" s="62"/>
      <c r="K412" s="62"/>
      <c r="L412" s="177"/>
      <c r="M412" s="171"/>
      <c r="N412" s="62"/>
      <c r="O412" s="62"/>
      <c r="P412" s="62"/>
      <c r="Q412" s="64"/>
      <c r="R412" s="164"/>
      <c r="S412" s="62"/>
      <c r="T412" s="62"/>
      <c r="U412" s="62"/>
      <c r="V412" s="177"/>
      <c r="W412" s="171"/>
      <c r="X412" s="62"/>
      <c r="Y412" s="45"/>
      <c r="Z412" s="45"/>
      <c r="AA412" s="100"/>
      <c r="AB412" s="100"/>
      <c r="AC412" s="100"/>
      <c r="AD412" s="100"/>
      <c r="AE412" s="100"/>
      <c r="AF412" s="100"/>
      <c r="AG412" s="18">
        <v>20</v>
      </c>
      <c r="AH412" s="69" t="s">
        <v>291</v>
      </c>
      <c r="AI412" s="243" t="s">
        <v>165</v>
      </c>
      <c r="AJ412" s="243" t="s">
        <v>419</v>
      </c>
      <c r="AK412" s="246"/>
      <c r="AL412" s="43" t="str">
        <f t="shared" si="116"/>
        <v>-</v>
      </c>
      <c r="AM412" s="43">
        <f t="shared" si="104"/>
        <v>0</v>
      </c>
      <c r="AN412" s="193">
        <f t="shared" si="104"/>
        <v>0</v>
      </c>
      <c r="AO412" s="270" t="str">
        <f t="shared" si="105"/>
        <v>-</v>
      </c>
      <c r="AP412" s="266"/>
      <c r="AQ412" s="26" t="str">
        <f t="shared" si="112"/>
        <v>TREMBLAY CREEKCoho</v>
      </c>
      <c r="AR412" s="26">
        <f t="shared" si="106"/>
        <v>0</v>
      </c>
      <c r="AS412" s="33">
        <f t="shared" si="107"/>
        <v>0</v>
      </c>
      <c r="AX412" s="47" t="str">
        <f t="shared" si="108"/>
        <v>TREMBLAY CREEKCoho</v>
      </c>
      <c r="AY412" s="49">
        <f t="shared" si="109"/>
        <v>0</v>
      </c>
      <c r="AZ412" s="49">
        <f t="shared" si="110"/>
        <v>0</v>
      </c>
      <c r="BA412" s="31">
        <v>0</v>
      </c>
      <c r="BB412" s="188">
        <f t="shared" si="113"/>
        <v>0</v>
      </c>
      <c r="BC412" s="188" t="str">
        <f t="shared" si="117"/>
        <v xml:space="preserve"> </v>
      </c>
      <c r="BD412" s="188" t="str">
        <f t="shared" si="118"/>
        <v xml:space="preserve"> </v>
      </c>
      <c r="BE412" s="188" t="str">
        <f t="shared" si="119"/>
        <v xml:space="preserve"> </v>
      </c>
      <c r="BF412" s="50" t="str">
        <f t="shared" si="111"/>
        <v>TREMBLAY CREEK_Coho</v>
      </c>
      <c r="BG412" s="50" t="str">
        <f>IFERROR(VLOOKUP(BF412,'[1]WCVI Esc'!$C$5:$W$514,18,FALSE),"-")</f>
        <v>-</v>
      </c>
      <c r="BH412" s="50" t="str">
        <f t="shared" si="114"/>
        <v>-</v>
      </c>
      <c r="BI412" s="50" t="str">
        <f>IFERROR(VLOOKUP(BF412,'[1]WCVI Esc'!$C$5:$W$514,19,FALSE),"-")</f>
        <v>-</v>
      </c>
      <c r="BJ412" s="50" t="str">
        <f t="shared" si="115"/>
        <v>-</v>
      </c>
    </row>
    <row r="413" spans="1:62" hidden="1" x14ac:dyDescent="0.2">
      <c r="A413" s="28">
        <v>4</v>
      </c>
      <c r="B413" s="28">
        <v>3</v>
      </c>
      <c r="C413" s="11">
        <v>20</v>
      </c>
      <c r="D413" s="13" t="s">
        <v>291</v>
      </c>
      <c r="E413" s="10" t="s">
        <v>165</v>
      </c>
      <c r="F413" s="10" t="s">
        <v>208</v>
      </c>
      <c r="G413" s="10"/>
      <c r="H413" s="152"/>
      <c r="I413" s="164"/>
      <c r="J413" s="62"/>
      <c r="K413" s="62"/>
      <c r="L413" s="177"/>
      <c r="M413" s="171"/>
      <c r="N413" s="62"/>
      <c r="O413" s="62"/>
      <c r="P413" s="62"/>
      <c r="Q413" s="64"/>
      <c r="R413" s="164"/>
      <c r="S413" s="62"/>
      <c r="T413" s="62"/>
      <c r="U413" s="62"/>
      <c r="V413" s="177"/>
      <c r="W413" s="171"/>
      <c r="X413" s="62"/>
      <c r="Y413" s="45"/>
      <c r="Z413" s="45"/>
      <c r="AA413" s="100"/>
      <c r="AB413" s="100"/>
      <c r="AC413" s="100"/>
      <c r="AD413" s="100"/>
      <c r="AE413" s="100"/>
      <c r="AF413" s="100"/>
      <c r="AG413" s="18">
        <v>20</v>
      </c>
      <c r="AH413" s="69" t="s">
        <v>291</v>
      </c>
      <c r="AI413" s="243" t="s">
        <v>165</v>
      </c>
      <c r="AJ413" s="243" t="s">
        <v>419</v>
      </c>
      <c r="AK413" s="246"/>
      <c r="AL413" s="43" t="str">
        <f t="shared" si="116"/>
        <v>-</v>
      </c>
      <c r="AM413" s="43">
        <f t="shared" si="104"/>
        <v>0</v>
      </c>
      <c r="AN413" s="193">
        <f t="shared" si="104"/>
        <v>0</v>
      </c>
      <c r="AO413" s="270" t="str">
        <f t="shared" si="105"/>
        <v>-</v>
      </c>
      <c r="AP413" s="266"/>
      <c r="AQ413" s="26" t="str">
        <f t="shared" si="112"/>
        <v>TREMBLAY CREEKPink</v>
      </c>
      <c r="AR413" s="26">
        <f t="shared" si="106"/>
        <v>0</v>
      </c>
      <c r="AS413" s="33">
        <f t="shared" si="107"/>
        <v>0</v>
      </c>
      <c r="AX413" s="47" t="str">
        <f t="shared" si="108"/>
        <v>TREMBLAY CREEKPink</v>
      </c>
      <c r="AY413" s="49">
        <f t="shared" si="109"/>
        <v>0</v>
      </c>
      <c r="AZ413" s="49">
        <f t="shared" si="110"/>
        <v>0</v>
      </c>
      <c r="BA413" s="31">
        <v>0</v>
      </c>
      <c r="BB413" s="188">
        <f t="shared" si="113"/>
        <v>0</v>
      </c>
      <c r="BC413" s="188" t="str">
        <f t="shared" si="117"/>
        <v xml:space="preserve"> </v>
      </c>
      <c r="BD413" s="188" t="str">
        <f t="shared" si="118"/>
        <v xml:space="preserve"> </v>
      </c>
      <c r="BE413" s="188" t="str">
        <f t="shared" si="119"/>
        <v xml:space="preserve"> </v>
      </c>
      <c r="BF413" s="50" t="str">
        <f t="shared" si="111"/>
        <v>TREMBLAY CREEK_Pink</v>
      </c>
      <c r="BG413" s="50" t="str">
        <f>IFERROR(VLOOKUP(BF413,'[1]WCVI Esc'!$C$5:$W$514,18,FALSE),"-")</f>
        <v>-</v>
      </c>
      <c r="BH413" s="50" t="str">
        <f t="shared" si="114"/>
        <v>-</v>
      </c>
      <c r="BI413" s="50" t="str">
        <f>IFERROR(VLOOKUP(BF413,'[1]WCVI Esc'!$C$5:$W$514,19,FALSE),"-")</f>
        <v>-</v>
      </c>
      <c r="BJ413" s="50" t="str">
        <f t="shared" si="115"/>
        <v>-</v>
      </c>
    </row>
    <row r="414" spans="1:62" hidden="1" x14ac:dyDescent="0.2">
      <c r="A414" s="28">
        <v>4</v>
      </c>
      <c r="B414" s="28">
        <v>4</v>
      </c>
      <c r="C414" s="11">
        <v>20</v>
      </c>
      <c r="D414" s="13" t="s">
        <v>291</v>
      </c>
      <c r="E414" s="10" t="s">
        <v>165</v>
      </c>
      <c r="F414" s="10" t="s">
        <v>209</v>
      </c>
      <c r="G414" s="10"/>
      <c r="H414" s="152"/>
      <c r="I414" s="164"/>
      <c r="J414" s="62"/>
      <c r="K414" s="62"/>
      <c r="L414" s="177"/>
      <c r="M414" s="171"/>
      <c r="N414" s="62"/>
      <c r="O414" s="62"/>
      <c r="P414" s="62"/>
      <c r="Q414" s="64"/>
      <c r="R414" s="164"/>
      <c r="S414" s="62"/>
      <c r="T414" s="62"/>
      <c r="U414" s="62"/>
      <c r="V414" s="177"/>
      <c r="W414" s="171"/>
      <c r="X414" s="62"/>
      <c r="Y414" s="45"/>
      <c r="Z414" s="45"/>
      <c r="AA414" s="100"/>
      <c r="AB414" s="100"/>
      <c r="AC414" s="100"/>
      <c r="AD414" s="100"/>
      <c r="AE414" s="100"/>
      <c r="AF414" s="100"/>
      <c r="AG414" s="18">
        <v>20</v>
      </c>
      <c r="AH414" s="69" t="s">
        <v>291</v>
      </c>
      <c r="AI414" s="243" t="s">
        <v>165</v>
      </c>
      <c r="AJ414" s="243" t="s">
        <v>419</v>
      </c>
      <c r="AK414" s="246"/>
      <c r="AL414" s="43" t="str">
        <f t="shared" si="116"/>
        <v>-</v>
      </c>
      <c r="AM414" s="43">
        <f t="shared" si="104"/>
        <v>0</v>
      </c>
      <c r="AN414" s="193">
        <f t="shared" si="104"/>
        <v>0</v>
      </c>
      <c r="AO414" s="270" t="str">
        <f t="shared" si="105"/>
        <v>-</v>
      </c>
      <c r="AP414" s="266"/>
      <c r="AQ414" s="26" t="str">
        <f t="shared" si="112"/>
        <v>TREMBLAY CREEKChum</v>
      </c>
      <c r="AR414" s="26">
        <f t="shared" si="106"/>
        <v>0</v>
      </c>
      <c r="AS414" s="33">
        <f t="shared" si="107"/>
        <v>0</v>
      </c>
      <c r="AX414" s="47" t="str">
        <f t="shared" si="108"/>
        <v>TREMBLAY CREEKChum</v>
      </c>
      <c r="AY414" s="49">
        <f t="shared" si="109"/>
        <v>0</v>
      </c>
      <c r="AZ414" s="49">
        <f t="shared" si="110"/>
        <v>0</v>
      </c>
      <c r="BA414" s="31">
        <v>0</v>
      </c>
      <c r="BB414" s="188">
        <f t="shared" si="113"/>
        <v>0</v>
      </c>
      <c r="BC414" s="188" t="str">
        <f t="shared" si="117"/>
        <v xml:space="preserve"> </v>
      </c>
      <c r="BD414" s="188" t="str">
        <f t="shared" si="118"/>
        <v xml:space="preserve"> </v>
      </c>
      <c r="BE414" s="188" t="str">
        <f t="shared" si="119"/>
        <v xml:space="preserve"> </v>
      </c>
      <c r="BF414" s="50" t="str">
        <f t="shared" si="111"/>
        <v>TREMBLAY CREEK_Chum</v>
      </c>
      <c r="BG414" s="50" t="str">
        <f>IFERROR(VLOOKUP(BF414,'[1]WCVI Esc'!$C$5:$W$514,18,FALSE),"-")</f>
        <v>-</v>
      </c>
      <c r="BH414" s="50" t="str">
        <f t="shared" si="114"/>
        <v>-</v>
      </c>
      <c r="BI414" s="50" t="str">
        <f>IFERROR(VLOOKUP(BF414,'[1]WCVI Esc'!$C$5:$W$514,19,FALSE),"-")</f>
        <v>-</v>
      </c>
      <c r="BJ414" s="50" t="str">
        <f t="shared" si="115"/>
        <v>-</v>
      </c>
    </row>
    <row r="415" spans="1:62" hidden="1" x14ac:dyDescent="0.2">
      <c r="A415" s="28">
        <v>4</v>
      </c>
      <c r="B415" s="28">
        <v>5</v>
      </c>
      <c r="C415" s="11">
        <v>20</v>
      </c>
      <c r="D415" s="13" t="s">
        <v>291</v>
      </c>
      <c r="E415" s="10" t="s">
        <v>165</v>
      </c>
      <c r="F415" s="10" t="s">
        <v>210</v>
      </c>
      <c r="G415" s="10"/>
      <c r="H415" s="152"/>
      <c r="I415" s="164"/>
      <c r="J415" s="62"/>
      <c r="K415" s="62"/>
      <c r="L415" s="177"/>
      <c r="M415" s="171"/>
      <c r="N415" s="62"/>
      <c r="O415" s="62"/>
      <c r="P415" s="62"/>
      <c r="Q415" s="64"/>
      <c r="R415" s="164"/>
      <c r="S415" s="62"/>
      <c r="T415" s="62"/>
      <c r="U415" s="62"/>
      <c r="V415" s="177"/>
      <c r="W415" s="171"/>
      <c r="X415" s="62"/>
      <c r="Y415" s="45"/>
      <c r="Z415" s="45"/>
      <c r="AA415" s="100"/>
      <c r="AB415" s="100"/>
      <c r="AC415" s="100"/>
      <c r="AD415" s="100"/>
      <c r="AE415" s="100"/>
      <c r="AF415" s="100"/>
      <c r="AG415" s="18">
        <v>20</v>
      </c>
      <c r="AH415" s="69" t="s">
        <v>291</v>
      </c>
      <c r="AI415" s="243" t="s">
        <v>165</v>
      </c>
      <c r="AJ415" s="243" t="s">
        <v>419</v>
      </c>
      <c r="AK415" s="246"/>
      <c r="AL415" s="43" t="str">
        <f t="shared" si="116"/>
        <v>-</v>
      </c>
      <c r="AM415" s="43">
        <f t="shared" si="104"/>
        <v>0</v>
      </c>
      <c r="AN415" s="193">
        <f t="shared" si="104"/>
        <v>0</v>
      </c>
      <c r="AO415" s="270" t="str">
        <f t="shared" si="105"/>
        <v>-</v>
      </c>
      <c r="AP415" s="266"/>
      <c r="AQ415" s="26" t="str">
        <f t="shared" si="112"/>
        <v>TREMBLAY CREEKChinook</v>
      </c>
      <c r="AR415" s="26">
        <f t="shared" si="106"/>
        <v>0</v>
      </c>
      <c r="AS415" s="33">
        <f t="shared" si="107"/>
        <v>0</v>
      </c>
      <c r="AX415" s="47" t="str">
        <f t="shared" si="108"/>
        <v>TREMBLAY CREEKChinook</v>
      </c>
      <c r="AY415" s="49">
        <f t="shared" si="109"/>
        <v>0</v>
      </c>
      <c r="AZ415" s="49">
        <f t="shared" si="110"/>
        <v>0</v>
      </c>
      <c r="BA415" s="31">
        <v>0</v>
      </c>
      <c r="BB415" s="188">
        <f t="shared" si="113"/>
        <v>0</v>
      </c>
      <c r="BC415" s="188" t="str">
        <f t="shared" si="117"/>
        <v xml:space="preserve"> </v>
      </c>
      <c r="BD415" s="188" t="str">
        <f t="shared" si="118"/>
        <v xml:space="preserve"> </v>
      </c>
      <c r="BE415" s="188" t="str">
        <f t="shared" si="119"/>
        <v xml:space="preserve"> </v>
      </c>
      <c r="BF415" s="50" t="str">
        <f t="shared" si="111"/>
        <v>TREMBLAY CREEK_Chinook</v>
      </c>
      <c r="BG415" s="50" t="str">
        <f>IFERROR(VLOOKUP(BF415,'[1]WCVI Esc'!$C$5:$W$514,18,FALSE),"-")</f>
        <v>-</v>
      </c>
      <c r="BH415" s="50" t="str">
        <f t="shared" si="114"/>
        <v>-</v>
      </c>
      <c r="BI415" s="50" t="str">
        <f>IFERROR(VLOOKUP(BF415,'[1]WCVI Esc'!$C$5:$W$514,19,FALSE),"-")</f>
        <v>-</v>
      </c>
      <c r="BJ415" s="50" t="str">
        <f t="shared" si="115"/>
        <v>-</v>
      </c>
    </row>
    <row r="416" spans="1:62" hidden="1" x14ac:dyDescent="0.2">
      <c r="A416" s="28">
        <v>4</v>
      </c>
      <c r="B416" s="28">
        <v>6</v>
      </c>
      <c r="C416" s="11">
        <v>20</v>
      </c>
      <c r="D416" s="13" t="s">
        <v>291</v>
      </c>
      <c r="E416" s="10" t="s">
        <v>165</v>
      </c>
      <c r="F416" s="10" t="s">
        <v>211</v>
      </c>
      <c r="G416" s="10"/>
      <c r="H416" s="152"/>
      <c r="I416" s="164"/>
      <c r="J416" s="62"/>
      <c r="K416" s="62"/>
      <c r="L416" s="177"/>
      <c r="M416" s="171"/>
      <c r="N416" s="62"/>
      <c r="O416" s="62"/>
      <c r="P416" s="62"/>
      <c r="Q416" s="64"/>
      <c r="R416" s="164"/>
      <c r="S416" s="62"/>
      <c r="T416" s="62"/>
      <c r="U416" s="62"/>
      <c r="V416" s="177"/>
      <c r="W416" s="171"/>
      <c r="X416" s="62"/>
      <c r="Y416" s="45"/>
      <c r="Z416" s="45"/>
      <c r="AA416" s="100"/>
      <c r="AB416" s="100"/>
      <c r="AC416" s="100"/>
      <c r="AD416" s="100"/>
      <c r="AE416" s="100"/>
      <c r="AF416" s="100"/>
      <c r="AG416" s="18">
        <v>20</v>
      </c>
      <c r="AH416" s="69" t="s">
        <v>291</v>
      </c>
      <c r="AI416" s="243" t="s">
        <v>165</v>
      </c>
      <c r="AJ416" s="243" t="s">
        <v>419</v>
      </c>
      <c r="AK416" s="246"/>
      <c r="AL416" s="43" t="str">
        <f t="shared" si="116"/>
        <v>-</v>
      </c>
      <c r="AM416" s="43">
        <f t="shared" si="104"/>
        <v>0</v>
      </c>
      <c r="AN416" s="193">
        <f t="shared" si="104"/>
        <v>0</v>
      </c>
      <c r="AO416" s="270" t="str">
        <f t="shared" si="105"/>
        <v>-</v>
      </c>
      <c r="AP416" s="266"/>
      <c r="AQ416" s="26" t="str">
        <f t="shared" si="112"/>
        <v>TREMBLAY CREEKSteelhead</v>
      </c>
      <c r="AR416" s="26">
        <f t="shared" si="106"/>
        <v>0</v>
      </c>
      <c r="AS416" s="33">
        <f t="shared" si="107"/>
        <v>0</v>
      </c>
      <c r="AX416" s="47" t="str">
        <f t="shared" si="108"/>
        <v>TREMBLAY CREEKSteelhead</v>
      </c>
      <c r="AY416" s="49">
        <f t="shared" si="109"/>
        <v>0</v>
      </c>
      <c r="AZ416" s="49">
        <f t="shared" si="110"/>
        <v>0</v>
      </c>
      <c r="BA416" s="31">
        <v>0</v>
      </c>
      <c r="BB416" s="188">
        <f t="shared" si="113"/>
        <v>0</v>
      </c>
      <c r="BC416" s="188" t="str">
        <f t="shared" si="117"/>
        <v xml:space="preserve"> </v>
      </c>
      <c r="BD416" s="188" t="str">
        <f t="shared" si="118"/>
        <v xml:space="preserve"> </v>
      </c>
      <c r="BE416" s="188" t="str">
        <f t="shared" si="119"/>
        <v xml:space="preserve"> </v>
      </c>
      <c r="BF416" s="50" t="str">
        <f t="shared" si="111"/>
        <v>TREMBLAY CREEK_Steelhead</v>
      </c>
      <c r="BG416" s="50" t="str">
        <f>IFERROR(VLOOKUP(BF416,'[1]WCVI Esc'!$C$5:$W$514,18,FALSE),"-")</f>
        <v>-</v>
      </c>
      <c r="BH416" s="50" t="str">
        <f t="shared" si="114"/>
        <v>-</v>
      </c>
      <c r="BI416" s="50" t="str">
        <f>IFERROR(VLOOKUP(BF416,'[1]WCVI Esc'!$C$5:$W$514,19,FALSE),"-")</f>
        <v>-</v>
      </c>
      <c r="BJ416" s="50" t="str">
        <f t="shared" si="115"/>
        <v>-</v>
      </c>
    </row>
    <row r="417" spans="1:62" hidden="1" x14ac:dyDescent="0.2">
      <c r="A417" s="28">
        <v>4</v>
      </c>
      <c r="B417" s="28">
        <v>1</v>
      </c>
      <c r="C417" s="11">
        <v>20</v>
      </c>
      <c r="D417" s="13" t="s">
        <v>303</v>
      </c>
      <c r="E417" s="10" t="s">
        <v>23</v>
      </c>
      <c r="F417" s="10" t="s">
        <v>207</v>
      </c>
      <c r="G417" s="10"/>
      <c r="H417" s="152"/>
      <c r="I417" s="164"/>
      <c r="J417" s="62"/>
      <c r="K417" s="62"/>
      <c r="L417" s="177"/>
      <c r="M417" s="171"/>
      <c r="N417" s="62"/>
      <c r="O417" s="62"/>
      <c r="P417" s="62"/>
      <c r="Q417" s="64"/>
      <c r="R417" s="164"/>
      <c r="S417" s="62"/>
      <c r="T417" s="62"/>
      <c r="U417" s="62"/>
      <c r="V417" s="177"/>
      <c r="W417" s="171"/>
      <c r="X417" s="62"/>
      <c r="Y417" s="45"/>
      <c r="Z417" s="45"/>
      <c r="AA417" s="100"/>
      <c r="AB417" s="100"/>
      <c r="AC417" s="100"/>
      <c r="AD417" s="100"/>
      <c r="AE417" s="100"/>
      <c r="AF417" s="100"/>
      <c r="AG417" s="18">
        <v>20</v>
      </c>
      <c r="AH417" s="69" t="s">
        <v>303</v>
      </c>
      <c r="AI417" s="243" t="s">
        <v>23</v>
      </c>
      <c r="AJ417" s="243" t="s">
        <v>419</v>
      </c>
      <c r="AK417" s="246"/>
      <c r="AL417" s="43" t="str">
        <f t="shared" si="116"/>
        <v>-</v>
      </c>
      <c r="AM417" s="43">
        <f t="shared" si="104"/>
        <v>0</v>
      </c>
      <c r="AN417" s="193">
        <f t="shared" si="104"/>
        <v>0</v>
      </c>
      <c r="AO417" s="270" t="str">
        <f t="shared" si="105"/>
        <v>-</v>
      </c>
      <c r="AP417" s="266"/>
      <c r="AQ417" s="26" t="str">
        <f t="shared" si="112"/>
        <v>TUGWELL CREEKSockeye</v>
      </c>
      <c r="AR417" s="26">
        <f t="shared" si="106"/>
        <v>0</v>
      </c>
      <c r="AS417" s="33">
        <f t="shared" si="107"/>
        <v>0</v>
      </c>
      <c r="AX417" s="47" t="str">
        <f t="shared" si="108"/>
        <v>TUGWELL CREEKSockeye</v>
      </c>
      <c r="AY417" s="49">
        <f t="shared" si="109"/>
        <v>0</v>
      </c>
      <c r="AZ417" s="49">
        <f t="shared" si="110"/>
        <v>0</v>
      </c>
      <c r="BA417" s="31">
        <v>0</v>
      </c>
      <c r="BB417" s="188">
        <f t="shared" si="113"/>
        <v>0</v>
      </c>
      <c r="BC417" s="188" t="str">
        <f t="shared" si="117"/>
        <v xml:space="preserve"> </v>
      </c>
      <c r="BD417" s="188" t="str">
        <f t="shared" si="118"/>
        <v xml:space="preserve"> </v>
      </c>
      <c r="BE417" s="188" t="str">
        <f t="shared" si="119"/>
        <v xml:space="preserve"> </v>
      </c>
      <c r="BF417" s="50" t="str">
        <f t="shared" si="111"/>
        <v>TUGWELL CREEK_Sockeye</v>
      </c>
      <c r="BG417" s="50" t="str">
        <f>IFERROR(VLOOKUP(BF417,'[1]WCVI Esc'!$C$5:$W$514,18,FALSE),"-")</f>
        <v>-</v>
      </c>
      <c r="BH417" s="50" t="str">
        <f t="shared" si="114"/>
        <v>-</v>
      </c>
      <c r="BI417" s="50" t="str">
        <f>IFERROR(VLOOKUP(BF417,'[1]WCVI Esc'!$C$5:$W$514,19,FALSE),"-")</f>
        <v>-</v>
      </c>
      <c r="BJ417" s="50" t="str">
        <f t="shared" si="115"/>
        <v>-</v>
      </c>
    </row>
    <row r="418" spans="1:62" hidden="1" x14ac:dyDescent="0.2">
      <c r="A418" s="28">
        <v>4</v>
      </c>
      <c r="B418" s="28">
        <v>2</v>
      </c>
      <c r="C418" s="11">
        <v>20</v>
      </c>
      <c r="D418" s="13" t="s">
        <v>303</v>
      </c>
      <c r="E418" s="10" t="s">
        <v>23</v>
      </c>
      <c r="F418" s="10" t="s">
        <v>219</v>
      </c>
      <c r="G418" s="10"/>
      <c r="H418" s="152"/>
      <c r="I418" s="164"/>
      <c r="J418" s="62"/>
      <c r="K418" s="62"/>
      <c r="L418" s="177"/>
      <c r="M418" s="171"/>
      <c r="N418" s="62"/>
      <c r="O418" s="62"/>
      <c r="P418" s="62"/>
      <c r="Q418" s="64"/>
      <c r="R418" s="164"/>
      <c r="S418" s="62"/>
      <c r="T418" s="62"/>
      <c r="U418" s="62"/>
      <c r="V418" s="177"/>
      <c r="W418" s="171"/>
      <c r="X418" s="62"/>
      <c r="Y418" s="45"/>
      <c r="Z418" s="45"/>
      <c r="AA418" s="100"/>
      <c r="AB418" s="100"/>
      <c r="AC418" s="100"/>
      <c r="AD418" s="100"/>
      <c r="AE418" s="100"/>
      <c r="AF418" s="100"/>
      <c r="AG418" s="18">
        <v>20</v>
      </c>
      <c r="AH418" s="69" t="s">
        <v>303</v>
      </c>
      <c r="AI418" s="243" t="s">
        <v>23</v>
      </c>
      <c r="AJ418" s="243" t="s">
        <v>419</v>
      </c>
      <c r="AK418" s="246"/>
      <c r="AL418" s="43" t="str">
        <f t="shared" si="116"/>
        <v>-</v>
      </c>
      <c r="AM418" s="43">
        <f t="shared" si="104"/>
        <v>0</v>
      </c>
      <c r="AN418" s="193">
        <f t="shared" si="104"/>
        <v>0</v>
      </c>
      <c r="AO418" s="270" t="str">
        <f t="shared" si="105"/>
        <v>-</v>
      </c>
      <c r="AP418" s="266"/>
      <c r="AQ418" s="26" t="str">
        <f t="shared" si="112"/>
        <v>TUGWELL CREEKCoho</v>
      </c>
      <c r="AR418" s="26">
        <f t="shared" si="106"/>
        <v>0</v>
      </c>
      <c r="AS418" s="33">
        <f t="shared" si="107"/>
        <v>0</v>
      </c>
      <c r="AX418" s="47" t="str">
        <f t="shared" si="108"/>
        <v>TUGWELL CREEKCoho</v>
      </c>
      <c r="AY418" s="49">
        <f t="shared" si="109"/>
        <v>0</v>
      </c>
      <c r="AZ418" s="49">
        <f t="shared" si="110"/>
        <v>0</v>
      </c>
      <c r="BA418" s="31">
        <v>0</v>
      </c>
      <c r="BB418" s="188">
        <f t="shared" si="113"/>
        <v>0</v>
      </c>
      <c r="BC418" s="188" t="str">
        <f t="shared" si="117"/>
        <v xml:space="preserve"> </v>
      </c>
      <c r="BD418" s="188" t="str">
        <f t="shared" si="118"/>
        <v xml:space="preserve"> </v>
      </c>
      <c r="BE418" s="188" t="str">
        <f t="shared" si="119"/>
        <v xml:space="preserve"> </v>
      </c>
      <c r="BF418" s="50" t="str">
        <f t="shared" si="111"/>
        <v>TUGWELL CREEK_Coho</v>
      </c>
      <c r="BG418" s="50" t="str">
        <f>IFERROR(VLOOKUP(BF418,'[1]WCVI Esc'!$C$5:$W$514,18,FALSE),"-")</f>
        <v>-</v>
      </c>
      <c r="BH418" s="50" t="str">
        <f t="shared" si="114"/>
        <v>-</v>
      </c>
      <c r="BI418" s="50" t="str">
        <f>IFERROR(VLOOKUP(BF418,'[1]WCVI Esc'!$C$5:$W$514,19,FALSE),"-")</f>
        <v>-</v>
      </c>
      <c r="BJ418" s="50" t="str">
        <f t="shared" si="115"/>
        <v>-</v>
      </c>
    </row>
    <row r="419" spans="1:62" hidden="1" x14ac:dyDescent="0.2">
      <c r="A419" s="28">
        <v>4</v>
      </c>
      <c r="B419" s="28">
        <v>3</v>
      </c>
      <c r="C419" s="11">
        <v>20</v>
      </c>
      <c r="D419" s="13" t="s">
        <v>303</v>
      </c>
      <c r="E419" s="10" t="s">
        <v>23</v>
      </c>
      <c r="F419" s="10" t="s">
        <v>208</v>
      </c>
      <c r="G419" s="10"/>
      <c r="H419" s="152"/>
      <c r="I419" s="164"/>
      <c r="J419" s="62"/>
      <c r="K419" s="62"/>
      <c r="L419" s="177"/>
      <c r="M419" s="171"/>
      <c r="N419" s="62"/>
      <c r="O419" s="62"/>
      <c r="P419" s="62"/>
      <c r="Q419" s="64"/>
      <c r="R419" s="164"/>
      <c r="S419" s="62"/>
      <c r="T419" s="62"/>
      <c r="U419" s="62"/>
      <c r="V419" s="177"/>
      <c r="W419" s="171"/>
      <c r="X419" s="62"/>
      <c r="Y419" s="45"/>
      <c r="Z419" s="45"/>
      <c r="AA419" s="100"/>
      <c r="AB419" s="100"/>
      <c r="AC419" s="100"/>
      <c r="AD419" s="100"/>
      <c r="AE419" s="100"/>
      <c r="AF419" s="100"/>
      <c r="AG419" s="18">
        <v>20</v>
      </c>
      <c r="AH419" s="69" t="s">
        <v>303</v>
      </c>
      <c r="AI419" s="243" t="s">
        <v>23</v>
      </c>
      <c r="AJ419" s="243" t="s">
        <v>419</v>
      </c>
      <c r="AK419" s="246"/>
      <c r="AL419" s="43" t="str">
        <f t="shared" si="116"/>
        <v>-</v>
      </c>
      <c r="AM419" s="43">
        <f t="shared" si="104"/>
        <v>0</v>
      </c>
      <c r="AN419" s="193">
        <f t="shared" si="104"/>
        <v>0</v>
      </c>
      <c r="AO419" s="270" t="str">
        <f t="shared" si="105"/>
        <v>-</v>
      </c>
      <c r="AP419" s="266"/>
      <c r="AQ419" s="26" t="str">
        <f t="shared" si="112"/>
        <v>TUGWELL CREEKPink</v>
      </c>
      <c r="AR419" s="26">
        <f t="shared" si="106"/>
        <v>0</v>
      </c>
      <c r="AS419" s="33">
        <f t="shared" si="107"/>
        <v>0</v>
      </c>
      <c r="AX419" s="47" t="str">
        <f t="shared" si="108"/>
        <v>TUGWELL CREEKPink</v>
      </c>
      <c r="AY419" s="49">
        <f t="shared" si="109"/>
        <v>0</v>
      </c>
      <c r="AZ419" s="49">
        <f t="shared" si="110"/>
        <v>0</v>
      </c>
      <c r="BA419" s="31">
        <v>0</v>
      </c>
      <c r="BB419" s="188">
        <f t="shared" si="113"/>
        <v>0</v>
      </c>
      <c r="BC419" s="188" t="str">
        <f t="shared" si="117"/>
        <v xml:space="preserve"> </v>
      </c>
      <c r="BD419" s="188" t="str">
        <f t="shared" si="118"/>
        <v xml:space="preserve"> </v>
      </c>
      <c r="BE419" s="188" t="str">
        <f t="shared" si="119"/>
        <v xml:space="preserve"> </v>
      </c>
      <c r="BF419" s="50" t="str">
        <f t="shared" si="111"/>
        <v>TUGWELL CREEK_Pink</v>
      </c>
      <c r="BG419" s="50" t="str">
        <f>IFERROR(VLOOKUP(BF419,'[1]WCVI Esc'!$C$5:$W$514,18,FALSE),"-")</f>
        <v>-</v>
      </c>
      <c r="BH419" s="50" t="str">
        <f t="shared" si="114"/>
        <v>-</v>
      </c>
      <c r="BI419" s="50" t="str">
        <f>IFERROR(VLOOKUP(BF419,'[1]WCVI Esc'!$C$5:$W$514,19,FALSE),"-")</f>
        <v>-</v>
      </c>
      <c r="BJ419" s="50" t="str">
        <f t="shared" si="115"/>
        <v>-</v>
      </c>
    </row>
    <row r="420" spans="1:62" hidden="1" x14ac:dyDescent="0.2">
      <c r="A420" s="28">
        <v>4</v>
      </c>
      <c r="B420" s="28">
        <v>4</v>
      </c>
      <c r="C420" s="11">
        <v>20</v>
      </c>
      <c r="D420" s="13" t="s">
        <v>303</v>
      </c>
      <c r="E420" s="10" t="s">
        <v>23</v>
      </c>
      <c r="F420" s="10" t="s">
        <v>209</v>
      </c>
      <c r="G420" s="10"/>
      <c r="H420" s="152"/>
      <c r="I420" s="164"/>
      <c r="J420" s="62"/>
      <c r="K420" s="62"/>
      <c r="L420" s="177"/>
      <c r="M420" s="171"/>
      <c r="N420" s="62"/>
      <c r="O420" s="62"/>
      <c r="P420" s="62"/>
      <c r="Q420" s="64"/>
      <c r="R420" s="164"/>
      <c r="S420" s="62"/>
      <c r="T420" s="62"/>
      <c r="U420" s="62"/>
      <c r="V420" s="177"/>
      <c r="W420" s="171"/>
      <c r="X420" s="62"/>
      <c r="Y420" s="45"/>
      <c r="Z420" s="45"/>
      <c r="AA420" s="100"/>
      <c r="AB420" s="100"/>
      <c r="AC420" s="100"/>
      <c r="AD420" s="100"/>
      <c r="AE420" s="100"/>
      <c r="AF420" s="100"/>
      <c r="AG420" s="18">
        <v>20</v>
      </c>
      <c r="AH420" s="69" t="s">
        <v>303</v>
      </c>
      <c r="AI420" s="243" t="s">
        <v>23</v>
      </c>
      <c r="AJ420" s="243" t="s">
        <v>419</v>
      </c>
      <c r="AK420" s="246"/>
      <c r="AL420" s="43" t="str">
        <f t="shared" si="116"/>
        <v>-</v>
      </c>
      <c r="AM420" s="43">
        <f t="shared" si="104"/>
        <v>0</v>
      </c>
      <c r="AN420" s="193">
        <f t="shared" si="104"/>
        <v>0</v>
      </c>
      <c r="AO420" s="270" t="str">
        <f t="shared" si="105"/>
        <v>-</v>
      </c>
      <c r="AP420" s="266"/>
      <c r="AQ420" s="26" t="str">
        <f t="shared" si="112"/>
        <v>TUGWELL CREEKChum</v>
      </c>
      <c r="AR420" s="26">
        <f t="shared" si="106"/>
        <v>0</v>
      </c>
      <c r="AS420" s="33">
        <f t="shared" si="107"/>
        <v>0</v>
      </c>
      <c r="AX420" s="47" t="str">
        <f t="shared" si="108"/>
        <v>TUGWELL CREEKChum</v>
      </c>
      <c r="AY420" s="49">
        <f t="shared" si="109"/>
        <v>0</v>
      </c>
      <c r="AZ420" s="49">
        <f t="shared" si="110"/>
        <v>0</v>
      </c>
      <c r="BA420" s="31">
        <v>0</v>
      </c>
      <c r="BB420" s="188">
        <f t="shared" si="113"/>
        <v>0</v>
      </c>
      <c r="BC420" s="188" t="str">
        <f t="shared" si="117"/>
        <v xml:space="preserve"> </v>
      </c>
      <c r="BD420" s="188" t="str">
        <f t="shared" si="118"/>
        <v xml:space="preserve"> </v>
      </c>
      <c r="BE420" s="188" t="str">
        <f t="shared" si="119"/>
        <v xml:space="preserve"> </v>
      </c>
      <c r="BF420" s="50" t="str">
        <f t="shared" si="111"/>
        <v>TUGWELL CREEK_Chum</v>
      </c>
      <c r="BG420" s="50" t="str">
        <f>IFERROR(VLOOKUP(BF420,'[1]WCVI Esc'!$C$5:$W$514,18,FALSE),"-")</f>
        <v>-</v>
      </c>
      <c r="BH420" s="50" t="str">
        <f t="shared" si="114"/>
        <v>-</v>
      </c>
      <c r="BI420" s="50" t="str">
        <f>IFERROR(VLOOKUP(BF420,'[1]WCVI Esc'!$C$5:$W$514,19,FALSE),"-")</f>
        <v>-</v>
      </c>
      <c r="BJ420" s="50" t="str">
        <f t="shared" si="115"/>
        <v>-</v>
      </c>
    </row>
    <row r="421" spans="1:62" hidden="1" x14ac:dyDescent="0.2">
      <c r="A421" s="28">
        <v>4</v>
      </c>
      <c r="B421" s="28">
        <v>5</v>
      </c>
      <c r="C421" s="11">
        <v>20</v>
      </c>
      <c r="D421" s="13" t="s">
        <v>303</v>
      </c>
      <c r="E421" s="10" t="s">
        <v>23</v>
      </c>
      <c r="F421" s="10" t="s">
        <v>210</v>
      </c>
      <c r="G421" s="10"/>
      <c r="H421" s="152"/>
      <c r="I421" s="164"/>
      <c r="J421" s="62"/>
      <c r="K421" s="62"/>
      <c r="L421" s="177"/>
      <c r="M421" s="171"/>
      <c r="N421" s="62"/>
      <c r="O421" s="62"/>
      <c r="P421" s="62"/>
      <c r="Q421" s="64"/>
      <c r="R421" s="164"/>
      <c r="S421" s="62"/>
      <c r="T421" s="62"/>
      <c r="U421" s="62"/>
      <c r="V421" s="177"/>
      <c r="W421" s="171"/>
      <c r="X421" s="62"/>
      <c r="Y421" s="45"/>
      <c r="Z421" s="45"/>
      <c r="AA421" s="100"/>
      <c r="AB421" s="100"/>
      <c r="AC421" s="100"/>
      <c r="AD421" s="100"/>
      <c r="AE421" s="100"/>
      <c r="AF421" s="100"/>
      <c r="AG421" s="18">
        <v>20</v>
      </c>
      <c r="AH421" s="69" t="s">
        <v>303</v>
      </c>
      <c r="AI421" s="243" t="s">
        <v>23</v>
      </c>
      <c r="AJ421" s="243" t="s">
        <v>419</v>
      </c>
      <c r="AK421" s="246"/>
      <c r="AL421" s="43" t="str">
        <f t="shared" si="116"/>
        <v>-</v>
      </c>
      <c r="AM421" s="43">
        <f t="shared" si="104"/>
        <v>0</v>
      </c>
      <c r="AN421" s="193">
        <f t="shared" si="104"/>
        <v>0</v>
      </c>
      <c r="AO421" s="270" t="str">
        <f t="shared" si="105"/>
        <v>-</v>
      </c>
      <c r="AP421" s="266"/>
      <c r="AQ421" s="26" t="str">
        <f t="shared" si="112"/>
        <v>TUGWELL CREEKChinook</v>
      </c>
      <c r="AR421" s="26">
        <f t="shared" si="106"/>
        <v>0</v>
      </c>
      <c r="AS421" s="33">
        <f t="shared" si="107"/>
        <v>0</v>
      </c>
      <c r="AX421" s="47" t="str">
        <f t="shared" si="108"/>
        <v>TUGWELL CREEKChinook</v>
      </c>
      <c r="AY421" s="49">
        <f t="shared" si="109"/>
        <v>0</v>
      </c>
      <c r="AZ421" s="49">
        <f t="shared" si="110"/>
        <v>0</v>
      </c>
      <c r="BA421" s="31">
        <v>0</v>
      </c>
      <c r="BB421" s="188">
        <f t="shared" si="113"/>
        <v>0</v>
      </c>
      <c r="BC421" s="188" t="str">
        <f t="shared" si="117"/>
        <v xml:space="preserve"> </v>
      </c>
      <c r="BD421" s="188" t="str">
        <f t="shared" si="118"/>
        <v xml:space="preserve"> </v>
      </c>
      <c r="BE421" s="188" t="str">
        <f t="shared" si="119"/>
        <v xml:space="preserve"> </v>
      </c>
      <c r="BF421" s="50" t="str">
        <f t="shared" si="111"/>
        <v>TUGWELL CREEK_Chinook</v>
      </c>
      <c r="BG421" s="50" t="str">
        <f>IFERROR(VLOOKUP(BF421,'[1]WCVI Esc'!$C$5:$W$514,18,FALSE),"-")</f>
        <v>-</v>
      </c>
      <c r="BH421" s="50" t="str">
        <f t="shared" si="114"/>
        <v>-</v>
      </c>
      <c r="BI421" s="50" t="str">
        <f>IFERROR(VLOOKUP(BF421,'[1]WCVI Esc'!$C$5:$W$514,19,FALSE),"-")</f>
        <v>-</v>
      </c>
      <c r="BJ421" s="50" t="str">
        <f t="shared" si="115"/>
        <v>-</v>
      </c>
    </row>
    <row r="422" spans="1:62" hidden="1" x14ac:dyDescent="0.2">
      <c r="A422" s="28">
        <v>4</v>
      </c>
      <c r="B422" s="28">
        <v>6</v>
      </c>
      <c r="C422" s="11">
        <v>20</v>
      </c>
      <c r="D422" s="13" t="s">
        <v>303</v>
      </c>
      <c r="E422" s="10" t="s">
        <v>23</v>
      </c>
      <c r="F422" s="10" t="s">
        <v>211</v>
      </c>
      <c r="G422" s="10"/>
      <c r="H422" s="152"/>
      <c r="I422" s="164"/>
      <c r="J422" s="62"/>
      <c r="K422" s="62"/>
      <c r="L422" s="177"/>
      <c r="M422" s="171"/>
      <c r="N422" s="62"/>
      <c r="O422" s="62"/>
      <c r="P422" s="62"/>
      <c r="Q422" s="64"/>
      <c r="R422" s="164"/>
      <c r="S422" s="62"/>
      <c r="T422" s="62"/>
      <c r="U422" s="62"/>
      <c r="V422" s="177"/>
      <c r="W422" s="171"/>
      <c r="X422" s="62"/>
      <c r="Y422" s="45"/>
      <c r="Z422" s="45"/>
      <c r="AA422" s="100"/>
      <c r="AB422" s="100"/>
      <c r="AC422" s="100"/>
      <c r="AD422" s="100"/>
      <c r="AE422" s="100"/>
      <c r="AF422" s="100"/>
      <c r="AG422" s="18">
        <v>20</v>
      </c>
      <c r="AH422" s="69" t="s">
        <v>303</v>
      </c>
      <c r="AI422" s="243" t="s">
        <v>23</v>
      </c>
      <c r="AJ422" s="243" t="s">
        <v>419</v>
      </c>
      <c r="AK422" s="246"/>
      <c r="AL422" s="43" t="str">
        <f t="shared" si="116"/>
        <v>-</v>
      </c>
      <c r="AM422" s="43">
        <f t="shared" si="104"/>
        <v>0</v>
      </c>
      <c r="AN422" s="193">
        <f t="shared" si="104"/>
        <v>0</v>
      </c>
      <c r="AO422" s="270" t="str">
        <f t="shared" si="105"/>
        <v>-</v>
      </c>
      <c r="AP422" s="266"/>
      <c r="AQ422" s="26" t="str">
        <f t="shared" si="112"/>
        <v>TUGWELL CREEKSteelhead</v>
      </c>
      <c r="AR422" s="26">
        <f t="shared" si="106"/>
        <v>0</v>
      </c>
      <c r="AS422" s="33">
        <f t="shared" si="107"/>
        <v>0</v>
      </c>
      <c r="AX422" s="47" t="str">
        <f t="shared" si="108"/>
        <v>TUGWELL CREEKSteelhead</v>
      </c>
      <c r="AY422" s="49">
        <f t="shared" si="109"/>
        <v>0</v>
      </c>
      <c r="AZ422" s="49">
        <f t="shared" si="110"/>
        <v>0</v>
      </c>
      <c r="BA422" s="31">
        <v>0</v>
      </c>
      <c r="BB422" s="188">
        <f t="shared" si="113"/>
        <v>0</v>
      </c>
      <c r="BC422" s="188" t="str">
        <f t="shared" si="117"/>
        <v xml:space="preserve"> </v>
      </c>
      <c r="BD422" s="188" t="str">
        <f t="shared" si="118"/>
        <v xml:space="preserve"> </v>
      </c>
      <c r="BE422" s="188" t="str">
        <f t="shared" si="119"/>
        <v xml:space="preserve"> </v>
      </c>
      <c r="BF422" s="50" t="str">
        <f t="shared" si="111"/>
        <v>TUGWELL CREEK_Steelhead</v>
      </c>
      <c r="BG422" s="50" t="str">
        <f>IFERROR(VLOOKUP(BF422,'[1]WCVI Esc'!$C$5:$W$514,18,FALSE),"-")</f>
        <v>-</v>
      </c>
      <c r="BH422" s="50" t="str">
        <f t="shared" si="114"/>
        <v>-</v>
      </c>
      <c r="BI422" s="50" t="str">
        <f>IFERROR(VLOOKUP(BF422,'[1]WCVI Esc'!$C$5:$W$514,19,FALSE),"-")</f>
        <v>-</v>
      </c>
      <c r="BJ422" s="50" t="str">
        <f t="shared" si="115"/>
        <v>-</v>
      </c>
    </row>
    <row r="423" spans="1:62" hidden="1" x14ac:dyDescent="0.2">
      <c r="A423" s="28">
        <v>4</v>
      </c>
      <c r="B423" s="29">
        <v>1</v>
      </c>
      <c r="C423" s="13">
        <v>21</v>
      </c>
      <c r="D423" s="13" t="s">
        <v>304</v>
      </c>
      <c r="E423" s="10" t="s">
        <v>76</v>
      </c>
      <c r="F423" s="10" t="s">
        <v>207</v>
      </c>
      <c r="G423" s="10"/>
      <c r="H423" s="152"/>
      <c r="I423" s="164"/>
      <c r="J423" s="62"/>
      <c r="K423" s="62"/>
      <c r="L423" s="177"/>
      <c r="M423" s="171"/>
      <c r="N423" s="62"/>
      <c r="O423" s="62"/>
      <c r="P423" s="62"/>
      <c r="Q423" s="64"/>
      <c r="R423" s="164"/>
      <c r="S423" s="62"/>
      <c r="T423" s="62"/>
      <c r="U423" s="62"/>
      <c r="V423" s="177"/>
      <c r="W423" s="171"/>
      <c r="X423" s="62"/>
      <c r="Y423" s="45"/>
      <c r="Z423" s="45"/>
      <c r="AA423" s="100"/>
      <c r="AB423" s="100"/>
      <c r="AC423" s="100"/>
      <c r="AD423" s="100"/>
      <c r="AE423" s="100"/>
      <c r="AF423" s="100"/>
      <c r="AG423" s="69">
        <v>21</v>
      </c>
      <c r="AH423" s="69" t="s">
        <v>304</v>
      </c>
      <c r="AI423" s="243" t="s">
        <v>76</v>
      </c>
      <c r="AJ423" s="243" t="s">
        <v>419</v>
      </c>
      <c r="AK423" s="246"/>
      <c r="AL423" s="43" t="str">
        <f t="shared" si="116"/>
        <v>-</v>
      </c>
      <c r="AM423" s="43">
        <f t="shared" si="104"/>
        <v>0</v>
      </c>
      <c r="AN423" s="193">
        <f t="shared" si="104"/>
        <v>0</v>
      </c>
      <c r="AO423" s="270" t="str">
        <f t="shared" si="105"/>
        <v>-</v>
      </c>
      <c r="AP423" s="266"/>
      <c r="AQ423" s="26" t="str">
        <f t="shared" si="112"/>
        <v>BLUE CREEKSockeye</v>
      </c>
      <c r="AR423" s="26">
        <f t="shared" si="106"/>
        <v>0</v>
      </c>
      <c r="AS423" s="33">
        <f t="shared" si="107"/>
        <v>0</v>
      </c>
      <c r="AX423" s="47" t="str">
        <f t="shared" si="108"/>
        <v>BLUE CREEKSockeye</v>
      </c>
      <c r="AY423" s="49">
        <f t="shared" si="109"/>
        <v>0</v>
      </c>
      <c r="AZ423" s="49">
        <f t="shared" si="110"/>
        <v>0</v>
      </c>
      <c r="BA423" s="31">
        <v>0</v>
      </c>
      <c r="BB423" s="188">
        <f t="shared" si="113"/>
        <v>0</v>
      </c>
      <c r="BC423" s="188" t="str">
        <f t="shared" si="117"/>
        <v xml:space="preserve"> </v>
      </c>
      <c r="BD423" s="188" t="str">
        <f t="shared" si="118"/>
        <v xml:space="preserve"> </v>
      </c>
      <c r="BE423" s="188" t="str">
        <f t="shared" si="119"/>
        <v xml:space="preserve"> </v>
      </c>
      <c r="BF423" s="50" t="str">
        <f t="shared" si="111"/>
        <v>BLUE CREEK_Sockeye</v>
      </c>
      <c r="BG423" s="50" t="str">
        <f>IFERROR(VLOOKUP(BF423,'[1]WCVI Esc'!$C$5:$W$514,18,FALSE),"-")</f>
        <v>-</v>
      </c>
      <c r="BH423" s="50" t="str">
        <f t="shared" si="114"/>
        <v>-</v>
      </c>
      <c r="BI423" s="50" t="str">
        <f>IFERROR(VLOOKUP(BF423,'[1]WCVI Esc'!$C$5:$W$514,19,FALSE),"-")</f>
        <v>-</v>
      </c>
      <c r="BJ423" s="50" t="str">
        <f t="shared" si="115"/>
        <v>-</v>
      </c>
    </row>
    <row r="424" spans="1:62" hidden="1" x14ac:dyDescent="0.2">
      <c r="A424" s="28">
        <v>4</v>
      </c>
      <c r="B424" s="29">
        <v>2</v>
      </c>
      <c r="C424" s="13">
        <v>21</v>
      </c>
      <c r="D424" s="13" t="s">
        <v>304</v>
      </c>
      <c r="E424" s="10" t="s">
        <v>76</v>
      </c>
      <c r="F424" s="10" t="s">
        <v>219</v>
      </c>
      <c r="G424" s="10"/>
      <c r="H424" s="152"/>
      <c r="I424" s="164"/>
      <c r="J424" s="62"/>
      <c r="K424" s="62"/>
      <c r="L424" s="177"/>
      <c r="M424" s="171"/>
      <c r="N424" s="62"/>
      <c r="O424" s="62"/>
      <c r="P424" s="62"/>
      <c r="Q424" s="64"/>
      <c r="R424" s="164"/>
      <c r="S424" s="62"/>
      <c r="T424" s="62"/>
      <c r="U424" s="62"/>
      <c r="V424" s="177"/>
      <c r="W424" s="171"/>
      <c r="X424" s="62"/>
      <c r="Y424" s="45"/>
      <c r="Z424" s="45"/>
      <c r="AA424" s="100"/>
      <c r="AB424" s="100"/>
      <c r="AC424" s="100"/>
      <c r="AD424" s="100"/>
      <c r="AE424" s="100"/>
      <c r="AF424" s="100"/>
      <c r="AG424" s="69">
        <v>21</v>
      </c>
      <c r="AH424" s="69" t="s">
        <v>304</v>
      </c>
      <c r="AI424" s="243" t="s">
        <v>76</v>
      </c>
      <c r="AJ424" s="243" t="s">
        <v>419</v>
      </c>
      <c r="AK424" s="246"/>
      <c r="AL424" s="43" t="str">
        <f t="shared" si="116"/>
        <v>-</v>
      </c>
      <c r="AM424" s="43">
        <f t="shared" si="104"/>
        <v>0</v>
      </c>
      <c r="AN424" s="193">
        <f t="shared" si="104"/>
        <v>0</v>
      </c>
      <c r="AO424" s="270" t="str">
        <f t="shared" si="105"/>
        <v>-</v>
      </c>
      <c r="AP424" s="266"/>
      <c r="AQ424" s="26" t="str">
        <f t="shared" si="112"/>
        <v>BLUE CREEKCoho</v>
      </c>
      <c r="AR424" s="26">
        <f t="shared" si="106"/>
        <v>0</v>
      </c>
      <c r="AS424" s="33">
        <f t="shared" si="107"/>
        <v>0</v>
      </c>
      <c r="AX424" s="47" t="str">
        <f t="shared" si="108"/>
        <v>BLUE CREEKCoho</v>
      </c>
      <c r="AY424" s="49">
        <f t="shared" si="109"/>
        <v>0</v>
      </c>
      <c r="AZ424" s="49">
        <f t="shared" si="110"/>
        <v>0</v>
      </c>
      <c r="BA424" s="31">
        <v>0</v>
      </c>
      <c r="BB424" s="188">
        <f t="shared" si="113"/>
        <v>0</v>
      </c>
      <c r="BC424" s="188" t="str">
        <f t="shared" si="117"/>
        <v xml:space="preserve"> </v>
      </c>
      <c r="BD424" s="188" t="str">
        <f t="shared" si="118"/>
        <v xml:space="preserve"> </v>
      </c>
      <c r="BE424" s="188" t="str">
        <f t="shared" si="119"/>
        <v xml:space="preserve"> </v>
      </c>
      <c r="BF424" s="50" t="str">
        <f t="shared" si="111"/>
        <v>BLUE CREEK_Coho</v>
      </c>
      <c r="BG424" s="50" t="str">
        <f>IFERROR(VLOOKUP(BF424,'[1]WCVI Esc'!$C$5:$W$514,18,FALSE),"-")</f>
        <v>-</v>
      </c>
      <c r="BH424" s="50" t="str">
        <f t="shared" si="114"/>
        <v>-</v>
      </c>
      <c r="BI424" s="50" t="str">
        <f>IFERROR(VLOOKUP(BF424,'[1]WCVI Esc'!$C$5:$W$514,19,FALSE),"-")</f>
        <v>-</v>
      </c>
      <c r="BJ424" s="50" t="str">
        <f t="shared" si="115"/>
        <v>-</v>
      </c>
    </row>
    <row r="425" spans="1:62" hidden="1" x14ac:dyDescent="0.2">
      <c r="A425" s="28">
        <v>4</v>
      </c>
      <c r="B425" s="29">
        <v>3</v>
      </c>
      <c r="C425" s="13">
        <v>21</v>
      </c>
      <c r="D425" s="13" t="s">
        <v>304</v>
      </c>
      <c r="E425" s="10" t="s">
        <v>76</v>
      </c>
      <c r="F425" s="10" t="s">
        <v>208</v>
      </c>
      <c r="G425" s="10"/>
      <c r="H425" s="152"/>
      <c r="I425" s="164"/>
      <c r="J425" s="62"/>
      <c r="K425" s="62"/>
      <c r="L425" s="177"/>
      <c r="M425" s="171"/>
      <c r="N425" s="62"/>
      <c r="O425" s="62"/>
      <c r="P425" s="62"/>
      <c r="Q425" s="64"/>
      <c r="R425" s="164"/>
      <c r="S425" s="62"/>
      <c r="T425" s="62"/>
      <c r="U425" s="62"/>
      <c r="V425" s="177"/>
      <c r="W425" s="171"/>
      <c r="X425" s="62"/>
      <c r="Y425" s="45"/>
      <c r="Z425" s="45"/>
      <c r="AA425" s="100"/>
      <c r="AB425" s="100"/>
      <c r="AC425" s="100"/>
      <c r="AD425" s="100"/>
      <c r="AE425" s="100"/>
      <c r="AF425" s="100"/>
      <c r="AG425" s="69">
        <v>21</v>
      </c>
      <c r="AH425" s="69" t="s">
        <v>304</v>
      </c>
      <c r="AI425" s="243" t="s">
        <v>76</v>
      </c>
      <c r="AJ425" s="243" t="s">
        <v>419</v>
      </c>
      <c r="AK425" s="246"/>
      <c r="AL425" s="43" t="str">
        <f t="shared" si="116"/>
        <v>-</v>
      </c>
      <c r="AM425" s="43">
        <f t="shared" si="104"/>
        <v>0</v>
      </c>
      <c r="AN425" s="193">
        <f t="shared" si="104"/>
        <v>0</v>
      </c>
      <c r="AO425" s="270" t="str">
        <f t="shared" si="105"/>
        <v>-</v>
      </c>
      <c r="AP425" s="266"/>
      <c r="AQ425" s="26" t="str">
        <f t="shared" si="112"/>
        <v>BLUE CREEKPink</v>
      </c>
      <c r="AR425" s="26">
        <f t="shared" si="106"/>
        <v>0</v>
      </c>
      <c r="AS425" s="33">
        <f t="shared" si="107"/>
        <v>0</v>
      </c>
      <c r="AX425" s="47" t="str">
        <f t="shared" si="108"/>
        <v>BLUE CREEKPink</v>
      </c>
      <c r="AY425" s="49">
        <f t="shared" si="109"/>
        <v>0</v>
      </c>
      <c r="AZ425" s="49">
        <f t="shared" si="110"/>
        <v>0</v>
      </c>
      <c r="BA425" s="31">
        <v>0</v>
      </c>
      <c r="BB425" s="188">
        <f t="shared" si="113"/>
        <v>0</v>
      </c>
      <c r="BC425" s="188" t="str">
        <f t="shared" si="117"/>
        <v xml:space="preserve"> </v>
      </c>
      <c r="BD425" s="188" t="str">
        <f t="shared" si="118"/>
        <v xml:space="preserve"> </v>
      </c>
      <c r="BE425" s="188" t="str">
        <f t="shared" si="119"/>
        <v xml:space="preserve"> </v>
      </c>
      <c r="BF425" s="50" t="str">
        <f t="shared" si="111"/>
        <v>BLUE CREEK_Pink</v>
      </c>
      <c r="BG425" s="50" t="str">
        <f>IFERROR(VLOOKUP(BF425,'[1]WCVI Esc'!$C$5:$W$514,18,FALSE),"-")</f>
        <v>-</v>
      </c>
      <c r="BH425" s="50" t="str">
        <f t="shared" si="114"/>
        <v>-</v>
      </c>
      <c r="BI425" s="50" t="str">
        <f>IFERROR(VLOOKUP(BF425,'[1]WCVI Esc'!$C$5:$W$514,19,FALSE),"-")</f>
        <v>-</v>
      </c>
      <c r="BJ425" s="50" t="str">
        <f t="shared" si="115"/>
        <v>-</v>
      </c>
    </row>
    <row r="426" spans="1:62" hidden="1" x14ac:dyDescent="0.2">
      <c r="A426" s="28">
        <v>4</v>
      </c>
      <c r="B426" s="29">
        <v>4</v>
      </c>
      <c r="C426" s="13">
        <v>21</v>
      </c>
      <c r="D426" s="13" t="s">
        <v>304</v>
      </c>
      <c r="E426" s="10" t="s">
        <v>76</v>
      </c>
      <c r="F426" s="10" t="s">
        <v>209</v>
      </c>
      <c r="G426" s="10"/>
      <c r="H426" s="152"/>
      <c r="I426" s="164"/>
      <c r="J426" s="62"/>
      <c r="K426" s="62"/>
      <c r="L426" s="177"/>
      <c r="M426" s="171"/>
      <c r="N426" s="62"/>
      <c r="O426" s="62"/>
      <c r="P426" s="62"/>
      <c r="Q426" s="64"/>
      <c r="R426" s="164"/>
      <c r="S426" s="62"/>
      <c r="T426" s="62"/>
      <c r="U426" s="62"/>
      <c r="V426" s="177"/>
      <c r="W426" s="171"/>
      <c r="X426" s="62"/>
      <c r="Y426" s="45"/>
      <c r="Z426" s="45"/>
      <c r="AA426" s="100"/>
      <c r="AB426" s="100"/>
      <c r="AC426" s="100"/>
      <c r="AD426" s="100"/>
      <c r="AE426" s="100"/>
      <c r="AF426" s="100"/>
      <c r="AG426" s="69">
        <v>21</v>
      </c>
      <c r="AH426" s="69" t="s">
        <v>304</v>
      </c>
      <c r="AI426" s="243" t="s">
        <v>76</v>
      </c>
      <c r="AJ426" s="243" t="s">
        <v>419</v>
      </c>
      <c r="AK426" s="246"/>
      <c r="AL426" s="43" t="str">
        <f t="shared" si="116"/>
        <v>-</v>
      </c>
      <c r="AM426" s="43">
        <f t="shared" si="104"/>
        <v>0</v>
      </c>
      <c r="AN426" s="193">
        <f t="shared" si="104"/>
        <v>0</v>
      </c>
      <c r="AO426" s="270" t="str">
        <f t="shared" si="105"/>
        <v>-</v>
      </c>
      <c r="AP426" s="266"/>
      <c r="AQ426" s="26" t="str">
        <f t="shared" si="112"/>
        <v>BLUE CREEKChum</v>
      </c>
      <c r="AR426" s="26">
        <f t="shared" si="106"/>
        <v>0</v>
      </c>
      <c r="AS426" s="33">
        <f t="shared" si="107"/>
        <v>0</v>
      </c>
      <c r="AX426" s="47" t="str">
        <f t="shared" si="108"/>
        <v>BLUE CREEKChum</v>
      </c>
      <c r="AY426" s="49">
        <f t="shared" si="109"/>
        <v>0</v>
      </c>
      <c r="AZ426" s="49">
        <f t="shared" si="110"/>
        <v>0</v>
      </c>
      <c r="BA426" s="31">
        <v>0</v>
      </c>
      <c r="BB426" s="188">
        <f t="shared" si="113"/>
        <v>0</v>
      </c>
      <c r="BC426" s="188" t="str">
        <f t="shared" si="117"/>
        <v xml:space="preserve"> </v>
      </c>
      <c r="BD426" s="188" t="str">
        <f t="shared" si="118"/>
        <v xml:space="preserve"> </v>
      </c>
      <c r="BE426" s="188" t="str">
        <f t="shared" si="119"/>
        <v xml:space="preserve"> </v>
      </c>
      <c r="BF426" s="50" t="str">
        <f t="shared" si="111"/>
        <v>BLUE CREEK_Chum</v>
      </c>
      <c r="BG426" s="50" t="str">
        <f>IFERROR(VLOOKUP(BF426,'[1]WCVI Esc'!$C$5:$W$514,18,FALSE),"-")</f>
        <v>-</v>
      </c>
      <c r="BH426" s="50" t="str">
        <f t="shared" si="114"/>
        <v>-</v>
      </c>
      <c r="BI426" s="50" t="str">
        <f>IFERROR(VLOOKUP(BF426,'[1]WCVI Esc'!$C$5:$W$514,19,FALSE),"-")</f>
        <v>-</v>
      </c>
      <c r="BJ426" s="50" t="str">
        <f t="shared" si="115"/>
        <v>-</v>
      </c>
    </row>
    <row r="427" spans="1:62" hidden="1" x14ac:dyDescent="0.2">
      <c r="A427" s="28">
        <v>4</v>
      </c>
      <c r="B427" s="29">
        <v>5</v>
      </c>
      <c r="C427" s="13">
        <v>21</v>
      </c>
      <c r="D427" s="13" t="s">
        <v>304</v>
      </c>
      <c r="E427" s="10" t="s">
        <v>76</v>
      </c>
      <c r="F427" s="10" t="s">
        <v>210</v>
      </c>
      <c r="G427" s="10"/>
      <c r="H427" s="152"/>
      <c r="I427" s="164"/>
      <c r="J427" s="62"/>
      <c r="K427" s="62"/>
      <c r="L427" s="177"/>
      <c r="M427" s="171"/>
      <c r="N427" s="62"/>
      <c r="O427" s="62"/>
      <c r="P427" s="62"/>
      <c r="Q427" s="64"/>
      <c r="R427" s="164"/>
      <c r="S427" s="62"/>
      <c r="T427" s="62"/>
      <c r="U427" s="62"/>
      <c r="V427" s="177"/>
      <c r="W427" s="171"/>
      <c r="X427" s="62"/>
      <c r="Y427" s="45"/>
      <c r="Z427" s="45"/>
      <c r="AA427" s="100"/>
      <c r="AB427" s="100"/>
      <c r="AC427" s="100"/>
      <c r="AD427" s="100"/>
      <c r="AE427" s="100"/>
      <c r="AF427" s="100"/>
      <c r="AG427" s="69">
        <v>21</v>
      </c>
      <c r="AH427" s="69" t="s">
        <v>304</v>
      </c>
      <c r="AI427" s="243" t="s">
        <v>76</v>
      </c>
      <c r="AJ427" s="243" t="s">
        <v>419</v>
      </c>
      <c r="AK427" s="246"/>
      <c r="AL427" s="43" t="str">
        <f t="shared" si="116"/>
        <v>-</v>
      </c>
      <c r="AM427" s="43">
        <f t="shared" si="104"/>
        <v>0</v>
      </c>
      <c r="AN427" s="193">
        <f t="shared" si="104"/>
        <v>0</v>
      </c>
      <c r="AO427" s="270" t="str">
        <f t="shared" si="105"/>
        <v>-</v>
      </c>
      <c r="AP427" s="266"/>
      <c r="AQ427" s="26" t="str">
        <f t="shared" si="112"/>
        <v>BLUE CREEKChinook</v>
      </c>
      <c r="AR427" s="26">
        <f t="shared" si="106"/>
        <v>0</v>
      </c>
      <c r="AS427" s="33">
        <f t="shared" si="107"/>
        <v>0</v>
      </c>
      <c r="AX427" s="47" t="str">
        <f t="shared" si="108"/>
        <v>BLUE CREEKChinook</v>
      </c>
      <c r="AY427" s="49">
        <f t="shared" si="109"/>
        <v>0</v>
      </c>
      <c r="AZ427" s="49">
        <f t="shared" si="110"/>
        <v>0</v>
      </c>
      <c r="BA427" s="31">
        <v>0</v>
      </c>
      <c r="BB427" s="188">
        <f t="shared" si="113"/>
        <v>0</v>
      </c>
      <c r="BC427" s="188" t="str">
        <f t="shared" si="117"/>
        <v xml:space="preserve"> </v>
      </c>
      <c r="BD427" s="188" t="str">
        <f t="shared" si="118"/>
        <v xml:space="preserve"> </v>
      </c>
      <c r="BE427" s="188" t="str">
        <f t="shared" si="119"/>
        <v xml:space="preserve"> </v>
      </c>
      <c r="BF427" s="50" t="str">
        <f t="shared" si="111"/>
        <v>BLUE CREEK_Chinook</v>
      </c>
      <c r="BG427" s="50" t="str">
        <f>IFERROR(VLOOKUP(BF427,'[1]WCVI Esc'!$C$5:$W$514,18,FALSE),"-")</f>
        <v>-</v>
      </c>
      <c r="BH427" s="50" t="str">
        <f t="shared" si="114"/>
        <v>-</v>
      </c>
      <c r="BI427" s="50" t="str">
        <f>IFERROR(VLOOKUP(BF427,'[1]WCVI Esc'!$C$5:$W$514,19,FALSE),"-")</f>
        <v>-</v>
      </c>
      <c r="BJ427" s="50" t="str">
        <f t="shared" si="115"/>
        <v>-</v>
      </c>
    </row>
    <row r="428" spans="1:62" hidden="1" x14ac:dyDescent="0.2">
      <c r="A428" s="28">
        <v>4</v>
      </c>
      <c r="B428" s="29">
        <v>6</v>
      </c>
      <c r="C428" s="13">
        <v>21</v>
      </c>
      <c r="D428" s="13" t="s">
        <v>304</v>
      </c>
      <c r="E428" s="10" t="s">
        <v>76</v>
      </c>
      <c r="F428" s="10" t="s">
        <v>211</v>
      </c>
      <c r="G428" s="10"/>
      <c r="H428" s="152"/>
      <c r="I428" s="164"/>
      <c r="J428" s="62"/>
      <c r="K428" s="62"/>
      <c r="L428" s="177"/>
      <c r="M428" s="171"/>
      <c r="N428" s="62"/>
      <c r="O428" s="62"/>
      <c r="P428" s="62"/>
      <c r="Q428" s="64"/>
      <c r="R428" s="164"/>
      <c r="S428" s="62"/>
      <c r="T428" s="62"/>
      <c r="U428" s="62"/>
      <c r="V428" s="177"/>
      <c r="W428" s="171"/>
      <c r="X428" s="62"/>
      <c r="Y428" s="45"/>
      <c r="Z428" s="45"/>
      <c r="AA428" s="100"/>
      <c r="AB428" s="100"/>
      <c r="AC428" s="100"/>
      <c r="AD428" s="100"/>
      <c r="AE428" s="100"/>
      <c r="AF428" s="100"/>
      <c r="AG428" s="69">
        <v>21</v>
      </c>
      <c r="AH428" s="69" t="s">
        <v>304</v>
      </c>
      <c r="AI428" s="243" t="s">
        <v>76</v>
      </c>
      <c r="AJ428" s="243" t="s">
        <v>419</v>
      </c>
      <c r="AK428" s="246"/>
      <c r="AL428" s="43" t="str">
        <f t="shared" si="116"/>
        <v>-</v>
      </c>
      <c r="AM428" s="43">
        <f t="shared" si="104"/>
        <v>0</v>
      </c>
      <c r="AN428" s="193">
        <f t="shared" si="104"/>
        <v>0</v>
      </c>
      <c r="AO428" s="270" t="str">
        <f t="shared" si="105"/>
        <v>-</v>
      </c>
      <c r="AP428" s="266"/>
      <c r="AQ428" s="26" t="str">
        <f t="shared" si="112"/>
        <v>BLUE CREEKSteelhead</v>
      </c>
      <c r="AR428" s="26">
        <f t="shared" si="106"/>
        <v>0</v>
      </c>
      <c r="AS428" s="33">
        <f t="shared" si="107"/>
        <v>0</v>
      </c>
      <c r="AX428" s="47" t="str">
        <f t="shared" si="108"/>
        <v>BLUE CREEKSteelhead</v>
      </c>
      <c r="AY428" s="49">
        <f t="shared" si="109"/>
        <v>0</v>
      </c>
      <c r="AZ428" s="49">
        <f t="shared" si="110"/>
        <v>0</v>
      </c>
      <c r="BA428" s="31">
        <v>0</v>
      </c>
      <c r="BB428" s="188">
        <f t="shared" si="113"/>
        <v>0</v>
      </c>
      <c r="BC428" s="188" t="str">
        <f t="shared" si="117"/>
        <v xml:space="preserve"> </v>
      </c>
      <c r="BD428" s="188" t="str">
        <f t="shared" si="118"/>
        <v xml:space="preserve"> </v>
      </c>
      <c r="BE428" s="188" t="str">
        <f t="shared" si="119"/>
        <v xml:space="preserve"> </v>
      </c>
      <c r="BF428" s="50" t="str">
        <f t="shared" si="111"/>
        <v>BLUE CREEK_Steelhead</v>
      </c>
      <c r="BG428" s="50" t="str">
        <f>IFERROR(VLOOKUP(BF428,'[1]WCVI Esc'!$C$5:$W$514,18,FALSE),"-")</f>
        <v>-</v>
      </c>
      <c r="BH428" s="50" t="str">
        <f t="shared" si="114"/>
        <v>-</v>
      </c>
      <c r="BI428" s="50" t="str">
        <f>IFERROR(VLOOKUP(BF428,'[1]WCVI Esc'!$C$5:$W$514,19,FALSE),"-")</f>
        <v>-</v>
      </c>
      <c r="BJ428" s="50" t="str">
        <f t="shared" si="115"/>
        <v>-</v>
      </c>
    </row>
    <row r="429" spans="1:62" hidden="1" x14ac:dyDescent="0.2">
      <c r="A429" s="28">
        <v>4</v>
      </c>
      <c r="B429" s="29">
        <v>1</v>
      </c>
      <c r="C429" s="13">
        <v>21</v>
      </c>
      <c r="D429" s="13" t="s">
        <v>304</v>
      </c>
      <c r="E429" s="10" t="s">
        <v>166</v>
      </c>
      <c r="F429" s="10" t="s">
        <v>207</v>
      </c>
      <c r="G429" s="10"/>
      <c r="H429" s="152"/>
      <c r="I429" s="164"/>
      <c r="J429" s="62"/>
      <c r="K429" s="62"/>
      <c r="L429" s="177"/>
      <c r="M429" s="171"/>
      <c r="N429" s="62"/>
      <c r="O429" s="62"/>
      <c r="P429" s="62"/>
      <c r="Q429" s="64"/>
      <c r="R429" s="164"/>
      <c r="S429" s="62"/>
      <c r="T429" s="62"/>
      <c r="U429" s="62"/>
      <c r="V429" s="177"/>
      <c r="W429" s="171"/>
      <c r="X429" s="62"/>
      <c r="Y429" s="45"/>
      <c r="Z429" s="45"/>
      <c r="AA429" s="100"/>
      <c r="AB429" s="100"/>
      <c r="AC429" s="100"/>
      <c r="AD429" s="100"/>
      <c r="AE429" s="100"/>
      <c r="AF429" s="100"/>
      <c r="AG429" s="69">
        <v>21</v>
      </c>
      <c r="AH429" s="69" t="s">
        <v>304</v>
      </c>
      <c r="AI429" s="243" t="s">
        <v>166</v>
      </c>
      <c r="AJ429" s="243" t="s">
        <v>419</v>
      </c>
      <c r="AK429" s="246"/>
      <c r="AL429" s="43" t="str">
        <f t="shared" si="116"/>
        <v>-</v>
      </c>
      <c r="AM429" s="43">
        <f t="shared" si="104"/>
        <v>0</v>
      </c>
      <c r="AN429" s="193">
        <f t="shared" si="104"/>
        <v>0</v>
      </c>
      <c r="AO429" s="270" t="str">
        <f t="shared" si="105"/>
        <v>-</v>
      </c>
      <c r="AP429" s="266"/>
      <c r="AQ429" s="26" t="str">
        <f t="shared" si="112"/>
        <v>CARMANAH CREEKSockeye</v>
      </c>
      <c r="AR429" s="26">
        <f t="shared" si="106"/>
        <v>0</v>
      </c>
      <c r="AS429" s="33">
        <f t="shared" si="107"/>
        <v>0</v>
      </c>
      <c r="AX429" s="47" t="str">
        <f t="shared" si="108"/>
        <v>CARMANAH CREEKSockeye</v>
      </c>
      <c r="AY429" s="49">
        <f t="shared" si="109"/>
        <v>0</v>
      </c>
      <c r="AZ429" s="49">
        <f t="shared" si="110"/>
        <v>0</v>
      </c>
      <c r="BA429" s="31">
        <v>1993</v>
      </c>
      <c r="BB429" s="188">
        <f t="shared" si="113"/>
        <v>0</v>
      </c>
      <c r="BC429" s="188" t="str">
        <f t="shared" si="117"/>
        <v xml:space="preserve"> </v>
      </c>
      <c r="BD429" s="188" t="str">
        <f t="shared" si="118"/>
        <v xml:space="preserve"> </v>
      </c>
      <c r="BE429" s="188" t="str">
        <f t="shared" si="119"/>
        <v xml:space="preserve"> </v>
      </c>
      <c r="BF429" s="50" t="str">
        <f t="shared" si="111"/>
        <v>CARMANAH CREEK_Sockeye</v>
      </c>
      <c r="BG429" s="50" t="str">
        <f>IFERROR(VLOOKUP(BF429,'[1]WCVI Esc'!$C$5:$W$514,18,FALSE),"-")</f>
        <v>-</v>
      </c>
      <c r="BH429" s="50" t="str">
        <f t="shared" si="114"/>
        <v>-</v>
      </c>
      <c r="BI429" s="50" t="str">
        <f>IFERROR(VLOOKUP(BF429,'[1]WCVI Esc'!$C$5:$W$514,19,FALSE),"-")</f>
        <v>-</v>
      </c>
      <c r="BJ429" s="50" t="str">
        <f t="shared" si="115"/>
        <v>-</v>
      </c>
    </row>
    <row r="430" spans="1:62" hidden="1" x14ac:dyDescent="0.2">
      <c r="A430" s="28">
        <v>4</v>
      </c>
      <c r="B430" s="29">
        <v>2</v>
      </c>
      <c r="C430" s="13">
        <v>21</v>
      </c>
      <c r="D430" s="13" t="s">
        <v>304</v>
      </c>
      <c r="E430" s="10" t="s">
        <v>166</v>
      </c>
      <c r="F430" s="10" t="s">
        <v>219</v>
      </c>
      <c r="G430" s="10"/>
      <c r="H430" s="152"/>
      <c r="I430" s="164"/>
      <c r="J430" s="62"/>
      <c r="K430" s="62"/>
      <c r="L430" s="177"/>
      <c r="M430" s="171"/>
      <c r="N430" s="62"/>
      <c r="O430" s="62"/>
      <c r="P430" s="62"/>
      <c r="Q430" s="64"/>
      <c r="R430" s="164"/>
      <c r="S430" s="62"/>
      <c r="T430" s="62"/>
      <c r="U430" s="62"/>
      <c r="V430" s="177"/>
      <c r="W430" s="171"/>
      <c r="X430" s="62"/>
      <c r="Y430" s="45"/>
      <c r="Z430" s="45"/>
      <c r="AA430" s="100"/>
      <c r="AB430" s="100"/>
      <c r="AC430" s="100"/>
      <c r="AD430" s="100"/>
      <c r="AE430" s="100"/>
      <c r="AF430" s="100"/>
      <c r="AG430" s="69">
        <v>21</v>
      </c>
      <c r="AH430" s="69" t="s">
        <v>304</v>
      </c>
      <c r="AI430" s="243" t="s">
        <v>166</v>
      </c>
      <c r="AJ430" s="243" t="s">
        <v>419</v>
      </c>
      <c r="AK430" s="246"/>
      <c r="AL430" s="43" t="str">
        <f t="shared" si="116"/>
        <v>-</v>
      </c>
      <c r="AM430" s="43">
        <f t="shared" si="104"/>
        <v>0</v>
      </c>
      <c r="AN430" s="193">
        <f t="shared" si="104"/>
        <v>0</v>
      </c>
      <c r="AO430" s="270" t="str">
        <f t="shared" si="105"/>
        <v>-</v>
      </c>
      <c r="AP430" s="266"/>
      <c r="AQ430" s="26" t="str">
        <f t="shared" si="112"/>
        <v>CARMANAH CREEKCoho</v>
      </c>
      <c r="AR430" s="26">
        <f t="shared" si="106"/>
        <v>0</v>
      </c>
      <c r="AS430" s="33">
        <f t="shared" si="107"/>
        <v>0</v>
      </c>
      <c r="AX430" s="47" t="str">
        <f t="shared" si="108"/>
        <v>CARMANAH CREEKCoho</v>
      </c>
      <c r="AY430" s="49">
        <f t="shared" si="109"/>
        <v>0</v>
      </c>
      <c r="AZ430" s="49">
        <f t="shared" si="110"/>
        <v>0</v>
      </c>
      <c r="BA430" s="31">
        <v>1993</v>
      </c>
      <c r="BB430" s="188">
        <f t="shared" si="113"/>
        <v>0</v>
      </c>
      <c r="BC430" s="188" t="str">
        <f t="shared" si="117"/>
        <v xml:space="preserve"> </v>
      </c>
      <c r="BD430" s="188" t="str">
        <f t="shared" si="118"/>
        <v xml:space="preserve"> </v>
      </c>
      <c r="BE430" s="188" t="str">
        <f t="shared" si="119"/>
        <v xml:space="preserve"> </v>
      </c>
      <c r="BF430" s="50" t="str">
        <f t="shared" si="111"/>
        <v>CARMANAH CREEK_Coho</v>
      </c>
      <c r="BG430" s="50" t="str">
        <f>IFERROR(VLOOKUP(BF430,'[1]WCVI Esc'!$C$5:$W$514,18,FALSE),"-")</f>
        <v>-</v>
      </c>
      <c r="BH430" s="50" t="str">
        <f t="shared" si="114"/>
        <v>-</v>
      </c>
      <c r="BI430" s="50" t="str">
        <f>IFERROR(VLOOKUP(BF430,'[1]WCVI Esc'!$C$5:$W$514,19,FALSE),"-")</f>
        <v>-</v>
      </c>
      <c r="BJ430" s="50" t="str">
        <f t="shared" si="115"/>
        <v>-</v>
      </c>
    </row>
    <row r="431" spans="1:62" hidden="1" x14ac:dyDescent="0.2">
      <c r="A431" s="28">
        <v>4</v>
      </c>
      <c r="B431" s="29">
        <v>3</v>
      </c>
      <c r="C431" s="13">
        <v>21</v>
      </c>
      <c r="D431" s="13" t="s">
        <v>304</v>
      </c>
      <c r="E431" s="10" t="s">
        <v>166</v>
      </c>
      <c r="F431" s="10" t="s">
        <v>208</v>
      </c>
      <c r="G431" s="10"/>
      <c r="H431" s="152"/>
      <c r="I431" s="164"/>
      <c r="J431" s="62"/>
      <c r="K431" s="62"/>
      <c r="L431" s="177"/>
      <c r="M431" s="171"/>
      <c r="N431" s="62"/>
      <c r="O431" s="62"/>
      <c r="P431" s="62"/>
      <c r="Q431" s="64"/>
      <c r="R431" s="164"/>
      <c r="S431" s="62"/>
      <c r="T431" s="62"/>
      <c r="U431" s="62"/>
      <c r="V431" s="177"/>
      <c r="W431" s="171"/>
      <c r="X431" s="62"/>
      <c r="Y431" s="45"/>
      <c r="Z431" s="45"/>
      <c r="AA431" s="100"/>
      <c r="AB431" s="100"/>
      <c r="AC431" s="100"/>
      <c r="AD431" s="100"/>
      <c r="AE431" s="100"/>
      <c r="AF431" s="100"/>
      <c r="AG431" s="69">
        <v>21</v>
      </c>
      <c r="AH431" s="69" t="s">
        <v>304</v>
      </c>
      <c r="AI431" s="243" t="s">
        <v>166</v>
      </c>
      <c r="AJ431" s="243" t="s">
        <v>419</v>
      </c>
      <c r="AK431" s="246"/>
      <c r="AL431" s="43" t="str">
        <f t="shared" si="116"/>
        <v>-</v>
      </c>
      <c r="AM431" s="43">
        <f t="shared" si="104"/>
        <v>0</v>
      </c>
      <c r="AN431" s="193">
        <f t="shared" si="104"/>
        <v>0</v>
      </c>
      <c r="AO431" s="270" t="str">
        <f t="shared" si="105"/>
        <v>-</v>
      </c>
      <c r="AP431" s="266"/>
      <c r="AQ431" s="26" t="str">
        <f t="shared" si="112"/>
        <v>CARMANAH CREEKPink</v>
      </c>
      <c r="AR431" s="26">
        <f t="shared" si="106"/>
        <v>0</v>
      </c>
      <c r="AS431" s="33">
        <f t="shared" si="107"/>
        <v>0</v>
      </c>
      <c r="AX431" s="47" t="str">
        <f t="shared" si="108"/>
        <v>CARMANAH CREEKPink</v>
      </c>
      <c r="AY431" s="49">
        <f t="shared" si="109"/>
        <v>0</v>
      </c>
      <c r="AZ431" s="49">
        <f t="shared" si="110"/>
        <v>0</v>
      </c>
      <c r="BA431" s="31">
        <v>0</v>
      </c>
      <c r="BB431" s="188">
        <f t="shared" si="113"/>
        <v>0</v>
      </c>
      <c r="BC431" s="188" t="str">
        <f t="shared" si="117"/>
        <v xml:space="preserve"> </v>
      </c>
      <c r="BD431" s="188" t="str">
        <f t="shared" si="118"/>
        <v xml:space="preserve"> </v>
      </c>
      <c r="BE431" s="188" t="str">
        <f t="shared" si="119"/>
        <v xml:space="preserve"> </v>
      </c>
      <c r="BF431" s="50" t="str">
        <f t="shared" si="111"/>
        <v>CARMANAH CREEK_Pink</v>
      </c>
      <c r="BG431" s="50" t="str">
        <f>IFERROR(VLOOKUP(BF431,'[1]WCVI Esc'!$C$5:$W$514,18,FALSE),"-")</f>
        <v>-</v>
      </c>
      <c r="BH431" s="50" t="str">
        <f t="shared" si="114"/>
        <v>-</v>
      </c>
      <c r="BI431" s="50" t="str">
        <f>IFERROR(VLOOKUP(BF431,'[1]WCVI Esc'!$C$5:$W$514,19,FALSE),"-")</f>
        <v>-</v>
      </c>
      <c r="BJ431" s="50" t="str">
        <f t="shared" si="115"/>
        <v>-</v>
      </c>
    </row>
    <row r="432" spans="1:62" hidden="1" x14ac:dyDescent="0.2">
      <c r="A432" s="28">
        <v>4</v>
      </c>
      <c r="B432" s="29">
        <v>4</v>
      </c>
      <c r="C432" s="13">
        <v>21</v>
      </c>
      <c r="D432" s="13" t="s">
        <v>304</v>
      </c>
      <c r="E432" s="10" t="s">
        <v>166</v>
      </c>
      <c r="F432" s="10" t="s">
        <v>209</v>
      </c>
      <c r="G432" s="10"/>
      <c r="H432" s="152"/>
      <c r="I432" s="164"/>
      <c r="J432" s="62"/>
      <c r="K432" s="62"/>
      <c r="L432" s="177"/>
      <c r="M432" s="171"/>
      <c r="N432" s="62"/>
      <c r="O432" s="62"/>
      <c r="P432" s="62"/>
      <c r="Q432" s="64"/>
      <c r="R432" s="164"/>
      <c r="S432" s="62"/>
      <c r="T432" s="62"/>
      <c r="U432" s="62"/>
      <c r="V432" s="177"/>
      <c r="W432" s="171"/>
      <c r="X432" s="62"/>
      <c r="Y432" s="45"/>
      <c r="Z432" s="45"/>
      <c r="AA432" s="100"/>
      <c r="AB432" s="100"/>
      <c r="AC432" s="100"/>
      <c r="AD432" s="100"/>
      <c r="AE432" s="100"/>
      <c r="AF432" s="100"/>
      <c r="AG432" s="69">
        <v>21</v>
      </c>
      <c r="AH432" s="69" t="s">
        <v>304</v>
      </c>
      <c r="AI432" s="243" t="s">
        <v>166</v>
      </c>
      <c r="AJ432" s="243" t="s">
        <v>419</v>
      </c>
      <c r="AK432" s="246"/>
      <c r="AL432" s="43" t="str">
        <f t="shared" si="116"/>
        <v>-</v>
      </c>
      <c r="AM432" s="43">
        <f t="shared" si="104"/>
        <v>0</v>
      </c>
      <c r="AN432" s="193">
        <f t="shared" si="104"/>
        <v>0</v>
      </c>
      <c r="AO432" s="270" t="str">
        <f t="shared" si="105"/>
        <v>-</v>
      </c>
      <c r="AP432" s="266"/>
      <c r="AQ432" s="26" t="str">
        <f t="shared" si="112"/>
        <v>CARMANAH CREEKChum</v>
      </c>
      <c r="AR432" s="26">
        <f t="shared" si="106"/>
        <v>0</v>
      </c>
      <c r="AS432" s="33">
        <f t="shared" si="107"/>
        <v>0</v>
      </c>
      <c r="AX432" s="47" t="str">
        <f t="shared" si="108"/>
        <v>CARMANAH CREEKChum</v>
      </c>
      <c r="AY432" s="49">
        <f t="shared" si="109"/>
        <v>0</v>
      </c>
      <c r="AZ432" s="49">
        <f t="shared" si="110"/>
        <v>0</v>
      </c>
      <c r="BA432" s="31">
        <v>1993</v>
      </c>
      <c r="BB432" s="188">
        <f t="shared" si="113"/>
        <v>0</v>
      </c>
      <c r="BC432" s="188" t="str">
        <f t="shared" si="117"/>
        <v xml:space="preserve"> </v>
      </c>
      <c r="BD432" s="188" t="str">
        <f t="shared" si="118"/>
        <v xml:space="preserve"> </v>
      </c>
      <c r="BE432" s="188" t="str">
        <f t="shared" si="119"/>
        <v xml:space="preserve"> </v>
      </c>
      <c r="BF432" s="50" t="str">
        <f t="shared" si="111"/>
        <v>CARMANAH CREEK_Chum</v>
      </c>
      <c r="BG432" s="50" t="str">
        <f>IFERROR(VLOOKUP(BF432,'[1]WCVI Esc'!$C$5:$W$514,18,FALSE),"-")</f>
        <v>-</v>
      </c>
      <c r="BH432" s="50" t="str">
        <f t="shared" si="114"/>
        <v>-</v>
      </c>
      <c r="BI432" s="50" t="str">
        <f>IFERROR(VLOOKUP(BF432,'[1]WCVI Esc'!$C$5:$W$514,19,FALSE),"-")</f>
        <v>-</v>
      </c>
      <c r="BJ432" s="50" t="str">
        <f t="shared" si="115"/>
        <v>-</v>
      </c>
    </row>
    <row r="433" spans="1:66" hidden="1" x14ac:dyDescent="0.2">
      <c r="A433" s="28">
        <v>4</v>
      </c>
      <c r="B433" s="29">
        <v>5</v>
      </c>
      <c r="C433" s="13">
        <v>21</v>
      </c>
      <c r="D433" s="13" t="s">
        <v>304</v>
      </c>
      <c r="E433" s="10" t="s">
        <v>166</v>
      </c>
      <c r="F433" s="10" t="s">
        <v>210</v>
      </c>
      <c r="G433" s="10"/>
      <c r="H433" s="152"/>
      <c r="I433" s="164"/>
      <c r="J433" s="62"/>
      <c r="K433" s="62"/>
      <c r="L433" s="177"/>
      <c r="M433" s="171"/>
      <c r="N433" s="62"/>
      <c r="O433" s="62"/>
      <c r="P433" s="62"/>
      <c r="Q433" s="64"/>
      <c r="R433" s="164"/>
      <c r="S433" s="62"/>
      <c r="T433" s="62"/>
      <c r="U433" s="62"/>
      <c r="V433" s="177"/>
      <c r="W433" s="171"/>
      <c r="X433" s="62"/>
      <c r="Y433" s="45"/>
      <c r="Z433" s="45"/>
      <c r="AA433" s="100"/>
      <c r="AB433" s="100"/>
      <c r="AC433" s="100"/>
      <c r="AD433" s="100"/>
      <c r="AE433" s="100"/>
      <c r="AF433" s="100"/>
      <c r="AG433" s="69">
        <v>21</v>
      </c>
      <c r="AH433" s="69" t="s">
        <v>304</v>
      </c>
      <c r="AI433" s="243" t="s">
        <v>166</v>
      </c>
      <c r="AJ433" s="243" t="s">
        <v>419</v>
      </c>
      <c r="AK433" s="246"/>
      <c r="AL433" s="43" t="str">
        <f t="shared" si="116"/>
        <v>-</v>
      </c>
      <c r="AM433" s="43">
        <f t="shared" si="104"/>
        <v>0</v>
      </c>
      <c r="AN433" s="193">
        <f t="shared" si="104"/>
        <v>0</v>
      </c>
      <c r="AO433" s="270" t="str">
        <f t="shared" si="105"/>
        <v>-</v>
      </c>
      <c r="AP433" s="266"/>
      <c r="AQ433" s="26" t="str">
        <f t="shared" si="112"/>
        <v>CARMANAH CREEKChinook</v>
      </c>
      <c r="AR433" s="26">
        <f t="shared" si="106"/>
        <v>0</v>
      </c>
      <c r="AS433" s="33">
        <f t="shared" si="107"/>
        <v>0</v>
      </c>
      <c r="AX433" s="47" t="str">
        <f t="shared" si="108"/>
        <v>CARMANAH CREEKChinook</v>
      </c>
      <c r="AY433" s="49">
        <f t="shared" si="109"/>
        <v>0</v>
      </c>
      <c r="AZ433" s="49">
        <f t="shared" si="110"/>
        <v>0</v>
      </c>
      <c r="BA433" s="31">
        <v>1993</v>
      </c>
      <c r="BB433" s="188">
        <f t="shared" si="113"/>
        <v>0</v>
      </c>
      <c r="BC433" s="188" t="str">
        <f t="shared" si="117"/>
        <v xml:space="preserve"> </v>
      </c>
      <c r="BD433" s="188" t="str">
        <f t="shared" si="118"/>
        <v xml:space="preserve"> </v>
      </c>
      <c r="BE433" s="188" t="str">
        <f t="shared" si="119"/>
        <v xml:space="preserve"> </v>
      </c>
      <c r="BF433" s="50" t="str">
        <f t="shared" si="111"/>
        <v>CARMANAH CREEK_Chinook</v>
      </c>
      <c r="BG433" s="50" t="str">
        <f>IFERROR(VLOOKUP(BF433,'[1]WCVI Esc'!$C$5:$W$514,18,FALSE),"-")</f>
        <v>-</v>
      </c>
      <c r="BH433" s="50" t="str">
        <f t="shared" si="114"/>
        <v>-</v>
      </c>
      <c r="BI433" s="50" t="str">
        <f>IFERROR(VLOOKUP(BF433,'[1]WCVI Esc'!$C$5:$W$514,19,FALSE),"-")</f>
        <v>-</v>
      </c>
      <c r="BJ433" s="50" t="str">
        <f t="shared" si="115"/>
        <v>-</v>
      </c>
    </row>
    <row r="434" spans="1:66" hidden="1" x14ac:dyDescent="0.2">
      <c r="A434" s="28">
        <v>4</v>
      </c>
      <c r="B434" s="29">
        <v>6</v>
      </c>
      <c r="C434" s="13">
        <v>21</v>
      </c>
      <c r="D434" s="13" t="s">
        <v>304</v>
      </c>
      <c r="E434" s="10" t="s">
        <v>166</v>
      </c>
      <c r="F434" s="10" t="s">
        <v>211</v>
      </c>
      <c r="G434" s="10"/>
      <c r="H434" s="152"/>
      <c r="I434" s="164"/>
      <c r="J434" s="62"/>
      <c r="K434" s="62"/>
      <c r="L434" s="177"/>
      <c r="M434" s="171"/>
      <c r="N434" s="62"/>
      <c r="O434" s="62"/>
      <c r="P434" s="62"/>
      <c r="Q434" s="64"/>
      <c r="R434" s="164"/>
      <c r="S434" s="62"/>
      <c r="T434" s="62"/>
      <c r="U434" s="62"/>
      <c r="V434" s="177"/>
      <c r="W434" s="171"/>
      <c r="X434" s="62"/>
      <c r="Y434" s="45"/>
      <c r="Z434" s="45"/>
      <c r="AA434" s="100"/>
      <c r="AB434" s="100"/>
      <c r="AC434" s="100"/>
      <c r="AD434" s="100"/>
      <c r="AE434" s="100"/>
      <c r="AF434" s="100"/>
      <c r="AG434" s="69">
        <v>21</v>
      </c>
      <c r="AH434" s="69" t="s">
        <v>304</v>
      </c>
      <c r="AI434" s="243" t="s">
        <v>166</v>
      </c>
      <c r="AJ434" s="243" t="s">
        <v>419</v>
      </c>
      <c r="AK434" s="246"/>
      <c r="AL434" s="43" t="str">
        <f t="shared" si="116"/>
        <v>-</v>
      </c>
      <c r="AM434" s="43">
        <f t="shared" si="104"/>
        <v>0</v>
      </c>
      <c r="AN434" s="193">
        <f t="shared" si="104"/>
        <v>0</v>
      </c>
      <c r="AO434" s="270" t="str">
        <f t="shared" si="105"/>
        <v>-</v>
      </c>
      <c r="AP434" s="266"/>
      <c r="AQ434" s="26" t="str">
        <f t="shared" si="112"/>
        <v>CARMANAH CREEKSteelhead</v>
      </c>
      <c r="AR434" s="26">
        <f t="shared" si="106"/>
        <v>0</v>
      </c>
      <c r="AS434" s="33">
        <f t="shared" si="107"/>
        <v>0</v>
      </c>
      <c r="AX434" s="47" t="str">
        <f t="shared" si="108"/>
        <v>CARMANAH CREEKSteelhead</v>
      </c>
      <c r="AY434" s="49">
        <f t="shared" si="109"/>
        <v>0</v>
      </c>
      <c r="AZ434" s="49">
        <f t="shared" si="110"/>
        <v>0</v>
      </c>
      <c r="BA434" s="31">
        <v>0</v>
      </c>
      <c r="BB434" s="188">
        <f t="shared" si="113"/>
        <v>0</v>
      </c>
      <c r="BC434" s="188" t="str">
        <f t="shared" si="117"/>
        <v xml:space="preserve"> </v>
      </c>
      <c r="BD434" s="188" t="str">
        <f t="shared" si="118"/>
        <v xml:space="preserve"> </v>
      </c>
      <c r="BE434" s="188" t="str">
        <f t="shared" si="119"/>
        <v xml:space="preserve"> </v>
      </c>
      <c r="BF434" s="50" t="str">
        <f t="shared" si="111"/>
        <v>CARMANAH CREEK_Steelhead</v>
      </c>
      <c r="BG434" s="50" t="str">
        <f>IFERROR(VLOOKUP(BF434,'[1]WCVI Esc'!$C$5:$W$514,18,FALSE),"-")</f>
        <v>-</v>
      </c>
      <c r="BH434" s="50" t="str">
        <f t="shared" si="114"/>
        <v>-</v>
      </c>
      <c r="BI434" s="50" t="str">
        <f>IFERROR(VLOOKUP(BF434,'[1]WCVI Esc'!$C$5:$W$514,19,FALSE),"-")</f>
        <v>-</v>
      </c>
      <c r="BJ434" s="50" t="str">
        <f t="shared" si="115"/>
        <v>-</v>
      </c>
    </row>
    <row r="435" spans="1:66" hidden="1" x14ac:dyDescent="0.2">
      <c r="A435" s="28">
        <v>4</v>
      </c>
      <c r="B435" s="29">
        <v>1</v>
      </c>
      <c r="C435" s="13">
        <v>21</v>
      </c>
      <c r="D435" s="13" t="s">
        <v>304</v>
      </c>
      <c r="E435" s="10" t="s">
        <v>24</v>
      </c>
      <c r="F435" s="10" t="s">
        <v>207</v>
      </c>
      <c r="G435" s="10"/>
      <c r="H435" s="152"/>
      <c r="I435" s="164"/>
      <c r="J435" s="62"/>
      <c r="K435" s="62"/>
      <c r="L435" s="177"/>
      <c r="M435" s="171"/>
      <c r="N435" s="62"/>
      <c r="O435" s="62"/>
      <c r="P435" s="202"/>
      <c r="Q435" s="205"/>
      <c r="R435" s="207"/>
      <c r="S435" s="202"/>
      <c r="T435" s="62"/>
      <c r="U435" s="63"/>
      <c r="V435" s="177"/>
      <c r="W435" s="171"/>
      <c r="X435" s="62"/>
      <c r="Y435" s="45"/>
      <c r="Z435" s="45"/>
      <c r="AA435" s="100"/>
      <c r="AB435" s="100"/>
      <c r="AC435" s="100"/>
      <c r="AD435" s="100"/>
      <c r="AE435" s="100"/>
      <c r="AF435" s="100"/>
      <c r="AG435" s="69">
        <v>21</v>
      </c>
      <c r="AH435" s="69" t="s">
        <v>304</v>
      </c>
      <c r="AI435" s="243" t="s">
        <v>24</v>
      </c>
      <c r="AJ435" s="243" t="s">
        <v>419</v>
      </c>
      <c r="AK435" s="246"/>
      <c r="AL435" s="43" t="str">
        <f t="shared" si="116"/>
        <v>-</v>
      </c>
      <c r="AM435" s="43">
        <f t="shared" si="104"/>
        <v>0</v>
      </c>
      <c r="AN435" s="193">
        <f t="shared" si="104"/>
        <v>0</v>
      </c>
      <c r="AO435" s="270" t="str">
        <f t="shared" si="105"/>
        <v>-</v>
      </c>
      <c r="AP435" s="266"/>
      <c r="AQ435" s="26" t="str">
        <f t="shared" si="112"/>
        <v>CHEEWHAT RIVERSockeye</v>
      </c>
      <c r="AR435" s="26">
        <f t="shared" si="106"/>
        <v>0</v>
      </c>
      <c r="AS435" s="33">
        <f t="shared" si="107"/>
        <v>0</v>
      </c>
      <c r="AX435" s="47" t="str">
        <f t="shared" si="108"/>
        <v>CHEEWHAT RIVERSockeye</v>
      </c>
      <c r="AY435" s="49">
        <f t="shared" si="109"/>
        <v>0</v>
      </c>
      <c r="AZ435" s="49">
        <f t="shared" si="110"/>
        <v>0</v>
      </c>
      <c r="BA435" s="31">
        <v>2000</v>
      </c>
      <c r="BB435" s="188">
        <f t="shared" si="113"/>
        <v>0</v>
      </c>
      <c r="BC435" s="188" t="str">
        <f t="shared" si="117"/>
        <v xml:space="preserve"> </v>
      </c>
      <c r="BD435" s="188" t="str">
        <f t="shared" si="118"/>
        <v xml:space="preserve"> </v>
      </c>
      <c r="BE435" s="188" t="str">
        <f t="shared" si="119"/>
        <v xml:space="preserve"> </v>
      </c>
      <c r="BF435" s="50" t="str">
        <f t="shared" si="111"/>
        <v>CHEEWHAT RIVER_Sockeye</v>
      </c>
      <c r="BG435" s="50" t="str">
        <f>IFERROR(VLOOKUP(BF435,'[1]WCVI Esc'!$C$5:$W$514,18,FALSE),"-")</f>
        <v>-</v>
      </c>
      <c r="BH435" s="50" t="str">
        <f t="shared" si="114"/>
        <v>-</v>
      </c>
      <c r="BI435" s="50">
        <f>IFERROR(VLOOKUP(BF435,'[1]WCVI Esc'!$C$5:$W$514,19,FALSE),"-")</f>
        <v>834</v>
      </c>
      <c r="BJ435" s="50">
        <f t="shared" si="115"/>
        <v>830</v>
      </c>
      <c r="BL435" s="17" t="s">
        <v>304</v>
      </c>
      <c r="BN435" s="188" t="s">
        <v>453</v>
      </c>
    </row>
    <row r="436" spans="1:66" hidden="1" x14ac:dyDescent="0.2">
      <c r="A436" s="28">
        <v>4</v>
      </c>
      <c r="B436" s="29">
        <v>2</v>
      </c>
      <c r="C436" s="13">
        <v>21</v>
      </c>
      <c r="D436" s="13" t="s">
        <v>304</v>
      </c>
      <c r="E436" s="10" t="s">
        <v>24</v>
      </c>
      <c r="F436" s="10" t="s">
        <v>219</v>
      </c>
      <c r="G436" s="10"/>
      <c r="H436" s="152"/>
      <c r="I436" s="164"/>
      <c r="J436" s="62"/>
      <c r="K436" s="62"/>
      <c r="L436" s="177"/>
      <c r="M436" s="171"/>
      <c r="N436" s="62"/>
      <c r="O436" s="62"/>
      <c r="P436" s="202"/>
      <c r="Q436" s="205"/>
      <c r="R436" s="207"/>
      <c r="S436" s="202"/>
      <c r="T436" s="62"/>
      <c r="U436" s="63"/>
      <c r="V436" s="177"/>
      <c r="W436" s="171"/>
      <c r="X436" s="62"/>
      <c r="Y436" s="45"/>
      <c r="Z436" s="45"/>
      <c r="AA436" s="100"/>
      <c r="AB436" s="100"/>
      <c r="AC436" s="100"/>
      <c r="AD436" s="100"/>
      <c r="AE436" s="100"/>
      <c r="AF436" s="100"/>
      <c r="AG436" s="69">
        <v>21</v>
      </c>
      <c r="AH436" s="69" t="s">
        <v>304</v>
      </c>
      <c r="AI436" s="243" t="s">
        <v>24</v>
      </c>
      <c r="AJ436" s="243" t="s">
        <v>419</v>
      </c>
      <c r="AK436" s="246"/>
      <c r="AL436" s="43" t="str">
        <f t="shared" si="116"/>
        <v>-</v>
      </c>
      <c r="AM436" s="43">
        <f t="shared" si="104"/>
        <v>0</v>
      </c>
      <c r="AN436" s="193">
        <f t="shared" si="104"/>
        <v>0</v>
      </c>
      <c r="AO436" s="270" t="str">
        <f t="shared" si="105"/>
        <v>-</v>
      </c>
      <c r="AP436" s="266"/>
      <c r="AQ436" s="26" t="str">
        <f t="shared" si="112"/>
        <v>CHEEWHAT RIVERCoho</v>
      </c>
      <c r="AR436" s="26">
        <f t="shared" si="106"/>
        <v>0</v>
      </c>
      <c r="AS436" s="33">
        <f t="shared" si="107"/>
        <v>0</v>
      </c>
      <c r="AX436" s="47" t="str">
        <f t="shared" si="108"/>
        <v>CHEEWHAT RIVERCoho</v>
      </c>
      <c r="AY436" s="49">
        <f t="shared" si="109"/>
        <v>0</v>
      </c>
      <c r="AZ436" s="49">
        <f t="shared" si="110"/>
        <v>0</v>
      </c>
      <c r="BA436" s="31">
        <v>2000</v>
      </c>
      <c r="BB436" s="188">
        <f t="shared" si="113"/>
        <v>0</v>
      </c>
      <c r="BC436" s="188" t="str">
        <f t="shared" si="117"/>
        <v xml:space="preserve"> </v>
      </c>
      <c r="BD436" s="188" t="str">
        <f t="shared" si="118"/>
        <v xml:space="preserve"> </v>
      </c>
      <c r="BE436" s="188" t="str">
        <f t="shared" si="119"/>
        <v xml:space="preserve"> </v>
      </c>
      <c r="BF436" s="50" t="str">
        <f t="shared" si="111"/>
        <v>CHEEWHAT RIVER_Coho</v>
      </c>
      <c r="BG436" s="50" t="str">
        <f>IFERROR(VLOOKUP(BF436,'[1]WCVI Esc'!$C$5:$W$514,18,FALSE),"-")</f>
        <v>-</v>
      </c>
      <c r="BH436" s="50" t="str">
        <f t="shared" si="114"/>
        <v>-</v>
      </c>
      <c r="BI436" s="50">
        <f>IFERROR(VLOOKUP(BF436,'[1]WCVI Esc'!$C$5:$W$514,19,FALSE),"-")</f>
        <v>78</v>
      </c>
      <c r="BJ436" s="50">
        <f t="shared" si="115"/>
        <v>80</v>
      </c>
    </row>
    <row r="437" spans="1:66" hidden="1" x14ac:dyDescent="0.2">
      <c r="A437" s="28">
        <v>4</v>
      </c>
      <c r="B437" s="29">
        <v>3</v>
      </c>
      <c r="C437" s="13">
        <v>21</v>
      </c>
      <c r="D437" s="13" t="s">
        <v>304</v>
      </c>
      <c r="E437" s="10" t="s">
        <v>24</v>
      </c>
      <c r="F437" s="10" t="s">
        <v>208</v>
      </c>
      <c r="G437" s="10"/>
      <c r="H437" s="152"/>
      <c r="I437" s="164"/>
      <c r="J437" s="62"/>
      <c r="K437" s="62"/>
      <c r="L437" s="177"/>
      <c r="M437" s="171"/>
      <c r="N437" s="62"/>
      <c r="O437" s="62"/>
      <c r="P437" s="202"/>
      <c r="Q437" s="205"/>
      <c r="R437" s="207"/>
      <c r="S437" s="202"/>
      <c r="T437" s="62"/>
      <c r="U437" s="63"/>
      <c r="V437" s="177"/>
      <c r="W437" s="171"/>
      <c r="X437" s="62"/>
      <c r="Y437" s="45"/>
      <c r="Z437" s="45"/>
      <c r="AA437" s="100"/>
      <c r="AB437" s="100"/>
      <c r="AC437" s="100"/>
      <c r="AD437" s="100"/>
      <c r="AE437" s="100"/>
      <c r="AF437" s="100"/>
      <c r="AG437" s="69">
        <v>21</v>
      </c>
      <c r="AH437" s="69" t="s">
        <v>304</v>
      </c>
      <c r="AI437" s="243" t="s">
        <v>24</v>
      </c>
      <c r="AJ437" s="243" t="s">
        <v>419</v>
      </c>
      <c r="AK437" s="246"/>
      <c r="AL437" s="43" t="str">
        <f t="shared" si="116"/>
        <v>-</v>
      </c>
      <c r="AM437" s="43">
        <f t="shared" si="104"/>
        <v>0</v>
      </c>
      <c r="AN437" s="193">
        <f t="shared" si="104"/>
        <v>0</v>
      </c>
      <c r="AO437" s="270" t="str">
        <f t="shared" si="105"/>
        <v>-</v>
      </c>
      <c r="AP437" s="266"/>
      <c r="AQ437" s="26" t="str">
        <f t="shared" si="112"/>
        <v>CHEEWHAT RIVERPink</v>
      </c>
      <c r="AR437" s="26">
        <f t="shared" si="106"/>
        <v>0</v>
      </c>
      <c r="AS437" s="33">
        <f t="shared" si="107"/>
        <v>0</v>
      </c>
      <c r="AX437" s="47" t="str">
        <f t="shared" si="108"/>
        <v>CHEEWHAT RIVERPink</v>
      </c>
      <c r="AY437" s="49">
        <f t="shared" si="109"/>
        <v>0</v>
      </c>
      <c r="AZ437" s="49">
        <f t="shared" si="110"/>
        <v>0</v>
      </c>
      <c r="BA437" s="31">
        <v>0</v>
      </c>
      <c r="BB437" s="188">
        <f t="shared" si="113"/>
        <v>0</v>
      </c>
      <c r="BC437" s="188" t="str">
        <f t="shared" si="117"/>
        <v xml:space="preserve"> </v>
      </c>
      <c r="BD437" s="188" t="str">
        <f t="shared" si="118"/>
        <v xml:space="preserve"> </v>
      </c>
      <c r="BE437" s="188" t="str">
        <f t="shared" si="119"/>
        <v xml:space="preserve"> </v>
      </c>
      <c r="BF437" s="50" t="str">
        <f t="shared" si="111"/>
        <v>CHEEWHAT RIVER_Pink</v>
      </c>
      <c r="BG437" s="50" t="str">
        <f>IFERROR(VLOOKUP(BF437,'[1]WCVI Esc'!$C$5:$W$514,18,FALSE),"-")</f>
        <v>-</v>
      </c>
      <c r="BH437" s="50" t="str">
        <f t="shared" si="114"/>
        <v>-</v>
      </c>
      <c r="BI437" s="50" t="str">
        <f>IFERROR(VLOOKUP(BF437,'[1]WCVI Esc'!$C$5:$W$514,19,FALSE),"-")</f>
        <v>-</v>
      </c>
      <c r="BJ437" s="50" t="str">
        <f t="shared" si="115"/>
        <v>-</v>
      </c>
    </row>
    <row r="438" spans="1:66" hidden="1" x14ac:dyDescent="0.2">
      <c r="A438" s="28">
        <v>4</v>
      </c>
      <c r="B438" s="29">
        <v>4</v>
      </c>
      <c r="C438" s="13">
        <v>21</v>
      </c>
      <c r="D438" s="13" t="s">
        <v>304</v>
      </c>
      <c r="E438" s="10" t="s">
        <v>24</v>
      </c>
      <c r="F438" s="10" t="s">
        <v>209</v>
      </c>
      <c r="G438" s="10"/>
      <c r="H438" s="152"/>
      <c r="I438" s="164"/>
      <c r="J438" s="62"/>
      <c r="K438" s="62"/>
      <c r="L438" s="177"/>
      <c r="M438" s="171"/>
      <c r="N438" s="62"/>
      <c r="O438" s="62"/>
      <c r="P438" s="202"/>
      <c r="Q438" s="205"/>
      <c r="R438" s="207"/>
      <c r="S438" s="202"/>
      <c r="T438" s="62"/>
      <c r="U438" s="63"/>
      <c r="V438" s="177"/>
      <c r="W438" s="171"/>
      <c r="X438" s="62"/>
      <c r="Y438" s="45"/>
      <c r="Z438" s="45"/>
      <c r="AA438" s="100"/>
      <c r="AB438" s="100"/>
      <c r="AC438" s="100"/>
      <c r="AD438" s="100"/>
      <c r="AE438" s="100"/>
      <c r="AF438" s="100"/>
      <c r="AG438" s="69">
        <v>21</v>
      </c>
      <c r="AH438" s="69" t="s">
        <v>304</v>
      </c>
      <c r="AI438" s="243" t="s">
        <v>24</v>
      </c>
      <c r="AJ438" s="243" t="s">
        <v>419</v>
      </c>
      <c r="AK438" s="246"/>
      <c r="AL438" s="43" t="str">
        <f t="shared" si="116"/>
        <v>-</v>
      </c>
      <c r="AM438" s="43">
        <f t="shared" si="104"/>
        <v>0</v>
      </c>
      <c r="AN438" s="193">
        <f t="shared" si="104"/>
        <v>0</v>
      </c>
      <c r="AO438" s="270" t="str">
        <f t="shared" si="105"/>
        <v>-</v>
      </c>
      <c r="AP438" s="266"/>
      <c r="AQ438" s="26" t="str">
        <f t="shared" si="112"/>
        <v>CHEEWHAT RIVERChum</v>
      </c>
      <c r="AR438" s="26">
        <f t="shared" si="106"/>
        <v>0</v>
      </c>
      <c r="AS438" s="33">
        <f t="shared" si="107"/>
        <v>0</v>
      </c>
      <c r="AX438" s="47" t="str">
        <f t="shared" si="108"/>
        <v>CHEEWHAT RIVERChum</v>
      </c>
      <c r="AY438" s="49">
        <f t="shared" si="109"/>
        <v>0</v>
      </c>
      <c r="AZ438" s="49">
        <f t="shared" si="110"/>
        <v>0</v>
      </c>
      <c r="BA438" s="31">
        <v>2000</v>
      </c>
      <c r="BB438" s="188">
        <f t="shared" si="113"/>
        <v>0</v>
      </c>
      <c r="BC438" s="188" t="str">
        <f t="shared" si="117"/>
        <v xml:space="preserve"> </v>
      </c>
      <c r="BD438" s="188" t="str">
        <f t="shared" si="118"/>
        <v xml:space="preserve"> </v>
      </c>
      <c r="BE438" s="188" t="str">
        <f t="shared" si="119"/>
        <v xml:space="preserve"> </v>
      </c>
      <c r="BF438" s="50" t="str">
        <f t="shared" si="111"/>
        <v>CHEEWHAT RIVER_Chum</v>
      </c>
      <c r="BG438" s="50" t="str">
        <f>IFERROR(VLOOKUP(BF438,'[1]WCVI Esc'!$C$5:$W$514,18,FALSE),"-")</f>
        <v>-</v>
      </c>
      <c r="BH438" s="50" t="str">
        <f t="shared" si="114"/>
        <v>-</v>
      </c>
      <c r="BI438" s="50" t="str">
        <f>IFERROR(VLOOKUP(BF438,'[1]WCVI Esc'!$C$5:$W$514,19,FALSE),"-")</f>
        <v>-</v>
      </c>
      <c r="BJ438" s="50" t="str">
        <f t="shared" si="115"/>
        <v>-</v>
      </c>
    </row>
    <row r="439" spans="1:66" hidden="1" x14ac:dyDescent="0.2">
      <c r="A439" s="28">
        <v>4</v>
      </c>
      <c r="B439" s="29">
        <v>5</v>
      </c>
      <c r="C439" s="13">
        <v>21</v>
      </c>
      <c r="D439" s="13" t="s">
        <v>304</v>
      </c>
      <c r="E439" s="10" t="s">
        <v>24</v>
      </c>
      <c r="F439" s="10" t="s">
        <v>210</v>
      </c>
      <c r="G439" s="10"/>
      <c r="H439" s="152"/>
      <c r="I439" s="164"/>
      <c r="J439" s="62"/>
      <c r="K439" s="62"/>
      <c r="L439" s="177"/>
      <c r="M439" s="171"/>
      <c r="N439" s="62"/>
      <c r="O439" s="62"/>
      <c r="P439" s="202"/>
      <c r="Q439" s="205"/>
      <c r="R439" s="207"/>
      <c r="S439" s="202"/>
      <c r="T439" s="62"/>
      <c r="U439" s="63"/>
      <c r="V439" s="177"/>
      <c r="W439" s="171"/>
      <c r="X439" s="62"/>
      <c r="Y439" s="45"/>
      <c r="Z439" s="45"/>
      <c r="AA439" s="100"/>
      <c r="AB439" s="100"/>
      <c r="AC439" s="100"/>
      <c r="AD439" s="100"/>
      <c r="AE439" s="100"/>
      <c r="AF439" s="100"/>
      <c r="AG439" s="69">
        <v>21</v>
      </c>
      <c r="AH439" s="69" t="s">
        <v>304</v>
      </c>
      <c r="AI439" s="243" t="s">
        <v>24</v>
      </c>
      <c r="AJ439" s="243" t="s">
        <v>419</v>
      </c>
      <c r="AK439" s="246"/>
      <c r="AL439" s="43" t="str">
        <f t="shared" si="116"/>
        <v>-</v>
      </c>
      <c r="AM439" s="43">
        <f t="shared" si="104"/>
        <v>0</v>
      </c>
      <c r="AN439" s="193">
        <f t="shared" si="104"/>
        <v>0</v>
      </c>
      <c r="AO439" s="270" t="str">
        <f t="shared" si="105"/>
        <v>-</v>
      </c>
      <c r="AP439" s="266"/>
      <c r="AQ439" s="26" t="str">
        <f t="shared" si="112"/>
        <v>CHEEWHAT RIVERChinook</v>
      </c>
      <c r="AR439" s="26">
        <f t="shared" si="106"/>
        <v>0</v>
      </c>
      <c r="AS439" s="33">
        <f t="shared" si="107"/>
        <v>0</v>
      </c>
      <c r="AX439" s="47" t="str">
        <f t="shared" si="108"/>
        <v>CHEEWHAT RIVERChinook</v>
      </c>
      <c r="AY439" s="49">
        <f t="shared" si="109"/>
        <v>0</v>
      </c>
      <c r="AZ439" s="49">
        <f t="shared" si="110"/>
        <v>0</v>
      </c>
      <c r="BA439" s="31">
        <v>2000</v>
      </c>
      <c r="BB439" s="188">
        <f t="shared" si="113"/>
        <v>0</v>
      </c>
      <c r="BC439" s="188" t="str">
        <f t="shared" si="117"/>
        <v xml:space="preserve"> </v>
      </c>
      <c r="BD439" s="188" t="str">
        <f t="shared" si="118"/>
        <v xml:space="preserve"> </v>
      </c>
      <c r="BE439" s="188" t="str">
        <f t="shared" si="119"/>
        <v xml:space="preserve"> </v>
      </c>
      <c r="BF439" s="50" t="str">
        <f t="shared" si="111"/>
        <v>CHEEWHAT RIVER_Chinook</v>
      </c>
      <c r="BG439" s="50" t="str">
        <f>IFERROR(VLOOKUP(BF439,'[1]WCVI Esc'!$C$5:$W$514,18,FALSE),"-")</f>
        <v>-</v>
      </c>
      <c r="BH439" s="50" t="str">
        <f t="shared" si="114"/>
        <v>-</v>
      </c>
      <c r="BI439" s="50" t="str">
        <f>IFERROR(VLOOKUP(BF439,'[1]WCVI Esc'!$C$5:$W$514,19,FALSE),"-")</f>
        <v>-</v>
      </c>
      <c r="BJ439" s="50" t="str">
        <f t="shared" si="115"/>
        <v>-</v>
      </c>
    </row>
    <row r="440" spans="1:66" hidden="1" x14ac:dyDescent="0.2">
      <c r="A440" s="28">
        <v>4</v>
      </c>
      <c r="B440" s="29">
        <v>6</v>
      </c>
      <c r="C440" s="13">
        <v>21</v>
      </c>
      <c r="D440" s="13" t="s">
        <v>304</v>
      </c>
      <c r="E440" s="10" t="s">
        <v>24</v>
      </c>
      <c r="F440" s="10" t="s">
        <v>211</v>
      </c>
      <c r="G440" s="10"/>
      <c r="H440" s="152"/>
      <c r="I440" s="164"/>
      <c r="J440" s="62"/>
      <c r="K440" s="62"/>
      <c r="L440" s="177"/>
      <c r="M440" s="171"/>
      <c r="N440" s="62"/>
      <c r="O440" s="62"/>
      <c r="P440" s="62"/>
      <c r="Q440" s="64"/>
      <c r="R440" s="164"/>
      <c r="S440" s="62"/>
      <c r="T440" s="62"/>
      <c r="U440" s="63"/>
      <c r="V440" s="177"/>
      <c r="W440" s="171"/>
      <c r="X440" s="62"/>
      <c r="Y440" s="45"/>
      <c r="Z440" s="45"/>
      <c r="AA440" s="100"/>
      <c r="AB440" s="100"/>
      <c r="AC440" s="100"/>
      <c r="AD440" s="100"/>
      <c r="AE440" s="100"/>
      <c r="AF440" s="100"/>
      <c r="AG440" s="69">
        <v>21</v>
      </c>
      <c r="AH440" s="69" t="s">
        <v>304</v>
      </c>
      <c r="AI440" s="243" t="s">
        <v>24</v>
      </c>
      <c r="AJ440" s="243" t="s">
        <v>419</v>
      </c>
      <c r="AK440" s="246"/>
      <c r="AL440" s="43" t="str">
        <f t="shared" si="116"/>
        <v>-</v>
      </c>
      <c r="AM440" s="43">
        <f t="shared" si="104"/>
        <v>0</v>
      </c>
      <c r="AN440" s="193">
        <f t="shared" si="104"/>
        <v>0</v>
      </c>
      <c r="AO440" s="270" t="str">
        <f t="shared" si="105"/>
        <v>-</v>
      </c>
      <c r="AP440" s="266"/>
      <c r="AQ440" s="26" t="str">
        <f t="shared" si="112"/>
        <v>CHEEWHAT RIVERSteelhead</v>
      </c>
      <c r="AR440" s="26">
        <f t="shared" si="106"/>
        <v>0</v>
      </c>
      <c r="AS440" s="33">
        <f t="shared" si="107"/>
        <v>0</v>
      </c>
      <c r="AX440" s="47" t="str">
        <f t="shared" si="108"/>
        <v>CHEEWHAT RIVERSteelhead</v>
      </c>
      <c r="AY440" s="49">
        <f t="shared" si="109"/>
        <v>0</v>
      </c>
      <c r="AZ440" s="49">
        <f t="shared" si="110"/>
        <v>0</v>
      </c>
      <c r="BA440" s="31">
        <v>0</v>
      </c>
      <c r="BB440" s="188">
        <f t="shared" si="113"/>
        <v>0</v>
      </c>
      <c r="BC440" s="188" t="str">
        <f t="shared" si="117"/>
        <v xml:space="preserve"> </v>
      </c>
      <c r="BD440" s="188" t="str">
        <f t="shared" si="118"/>
        <v xml:space="preserve"> </v>
      </c>
      <c r="BE440" s="188" t="str">
        <f t="shared" si="119"/>
        <v xml:space="preserve"> </v>
      </c>
      <c r="BF440" s="50" t="str">
        <f t="shared" si="111"/>
        <v>CHEEWHAT RIVER_Steelhead</v>
      </c>
      <c r="BG440" s="50" t="str">
        <f>IFERROR(VLOOKUP(BF440,'[1]WCVI Esc'!$C$5:$W$514,18,FALSE),"-")</f>
        <v>-</v>
      </c>
      <c r="BH440" s="50" t="str">
        <f t="shared" si="114"/>
        <v>-</v>
      </c>
      <c r="BI440" s="50" t="str">
        <f>IFERROR(VLOOKUP(BF440,'[1]WCVI Esc'!$C$5:$W$514,19,FALSE),"-")</f>
        <v>-</v>
      </c>
      <c r="BJ440" s="50" t="str">
        <f t="shared" si="115"/>
        <v>-</v>
      </c>
    </row>
    <row r="441" spans="1:66" hidden="1" x14ac:dyDescent="0.2">
      <c r="A441" s="28">
        <v>4</v>
      </c>
      <c r="B441" s="29">
        <v>1</v>
      </c>
      <c r="C441" s="13">
        <v>21</v>
      </c>
      <c r="D441" s="13" t="s">
        <v>304</v>
      </c>
      <c r="E441" s="10" t="s">
        <v>77</v>
      </c>
      <c r="F441" s="10" t="s">
        <v>207</v>
      </c>
      <c r="G441" s="10"/>
      <c r="H441" s="152"/>
      <c r="I441" s="164"/>
      <c r="J441" s="62"/>
      <c r="K441" s="62"/>
      <c r="L441" s="177"/>
      <c r="M441" s="171"/>
      <c r="N441" s="62"/>
      <c r="O441" s="63"/>
      <c r="P441" s="62"/>
      <c r="Q441" s="64"/>
      <c r="R441" s="169"/>
      <c r="S441" s="62"/>
      <c r="T441" s="62"/>
      <c r="U441" s="62"/>
      <c r="V441" s="177"/>
      <c r="W441" s="171"/>
      <c r="X441" s="62"/>
      <c r="Y441" s="45"/>
      <c r="Z441" s="45"/>
      <c r="AA441" s="100" t="e">
        <f>Y441/AP441</f>
        <v>#VALUE!</v>
      </c>
      <c r="AB441" s="100" t="e">
        <f>AS441/AP441</f>
        <v>#VALUE!</v>
      </c>
      <c r="AC441" s="100"/>
      <c r="AD441" s="100"/>
      <c r="AE441" s="100"/>
      <c r="AF441" s="100"/>
      <c r="AG441" s="69">
        <v>21</v>
      </c>
      <c r="AH441" s="69" t="s">
        <v>304</v>
      </c>
      <c r="AI441" s="243" t="s">
        <v>77</v>
      </c>
      <c r="AJ441" s="243" t="s">
        <v>419</v>
      </c>
      <c r="AK441" s="246"/>
      <c r="AL441" s="43" t="str">
        <f t="shared" si="116"/>
        <v>-</v>
      </c>
      <c r="AM441" s="43">
        <f t="shared" si="104"/>
        <v>0</v>
      </c>
      <c r="AN441" s="193">
        <f t="shared" si="104"/>
        <v>0</v>
      </c>
      <c r="AO441" s="270" t="str">
        <f t="shared" si="105"/>
        <v>-</v>
      </c>
      <c r="AP441" s="265" t="str">
        <f>BJ441</f>
        <v>-</v>
      </c>
      <c r="AQ441" s="26" t="str">
        <f t="shared" si="112"/>
        <v>KLANAWA RIVERSockeye</v>
      </c>
      <c r="AR441" s="26">
        <f t="shared" si="106"/>
        <v>0</v>
      </c>
      <c r="AS441" s="33">
        <f t="shared" si="107"/>
        <v>0</v>
      </c>
      <c r="AX441" s="47" t="str">
        <f t="shared" si="108"/>
        <v>KLANAWA RIVERSockeye</v>
      </c>
      <c r="AY441" s="49">
        <f t="shared" si="109"/>
        <v>0</v>
      </c>
      <c r="AZ441" s="49">
        <f t="shared" si="110"/>
        <v>0</v>
      </c>
      <c r="BA441" s="31">
        <v>2011</v>
      </c>
      <c r="BB441" s="188">
        <f t="shared" si="113"/>
        <v>0</v>
      </c>
      <c r="BC441" s="188" t="str">
        <f t="shared" si="117"/>
        <v xml:space="preserve"> </v>
      </c>
      <c r="BD441" s="188" t="str">
        <f t="shared" si="118"/>
        <v xml:space="preserve"> </v>
      </c>
      <c r="BE441" s="188" t="str">
        <f t="shared" si="119"/>
        <v xml:space="preserve"> </v>
      </c>
      <c r="BF441" s="50" t="str">
        <f t="shared" si="111"/>
        <v>KLANAWA RIVER_Sockeye</v>
      </c>
      <c r="BG441" s="50" t="str">
        <f>IFERROR(VLOOKUP(BF441,'[1]WCVI Esc'!$C$5:$W$514,18,FALSE),"-")</f>
        <v>-</v>
      </c>
      <c r="BH441" s="50" t="str">
        <f t="shared" si="114"/>
        <v>-</v>
      </c>
      <c r="BI441" s="50" t="str">
        <f>IFERROR(VLOOKUP(BF441,'[1]WCVI Esc'!$C$5:$W$514,19,FALSE),"-")</f>
        <v>-</v>
      </c>
      <c r="BJ441" s="50" t="str">
        <f t="shared" si="115"/>
        <v>-</v>
      </c>
    </row>
    <row r="442" spans="1:66" hidden="1" x14ac:dyDescent="0.2">
      <c r="A442" s="28">
        <v>4</v>
      </c>
      <c r="B442" s="29">
        <v>2</v>
      </c>
      <c r="C442" s="13">
        <v>21</v>
      </c>
      <c r="D442" s="13" t="s">
        <v>304</v>
      </c>
      <c r="E442" s="10" t="s">
        <v>77</v>
      </c>
      <c r="F442" s="10" t="s">
        <v>219</v>
      </c>
      <c r="G442" s="10"/>
      <c r="H442" s="152"/>
      <c r="I442" s="164"/>
      <c r="J442" s="62"/>
      <c r="K442" s="62"/>
      <c r="L442" s="177"/>
      <c r="M442" s="171"/>
      <c r="N442" s="62"/>
      <c r="O442" s="63"/>
      <c r="P442" s="62"/>
      <c r="Q442" s="64"/>
      <c r="R442" s="169"/>
      <c r="S442" s="62"/>
      <c r="T442" s="62"/>
      <c r="U442" s="62"/>
      <c r="V442" s="177"/>
      <c r="W442" s="171"/>
      <c r="X442" s="62"/>
      <c r="Y442" s="45"/>
      <c r="Z442" s="45"/>
      <c r="AA442" s="100">
        <f>Y442/AP442</f>
        <v>0</v>
      </c>
      <c r="AB442" s="100">
        <f>AS442/AP442</f>
        <v>0</v>
      </c>
      <c r="AC442" s="100"/>
      <c r="AD442" s="100"/>
      <c r="AE442" s="100"/>
      <c r="AF442" s="100"/>
      <c r="AG442" s="69">
        <v>21</v>
      </c>
      <c r="AH442" s="69" t="s">
        <v>304</v>
      </c>
      <c r="AI442" s="243" t="s">
        <v>77</v>
      </c>
      <c r="AJ442" s="243" t="s">
        <v>419</v>
      </c>
      <c r="AK442" s="246"/>
      <c r="AL442" s="43" t="str">
        <f t="shared" si="116"/>
        <v>-</v>
      </c>
      <c r="AM442" s="43">
        <f t="shared" si="104"/>
        <v>0</v>
      </c>
      <c r="AN442" s="193">
        <f t="shared" si="104"/>
        <v>0</v>
      </c>
      <c r="AO442" s="270">
        <f t="shared" si="105"/>
        <v>20</v>
      </c>
      <c r="AP442" s="265">
        <f>BJ442</f>
        <v>220</v>
      </c>
      <c r="AQ442" s="26" t="str">
        <f t="shared" si="112"/>
        <v>KLANAWA RIVERCoho</v>
      </c>
      <c r="AR442" s="26">
        <f t="shared" si="106"/>
        <v>0</v>
      </c>
      <c r="AS442" s="33">
        <f t="shared" si="107"/>
        <v>0</v>
      </c>
      <c r="AX442" s="47" t="str">
        <f t="shared" si="108"/>
        <v>KLANAWA RIVERCoho</v>
      </c>
      <c r="AY442" s="49">
        <f t="shared" si="109"/>
        <v>0</v>
      </c>
      <c r="AZ442" s="49">
        <f t="shared" si="110"/>
        <v>0</v>
      </c>
      <c r="BA442" s="31">
        <v>2011</v>
      </c>
      <c r="BB442" s="188">
        <f t="shared" si="113"/>
        <v>0</v>
      </c>
      <c r="BC442" s="188" t="str">
        <f t="shared" si="117"/>
        <v xml:space="preserve"> </v>
      </c>
      <c r="BD442" s="188" t="str">
        <f t="shared" si="118"/>
        <v xml:space="preserve"> </v>
      </c>
      <c r="BE442" s="188" t="str">
        <f t="shared" si="119"/>
        <v xml:space="preserve"> </v>
      </c>
      <c r="BF442" s="50" t="str">
        <f t="shared" si="111"/>
        <v>KLANAWA RIVER_Coho</v>
      </c>
      <c r="BG442" s="50">
        <f>IFERROR(VLOOKUP(BF442,'[1]WCVI Esc'!$C$5:$W$514,18,FALSE),"-")</f>
        <v>16</v>
      </c>
      <c r="BH442" s="50">
        <f t="shared" si="114"/>
        <v>20</v>
      </c>
      <c r="BI442" s="50">
        <f>IFERROR(VLOOKUP(BF442,'[1]WCVI Esc'!$C$5:$W$514,19,FALSE),"-")</f>
        <v>216</v>
      </c>
      <c r="BJ442" s="50">
        <f t="shared" si="115"/>
        <v>220</v>
      </c>
    </row>
    <row r="443" spans="1:66" hidden="1" x14ac:dyDescent="0.2">
      <c r="A443" s="28">
        <v>4</v>
      </c>
      <c r="B443" s="29">
        <v>3</v>
      </c>
      <c r="C443" s="13">
        <v>21</v>
      </c>
      <c r="D443" s="13" t="s">
        <v>304</v>
      </c>
      <c r="E443" s="10" t="s">
        <v>77</v>
      </c>
      <c r="F443" s="10" t="s">
        <v>208</v>
      </c>
      <c r="G443" s="10"/>
      <c r="H443" s="152"/>
      <c r="I443" s="164"/>
      <c r="J443" s="62"/>
      <c r="K443" s="62"/>
      <c r="L443" s="177"/>
      <c r="M443" s="171"/>
      <c r="N443" s="62"/>
      <c r="O443" s="63"/>
      <c r="P443" s="62"/>
      <c r="Q443" s="64"/>
      <c r="R443" s="169"/>
      <c r="S443" s="62"/>
      <c r="T443" s="62"/>
      <c r="U443" s="62"/>
      <c r="V443" s="177"/>
      <c r="W443" s="171"/>
      <c r="X443" s="62"/>
      <c r="Y443" s="45"/>
      <c r="Z443" s="45"/>
      <c r="AA443" s="100"/>
      <c r="AB443" s="100"/>
      <c r="AC443" s="100"/>
      <c r="AD443" s="100"/>
      <c r="AE443" s="100"/>
      <c r="AF443" s="100"/>
      <c r="AG443" s="69">
        <v>21</v>
      </c>
      <c r="AH443" s="69" t="s">
        <v>304</v>
      </c>
      <c r="AI443" s="243" t="s">
        <v>77</v>
      </c>
      <c r="AJ443" s="243" t="s">
        <v>419</v>
      </c>
      <c r="AK443" s="246"/>
      <c r="AL443" s="43" t="str">
        <f t="shared" si="116"/>
        <v>-</v>
      </c>
      <c r="AM443" s="43">
        <f t="shared" si="104"/>
        <v>0</v>
      </c>
      <c r="AN443" s="193">
        <f t="shared" si="104"/>
        <v>0</v>
      </c>
      <c r="AO443" s="270" t="str">
        <f t="shared" si="105"/>
        <v>-</v>
      </c>
      <c r="AP443" s="266"/>
      <c r="AQ443" s="26" t="str">
        <f t="shared" si="112"/>
        <v>KLANAWA RIVERPink</v>
      </c>
      <c r="AR443" s="26">
        <f t="shared" si="106"/>
        <v>0</v>
      </c>
      <c r="AS443" s="33">
        <f t="shared" si="107"/>
        <v>0</v>
      </c>
      <c r="AX443" s="47" t="str">
        <f t="shared" si="108"/>
        <v>KLANAWA RIVERPink</v>
      </c>
      <c r="AY443" s="49">
        <f t="shared" si="109"/>
        <v>0</v>
      </c>
      <c r="AZ443" s="49">
        <f t="shared" si="110"/>
        <v>0</v>
      </c>
      <c r="BA443" s="31">
        <v>0</v>
      </c>
      <c r="BB443" s="188">
        <f t="shared" si="113"/>
        <v>0</v>
      </c>
      <c r="BC443" s="188" t="str">
        <f t="shared" si="117"/>
        <v xml:space="preserve"> </v>
      </c>
      <c r="BD443" s="188" t="str">
        <f t="shared" si="118"/>
        <v xml:space="preserve"> </v>
      </c>
      <c r="BE443" s="188" t="str">
        <f t="shared" si="119"/>
        <v xml:space="preserve"> </v>
      </c>
      <c r="BF443" s="50" t="str">
        <f t="shared" si="111"/>
        <v>KLANAWA RIVER_Pink</v>
      </c>
      <c r="BG443" s="50" t="str">
        <f>IFERROR(VLOOKUP(BF443,'[1]WCVI Esc'!$C$5:$W$514,18,FALSE),"-")</f>
        <v>-</v>
      </c>
      <c r="BH443" s="50" t="str">
        <f t="shared" si="114"/>
        <v>-</v>
      </c>
      <c r="BI443" s="50" t="str">
        <f>IFERROR(VLOOKUP(BF443,'[1]WCVI Esc'!$C$5:$W$514,19,FALSE),"-")</f>
        <v>-</v>
      </c>
      <c r="BJ443" s="50" t="str">
        <f t="shared" si="115"/>
        <v>-</v>
      </c>
    </row>
    <row r="444" spans="1:66" hidden="1" x14ac:dyDescent="0.2">
      <c r="A444" s="28">
        <v>4</v>
      </c>
      <c r="B444" s="29">
        <v>4</v>
      </c>
      <c r="C444" s="13">
        <v>21</v>
      </c>
      <c r="D444" s="13" t="s">
        <v>304</v>
      </c>
      <c r="E444" s="10" t="s">
        <v>77</v>
      </c>
      <c r="F444" s="10" t="s">
        <v>209</v>
      </c>
      <c r="G444" s="10"/>
      <c r="H444" s="152"/>
      <c r="I444" s="164"/>
      <c r="J444" s="62"/>
      <c r="K444" s="62"/>
      <c r="L444" s="177"/>
      <c r="M444" s="171"/>
      <c r="N444" s="62"/>
      <c r="O444" s="63"/>
      <c r="P444" s="62"/>
      <c r="Q444" s="64"/>
      <c r="R444" s="169"/>
      <c r="S444" s="62"/>
      <c r="T444" s="62"/>
      <c r="U444" s="62"/>
      <c r="V444" s="177"/>
      <c r="W444" s="171"/>
      <c r="X444" s="62"/>
      <c r="Y444" s="45"/>
      <c r="Z444" s="45"/>
      <c r="AA444" s="100">
        <f>Y444/AP444</f>
        <v>0</v>
      </c>
      <c r="AB444" s="100">
        <f>AS444/AP444</f>
        <v>0</v>
      </c>
      <c r="AC444" s="100"/>
      <c r="AD444" s="100"/>
      <c r="AE444" s="100"/>
      <c r="AF444" s="100"/>
      <c r="AG444" s="69">
        <v>21</v>
      </c>
      <c r="AH444" s="69" t="s">
        <v>304</v>
      </c>
      <c r="AI444" s="243" t="s">
        <v>77</v>
      </c>
      <c r="AJ444" s="243" t="s">
        <v>419</v>
      </c>
      <c r="AK444" s="246"/>
      <c r="AL444" s="43" t="str">
        <f t="shared" si="116"/>
        <v>-</v>
      </c>
      <c r="AM444" s="43">
        <f t="shared" si="104"/>
        <v>0</v>
      </c>
      <c r="AN444" s="193">
        <f t="shared" si="104"/>
        <v>0</v>
      </c>
      <c r="AO444" s="270" t="str">
        <f t="shared" si="105"/>
        <v>-</v>
      </c>
      <c r="AP444" s="265">
        <f>BJ444</f>
        <v>660</v>
      </c>
      <c r="AQ444" s="26" t="str">
        <f t="shared" si="112"/>
        <v>KLANAWA RIVERChum</v>
      </c>
      <c r="AR444" s="26">
        <f t="shared" si="106"/>
        <v>0</v>
      </c>
      <c r="AS444" s="33">
        <f t="shared" si="107"/>
        <v>0</v>
      </c>
      <c r="AX444" s="47" t="str">
        <f t="shared" si="108"/>
        <v>KLANAWA RIVERChum</v>
      </c>
      <c r="AY444" s="49">
        <f t="shared" si="109"/>
        <v>0</v>
      </c>
      <c r="AZ444" s="49">
        <f t="shared" si="110"/>
        <v>0</v>
      </c>
      <c r="BA444" s="31">
        <v>2011</v>
      </c>
      <c r="BB444" s="188">
        <f t="shared" si="113"/>
        <v>0</v>
      </c>
      <c r="BC444" s="188" t="str">
        <f t="shared" si="117"/>
        <v xml:space="preserve"> </v>
      </c>
      <c r="BD444" s="188" t="str">
        <f t="shared" si="118"/>
        <v xml:space="preserve"> </v>
      </c>
      <c r="BE444" s="188" t="str">
        <f t="shared" si="119"/>
        <v xml:space="preserve"> </v>
      </c>
      <c r="BF444" s="50" t="str">
        <f t="shared" si="111"/>
        <v>KLANAWA RIVER_Chum</v>
      </c>
      <c r="BG444" s="50" t="str">
        <f>IFERROR(VLOOKUP(BF444,'[1]WCVI Esc'!$C$5:$W$514,18,FALSE),"-")</f>
        <v>-</v>
      </c>
      <c r="BH444" s="50" t="str">
        <f t="shared" si="114"/>
        <v>-</v>
      </c>
      <c r="BI444" s="50">
        <f>IFERROR(VLOOKUP(BF444,'[1]WCVI Esc'!$C$5:$W$514,19,FALSE),"-")</f>
        <v>655</v>
      </c>
      <c r="BJ444" s="50">
        <f t="shared" si="115"/>
        <v>660</v>
      </c>
    </row>
    <row r="445" spans="1:66" hidden="1" x14ac:dyDescent="0.2">
      <c r="A445" s="28">
        <v>4</v>
      </c>
      <c r="B445" s="29">
        <v>5</v>
      </c>
      <c r="C445" s="13">
        <v>21</v>
      </c>
      <c r="D445" s="13" t="s">
        <v>304</v>
      </c>
      <c r="E445" s="10" t="s">
        <v>77</v>
      </c>
      <c r="F445" s="10" t="s">
        <v>210</v>
      </c>
      <c r="G445" s="10"/>
      <c r="H445" s="152"/>
      <c r="I445" s="164"/>
      <c r="J445" s="62"/>
      <c r="K445" s="62"/>
      <c r="L445" s="177"/>
      <c r="M445" s="171"/>
      <c r="N445" s="62"/>
      <c r="O445" s="63"/>
      <c r="P445" s="62"/>
      <c r="Q445" s="64"/>
      <c r="R445" s="169"/>
      <c r="S445" s="62"/>
      <c r="T445" s="62"/>
      <c r="U445" s="62"/>
      <c r="V445" s="177"/>
      <c r="W445" s="171"/>
      <c r="X445" s="62"/>
      <c r="Y445" s="45"/>
      <c r="Z445" s="45"/>
      <c r="AA445" s="100">
        <f>Y445/AP445</f>
        <v>0</v>
      </c>
      <c r="AB445" s="100">
        <f>AS445/AP445</f>
        <v>0</v>
      </c>
      <c r="AC445" s="100"/>
      <c r="AD445" s="100"/>
      <c r="AE445" s="100"/>
      <c r="AF445" s="100"/>
      <c r="AG445" s="69">
        <v>21</v>
      </c>
      <c r="AH445" s="69" t="s">
        <v>304</v>
      </c>
      <c r="AI445" s="243" t="s">
        <v>77</v>
      </c>
      <c r="AJ445" s="243" t="s">
        <v>419</v>
      </c>
      <c r="AK445" s="246"/>
      <c r="AL445" s="43" t="str">
        <f t="shared" si="116"/>
        <v>-</v>
      </c>
      <c r="AM445" s="43">
        <f t="shared" si="104"/>
        <v>0</v>
      </c>
      <c r="AN445" s="193">
        <f t="shared" si="104"/>
        <v>0</v>
      </c>
      <c r="AO445" s="270" t="str">
        <f t="shared" si="105"/>
        <v>-</v>
      </c>
      <c r="AP445" s="265">
        <f>BJ445</f>
        <v>10</v>
      </c>
      <c r="AQ445" s="26" t="str">
        <f t="shared" si="112"/>
        <v>KLANAWA RIVERChinook</v>
      </c>
      <c r="AR445" s="26">
        <f t="shared" si="106"/>
        <v>0</v>
      </c>
      <c r="AS445" s="33">
        <f t="shared" si="107"/>
        <v>0</v>
      </c>
      <c r="AX445" s="47" t="str">
        <f t="shared" si="108"/>
        <v>KLANAWA RIVERChinook</v>
      </c>
      <c r="AY445" s="49">
        <f t="shared" si="109"/>
        <v>0</v>
      </c>
      <c r="AZ445" s="49">
        <f t="shared" si="110"/>
        <v>0</v>
      </c>
      <c r="BA445" s="31">
        <v>2011</v>
      </c>
      <c r="BB445" s="188">
        <f t="shared" si="113"/>
        <v>0</v>
      </c>
      <c r="BC445" s="188" t="str">
        <f t="shared" si="117"/>
        <v xml:space="preserve"> </v>
      </c>
      <c r="BD445" s="188" t="str">
        <f t="shared" si="118"/>
        <v xml:space="preserve"> </v>
      </c>
      <c r="BE445" s="188" t="str">
        <f t="shared" si="119"/>
        <v xml:space="preserve"> </v>
      </c>
      <c r="BF445" s="50" t="str">
        <f t="shared" si="111"/>
        <v>KLANAWA RIVER_Chinook</v>
      </c>
      <c r="BG445" s="50" t="str">
        <f>IFERROR(VLOOKUP(BF445,'[1]WCVI Esc'!$C$5:$W$514,18,FALSE),"-")</f>
        <v>-</v>
      </c>
      <c r="BH445" s="50" t="str">
        <f t="shared" si="114"/>
        <v>-</v>
      </c>
      <c r="BI445" s="50">
        <f>IFERROR(VLOOKUP(BF445,'[1]WCVI Esc'!$C$5:$W$514,19,FALSE),"-")</f>
        <v>8</v>
      </c>
      <c r="BJ445" s="50">
        <f t="shared" si="115"/>
        <v>10</v>
      </c>
    </row>
    <row r="446" spans="1:66" hidden="1" x14ac:dyDescent="0.2">
      <c r="A446" s="28">
        <v>4</v>
      </c>
      <c r="B446" s="29">
        <v>6</v>
      </c>
      <c r="C446" s="13">
        <v>21</v>
      </c>
      <c r="D446" s="13" t="s">
        <v>304</v>
      </c>
      <c r="E446" s="10" t="s">
        <v>77</v>
      </c>
      <c r="F446" s="10" t="s">
        <v>211</v>
      </c>
      <c r="G446" s="10"/>
      <c r="H446" s="152"/>
      <c r="I446" s="164"/>
      <c r="J446" s="62"/>
      <c r="K446" s="62"/>
      <c r="L446" s="177"/>
      <c r="M446" s="171"/>
      <c r="N446" s="62"/>
      <c r="O446" s="63"/>
      <c r="P446" s="62"/>
      <c r="Q446" s="64"/>
      <c r="R446" s="169"/>
      <c r="S446" s="62"/>
      <c r="T446" s="62"/>
      <c r="U446" s="62"/>
      <c r="V446" s="177"/>
      <c r="W446" s="171"/>
      <c r="X446" s="62"/>
      <c r="Y446" s="45"/>
      <c r="Z446" s="45"/>
      <c r="AA446" s="100"/>
      <c r="AB446" s="100"/>
      <c r="AC446" s="100"/>
      <c r="AD446" s="100"/>
      <c r="AE446" s="100"/>
      <c r="AF446" s="100"/>
      <c r="AG446" s="69">
        <v>21</v>
      </c>
      <c r="AH446" s="69" t="s">
        <v>304</v>
      </c>
      <c r="AI446" s="243" t="s">
        <v>77</v>
      </c>
      <c r="AJ446" s="243" t="s">
        <v>419</v>
      </c>
      <c r="AK446" s="246"/>
      <c r="AL446" s="43" t="str">
        <f t="shared" si="116"/>
        <v>-</v>
      </c>
      <c r="AM446" s="43">
        <f t="shared" si="104"/>
        <v>0</v>
      </c>
      <c r="AN446" s="193">
        <f t="shared" si="104"/>
        <v>0</v>
      </c>
      <c r="AO446" s="270" t="str">
        <f t="shared" si="105"/>
        <v>-</v>
      </c>
      <c r="AP446" s="266"/>
      <c r="AQ446" s="26" t="str">
        <f t="shared" si="112"/>
        <v>KLANAWA RIVERSteelhead</v>
      </c>
      <c r="AR446" s="26">
        <f t="shared" si="106"/>
        <v>0</v>
      </c>
      <c r="AS446" s="33">
        <f t="shared" si="107"/>
        <v>0</v>
      </c>
      <c r="AX446" s="47" t="str">
        <f t="shared" si="108"/>
        <v>KLANAWA RIVERSteelhead</v>
      </c>
      <c r="AY446" s="49">
        <f t="shared" si="109"/>
        <v>0</v>
      </c>
      <c r="AZ446" s="49">
        <f t="shared" si="110"/>
        <v>0</v>
      </c>
      <c r="BA446" s="31">
        <v>0</v>
      </c>
      <c r="BB446" s="188">
        <f t="shared" si="113"/>
        <v>0</v>
      </c>
      <c r="BC446" s="188" t="str">
        <f t="shared" si="117"/>
        <v xml:space="preserve"> </v>
      </c>
      <c r="BD446" s="188" t="str">
        <f t="shared" si="118"/>
        <v xml:space="preserve"> </v>
      </c>
      <c r="BE446" s="188" t="str">
        <f t="shared" si="119"/>
        <v xml:space="preserve"> </v>
      </c>
      <c r="BF446" s="50" t="str">
        <f t="shared" si="111"/>
        <v>KLANAWA RIVER_Steelhead</v>
      </c>
      <c r="BG446" s="50" t="str">
        <f>IFERROR(VLOOKUP(BF446,'[1]WCVI Esc'!$C$5:$W$514,18,FALSE),"-")</f>
        <v>-</v>
      </c>
      <c r="BH446" s="50" t="str">
        <f t="shared" si="114"/>
        <v>-</v>
      </c>
      <c r="BI446" s="50" t="str">
        <f>IFERROR(VLOOKUP(BF446,'[1]WCVI Esc'!$C$5:$W$514,19,FALSE),"-")</f>
        <v>-</v>
      </c>
      <c r="BJ446" s="50" t="str">
        <f t="shared" si="115"/>
        <v>-</v>
      </c>
    </row>
    <row r="447" spans="1:66" hidden="1" x14ac:dyDescent="0.2">
      <c r="A447" s="28">
        <v>4</v>
      </c>
      <c r="B447" s="29">
        <v>1</v>
      </c>
      <c r="C447" s="13">
        <v>21</v>
      </c>
      <c r="D447" s="13" t="s">
        <v>304</v>
      </c>
      <c r="E447" s="10" t="s">
        <v>78</v>
      </c>
      <c r="F447" s="10" t="s">
        <v>207</v>
      </c>
      <c r="G447" s="10"/>
      <c r="H447" s="152"/>
      <c r="I447" s="164"/>
      <c r="J447" s="62"/>
      <c r="K447" s="62"/>
      <c r="L447" s="177"/>
      <c r="M447" s="171"/>
      <c r="N447" s="62"/>
      <c r="O447" s="62"/>
      <c r="P447" s="62"/>
      <c r="Q447" s="64"/>
      <c r="R447" s="164"/>
      <c r="S447" s="62"/>
      <c r="T447" s="62"/>
      <c r="U447" s="62"/>
      <c r="V447" s="177"/>
      <c r="W447" s="171"/>
      <c r="X447" s="62"/>
      <c r="Y447" s="45"/>
      <c r="Z447" s="45"/>
      <c r="AA447" s="100"/>
      <c r="AB447" s="100"/>
      <c r="AC447" s="100"/>
      <c r="AD447" s="100"/>
      <c r="AE447" s="100"/>
      <c r="AF447" s="100"/>
      <c r="AG447" s="69">
        <v>21</v>
      </c>
      <c r="AH447" s="69" t="s">
        <v>304</v>
      </c>
      <c r="AI447" s="243" t="s">
        <v>78</v>
      </c>
      <c r="AJ447" s="243" t="s">
        <v>419</v>
      </c>
      <c r="AK447" s="246"/>
      <c r="AL447" s="43" t="str">
        <f t="shared" si="116"/>
        <v>-</v>
      </c>
      <c r="AM447" s="43">
        <f t="shared" ref="AM447:AN510" si="120">AR447</f>
        <v>0</v>
      </c>
      <c r="AN447" s="193">
        <f t="shared" si="120"/>
        <v>0</v>
      </c>
      <c r="AO447" s="270" t="str">
        <f t="shared" ref="AO447:AO510" si="121">BH447</f>
        <v>-</v>
      </c>
      <c r="AP447" s="266"/>
      <c r="AQ447" s="26" t="str">
        <f t="shared" si="112"/>
        <v>RALF CREEKSockeye</v>
      </c>
      <c r="AR447" s="26">
        <f t="shared" ref="AR447:AR510" si="122">COUNT(G447:X447)</f>
        <v>0</v>
      </c>
      <c r="AS447" s="33">
        <f t="shared" ref="AS447:AS510" si="123">MAX(G447:X447)</f>
        <v>0</v>
      </c>
      <c r="AX447" s="47" t="str">
        <f t="shared" ref="AX447:AX510" si="124">CONCATENATE(E447,F447)</f>
        <v>RALF CREEKSockeye</v>
      </c>
      <c r="AY447" s="49">
        <f t="shared" ref="AY447:AY510" si="125">Z447</f>
        <v>0</v>
      </c>
      <c r="AZ447" s="49">
        <f t="shared" ref="AZ447:AZ510" si="126">Y447</f>
        <v>0</v>
      </c>
      <c r="BA447" s="31">
        <v>0</v>
      </c>
      <c r="BB447" s="188">
        <f t="shared" si="113"/>
        <v>0</v>
      </c>
      <c r="BC447" s="188" t="str">
        <f t="shared" si="117"/>
        <v xml:space="preserve"> </v>
      </c>
      <c r="BD447" s="188" t="str">
        <f t="shared" si="118"/>
        <v xml:space="preserve"> </v>
      </c>
      <c r="BE447" s="188" t="str">
        <f t="shared" si="119"/>
        <v xml:space="preserve"> </v>
      </c>
      <c r="BF447" s="50" t="str">
        <f t="shared" ref="BF447:BF510" si="127">CONCATENATE(E447,"_",F447)</f>
        <v>RALF CREEK_Sockeye</v>
      </c>
      <c r="BG447" s="50" t="str">
        <f>IFERROR(VLOOKUP(BF447,'[1]WCVI Esc'!$C$5:$W$514,18,FALSE),"-")</f>
        <v>-</v>
      </c>
      <c r="BH447" s="50" t="str">
        <f t="shared" si="114"/>
        <v>-</v>
      </c>
      <c r="BI447" s="50" t="str">
        <f>IFERROR(VLOOKUP(BF447,'[1]WCVI Esc'!$C$5:$W$514,19,FALSE),"-")</f>
        <v>-</v>
      </c>
      <c r="BJ447" s="50" t="str">
        <f t="shared" si="115"/>
        <v>-</v>
      </c>
    </row>
    <row r="448" spans="1:66" hidden="1" x14ac:dyDescent="0.2">
      <c r="A448" s="28">
        <v>4</v>
      </c>
      <c r="B448" s="29">
        <v>2</v>
      </c>
      <c r="C448" s="13">
        <v>21</v>
      </c>
      <c r="D448" s="13" t="s">
        <v>304</v>
      </c>
      <c r="E448" s="10" t="s">
        <v>78</v>
      </c>
      <c r="F448" s="10" t="s">
        <v>219</v>
      </c>
      <c r="G448" s="10"/>
      <c r="H448" s="152"/>
      <c r="I448" s="164"/>
      <c r="J448" s="62"/>
      <c r="K448" s="62"/>
      <c r="L448" s="177"/>
      <c r="M448" s="171"/>
      <c r="N448" s="62"/>
      <c r="O448" s="62"/>
      <c r="P448" s="62"/>
      <c r="Q448" s="64"/>
      <c r="R448" s="164"/>
      <c r="S448" s="62"/>
      <c r="T448" s="62"/>
      <c r="U448" s="62"/>
      <c r="V448" s="177"/>
      <c r="W448" s="171"/>
      <c r="X448" s="62"/>
      <c r="Y448" s="45"/>
      <c r="Z448" s="45"/>
      <c r="AA448" s="100"/>
      <c r="AB448" s="100"/>
      <c r="AC448" s="100"/>
      <c r="AD448" s="100"/>
      <c r="AE448" s="100"/>
      <c r="AF448" s="100"/>
      <c r="AG448" s="69">
        <v>21</v>
      </c>
      <c r="AH448" s="69" t="s">
        <v>304</v>
      </c>
      <c r="AI448" s="243" t="s">
        <v>78</v>
      </c>
      <c r="AJ448" s="243" t="s">
        <v>419</v>
      </c>
      <c r="AK448" s="246"/>
      <c r="AL448" s="43" t="str">
        <f t="shared" si="116"/>
        <v>-</v>
      </c>
      <c r="AM448" s="43">
        <f t="shared" si="120"/>
        <v>0</v>
      </c>
      <c r="AN448" s="193">
        <f t="shared" si="120"/>
        <v>0</v>
      </c>
      <c r="AO448" s="270" t="str">
        <f t="shared" si="121"/>
        <v>-</v>
      </c>
      <c r="AP448" s="266"/>
      <c r="AQ448" s="26" t="str">
        <f t="shared" si="112"/>
        <v>RALF CREEKCoho</v>
      </c>
      <c r="AR448" s="26">
        <f t="shared" si="122"/>
        <v>0</v>
      </c>
      <c r="AS448" s="33">
        <f t="shared" si="123"/>
        <v>0</v>
      </c>
      <c r="AX448" s="47" t="str">
        <f t="shared" si="124"/>
        <v>RALF CREEKCoho</v>
      </c>
      <c r="AY448" s="49">
        <f t="shared" si="125"/>
        <v>0</v>
      </c>
      <c r="AZ448" s="49">
        <f t="shared" si="126"/>
        <v>0</v>
      </c>
      <c r="BA448" s="31">
        <v>0</v>
      </c>
      <c r="BB448" s="188">
        <f t="shared" si="113"/>
        <v>0</v>
      </c>
      <c r="BC448" s="188" t="str">
        <f t="shared" si="117"/>
        <v xml:space="preserve"> </v>
      </c>
      <c r="BD448" s="188" t="str">
        <f t="shared" si="118"/>
        <v xml:space="preserve"> </v>
      </c>
      <c r="BE448" s="188" t="str">
        <f t="shared" si="119"/>
        <v xml:space="preserve"> </v>
      </c>
      <c r="BF448" s="50" t="str">
        <f t="shared" si="127"/>
        <v>RALF CREEK_Coho</v>
      </c>
      <c r="BG448" s="50" t="str">
        <f>IFERROR(VLOOKUP(BF448,'[1]WCVI Esc'!$C$5:$W$514,18,FALSE),"-")</f>
        <v>-</v>
      </c>
      <c r="BH448" s="50" t="str">
        <f t="shared" si="114"/>
        <v>-</v>
      </c>
      <c r="BI448" s="50" t="str">
        <f>IFERROR(VLOOKUP(BF448,'[1]WCVI Esc'!$C$5:$W$514,19,FALSE),"-")</f>
        <v>-</v>
      </c>
      <c r="BJ448" s="50" t="str">
        <f t="shared" si="115"/>
        <v>-</v>
      </c>
    </row>
    <row r="449" spans="1:62" hidden="1" x14ac:dyDescent="0.2">
      <c r="A449" s="28">
        <v>4</v>
      </c>
      <c r="B449" s="29">
        <v>3</v>
      </c>
      <c r="C449" s="13">
        <v>21</v>
      </c>
      <c r="D449" s="13" t="s">
        <v>304</v>
      </c>
      <c r="E449" s="10" t="s">
        <v>78</v>
      </c>
      <c r="F449" s="10" t="s">
        <v>208</v>
      </c>
      <c r="G449" s="10"/>
      <c r="H449" s="152"/>
      <c r="I449" s="164"/>
      <c r="J449" s="62"/>
      <c r="K449" s="62"/>
      <c r="L449" s="177"/>
      <c r="M449" s="171"/>
      <c r="N449" s="62"/>
      <c r="O449" s="62"/>
      <c r="P449" s="62"/>
      <c r="Q449" s="64"/>
      <c r="R449" s="164"/>
      <c r="S449" s="62"/>
      <c r="T449" s="62"/>
      <c r="U449" s="62"/>
      <c r="V449" s="177"/>
      <c r="W449" s="171"/>
      <c r="X449" s="62"/>
      <c r="Y449" s="45"/>
      <c r="Z449" s="45"/>
      <c r="AA449" s="100"/>
      <c r="AB449" s="100"/>
      <c r="AC449" s="100"/>
      <c r="AD449" s="100"/>
      <c r="AE449" s="100"/>
      <c r="AF449" s="100"/>
      <c r="AG449" s="69">
        <v>21</v>
      </c>
      <c r="AH449" s="69" t="s">
        <v>304</v>
      </c>
      <c r="AI449" s="243" t="s">
        <v>78</v>
      </c>
      <c r="AJ449" s="243" t="s">
        <v>419</v>
      </c>
      <c r="AK449" s="246"/>
      <c r="AL449" s="43" t="str">
        <f t="shared" si="116"/>
        <v>-</v>
      </c>
      <c r="AM449" s="43">
        <f t="shared" si="120"/>
        <v>0</v>
      </c>
      <c r="AN449" s="193">
        <f t="shared" si="120"/>
        <v>0</v>
      </c>
      <c r="AO449" s="270" t="str">
        <f t="shared" si="121"/>
        <v>-</v>
      </c>
      <c r="AP449" s="266"/>
      <c r="AQ449" s="26" t="str">
        <f t="shared" si="112"/>
        <v>RALF CREEKPink</v>
      </c>
      <c r="AR449" s="26">
        <f t="shared" si="122"/>
        <v>0</v>
      </c>
      <c r="AS449" s="33">
        <f t="shared" si="123"/>
        <v>0</v>
      </c>
      <c r="AX449" s="47" t="str">
        <f t="shared" si="124"/>
        <v>RALF CREEKPink</v>
      </c>
      <c r="AY449" s="49">
        <f t="shared" si="125"/>
        <v>0</v>
      </c>
      <c r="AZ449" s="49">
        <f t="shared" si="126"/>
        <v>0</v>
      </c>
      <c r="BA449" s="31">
        <v>0</v>
      </c>
      <c r="BB449" s="188">
        <f t="shared" si="113"/>
        <v>0</v>
      </c>
      <c r="BC449" s="188" t="str">
        <f t="shared" si="117"/>
        <v xml:space="preserve"> </v>
      </c>
      <c r="BD449" s="188" t="str">
        <f t="shared" si="118"/>
        <v xml:space="preserve"> </v>
      </c>
      <c r="BE449" s="188" t="str">
        <f t="shared" si="119"/>
        <v xml:space="preserve"> </v>
      </c>
      <c r="BF449" s="50" t="str">
        <f t="shared" si="127"/>
        <v>RALF CREEK_Pink</v>
      </c>
      <c r="BG449" s="50" t="str">
        <f>IFERROR(VLOOKUP(BF449,'[1]WCVI Esc'!$C$5:$W$514,18,FALSE),"-")</f>
        <v>-</v>
      </c>
      <c r="BH449" s="50" t="str">
        <f t="shared" si="114"/>
        <v>-</v>
      </c>
      <c r="BI449" s="50" t="str">
        <f>IFERROR(VLOOKUP(BF449,'[1]WCVI Esc'!$C$5:$W$514,19,FALSE),"-")</f>
        <v>-</v>
      </c>
      <c r="BJ449" s="50" t="str">
        <f t="shared" si="115"/>
        <v>-</v>
      </c>
    </row>
    <row r="450" spans="1:62" hidden="1" x14ac:dyDescent="0.2">
      <c r="A450" s="28">
        <v>4</v>
      </c>
      <c r="B450" s="29">
        <v>4</v>
      </c>
      <c r="C450" s="13">
        <v>21</v>
      </c>
      <c r="D450" s="13" t="s">
        <v>304</v>
      </c>
      <c r="E450" s="10" t="s">
        <v>78</v>
      </c>
      <c r="F450" s="10" t="s">
        <v>209</v>
      </c>
      <c r="G450" s="10"/>
      <c r="H450" s="152"/>
      <c r="I450" s="164"/>
      <c r="J450" s="62"/>
      <c r="K450" s="62"/>
      <c r="L450" s="177"/>
      <c r="M450" s="171"/>
      <c r="N450" s="62"/>
      <c r="O450" s="62"/>
      <c r="P450" s="62"/>
      <c r="Q450" s="64"/>
      <c r="R450" s="164"/>
      <c r="S450" s="62"/>
      <c r="T450" s="62"/>
      <c r="U450" s="62"/>
      <c r="V450" s="177"/>
      <c r="W450" s="171"/>
      <c r="X450" s="62"/>
      <c r="Y450" s="45"/>
      <c r="Z450" s="45"/>
      <c r="AA450" s="100"/>
      <c r="AB450" s="100"/>
      <c r="AC450" s="100"/>
      <c r="AD450" s="100"/>
      <c r="AE450" s="100"/>
      <c r="AF450" s="100"/>
      <c r="AG450" s="69">
        <v>21</v>
      </c>
      <c r="AH450" s="69" t="s">
        <v>304</v>
      </c>
      <c r="AI450" s="243" t="s">
        <v>78</v>
      </c>
      <c r="AJ450" s="243" t="s">
        <v>419</v>
      </c>
      <c r="AK450" s="246"/>
      <c r="AL450" s="43" t="str">
        <f t="shared" si="116"/>
        <v>-</v>
      </c>
      <c r="AM450" s="43">
        <f t="shared" si="120"/>
        <v>0</v>
      </c>
      <c r="AN450" s="193">
        <f t="shared" si="120"/>
        <v>0</v>
      </c>
      <c r="AO450" s="270" t="str">
        <f t="shared" si="121"/>
        <v>-</v>
      </c>
      <c r="AP450" s="266"/>
      <c r="AQ450" s="26" t="str">
        <f t="shared" si="112"/>
        <v>RALF CREEKChum</v>
      </c>
      <c r="AR450" s="26">
        <f t="shared" si="122"/>
        <v>0</v>
      </c>
      <c r="AS450" s="33">
        <f t="shared" si="123"/>
        <v>0</v>
      </c>
      <c r="AX450" s="47" t="str">
        <f t="shared" si="124"/>
        <v>RALF CREEKChum</v>
      </c>
      <c r="AY450" s="49">
        <f t="shared" si="125"/>
        <v>0</v>
      </c>
      <c r="AZ450" s="49">
        <f t="shared" si="126"/>
        <v>0</v>
      </c>
      <c r="BA450" s="31">
        <v>0</v>
      </c>
      <c r="BB450" s="188">
        <f t="shared" si="113"/>
        <v>0</v>
      </c>
      <c r="BC450" s="188" t="str">
        <f t="shared" si="117"/>
        <v xml:space="preserve"> </v>
      </c>
      <c r="BD450" s="188" t="str">
        <f t="shared" si="118"/>
        <v xml:space="preserve"> </v>
      </c>
      <c r="BE450" s="188" t="str">
        <f t="shared" si="119"/>
        <v xml:space="preserve"> </v>
      </c>
      <c r="BF450" s="50" t="str">
        <f t="shared" si="127"/>
        <v>RALF CREEK_Chum</v>
      </c>
      <c r="BG450" s="50" t="str">
        <f>IFERROR(VLOOKUP(BF450,'[1]WCVI Esc'!$C$5:$W$514,18,FALSE),"-")</f>
        <v>-</v>
      </c>
      <c r="BH450" s="50" t="str">
        <f t="shared" si="114"/>
        <v>-</v>
      </c>
      <c r="BI450" s="50" t="str">
        <f>IFERROR(VLOOKUP(BF450,'[1]WCVI Esc'!$C$5:$W$514,19,FALSE),"-")</f>
        <v>-</v>
      </c>
      <c r="BJ450" s="50" t="str">
        <f t="shared" si="115"/>
        <v>-</v>
      </c>
    </row>
    <row r="451" spans="1:62" hidden="1" x14ac:dyDescent="0.2">
      <c r="A451" s="28">
        <v>4</v>
      </c>
      <c r="B451" s="29">
        <v>5</v>
      </c>
      <c r="C451" s="13">
        <v>21</v>
      </c>
      <c r="D451" s="13" t="s">
        <v>304</v>
      </c>
      <c r="E451" s="10" t="s">
        <v>78</v>
      </c>
      <c r="F451" s="10" t="s">
        <v>210</v>
      </c>
      <c r="G451" s="10"/>
      <c r="H451" s="152"/>
      <c r="I451" s="164"/>
      <c r="J451" s="62"/>
      <c r="K451" s="62"/>
      <c r="L451" s="177"/>
      <c r="M451" s="171"/>
      <c r="N451" s="62"/>
      <c r="O451" s="62"/>
      <c r="P451" s="62"/>
      <c r="Q451" s="64"/>
      <c r="R451" s="164"/>
      <c r="S451" s="62"/>
      <c r="T451" s="62"/>
      <c r="U451" s="62"/>
      <c r="V451" s="177"/>
      <c r="W451" s="171"/>
      <c r="X451" s="62"/>
      <c r="Y451" s="45"/>
      <c r="Z451" s="45"/>
      <c r="AA451" s="100"/>
      <c r="AB451" s="100"/>
      <c r="AC451" s="100"/>
      <c r="AD451" s="100"/>
      <c r="AE451" s="100"/>
      <c r="AF451" s="100"/>
      <c r="AG451" s="69">
        <v>21</v>
      </c>
      <c r="AH451" s="69" t="s">
        <v>304</v>
      </c>
      <c r="AI451" s="243" t="s">
        <v>78</v>
      </c>
      <c r="AJ451" s="243" t="s">
        <v>419</v>
      </c>
      <c r="AK451" s="246"/>
      <c r="AL451" s="43" t="str">
        <f t="shared" si="116"/>
        <v>-</v>
      </c>
      <c r="AM451" s="43">
        <f t="shared" si="120"/>
        <v>0</v>
      </c>
      <c r="AN451" s="193">
        <f t="shared" si="120"/>
        <v>0</v>
      </c>
      <c r="AO451" s="270" t="str">
        <f t="shared" si="121"/>
        <v>-</v>
      </c>
      <c r="AP451" s="266"/>
      <c r="AQ451" s="26" t="str">
        <f t="shared" ref="AQ451:AQ514" si="128">CONCATENATE(E451,F451)</f>
        <v>RALF CREEKChinook</v>
      </c>
      <c r="AR451" s="26">
        <f t="shared" si="122"/>
        <v>0</v>
      </c>
      <c r="AS451" s="33">
        <f t="shared" si="123"/>
        <v>0</v>
      </c>
      <c r="AX451" s="47" t="str">
        <f t="shared" si="124"/>
        <v>RALF CREEKChinook</v>
      </c>
      <c r="AY451" s="49">
        <f t="shared" si="125"/>
        <v>0</v>
      </c>
      <c r="AZ451" s="49">
        <f t="shared" si="126"/>
        <v>0</v>
      </c>
      <c r="BA451" s="31">
        <v>0</v>
      </c>
      <c r="BB451" s="188">
        <f t="shared" si="113"/>
        <v>0</v>
      </c>
      <c r="BC451" s="188" t="str">
        <f t="shared" si="117"/>
        <v xml:space="preserve"> </v>
      </c>
      <c r="BD451" s="188" t="str">
        <f t="shared" si="118"/>
        <v xml:space="preserve"> </v>
      </c>
      <c r="BE451" s="188" t="str">
        <f t="shared" si="119"/>
        <v xml:space="preserve"> </v>
      </c>
      <c r="BF451" s="50" t="str">
        <f t="shared" si="127"/>
        <v>RALF CREEK_Chinook</v>
      </c>
      <c r="BG451" s="50" t="str">
        <f>IFERROR(VLOOKUP(BF451,'[1]WCVI Esc'!$C$5:$W$514,18,FALSE),"-")</f>
        <v>-</v>
      </c>
      <c r="BH451" s="50" t="str">
        <f t="shared" si="114"/>
        <v>-</v>
      </c>
      <c r="BI451" s="50" t="str">
        <f>IFERROR(VLOOKUP(BF451,'[1]WCVI Esc'!$C$5:$W$514,19,FALSE),"-")</f>
        <v>-</v>
      </c>
      <c r="BJ451" s="50" t="str">
        <f t="shared" si="115"/>
        <v>-</v>
      </c>
    </row>
    <row r="452" spans="1:62" hidden="1" x14ac:dyDescent="0.2">
      <c r="A452" s="28">
        <v>4</v>
      </c>
      <c r="B452" s="29">
        <v>6</v>
      </c>
      <c r="C452" s="13">
        <v>21</v>
      </c>
      <c r="D452" s="13" t="s">
        <v>304</v>
      </c>
      <c r="E452" s="10" t="s">
        <v>78</v>
      </c>
      <c r="F452" s="10" t="s">
        <v>211</v>
      </c>
      <c r="G452" s="10"/>
      <c r="H452" s="152"/>
      <c r="I452" s="164"/>
      <c r="J452" s="62"/>
      <c r="K452" s="62"/>
      <c r="L452" s="177"/>
      <c r="M452" s="171"/>
      <c r="N452" s="62"/>
      <c r="O452" s="62"/>
      <c r="P452" s="62"/>
      <c r="Q452" s="64"/>
      <c r="R452" s="164"/>
      <c r="S452" s="62"/>
      <c r="T452" s="62"/>
      <c r="U452" s="62"/>
      <c r="V452" s="177"/>
      <c r="W452" s="171"/>
      <c r="X452" s="62"/>
      <c r="Y452" s="45"/>
      <c r="Z452" s="45"/>
      <c r="AA452" s="100"/>
      <c r="AB452" s="100"/>
      <c r="AC452" s="100"/>
      <c r="AD452" s="100"/>
      <c r="AE452" s="100"/>
      <c r="AF452" s="100"/>
      <c r="AG452" s="69">
        <v>21</v>
      </c>
      <c r="AH452" s="69" t="s">
        <v>304</v>
      </c>
      <c r="AI452" s="243" t="s">
        <v>78</v>
      </c>
      <c r="AJ452" s="243" t="s">
        <v>419</v>
      </c>
      <c r="AK452" s="246"/>
      <c r="AL452" s="43" t="str">
        <f t="shared" si="116"/>
        <v>-</v>
      </c>
      <c r="AM452" s="43">
        <f t="shared" si="120"/>
        <v>0</v>
      </c>
      <c r="AN452" s="193">
        <f t="shared" si="120"/>
        <v>0</v>
      </c>
      <c r="AO452" s="270" t="str">
        <f t="shared" si="121"/>
        <v>-</v>
      </c>
      <c r="AP452" s="266"/>
      <c r="AQ452" s="26" t="str">
        <f t="shared" si="128"/>
        <v>RALF CREEKSteelhead</v>
      </c>
      <c r="AR452" s="26">
        <f t="shared" si="122"/>
        <v>0</v>
      </c>
      <c r="AS452" s="33">
        <f t="shared" si="123"/>
        <v>0</v>
      </c>
      <c r="AX452" s="47" t="str">
        <f t="shared" si="124"/>
        <v>RALF CREEKSteelhead</v>
      </c>
      <c r="AY452" s="49">
        <f t="shared" si="125"/>
        <v>0</v>
      </c>
      <c r="AZ452" s="49">
        <f t="shared" si="126"/>
        <v>0</v>
      </c>
      <c r="BA452" s="31">
        <v>0</v>
      </c>
      <c r="BB452" s="188">
        <f t="shared" si="113"/>
        <v>0</v>
      </c>
      <c r="BC452" s="188" t="str">
        <f t="shared" si="117"/>
        <v xml:space="preserve"> </v>
      </c>
      <c r="BD452" s="188" t="str">
        <f t="shared" si="118"/>
        <v xml:space="preserve"> </v>
      </c>
      <c r="BE452" s="188" t="str">
        <f t="shared" si="119"/>
        <v xml:space="preserve"> </v>
      </c>
      <c r="BF452" s="50" t="str">
        <f t="shared" si="127"/>
        <v>RALF CREEK_Steelhead</v>
      </c>
      <c r="BG452" s="50" t="str">
        <f>IFERROR(VLOOKUP(BF452,'[1]WCVI Esc'!$C$5:$W$514,18,FALSE),"-")</f>
        <v>-</v>
      </c>
      <c r="BH452" s="50" t="str">
        <f t="shared" si="114"/>
        <v>-</v>
      </c>
      <c r="BI452" s="50" t="str">
        <f>IFERROR(VLOOKUP(BF452,'[1]WCVI Esc'!$C$5:$W$514,19,FALSE),"-")</f>
        <v>-</v>
      </c>
      <c r="BJ452" s="50" t="str">
        <f t="shared" si="115"/>
        <v>-</v>
      </c>
    </row>
    <row r="453" spans="1:62" hidden="1" x14ac:dyDescent="0.2">
      <c r="A453" s="28">
        <v>4</v>
      </c>
      <c r="B453" s="28">
        <v>1</v>
      </c>
      <c r="C453" s="11">
        <v>22</v>
      </c>
      <c r="D453" s="13" t="s">
        <v>304</v>
      </c>
      <c r="E453" s="10" t="s">
        <v>79</v>
      </c>
      <c r="F453" s="10" t="s">
        <v>207</v>
      </c>
      <c r="G453" s="10"/>
      <c r="H453" s="152"/>
      <c r="I453" s="164"/>
      <c r="J453" s="62"/>
      <c r="K453" s="62"/>
      <c r="L453" s="177"/>
      <c r="M453" s="171"/>
      <c r="N453" s="62"/>
      <c r="O453" s="62"/>
      <c r="P453" s="62"/>
      <c r="Q453" s="64"/>
      <c r="R453" s="164"/>
      <c r="S453" s="62"/>
      <c r="T453" s="62"/>
      <c r="U453" s="62"/>
      <c r="V453" s="177"/>
      <c r="W453" s="171"/>
      <c r="X453" s="62"/>
      <c r="Y453" s="45"/>
      <c r="Z453" s="45"/>
      <c r="AA453" s="100"/>
      <c r="AB453" s="100"/>
      <c r="AC453" s="100"/>
      <c r="AD453" s="100"/>
      <c r="AE453" s="100"/>
      <c r="AF453" s="100"/>
      <c r="AG453" s="18">
        <v>22</v>
      </c>
      <c r="AH453" s="69" t="s">
        <v>304</v>
      </c>
      <c r="AI453" s="243" t="s">
        <v>79</v>
      </c>
      <c r="AJ453" s="243" t="s">
        <v>419</v>
      </c>
      <c r="AK453" s="244" t="s">
        <v>361</v>
      </c>
      <c r="AL453" s="43" t="str">
        <f t="shared" si="116"/>
        <v>-</v>
      </c>
      <c r="AM453" s="43">
        <f t="shared" si="120"/>
        <v>0</v>
      </c>
      <c r="AN453" s="193">
        <f t="shared" si="120"/>
        <v>0</v>
      </c>
      <c r="AO453" s="270" t="str">
        <f t="shared" si="121"/>
        <v>-</v>
      </c>
      <c r="AP453" s="266"/>
      <c r="AQ453" s="26" t="str">
        <f t="shared" si="128"/>
        <v>CAMPUS CREEKSockeye</v>
      </c>
      <c r="AR453" s="26">
        <f t="shared" si="122"/>
        <v>0</v>
      </c>
      <c r="AS453" s="33">
        <f t="shared" si="123"/>
        <v>0</v>
      </c>
      <c r="AX453" s="47" t="str">
        <f t="shared" si="124"/>
        <v>CAMPUS CREEKSockeye</v>
      </c>
      <c r="AY453" s="49">
        <f t="shared" si="125"/>
        <v>0</v>
      </c>
      <c r="AZ453" s="49">
        <f t="shared" si="126"/>
        <v>0</v>
      </c>
      <c r="BA453" s="31">
        <v>2015</v>
      </c>
      <c r="BB453" s="188" t="str">
        <f t="shared" si="113"/>
        <v>Nitinat Hatchery</v>
      </c>
      <c r="BC453" s="188" t="str">
        <f t="shared" si="117"/>
        <v xml:space="preserve"> </v>
      </c>
      <c r="BD453" s="188" t="str">
        <f t="shared" si="118"/>
        <v xml:space="preserve"> </v>
      </c>
      <c r="BE453" s="188" t="str">
        <f t="shared" si="119"/>
        <v xml:space="preserve"> </v>
      </c>
      <c r="BF453" s="50" t="str">
        <f t="shared" si="127"/>
        <v>CAMPUS CREEK_Sockeye</v>
      </c>
      <c r="BG453" s="50" t="str">
        <f>IFERROR(VLOOKUP(BF453,'[1]WCVI Esc'!$C$5:$W$514,18,FALSE),"-")</f>
        <v>-</v>
      </c>
      <c r="BH453" s="50" t="str">
        <f t="shared" si="114"/>
        <v>-</v>
      </c>
      <c r="BI453" s="50" t="str">
        <f>IFERROR(VLOOKUP(BF453,'[1]WCVI Esc'!$C$5:$W$514,19,FALSE),"-")</f>
        <v>-</v>
      </c>
      <c r="BJ453" s="50" t="str">
        <f t="shared" si="115"/>
        <v>-</v>
      </c>
    </row>
    <row r="454" spans="1:62" hidden="1" x14ac:dyDescent="0.2">
      <c r="A454" s="28">
        <v>4</v>
      </c>
      <c r="B454" s="28">
        <v>2</v>
      </c>
      <c r="C454" s="11">
        <v>22</v>
      </c>
      <c r="D454" s="13" t="s">
        <v>304</v>
      </c>
      <c r="E454" s="10" t="s">
        <v>79</v>
      </c>
      <c r="F454" s="10" t="s">
        <v>219</v>
      </c>
      <c r="G454" s="10"/>
      <c r="H454" s="152"/>
      <c r="I454" s="164"/>
      <c r="J454" s="62"/>
      <c r="K454" s="62"/>
      <c r="L454" s="177"/>
      <c r="M454" s="171"/>
      <c r="N454" s="62"/>
      <c r="O454" s="62"/>
      <c r="P454" s="62"/>
      <c r="Q454" s="332"/>
      <c r="R454" s="164"/>
      <c r="S454" s="62"/>
      <c r="T454" s="62"/>
      <c r="U454" s="62"/>
      <c r="V454" s="177"/>
      <c r="W454" s="171"/>
      <c r="X454" s="62"/>
      <c r="Y454" s="45"/>
      <c r="Z454" s="45"/>
      <c r="AA454" s="100"/>
      <c r="AB454" s="100"/>
      <c r="AC454" s="100"/>
      <c r="AD454" s="100"/>
      <c r="AE454" s="100"/>
      <c r="AF454" s="100"/>
      <c r="AG454" s="18">
        <v>22</v>
      </c>
      <c r="AH454" s="69" t="s">
        <v>304</v>
      </c>
      <c r="AI454" s="243" t="s">
        <v>79</v>
      </c>
      <c r="AJ454" s="243" t="s">
        <v>419</v>
      </c>
      <c r="AK454" s="244" t="s">
        <v>361</v>
      </c>
      <c r="AL454" s="43" t="str">
        <f t="shared" si="116"/>
        <v>-</v>
      </c>
      <c r="AM454" s="43">
        <f t="shared" si="120"/>
        <v>0</v>
      </c>
      <c r="AN454" s="193">
        <f t="shared" si="120"/>
        <v>0</v>
      </c>
      <c r="AO454" s="270">
        <f t="shared" si="121"/>
        <v>40</v>
      </c>
      <c r="AP454" s="266"/>
      <c r="AQ454" s="26" t="str">
        <f t="shared" si="128"/>
        <v>CAMPUS CREEKCoho</v>
      </c>
      <c r="AR454" s="26">
        <f t="shared" si="122"/>
        <v>0</v>
      </c>
      <c r="AS454" s="33">
        <f t="shared" si="123"/>
        <v>0</v>
      </c>
      <c r="AX454" s="47" t="str">
        <f t="shared" si="124"/>
        <v>CAMPUS CREEKCoho</v>
      </c>
      <c r="AY454" s="49">
        <f t="shared" si="125"/>
        <v>0</v>
      </c>
      <c r="AZ454" s="49">
        <f t="shared" si="126"/>
        <v>0</v>
      </c>
      <c r="BA454" s="31">
        <v>2015</v>
      </c>
      <c r="BB454" s="188" t="str">
        <f t="shared" si="113"/>
        <v>Nitinat Hatchery</v>
      </c>
      <c r="BC454" s="188" t="str">
        <f t="shared" si="117"/>
        <v xml:space="preserve"> </v>
      </c>
      <c r="BD454" s="188" t="str">
        <f t="shared" si="118"/>
        <v xml:space="preserve"> </v>
      </c>
      <c r="BE454" s="188" t="str">
        <f t="shared" si="119"/>
        <v xml:space="preserve"> </v>
      </c>
      <c r="BF454" s="50" t="str">
        <f t="shared" si="127"/>
        <v>CAMPUS CREEK_Coho</v>
      </c>
      <c r="BG454" s="50">
        <f>IFERROR(VLOOKUP(BF454,'[1]WCVI Esc'!$C$5:$W$514,18,FALSE),"-")</f>
        <v>40.333333333333336</v>
      </c>
      <c r="BH454" s="50">
        <f t="shared" si="114"/>
        <v>40</v>
      </c>
      <c r="BI454" s="50">
        <f>IFERROR(VLOOKUP(BF454,'[1]WCVI Esc'!$C$5:$W$514,19,FALSE),"-")</f>
        <v>40.333333333333336</v>
      </c>
      <c r="BJ454" s="50">
        <f t="shared" si="115"/>
        <v>40</v>
      </c>
    </row>
    <row r="455" spans="1:62" hidden="1" x14ac:dyDescent="0.2">
      <c r="A455" s="28">
        <v>4</v>
      </c>
      <c r="B455" s="28">
        <v>3</v>
      </c>
      <c r="C455" s="11">
        <v>22</v>
      </c>
      <c r="D455" s="13" t="s">
        <v>304</v>
      </c>
      <c r="E455" s="10" t="s">
        <v>79</v>
      </c>
      <c r="F455" s="10" t="s">
        <v>208</v>
      </c>
      <c r="G455" s="10"/>
      <c r="H455" s="152"/>
      <c r="I455" s="164"/>
      <c r="J455" s="62"/>
      <c r="K455" s="62"/>
      <c r="L455" s="177"/>
      <c r="M455" s="171"/>
      <c r="N455" s="62"/>
      <c r="O455" s="62"/>
      <c r="P455" s="62"/>
      <c r="Q455" s="64"/>
      <c r="R455" s="164"/>
      <c r="S455" s="62"/>
      <c r="T455" s="62"/>
      <c r="U455" s="62"/>
      <c r="V455" s="177"/>
      <c r="W455" s="171"/>
      <c r="X455" s="62"/>
      <c r="Y455" s="45"/>
      <c r="Z455" s="45"/>
      <c r="AA455" s="100"/>
      <c r="AB455" s="100"/>
      <c r="AC455" s="100"/>
      <c r="AD455" s="100"/>
      <c r="AE455" s="100"/>
      <c r="AF455" s="100"/>
      <c r="AG455" s="18">
        <v>22</v>
      </c>
      <c r="AH455" s="69" t="s">
        <v>304</v>
      </c>
      <c r="AI455" s="243" t="s">
        <v>79</v>
      </c>
      <c r="AJ455" s="243" t="s">
        <v>419</v>
      </c>
      <c r="AK455" s="244" t="s">
        <v>361</v>
      </c>
      <c r="AL455" s="43" t="str">
        <f t="shared" si="116"/>
        <v>-</v>
      </c>
      <c r="AM455" s="43">
        <f t="shared" si="120"/>
        <v>0</v>
      </c>
      <c r="AN455" s="193">
        <f t="shared" si="120"/>
        <v>0</v>
      </c>
      <c r="AO455" s="270" t="str">
        <f t="shared" si="121"/>
        <v>-</v>
      </c>
      <c r="AP455" s="266"/>
      <c r="AQ455" s="26" t="str">
        <f t="shared" si="128"/>
        <v>CAMPUS CREEKPink</v>
      </c>
      <c r="AR455" s="26">
        <f t="shared" si="122"/>
        <v>0</v>
      </c>
      <c r="AS455" s="33">
        <f t="shared" si="123"/>
        <v>0</v>
      </c>
      <c r="AX455" s="47" t="str">
        <f t="shared" si="124"/>
        <v>CAMPUS CREEKPink</v>
      </c>
      <c r="AY455" s="49">
        <f t="shared" si="125"/>
        <v>0</v>
      </c>
      <c r="AZ455" s="49">
        <f t="shared" si="126"/>
        <v>0</v>
      </c>
      <c r="BA455" s="31">
        <v>0</v>
      </c>
      <c r="BB455" s="188" t="str">
        <f t="shared" si="113"/>
        <v>Nitinat Hatchery</v>
      </c>
      <c r="BC455" s="188" t="str">
        <f t="shared" si="117"/>
        <v xml:space="preserve"> </v>
      </c>
      <c r="BD455" s="188" t="str">
        <f t="shared" si="118"/>
        <v xml:space="preserve"> </v>
      </c>
      <c r="BE455" s="188" t="str">
        <f t="shared" si="119"/>
        <v xml:space="preserve"> </v>
      </c>
      <c r="BF455" s="50" t="str">
        <f t="shared" si="127"/>
        <v>CAMPUS CREEK_Pink</v>
      </c>
      <c r="BG455" s="50" t="str">
        <f>IFERROR(VLOOKUP(BF455,'[1]WCVI Esc'!$C$5:$W$514,18,FALSE),"-")</f>
        <v>-</v>
      </c>
      <c r="BH455" s="50" t="str">
        <f t="shared" si="114"/>
        <v>-</v>
      </c>
      <c r="BI455" s="50" t="str">
        <f>IFERROR(VLOOKUP(BF455,'[1]WCVI Esc'!$C$5:$W$514,19,FALSE),"-")</f>
        <v>-</v>
      </c>
      <c r="BJ455" s="50" t="str">
        <f t="shared" si="115"/>
        <v>-</v>
      </c>
    </row>
    <row r="456" spans="1:62" hidden="1" x14ac:dyDescent="0.2">
      <c r="A456" s="28">
        <v>4</v>
      </c>
      <c r="B456" s="28">
        <v>4</v>
      </c>
      <c r="C456" s="11">
        <v>22</v>
      </c>
      <c r="D456" s="13" t="s">
        <v>304</v>
      </c>
      <c r="E456" s="10" t="s">
        <v>79</v>
      </c>
      <c r="F456" s="10" t="s">
        <v>209</v>
      </c>
      <c r="G456" s="10"/>
      <c r="H456" s="152"/>
      <c r="I456" s="164"/>
      <c r="J456" s="62"/>
      <c r="K456" s="62"/>
      <c r="L456" s="177"/>
      <c r="M456" s="171"/>
      <c r="N456" s="62"/>
      <c r="O456" s="62"/>
      <c r="P456" s="62"/>
      <c r="Q456" s="332"/>
      <c r="R456" s="164"/>
      <c r="S456" s="62"/>
      <c r="T456" s="62"/>
      <c r="U456" s="62"/>
      <c r="V456" s="177"/>
      <c r="W456" s="171"/>
      <c r="X456" s="62"/>
      <c r="Y456" s="45"/>
      <c r="Z456" s="45"/>
      <c r="AA456" s="100">
        <f>Y456/AP456</f>
        <v>0</v>
      </c>
      <c r="AB456" s="100">
        <f>AS456/AP456</f>
        <v>0</v>
      </c>
      <c r="AC456" s="100"/>
      <c r="AD456" s="100"/>
      <c r="AE456" s="100"/>
      <c r="AF456" s="100"/>
      <c r="AG456" s="18">
        <v>22</v>
      </c>
      <c r="AH456" s="69" t="s">
        <v>304</v>
      </c>
      <c r="AI456" s="243" t="s">
        <v>79</v>
      </c>
      <c r="AJ456" s="243" t="s">
        <v>419</v>
      </c>
      <c r="AK456" s="244" t="s">
        <v>361</v>
      </c>
      <c r="AL456" s="43" t="str">
        <f t="shared" si="116"/>
        <v>-</v>
      </c>
      <c r="AM456" s="43">
        <f t="shared" si="120"/>
        <v>0</v>
      </c>
      <c r="AN456" s="193">
        <f t="shared" si="120"/>
        <v>0</v>
      </c>
      <c r="AO456" s="270">
        <f t="shared" si="121"/>
        <v>1800</v>
      </c>
      <c r="AP456" s="265">
        <f>BJ456</f>
        <v>1480</v>
      </c>
      <c r="AQ456" s="26" t="str">
        <f t="shared" si="128"/>
        <v>CAMPUS CREEKChum</v>
      </c>
      <c r="AR456" s="26">
        <f t="shared" si="122"/>
        <v>0</v>
      </c>
      <c r="AS456" s="33">
        <f t="shared" si="123"/>
        <v>0</v>
      </c>
      <c r="AX456" s="47" t="str">
        <f t="shared" si="124"/>
        <v>CAMPUS CREEKChum</v>
      </c>
      <c r="AY456" s="49">
        <f t="shared" si="125"/>
        <v>0</v>
      </c>
      <c r="AZ456" s="49">
        <f t="shared" si="126"/>
        <v>0</v>
      </c>
      <c r="BA456" s="31">
        <v>2015</v>
      </c>
      <c r="BB456" s="188" t="str">
        <f t="shared" si="113"/>
        <v>Nitinat Hatchery</v>
      </c>
      <c r="BC456" s="188" t="str">
        <f t="shared" si="117"/>
        <v xml:space="preserve"> </v>
      </c>
      <c r="BD456" s="188" t="str">
        <f t="shared" si="118"/>
        <v xml:space="preserve"> </v>
      </c>
      <c r="BE456" s="188" t="str">
        <f t="shared" si="119"/>
        <v xml:space="preserve"> </v>
      </c>
      <c r="BF456" s="50" t="str">
        <f t="shared" si="127"/>
        <v>CAMPUS CREEK_Chum</v>
      </c>
      <c r="BG456" s="50">
        <f>IFERROR(VLOOKUP(BF456,'[1]WCVI Esc'!$C$5:$W$514,18,FALSE),"-")</f>
        <v>1796.5</v>
      </c>
      <c r="BH456" s="50">
        <f t="shared" si="114"/>
        <v>1800</v>
      </c>
      <c r="BI456" s="50">
        <f>IFERROR(VLOOKUP(BF456,'[1]WCVI Esc'!$C$5:$W$514,19,FALSE),"-")</f>
        <v>1476.2222222222222</v>
      </c>
      <c r="BJ456" s="50">
        <f t="shared" si="115"/>
        <v>1480</v>
      </c>
    </row>
    <row r="457" spans="1:62" hidden="1" x14ac:dyDescent="0.2">
      <c r="A457" s="28">
        <v>4</v>
      </c>
      <c r="B457" s="28">
        <v>5</v>
      </c>
      <c r="C457" s="11">
        <v>22</v>
      </c>
      <c r="D457" s="13" t="s">
        <v>304</v>
      </c>
      <c r="E457" s="10" t="s">
        <v>79</v>
      </c>
      <c r="F457" s="10" t="s">
        <v>210</v>
      </c>
      <c r="G457" s="10"/>
      <c r="H457" s="152"/>
      <c r="I457" s="164"/>
      <c r="J457" s="62"/>
      <c r="K457" s="62"/>
      <c r="L457" s="177"/>
      <c r="M457" s="171"/>
      <c r="N457" s="62"/>
      <c r="O457" s="62"/>
      <c r="P457" s="62"/>
      <c r="Q457" s="332"/>
      <c r="R457" s="164"/>
      <c r="S457" s="62"/>
      <c r="T457" s="62"/>
      <c r="U457" s="62"/>
      <c r="V457" s="177"/>
      <c r="W457" s="171"/>
      <c r="X457" s="62"/>
      <c r="Y457" s="45"/>
      <c r="Z457" s="45"/>
      <c r="AA457" s="100">
        <f>Y457/AP457</f>
        <v>0</v>
      </c>
      <c r="AB457" s="100">
        <f>AS457/AP457</f>
        <v>0</v>
      </c>
      <c r="AC457" s="100"/>
      <c r="AD457" s="100"/>
      <c r="AE457" s="100"/>
      <c r="AF457" s="100"/>
      <c r="AG457" s="18">
        <v>22</v>
      </c>
      <c r="AH457" s="69" t="s">
        <v>304</v>
      </c>
      <c r="AI457" s="243" t="s">
        <v>79</v>
      </c>
      <c r="AJ457" s="243" t="s">
        <v>419</v>
      </c>
      <c r="AK457" s="244" t="s">
        <v>361</v>
      </c>
      <c r="AL457" s="43" t="str">
        <f t="shared" si="116"/>
        <v>-</v>
      </c>
      <c r="AM457" s="43">
        <f t="shared" si="120"/>
        <v>0</v>
      </c>
      <c r="AN457" s="193">
        <f t="shared" si="120"/>
        <v>0</v>
      </c>
      <c r="AO457" s="270">
        <f t="shared" si="121"/>
        <v>70</v>
      </c>
      <c r="AP457" s="265">
        <f>BJ457</f>
        <v>70</v>
      </c>
      <c r="AQ457" s="26" t="str">
        <f t="shared" si="128"/>
        <v>CAMPUS CREEKChinook</v>
      </c>
      <c r="AR457" s="26">
        <f t="shared" si="122"/>
        <v>0</v>
      </c>
      <c r="AS457" s="33">
        <f t="shared" si="123"/>
        <v>0</v>
      </c>
      <c r="AX457" s="47" t="str">
        <f t="shared" si="124"/>
        <v>CAMPUS CREEKChinook</v>
      </c>
      <c r="AY457" s="49">
        <f t="shared" si="125"/>
        <v>0</v>
      </c>
      <c r="AZ457" s="49">
        <f t="shared" si="126"/>
        <v>0</v>
      </c>
      <c r="BA457" s="31">
        <v>2015</v>
      </c>
      <c r="BB457" s="188" t="str">
        <f t="shared" ref="BB457:BB520" si="129">AK457</f>
        <v>Nitinat Hatchery</v>
      </c>
      <c r="BC457" s="188" t="str">
        <f t="shared" si="117"/>
        <v xml:space="preserve"> </v>
      </c>
      <c r="BD457" s="188" t="str">
        <f t="shared" si="118"/>
        <v xml:space="preserve"> </v>
      </c>
      <c r="BE457" s="188" t="str">
        <f t="shared" si="119"/>
        <v xml:space="preserve"> </v>
      </c>
      <c r="BF457" s="50" t="str">
        <f t="shared" si="127"/>
        <v>CAMPUS CREEK_Chinook</v>
      </c>
      <c r="BG457" s="50">
        <f>IFERROR(VLOOKUP(BF457,'[1]WCVI Esc'!$C$5:$W$514,18,FALSE),"-")</f>
        <v>72.333333333333329</v>
      </c>
      <c r="BH457" s="50">
        <f t="shared" ref="BH457:BH520" si="130">IFERROR(ROUND(BG457,-1),"-")</f>
        <v>70</v>
      </c>
      <c r="BI457" s="50">
        <f>IFERROR(VLOOKUP(BF457,'[1]WCVI Esc'!$C$5:$W$514,19,FALSE),"-")</f>
        <v>72.333333333333329</v>
      </c>
      <c r="BJ457" s="50">
        <f t="shared" ref="BJ457:BJ520" si="131">IFERROR(ROUND(BI457,-1),"-")</f>
        <v>70</v>
      </c>
    </row>
    <row r="458" spans="1:62" hidden="1" x14ac:dyDescent="0.2">
      <c r="A458" s="28">
        <v>4</v>
      </c>
      <c r="B458" s="28">
        <v>6</v>
      </c>
      <c r="C458" s="11">
        <v>22</v>
      </c>
      <c r="D458" s="13" t="s">
        <v>304</v>
      </c>
      <c r="E458" s="10" t="s">
        <v>79</v>
      </c>
      <c r="F458" s="10" t="s">
        <v>211</v>
      </c>
      <c r="G458" s="10"/>
      <c r="H458" s="152"/>
      <c r="I458" s="164"/>
      <c r="J458" s="62"/>
      <c r="K458" s="62"/>
      <c r="L458" s="177"/>
      <c r="M458" s="171"/>
      <c r="N458" s="62"/>
      <c r="O458" s="62"/>
      <c r="P458" s="62"/>
      <c r="Q458" s="64"/>
      <c r="R458" s="164"/>
      <c r="S458" s="62"/>
      <c r="T458" s="62"/>
      <c r="U458" s="62"/>
      <c r="V458" s="177"/>
      <c r="W458" s="171"/>
      <c r="X458" s="62"/>
      <c r="Y458" s="45"/>
      <c r="Z458" s="45"/>
      <c r="AA458" s="100"/>
      <c r="AB458" s="100"/>
      <c r="AC458" s="100"/>
      <c r="AD458" s="100"/>
      <c r="AE458" s="100"/>
      <c r="AF458" s="100"/>
      <c r="AG458" s="18">
        <v>22</v>
      </c>
      <c r="AH458" s="69" t="s">
        <v>304</v>
      </c>
      <c r="AI458" s="243" t="s">
        <v>79</v>
      </c>
      <c r="AJ458" s="243" t="s">
        <v>419</v>
      </c>
      <c r="AK458" s="244" t="s">
        <v>361</v>
      </c>
      <c r="AL458" s="43" t="str">
        <f t="shared" ref="AL458:AL521" si="132">IF(BE458=" ",IF(BD458=" ", IF(BC458=" ","-",BC458),BD458), BE458)</f>
        <v>-</v>
      </c>
      <c r="AM458" s="43">
        <f t="shared" si="120"/>
        <v>0</v>
      </c>
      <c r="AN458" s="193">
        <f t="shared" si="120"/>
        <v>0</v>
      </c>
      <c r="AO458" s="270" t="str">
        <f t="shared" si="121"/>
        <v>-</v>
      </c>
      <c r="AP458" s="266"/>
      <c r="AQ458" s="26" t="str">
        <f t="shared" si="128"/>
        <v>CAMPUS CREEKSteelhead</v>
      </c>
      <c r="AR458" s="26">
        <f t="shared" si="122"/>
        <v>0</v>
      </c>
      <c r="AS458" s="33">
        <f t="shared" si="123"/>
        <v>0</v>
      </c>
      <c r="AX458" s="47" t="str">
        <f t="shared" si="124"/>
        <v>CAMPUS CREEKSteelhead</v>
      </c>
      <c r="AY458" s="49">
        <f t="shared" si="125"/>
        <v>0</v>
      </c>
      <c r="AZ458" s="49">
        <f t="shared" si="126"/>
        <v>0</v>
      </c>
      <c r="BA458" s="31">
        <v>0</v>
      </c>
      <c r="BB458" s="188" t="str">
        <f t="shared" si="129"/>
        <v>Nitinat Hatchery</v>
      </c>
      <c r="BC458" s="188" t="str">
        <f t="shared" ref="BC458:BC521" si="133">IF(ISNUMBER(M458),M$8,IF(ISNUMBER(L458),L$8,IF(ISNUMBER(K458),K$8,IF(ISNUMBER(J458),J$8,IF(ISNUMBER(I458),I$8,IF(ISNUMBER(H458),H$8, IF(ISNUMBER(G458),G$8," ")))))))</f>
        <v xml:space="preserve"> </v>
      </c>
      <c r="BD458" s="188" t="str">
        <f t="shared" ref="BD458:BD521" si="134">IF(ISNUMBER(S458),S$8,IF(ISNUMBER(R458),R$8,IF(ISNUMBER(Q458),Q$8,IF(ISNUMBER(P458),P$8,IF(ISNUMBER(O458),O$8,IF(ISNUMBER(N458),N$8," "))))))</f>
        <v xml:space="preserve"> </v>
      </c>
      <c r="BE458" s="188" t="str">
        <f t="shared" ref="BE458:BE521" si="135">IF(ISNUMBER(X458),X$8,IF(ISNUMBER(W458),W$8,IF(ISNUMBER(V458),V$8,IF(ISNUMBER(U458),U$8,IF(ISNUMBER(T458),T$8," ")))))</f>
        <v xml:space="preserve"> </v>
      </c>
      <c r="BF458" s="50" t="str">
        <f t="shared" si="127"/>
        <v>CAMPUS CREEK_Steelhead</v>
      </c>
      <c r="BG458" s="50" t="str">
        <f>IFERROR(VLOOKUP(BF458,'[1]WCVI Esc'!$C$5:$W$514,18,FALSE),"-")</f>
        <v>-</v>
      </c>
      <c r="BH458" s="50" t="str">
        <f t="shared" si="130"/>
        <v>-</v>
      </c>
      <c r="BI458" s="50" t="str">
        <f>IFERROR(VLOOKUP(BF458,'[1]WCVI Esc'!$C$5:$W$514,19,FALSE),"-")</f>
        <v>-</v>
      </c>
      <c r="BJ458" s="50" t="str">
        <f t="shared" si="131"/>
        <v>-</v>
      </c>
    </row>
    <row r="459" spans="1:62" hidden="1" x14ac:dyDescent="0.2">
      <c r="A459" s="28">
        <v>4</v>
      </c>
      <c r="B459" s="28">
        <v>1</v>
      </c>
      <c r="C459" s="11">
        <v>22</v>
      </c>
      <c r="D459" s="13" t="s">
        <v>304</v>
      </c>
      <c r="E459" s="10" t="s">
        <v>80</v>
      </c>
      <c r="F459" s="10" t="s">
        <v>207</v>
      </c>
      <c r="G459" s="10"/>
      <c r="H459" s="152"/>
      <c r="I459" s="164"/>
      <c r="J459" s="62"/>
      <c r="K459" s="62"/>
      <c r="L459" s="177"/>
      <c r="M459" s="171"/>
      <c r="N459" s="62"/>
      <c r="O459" s="62"/>
      <c r="P459" s="62"/>
      <c r="Q459" s="64"/>
      <c r="R459" s="164"/>
      <c r="S459" s="62"/>
      <c r="T459" s="62"/>
      <c r="U459" s="62"/>
      <c r="V459" s="177"/>
      <c r="W459" s="171"/>
      <c r="X459" s="62"/>
      <c r="Y459" s="45"/>
      <c r="Z459" s="45"/>
      <c r="AA459" s="100"/>
      <c r="AB459" s="100"/>
      <c r="AC459" s="100"/>
      <c r="AD459" s="100"/>
      <c r="AE459" s="100"/>
      <c r="AF459" s="100"/>
      <c r="AG459" s="18">
        <v>22</v>
      </c>
      <c r="AH459" s="69" t="s">
        <v>304</v>
      </c>
      <c r="AI459" s="243" t="s">
        <v>80</v>
      </c>
      <c r="AJ459" s="243" t="s">
        <v>419</v>
      </c>
      <c r="AK459" s="246"/>
      <c r="AL459" s="43" t="str">
        <f t="shared" si="132"/>
        <v>-</v>
      </c>
      <c r="AM459" s="43">
        <f t="shared" si="120"/>
        <v>0</v>
      </c>
      <c r="AN459" s="193">
        <f t="shared" si="120"/>
        <v>0</v>
      </c>
      <c r="AO459" s="270" t="str">
        <f t="shared" si="121"/>
        <v>-</v>
      </c>
      <c r="AP459" s="265" t="str">
        <f>BJ459</f>
        <v>-</v>
      </c>
      <c r="AQ459" s="26" t="str">
        <f t="shared" si="128"/>
        <v>CAYCUSE RIVERSockeye</v>
      </c>
      <c r="AR459" s="26">
        <f t="shared" si="122"/>
        <v>0</v>
      </c>
      <c r="AS459" s="33">
        <f t="shared" si="123"/>
        <v>0</v>
      </c>
      <c r="AX459" s="47" t="str">
        <f t="shared" si="124"/>
        <v>CAYCUSE RIVERSockeye</v>
      </c>
      <c r="AY459" s="49">
        <f t="shared" si="125"/>
        <v>0</v>
      </c>
      <c r="AZ459" s="49">
        <f t="shared" si="126"/>
        <v>0</v>
      </c>
      <c r="BA459" s="31">
        <v>0</v>
      </c>
      <c r="BB459" s="188">
        <f t="shared" si="129"/>
        <v>0</v>
      </c>
      <c r="BC459" s="188" t="str">
        <f t="shared" si="133"/>
        <v xml:space="preserve"> </v>
      </c>
      <c r="BD459" s="188" t="str">
        <f t="shared" si="134"/>
        <v xml:space="preserve"> </v>
      </c>
      <c r="BE459" s="188" t="str">
        <f t="shared" si="135"/>
        <v xml:space="preserve"> </v>
      </c>
      <c r="BF459" s="50" t="str">
        <f t="shared" si="127"/>
        <v>CAYCUSE RIVER_Sockeye</v>
      </c>
      <c r="BG459" s="50" t="str">
        <f>IFERROR(VLOOKUP(BF459,'[1]WCVI Esc'!$C$5:$W$514,18,FALSE),"-")</f>
        <v>-</v>
      </c>
      <c r="BH459" s="50" t="str">
        <f t="shared" si="130"/>
        <v>-</v>
      </c>
      <c r="BI459" s="50" t="str">
        <f>IFERROR(VLOOKUP(BF459,'[1]WCVI Esc'!$C$5:$W$514,19,FALSE),"-")</f>
        <v>-</v>
      </c>
      <c r="BJ459" s="50" t="str">
        <f t="shared" si="131"/>
        <v>-</v>
      </c>
    </row>
    <row r="460" spans="1:62" hidden="1" x14ac:dyDescent="0.2">
      <c r="A460" s="28">
        <v>4</v>
      </c>
      <c r="B460" s="28">
        <v>2</v>
      </c>
      <c r="C460" s="11">
        <v>22</v>
      </c>
      <c r="D460" s="13" t="s">
        <v>304</v>
      </c>
      <c r="E460" s="10" t="s">
        <v>80</v>
      </c>
      <c r="F460" s="10" t="s">
        <v>219</v>
      </c>
      <c r="G460" s="10"/>
      <c r="H460" s="152"/>
      <c r="I460" s="164"/>
      <c r="J460" s="62"/>
      <c r="K460" s="62"/>
      <c r="L460" s="177"/>
      <c r="M460" s="171"/>
      <c r="N460" s="62"/>
      <c r="O460" s="62"/>
      <c r="P460" s="62"/>
      <c r="Q460" s="332"/>
      <c r="R460" s="164"/>
      <c r="S460" s="62"/>
      <c r="T460" s="62"/>
      <c r="U460" s="62"/>
      <c r="V460" s="177"/>
      <c r="W460" s="171"/>
      <c r="X460" s="62"/>
      <c r="Y460" s="45"/>
      <c r="Z460" s="45"/>
      <c r="AA460" s="100">
        <f>Y460/AP460</f>
        <v>0</v>
      </c>
      <c r="AB460" s="100">
        <f>AS460/AP460</f>
        <v>0</v>
      </c>
      <c r="AC460" s="100"/>
      <c r="AD460" s="100"/>
      <c r="AE460" s="100"/>
      <c r="AF460" s="100"/>
      <c r="AG460" s="18">
        <v>22</v>
      </c>
      <c r="AH460" s="69" t="s">
        <v>304</v>
      </c>
      <c r="AI460" s="243" t="s">
        <v>80</v>
      </c>
      <c r="AJ460" s="243" t="s">
        <v>419</v>
      </c>
      <c r="AK460" s="246"/>
      <c r="AL460" s="43" t="str">
        <f t="shared" si="132"/>
        <v>-</v>
      </c>
      <c r="AM460" s="43">
        <f t="shared" si="120"/>
        <v>0</v>
      </c>
      <c r="AN460" s="193">
        <f t="shared" si="120"/>
        <v>0</v>
      </c>
      <c r="AO460" s="270">
        <f t="shared" si="121"/>
        <v>110</v>
      </c>
      <c r="AP460" s="265">
        <f>BJ460</f>
        <v>110</v>
      </c>
      <c r="AQ460" s="26" t="str">
        <f t="shared" si="128"/>
        <v>CAYCUSE RIVERCoho</v>
      </c>
      <c r="AR460" s="26">
        <f t="shared" si="122"/>
        <v>0</v>
      </c>
      <c r="AS460" s="33">
        <f t="shared" si="123"/>
        <v>0</v>
      </c>
      <c r="AX460" s="47" t="str">
        <f t="shared" si="124"/>
        <v>CAYCUSE RIVERCoho</v>
      </c>
      <c r="AY460" s="49">
        <f t="shared" si="125"/>
        <v>0</v>
      </c>
      <c r="AZ460" s="49">
        <f t="shared" si="126"/>
        <v>0</v>
      </c>
      <c r="BA460" s="31">
        <v>0</v>
      </c>
      <c r="BB460" s="188">
        <f t="shared" si="129"/>
        <v>0</v>
      </c>
      <c r="BC460" s="188" t="str">
        <f t="shared" si="133"/>
        <v xml:space="preserve"> </v>
      </c>
      <c r="BD460" s="188" t="str">
        <f t="shared" si="134"/>
        <v xml:space="preserve"> </v>
      </c>
      <c r="BE460" s="188" t="str">
        <f t="shared" si="135"/>
        <v xml:space="preserve"> </v>
      </c>
      <c r="BF460" s="50" t="str">
        <f t="shared" si="127"/>
        <v>CAYCUSE RIVER_Coho</v>
      </c>
      <c r="BG460" s="50">
        <f>IFERROR(VLOOKUP(BF460,'[1]WCVI Esc'!$C$5:$W$514,18,FALSE),"-")</f>
        <v>106</v>
      </c>
      <c r="BH460" s="50">
        <f t="shared" si="130"/>
        <v>110</v>
      </c>
      <c r="BI460" s="50">
        <f>IFERROR(VLOOKUP(BF460,'[1]WCVI Esc'!$C$5:$W$514,19,FALSE),"-")</f>
        <v>106</v>
      </c>
      <c r="BJ460" s="50">
        <f t="shared" si="131"/>
        <v>110</v>
      </c>
    </row>
    <row r="461" spans="1:62" hidden="1" x14ac:dyDescent="0.2">
      <c r="A461" s="28">
        <v>4</v>
      </c>
      <c r="B461" s="28">
        <v>3</v>
      </c>
      <c r="C461" s="11">
        <v>22</v>
      </c>
      <c r="D461" s="13" t="s">
        <v>304</v>
      </c>
      <c r="E461" s="10" t="s">
        <v>80</v>
      </c>
      <c r="F461" s="10" t="s">
        <v>208</v>
      </c>
      <c r="G461" s="10"/>
      <c r="H461" s="152"/>
      <c r="I461" s="164"/>
      <c r="J461" s="62"/>
      <c r="K461" s="62"/>
      <c r="L461" s="177"/>
      <c r="M461" s="171"/>
      <c r="N461" s="62"/>
      <c r="O461" s="62"/>
      <c r="P461" s="62"/>
      <c r="Q461" s="64"/>
      <c r="R461" s="164"/>
      <c r="S461" s="62"/>
      <c r="T461" s="62"/>
      <c r="U461" s="62"/>
      <c r="V461" s="177"/>
      <c r="W461" s="171"/>
      <c r="X461" s="62"/>
      <c r="Y461" s="45"/>
      <c r="Z461" s="45"/>
      <c r="AA461" s="100"/>
      <c r="AB461" s="100"/>
      <c r="AC461" s="100"/>
      <c r="AD461" s="100"/>
      <c r="AE461" s="100"/>
      <c r="AF461" s="100"/>
      <c r="AG461" s="18">
        <v>22</v>
      </c>
      <c r="AH461" s="69" t="s">
        <v>304</v>
      </c>
      <c r="AI461" s="243" t="s">
        <v>80</v>
      </c>
      <c r="AJ461" s="243" t="s">
        <v>419</v>
      </c>
      <c r="AK461" s="246"/>
      <c r="AL461" s="43" t="str">
        <f t="shared" si="132"/>
        <v>-</v>
      </c>
      <c r="AM461" s="43">
        <f t="shared" si="120"/>
        <v>0</v>
      </c>
      <c r="AN461" s="193">
        <f t="shared" si="120"/>
        <v>0</v>
      </c>
      <c r="AO461" s="270" t="str">
        <f t="shared" si="121"/>
        <v>-</v>
      </c>
      <c r="AP461" s="267"/>
      <c r="AQ461" s="26" t="str">
        <f t="shared" si="128"/>
        <v>CAYCUSE RIVERPink</v>
      </c>
      <c r="AR461" s="26">
        <f t="shared" si="122"/>
        <v>0</v>
      </c>
      <c r="AS461" s="33">
        <f t="shared" si="123"/>
        <v>0</v>
      </c>
      <c r="AX461" s="47" t="str">
        <f t="shared" si="124"/>
        <v>CAYCUSE RIVERPink</v>
      </c>
      <c r="AY461" s="49">
        <f t="shared" si="125"/>
        <v>0</v>
      </c>
      <c r="AZ461" s="49">
        <f t="shared" si="126"/>
        <v>0</v>
      </c>
      <c r="BA461" s="31">
        <v>0</v>
      </c>
      <c r="BB461" s="188">
        <f t="shared" si="129"/>
        <v>0</v>
      </c>
      <c r="BC461" s="188" t="str">
        <f t="shared" si="133"/>
        <v xml:space="preserve"> </v>
      </c>
      <c r="BD461" s="188" t="str">
        <f t="shared" si="134"/>
        <v xml:space="preserve"> </v>
      </c>
      <c r="BE461" s="188" t="str">
        <f t="shared" si="135"/>
        <v xml:space="preserve"> </v>
      </c>
      <c r="BF461" s="50" t="str">
        <f t="shared" si="127"/>
        <v>CAYCUSE RIVER_Pink</v>
      </c>
      <c r="BG461" s="50" t="str">
        <f>IFERROR(VLOOKUP(BF461,'[1]WCVI Esc'!$C$5:$W$514,18,FALSE),"-")</f>
        <v>-</v>
      </c>
      <c r="BH461" s="50" t="str">
        <f t="shared" si="130"/>
        <v>-</v>
      </c>
      <c r="BI461" s="50" t="str">
        <f>IFERROR(VLOOKUP(BF461,'[1]WCVI Esc'!$C$5:$W$514,19,FALSE),"-")</f>
        <v>-</v>
      </c>
      <c r="BJ461" s="50" t="str">
        <f t="shared" si="131"/>
        <v>-</v>
      </c>
    </row>
    <row r="462" spans="1:62" hidden="1" x14ac:dyDescent="0.2">
      <c r="A462" s="28">
        <v>4</v>
      </c>
      <c r="B462" s="28">
        <v>4</v>
      </c>
      <c r="C462" s="11">
        <v>22</v>
      </c>
      <c r="D462" s="13" t="s">
        <v>304</v>
      </c>
      <c r="E462" s="10" t="s">
        <v>80</v>
      </c>
      <c r="F462" s="10" t="s">
        <v>209</v>
      </c>
      <c r="G462" s="10"/>
      <c r="H462" s="152"/>
      <c r="I462" s="164"/>
      <c r="J462" s="62"/>
      <c r="K462" s="62"/>
      <c r="L462" s="332"/>
      <c r="M462" s="171"/>
      <c r="N462" s="62"/>
      <c r="O462" s="62"/>
      <c r="P462" s="62"/>
      <c r="Q462" s="332"/>
      <c r="R462" s="164"/>
      <c r="S462" s="62"/>
      <c r="T462" s="62"/>
      <c r="U462" s="62"/>
      <c r="V462" s="177"/>
      <c r="W462" s="171"/>
      <c r="X462" s="62"/>
      <c r="Y462" s="45"/>
      <c r="Z462" s="45"/>
      <c r="AA462" s="100">
        <f>Y462/AP462</f>
        <v>0</v>
      </c>
      <c r="AB462" s="100">
        <f>AS462/AP462</f>
        <v>0</v>
      </c>
      <c r="AC462" s="100"/>
      <c r="AD462" s="100"/>
      <c r="AE462" s="100"/>
      <c r="AF462" s="100"/>
      <c r="AG462" s="18">
        <v>22</v>
      </c>
      <c r="AH462" s="69" t="s">
        <v>304</v>
      </c>
      <c r="AI462" s="243" t="s">
        <v>80</v>
      </c>
      <c r="AJ462" s="243" t="s">
        <v>419</v>
      </c>
      <c r="AK462" s="246"/>
      <c r="AL462" s="43" t="str">
        <f t="shared" si="132"/>
        <v>-</v>
      </c>
      <c r="AM462" s="43">
        <f t="shared" si="120"/>
        <v>0</v>
      </c>
      <c r="AN462" s="193">
        <f t="shared" si="120"/>
        <v>0</v>
      </c>
      <c r="AO462" s="270">
        <f t="shared" si="121"/>
        <v>490</v>
      </c>
      <c r="AP462" s="265">
        <f>BJ462</f>
        <v>1550</v>
      </c>
      <c r="AQ462" s="26" t="str">
        <f t="shared" si="128"/>
        <v>CAYCUSE RIVERChum</v>
      </c>
      <c r="AR462" s="26">
        <f t="shared" si="122"/>
        <v>0</v>
      </c>
      <c r="AS462" s="33">
        <f t="shared" si="123"/>
        <v>0</v>
      </c>
      <c r="AX462" s="47" t="str">
        <f t="shared" si="124"/>
        <v>CAYCUSE RIVERChum</v>
      </c>
      <c r="AY462" s="49">
        <f t="shared" si="125"/>
        <v>0</v>
      </c>
      <c r="AZ462" s="49">
        <f t="shared" si="126"/>
        <v>0</v>
      </c>
      <c r="BA462" s="31">
        <v>0</v>
      </c>
      <c r="BB462" s="188">
        <f t="shared" si="129"/>
        <v>0</v>
      </c>
      <c r="BC462" s="188" t="str">
        <f t="shared" si="133"/>
        <v xml:space="preserve"> </v>
      </c>
      <c r="BD462" s="188" t="str">
        <f t="shared" si="134"/>
        <v xml:space="preserve"> </v>
      </c>
      <c r="BE462" s="188" t="str">
        <f t="shared" si="135"/>
        <v xml:space="preserve"> </v>
      </c>
      <c r="BF462" s="50" t="str">
        <f t="shared" si="127"/>
        <v>CAYCUSE RIVER_Chum</v>
      </c>
      <c r="BG462" s="50">
        <f>IFERROR(VLOOKUP(BF462,'[1]WCVI Esc'!$C$5:$W$514,18,FALSE),"-")</f>
        <v>494.33333333333331</v>
      </c>
      <c r="BH462" s="50">
        <f t="shared" si="130"/>
        <v>490</v>
      </c>
      <c r="BI462" s="50">
        <f>IFERROR(VLOOKUP(BF462,'[1]WCVI Esc'!$C$5:$W$514,19,FALSE),"-")</f>
        <v>1547.875</v>
      </c>
      <c r="BJ462" s="50">
        <f t="shared" si="131"/>
        <v>1550</v>
      </c>
    </row>
    <row r="463" spans="1:62" hidden="1" x14ac:dyDescent="0.2">
      <c r="A463" s="28">
        <v>4</v>
      </c>
      <c r="B463" s="28">
        <v>5</v>
      </c>
      <c r="C463" s="11">
        <v>22</v>
      </c>
      <c r="D463" s="13" t="s">
        <v>304</v>
      </c>
      <c r="E463" s="10" t="s">
        <v>80</v>
      </c>
      <c r="F463" s="10" t="s">
        <v>210</v>
      </c>
      <c r="G463" s="10"/>
      <c r="H463" s="152"/>
      <c r="I463" s="164"/>
      <c r="J463" s="62"/>
      <c r="K463" s="62"/>
      <c r="L463" s="177"/>
      <c r="M463" s="171"/>
      <c r="N463" s="62"/>
      <c r="O463" s="62"/>
      <c r="P463" s="62"/>
      <c r="Q463" s="64"/>
      <c r="R463" s="164"/>
      <c r="S463" s="62"/>
      <c r="T463" s="62"/>
      <c r="U463" s="62"/>
      <c r="V463" s="177"/>
      <c r="W463" s="171"/>
      <c r="X463" s="62"/>
      <c r="Y463" s="45"/>
      <c r="Z463" s="45"/>
      <c r="AA463" s="100" t="e">
        <f>Y463/AP463</f>
        <v>#VALUE!</v>
      </c>
      <c r="AB463" s="100" t="e">
        <f>AS463/AP463</f>
        <v>#VALUE!</v>
      </c>
      <c r="AC463" s="100"/>
      <c r="AD463" s="100"/>
      <c r="AE463" s="100"/>
      <c r="AF463" s="100"/>
      <c r="AG463" s="18">
        <v>22</v>
      </c>
      <c r="AH463" s="69" t="s">
        <v>304</v>
      </c>
      <c r="AI463" s="243" t="s">
        <v>80</v>
      </c>
      <c r="AJ463" s="243" t="s">
        <v>419</v>
      </c>
      <c r="AK463" s="246"/>
      <c r="AL463" s="43" t="str">
        <f t="shared" si="132"/>
        <v>-</v>
      </c>
      <c r="AM463" s="43">
        <f t="shared" si="120"/>
        <v>0</v>
      </c>
      <c r="AN463" s="193">
        <f t="shared" si="120"/>
        <v>0</v>
      </c>
      <c r="AO463" s="270" t="str">
        <f t="shared" si="121"/>
        <v>-</v>
      </c>
      <c r="AP463" s="265" t="str">
        <f>BJ463</f>
        <v>-</v>
      </c>
      <c r="AQ463" s="26" t="str">
        <f t="shared" si="128"/>
        <v>CAYCUSE RIVERChinook</v>
      </c>
      <c r="AR463" s="26">
        <f t="shared" si="122"/>
        <v>0</v>
      </c>
      <c r="AS463" s="33">
        <f t="shared" si="123"/>
        <v>0</v>
      </c>
      <c r="AX463" s="47" t="str">
        <f t="shared" si="124"/>
        <v>CAYCUSE RIVERChinook</v>
      </c>
      <c r="AY463" s="49">
        <f t="shared" si="125"/>
        <v>0</v>
      </c>
      <c r="AZ463" s="49">
        <f t="shared" si="126"/>
        <v>0</v>
      </c>
      <c r="BA463" s="31">
        <v>0</v>
      </c>
      <c r="BB463" s="188">
        <f t="shared" si="129"/>
        <v>0</v>
      </c>
      <c r="BC463" s="188" t="str">
        <f t="shared" si="133"/>
        <v xml:space="preserve"> </v>
      </c>
      <c r="BD463" s="188" t="str">
        <f t="shared" si="134"/>
        <v xml:space="preserve"> </v>
      </c>
      <c r="BE463" s="188" t="str">
        <f t="shared" si="135"/>
        <v xml:space="preserve"> </v>
      </c>
      <c r="BF463" s="50" t="str">
        <f t="shared" si="127"/>
        <v>CAYCUSE RIVER_Chinook</v>
      </c>
      <c r="BG463" s="50" t="str">
        <f>IFERROR(VLOOKUP(BF463,'[1]WCVI Esc'!$C$5:$W$514,18,FALSE),"-")</f>
        <v>-</v>
      </c>
      <c r="BH463" s="50" t="str">
        <f t="shared" si="130"/>
        <v>-</v>
      </c>
      <c r="BI463" s="50" t="str">
        <f>IFERROR(VLOOKUP(BF463,'[1]WCVI Esc'!$C$5:$W$514,19,FALSE),"-")</f>
        <v>-</v>
      </c>
      <c r="BJ463" s="50" t="str">
        <f t="shared" si="131"/>
        <v>-</v>
      </c>
    </row>
    <row r="464" spans="1:62" hidden="1" x14ac:dyDescent="0.2">
      <c r="A464" s="28">
        <v>4</v>
      </c>
      <c r="B464" s="28">
        <v>6</v>
      </c>
      <c r="C464" s="11">
        <v>22</v>
      </c>
      <c r="D464" s="13" t="s">
        <v>304</v>
      </c>
      <c r="E464" s="10" t="s">
        <v>80</v>
      </c>
      <c r="F464" s="10" t="s">
        <v>211</v>
      </c>
      <c r="G464" s="10"/>
      <c r="H464" s="152"/>
      <c r="I464" s="164"/>
      <c r="J464" s="62"/>
      <c r="K464" s="62"/>
      <c r="L464" s="177"/>
      <c r="M464" s="171"/>
      <c r="N464" s="62"/>
      <c r="O464" s="62"/>
      <c r="P464" s="62"/>
      <c r="Q464" s="332"/>
      <c r="R464" s="164"/>
      <c r="S464" s="62"/>
      <c r="T464" s="62"/>
      <c r="U464" s="62"/>
      <c r="V464" s="177"/>
      <c r="W464" s="171"/>
      <c r="X464" s="62"/>
      <c r="Y464" s="45"/>
      <c r="Z464" s="45"/>
      <c r="AA464" s="100"/>
      <c r="AB464" s="100"/>
      <c r="AC464" s="100"/>
      <c r="AD464" s="100"/>
      <c r="AE464" s="100"/>
      <c r="AF464" s="100"/>
      <c r="AG464" s="18">
        <v>22</v>
      </c>
      <c r="AH464" s="69" t="s">
        <v>304</v>
      </c>
      <c r="AI464" s="243" t="s">
        <v>80</v>
      </c>
      <c r="AJ464" s="243" t="s">
        <v>419</v>
      </c>
      <c r="AK464" s="246"/>
      <c r="AL464" s="43" t="str">
        <f t="shared" si="132"/>
        <v>-</v>
      </c>
      <c r="AM464" s="43">
        <f t="shared" si="120"/>
        <v>0</v>
      </c>
      <c r="AN464" s="193">
        <f t="shared" si="120"/>
        <v>0</v>
      </c>
      <c r="AO464" s="270" t="str">
        <f t="shared" si="121"/>
        <v>-</v>
      </c>
      <c r="AP464" s="267"/>
      <c r="AQ464" s="26" t="str">
        <f t="shared" si="128"/>
        <v>CAYCUSE RIVERSteelhead</v>
      </c>
      <c r="AR464" s="26">
        <f t="shared" si="122"/>
        <v>0</v>
      </c>
      <c r="AS464" s="33">
        <f t="shared" si="123"/>
        <v>0</v>
      </c>
      <c r="AX464" s="47" t="str">
        <f t="shared" si="124"/>
        <v>CAYCUSE RIVERSteelhead</v>
      </c>
      <c r="AY464" s="49">
        <f t="shared" si="125"/>
        <v>0</v>
      </c>
      <c r="AZ464" s="49">
        <f t="shared" si="126"/>
        <v>0</v>
      </c>
      <c r="BA464" s="31">
        <v>0</v>
      </c>
      <c r="BB464" s="188">
        <f t="shared" si="129"/>
        <v>0</v>
      </c>
      <c r="BC464" s="188" t="str">
        <f t="shared" si="133"/>
        <v xml:space="preserve"> </v>
      </c>
      <c r="BD464" s="188" t="str">
        <f t="shared" si="134"/>
        <v xml:space="preserve"> </v>
      </c>
      <c r="BE464" s="188" t="str">
        <f t="shared" si="135"/>
        <v xml:space="preserve"> </v>
      </c>
      <c r="BF464" s="50" t="str">
        <f t="shared" si="127"/>
        <v>CAYCUSE RIVER_Steelhead</v>
      </c>
      <c r="BG464" s="50" t="str">
        <f>IFERROR(VLOOKUP(BF464,'[1]WCVI Esc'!$C$5:$W$514,18,FALSE),"-")</f>
        <v>-</v>
      </c>
      <c r="BH464" s="50" t="str">
        <f t="shared" si="130"/>
        <v>-</v>
      </c>
      <c r="BI464" s="50" t="str">
        <f>IFERROR(VLOOKUP(BF464,'[1]WCVI Esc'!$C$5:$W$514,19,FALSE),"-")</f>
        <v>-</v>
      </c>
      <c r="BJ464" s="50" t="str">
        <f t="shared" si="131"/>
        <v>-</v>
      </c>
    </row>
    <row r="465" spans="1:62" hidden="1" x14ac:dyDescent="0.2">
      <c r="A465" s="28">
        <v>4</v>
      </c>
      <c r="B465" s="28">
        <v>1</v>
      </c>
      <c r="C465" s="11">
        <v>22</v>
      </c>
      <c r="D465" s="13" t="s">
        <v>304</v>
      </c>
      <c r="E465" s="10" t="s">
        <v>81</v>
      </c>
      <c r="F465" s="10" t="s">
        <v>207</v>
      </c>
      <c r="G465" s="10"/>
      <c r="H465" s="152"/>
      <c r="I465" s="164"/>
      <c r="J465" s="62"/>
      <c r="K465" s="62"/>
      <c r="L465" s="177"/>
      <c r="M465" s="171"/>
      <c r="N465" s="62"/>
      <c r="O465" s="62"/>
      <c r="P465" s="62"/>
      <c r="Q465" s="64"/>
      <c r="R465" s="164"/>
      <c r="S465" s="62"/>
      <c r="T465" s="62"/>
      <c r="U465" s="62"/>
      <c r="V465" s="177"/>
      <c r="W465" s="171"/>
      <c r="X465" s="62"/>
      <c r="Y465" s="45"/>
      <c r="Z465" s="45"/>
      <c r="AA465" s="100"/>
      <c r="AB465" s="100"/>
      <c r="AC465" s="100"/>
      <c r="AD465" s="100"/>
      <c r="AE465" s="100"/>
      <c r="AF465" s="100"/>
      <c r="AG465" s="18">
        <v>22</v>
      </c>
      <c r="AH465" s="69" t="s">
        <v>304</v>
      </c>
      <c r="AI465" s="243" t="s">
        <v>81</v>
      </c>
      <c r="AJ465" s="243" t="s">
        <v>419</v>
      </c>
      <c r="AK465" s="244" t="s">
        <v>361</v>
      </c>
      <c r="AL465" s="43" t="str">
        <f t="shared" si="132"/>
        <v>-</v>
      </c>
      <c r="AM465" s="43">
        <f t="shared" si="120"/>
        <v>0</v>
      </c>
      <c r="AN465" s="193">
        <f t="shared" si="120"/>
        <v>0</v>
      </c>
      <c r="AO465" s="270" t="str">
        <f t="shared" si="121"/>
        <v>-</v>
      </c>
      <c r="AP465" s="266"/>
      <c r="AQ465" s="26" t="str">
        <f t="shared" si="128"/>
        <v>DOOBAH CREEKSockeye</v>
      </c>
      <c r="AR465" s="26">
        <f t="shared" si="122"/>
        <v>0</v>
      </c>
      <c r="AS465" s="33">
        <f t="shared" si="123"/>
        <v>0</v>
      </c>
      <c r="AX465" s="47" t="str">
        <f t="shared" si="124"/>
        <v>DOOBAH CREEKSockeye</v>
      </c>
      <c r="AY465" s="49">
        <f t="shared" si="125"/>
        <v>0</v>
      </c>
      <c r="AZ465" s="49">
        <f t="shared" si="126"/>
        <v>0</v>
      </c>
      <c r="BA465" s="31">
        <v>2015</v>
      </c>
      <c r="BB465" s="188" t="str">
        <f t="shared" si="129"/>
        <v>Nitinat Hatchery</v>
      </c>
      <c r="BC465" s="188" t="str">
        <f t="shared" si="133"/>
        <v xml:space="preserve"> </v>
      </c>
      <c r="BD465" s="188" t="str">
        <f t="shared" si="134"/>
        <v xml:space="preserve"> </v>
      </c>
      <c r="BE465" s="188" t="str">
        <f t="shared" si="135"/>
        <v xml:space="preserve"> </v>
      </c>
      <c r="BF465" s="50" t="str">
        <f t="shared" si="127"/>
        <v>DOOBAH CREEK_Sockeye</v>
      </c>
      <c r="BG465" s="50" t="str">
        <f>IFERROR(VLOOKUP(BF465,'[1]WCVI Esc'!$C$5:$W$514,18,FALSE),"-")</f>
        <v>-</v>
      </c>
      <c r="BH465" s="50" t="str">
        <f t="shared" si="130"/>
        <v>-</v>
      </c>
      <c r="BI465" s="50" t="str">
        <f>IFERROR(VLOOKUP(BF465,'[1]WCVI Esc'!$C$5:$W$514,19,FALSE),"-")</f>
        <v>-</v>
      </c>
      <c r="BJ465" s="50" t="str">
        <f t="shared" si="131"/>
        <v>-</v>
      </c>
    </row>
    <row r="466" spans="1:62" hidden="1" x14ac:dyDescent="0.2">
      <c r="A466" s="28">
        <v>4</v>
      </c>
      <c r="B466" s="28">
        <v>2</v>
      </c>
      <c r="C466" s="11">
        <v>22</v>
      </c>
      <c r="D466" s="13" t="s">
        <v>304</v>
      </c>
      <c r="E466" s="10" t="s">
        <v>81</v>
      </c>
      <c r="F466" s="10" t="s">
        <v>219</v>
      </c>
      <c r="G466" s="10"/>
      <c r="H466" s="152"/>
      <c r="I466" s="164"/>
      <c r="J466" s="62"/>
      <c r="K466" s="62"/>
      <c r="L466" s="177"/>
      <c r="M466" s="171"/>
      <c r="N466" s="62"/>
      <c r="O466" s="62"/>
      <c r="P466" s="332"/>
      <c r="Q466" s="64"/>
      <c r="R466" s="164"/>
      <c r="S466" s="62"/>
      <c r="T466" s="62"/>
      <c r="U466" s="62"/>
      <c r="V466" s="177"/>
      <c r="W466" s="171"/>
      <c r="X466" s="62"/>
      <c r="Y466" s="45"/>
      <c r="Z466" s="45"/>
      <c r="AA466" s="100" t="e">
        <f>Y466/AP466</f>
        <v>#VALUE!</v>
      </c>
      <c r="AB466" s="100" t="e">
        <f>AS466/AP466</f>
        <v>#VALUE!</v>
      </c>
      <c r="AC466" s="100"/>
      <c r="AD466" s="100"/>
      <c r="AE466" s="100"/>
      <c r="AF466" s="100"/>
      <c r="AG466" s="18">
        <v>22</v>
      </c>
      <c r="AH466" s="69" t="s">
        <v>304</v>
      </c>
      <c r="AI466" s="243" t="s">
        <v>81</v>
      </c>
      <c r="AJ466" s="243" t="s">
        <v>419</v>
      </c>
      <c r="AK466" s="244" t="s">
        <v>361</v>
      </c>
      <c r="AL466" s="43" t="str">
        <f t="shared" si="132"/>
        <v>-</v>
      </c>
      <c r="AM466" s="43">
        <f t="shared" si="120"/>
        <v>0</v>
      </c>
      <c r="AN466" s="193">
        <f t="shared" si="120"/>
        <v>0</v>
      </c>
      <c r="AO466" s="270" t="str">
        <f t="shared" si="121"/>
        <v>-</v>
      </c>
      <c r="AP466" s="265" t="str">
        <f>BJ466</f>
        <v>-</v>
      </c>
      <c r="AQ466" s="26" t="str">
        <f t="shared" si="128"/>
        <v>DOOBAH CREEKCoho</v>
      </c>
      <c r="AR466" s="26">
        <f t="shared" si="122"/>
        <v>0</v>
      </c>
      <c r="AS466" s="33">
        <f t="shared" si="123"/>
        <v>0</v>
      </c>
      <c r="AX466" s="47" t="str">
        <f t="shared" si="124"/>
        <v>DOOBAH CREEKCoho</v>
      </c>
      <c r="AY466" s="49">
        <f t="shared" si="125"/>
        <v>0</v>
      </c>
      <c r="AZ466" s="49">
        <f t="shared" si="126"/>
        <v>0</v>
      </c>
      <c r="BA466" s="31">
        <v>2015</v>
      </c>
      <c r="BB466" s="188" t="str">
        <f t="shared" si="129"/>
        <v>Nitinat Hatchery</v>
      </c>
      <c r="BC466" s="188" t="str">
        <f t="shared" si="133"/>
        <v xml:space="preserve"> </v>
      </c>
      <c r="BD466" s="188" t="str">
        <f t="shared" si="134"/>
        <v xml:space="preserve"> </v>
      </c>
      <c r="BE466" s="188" t="str">
        <f t="shared" si="135"/>
        <v xml:space="preserve"> </v>
      </c>
      <c r="BF466" s="50" t="str">
        <f t="shared" si="127"/>
        <v>DOOBAH CREEK_Coho</v>
      </c>
      <c r="BG466" s="50" t="str">
        <f>IFERROR(VLOOKUP(BF466,'[1]WCVI Esc'!$C$5:$W$514,18,FALSE),"-")</f>
        <v>-</v>
      </c>
      <c r="BH466" s="50" t="str">
        <f t="shared" si="130"/>
        <v>-</v>
      </c>
      <c r="BI466" s="50" t="str">
        <f>IFERROR(VLOOKUP(BF466,'[1]WCVI Esc'!$C$5:$W$514,19,FALSE),"-")</f>
        <v>-</v>
      </c>
      <c r="BJ466" s="50" t="str">
        <f t="shared" si="131"/>
        <v>-</v>
      </c>
    </row>
    <row r="467" spans="1:62" hidden="1" x14ac:dyDescent="0.2">
      <c r="A467" s="28">
        <v>4</v>
      </c>
      <c r="B467" s="28">
        <v>3</v>
      </c>
      <c r="C467" s="11">
        <v>22</v>
      </c>
      <c r="D467" s="13" t="s">
        <v>304</v>
      </c>
      <c r="E467" s="10" t="s">
        <v>81</v>
      </c>
      <c r="F467" s="10" t="s">
        <v>208</v>
      </c>
      <c r="G467" s="10"/>
      <c r="H467" s="152"/>
      <c r="I467" s="164"/>
      <c r="J467" s="62"/>
      <c r="K467" s="62"/>
      <c r="L467" s="177"/>
      <c r="M467" s="171"/>
      <c r="N467" s="62"/>
      <c r="O467" s="62"/>
      <c r="P467" s="332"/>
      <c r="Q467" s="64"/>
      <c r="R467" s="164"/>
      <c r="S467" s="62"/>
      <c r="T467" s="62"/>
      <c r="U467" s="62"/>
      <c r="V467" s="177"/>
      <c r="W467" s="171"/>
      <c r="X467" s="62"/>
      <c r="Y467" s="45"/>
      <c r="Z467" s="45"/>
      <c r="AA467" s="100"/>
      <c r="AB467" s="100"/>
      <c r="AC467" s="100"/>
      <c r="AD467" s="100"/>
      <c r="AE467" s="100"/>
      <c r="AF467" s="100"/>
      <c r="AG467" s="18">
        <v>22</v>
      </c>
      <c r="AH467" s="69" t="s">
        <v>304</v>
      </c>
      <c r="AI467" s="243" t="s">
        <v>81</v>
      </c>
      <c r="AJ467" s="243" t="s">
        <v>419</v>
      </c>
      <c r="AK467" s="244" t="s">
        <v>361</v>
      </c>
      <c r="AL467" s="43" t="str">
        <f t="shared" si="132"/>
        <v>-</v>
      </c>
      <c r="AM467" s="43">
        <f t="shared" si="120"/>
        <v>0</v>
      </c>
      <c r="AN467" s="193">
        <f t="shared" si="120"/>
        <v>0</v>
      </c>
      <c r="AO467" s="270" t="str">
        <f t="shared" si="121"/>
        <v>-</v>
      </c>
      <c r="AP467" s="266"/>
      <c r="AQ467" s="26" t="str">
        <f t="shared" si="128"/>
        <v>DOOBAH CREEKPink</v>
      </c>
      <c r="AR467" s="26">
        <f t="shared" si="122"/>
        <v>0</v>
      </c>
      <c r="AS467" s="33">
        <f t="shared" si="123"/>
        <v>0</v>
      </c>
      <c r="AX467" s="47" t="str">
        <f t="shared" si="124"/>
        <v>DOOBAH CREEKPink</v>
      </c>
      <c r="AY467" s="49">
        <f t="shared" si="125"/>
        <v>0</v>
      </c>
      <c r="AZ467" s="49">
        <f t="shared" si="126"/>
        <v>0</v>
      </c>
      <c r="BA467" s="31">
        <v>0</v>
      </c>
      <c r="BB467" s="188" t="str">
        <f t="shared" si="129"/>
        <v>Nitinat Hatchery</v>
      </c>
      <c r="BC467" s="188" t="str">
        <f t="shared" si="133"/>
        <v xml:space="preserve"> </v>
      </c>
      <c r="BD467" s="188" t="str">
        <f t="shared" si="134"/>
        <v xml:space="preserve"> </v>
      </c>
      <c r="BE467" s="188" t="str">
        <f t="shared" si="135"/>
        <v xml:space="preserve"> </v>
      </c>
      <c r="BF467" s="50" t="str">
        <f t="shared" si="127"/>
        <v>DOOBAH CREEK_Pink</v>
      </c>
      <c r="BG467" s="50" t="str">
        <f>IFERROR(VLOOKUP(BF467,'[1]WCVI Esc'!$C$5:$W$514,18,FALSE),"-")</f>
        <v>-</v>
      </c>
      <c r="BH467" s="50" t="str">
        <f t="shared" si="130"/>
        <v>-</v>
      </c>
      <c r="BI467" s="50" t="str">
        <f>IFERROR(VLOOKUP(BF467,'[1]WCVI Esc'!$C$5:$W$514,19,FALSE),"-")</f>
        <v>-</v>
      </c>
      <c r="BJ467" s="50" t="str">
        <f t="shared" si="131"/>
        <v>-</v>
      </c>
    </row>
    <row r="468" spans="1:62" hidden="1" x14ac:dyDescent="0.2">
      <c r="A468" s="28">
        <v>4</v>
      </c>
      <c r="B468" s="28">
        <v>4</v>
      </c>
      <c r="C468" s="11">
        <v>22</v>
      </c>
      <c r="D468" s="13" t="s">
        <v>304</v>
      </c>
      <c r="E468" s="10" t="s">
        <v>81</v>
      </c>
      <c r="F468" s="10" t="s">
        <v>209</v>
      </c>
      <c r="G468" s="10"/>
      <c r="H468" s="152"/>
      <c r="I468" s="164"/>
      <c r="J468" s="62"/>
      <c r="K468" s="62"/>
      <c r="L468" s="177"/>
      <c r="M468" s="171"/>
      <c r="N468" s="62"/>
      <c r="O468" s="62"/>
      <c r="P468" s="332"/>
      <c r="Q468" s="64"/>
      <c r="R468" s="164"/>
      <c r="S468" s="62"/>
      <c r="T468" s="62"/>
      <c r="U468" s="62"/>
      <c r="V468" s="177"/>
      <c r="W468" s="171"/>
      <c r="X468" s="62"/>
      <c r="Y468" s="45"/>
      <c r="Z468" s="45"/>
      <c r="AA468" s="100">
        <f>Y468/AP468</f>
        <v>0</v>
      </c>
      <c r="AB468" s="100">
        <f>AS468/AP468</f>
        <v>0</v>
      </c>
      <c r="AC468" s="100"/>
      <c r="AD468" s="100"/>
      <c r="AE468" s="100"/>
      <c r="AF468" s="100"/>
      <c r="AG468" s="18">
        <v>22</v>
      </c>
      <c r="AH468" s="69" t="s">
        <v>304</v>
      </c>
      <c r="AI468" s="243" t="s">
        <v>81</v>
      </c>
      <c r="AJ468" s="243" t="s">
        <v>419</v>
      </c>
      <c r="AK468" s="244" t="s">
        <v>361</v>
      </c>
      <c r="AL468" s="43" t="str">
        <f t="shared" si="132"/>
        <v>-</v>
      </c>
      <c r="AM468" s="43">
        <f t="shared" si="120"/>
        <v>0</v>
      </c>
      <c r="AN468" s="193">
        <f t="shared" si="120"/>
        <v>0</v>
      </c>
      <c r="AO468" s="270">
        <f t="shared" si="121"/>
        <v>100</v>
      </c>
      <c r="AP468" s="265">
        <f>BJ468</f>
        <v>1530</v>
      </c>
      <c r="AQ468" s="26" t="str">
        <f t="shared" si="128"/>
        <v>DOOBAH CREEKChum</v>
      </c>
      <c r="AR468" s="26">
        <f t="shared" si="122"/>
        <v>0</v>
      </c>
      <c r="AS468" s="33">
        <f t="shared" si="123"/>
        <v>0</v>
      </c>
      <c r="AX468" s="47" t="str">
        <f t="shared" si="124"/>
        <v>DOOBAH CREEKChum</v>
      </c>
      <c r="AY468" s="49">
        <f t="shared" si="125"/>
        <v>0</v>
      </c>
      <c r="AZ468" s="49">
        <f t="shared" si="126"/>
        <v>0</v>
      </c>
      <c r="BA468" s="31">
        <v>2015</v>
      </c>
      <c r="BB468" s="188" t="str">
        <f t="shared" si="129"/>
        <v>Nitinat Hatchery</v>
      </c>
      <c r="BC468" s="188" t="str">
        <f t="shared" si="133"/>
        <v xml:space="preserve"> </v>
      </c>
      <c r="BD468" s="188" t="str">
        <f t="shared" si="134"/>
        <v xml:space="preserve"> </v>
      </c>
      <c r="BE468" s="188" t="str">
        <f t="shared" si="135"/>
        <v xml:space="preserve"> </v>
      </c>
      <c r="BF468" s="50" t="str">
        <f t="shared" si="127"/>
        <v>DOOBAH CREEK_Chum</v>
      </c>
      <c r="BG468" s="50">
        <f>IFERROR(VLOOKUP(BF468,'[1]WCVI Esc'!$C$5:$W$514,18,FALSE),"-")</f>
        <v>100.5</v>
      </c>
      <c r="BH468" s="50">
        <f t="shared" si="130"/>
        <v>100</v>
      </c>
      <c r="BI468" s="50">
        <f>IFERROR(VLOOKUP(BF468,'[1]WCVI Esc'!$C$5:$W$514,19,FALSE),"-")</f>
        <v>1528.7142857142858</v>
      </c>
      <c r="BJ468" s="50">
        <f t="shared" si="131"/>
        <v>1530</v>
      </c>
    </row>
    <row r="469" spans="1:62" hidden="1" x14ac:dyDescent="0.2">
      <c r="A469" s="28">
        <v>4</v>
      </c>
      <c r="B469" s="28">
        <v>5</v>
      </c>
      <c r="C469" s="11">
        <v>22</v>
      </c>
      <c r="D469" s="13" t="s">
        <v>304</v>
      </c>
      <c r="E469" s="10" t="s">
        <v>81</v>
      </c>
      <c r="F469" s="10" t="s">
        <v>210</v>
      </c>
      <c r="G469" s="10"/>
      <c r="H469" s="152"/>
      <c r="I469" s="164"/>
      <c r="J469" s="62"/>
      <c r="K469" s="62"/>
      <c r="L469" s="177"/>
      <c r="M469" s="171"/>
      <c r="N469" s="62"/>
      <c r="O469" s="62"/>
      <c r="P469" s="332"/>
      <c r="Q469" s="64"/>
      <c r="R469" s="164"/>
      <c r="S469" s="62"/>
      <c r="T469" s="62"/>
      <c r="U469" s="62"/>
      <c r="V469" s="177"/>
      <c r="W469" s="171"/>
      <c r="X469" s="62"/>
      <c r="Y469" s="45"/>
      <c r="Z469" s="45"/>
      <c r="AA469" s="100"/>
      <c r="AB469" s="100"/>
      <c r="AC469" s="100"/>
      <c r="AD469" s="100"/>
      <c r="AE469" s="100"/>
      <c r="AF469" s="100"/>
      <c r="AG469" s="18">
        <v>22</v>
      </c>
      <c r="AH469" s="69" t="s">
        <v>304</v>
      </c>
      <c r="AI469" s="243" t="s">
        <v>81</v>
      </c>
      <c r="AJ469" s="243" t="s">
        <v>419</v>
      </c>
      <c r="AK469" s="244" t="s">
        <v>361</v>
      </c>
      <c r="AL469" s="43" t="str">
        <f t="shared" si="132"/>
        <v>-</v>
      </c>
      <c r="AM469" s="43">
        <f t="shared" si="120"/>
        <v>0</v>
      </c>
      <c r="AN469" s="193">
        <f t="shared" si="120"/>
        <v>0</v>
      </c>
      <c r="AO469" s="270" t="str">
        <f t="shared" si="121"/>
        <v>-</v>
      </c>
      <c r="AP469" s="266"/>
      <c r="AQ469" s="26" t="str">
        <f t="shared" si="128"/>
        <v>DOOBAH CREEKChinook</v>
      </c>
      <c r="AR469" s="26">
        <f t="shared" si="122"/>
        <v>0</v>
      </c>
      <c r="AS469" s="33">
        <f t="shared" si="123"/>
        <v>0</v>
      </c>
      <c r="AX469" s="47" t="str">
        <f t="shared" si="124"/>
        <v>DOOBAH CREEKChinook</v>
      </c>
      <c r="AY469" s="49">
        <f t="shared" si="125"/>
        <v>0</v>
      </c>
      <c r="AZ469" s="49">
        <f t="shared" si="126"/>
        <v>0</v>
      </c>
      <c r="BA469" s="31">
        <v>2015</v>
      </c>
      <c r="BB469" s="188" t="str">
        <f t="shared" si="129"/>
        <v>Nitinat Hatchery</v>
      </c>
      <c r="BC469" s="188" t="str">
        <f t="shared" si="133"/>
        <v xml:space="preserve"> </v>
      </c>
      <c r="BD469" s="188" t="str">
        <f t="shared" si="134"/>
        <v xml:space="preserve"> </v>
      </c>
      <c r="BE469" s="188" t="str">
        <f t="shared" si="135"/>
        <v xml:space="preserve"> </v>
      </c>
      <c r="BF469" s="50" t="str">
        <f t="shared" si="127"/>
        <v>DOOBAH CREEK_Chinook</v>
      </c>
      <c r="BG469" s="50" t="str">
        <f>IFERROR(VLOOKUP(BF469,'[1]WCVI Esc'!$C$5:$W$514,18,FALSE),"-")</f>
        <v>-</v>
      </c>
      <c r="BH469" s="50" t="str">
        <f t="shared" si="130"/>
        <v>-</v>
      </c>
      <c r="BI469" s="50" t="str">
        <f>IFERROR(VLOOKUP(BF469,'[1]WCVI Esc'!$C$5:$W$514,19,FALSE),"-")</f>
        <v>-</v>
      </c>
      <c r="BJ469" s="50" t="str">
        <f t="shared" si="131"/>
        <v>-</v>
      </c>
    </row>
    <row r="470" spans="1:62" hidden="1" x14ac:dyDescent="0.2">
      <c r="A470" s="28">
        <v>4</v>
      </c>
      <c r="B470" s="28">
        <v>6</v>
      </c>
      <c r="C470" s="11">
        <v>22</v>
      </c>
      <c r="D470" s="13" t="s">
        <v>304</v>
      </c>
      <c r="E470" s="10" t="s">
        <v>81</v>
      </c>
      <c r="F470" s="10" t="s">
        <v>211</v>
      </c>
      <c r="G470" s="10"/>
      <c r="H470" s="152"/>
      <c r="I470" s="164"/>
      <c r="J470" s="62"/>
      <c r="K470" s="62"/>
      <c r="L470" s="177"/>
      <c r="M470" s="171"/>
      <c r="N470" s="62"/>
      <c r="O470" s="62"/>
      <c r="P470" s="62"/>
      <c r="Q470" s="64"/>
      <c r="R470" s="164"/>
      <c r="S470" s="62"/>
      <c r="T470" s="62"/>
      <c r="U470" s="62"/>
      <c r="V470" s="177"/>
      <c r="W470" s="171"/>
      <c r="X470" s="62"/>
      <c r="Y470" s="45"/>
      <c r="Z470" s="45"/>
      <c r="AA470" s="100"/>
      <c r="AB470" s="100"/>
      <c r="AC470" s="100"/>
      <c r="AD470" s="100"/>
      <c r="AE470" s="100"/>
      <c r="AF470" s="100"/>
      <c r="AG470" s="18">
        <v>22</v>
      </c>
      <c r="AH470" s="69" t="s">
        <v>304</v>
      </c>
      <c r="AI470" s="243" t="s">
        <v>81</v>
      </c>
      <c r="AJ470" s="243" t="s">
        <v>419</v>
      </c>
      <c r="AK470" s="244" t="s">
        <v>361</v>
      </c>
      <c r="AL470" s="43" t="str">
        <f t="shared" si="132"/>
        <v>-</v>
      </c>
      <c r="AM470" s="43">
        <f t="shared" si="120"/>
        <v>0</v>
      </c>
      <c r="AN470" s="193">
        <f t="shared" si="120"/>
        <v>0</v>
      </c>
      <c r="AO470" s="270" t="str">
        <f t="shared" si="121"/>
        <v>-</v>
      </c>
      <c r="AP470" s="266"/>
      <c r="AQ470" s="26" t="str">
        <f t="shared" si="128"/>
        <v>DOOBAH CREEKSteelhead</v>
      </c>
      <c r="AR470" s="26">
        <f t="shared" si="122"/>
        <v>0</v>
      </c>
      <c r="AS470" s="33">
        <f t="shared" si="123"/>
        <v>0</v>
      </c>
      <c r="AX470" s="47" t="str">
        <f t="shared" si="124"/>
        <v>DOOBAH CREEKSteelhead</v>
      </c>
      <c r="AY470" s="49">
        <f t="shared" si="125"/>
        <v>0</v>
      </c>
      <c r="AZ470" s="49">
        <f t="shared" si="126"/>
        <v>0</v>
      </c>
      <c r="BA470" s="31">
        <v>0</v>
      </c>
      <c r="BB470" s="188" t="str">
        <f t="shared" si="129"/>
        <v>Nitinat Hatchery</v>
      </c>
      <c r="BC470" s="188" t="str">
        <f t="shared" si="133"/>
        <v xml:space="preserve"> </v>
      </c>
      <c r="BD470" s="188" t="str">
        <f t="shared" si="134"/>
        <v xml:space="preserve"> </v>
      </c>
      <c r="BE470" s="188" t="str">
        <f t="shared" si="135"/>
        <v xml:space="preserve"> </v>
      </c>
      <c r="BF470" s="50" t="str">
        <f t="shared" si="127"/>
        <v>DOOBAH CREEK_Steelhead</v>
      </c>
      <c r="BG470" s="50" t="str">
        <f>IFERROR(VLOOKUP(BF470,'[1]WCVI Esc'!$C$5:$W$514,18,FALSE),"-")</f>
        <v>-</v>
      </c>
      <c r="BH470" s="50" t="str">
        <f t="shared" si="130"/>
        <v>-</v>
      </c>
      <c r="BI470" s="50" t="str">
        <f>IFERROR(VLOOKUP(BF470,'[1]WCVI Esc'!$C$5:$W$514,19,FALSE),"-")</f>
        <v>-</v>
      </c>
      <c r="BJ470" s="50" t="str">
        <f t="shared" si="131"/>
        <v>-</v>
      </c>
    </row>
    <row r="471" spans="1:62" hidden="1" x14ac:dyDescent="0.2">
      <c r="A471" s="28">
        <v>4</v>
      </c>
      <c r="B471" s="28">
        <v>1</v>
      </c>
      <c r="C471" s="11">
        <v>22</v>
      </c>
      <c r="D471" s="13" t="s">
        <v>304</v>
      </c>
      <c r="E471" s="10" t="s">
        <v>25</v>
      </c>
      <c r="F471" s="10" t="s">
        <v>207</v>
      </c>
      <c r="G471" s="10"/>
      <c r="H471" s="152"/>
      <c r="I471" s="164"/>
      <c r="J471" s="62"/>
      <c r="K471" s="62"/>
      <c r="L471" s="177"/>
      <c r="M471" s="171"/>
      <c r="N471" s="62"/>
      <c r="O471" s="62"/>
      <c r="P471" s="332"/>
      <c r="Q471" s="64"/>
      <c r="R471" s="164"/>
      <c r="S471" s="332"/>
      <c r="T471" s="62"/>
      <c r="U471" s="62"/>
      <c r="V471" s="177"/>
      <c r="W471" s="171"/>
      <c r="X471" s="62"/>
      <c r="Y471" s="45"/>
      <c r="Z471" s="45"/>
      <c r="AA471" s="100">
        <f>Y471/AP471</f>
        <v>0</v>
      </c>
      <c r="AB471" s="100">
        <f>AS471/AP471</f>
        <v>0</v>
      </c>
      <c r="AC471" s="100"/>
      <c r="AD471" s="100"/>
      <c r="AE471" s="100"/>
      <c r="AF471" s="100"/>
      <c r="AG471" s="18">
        <v>22</v>
      </c>
      <c r="AH471" s="69" t="s">
        <v>304</v>
      </c>
      <c r="AI471" s="243" t="s">
        <v>25</v>
      </c>
      <c r="AJ471" s="243" t="s">
        <v>419</v>
      </c>
      <c r="AK471" s="244" t="s">
        <v>290</v>
      </c>
      <c r="AL471" s="43" t="str">
        <f t="shared" si="132"/>
        <v>-</v>
      </c>
      <c r="AM471" s="43">
        <f t="shared" si="120"/>
        <v>0</v>
      </c>
      <c r="AN471" s="193">
        <f t="shared" si="120"/>
        <v>0</v>
      </c>
      <c r="AO471" s="270">
        <f t="shared" si="121"/>
        <v>1300</v>
      </c>
      <c r="AP471" s="265">
        <f>BJ471</f>
        <v>4280</v>
      </c>
      <c r="AQ471" s="26" t="str">
        <f t="shared" si="128"/>
        <v>HOBITON CREEKSockeye</v>
      </c>
      <c r="AR471" s="26">
        <f t="shared" si="122"/>
        <v>0</v>
      </c>
      <c r="AS471" s="33">
        <f t="shared" si="123"/>
        <v>0</v>
      </c>
      <c r="AX471" s="47" t="str">
        <f t="shared" si="124"/>
        <v>HOBITON CREEKSockeye</v>
      </c>
      <c r="AY471" s="49">
        <f t="shared" si="125"/>
        <v>0</v>
      </c>
      <c r="AZ471" s="49">
        <f t="shared" si="126"/>
        <v>0</v>
      </c>
      <c r="BA471" s="31">
        <v>2016</v>
      </c>
      <c r="BB471" s="188" t="str">
        <f t="shared" si="129"/>
        <v>NTC</v>
      </c>
      <c r="BC471" s="188" t="str">
        <f t="shared" si="133"/>
        <v xml:space="preserve"> </v>
      </c>
      <c r="BD471" s="188" t="str">
        <f t="shared" si="134"/>
        <v xml:space="preserve"> </v>
      </c>
      <c r="BE471" s="188" t="str">
        <f t="shared" si="135"/>
        <v xml:space="preserve"> </v>
      </c>
      <c r="BF471" s="50" t="str">
        <f t="shared" si="127"/>
        <v>HOBITON CREEK_Sockeye</v>
      </c>
      <c r="BG471" s="50">
        <f>IFERROR(VLOOKUP(BF471,'[1]WCVI Esc'!$C$5:$W$514,18,FALSE),"-")</f>
        <v>1299</v>
      </c>
      <c r="BH471" s="50">
        <f t="shared" si="130"/>
        <v>1300</v>
      </c>
      <c r="BI471" s="50">
        <f>IFERROR(VLOOKUP(BF471,'[1]WCVI Esc'!$C$5:$W$514,19,FALSE),"-")</f>
        <v>4281.5</v>
      </c>
      <c r="BJ471" s="50">
        <f t="shared" si="131"/>
        <v>4280</v>
      </c>
    </row>
    <row r="472" spans="1:62" hidden="1" x14ac:dyDescent="0.2">
      <c r="A472" s="28">
        <v>4</v>
      </c>
      <c r="B472" s="28">
        <v>2</v>
      </c>
      <c r="C472" s="11">
        <v>22</v>
      </c>
      <c r="D472" s="13" t="s">
        <v>304</v>
      </c>
      <c r="E472" s="10" t="s">
        <v>25</v>
      </c>
      <c r="F472" s="10" t="s">
        <v>219</v>
      </c>
      <c r="G472" s="10"/>
      <c r="H472" s="152"/>
      <c r="I472" s="164"/>
      <c r="J472" s="62"/>
      <c r="K472" s="62"/>
      <c r="L472" s="177"/>
      <c r="M472" s="171"/>
      <c r="N472" s="62"/>
      <c r="O472" s="62"/>
      <c r="P472" s="332"/>
      <c r="Q472" s="64"/>
      <c r="R472" s="164"/>
      <c r="S472" s="332"/>
      <c r="T472" s="62"/>
      <c r="U472" s="62"/>
      <c r="V472" s="177"/>
      <c r="W472" s="171"/>
      <c r="X472" s="62"/>
      <c r="Y472" s="45"/>
      <c r="Z472" s="45"/>
      <c r="AA472" s="100">
        <f>Y472/AP472</f>
        <v>0</v>
      </c>
      <c r="AB472" s="100">
        <f>AS472/AP472</f>
        <v>0</v>
      </c>
      <c r="AC472" s="100"/>
      <c r="AD472" s="100"/>
      <c r="AE472" s="100"/>
      <c r="AF472" s="100"/>
      <c r="AG472" s="18">
        <v>22</v>
      </c>
      <c r="AH472" s="69" t="s">
        <v>304</v>
      </c>
      <c r="AI472" s="243" t="s">
        <v>25</v>
      </c>
      <c r="AJ472" s="243" t="s">
        <v>419</v>
      </c>
      <c r="AK472" s="244"/>
      <c r="AL472" s="43" t="str">
        <f t="shared" si="132"/>
        <v>-</v>
      </c>
      <c r="AM472" s="43">
        <f t="shared" si="120"/>
        <v>0</v>
      </c>
      <c r="AN472" s="193">
        <f t="shared" si="120"/>
        <v>0</v>
      </c>
      <c r="AO472" s="270">
        <f t="shared" si="121"/>
        <v>20</v>
      </c>
      <c r="AP472" s="265">
        <f>BJ472</f>
        <v>20</v>
      </c>
      <c r="AQ472" s="26" t="str">
        <f t="shared" si="128"/>
        <v>HOBITON CREEKCoho</v>
      </c>
      <c r="AR472" s="26">
        <f t="shared" si="122"/>
        <v>0</v>
      </c>
      <c r="AS472" s="33">
        <f t="shared" si="123"/>
        <v>0</v>
      </c>
      <c r="AX472" s="47" t="str">
        <f t="shared" si="124"/>
        <v>HOBITON CREEKCoho</v>
      </c>
      <c r="AY472" s="49">
        <f t="shared" si="125"/>
        <v>0</v>
      </c>
      <c r="AZ472" s="49">
        <f t="shared" si="126"/>
        <v>0</v>
      </c>
      <c r="BA472" s="31">
        <v>0</v>
      </c>
      <c r="BB472" s="188">
        <f t="shared" si="129"/>
        <v>0</v>
      </c>
      <c r="BC472" s="188" t="str">
        <f t="shared" si="133"/>
        <v xml:space="preserve"> </v>
      </c>
      <c r="BD472" s="188" t="str">
        <f t="shared" si="134"/>
        <v xml:space="preserve"> </v>
      </c>
      <c r="BE472" s="188" t="str">
        <f t="shared" si="135"/>
        <v xml:space="preserve"> </v>
      </c>
      <c r="BF472" s="50" t="str">
        <f t="shared" si="127"/>
        <v>HOBITON CREEK_Coho</v>
      </c>
      <c r="BG472" s="50">
        <f>IFERROR(VLOOKUP(BF472,'[1]WCVI Esc'!$C$5:$W$514,18,FALSE),"-")</f>
        <v>22</v>
      </c>
      <c r="BH472" s="50">
        <f t="shared" si="130"/>
        <v>20</v>
      </c>
      <c r="BI472" s="50">
        <f>IFERROR(VLOOKUP(BF472,'[1]WCVI Esc'!$C$5:$W$514,19,FALSE),"-")</f>
        <v>22</v>
      </c>
      <c r="BJ472" s="50">
        <f t="shared" si="131"/>
        <v>20</v>
      </c>
    </row>
    <row r="473" spans="1:62" hidden="1" x14ac:dyDescent="0.2">
      <c r="A473" s="28">
        <v>4</v>
      </c>
      <c r="B473" s="28">
        <v>3</v>
      </c>
      <c r="C473" s="11">
        <v>22</v>
      </c>
      <c r="D473" s="13" t="s">
        <v>304</v>
      </c>
      <c r="E473" s="10" t="s">
        <v>25</v>
      </c>
      <c r="F473" s="10" t="s">
        <v>208</v>
      </c>
      <c r="G473" s="10"/>
      <c r="H473" s="152"/>
      <c r="I473" s="164"/>
      <c r="J473" s="62"/>
      <c r="K473" s="62"/>
      <c r="L473" s="177"/>
      <c r="M473" s="171"/>
      <c r="N473" s="62"/>
      <c r="O473" s="62"/>
      <c r="P473" s="332"/>
      <c r="Q473" s="64"/>
      <c r="R473" s="164"/>
      <c r="S473" s="332"/>
      <c r="T473" s="62"/>
      <c r="U473" s="62"/>
      <c r="V473" s="177"/>
      <c r="W473" s="171"/>
      <c r="X473" s="62"/>
      <c r="Y473" s="45"/>
      <c r="Z473" s="45"/>
      <c r="AA473" s="100"/>
      <c r="AB473" s="100"/>
      <c r="AC473" s="100"/>
      <c r="AD473" s="100"/>
      <c r="AE473" s="100"/>
      <c r="AF473" s="100"/>
      <c r="AG473" s="18">
        <v>22</v>
      </c>
      <c r="AH473" s="69" t="s">
        <v>304</v>
      </c>
      <c r="AI473" s="243" t="s">
        <v>25</v>
      </c>
      <c r="AJ473" s="243" t="s">
        <v>419</v>
      </c>
      <c r="AK473" s="244"/>
      <c r="AL473" s="43" t="str">
        <f t="shared" si="132"/>
        <v>-</v>
      </c>
      <c r="AM473" s="43">
        <f t="shared" si="120"/>
        <v>0</v>
      </c>
      <c r="AN473" s="193">
        <f t="shared" si="120"/>
        <v>0</v>
      </c>
      <c r="AO473" s="270" t="str">
        <f t="shared" si="121"/>
        <v>-</v>
      </c>
      <c r="AP473" s="266"/>
      <c r="AQ473" s="26" t="str">
        <f t="shared" si="128"/>
        <v>HOBITON CREEKPink</v>
      </c>
      <c r="AR473" s="26">
        <f t="shared" si="122"/>
        <v>0</v>
      </c>
      <c r="AS473" s="33">
        <f t="shared" si="123"/>
        <v>0</v>
      </c>
      <c r="AX473" s="47" t="str">
        <f t="shared" si="124"/>
        <v>HOBITON CREEKPink</v>
      </c>
      <c r="AY473" s="49">
        <f t="shared" si="125"/>
        <v>0</v>
      </c>
      <c r="AZ473" s="49">
        <f t="shared" si="126"/>
        <v>0</v>
      </c>
      <c r="BA473" s="31">
        <v>0</v>
      </c>
      <c r="BB473" s="188">
        <f t="shared" si="129"/>
        <v>0</v>
      </c>
      <c r="BC473" s="188" t="str">
        <f t="shared" si="133"/>
        <v xml:space="preserve"> </v>
      </c>
      <c r="BD473" s="188" t="str">
        <f t="shared" si="134"/>
        <v xml:space="preserve"> </v>
      </c>
      <c r="BE473" s="188" t="str">
        <f t="shared" si="135"/>
        <v xml:space="preserve"> </v>
      </c>
      <c r="BF473" s="50" t="str">
        <f t="shared" si="127"/>
        <v>HOBITON CREEK_Pink</v>
      </c>
      <c r="BG473" s="50" t="str">
        <f>IFERROR(VLOOKUP(BF473,'[1]WCVI Esc'!$C$5:$W$514,18,FALSE),"-")</f>
        <v>-</v>
      </c>
      <c r="BH473" s="50" t="str">
        <f t="shared" si="130"/>
        <v>-</v>
      </c>
      <c r="BI473" s="50" t="str">
        <f>IFERROR(VLOOKUP(BF473,'[1]WCVI Esc'!$C$5:$W$514,19,FALSE),"-")</f>
        <v>-</v>
      </c>
      <c r="BJ473" s="50" t="str">
        <f t="shared" si="131"/>
        <v>-</v>
      </c>
    </row>
    <row r="474" spans="1:62" hidden="1" x14ac:dyDescent="0.2">
      <c r="A474" s="28">
        <v>4</v>
      </c>
      <c r="B474" s="28">
        <v>4</v>
      </c>
      <c r="C474" s="11">
        <v>22</v>
      </c>
      <c r="D474" s="13" t="s">
        <v>304</v>
      </c>
      <c r="E474" s="10" t="s">
        <v>25</v>
      </c>
      <c r="F474" s="10" t="s">
        <v>209</v>
      </c>
      <c r="G474" s="10"/>
      <c r="H474" s="152"/>
      <c r="I474" s="164"/>
      <c r="J474" s="62"/>
      <c r="K474" s="62"/>
      <c r="L474" s="177"/>
      <c r="M474" s="171"/>
      <c r="N474" s="62"/>
      <c r="O474" s="62"/>
      <c r="P474" s="332"/>
      <c r="Q474" s="64"/>
      <c r="R474" s="164"/>
      <c r="S474" s="332"/>
      <c r="T474" s="62"/>
      <c r="U474" s="62"/>
      <c r="V474" s="177"/>
      <c r="W474" s="171"/>
      <c r="X474" s="62"/>
      <c r="Y474" s="45"/>
      <c r="Z474" s="45"/>
      <c r="AA474" s="100">
        <f>Y474/AP474</f>
        <v>0</v>
      </c>
      <c r="AB474" s="100">
        <f>AS474/AP474</f>
        <v>0</v>
      </c>
      <c r="AC474" s="100"/>
      <c r="AD474" s="100"/>
      <c r="AE474" s="100"/>
      <c r="AF474" s="100"/>
      <c r="AG474" s="18">
        <v>22</v>
      </c>
      <c r="AH474" s="69" t="s">
        <v>304</v>
      </c>
      <c r="AI474" s="243" t="s">
        <v>25</v>
      </c>
      <c r="AJ474" s="243" t="s">
        <v>419</v>
      </c>
      <c r="AK474" s="244" t="s">
        <v>361</v>
      </c>
      <c r="AL474" s="43" t="str">
        <f t="shared" si="132"/>
        <v>-</v>
      </c>
      <c r="AM474" s="43">
        <f t="shared" si="120"/>
        <v>0</v>
      </c>
      <c r="AN474" s="193">
        <f t="shared" si="120"/>
        <v>0</v>
      </c>
      <c r="AO474" s="270">
        <f t="shared" si="121"/>
        <v>2110</v>
      </c>
      <c r="AP474" s="265">
        <f>BJ474</f>
        <v>3500</v>
      </c>
      <c r="AQ474" s="26" t="str">
        <f t="shared" si="128"/>
        <v>HOBITON CREEKChum</v>
      </c>
      <c r="AR474" s="26">
        <f t="shared" si="122"/>
        <v>0</v>
      </c>
      <c r="AS474" s="33">
        <f t="shared" si="123"/>
        <v>0</v>
      </c>
      <c r="AX474" s="47" t="str">
        <f t="shared" si="124"/>
        <v>HOBITON CREEKChum</v>
      </c>
      <c r="AY474" s="49">
        <f t="shared" si="125"/>
        <v>0</v>
      </c>
      <c r="AZ474" s="49">
        <f t="shared" si="126"/>
        <v>0</v>
      </c>
      <c r="BA474" s="31">
        <v>2016</v>
      </c>
      <c r="BB474" s="188" t="str">
        <f t="shared" si="129"/>
        <v>Nitinat Hatchery</v>
      </c>
      <c r="BC474" s="188" t="str">
        <f t="shared" si="133"/>
        <v xml:space="preserve"> </v>
      </c>
      <c r="BD474" s="188" t="str">
        <f t="shared" si="134"/>
        <v xml:space="preserve"> </v>
      </c>
      <c r="BE474" s="188" t="str">
        <f t="shared" si="135"/>
        <v xml:space="preserve"> </v>
      </c>
      <c r="BF474" s="50" t="str">
        <f t="shared" si="127"/>
        <v>HOBITON CREEK_Chum</v>
      </c>
      <c r="BG474" s="50">
        <f>IFERROR(VLOOKUP(BF474,'[1]WCVI Esc'!$C$5:$W$514,18,FALSE),"-")</f>
        <v>2114</v>
      </c>
      <c r="BH474" s="50">
        <f t="shared" si="130"/>
        <v>2110</v>
      </c>
      <c r="BI474" s="50">
        <f>IFERROR(VLOOKUP(BF474,'[1]WCVI Esc'!$C$5:$W$514,19,FALSE),"-")</f>
        <v>3495.1111111111113</v>
      </c>
      <c r="BJ474" s="50">
        <f t="shared" si="131"/>
        <v>3500</v>
      </c>
    </row>
    <row r="475" spans="1:62" hidden="1" x14ac:dyDescent="0.2">
      <c r="A475" s="28">
        <v>4</v>
      </c>
      <c r="B475" s="28">
        <v>5</v>
      </c>
      <c r="C475" s="11">
        <v>22</v>
      </c>
      <c r="D475" s="13" t="s">
        <v>304</v>
      </c>
      <c r="E475" s="10" t="s">
        <v>25</v>
      </c>
      <c r="F475" s="10" t="s">
        <v>210</v>
      </c>
      <c r="G475" s="10"/>
      <c r="H475" s="152"/>
      <c r="I475" s="164"/>
      <c r="J475" s="62"/>
      <c r="K475" s="62"/>
      <c r="L475" s="177"/>
      <c r="M475" s="171"/>
      <c r="N475" s="62"/>
      <c r="O475" s="62"/>
      <c r="P475" s="62"/>
      <c r="Q475" s="64"/>
      <c r="R475" s="164"/>
      <c r="S475" s="62"/>
      <c r="T475" s="62"/>
      <c r="U475" s="62"/>
      <c r="V475" s="177"/>
      <c r="W475" s="171"/>
      <c r="X475" s="62"/>
      <c r="Y475" s="45"/>
      <c r="Z475" s="45"/>
      <c r="AA475" s="100"/>
      <c r="AB475" s="100"/>
      <c r="AC475" s="100"/>
      <c r="AD475" s="100"/>
      <c r="AE475" s="100"/>
      <c r="AF475" s="100"/>
      <c r="AG475" s="18">
        <v>22</v>
      </c>
      <c r="AH475" s="69" t="s">
        <v>304</v>
      </c>
      <c r="AI475" s="243" t="s">
        <v>25</v>
      </c>
      <c r="AJ475" s="243" t="s">
        <v>419</v>
      </c>
      <c r="AK475" s="244"/>
      <c r="AL475" s="43" t="str">
        <f t="shared" si="132"/>
        <v>-</v>
      </c>
      <c r="AM475" s="43">
        <f t="shared" si="120"/>
        <v>0</v>
      </c>
      <c r="AN475" s="193">
        <f t="shared" si="120"/>
        <v>0</v>
      </c>
      <c r="AO475" s="270" t="str">
        <f t="shared" si="121"/>
        <v>-</v>
      </c>
      <c r="AP475" s="266"/>
      <c r="AQ475" s="26" t="str">
        <f t="shared" si="128"/>
        <v>HOBITON CREEKChinook</v>
      </c>
      <c r="AR475" s="26">
        <f t="shared" si="122"/>
        <v>0</v>
      </c>
      <c r="AS475" s="33">
        <f t="shared" si="123"/>
        <v>0</v>
      </c>
      <c r="AX475" s="47" t="str">
        <f t="shared" si="124"/>
        <v>HOBITON CREEKChinook</v>
      </c>
      <c r="AY475" s="49">
        <f t="shared" si="125"/>
        <v>0</v>
      </c>
      <c r="AZ475" s="49">
        <f t="shared" si="126"/>
        <v>0</v>
      </c>
      <c r="BA475" s="31">
        <v>0</v>
      </c>
      <c r="BB475" s="188">
        <f t="shared" si="129"/>
        <v>0</v>
      </c>
      <c r="BC475" s="188" t="str">
        <f t="shared" si="133"/>
        <v xml:space="preserve"> </v>
      </c>
      <c r="BD475" s="188" t="str">
        <f t="shared" si="134"/>
        <v xml:space="preserve"> </v>
      </c>
      <c r="BE475" s="188" t="str">
        <f t="shared" si="135"/>
        <v xml:space="preserve"> </v>
      </c>
      <c r="BF475" s="50" t="str">
        <f t="shared" si="127"/>
        <v>HOBITON CREEK_Chinook</v>
      </c>
      <c r="BG475" s="50" t="str">
        <f>IFERROR(VLOOKUP(BF475,'[1]WCVI Esc'!$C$5:$W$514,18,FALSE),"-")</f>
        <v>-</v>
      </c>
      <c r="BH475" s="50" t="str">
        <f t="shared" si="130"/>
        <v>-</v>
      </c>
      <c r="BI475" s="50" t="str">
        <f>IFERROR(VLOOKUP(BF475,'[1]WCVI Esc'!$C$5:$W$514,19,FALSE),"-")</f>
        <v>-</v>
      </c>
      <c r="BJ475" s="50" t="str">
        <f t="shared" si="131"/>
        <v>-</v>
      </c>
    </row>
    <row r="476" spans="1:62" hidden="1" x14ac:dyDescent="0.2">
      <c r="A476" s="28">
        <v>4</v>
      </c>
      <c r="B476" s="28">
        <v>6</v>
      </c>
      <c r="C476" s="11">
        <v>22</v>
      </c>
      <c r="D476" s="13" t="s">
        <v>304</v>
      </c>
      <c r="E476" s="10" t="s">
        <v>25</v>
      </c>
      <c r="F476" s="10" t="s">
        <v>211</v>
      </c>
      <c r="G476" s="10"/>
      <c r="H476" s="152"/>
      <c r="I476" s="164"/>
      <c r="J476" s="62"/>
      <c r="K476" s="62"/>
      <c r="L476" s="177"/>
      <c r="M476" s="171"/>
      <c r="N476" s="62"/>
      <c r="O476" s="62"/>
      <c r="P476" s="62"/>
      <c r="Q476" s="64"/>
      <c r="R476" s="164"/>
      <c r="S476" s="62"/>
      <c r="T476" s="62"/>
      <c r="U476" s="62"/>
      <c r="V476" s="177"/>
      <c r="W476" s="171"/>
      <c r="X476" s="62"/>
      <c r="Y476" s="45"/>
      <c r="Z476" s="45"/>
      <c r="AA476" s="100"/>
      <c r="AB476" s="100"/>
      <c r="AC476" s="100"/>
      <c r="AD476" s="100"/>
      <c r="AE476" s="100"/>
      <c r="AF476" s="100"/>
      <c r="AG476" s="18">
        <v>22</v>
      </c>
      <c r="AH476" s="69" t="s">
        <v>304</v>
      </c>
      <c r="AI476" s="243" t="s">
        <v>25</v>
      </c>
      <c r="AJ476" s="243" t="s">
        <v>419</v>
      </c>
      <c r="AK476" s="244"/>
      <c r="AL476" s="43" t="str">
        <f t="shared" si="132"/>
        <v>-</v>
      </c>
      <c r="AM476" s="43">
        <f t="shared" si="120"/>
        <v>0</v>
      </c>
      <c r="AN476" s="193">
        <f t="shared" si="120"/>
        <v>0</v>
      </c>
      <c r="AO476" s="270" t="str">
        <f t="shared" si="121"/>
        <v>-</v>
      </c>
      <c r="AP476" s="266"/>
      <c r="AQ476" s="26" t="str">
        <f t="shared" si="128"/>
        <v>HOBITON CREEKSteelhead</v>
      </c>
      <c r="AR476" s="26">
        <f t="shared" si="122"/>
        <v>0</v>
      </c>
      <c r="AS476" s="33">
        <f t="shared" si="123"/>
        <v>0</v>
      </c>
      <c r="AX476" s="47" t="str">
        <f t="shared" si="124"/>
        <v>HOBITON CREEKSteelhead</v>
      </c>
      <c r="AY476" s="49">
        <f t="shared" si="125"/>
        <v>0</v>
      </c>
      <c r="AZ476" s="49">
        <f t="shared" si="126"/>
        <v>0</v>
      </c>
      <c r="BA476" s="31">
        <v>0</v>
      </c>
      <c r="BB476" s="188">
        <f t="shared" si="129"/>
        <v>0</v>
      </c>
      <c r="BC476" s="188" t="str">
        <f t="shared" si="133"/>
        <v xml:space="preserve"> </v>
      </c>
      <c r="BD476" s="188" t="str">
        <f t="shared" si="134"/>
        <v xml:space="preserve"> </v>
      </c>
      <c r="BE476" s="188" t="str">
        <f t="shared" si="135"/>
        <v xml:space="preserve"> </v>
      </c>
      <c r="BF476" s="50" t="str">
        <f t="shared" si="127"/>
        <v>HOBITON CREEK_Steelhead</v>
      </c>
      <c r="BG476" s="50" t="str">
        <f>IFERROR(VLOOKUP(BF476,'[1]WCVI Esc'!$C$5:$W$514,18,FALSE),"-")</f>
        <v>-</v>
      </c>
      <c r="BH476" s="50" t="str">
        <f t="shared" si="130"/>
        <v>-</v>
      </c>
      <c r="BI476" s="50" t="str">
        <f>IFERROR(VLOOKUP(BF476,'[1]WCVI Esc'!$C$5:$W$514,19,FALSE),"-")</f>
        <v>-</v>
      </c>
      <c r="BJ476" s="50" t="str">
        <f t="shared" si="131"/>
        <v>-</v>
      </c>
    </row>
    <row r="477" spans="1:62" hidden="1" x14ac:dyDescent="0.2">
      <c r="A477" s="28">
        <v>4</v>
      </c>
      <c r="B477" s="28">
        <v>1</v>
      </c>
      <c r="C477" s="11">
        <v>22</v>
      </c>
      <c r="D477" s="13" t="s">
        <v>304</v>
      </c>
      <c r="E477" s="10" t="s">
        <v>82</v>
      </c>
      <c r="F477" s="10" t="s">
        <v>207</v>
      </c>
      <c r="G477" s="10"/>
      <c r="H477" s="152"/>
      <c r="I477" s="164"/>
      <c r="J477" s="62"/>
      <c r="K477" s="62"/>
      <c r="L477" s="177"/>
      <c r="M477" s="171"/>
      <c r="N477" s="62"/>
      <c r="O477" s="62"/>
      <c r="P477" s="62"/>
      <c r="Q477" s="64"/>
      <c r="R477" s="164"/>
      <c r="S477" s="62"/>
      <c r="T477" s="62"/>
      <c r="U477" s="62"/>
      <c r="V477" s="177"/>
      <c r="W477" s="171"/>
      <c r="X477" s="62"/>
      <c r="Y477" s="45"/>
      <c r="Z477" s="45"/>
      <c r="AA477" s="100"/>
      <c r="AB477" s="100"/>
      <c r="AC477" s="100"/>
      <c r="AD477" s="100"/>
      <c r="AE477" s="100"/>
      <c r="AF477" s="100"/>
      <c r="AG477" s="18">
        <v>22</v>
      </c>
      <c r="AH477" s="69" t="s">
        <v>304</v>
      </c>
      <c r="AI477" s="243" t="s">
        <v>82</v>
      </c>
      <c r="AJ477" s="243" t="s">
        <v>419</v>
      </c>
      <c r="AK477" s="246"/>
      <c r="AL477" s="43" t="str">
        <f t="shared" si="132"/>
        <v>-</v>
      </c>
      <c r="AM477" s="43">
        <f t="shared" si="120"/>
        <v>0</v>
      </c>
      <c r="AN477" s="193">
        <f t="shared" si="120"/>
        <v>0</v>
      </c>
      <c r="AO477" s="270" t="str">
        <f t="shared" si="121"/>
        <v>-</v>
      </c>
      <c r="AP477" s="266"/>
      <c r="AQ477" s="26" t="str">
        <f t="shared" si="128"/>
        <v>JASPER CREEKSockeye</v>
      </c>
      <c r="AR477" s="26">
        <f t="shared" si="122"/>
        <v>0</v>
      </c>
      <c r="AS477" s="33">
        <f t="shared" si="123"/>
        <v>0</v>
      </c>
      <c r="AX477" s="47" t="str">
        <f t="shared" si="124"/>
        <v>JASPER CREEKSockeye</v>
      </c>
      <c r="AY477" s="49">
        <f t="shared" si="125"/>
        <v>0</v>
      </c>
      <c r="AZ477" s="49">
        <f t="shared" si="126"/>
        <v>0</v>
      </c>
      <c r="BA477" s="31">
        <v>0</v>
      </c>
      <c r="BB477" s="188">
        <f t="shared" si="129"/>
        <v>0</v>
      </c>
      <c r="BC477" s="188" t="str">
        <f t="shared" si="133"/>
        <v xml:space="preserve"> </v>
      </c>
      <c r="BD477" s="188" t="str">
        <f t="shared" si="134"/>
        <v xml:space="preserve"> </v>
      </c>
      <c r="BE477" s="188" t="str">
        <f t="shared" si="135"/>
        <v xml:space="preserve"> </v>
      </c>
      <c r="BF477" s="50" t="str">
        <f t="shared" si="127"/>
        <v>JASPER CREEK_Sockeye</v>
      </c>
      <c r="BG477" s="50" t="str">
        <f>IFERROR(VLOOKUP(BF477,'[1]WCVI Esc'!$C$5:$W$514,18,FALSE),"-")</f>
        <v>-</v>
      </c>
      <c r="BH477" s="50" t="str">
        <f t="shared" si="130"/>
        <v>-</v>
      </c>
      <c r="BI477" s="50" t="str">
        <f>IFERROR(VLOOKUP(BF477,'[1]WCVI Esc'!$C$5:$W$514,19,FALSE),"-")</f>
        <v>-</v>
      </c>
      <c r="BJ477" s="50" t="str">
        <f t="shared" si="131"/>
        <v>-</v>
      </c>
    </row>
    <row r="478" spans="1:62" hidden="1" x14ac:dyDescent="0.2">
      <c r="A478" s="28">
        <v>4</v>
      </c>
      <c r="B478" s="28">
        <v>2</v>
      </c>
      <c r="C478" s="11">
        <v>22</v>
      </c>
      <c r="D478" s="13" t="s">
        <v>304</v>
      </c>
      <c r="E478" s="10" t="s">
        <v>82</v>
      </c>
      <c r="F478" s="10" t="s">
        <v>219</v>
      </c>
      <c r="G478" s="10"/>
      <c r="H478" s="152"/>
      <c r="I478" s="164"/>
      <c r="J478" s="62"/>
      <c r="K478" s="62"/>
      <c r="L478" s="177"/>
      <c r="M478" s="171"/>
      <c r="N478" s="62"/>
      <c r="O478" s="62"/>
      <c r="P478" s="62"/>
      <c r="Q478" s="64"/>
      <c r="R478" s="164"/>
      <c r="S478" s="62"/>
      <c r="T478" s="62"/>
      <c r="U478" s="62"/>
      <c r="V478" s="177"/>
      <c r="W478" s="171"/>
      <c r="X478" s="62"/>
      <c r="Y478" s="45"/>
      <c r="Z478" s="45"/>
      <c r="AA478" s="100"/>
      <c r="AB478" s="100"/>
      <c r="AC478" s="100"/>
      <c r="AD478" s="100"/>
      <c r="AE478" s="100"/>
      <c r="AF478" s="100"/>
      <c r="AG478" s="18">
        <v>22</v>
      </c>
      <c r="AH478" s="69" t="s">
        <v>304</v>
      </c>
      <c r="AI478" s="243" t="s">
        <v>82</v>
      </c>
      <c r="AJ478" s="243" t="s">
        <v>419</v>
      </c>
      <c r="AK478" s="246"/>
      <c r="AL478" s="43" t="str">
        <f t="shared" si="132"/>
        <v>-</v>
      </c>
      <c r="AM478" s="43">
        <f t="shared" si="120"/>
        <v>0</v>
      </c>
      <c r="AN478" s="193">
        <f t="shared" si="120"/>
        <v>0</v>
      </c>
      <c r="AO478" s="270" t="str">
        <f t="shared" si="121"/>
        <v>-</v>
      </c>
      <c r="AP478" s="266"/>
      <c r="AQ478" s="26" t="str">
        <f t="shared" si="128"/>
        <v>JASPER CREEKCoho</v>
      </c>
      <c r="AR478" s="26">
        <f t="shared" si="122"/>
        <v>0</v>
      </c>
      <c r="AS478" s="33">
        <f t="shared" si="123"/>
        <v>0</v>
      </c>
      <c r="AX478" s="47" t="str">
        <f t="shared" si="124"/>
        <v>JASPER CREEKCoho</v>
      </c>
      <c r="AY478" s="49">
        <f t="shared" si="125"/>
        <v>0</v>
      </c>
      <c r="AZ478" s="49">
        <f t="shared" si="126"/>
        <v>0</v>
      </c>
      <c r="BA478" s="31">
        <v>0</v>
      </c>
      <c r="BB478" s="188">
        <f t="shared" si="129"/>
        <v>0</v>
      </c>
      <c r="BC478" s="188" t="str">
        <f t="shared" si="133"/>
        <v xml:space="preserve"> </v>
      </c>
      <c r="BD478" s="188" t="str">
        <f t="shared" si="134"/>
        <v xml:space="preserve"> </v>
      </c>
      <c r="BE478" s="188" t="str">
        <f t="shared" si="135"/>
        <v xml:space="preserve"> </v>
      </c>
      <c r="BF478" s="50" t="str">
        <f t="shared" si="127"/>
        <v>JASPER CREEK_Coho</v>
      </c>
      <c r="BG478" s="50" t="str">
        <f>IFERROR(VLOOKUP(BF478,'[1]WCVI Esc'!$C$5:$W$514,18,FALSE),"-")</f>
        <v>-</v>
      </c>
      <c r="BH478" s="50" t="str">
        <f t="shared" si="130"/>
        <v>-</v>
      </c>
      <c r="BI478" s="50" t="str">
        <f>IFERROR(VLOOKUP(BF478,'[1]WCVI Esc'!$C$5:$W$514,19,FALSE),"-")</f>
        <v>-</v>
      </c>
      <c r="BJ478" s="50" t="str">
        <f t="shared" si="131"/>
        <v>-</v>
      </c>
    </row>
    <row r="479" spans="1:62" hidden="1" x14ac:dyDescent="0.2">
      <c r="A479" s="28">
        <v>4</v>
      </c>
      <c r="B479" s="28">
        <v>3</v>
      </c>
      <c r="C479" s="11">
        <v>22</v>
      </c>
      <c r="D479" s="13" t="s">
        <v>304</v>
      </c>
      <c r="E479" s="10" t="s">
        <v>82</v>
      </c>
      <c r="F479" s="10" t="s">
        <v>208</v>
      </c>
      <c r="G479" s="10"/>
      <c r="H479" s="152"/>
      <c r="I479" s="164"/>
      <c r="J479" s="62"/>
      <c r="K479" s="62"/>
      <c r="L479" s="177"/>
      <c r="M479" s="171"/>
      <c r="N479" s="62"/>
      <c r="O479" s="62"/>
      <c r="P479" s="62"/>
      <c r="Q479" s="64"/>
      <c r="R479" s="164"/>
      <c r="S479" s="62"/>
      <c r="T479" s="62"/>
      <c r="U479" s="62"/>
      <c r="V479" s="177"/>
      <c r="W479" s="171"/>
      <c r="X479" s="62"/>
      <c r="Y479" s="45"/>
      <c r="Z479" s="45"/>
      <c r="AA479" s="100"/>
      <c r="AB479" s="100"/>
      <c r="AC479" s="100"/>
      <c r="AD479" s="100"/>
      <c r="AE479" s="100"/>
      <c r="AF479" s="100"/>
      <c r="AG479" s="18">
        <v>22</v>
      </c>
      <c r="AH479" s="69" t="s">
        <v>304</v>
      </c>
      <c r="AI479" s="243" t="s">
        <v>82</v>
      </c>
      <c r="AJ479" s="243" t="s">
        <v>419</v>
      </c>
      <c r="AK479" s="246"/>
      <c r="AL479" s="43" t="str">
        <f t="shared" si="132"/>
        <v>-</v>
      </c>
      <c r="AM479" s="43">
        <f t="shared" si="120"/>
        <v>0</v>
      </c>
      <c r="AN479" s="193">
        <f t="shared" si="120"/>
        <v>0</v>
      </c>
      <c r="AO479" s="270" t="str">
        <f t="shared" si="121"/>
        <v>-</v>
      </c>
      <c r="AP479" s="266"/>
      <c r="AQ479" s="26" t="str">
        <f t="shared" si="128"/>
        <v>JASPER CREEKPink</v>
      </c>
      <c r="AR479" s="26">
        <f t="shared" si="122"/>
        <v>0</v>
      </c>
      <c r="AS479" s="33">
        <f t="shared" si="123"/>
        <v>0</v>
      </c>
      <c r="AX479" s="47" t="str">
        <f t="shared" si="124"/>
        <v>JASPER CREEKPink</v>
      </c>
      <c r="AY479" s="49">
        <f t="shared" si="125"/>
        <v>0</v>
      </c>
      <c r="AZ479" s="49">
        <f t="shared" si="126"/>
        <v>0</v>
      </c>
      <c r="BA479" s="31">
        <v>0</v>
      </c>
      <c r="BB479" s="188">
        <f t="shared" si="129"/>
        <v>0</v>
      </c>
      <c r="BC479" s="188" t="str">
        <f t="shared" si="133"/>
        <v xml:space="preserve"> </v>
      </c>
      <c r="BD479" s="188" t="str">
        <f t="shared" si="134"/>
        <v xml:space="preserve"> </v>
      </c>
      <c r="BE479" s="188" t="str">
        <f t="shared" si="135"/>
        <v xml:space="preserve"> </v>
      </c>
      <c r="BF479" s="50" t="str">
        <f t="shared" si="127"/>
        <v>JASPER CREEK_Pink</v>
      </c>
      <c r="BG479" s="50" t="str">
        <f>IFERROR(VLOOKUP(BF479,'[1]WCVI Esc'!$C$5:$W$514,18,FALSE),"-")</f>
        <v>-</v>
      </c>
      <c r="BH479" s="50" t="str">
        <f t="shared" si="130"/>
        <v>-</v>
      </c>
      <c r="BI479" s="50" t="str">
        <f>IFERROR(VLOOKUP(BF479,'[1]WCVI Esc'!$C$5:$W$514,19,FALSE),"-")</f>
        <v>-</v>
      </c>
      <c r="BJ479" s="50" t="str">
        <f t="shared" si="131"/>
        <v>-</v>
      </c>
    </row>
    <row r="480" spans="1:62" hidden="1" x14ac:dyDescent="0.2">
      <c r="A480" s="28">
        <v>4</v>
      </c>
      <c r="B480" s="28">
        <v>4</v>
      </c>
      <c r="C480" s="11">
        <v>22</v>
      </c>
      <c r="D480" s="13" t="s">
        <v>304</v>
      </c>
      <c r="E480" s="10" t="s">
        <v>82</v>
      </c>
      <c r="F480" s="10" t="s">
        <v>209</v>
      </c>
      <c r="G480" s="10"/>
      <c r="H480" s="152"/>
      <c r="I480" s="164"/>
      <c r="J480" s="62"/>
      <c r="K480" s="62"/>
      <c r="L480" s="177"/>
      <c r="M480" s="171"/>
      <c r="N480" s="62"/>
      <c r="O480" s="62"/>
      <c r="P480" s="62"/>
      <c r="Q480" s="64"/>
      <c r="R480" s="164"/>
      <c r="S480" s="62"/>
      <c r="T480" s="62"/>
      <c r="U480" s="62"/>
      <c r="V480" s="177"/>
      <c r="W480" s="171"/>
      <c r="X480" s="62"/>
      <c r="Y480" s="45"/>
      <c r="Z480" s="45"/>
      <c r="AA480" s="100"/>
      <c r="AB480" s="100"/>
      <c r="AC480" s="100"/>
      <c r="AD480" s="100"/>
      <c r="AE480" s="100"/>
      <c r="AF480" s="100"/>
      <c r="AG480" s="18">
        <v>22</v>
      </c>
      <c r="AH480" s="69" t="s">
        <v>304</v>
      </c>
      <c r="AI480" s="243" t="s">
        <v>82</v>
      </c>
      <c r="AJ480" s="243" t="s">
        <v>419</v>
      </c>
      <c r="AK480" s="246"/>
      <c r="AL480" s="43" t="str">
        <f t="shared" si="132"/>
        <v>-</v>
      </c>
      <c r="AM480" s="43">
        <f t="shared" si="120"/>
        <v>0</v>
      </c>
      <c r="AN480" s="193">
        <f t="shared" si="120"/>
        <v>0</v>
      </c>
      <c r="AO480" s="270" t="str">
        <f t="shared" si="121"/>
        <v>-</v>
      </c>
      <c r="AP480" s="266"/>
      <c r="AQ480" s="26" t="str">
        <f t="shared" si="128"/>
        <v>JASPER CREEKChum</v>
      </c>
      <c r="AR480" s="26">
        <f t="shared" si="122"/>
        <v>0</v>
      </c>
      <c r="AS480" s="33">
        <f t="shared" si="123"/>
        <v>0</v>
      </c>
      <c r="AX480" s="47" t="str">
        <f t="shared" si="124"/>
        <v>JASPER CREEKChum</v>
      </c>
      <c r="AY480" s="49">
        <f t="shared" si="125"/>
        <v>0</v>
      </c>
      <c r="AZ480" s="49">
        <f t="shared" si="126"/>
        <v>0</v>
      </c>
      <c r="BA480" s="31">
        <v>0</v>
      </c>
      <c r="BB480" s="188">
        <f t="shared" si="129"/>
        <v>0</v>
      </c>
      <c r="BC480" s="188" t="str">
        <f t="shared" si="133"/>
        <v xml:space="preserve"> </v>
      </c>
      <c r="BD480" s="188" t="str">
        <f t="shared" si="134"/>
        <v xml:space="preserve"> </v>
      </c>
      <c r="BE480" s="188" t="str">
        <f t="shared" si="135"/>
        <v xml:space="preserve"> </v>
      </c>
      <c r="BF480" s="50" t="str">
        <f t="shared" si="127"/>
        <v>JASPER CREEK_Chum</v>
      </c>
      <c r="BG480" s="50" t="str">
        <f>IFERROR(VLOOKUP(BF480,'[1]WCVI Esc'!$C$5:$W$514,18,FALSE),"-")</f>
        <v>-</v>
      </c>
      <c r="BH480" s="50" t="str">
        <f t="shared" si="130"/>
        <v>-</v>
      </c>
      <c r="BI480" s="50" t="str">
        <f>IFERROR(VLOOKUP(BF480,'[1]WCVI Esc'!$C$5:$W$514,19,FALSE),"-")</f>
        <v>-</v>
      </c>
      <c r="BJ480" s="50" t="str">
        <f t="shared" si="131"/>
        <v>-</v>
      </c>
    </row>
    <row r="481" spans="1:62" hidden="1" x14ac:dyDescent="0.2">
      <c r="A481" s="28">
        <v>4</v>
      </c>
      <c r="B481" s="28">
        <v>5</v>
      </c>
      <c r="C481" s="11">
        <v>22</v>
      </c>
      <c r="D481" s="13" t="s">
        <v>304</v>
      </c>
      <c r="E481" s="10" t="s">
        <v>82</v>
      </c>
      <c r="F481" s="10" t="s">
        <v>210</v>
      </c>
      <c r="G481" s="10"/>
      <c r="H481" s="152"/>
      <c r="I481" s="164"/>
      <c r="J481" s="62"/>
      <c r="K481" s="62"/>
      <c r="L481" s="177"/>
      <c r="M481" s="171"/>
      <c r="N481" s="62"/>
      <c r="O481" s="62"/>
      <c r="P481" s="62"/>
      <c r="Q481" s="64"/>
      <c r="R481" s="164"/>
      <c r="S481" s="62"/>
      <c r="T481" s="62"/>
      <c r="U481" s="62"/>
      <c r="V481" s="177"/>
      <c r="W481" s="171"/>
      <c r="X481" s="62"/>
      <c r="Y481" s="45"/>
      <c r="Z481" s="45"/>
      <c r="AA481" s="100"/>
      <c r="AB481" s="100"/>
      <c r="AC481" s="100"/>
      <c r="AD481" s="100"/>
      <c r="AE481" s="100"/>
      <c r="AF481" s="100"/>
      <c r="AG481" s="18">
        <v>22</v>
      </c>
      <c r="AH481" s="69" t="s">
        <v>304</v>
      </c>
      <c r="AI481" s="243" t="s">
        <v>82</v>
      </c>
      <c r="AJ481" s="243" t="s">
        <v>419</v>
      </c>
      <c r="AK481" s="246"/>
      <c r="AL481" s="43" t="str">
        <f t="shared" si="132"/>
        <v>-</v>
      </c>
      <c r="AM481" s="43">
        <f t="shared" si="120"/>
        <v>0</v>
      </c>
      <c r="AN481" s="193">
        <f t="shared" si="120"/>
        <v>0</v>
      </c>
      <c r="AO481" s="270" t="str">
        <f t="shared" si="121"/>
        <v>-</v>
      </c>
      <c r="AP481" s="266"/>
      <c r="AQ481" s="26" t="str">
        <f t="shared" si="128"/>
        <v>JASPER CREEKChinook</v>
      </c>
      <c r="AR481" s="26">
        <f t="shared" si="122"/>
        <v>0</v>
      </c>
      <c r="AS481" s="33">
        <f t="shared" si="123"/>
        <v>0</v>
      </c>
      <c r="AX481" s="47" t="str">
        <f t="shared" si="124"/>
        <v>JASPER CREEKChinook</v>
      </c>
      <c r="AY481" s="49">
        <f t="shared" si="125"/>
        <v>0</v>
      </c>
      <c r="AZ481" s="49">
        <f t="shared" si="126"/>
        <v>0</v>
      </c>
      <c r="BA481" s="31">
        <v>0</v>
      </c>
      <c r="BB481" s="188">
        <f t="shared" si="129"/>
        <v>0</v>
      </c>
      <c r="BC481" s="188" t="str">
        <f t="shared" si="133"/>
        <v xml:space="preserve"> </v>
      </c>
      <c r="BD481" s="188" t="str">
        <f t="shared" si="134"/>
        <v xml:space="preserve"> </v>
      </c>
      <c r="BE481" s="188" t="str">
        <f t="shared" si="135"/>
        <v xml:space="preserve"> </v>
      </c>
      <c r="BF481" s="50" t="str">
        <f t="shared" si="127"/>
        <v>JASPER CREEK_Chinook</v>
      </c>
      <c r="BG481" s="50" t="str">
        <f>IFERROR(VLOOKUP(BF481,'[1]WCVI Esc'!$C$5:$W$514,18,FALSE),"-")</f>
        <v>-</v>
      </c>
      <c r="BH481" s="50" t="str">
        <f t="shared" si="130"/>
        <v>-</v>
      </c>
      <c r="BI481" s="50" t="str">
        <f>IFERROR(VLOOKUP(BF481,'[1]WCVI Esc'!$C$5:$W$514,19,FALSE),"-")</f>
        <v>-</v>
      </c>
      <c r="BJ481" s="50" t="str">
        <f t="shared" si="131"/>
        <v>-</v>
      </c>
    </row>
    <row r="482" spans="1:62" hidden="1" x14ac:dyDescent="0.2">
      <c r="A482" s="28">
        <v>4</v>
      </c>
      <c r="B482" s="28">
        <v>6</v>
      </c>
      <c r="C482" s="11">
        <v>22</v>
      </c>
      <c r="D482" s="13" t="s">
        <v>304</v>
      </c>
      <c r="E482" s="10" t="s">
        <v>82</v>
      </c>
      <c r="F482" s="10" t="s">
        <v>211</v>
      </c>
      <c r="G482" s="10"/>
      <c r="H482" s="152"/>
      <c r="I482" s="164"/>
      <c r="J482" s="62"/>
      <c r="K482" s="62"/>
      <c r="L482" s="177"/>
      <c r="M482" s="171"/>
      <c r="N482" s="62"/>
      <c r="O482" s="62"/>
      <c r="P482" s="62"/>
      <c r="Q482" s="64"/>
      <c r="R482" s="164"/>
      <c r="S482" s="62"/>
      <c r="T482" s="62"/>
      <c r="U482" s="62"/>
      <c r="V482" s="177"/>
      <c r="W482" s="171"/>
      <c r="X482" s="62"/>
      <c r="Y482" s="45"/>
      <c r="Z482" s="45"/>
      <c r="AA482" s="100"/>
      <c r="AB482" s="100"/>
      <c r="AC482" s="100"/>
      <c r="AD482" s="100"/>
      <c r="AE482" s="100"/>
      <c r="AF482" s="100"/>
      <c r="AG482" s="18">
        <v>22</v>
      </c>
      <c r="AH482" s="69" t="s">
        <v>304</v>
      </c>
      <c r="AI482" s="243" t="s">
        <v>82</v>
      </c>
      <c r="AJ482" s="243" t="s">
        <v>419</v>
      </c>
      <c r="AK482" s="246"/>
      <c r="AL482" s="43" t="str">
        <f t="shared" si="132"/>
        <v>-</v>
      </c>
      <c r="AM482" s="43">
        <f t="shared" si="120"/>
        <v>0</v>
      </c>
      <c r="AN482" s="193">
        <f t="shared" si="120"/>
        <v>0</v>
      </c>
      <c r="AO482" s="270" t="str">
        <f t="shared" si="121"/>
        <v>-</v>
      </c>
      <c r="AP482" s="266"/>
      <c r="AQ482" s="26" t="str">
        <f t="shared" si="128"/>
        <v>JASPER CREEKSteelhead</v>
      </c>
      <c r="AR482" s="26">
        <f t="shared" si="122"/>
        <v>0</v>
      </c>
      <c r="AS482" s="33">
        <f t="shared" si="123"/>
        <v>0</v>
      </c>
      <c r="AX482" s="47" t="str">
        <f t="shared" si="124"/>
        <v>JASPER CREEKSteelhead</v>
      </c>
      <c r="AY482" s="49">
        <f t="shared" si="125"/>
        <v>0</v>
      </c>
      <c r="AZ482" s="49">
        <f t="shared" si="126"/>
        <v>0</v>
      </c>
      <c r="BA482" s="31">
        <v>0</v>
      </c>
      <c r="BB482" s="188">
        <f t="shared" si="129"/>
        <v>0</v>
      </c>
      <c r="BC482" s="188" t="str">
        <f t="shared" si="133"/>
        <v xml:space="preserve"> </v>
      </c>
      <c r="BD482" s="188" t="str">
        <f t="shared" si="134"/>
        <v xml:space="preserve"> </v>
      </c>
      <c r="BE482" s="188" t="str">
        <f t="shared" si="135"/>
        <v xml:space="preserve"> </v>
      </c>
      <c r="BF482" s="50" t="str">
        <f t="shared" si="127"/>
        <v>JASPER CREEK_Steelhead</v>
      </c>
      <c r="BG482" s="50" t="str">
        <f>IFERROR(VLOOKUP(BF482,'[1]WCVI Esc'!$C$5:$W$514,18,FALSE),"-")</f>
        <v>-</v>
      </c>
      <c r="BH482" s="50" t="str">
        <f t="shared" si="130"/>
        <v>-</v>
      </c>
      <c r="BI482" s="50" t="str">
        <f>IFERROR(VLOOKUP(BF482,'[1]WCVI Esc'!$C$5:$W$514,19,FALSE),"-")</f>
        <v>-</v>
      </c>
      <c r="BJ482" s="50" t="str">
        <f t="shared" si="131"/>
        <v>-</v>
      </c>
    </row>
    <row r="483" spans="1:62" hidden="1" x14ac:dyDescent="0.2">
      <c r="A483" s="28">
        <v>4</v>
      </c>
      <c r="B483" s="28">
        <v>1</v>
      </c>
      <c r="C483" s="11">
        <v>22</v>
      </c>
      <c r="D483" s="13" t="s">
        <v>304</v>
      </c>
      <c r="E483" s="10" t="s">
        <v>83</v>
      </c>
      <c r="F483" s="10" t="s">
        <v>207</v>
      </c>
      <c r="G483" s="10"/>
      <c r="H483" s="152"/>
      <c r="I483" s="164"/>
      <c r="J483" s="62"/>
      <c r="K483" s="62"/>
      <c r="L483" s="177"/>
      <c r="M483" s="171"/>
      <c r="N483" s="62"/>
      <c r="O483" s="62"/>
      <c r="P483" s="62"/>
      <c r="Q483" s="64"/>
      <c r="R483" s="164"/>
      <c r="S483" s="62"/>
      <c r="T483" s="62"/>
      <c r="U483" s="62"/>
      <c r="V483" s="177"/>
      <c r="W483" s="171"/>
      <c r="X483" s="62"/>
      <c r="Y483" s="45"/>
      <c r="Z483" s="45"/>
      <c r="AA483" s="100"/>
      <c r="AB483" s="100"/>
      <c r="AC483" s="100"/>
      <c r="AD483" s="100"/>
      <c r="AE483" s="100"/>
      <c r="AF483" s="100"/>
      <c r="AG483" s="18">
        <v>22</v>
      </c>
      <c r="AH483" s="69" t="s">
        <v>304</v>
      </c>
      <c r="AI483" s="243" t="s">
        <v>83</v>
      </c>
      <c r="AJ483" s="243" t="s">
        <v>419</v>
      </c>
      <c r="AK483" s="246"/>
      <c r="AL483" s="43" t="str">
        <f t="shared" si="132"/>
        <v>-</v>
      </c>
      <c r="AM483" s="43">
        <f t="shared" si="120"/>
        <v>0</v>
      </c>
      <c r="AN483" s="193">
        <f t="shared" si="120"/>
        <v>0</v>
      </c>
      <c r="AO483" s="270" t="str">
        <f t="shared" si="121"/>
        <v>-</v>
      </c>
      <c r="AP483" s="266"/>
      <c r="AQ483" s="26" t="str">
        <f t="shared" si="128"/>
        <v>LITTLE NITINAT RIVERSockeye</v>
      </c>
      <c r="AR483" s="26">
        <f t="shared" si="122"/>
        <v>0</v>
      </c>
      <c r="AS483" s="33">
        <f t="shared" si="123"/>
        <v>0</v>
      </c>
      <c r="AX483" s="47" t="str">
        <f t="shared" si="124"/>
        <v>LITTLE NITINAT RIVERSockeye</v>
      </c>
      <c r="AY483" s="49">
        <f t="shared" si="125"/>
        <v>0</v>
      </c>
      <c r="AZ483" s="49">
        <f t="shared" si="126"/>
        <v>0</v>
      </c>
      <c r="BA483" s="31">
        <v>0</v>
      </c>
      <c r="BB483" s="188">
        <f t="shared" si="129"/>
        <v>0</v>
      </c>
      <c r="BC483" s="188" t="str">
        <f t="shared" si="133"/>
        <v xml:space="preserve"> </v>
      </c>
      <c r="BD483" s="188" t="str">
        <f t="shared" si="134"/>
        <v xml:space="preserve"> </v>
      </c>
      <c r="BE483" s="188" t="str">
        <f t="shared" si="135"/>
        <v xml:space="preserve"> </v>
      </c>
      <c r="BF483" s="50" t="str">
        <f t="shared" si="127"/>
        <v>LITTLE NITINAT RIVER_Sockeye</v>
      </c>
      <c r="BG483" s="50" t="str">
        <f>IFERROR(VLOOKUP(BF483,'[1]WCVI Esc'!$C$5:$W$514,18,FALSE),"-")</f>
        <v>-</v>
      </c>
      <c r="BH483" s="50" t="str">
        <f t="shared" si="130"/>
        <v>-</v>
      </c>
      <c r="BI483" s="50" t="str">
        <f>IFERROR(VLOOKUP(BF483,'[1]WCVI Esc'!$C$5:$W$514,19,FALSE),"-")</f>
        <v>-</v>
      </c>
      <c r="BJ483" s="50" t="str">
        <f t="shared" si="131"/>
        <v>-</v>
      </c>
    </row>
    <row r="484" spans="1:62" hidden="1" x14ac:dyDescent="0.2">
      <c r="A484" s="28">
        <v>4</v>
      </c>
      <c r="B484" s="28">
        <v>2</v>
      </c>
      <c r="C484" s="11">
        <v>22</v>
      </c>
      <c r="D484" s="13" t="s">
        <v>304</v>
      </c>
      <c r="E484" s="10" t="s">
        <v>83</v>
      </c>
      <c r="F484" s="10" t="s">
        <v>219</v>
      </c>
      <c r="G484" s="10"/>
      <c r="H484" s="152"/>
      <c r="I484" s="164"/>
      <c r="J484" s="62"/>
      <c r="K484" s="62"/>
      <c r="L484" s="177"/>
      <c r="M484" s="171"/>
      <c r="N484" s="94"/>
      <c r="O484" s="62"/>
      <c r="P484" s="62"/>
      <c r="Q484" s="64"/>
      <c r="R484" s="164"/>
      <c r="S484" s="62"/>
      <c r="T484" s="62"/>
      <c r="U484" s="62"/>
      <c r="V484" s="177"/>
      <c r="W484" s="171"/>
      <c r="X484" s="62"/>
      <c r="Y484" s="45"/>
      <c r="Z484" s="45"/>
      <c r="AA484" s="100"/>
      <c r="AB484" s="100"/>
      <c r="AC484" s="100"/>
      <c r="AD484" s="100"/>
      <c r="AE484" s="100"/>
      <c r="AF484" s="100"/>
      <c r="AG484" s="18">
        <v>22</v>
      </c>
      <c r="AH484" s="69" t="s">
        <v>304</v>
      </c>
      <c r="AI484" s="243" t="s">
        <v>83</v>
      </c>
      <c r="AJ484" s="243" t="s">
        <v>419</v>
      </c>
      <c r="AK484" s="246"/>
      <c r="AL484" s="43" t="str">
        <f t="shared" si="132"/>
        <v>-</v>
      </c>
      <c r="AM484" s="43">
        <f t="shared" si="120"/>
        <v>0</v>
      </c>
      <c r="AN484" s="193">
        <f t="shared" si="120"/>
        <v>0</v>
      </c>
      <c r="AO484" s="270" t="str">
        <f t="shared" si="121"/>
        <v>-</v>
      </c>
      <c r="AP484" s="266"/>
      <c r="AQ484" s="26" t="str">
        <f t="shared" si="128"/>
        <v>LITTLE NITINAT RIVERCoho</v>
      </c>
      <c r="AR484" s="26">
        <f t="shared" si="122"/>
        <v>0</v>
      </c>
      <c r="AS484" s="33">
        <f t="shared" si="123"/>
        <v>0</v>
      </c>
      <c r="AX484" s="47" t="str">
        <f t="shared" si="124"/>
        <v>LITTLE NITINAT RIVERCoho</v>
      </c>
      <c r="AY484" s="49">
        <f t="shared" si="125"/>
        <v>0</v>
      </c>
      <c r="AZ484" s="49">
        <f t="shared" si="126"/>
        <v>0</v>
      </c>
      <c r="BA484" s="31">
        <v>0</v>
      </c>
      <c r="BB484" s="188">
        <f t="shared" si="129"/>
        <v>0</v>
      </c>
      <c r="BC484" s="188" t="str">
        <f t="shared" si="133"/>
        <v xml:space="preserve"> </v>
      </c>
      <c r="BD484" s="188" t="str">
        <f t="shared" si="134"/>
        <v xml:space="preserve"> </v>
      </c>
      <c r="BE484" s="188" t="str">
        <f t="shared" si="135"/>
        <v xml:space="preserve"> </v>
      </c>
      <c r="BF484" s="50" t="str">
        <f t="shared" si="127"/>
        <v>LITTLE NITINAT RIVER_Coho</v>
      </c>
      <c r="BG484" s="50" t="str">
        <f>IFERROR(VLOOKUP(BF484,'[1]WCVI Esc'!$C$5:$W$514,18,FALSE),"-")</f>
        <v>-</v>
      </c>
      <c r="BH484" s="50" t="str">
        <f t="shared" si="130"/>
        <v>-</v>
      </c>
      <c r="BI484" s="50" t="str">
        <f>IFERROR(VLOOKUP(BF484,'[1]WCVI Esc'!$C$5:$W$514,19,FALSE),"-")</f>
        <v>-</v>
      </c>
      <c r="BJ484" s="50" t="str">
        <f t="shared" si="131"/>
        <v>-</v>
      </c>
    </row>
    <row r="485" spans="1:62" hidden="1" x14ac:dyDescent="0.2">
      <c r="A485" s="28">
        <v>4</v>
      </c>
      <c r="B485" s="28">
        <v>3</v>
      </c>
      <c r="C485" s="11">
        <v>22</v>
      </c>
      <c r="D485" s="13" t="s">
        <v>304</v>
      </c>
      <c r="E485" s="10" t="s">
        <v>83</v>
      </c>
      <c r="F485" s="10" t="s">
        <v>208</v>
      </c>
      <c r="G485" s="10"/>
      <c r="H485" s="152"/>
      <c r="I485" s="164"/>
      <c r="J485" s="62"/>
      <c r="K485" s="62"/>
      <c r="L485" s="177"/>
      <c r="M485" s="171"/>
      <c r="N485" s="62"/>
      <c r="O485" s="62"/>
      <c r="P485" s="62"/>
      <c r="Q485" s="64"/>
      <c r="R485" s="164"/>
      <c r="S485" s="62"/>
      <c r="T485" s="62"/>
      <c r="U485" s="62"/>
      <c r="V485" s="177"/>
      <c r="W485" s="171"/>
      <c r="X485" s="62"/>
      <c r="Y485" s="45"/>
      <c r="Z485" s="45"/>
      <c r="AA485" s="100"/>
      <c r="AB485" s="100"/>
      <c r="AC485" s="100"/>
      <c r="AD485" s="100"/>
      <c r="AE485" s="100"/>
      <c r="AF485" s="100"/>
      <c r="AG485" s="18">
        <v>22</v>
      </c>
      <c r="AH485" s="69" t="s">
        <v>304</v>
      </c>
      <c r="AI485" s="243" t="s">
        <v>83</v>
      </c>
      <c r="AJ485" s="243" t="s">
        <v>419</v>
      </c>
      <c r="AK485" s="246"/>
      <c r="AL485" s="43" t="str">
        <f t="shared" si="132"/>
        <v>-</v>
      </c>
      <c r="AM485" s="43">
        <f t="shared" si="120"/>
        <v>0</v>
      </c>
      <c r="AN485" s="193">
        <f t="shared" si="120"/>
        <v>0</v>
      </c>
      <c r="AO485" s="270" t="str">
        <f t="shared" si="121"/>
        <v>-</v>
      </c>
      <c r="AP485" s="266"/>
      <c r="AQ485" s="26" t="str">
        <f t="shared" si="128"/>
        <v>LITTLE NITINAT RIVERPink</v>
      </c>
      <c r="AR485" s="26">
        <f t="shared" si="122"/>
        <v>0</v>
      </c>
      <c r="AS485" s="33">
        <f t="shared" si="123"/>
        <v>0</v>
      </c>
      <c r="AX485" s="47" t="str">
        <f t="shared" si="124"/>
        <v>LITTLE NITINAT RIVERPink</v>
      </c>
      <c r="AY485" s="49">
        <f t="shared" si="125"/>
        <v>0</v>
      </c>
      <c r="AZ485" s="49">
        <f t="shared" si="126"/>
        <v>0</v>
      </c>
      <c r="BA485" s="31">
        <v>0</v>
      </c>
      <c r="BB485" s="188">
        <f t="shared" si="129"/>
        <v>0</v>
      </c>
      <c r="BC485" s="188" t="str">
        <f t="shared" si="133"/>
        <v xml:space="preserve"> </v>
      </c>
      <c r="BD485" s="188" t="str">
        <f t="shared" si="134"/>
        <v xml:space="preserve"> </v>
      </c>
      <c r="BE485" s="188" t="str">
        <f t="shared" si="135"/>
        <v xml:space="preserve"> </v>
      </c>
      <c r="BF485" s="50" t="str">
        <f t="shared" si="127"/>
        <v>LITTLE NITINAT RIVER_Pink</v>
      </c>
      <c r="BG485" s="50" t="str">
        <f>IFERROR(VLOOKUP(BF485,'[1]WCVI Esc'!$C$5:$W$514,18,FALSE),"-")</f>
        <v>-</v>
      </c>
      <c r="BH485" s="50" t="str">
        <f t="shared" si="130"/>
        <v>-</v>
      </c>
      <c r="BI485" s="50" t="str">
        <f>IFERROR(VLOOKUP(BF485,'[1]WCVI Esc'!$C$5:$W$514,19,FALSE),"-")</f>
        <v>-</v>
      </c>
      <c r="BJ485" s="50" t="str">
        <f t="shared" si="131"/>
        <v>-</v>
      </c>
    </row>
    <row r="486" spans="1:62" hidden="1" x14ac:dyDescent="0.2">
      <c r="A486" s="28">
        <v>4</v>
      </c>
      <c r="B486" s="28">
        <v>4</v>
      </c>
      <c r="C486" s="11">
        <v>22</v>
      </c>
      <c r="D486" s="13" t="s">
        <v>304</v>
      </c>
      <c r="E486" s="10" t="s">
        <v>83</v>
      </c>
      <c r="F486" s="10" t="s">
        <v>209</v>
      </c>
      <c r="G486" s="10"/>
      <c r="H486" s="152"/>
      <c r="I486" s="164"/>
      <c r="J486" s="62"/>
      <c r="K486" s="62"/>
      <c r="L486" s="177"/>
      <c r="M486" s="171"/>
      <c r="N486" s="94"/>
      <c r="O486" s="62"/>
      <c r="P486" s="62"/>
      <c r="Q486" s="64"/>
      <c r="R486" s="164"/>
      <c r="S486" s="62"/>
      <c r="T486" s="62"/>
      <c r="U486" s="62"/>
      <c r="V486" s="177"/>
      <c r="W486" s="171"/>
      <c r="X486" s="62"/>
      <c r="Y486" s="45"/>
      <c r="Z486" s="45"/>
      <c r="AA486" s="100"/>
      <c r="AB486" s="100"/>
      <c r="AC486" s="100"/>
      <c r="AD486" s="100"/>
      <c r="AE486" s="100"/>
      <c r="AF486" s="100"/>
      <c r="AG486" s="18">
        <v>22</v>
      </c>
      <c r="AH486" s="69" t="s">
        <v>304</v>
      </c>
      <c r="AI486" s="243" t="s">
        <v>83</v>
      </c>
      <c r="AJ486" s="243" t="s">
        <v>419</v>
      </c>
      <c r="AK486" s="246"/>
      <c r="AL486" s="43" t="str">
        <f t="shared" si="132"/>
        <v>-</v>
      </c>
      <c r="AM486" s="43">
        <f t="shared" si="120"/>
        <v>0</v>
      </c>
      <c r="AN486" s="193">
        <f t="shared" si="120"/>
        <v>0</v>
      </c>
      <c r="AO486" s="270" t="str">
        <f t="shared" si="121"/>
        <v>-</v>
      </c>
      <c r="AP486" s="266"/>
      <c r="AQ486" s="26" t="str">
        <f t="shared" si="128"/>
        <v>LITTLE NITINAT RIVERChum</v>
      </c>
      <c r="AR486" s="26">
        <f t="shared" si="122"/>
        <v>0</v>
      </c>
      <c r="AS486" s="33">
        <f t="shared" si="123"/>
        <v>0</v>
      </c>
      <c r="AX486" s="47" t="str">
        <f t="shared" si="124"/>
        <v>LITTLE NITINAT RIVERChum</v>
      </c>
      <c r="AY486" s="49">
        <f t="shared" si="125"/>
        <v>0</v>
      </c>
      <c r="AZ486" s="49">
        <f t="shared" si="126"/>
        <v>0</v>
      </c>
      <c r="BA486" s="31">
        <v>0</v>
      </c>
      <c r="BB486" s="188">
        <f t="shared" si="129"/>
        <v>0</v>
      </c>
      <c r="BC486" s="188" t="str">
        <f t="shared" si="133"/>
        <v xml:space="preserve"> </v>
      </c>
      <c r="BD486" s="188" t="str">
        <f t="shared" si="134"/>
        <v xml:space="preserve"> </v>
      </c>
      <c r="BE486" s="188" t="str">
        <f t="shared" si="135"/>
        <v xml:space="preserve"> </v>
      </c>
      <c r="BF486" s="50" t="str">
        <f t="shared" si="127"/>
        <v>LITTLE NITINAT RIVER_Chum</v>
      </c>
      <c r="BG486" s="50" t="str">
        <f>IFERROR(VLOOKUP(BF486,'[1]WCVI Esc'!$C$5:$W$514,18,FALSE),"-")</f>
        <v>-</v>
      </c>
      <c r="BH486" s="50" t="str">
        <f t="shared" si="130"/>
        <v>-</v>
      </c>
      <c r="BI486" s="50" t="str">
        <f>IFERROR(VLOOKUP(BF486,'[1]WCVI Esc'!$C$5:$W$514,19,FALSE),"-")</f>
        <v>-</v>
      </c>
      <c r="BJ486" s="50" t="str">
        <f t="shared" si="131"/>
        <v>-</v>
      </c>
    </row>
    <row r="487" spans="1:62" hidden="1" x14ac:dyDescent="0.2">
      <c r="A487" s="28">
        <v>4</v>
      </c>
      <c r="B487" s="28">
        <v>5</v>
      </c>
      <c r="C487" s="11">
        <v>22</v>
      </c>
      <c r="D487" s="13" t="s">
        <v>304</v>
      </c>
      <c r="E487" s="10" t="s">
        <v>83</v>
      </c>
      <c r="F487" s="10" t="s">
        <v>210</v>
      </c>
      <c r="G487" s="10"/>
      <c r="H487" s="152"/>
      <c r="I487" s="164"/>
      <c r="J487" s="62"/>
      <c r="K487" s="62"/>
      <c r="L487" s="177"/>
      <c r="M487" s="171"/>
      <c r="N487" s="94"/>
      <c r="O487" s="62"/>
      <c r="P487" s="62"/>
      <c r="Q487" s="64"/>
      <c r="R487" s="164"/>
      <c r="S487" s="62"/>
      <c r="T487" s="62"/>
      <c r="U487" s="62"/>
      <c r="V487" s="177"/>
      <c r="W487" s="171"/>
      <c r="X487" s="62"/>
      <c r="Y487" s="45"/>
      <c r="Z487" s="45"/>
      <c r="AA487" s="100"/>
      <c r="AB487" s="100"/>
      <c r="AC487" s="100"/>
      <c r="AD487" s="100"/>
      <c r="AE487" s="100"/>
      <c r="AF487" s="100"/>
      <c r="AG487" s="18">
        <v>22</v>
      </c>
      <c r="AH487" s="69" t="s">
        <v>304</v>
      </c>
      <c r="AI487" s="243" t="s">
        <v>83</v>
      </c>
      <c r="AJ487" s="243" t="s">
        <v>419</v>
      </c>
      <c r="AK487" s="246"/>
      <c r="AL487" s="43" t="str">
        <f t="shared" si="132"/>
        <v>-</v>
      </c>
      <c r="AM487" s="43">
        <f t="shared" si="120"/>
        <v>0</v>
      </c>
      <c r="AN487" s="193">
        <f t="shared" si="120"/>
        <v>0</v>
      </c>
      <c r="AO487" s="270" t="str">
        <f t="shared" si="121"/>
        <v>-</v>
      </c>
      <c r="AP487" s="266"/>
      <c r="AQ487" s="26" t="str">
        <f t="shared" si="128"/>
        <v>LITTLE NITINAT RIVERChinook</v>
      </c>
      <c r="AR487" s="26">
        <f t="shared" si="122"/>
        <v>0</v>
      </c>
      <c r="AS487" s="33">
        <f t="shared" si="123"/>
        <v>0</v>
      </c>
      <c r="AX487" s="47" t="str">
        <f t="shared" si="124"/>
        <v>LITTLE NITINAT RIVERChinook</v>
      </c>
      <c r="AY487" s="49">
        <f t="shared" si="125"/>
        <v>0</v>
      </c>
      <c r="AZ487" s="49">
        <f t="shared" si="126"/>
        <v>0</v>
      </c>
      <c r="BA487" s="31">
        <v>0</v>
      </c>
      <c r="BB487" s="188">
        <f t="shared" si="129"/>
        <v>0</v>
      </c>
      <c r="BC487" s="188" t="str">
        <f t="shared" si="133"/>
        <v xml:space="preserve"> </v>
      </c>
      <c r="BD487" s="188" t="str">
        <f t="shared" si="134"/>
        <v xml:space="preserve"> </v>
      </c>
      <c r="BE487" s="188" t="str">
        <f t="shared" si="135"/>
        <v xml:space="preserve"> </v>
      </c>
      <c r="BF487" s="50" t="str">
        <f t="shared" si="127"/>
        <v>LITTLE NITINAT RIVER_Chinook</v>
      </c>
      <c r="BG487" s="50" t="str">
        <f>IFERROR(VLOOKUP(BF487,'[1]WCVI Esc'!$C$5:$W$514,18,FALSE),"-")</f>
        <v>-</v>
      </c>
      <c r="BH487" s="50" t="str">
        <f t="shared" si="130"/>
        <v>-</v>
      </c>
      <c r="BI487" s="50" t="str">
        <f>IFERROR(VLOOKUP(BF487,'[1]WCVI Esc'!$C$5:$W$514,19,FALSE),"-")</f>
        <v>-</v>
      </c>
      <c r="BJ487" s="50" t="str">
        <f t="shared" si="131"/>
        <v>-</v>
      </c>
    </row>
    <row r="488" spans="1:62" hidden="1" x14ac:dyDescent="0.2">
      <c r="A488" s="28">
        <v>4</v>
      </c>
      <c r="B488" s="28">
        <v>6</v>
      </c>
      <c r="C488" s="11">
        <v>22</v>
      </c>
      <c r="D488" s="13" t="s">
        <v>304</v>
      </c>
      <c r="E488" s="10" t="s">
        <v>83</v>
      </c>
      <c r="F488" s="10" t="s">
        <v>211</v>
      </c>
      <c r="G488" s="10"/>
      <c r="H488" s="152"/>
      <c r="I488" s="164"/>
      <c r="J488" s="62"/>
      <c r="K488" s="62"/>
      <c r="L488" s="177"/>
      <c r="M488" s="171"/>
      <c r="N488" s="62"/>
      <c r="O488" s="62"/>
      <c r="P488" s="62"/>
      <c r="Q488" s="64"/>
      <c r="R488" s="164"/>
      <c r="S488" s="62"/>
      <c r="T488" s="62"/>
      <c r="U488" s="62"/>
      <c r="V488" s="177"/>
      <c r="W488" s="171"/>
      <c r="X488" s="62"/>
      <c r="Y488" s="45"/>
      <c r="Z488" s="45"/>
      <c r="AA488" s="100"/>
      <c r="AB488" s="100"/>
      <c r="AC488" s="100"/>
      <c r="AD488" s="100"/>
      <c r="AE488" s="100"/>
      <c r="AF488" s="100"/>
      <c r="AG488" s="18">
        <v>22</v>
      </c>
      <c r="AH488" s="69" t="s">
        <v>304</v>
      </c>
      <c r="AI488" s="243" t="s">
        <v>83</v>
      </c>
      <c r="AJ488" s="243" t="s">
        <v>419</v>
      </c>
      <c r="AK488" s="246"/>
      <c r="AL488" s="43" t="str">
        <f t="shared" si="132"/>
        <v>-</v>
      </c>
      <c r="AM488" s="43">
        <f t="shared" si="120"/>
        <v>0</v>
      </c>
      <c r="AN488" s="193">
        <f t="shared" si="120"/>
        <v>0</v>
      </c>
      <c r="AO488" s="270" t="str">
        <f t="shared" si="121"/>
        <v>-</v>
      </c>
      <c r="AP488" s="266"/>
      <c r="AQ488" s="26" t="str">
        <f t="shared" si="128"/>
        <v>LITTLE NITINAT RIVERSteelhead</v>
      </c>
      <c r="AR488" s="26">
        <f t="shared" si="122"/>
        <v>0</v>
      </c>
      <c r="AS488" s="33">
        <f t="shared" si="123"/>
        <v>0</v>
      </c>
      <c r="AX488" s="47" t="str">
        <f t="shared" si="124"/>
        <v>LITTLE NITINAT RIVERSteelhead</v>
      </c>
      <c r="AY488" s="49">
        <f t="shared" si="125"/>
        <v>0</v>
      </c>
      <c r="AZ488" s="49">
        <f t="shared" si="126"/>
        <v>0</v>
      </c>
      <c r="BA488" s="31">
        <v>0</v>
      </c>
      <c r="BB488" s="188">
        <f t="shared" si="129"/>
        <v>0</v>
      </c>
      <c r="BC488" s="188" t="str">
        <f t="shared" si="133"/>
        <v xml:space="preserve"> </v>
      </c>
      <c r="BD488" s="188" t="str">
        <f t="shared" si="134"/>
        <v xml:space="preserve"> </v>
      </c>
      <c r="BE488" s="188" t="str">
        <f t="shared" si="135"/>
        <v xml:space="preserve"> </v>
      </c>
      <c r="BF488" s="50" t="str">
        <f t="shared" si="127"/>
        <v>LITTLE NITINAT RIVER_Steelhead</v>
      </c>
      <c r="BG488" s="50" t="str">
        <f>IFERROR(VLOOKUP(BF488,'[1]WCVI Esc'!$C$5:$W$514,18,FALSE),"-")</f>
        <v>-</v>
      </c>
      <c r="BH488" s="50" t="str">
        <f t="shared" si="130"/>
        <v>-</v>
      </c>
      <c r="BI488" s="50" t="str">
        <f>IFERROR(VLOOKUP(BF488,'[1]WCVI Esc'!$C$5:$W$514,19,FALSE),"-")</f>
        <v>-</v>
      </c>
      <c r="BJ488" s="50" t="str">
        <f t="shared" si="131"/>
        <v>-</v>
      </c>
    </row>
    <row r="489" spans="1:62" hidden="1" x14ac:dyDescent="0.2">
      <c r="A489" s="28">
        <v>4</v>
      </c>
      <c r="B489" s="28">
        <v>1</v>
      </c>
      <c r="C489" s="11">
        <v>22</v>
      </c>
      <c r="D489" s="13" t="s">
        <v>304</v>
      </c>
      <c r="E489" s="10" t="s">
        <v>84</v>
      </c>
      <c r="F489" s="10" t="s">
        <v>207</v>
      </c>
      <c r="G489" s="10"/>
      <c r="H489" s="152"/>
      <c r="I489" s="164"/>
      <c r="J489" s="62"/>
      <c r="K489" s="62"/>
      <c r="L489" s="177"/>
      <c r="M489" s="171"/>
      <c r="N489" s="62"/>
      <c r="O489" s="62"/>
      <c r="P489" s="62"/>
      <c r="Q489" s="64"/>
      <c r="R489" s="164"/>
      <c r="S489" s="62"/>
      <c r="T489" s="62"/>
      <c r="U489" s="62"/>
      <c r="V489" s="177"/>
      <c r="W489" s="171"/>
      <c r="X489" s="62"/>
      <c r="Y489" s="45"/>
      <c r="Z489" s="45"/>
      <c r="AA489" s="100"/>
      <c r="AB489" s="100"/>
      <c r="AC489" s="100"/>
      <c r="AD489" s="100"/>
      <c r="AE489" s="100"/>
      <c r="AF489" s="100"/>
      <c r="AG489" s="18">
        <v>22</v>
      </c>
      <c r="AH489" s="69" t="s">
        <v>304</v>
      </c>
      <c r="AI489" s="243" t="s">
        <v>84</v>
      </c>
      <c r="AJ489" s="243" t="s">
        <v>419</v>
      </c>
      <c r="AK489" s="246"/>
      <c r="AL489" s="43" t="str">
        <f t="shared" si="132"/>
        <v>-</v>
      </c>
      <c r="AM489" s="43">
        <f t="shared" si="120"/>
        <v>0</v>
      </c>
      <c r="AN489" s="193">
        <f t="shared" si="120"/>
        <v>0</v>
      </c>
      <c r="AO489" s="270" t="str">
        <f t="shared" si="121"/>
        <v>-</v>
      </c>
      <c r="AP489" s="266"/>
      <c r="AQ489" s="26" t="str">
        <f t="shared" si="128"/>
        <v>NO-NAME CREEKSockeye</v>
      </c>
      <c r="AR489" s="26">
        <f t="shared" si="122"/>
        <v>0</v>
      </c>
      <c r="AS489" s="33">
        <f t="shared" si="123"/>
        <v>0</v>
      </c>
      <c r="AX489" s="47" t="str">
        <f t="shared" si="124"/>
        <v>NO-NAME CREEKSockeye</v>
      </c>
      <c r="AY489" s="49">
        <f t="shared" si="125"/>
        <v>0</v>
      </c>
      <c r="AZ489" s="49">
        <f t="shared" si="126"/>
        <v>0</v>
      </c>
      <c r="BA489" s="31">
        <v>0</v>
      </c>
      <c r="BB489" s="188">
        <f t="shared" si="129"/>
        <v>0</v>
      </c>
      <c r="BC489" s="188" t="str">
        <f t="shared" si="133"/>
        <v xml:space="preserve"> </v>
      </c>
      <c r="BD489" s="188" t="str">
        <f t="shared" si="134"/>
        <v xml:space="preserve"> </v>
      </c>
      <c r="BE489" s="188" t="str">
        <f t="shared" si="135"/>
        <v xml:space="preserve"> </v>
      </c>
      <c r="BF489" s="50" t="str">
        <f t="shared" si="127"/>
        <v>NO-NAME CREEK_Sockeye</v>
      </c>
      <c r="BG489" s="50" t="str">
        <f>IFERROR(VLOOKUP(BF489,'[1]WCVI Esc'!$C$5:$W$514,18,FALSE),"-")</f>
        <v>-</v>
      </c>
      <c r="BH489" s="50" t="str">
        <f t="shared" si="130"/>
        <v>-</v>
      </c>
      <c r="BI489" s="50" t="str">
        <f>IFERROR(VLOOKUP(BF489,'[1]WCVI Esc'!$C$5:$W$514,19,FALSE),"-")</f>
        <v>-</v>
      </c>
      <c r="BJ489" s="50" t="str">
        <f t="shared" si="131"/>
        <v>-</v>
      </c>
    </row>
    <row r="490" spans="1:62" hidden="1" x14ac:dyDescent="0.2">
      <c r="A490" s="28">
        <v>4</v>
      </c>
      <c r="B490" s="28">
        <v>2</v>
      </c>
      <c r="C490" s="11">
        <v>22</v>
      </c>
      <c r="D490" s="13" t="s">
        <v>304</v>
      </c>
      <c r="E490" s="10" t="s">
        <v>84</v>
      </c>
      <c r="F490" s="10" t="s">
        <v>219</v>
      </c>
      <c r="G490" s="10"/>
      <c r="H490" s="152"/>
      <c r="I490" s="164"/>
      <c r="J490" s="62"/>
      <c r="K490" s="62"/>
      <c r="L490" s="177"/>
      <c r="M490" s="171"/>
      <c r="N490" s="62"/>
      <c r="O490" s="62"/>
      <c r="P490" s="62"/>
      <c r="Q490" s="64"/>
      <c r="R490" s="164"/>
      <c r="S490" s="62"/>
      <c r="T490" s="62"/>
      <c r="U490" s="62"/>
      <c r="V490" s="177"/>
      <c r="W490" s="171"/>
      <c r="X490" s="62"/>
      <c r="Y490" s="45"/>
      <c r="Z490" s="45"/>
      <c r="AA490" s="100"/>
      <c r="AB490" s="100"/>
      <c r="AC490" s="100"/>
      <c r="AD490" s="100"/>
      <c r="AE490" s="100"/>
      <c r="AF490" s="100"/>
      <c r="AG490" s="18">
        <v>22</v>
      </c>
      <c r="AH490" s="69" t="s">
        <v>304</v>
      </c>
      <c r="AI490" s="243" t="s">
        <v>84</v>
      </c>
      <c r="AJ490" s="243" t="s">
        <v>419</v>
      </c>
      <c r="AK490" s="246"/>
      <c r="AL490" s="43" t="str">
        <f t="shared" si="132"/>
        <v>-</v>
      </c>
      <c r="AM490" s="43">
        <f t="shared" si="120"/>
        <v>0</v>
      </c>
      <c r="AN490" s="193">
        <f t="shared" si="120"/>
        <v>0</v>
      </c>
      <c r="AO490" s="270" t="str">
        <f t="shared" si="121"/>
        <v>-</v>
      </c>
      <c r="AP490" s="266"/>
      <c r="AQ490" s="26" t="str">
        <f t="shared" si="128"/>
        <v>NO-NAME CREEKCoho</v>
      </c>
      <c r="AR490" s="26">
        <f t="shared" si="122"/>
        <v>0</v>
      </c>
      <c r="AS490" s="33">
        <f t="shared" si="123"/>
        <v>0</v>
      </c>
      <c r="AX490" s="47" t="str">
        <f t="shared" si="124"/>
        <v>NO-NAME CREEKCoho</v>
      </c>
      <c r="AY490" s="49">
        <f t="shared" si="125"/>
        <v>0</v>
      </c>
      <c r="AZ490" s="49">
        <f t="shared" si="126"/>
        <v>0</v>
      </c>
      <c r="BA490" s="31">
        <v>0</v>
      </c>
      <c r="BB490" s="188">
        <f t="shared" si="129"/>
        <v>0</v>
      </c>
      <c r="BC490" s="188" t="str">
        <f t="shared" si="133"/>
        <v xml:space="preserve"> </v>
      </c>
      <c r="BD490" s="188" t="str">
        <f t="shared" si="134"/>
        <v xml:space="preserve"> </v>
      </c>
      <c r="BE490" s="188" t="str">
        <f t="shared" si="135"/>
        <v xml:space="preserve"> </v>
      </c>
      <c r="BF490" s="50" t="str">
        <f t="shared" si="127"/>
        <v>NO-NAME CREEK_Coho</v>
      </c>
      <c r="BG490" s="50" t="str">
        <f>IFERROR(VLOOKUP(BF490,'[1]WCVI Esc'!$C$5:$W$514,18,FALSE),"-")</f>
        <v>-</v>
      </c>
      <c r="BH490" s="50" t="str">
        <f t="shared" si="130"/>
        <v>-</v>
      </c>
      <c r="BI490" s="50" t="str">
        <f>IFERROR(VLOOKUP(BF490,'[1]WCVI Esc'!$C$5:$W$514,19,FALSE),"-")</f>
        <v>-</v>
      </c>
      <c r="BJ490" s="50" t="str">
        <f t="shared" si="131"/>
        <v>-</v>
      </c>
    </row>
    <row r="491" spans="1:62" hidden="1" x14ac:dyDescent="0.2">
      <c r="A491" s="28">
        <v>4</v>
      </c>
      <c r="B491" s="28">
        <v>3</v>
      </c>
      <c r="C491" s="11">
        <v>22</v>
      </c>
      <c r="D491" s="13" t="s">
        <v>304</v>
      </c>
      <c r="E491" s="10" t="s">
        <v>84</v>
      </c>
      <c r="F491" s="10" t="s">
        <v>208</v>
      </c>
      <c r="G491" s="10"/>
      <c r="H491" s="152"/>
      <c r="I491" s="164"/>
      <c r="J491" s="62"/>
      <c r="K491" s="62"/>
      <c r="L491" s="177"/>
      <c r="M491" s="171"/>
      <c r="N491" s="62"/>
      <c r="O491" s="62"/>
      <c r="P491" s="62"/>
      <c r="Q491" s="64"/>
      <c r="R491" s="164"/>
      <c r="S491" s="62"/>
      <c r="T491" s="62"/>
      <c r="U491" s="62"/>
      <c r="V491" s="177"/>
      <c r="W491" s="171"/>
      <c r="X491" s="62"/>
      <c r="Y491" s="45"/>
      <c r="Z491" s="45"/>
      <c r="AA491" s="100"/>
      <c r="AB491" s="100"/>
      <c r="AC491" s="100"/>
      <c r="AD491" s="100"/>
      <c r="AE491" s="100"/>
      <c r="AF491" s="100"/>
      <c r="AG491" s="18">
        <v>22</v>
      </c>
      <c r="AH491" s="69" t="s">
        <v>304</v>
      </c>
      <c r="AI491" s="243" t="s">
        <v>84</v>
      </c>
      <c r="AJ491" s="243" t="s">
        <v>419</v>
      </c>
      <c r="AK491" s="246"/>
      <c r="AL491" s="43" t="str">
        <f t="shared" si="132"/>
        <v>-</v>
      </c>
      <c r="AM491" s="43">
        <f t="shared" si="120"/>
        <v>0</v>
      </c>
      <c r="AN491" s="193">
        <f t="shared" si="120"/>
        <v>0</v>
      </c>
      <c r="AO491" s="270" t="str">
        <f t="shared" si="121"/>
        <v>-</v>
      </c>
      <c r="AP491" s="266"/>
      <c r="AQ491" s="26" t="str">
        <f t="shared" si="128"/>
        <v>NO-NAME CREEKPink</v>
      </c>
      <c r="AR491" s="26">
        <f t="shared" si="122"/>
        <v>0</v>
      </c>
      <c r="AS491" s="33">
        <f t="shared" si="123"/>
        <v>0</v>
      </c>
      <c r="AX491" s="47" t="str">
        <f t="shared" si="124"/>
        <v>NO-NAME CREEKPink</v>
      </c>
      <c r="AY491" s="49">
        <f t="shared" si="125"/>
        <v>0</v>
      </c>
      <c r="AZ491" s="49">
        <f t="shared" si="126"/>
        <v>0</v>
      </c>
      <c r="BA491" s="31">
        <v>0</v>
      </c>
      <c r="BB491" s="188">
        <f t="shared" si="129"/>
        <v>0</v>
      </c>
      <c r="BC491" s="188" t="str">
        <f t="shared" si="133"/>
        <v xml:space="preserve"> </v>
      </c>
      <c r="BD491" s="188" t="str">
        <f t="shared" si="134"/>
        <v xml:space="preserve"> </v>
      </c>
      <c r="BE491" s="188" t="str">
        <f t="shared" si="135"/>
        <v xml:space="preserve"> </v>
      </c>
      <c r="BF491" s="50" t="str">
        <f t="shared" si="127"/>
        <v>NO-NAME CREEK_Pink</v>
      </c>
      <c r="BG491" s="50" t="str">
        <f>IFERROR(VLOOKUP(BF491,'[1]WCVI Esc'!$C$5:$W$514,18,FALSE),"-")</f>
        <v>-</v>
      </c>
      <c r="BH491" s="50" t="str">
        <f t="shared" si="130"/>
        <v>-</v>
      </c>
      <c r="BI491" s="50" t="str">
        <f>IFERROR(VLOOKUP(BF491,'[1]WCVI Esc'!$C$5:$W$514,19,FALSE),"-")</f>
        <v>-</v>
      </c>
      <c r="BJ491" s="50" t="str">
        <f t="shared" si="131"/>
        <v>-</v>
      </c>
    </row>
    <row r="492" spans="1:62" hidden="1" x14ac:dyDescent="0.2">
      <c r="A492" s="28">
        <v>4</v>
      </c>
      <c r="B492" s="28">
        <v>4</v>
      </c>
      <c r="C492" s="11">
        <v>22</v>
      </c>
      <c r="D492" s="13" t="s">
        <v>304</v>
      </c>
      <c r="E492" s="10" t="s">
        <v>84</v>
      </c>
      <c r="F492" s="10" t="s">
        <v>209</v>
      </c>
      <c r="G492" s="10"/>
      <c r="H492" s="152"/>
      <c r="I492" s="164"/>
      <c r="J492" s="62"/>
      <c r="K492" s="62"/>
      <c r="L492" s="177"/>
      <c r="M492" s="171"/>
      <c r="N492" s="62"/>
      <c r="O492" s="62"/>
      <c r="P492" s="62"/>
      <c r="Q492" s="64"/>
      <c r="R492" s="164"/>
      <c r="S492" s="62"/>
      <c r="T492" s="62"/>
      <c r="U492" s="62"/>
      <c r="V492" s="177"/>
      <c r="W492" s="171"/>
      <c r="X492" s="62"/>
      <c r="Y492" s="45"/>
      <c r="Z492" s="45"/>
      <c r="AA492" s="100"/>
      <c r="AB492" s="100"/>
      <c r="AC492" s="100"/>
      <c r="AD492" s="100"/>
      <c r="AE492" s="100"/>
      <c r="AF492" s="100"/>
      <c r="AG492" s="18">
        <v>22</v>
      </c>
      <c r="AH492" s="69" t="s">
        <v>304</v>
      </c>
      <c r="AI492" s="243" t="s">
        <v>84</v>
      </c>
      <c r="AJ492" s="243" t="s">
        <v>419</v>
      </c>
      <c r="AK492" s="246"/>
      <c r="AL492" s="43" t="str">
        <f t="shared" si="132"/>
        <v>-</v>
      </c>
      <c r="AM492" s="43">
        <f t="shared" si="120"/>
        <v>0</v>
      </c>
      <c r="AN492" s="193">
        <f t="shared" si="120"/>
        <v>0</v>
      </c>
      <c r="AO492" s="270" t="str">
        <f t="shared" si="121"/>
        <v>-</v>
      </c>
      <c r="AP492" s="266"/>
      <c r="AQ492" s="26" t="str">
        <f t="shared" si="128"/>
        <v>NO-NAME CREEKChum</v>
      </c>
      <c r="AR492" s="26">
        <f t="shared" si="122"/>
        <v>0</v>
      </c>
      <c r="AS492" s="33">
        <f t="shared" si="123"/>
        <v>0</v>
      </c>
      <c r="AX492" s="47" t="str">
        <f t="shared" si="124"/>
        <v>NO-NAME CREEKChum</v>
      </c>
      <c r="AY492" s="49">
        <f t="shared" si="125"/>
        <v>0</v>
      </c>
      <c r="AZ492" s="49">
        <f t="shared" si="126"/>
        <v>0</v>
      </c>
      <c r="BA492" s="31">
        <v>0</v>
      </c>
      <c r="BB492" s="188">
        <f t="shared" si="129"/>
        <v>0</v>
      </c>
      <c r="BC492" s="188" t="str">
        <f t="shared" si="133"/>
        <v xml:space="preserve"> </v>
      </c>
      <c r="BD492" s="188" t="str">
        <f t="shared" si="134"/>
        <v xml:space="preserve"> </v>
      </c>
      <c r="BE492" s="188" t="str">
        <f t="shared" si="135"/>
        <v xml:space="preserve"> </v>
      </c>
      <c r="BF492" s="50" t="str">
        <f t="shared" si="127"/>
        <v>NO-NAME CREEK_Chum</v>
      </c>
      <c r="BG492" s="50" t="str">
        <f>IFERROR(VLOOKUP(BF492,'[1]WCVI Esc'!$C$5:$W$514,18,FALSE),"-")</f>
        <v>-</v>
      </c>
      <c r="BH492" s="50" t="str">
        <f t="shared" si="130"/>
        <v>-</v>
      </c>
      <c r="BI492" s="50" t="str">
        <f>IFERROR(VLOOKUP(BF492,'[1]WCVI Esc'!$C$5:$W$514,19,FALSE),"-")</f>
        <v>-</v>
      </c>
      <c r="BJ492" s="50" t="str">
        <f t="shared" si="131"/>
        <v>-</v>
      </c>
    </row>
    <row r="493" spans="1:62" hidden="1" x14ac:dyDescent="0.2">
      <c r="A493" s="28">
        <v>4</v>
      </c>
      <c r="B493" s="28">
        <v>5</v>
      </c>
      <c r="C493" s="11">
        <v>22</v>
      </c>
      <c r="D493" s="13" t="s">
        <v>304</v>
      </c>
      <c r="E493" s="10" t="s">
        <v>84</v>
      </c>
      <c r="F493" s="10" t="s">
        <v>210</v>
      </c>
      <c r="G493" s="10"/>
      <c r="H493" s="152"/>
      <c r="I493" s="164"/>
      <c r="J493" s="62"/>
      <c r="K493" s="62"/>
      <c r="L493" s="177"/>
      <c r="M493" s="171"/>
      <c r="N493" s="62"/>
      <c r="O493" s="62"/>
      <c r="P493" s="62"/>
      <c r="Q493" s="64"/>
      <c r="R493" s="164"/>
      <c r="S493" s="62"/>
      <c r="T493" s="62"/>
      <c r="U493" s="62"/>
      <c r="V493" s="177"/>
      <c r="W493" s="171"/>
      <c r="X493" s="62"/>
      <c r="Y493" s="45"/>
      <c r="Z493" s="45"/>
      <c r="AA493" s="100"/>
      <c r="AB493" s="100"/>
      <c r="AC493" s="100"/>
      <c r="AD493" s="100"/>
      <c r="AE493" s="100"/>
      <c r="AF493" s="100"/>
      <c r="AG493" s="18">
        <v>22</v>
      </c>
      <c r="AH493" s="69" t="s">
        <v>304</v>
      </c>
      <c r="AI493" s="243" t="s">
        <v>84</v>
      </c>
      <c r="AJ493" s="243" t="s">
        <v>419</v>
      </c>
      <c r="AK493" s="246"/>
      <c r="AL493" s="43" t="str">
        <f t="shared" si="132"/>
        <v>-</v>
      </c>
      <c r="AM493" s="43">
        <f t="shared" si="120"/>
        <v>0</v>
      </c>
      <c r="AN493" s="193">
        <f t="shared" si="120"/>
        <v>0</v>
      </c>
      <c r="AO493" s="270" t="str">
        <f t="shared" si="121"/>
        <v>-</v>
      </c>
      <c r="AP493" s="266"/>
      <c r="AQ493" s="26" t="str">
        <f t="shared" si="128"/>
        <v>NO-NAME CREEKChinook</v>
      </c>
      <c r="AR493" s="26">
        <f t="shared" si="122"/>
        <v>0</v>
      </c>
      <c r="AS493" s="33">
        <f t="shared" si="123"/>
        <v>0</v>
      </c>
      <c r="AX493" s="47" t="str">
        <f t="shared" si="124"/>
        <v>NO-NAME CREEKChinook</v>
      </c>
      <c r="AY493" s="49">
        <f t="shared" si="125"/>
        <v>0</v>
      </c>
      <c r="AZ493" s="49">
        <f t="shared" si="126"/>
        <v>0</v>
      </c>
      <c r="BA493" s="31">
        <v>0</v>
      </c>
      <c r="BB493" s="188">
        <f t="shared" si="129"/>
        <v>0</v>
      </c>
      <c r="BC493" s="188" t="str">
        <f t="shared" si="133"/>
        <v xml:space="preserve"> </v>
      </c>
      <c r="BD493" s="188" t="str">
        <f t="shared" si="134"/>
        <v xml:space="preserve"> </v>
      </c>
      <c r="BE493" s="188" t="str">
        <f t="shared" si="135"/>
        <v xml:space="preserve"> </v>
      </c>
      <c r="BF493" s="50" t="str">
        <f t="shared" si="127"/>
        <v>NO-NAME CREEK_Chinook</v>
      </c>
      <c r="BG493" s="50" t="str">
        <f>IFERROR(VLOOKUP(BF493,'[1]WCVI Esc'!$C$5:$W$514,18,FALSE),"-")</f>
        <v>-</v>
      </c>
      <c r="BH493" s="50" t="str">
        <f t="shared" si="130"/>
        <v>-</v>
      </c>
      <c r="BI493" s="50" t="str">
        <f>IFERROR(VLOOKUP(BF493,'[1]WCVI Esc'!$C$5:$W$514,19,FALSE),"-")</f>
        <v>-</v>
      </c>
      <c r="BJ493" s="50" t="str">
        <f t="shared" si="131"/>
        <v>-</v>
      </c>
    </row>
    <row r="494" spans="1:62" hidden="1" x14ac:dyDescent="0.2">
      <c r="A494" s="28">
        <v>4</v>
      </c>
      <c r="B494" s="28">
        <v>6</v>
      </c>
      <c r="C494" s="11">
        <v>22</v>
      </c>
      <c r="D494" s="13" t="s">
        <v>304</v>
      </c>
      <c r="E494" s="10" t="s">
        <v>84</v>
      </c>
      <c r="F494" s="10" t="s">
        <v>211</v>
      </c>
      <c r="G494" s="10"/>
      <c r="H494" s="152"/>
      <c r="I494" s="164"/>
      <c r="J494" s="62"/>
      <c r="K494" s="62"/>
      <c r="L494" s="177"/>
      <c r="M494" s="171"/>
      <c r="N494" s="62"/>
      <c r="O494" s="62"/>
      <c r="P494" s="62"/>
      <c r="Q494" s="64"/>
      <c r="R494" s="164"/>
      <c r="S494" s="62"/>
      <c r="T494" s="62"/>
      <c r="U494" s="62"/>
      <c r="V494" s="177"/>
      <c r="W494" s="171"/>
      <c r="X494" s="62"/>
      <c r="Y494" s="45"/>
      <c r="Z494" s="45"/>
      <c r="AA494" s="100"/>
      <c r="AB494" s="100"/>
      <c r="AC494" s="100"/>
      <c r="AD494" s="100"/>
      <c r="AE494" s="100"/>
      <c r="AF494" s="100"/>
      <c r="AG494" s="18">
        <v>22</v>
      </c>
      <c r="AH494" s="69" t="s">
        <v>304</v>
      </c>
      <c r="AI494" s="243" t="s">
        <v>84</v>
      </c>
      <c r="AJ494" s="243" t="s">
        <v>419</v>
      </c>
      <c r="AK494" s="246"/>
      <c r="AL494" s="43" t="str">
        <f t="shared" si="132"/>
        <v>-</v>
      </c>
      <c r="AM494" s="43">
        <f t="shared" si="120"/>
        <v>0</v>
      </c>
      <c r="AN494" s="193">
        <f t="shared" si="120"/>
        <v>0</v>
      </c>
      <c r="AO494" s="270" t="str">
        <f t="shared" si="121"/>
        <v>-</v>
      </c>
      <c r="AP494" s="266"/>
      <c r="AQ494" s="26" t="str">
        <f t="shared" si="128"/>
        <v>NO-NAME CREEKSteelhead</v>
      </c>
      <c r="AR494" s="26">
        <f t="shared" si="122"/>
        <v>0</v>
      </c>
      <c r="AS494" s="33">
        <f t="shared" si="123"/>
        <v>0</v>
      </c>
      <c r="AX494" s="47" t="str">
        <f t="shared" si="124"/>
        <v>NO-NAME CREEKSteelhead</v>
      </c>
      <c r="AY494" s="49">
        <f t="shared" si="125"/>
        <v>0</v>
      </c>
      <c r="AZ494" s="49">
        <f t="shared" si="126"/>
        <v>0</v>
      </c>
      <c r="BA494" s="31">
        <v>0</v>
      </c>
      <c r="BB494" s="188">
        <f t="shared" si="129"/>
        <v>0</v>
      </c>
      <c r="BC494" s="188" t="str">
        <f t="shared" si="133"/>
        <v xml:space="preserve"> </v>
      </c>
      <c r="BD494" s="188" t="str">
        <f t="shared" si="134"/>
        <v xml:space="preserve"> </v>
      </c>
      <c r="BE494" s="188" t="str">
        <f t="shared" si="135"/>
        <v xml:space="preserve"> </v>
      </c>
      <c r="BF494" s="50" t="str">
        <f t="shared" si="127"/>
        <v>NO-NAME CREEK_Steelhead</v>
      </c>
      <c r="BG494" s="50" t="str">
        <f>IFERROR(VLOOKUP(BF494,'[1]WCVI Esc'!$C$5:$W$514,18,FALSE),"-")</f>
        <v>-</v>
      </c>
      <c r="BH494" s="50" t="str">
        <f t="shared" si="130"/>
        <v>-</v>
      </c>
      <c r="BI494" s="50" t="str">
        <f>IFERROR(VLOOKUP(BF494,'[1]WCVI Esc'!$C$5:$W$514,19,FALSE),"-")</f>
        <v>-</v>
      </c>
      <c r="BJ494" s="50" t="str">
        <f t="shared" si="131"/>
        <v>-</v>
      </c>
    </row>
    <row r="495" spans="1:62" hidden="1" x14ac:dyDescent="0.2">
      <c r="A495" s="28">
        <v>4</v>
      </c>
      <c r="B495" s="28">
        <v>1</v>
      </c>
      <c r="C495" s="11">
        <v>22</v>
      </c>
      <c r="D495" s="13" t="s">
        <v>304</v>
      </c>
      <c r="E495" s="10" t="s">
        <v>85</v>
      </c>
      <c r="F495" s="10" t="s">
        <v>207</v>
      </c>
      <c r="G495" s="10"/>
      <c r="H495" s="152"/>
      <c r="I495" s="164"/>
      <c r="J495" s="62"/>
      <c r="K495" s="62"/>
      <c r="L495" s="177"/>
      <c r="M495" s="171"/>
      <c r="N495" s="62"/>
      <c r="O495" s="62"/>
      <c r="P495" s="62"/>
      <c r="Q495" s="64"/>
      <c r="R495" s="164"/>
      <c r="S495" s="62"/>
      <c r="T495" s="62"/>
      <c r="U495" s="62"/>
      <c r="V495" s="177"/>
      <c r="W495" s="171"/>
      <c r="X495" s="62"/>
      <c r="Y495" s="45"/>
      <c r="Z495" s="45"/>
      <c r="AA495" s="100"/>
      <c r="AB495" s="100"/>
      <c r="AC495" s="100"/>
      <c r="AD495" s="100"/>
      <c r="AE495" s="100"/>
      <c r="AF495" s="100"/>
      <c r="AG495" s="18">
        <v>22</v>
      </c>
      <c r="AH495" s="69" t="s">
        <v>304</v>
      </c>
      <c r="AI495" s="243" t="s">
        <v>85</v>
      </c>
      <c r="AJ495" s="243" t="s">
        <v>419</v>
      </c>
      <c r="AK495" s="246"/>
      <c r="AL495" s="43" t="str">
        <f t="shared" si="132"/>
        <v>-</v>
      </c>
      <c r="AM495" s="43">
        <f t="shared" si="120"/>
        <v>0</v>
      </c>
      <c r="AN495" s="193">
        <f t="shared" si="120"/>
        <v>0</v>
      </c>
      <c r="AO495" s="270" t="str">
        <f t="shared" si="121"/>
        <v>-</v>
      </c>
      <c r="AP495" s="266"/>
      <c r="AQ495" s="26" t="str">
        <f t="shared" si="128"/>
        <v>PARKER CREEKSockeye</v>
      </c>
      <c r="AR495" s="26">
        <f t="shared" si="122"/>
        <v>0</v>
      </c>
      <c r="AS495" s="33">
        <f t="shared" si="123"/>
        <v>0</v>
      </c>
      <c r="AX495" s="47" t="str">
        <f t="shared" si="124"/>
        <v>PARKER CREEKSockeye</v>
      </c>
      <c r="AY495" s="49">
        <f t="shared" si="125"/>
        <v>0</v>
      </c>
      <c r="AZ495" s="49">
        <f t="shared" si="126"/>
        <v>0</v>
      </c>
      <c r="BA495" s="31">
        <v>0</v>
      </c>
      <c r="BB495" s="188">
        <f t="shared" si="129"/>
        <v>0</v>
      </c>
      <c r="BC495" s="188" t="str">
        <f t="shared" si="133"/>
        <v xml:space="preserve"> </v>
      </c>
      <c r="BD495" s="188" t="str">
        <f t="shared" si="134"/>
        <v xml:space="preserve"> </v>
      </c>
      <c r="BE495" s="188" t="str">
        <f t="shared" si="135"/>
        <v xml:space="preserve"> </v>
      </c>
      <c r="BF495" s="50" t="str">
        <f t="shared" si="127"/>
        <v>PARKER CREEK_Sockeye</v>
      </c>
      <c r="BG495" s="50" t="str">
        <f>IFERROR(VLOOKUP(BF495,'[1]WCVI Esc'!$C$5:$W$514,18,FALSE),"-")</f>
        <v>-</v>
      </c>
      <c r="BH495" s="50" t="str">
        <f t="shared" si="130"/>
        <v>-</v>
      </c>
      <c r="BI495" s="50" t="str">
        <f>IFERROR(VLOOKUP(BF495,'[1]WCVI Esc'!$C$5:$W$514,19,FALSE),"-")</f>
        <v>-</v>
      </c>
      <c r="BJ495" s="50" t="str">
        <f t="shared" si="131"/>
        <v>-</v>
      </c>
    </row>
    <row r="496" spans="1:62" hidden="1" x14ac:dyDescent="0.2">
      <c r="A496" s="28">
        <v>4</v>
      </c>
      <c r="B496" s="28">
        <v>2</v>
      </c>
      <c r="C496" s="11">
        <v>22</v>
      </c>
      <c r="D496" s="13" t="s">
        <v>304</v>
      </c>
      <c r="E496" s="10" t="s">
        <v>85</v>
      </c>
      <c r="F496" s="10" t="s">
        <v>219</v>
      </c>
      <c r="G496" s="10"/>
      <c r="H496" s="152"/>
      <c r="I496" s="164"/>
      <c r="J496" s="62"/>
      <c r="K496" s="62"/>
      <c r="L496" s="177"/>
      <c r="M496" s="171"/>
      <c r="N496" s="62"/>
      <c r="O496" s="62"/>
      <c r="P496" s="62"/>
      <c r="Q496" s="64"/>
      <c r="R496" s="164"/>
      <c r="S496" s="62"/>
      <c r="T496" s="62"/>
      <c r="U496" s="62"/>
      <c r="V496" s="177"/>
      <c r="W496" s="171"/>
      <c r="X496" s="62"/>
      <c r="Y496" s="45"/>
      <c r="Z496" s="45"/>
      <c r="AA496" s="100"/>
      <c r="AB496" s="100"/>
      <c r="AC496" s="100"/>
      <c r="AD496" s="100"/>
      <c r="AE496" s="100"/>
      <c r="AF496" s="100"/>
      <c r="AG496" s="18">
        <v>22</v>
      </c>
      <c r="AH496" s="69" t="s">
        <v>304</v>
      </c>
      <c r="AI496" s="243" t="s">
        <v>85</v>
      </c>
      <c r="AJ496" s="243" t="s">
        <v>419</v>
      </c>
      <c r="AK496" s="246"/>
      <c r="AL496" s="43" t="str">
        <f t="shared" si="132"/>
        <v>-</v>
      </c>
      <c r="AM496" s="43">
        <f t="shared" si="120"/>
        <v>0</v>
      </c>
      <c r="AN496" s="193">
        <f t="shared" si="120"/>
        <v>0</v>
      </c>
      <c r="AO496" s="270" t="str">
        <f t="shared" si="121"/>
        <v>-</v>
      </c>
      <c r="AP496" s="266"/>
      <c r="AQ496" s="26" t="str">
        <f t="shared" si="128"/>
        <v>PARKER CREEKCoho</v>
      </c>
      <c r="AR496" s="26">
        <f t="shared" si="122"/>
        <v>0</v>
      </c>
      <c r="AS496" s="33">
        <f t="shared" si="123"/>
        <v>0</v>
      </c>
      <c r="AX496" s="47" t="str">
        <f t="shared" si="124"/>
        <v>PARKER CREEKCoho</v>
      </c>
      <c r="AY496" s="49">
        <f t="shared" si="125"/>
        <v>0</v>
      </c>
      <c r="AZ496" s="49">
        <f t="shared" si="126"/>
        <v>0</v>
      </c>
      <c r="BA496" s="31">
        <v>0</v>
      </c>
      <c r="BB496" s="188">
        <f t="shared" si="129"/>
        <v>0</v>
      </c>
      <c r="BC496" s="188" t="str">
        <f t="shared" si="133"/>
        <v xml:space="preserve"> </v>
      </c>
      <c r="BD496" s="188" t="str">
        <f t="shared" si="134"/>
        <v xml:space="preserve"> </v>
      </c>
      <c r="BE496" s="188" t="str">
        <f t="shared" si="135"/>
        <v xml:space="preserve"> </v>
      </c>
      <c r="BF496" s="50" t="str">
        <f t="shared" si="127"/>
        <v>PARKER CREEK_Coho</v>
      </c>
      <c r="BG496" s="50" t="str">
        <f>IFERROR(VLOOKUP(BF496,'[1]WCVI Esc'!$C$5:$W$514,18,FALSE),"-")</f>
        <v>-</v>
      </c>
      <c r="BH496" s="50" t="str">
        <f t="shared" si="130"/>
        <v>-</v>
      </c>
      <c r="BI496" s="50" t="str">
        <f>IFERROR(VLOOKUP(BF496,'[1]WCVI Esc'!$C$5:$W$514,19,FALSE),"-")</f>
        <v>-</v>
      </c>
      <c r="BJ496" s="50" t="str">
        <f t="shared" si="131"/>
        <v>-</v>
      </c>
    </row>
    <row r="497" spans="1:62" hidden="1" x14ac:dyDescent="0.2">
      <c r="A497" s="28">
        <v>4</v>
      </c>
      <c r="B497" s="28">
        <v>3</v>
      </c>
      <c r="C497" s="11">
        <v>22</v>
      </c>
      <c r="D497" s="13" t="s">
        <v>304</v>
      </c>
      <c r="E497" s="10" t="s">
        <v>85</v>
      </c>
      <c r="F497" s="10" t="s">
        <v>208</v>
      </c>
      <c r="G497" s="10"/>
      <c r="H497" s="152"/>
      <c r="I497" s="164"/>
      <c r="J497" s="62"/>
      <c r="K497" s="62"/>
      <c r="L497" s="177"/>
      <c r="M497" s="171"/>
      <c r="N497" s="62"/>
      <c r="O497" s="62"/>
      <c r="P497" s="62"/>
      <c r="Q497" s="64"/>
      <c r="R497" s="164"/>
      <c r="S497" s="62"/>
      <c r="T497" s="62"/>
      <c r="U497" s="62"/>
      <c r="V497" s="177"/>
      <c r="W497" s="171"/>
      <c r="X497" s="62"/>
      <c r="Y497" s="45"/>
      <c r="Z497" s="45"/>
      <c r="AA497" s="100"/>
      <c r="AB497" s="100"/>
      <c r="AC497" s="100"/>
      <c r="AD497" s="100"/>
      <c r="AE497" s="100"/>
      <c r="AF497" s="100"/>
      <c r="AG497" s="18">
        <v>22</v>
      </c>
      <c r="AH497" s="69" t="s">
        <v>304</v>
      </c>
      <c r="AI497" s="243" t="s">
        <v>85</v>
      </c>
      <c r="AJ497" s="243" t="s">
        <v>419</v>
      </c>
      <c r="AK497" s="246"/>
      <c r="AL497" s="43" t="str">
        <f t="shared" si="132"/>
        <v>-</v>
      </c>
      <c r="AM497" s="43">
        <f t="shared" si="120"/>
        <v>0</v>
      </c>
      <c r="AN497" s="193">
        <f t="shared" si="120"/>
        <v>0</v>
      </c>
      <c r="AO497" s="270" t="str">
        <f t="shared" si="121"/>
        <v>-</v>
      </c>
      <c r="AP497" s="266"/>
      <c r="AQ497" s="26" t="str">
        <f t="shared" si="128"/>
        <v>PARKER CREEKPink</v>
      </c>
      <c r="AR497" s="26">
        <f t="shared" si="122"/>
        <v>0</v>
      </c>
      <c r="AS497" s="33">
        <f t="shared" si="123"/>
        <v>0</v>
      </c>
      <c r="AX497" s="47" t="str">
        <f t="shared" si="124"/>
        <v>PARKER CREEKPink</v>
      </c>
      <c r="AY497" s="49">
        <f t="shared" si="125"/>
        <v>0</v>
      </c>
      <c r="AZ497" s="49">
        <f t="shared" si="126"/>
        <v>0</v>
      </c>
      <c r="BA497" s="31">
        <v>0</v>
      </c>
      <c r="BB497" s="188">
        <f t="shared" si="129"/>
        <v>0</v>
      </c>
      <c r="BC497" s="188" t="str">
        <f t="shared" si="133"/>
        <v xml:space="preserve"> </v>
      </c>
      <c r="BD497" s="188" t="str">
        <f t="shared" si="134"/>
        <v xml:space="preserve"> </v>
      </c>
      <c r="BE497" s="188" t="str">
        <f t="shared" si="135"/>
        <v xml:space="preserve"> </v>
      </c>
      <c r="BF497" s="50" t="str">
        <f t="shared" si="127"/>
        <v>PARKER CREEK_Pink</v>
      </c>
      <c r="BG497" s="50" t="str">
        <f>IFERROR(VLOOKUP(BF497,'[1]WCVI Esc'!$C$5:$W$514,18,FALSE),"-")</f>
        <v>-</v>
      </c>
      <c r="BH497" s="50" t="str">
        <f t="shared" si="130"/>
        <v>-</v>
      </c>
      <c r="BI497" s="50" t="str">
        <f>IFERROR(VLOOKUP(BF497,'[1]WCVI Esc'!$C$5:$W$514,19,FALSE),"-")</f>
        <v>-</v>
      </c>
      <c r="BJ497" s="50" t="str">
        <f t="shared" si="131"/>
        <v>-</v>
      </c>
    </row>
    <row r="498" spans="1:62" hidden="1" x14ac:dyDescent="0.2">
      <c r="A498" s="28">
        <v>4</v>
      </c>
      <c r="B498" s="28">
        <v>4</v>
      </c>
      <c r="C498" s="11">
        <v>22</v>
      </c>
      <c r="D498" s="13" t="s">
        <v>304</v>
      </c>
      <c r="E498" s="10" t="s">
        <v>85</v>
      </c>
      <c r="F498" s="10" t="s">
        <v>209</v>
      </c>
      <c r="G498" s="10"/>
      <c r="H498" s="152"/>
      <c r="I498" s="164"/>
      <c r="J498" s="62"/>
      <c r="K498" s="62"/>
      <c r="L498" s="177"/>
      <c r="M498" s="171"/>
      <c r="N498" s="62"/>
      <c r="O498" s="62"/>
      <c r="P498" s="62"/>
      <c r="Q498" s="64"/>
      <c r="R498" s="164"/>
      <c r="S498" s="62"/>
      <c r="T498" s="62"/>
      <c r="U498" s="62"/>
      <c r="V498" s="177"/>
      <c r="W498" s="171"/>
      <c r="X498" s="62"/>
      <c r="Y498" s="45"/>
      <c r="Z498" s="45"/>
      <c r="AA498" s="100"/>
      <c r="AB498" s="100"/>
      <c r="AC498" s="100"/>
      <c r="AD498" s="100"/>
      <c r="AE498" s="100"/>
      <c r="AF498" s="100"/>
      <c r="AG498" s="18">
        <v>22</v>
      </c>
      <c r="AH498" s="69" t="s">
        <v>304</v>
      </c>
      <c r="AI498" s="243" t="s">
        <v>85</v>
      </c>
      <c r="AJ498" s="243" t="s">
        <v>419</v>
      </c>
      <c r="AK498" s="246"/>
      <c r="AL498" s="43" t="str">
        <f t="shared" si="132"/>
        <v>-</v>
      </c>
      <c r="AM498" s="43">
        <f t="shared" si="120"/>
        <v>0</v>
      </c>
      <c r="AN498" s="193">
        <f t="shared" si="120"/>
        <v>0</v>
      </c>
      <c r="AO498" s="270" t="str">
        <f t="shared" si="121"/>
        <v>-</v>
      </c>
      <c r="AP498" s="266"/>
      <c r="AQ498" s="26" t="str">
        <f t="shared" si="128"/>
        <v>PARKER CREEKChum</v>
      </c>
      <c r="AR498" s="26">
        <f t="shared" si="122"/>
        <v>0</v>
      </c>
      <c r="AS498" s="33">
        <f t="shared" si="123"/>
        <v>0</v>
      </c>
      <c r="AX498" s="47" t="str">
        <f t="shared" si="124"/>
        <v>PARKER CREEKChum</v>
      </c>
      <c r="AY498" s="49">
        <f t="shared" si="125"/>
        <v>0</v>
      </c>
      <c r="AZ498" s="49">
        <f t="shared" si="126"/>
        <v>0</v>
      </c>
      <c r="BA498" s="31">
        <v>0</v>
      </c>
      <c r="BB498" s="188">
        <f t="shared" si="129"/>
        <v>0</v>
      </c>
      <c r="BC498" s="188" t="str">
        <f t="shared" si="133"/>
        <v xml:space="preserve"> </v>
      </c>
      <c r="BD498" s="188" t="str">
        <f t="shared" si="134"/>
        <v xml:space="preserve"> </v>
      </c>
      <c r="BE498" s="188" t="str">
        <f t="shared" si="135"/>
        <v xml:space="preserve"> </v>
      </c>
      <c r="BF498" s="50" t="str">
        <f t="shared" si="127"/>
        <v>PARKER CREEK_Chum</v>
      </c>
      <c r="BG498" s="50" t="str">
        <f>IFERROR(VLOOKUP(BF498,'[1]WCVI Esc'!$C$5:$W$514,18,FALSE),"-")</f>
        <v>-</v>
      </c>
      <c r="BH498" s="50" t="str">
        <f t="shared" si="130"/>
        <v>-</v>
      </c>
      <c r="BI498" s="50" t="str">
        <f>IFERROR(VLOOKUP(BF498,'[1]WCVI Esc'!$C$5:$W$514,19,FALSE),"-")</f>
        <v>-</v>
      </c>
      <c r="BJ498" s="50" t="str">
        <f t="shared" si="131"/>
        <v>-</v>
      </c>
    </row>
    <row r="499" spans="1:62" hidden="1" x14ac:dyDescent="0.2">
      <c r="A499" s="28">
        <v>4</v>
      </c>
      <c r="B499" s="28">
        <v>5</v>
      </c>
      <c r="C499" s="11">
        <v>22</v>
      </c>
      <c r="D499" s="13" t="s">
        <v>304</v>
      </c>
      <c r="E499" s="10" t="s">
        <v>85</v>
      </c>
      <c r="F499" s="10" t="s">
        <v>210</v>
      </c>
      <c r="G499" s="10"/>
      <c r="H499" s="152"/>
      <c r="I499" s="164"/>
      <c r="J499" s="62"/>
      <c r="K499" s="62"/>
      <c r="L499" s="177"/>
      <c r="M499" s="171"/>
      <c r="N499" s="62"/>
      <c r="O499" s="62"/>
      <c r="P499" s="62"/>
      <c r="Q499" s="64"/>
      <c r="R499" s="164"/>
      <c r="S499" s="62"/>
      <c r="T499" s="62"/>
      <c r="U499" s="62"/>
      <c r="V499" s="177"/>
      <c r="W499" s="171"/>
      <c r="X499" s="62"/>
      <c r="Y499" s="45"/>
      <c r="Z499" s="45"/>
      <c r="AA499" s="100"/>
      <c r="AB499" s="100"/>
      <c r="AC499" s="100"/>
      <c r="AD499" s="100"/>
      <c r="AE499" s="100"/>
      <c r="AF499" s="100"/>
      <c r="AG499" s="18">
        <v>22</v>
      </c>
      <c r="AH499" s="69" t="s">
        <v>304</v>
      </c>
      <c r="AI499" s="243" t="s">
        <v>85</v>
      </c>
      <c r="AJ499" s="243" t="s">
        <v>419</v>
      </c>
      <c r="AK499" s="246"/>
      <c r="AL499" s="43" t="str">
        <f t="shared" si="132"/>
        <v>-</v>
      </c>
      <c r="AM499" s="43">
        <f t="shared" si="120"/>
        <v>0</v>
      </c>
      <c r="AN499" s="193">
        <f t="shared" si="120"/>
        <v>0</v>
      </c>
      <c r="AO499" s="270" t="str">
        <f t="shared" si="121"/>
        <v>-</v>
      </c>
      <c r="AP499" s="266"/>
      <c r="AQ499" s="26" t="str">
        <f t="shared" si="128"/>
        <v>PARKER CREEKChinook</v>
      </c>
      <c r="AR499" s="26">
        <f t="shared" si="122"/>
        <v>0</v>
      </c>
      <c r="AS499" s="33">
        <f t="shared" si="123"/>
        <v>0</v>
      </c>
      <c r="AX499" s="47" t="str">
        <f t="shared" si="124"/>
        <v>PARKER CREEKChinook</v>
      </c>
      <c r="AY499" s="49">
        <f t="shared" si="125"/>
        <v>0</v>
      </c>
      <c r="AZ499" s="49">
        <f t="shared" si="126"/>
        <v>0</v>
      </c>
      <c r="BA499" s="31">
        <v>0</v>
      </c>
      <c r="BB499" s="188">
        <f t="shared" si="129"/>
        <v>0</v>
      </c>
      <c r="BC499" s="188" t="str">
        <f t="shared" si="133"/>
        <v xml:space="preserve"> </v>
      </c>
      <c r="BD499" s="188" t="str">
        <f t="shared" si="134"/>
        <v xml:space="preserve"> </v>
      </c>
      <c r="BE499" s="188" t="str">
        <f t="shared" si="135"/>
        <v xml:space="preserve"> </v>
      </c>
      <c r="BF499" s="50" t="str">
        <f t="shared" si="127"/>
        <v>PARKER CREEK_Chinook</v>
      </c>
      <c r="BG499" s="50" t="str">
        <f>IFERROR(VLOOKUP(BF499,'[1]WCVI Esc'!$C$5:$W$514,18,FALSE),"-")</f>
        <v>-</v>
      </c>
      <c r="BH499" s="50" t="str">
        <f t="shared" si="130"/>
        <v>-</v>
      </c>
      <c r="BI499" s="50" t="str">
        <f>IFERROR(VLOOKUP(BF499,'[1]WCVI Esc'!$C$5:$W$514,19,FALSE),"-")</f>
        <v>-</v>
      </c>
      <c r="BJ499" s="50" t="str">
        <f t="shared" si="131"/>
        <v>-</v>
      </c>
    </row>
    <row r="500" spans="1:62" hidden="1" x14ac:dyDescent="0.2">
      <c r="A500" s="28">
        <v>4</v>
      </c>
      <c r="B500" s="28">
        <v>6</v>
      </c>
      <c r="C500" s="11">
        <v>22</v>
      </c>
      <c r="D500" s="13" t="s">
        <v>304</v>
      </c>
      <c r="E500" s="10" t="s">
        <v>85</v>
      </c>
      <c r="F500" s="10" t="s">
        <v>211</v>
      </c>
      <c r="G500" s="10"/>
      <c r="H500" s="152"/>
      <c r="I500" s="164"/>
      <c r="J500" s="62"/>
      <c r="K500" s="62"/>
      <c r="L500" s="177"/>
      <c r="M500" s="171"/>
      <c r="N500" s="62"/>
      <c r="O500" s="62"/>
      <c r="P500" s="62"/>
      <c r="Q500" s="64"/>
      <c r="R500" s="164"/>
      <c r="S500" s="62"/>
      <c r="T500" s="62"/>
      <c r="U500" s="62"/>
      <c r="V500" s="177"/>
      <c r="W500" s="171"/>
      <c r="X500" s="62"/>
      <c r="Y500" s="45"/>
      <c r="Z500" s="45"/>
      <c r="AA500" s="100"/>
      <c r="AB500" s="100"/>
      <c r="AC500" s="100"/>
      <c r="AD500" s="100"/>
      <c r="AE500" s="100"/>
      <c r="AF500" s="100"/>
      <c r="AG500" s="18">
        <v>22</v>
      </c>
      <c r="AH500" s="69" t="s">
        <v>304</v>
      </c>
      <c r="AI500" s="243" t="s">
        <v>85</v>
      </c>
      <c r="AJ500" s="243" t="s">
        <v>419</v>
      </c>
      <c r="AK500" s="246"/>
      <c r="AL500" s="43" t="str">
        <f t="shared" si="132"/>
        <v>-</v>
      </c>
      <c r="AM500" s="43">
        <f t="shared" si="120"/>
        <v>0</v>
      </c>
      <c r="AN500" s="193">
        <f t="shared" si="120"/>
        <v>0</v>
      </c>
      <c r="AO500" s="270" t="str">
        <f t="shared" si="121"/>
        <v>-</v>
      </c>
      <c r="AP500" s="266"/>
      <c r="AQ500" s="26" t="str">
        <f t="shared" si="128"/>
        <v>PARKER CREEKSteelhead</v>
      </c>
      <c r="AR500" s="26">
        <f t="shared" si="122"/>
        <v>0</v>
      </c>
      <c r="AS500" s="33">
        <f t="shared" si="123"/>
        <v>0</v>
      </c>
      <c r="AX500" s="47" t="str">
        <f t="shared" si="124"/>
        <v>PARKER CREEKSteelhead</v>
      </c>
      <c r="AY500" s="49">
        <f t="shared" si="125"/>
        <v>0</v>
      </c>
      <c r="AZ500" s="49">
        <f t="shared" si="126"/>
        <v>0</v>
      </c>
      <c r="BA500" s="31">
        <v>0</v>
      </c>
      <c r="BB500" s="188">
        <f t="shared" si="129"/>
        <v>0</v>
      </c>
      <c r="BC500" s="188" t="str">
        <f t="shared" si="133"/>
        <v xml:space="preserve"> </v>
      </c>
      <c r="BD500" s="188" t="str">
        <f t="shared" si="134"/>
        <v xml:space="preserve"> </v>
      </c>
      <c r="BE500" s="188" t="str">
        <f t="shared" si="135"/>
        <v xml:space="preserve"> </v>
      </c>
      <c r="BF500" s="50" t="str">
        <f t="shared" si="127"/>
        <v>PARKER CREEK_Steelhead</v>
      </c>
      <c r="BG500" s="50" t="str">
        <f>IFERROR(VLOOKUP(BF500,'[1]WCVI Esc'!$C$5:$W$514,18,FALSE),"-")</f>
        <v>-</v>
      </c>
      <c r="BH500" s="50" t="str">
        <f t="shared" si="130"/>
        <v>-</v>
      </c>
      <c r="BI500" s="50" t="str">
        <f>IFERROR(VLOOKUP(BF500,'[1]WCVI Esc'!$C$5:$W$514,19,FALSE),"-")</f>
        <v>-</v>
      </c>
      <c r="BJ500" s="50" t="str">
        <f t="shared" si="131"/>
        <v>-</v>
      </c>
    </row>
    <row r="501" spans="1:62" hidden="1" x14ac:dyDescent="0.2">
      <c r="A501" s="28">
        <v>4</v>
      </c>
      <c r="B501" s="28">
        <v>1</v>
      </c>
      <c r="C501" s="11">
        <v>22</v>
      </c>
      <c r="D501" s="13" t="s">
        <v>304</v>
      </c>
      <c r="E501" s="10" t="s">
        <v>86</v>
      </c>
      <c r="F501" s="10" t="s">
        <v>207</v>
      </c>
      <c r="G501" s="10"/>
      <c r="H501" s="152"/>
      <c r="I501" s="164"/>
      <c r="J501" s="62"/>
      <c r="K501" s="62"/>
      <c r="L501" s="177"/>
      <c r="M501" s="171"/>
      <c r="N501" s="62"/>
      <c r="O501" s="62"/>
      <c r="P501" s="62"/>
      <c r="Q501" s="64"/>
      <c r="R501" s="164"/>
      <c r="S501" s="62"/>
      <c r="T501" s="62"/>
      <c r="U501" s="62"/>
      <c r="V501" s="177"/>
      <c r="W501" s="171"/>
      <c r="X501" s="62"/>
      <c r="Y501" s="45"/>
      <c r="Z501" s="45"/>
      <c r="AA501" s="100"/>
      <c r="AB501" s="100"/>
      <c r="AC501" s="100"/>
      <c r="AD501" s="100"/>
      <c r="AE501" s="100"/>
      <c r="AF501" s="100"/>
      <c r="AG501" s="18">
        <v>22</v>
      </c>
      <c r="AH501" s="69" t="s">
        <v>304</v>
      </c>
      <c r="AI501" s="243" t="s">
        <v>86</v>
      </c>
      <c r="AJ501" s="243" t="s">
        <v>419</v>
      </c>
      <c r="AK501" s="246"/>
      <c r="AL501" s="43" t="str">
        <f t="shared" si="132"/>
        <v>-</v>
      </c>
      <c r="AM501" s="43">
        <f t="shared" si="120"/>
        <v>0</v>
      </c>
      <c r="AN501" s="193">
        <f t="shared" si="120"/>
        <v>0</v>
      </c>
      <c r="AO501" s="270" t="str">
        <f t="shared" si="121"/>
        <v>-</v>
      </c>
      <c r="AP501" s="266"/>
      <c r="AQ501" s="26" t="str">
        <f t="shared" si="128"/>
        <v>WORTHLESS CREEKSockeye</v>
      </c>
      <c r="AR501" s="26">
        <f t="shared" si="122"/>
        <v>0</v>
      </c>
      <c r="AS501" s="33">
        <f t="shared" si="123"/>
        <v>0</v>
      </c>
      <c r="AX501" s="47" t="str">
        <f t="shared" si="124"/>
        <v>WORTHLESS CREEKSockeye</v>
      </c>
      <c r="AY501" s="49">
        <f t="shared" si="125"/>
        <v>0</v>
      </c>
      <c r="AZ501" s="49">
        <f t="shared" si="126"/>
        <v>0</v>
      </c>
      <c r="BA501" s="31">
        <v>0</v>
      </c>
      <c r="BB501" s="188">
        <f t="shared" si="129"/>
        <v>0</v>
      </c>
      <c r="BC501" s="188" t="str">
        <f t="shared" si="133"/>
        <v xml:space="preserve"> </v>
      </c>
      <c r="BD501" s="188" t="str">
        <f t="shared" si="134"/>
        <v xml:space="preserve"> </v>
      </c>
      <c r="BE501" s="188" t="str">
        <f t="shared" si="135"/>
        <v xml:space="preserve"> </v>
      </c>
      <c r="BF501" s="50" t="str">
        <f t="shared" si="127"/>
        <v>WORTHLESS CREEK_Sockeye</v>
      </c>
      <c r="BG501" s="50" t="str">
        <f>IFERROR(VLOOKUP(BF501,'[1]WCVI Esc'!$C$5:$W$514,18,FALSE),"-")</f>
        <v>-</v>
      </c>
      <c r="BH501" s="50" t="str">
        <f t="shared" si="130"/>
        <v>-</v>
      </c>
      <c r="BI501" s="50" t="str">
        <f>IFERROR(VLOOKUP(BF501,'[1]WCVI Esc'!$C$5:$W$514,19,FALSE),"-")</f>
        <v>-</v>
      </c>
      <c r="BJ501" s="50" t="str">
        <f t="shared" si="131"/>
        <v>-</v>
      </c>
    </row>
    <row r="502" spans="1:62" hidden="1" x14ac:dyDescent="0.2">
      <c r="A502" s="28">
        <v>4</v>
      </c>
      <c r="B502" s="28">
        <v>2</v>
      </c>
      <c r="C502" s="11">
        <v>22</v>
      </c>
      <c r="D502" s="13" t="s">
        <v>304</v>
      </c>
      <c r="E502" s="10" t="s">
        <v>86</v>
      </c>
      <c r="F502" s="10" t="s">
        <v>219</v>
      </c>
      <c r="G502" s="10"/>
      <c r="H502" s="152"/>
      <c r="I502" s="164"/>
      <c r="J502" s="62"/>
      <c r="K502" s="62"/>
      <c r="L502" s="177"/>
      <c r="M502" s="171"/>
      <c r="N502" s="62"/>
      <c r="O502" s="62"/>
      <c r="P502" s="62"/>
      <c r="Q502" s="64"/>
      <c r="R502" s="164"/>
      <c r="S502" s="62"/>
      <c r="T502" s="62"/>
      <c r="U502" s="62"/>
      <c r="V502" s="177"/>
      <c r="W502" s="171"/>
      <c r="X502" s="62"/>
      <c r="Y502" s="45"/>
      <c r="Z502" s="45"/>
      <c r="AA502" s="100"/>
      <c r="AB502" s="100"/>
      <c r="AC502" s="100"/>
      <c r="AD502" s="100"/>
      <c r="AE502" s="100"/>
      <c r="AF502" s="100"/>
      <c r="AG502" s="18">
        <v>22</v>
      </c>
      <c r="AH502" s="69" t="s">
        <v>304</v>
      </c>
      <c r="AI502" s="243" t="s">
        <v>86</v>
      </c>
      <c r="AJ502" s="243" t="s">
        <v>419</v>
      </c>
      <c r="AK502" s="246"/>
      <c r="AL502" s="43" t="str">
        <f t="shared" si="132"/>
        <v>-</v>
      </c>
      <c r="AM502" s="43">
        <f t="shared" si="120"/>
        <v>0</v>
      </c>
      <c r="AN502" s="193">
        <f t="shared" si="120"/>
        <v>0</v>
      </c>
      <c r="AO502" s="270" t="str">
        <f t="shared" si="121"/>
        <v>-</v>
      </c>
      <c r="AP502" s="266"/>
      <c r="AQ502" s="26" t="str">
        <f t="shared" si="128"/>
        <v>WORTHLESS CREEKCoho</v>
      </c>
      <c r="AR502" s="26">
        <f t="shared" si="122"/>
        <v>0</v>
      </c>
      <c r="AS502" s="33">
        <f t="shared" si="123"/>
        <v>0</v>
      </c>
      <c r="AX502" s="47" t="str">
        <f t="shared" si="124"/>
        <v>WORTHLESS CREEKCoho</v>
      </c>
      <c r="AY502" s="49">
        <f t="shared" si="125"/>
        <v>0</v>
      </c>
      <c r="AZ502" s="49">
        <f t="shared" si="126"/>
        <v>0</v>
      </c>
      <c r="BA502" s="31">
        <v>0</v>
      </c>
      <c r="BB502" s="188">
        <f t="shared" si="129"/>
        <v>0</v>
      </c>
      <c r="BC502" s="188" t="str">
        <f t="shared" si="133"/>
        <v xml:space="preserve"> </v>
      </c>
      <c r="BD502" s="188" t="str">
        <f t="shared" si="134"/>
        <v xml:space="preserve"> </v>
      </c>
      <c r="BE502" s="188" t="str">
        <f t="shared" si="135"/>
        <v xml:space="preserve"> </v>
      </c>
      <c r="BF502" s="50" t="str">
        <f t="shared" si="127"/>
        <v>WORTHLESS CREEK_Coho</v>
      </c>
      <c r="BG502" s="50" t="str">
        <f>IFERROR(VLOOKUP(BF502,'[1]WCVI Esc'!$C$5:$W$514,18,FALSE),"-")</f>
        <v>-</v>
      </c>
      <c r="BH502" s="50" t="str">
        <f t="shared" si="130"/>
        <v>-</v>
      </c>
      <c r="BI502" s="50" t="str">
        <f>IFERROR(VLOOKUP(BF502,'[1]WCVI Esc'!$C$5:$W$514,19,FALSE),"-")</f>
        <v>-</v>
      </c>
      <c r="BJ502" s="50" t="str">
        <f t="shared" si="131"/>
        <v>-</v>
      </c>
    </row>
    <row r="503" spans="1:62" hidden="1" x14ac:dyDescent="0.2">
      <c r="A503" s="28">
        <v>4</v>
      </c>
      <c r="B503" s="28">
        <v>3</v>
      </c>
      <c r="C503" s="11">
        <v>22</v>
      </c>
      <c r="D503" s="13" t="s">
        <v>304</v>
      </c>
      <c r="E503" s="10" t="s">
        <v>86</v>
      </c>
      <c r="F503" s="10" t="s">
        <v>208</v>
      </c>
      <c r="G503" s="10"/>
      <c r="H503" s="152"/>
      <c r="I503" s="164"/>
      <c r="J503" s="62"/>
      <c r="K503" s="62"/>
      <c r="L503" s="177"/>
      <c r="M503" s="171"/>
      <c r="N503" s="62"/>
      <c r="O503" s="62"/>
      <c r="P503" s="62"/>
      <c r="Q503" s="64"/>
      <c r="R503" s="164"/>
      <c r="S503" s="62"/>
      <c r="T503" s="62"/>
      <c r="U503" s="62"/>
      <c r="V503" s="177"/>
      <c r="W503" s="171"/>
      <c r="X503" s="62"/>
      <c r="Y503" s="45"/>
      <c r="Z503" s="45"/>
      <c r="AA503" s="100"/>
      <c r="AB503" s="100"/>
      <c r="AC503" s="100"/>
      <c r="AD503" s="100"/>
      <c r="AE503" s="100"/>
      <c r="AF503" s="100"/>
      <c r="AG503" s="18">
        <v>22</v>
      </c>
      <c r="AH503" s="69" t="s">
        <v>304</v>
      </c>
      <c r="AI503" s="243" t="s">
        <v>86</v>
      </c>
      <c r="AJ503" s="243" t="s">
        <v>419</v>
      </c>
      <c r="AK503" s="246"/>
      <c r="AL503" s="43" t="str">
        <f t="shared" si="132"/>
        <v>-</v>
      </c>
      <c r="AM503" s="43">
        <f t="shared" si="120"/>
        <v>0</v>
      </c>
      <c r="AN503" s="193">
        <f t="shared" si="120"/>
        <v>0</v>
      </c>
      <c r="AO503" s="270" t="str">
        <f t="shared" si="121"/>
        <v>-</v>
      </c>
      <c r="AP503" s="266"/>
      <c r="AQ503" s="26" t="str">
        <f t="shared" si="128"/>
        <v>WORTHLESS CREEKPink</v>
      </c>
      <c r="AR503" s="26">
        <f t="shared" si="122"/>
        <v>0</v>
      </c>
      <c r="AS503" s="33">
        <f t="shared" si="123"/>
        <v>0</v>
      </c>
      <c r="AX503" s="47" t="str">
        <f t="shared" si="124"/>
        <v>WORTHLESS CREEKPink</v>
      </c>
      <c r="AY503" s="49">
        <f t="shared" si="125"/>
        <v>0</v>
      </c>
      <c r="AZ503" s="49">
        <f t="shared" si="126"/>
        <v>0</v>
      </c>
      <c r="BA503" s="31">
        <v>0</v>
      </c>
      <c r="BB503" s="188">
        <f t="shared" si="129"/>
        <v>0</v>
      </c>
      <c r="BC503" s="188" t="str">
        <f t="shared" si="133"/>
        <v xml:space="preserve"> </v>
      </c>
      <c r="BD503" s="188" t="str">
        <f t="shared" si="134"/>
        <v xml:space="preserve"> </v>
      </c>
      <c r="BE503" s="188" t="str">
        <f t="shared" si="135"/>
        <v xml:space="preserve"> </v>
      </c>
      <c r="BF503" s="50" t="str">
        <f t="shared" si="127"/>
        <v>WORTHLESS CREEK_Pink</v>
      </c>
      <c r="BG503" s="50" t="str">
        <f>IFERROR(VLOOKUP(BF503,'[1]WCVI Esc'!$C$5:$W$514,18,FALSE),"-")</f>
        <v>-</v>
      </c>
      <c r="BH503" s="50" t="str">
        <f t="shared" si="130"/>
        <v>-</v>
      </c>
      <c r="BI503" s="50" t="str">
        <f>IFERROR(VLOOKUP(BF503,'[1]WCVI Esc'!$C$5:$W$514,19,FALSE),"-")</f>
        <v>-</v>
      </c>
      <c r="BJ503" s="50" t="str">
        <f t="shared" si="131"/>
        <v>-</v>
      </c>
    </row>
    <row r="504" spans="1:62" hidden="1" x14ac:dyDescent="0.2">
      <c r="A504" s="28">
        <v>4</v>
      </c>
      <c r="B504" s="28">
        <v>4</v>
      </c>
      <c r="C504" s="11">
        <v>22</v>
      </c>
      <c r="D504" s="13" t="s">
        <v>304</v>
      </c>
      <c r="E504" s="10" t="s">
        <v>86</v>
      </c>
      <c r="F504" s="10" t="s">
        <v>209</v>
      </c>
      <c r="G504" s="10"/>
      <c r="H504" s="152"/>
      <c r="I504" s="164"/>
      <c r="J504" s="62"/>
      <c r="K504" s="62"/>
      <c r="L504" s="177"/>
      <c r="M504" s="171"/>
      <c r="N504" s="62"/>
      <c r="O504" s="62"/>
      <c r="P504" s="62"/>
      <c r="Q504" s="64"/>
      <c r="R504" s="164"/>
      <c r="S504" s="62"/>
      <c r="T504" s="62"/>
      <c r="U504" s="62"/>
      <c r="V504" s="177"/>
      <c r="W504" s="171"/>
      <c r="X504" s="62"/>
      <c r="Y504" s="45"/>
      <c r="Z504" s="45"/>
      <c r="AA504" s="100"/>
      <c r="AB504" s="100"/>
      <c r="AC504" s="100"/>
      <c r="AD504" s="100"/>
      <c r="AE504" s="100"/>
      <c r="AF504" s="100"/>
      <c r="AG504" s="18">
        <v>22</v>
      </c>
      <c r="AH504" s="69" t="s">
        <v>304</v>
      </c>
      <c r="AI504" s="243" t="s">
        <v>86</v>
      </c>
      <c r="AJ504" s="243" t="s">
        <v>419</v>
      </c>
      <c r="AK504" s="246"/>
      <c r="AL504" s="43" t="str">
        <f t="shared" si="132"/>
        <v>-</v>
      </c>
      <c r="AM504" s="43">
        <f t="shared" si="120"/>
        <v>0</v>
      </c>
      <c r="AN504" s="193">
        <f t="shared" si="120"/>
        <v>0</v>
      </c>
      <c r="AO504" s="270" t="str">
        <f t="shared" si="121"/>
        <v>-</v>
      </c>
      <c r="AP504" s="266"/>
      <c r="AQ504" s="26" t="str">
        <f t="shared" si="128"/>
        <v>WORTHLESS CREEKChum</v>
      </c>
      <c r="AR504" s="26">
        <f t="shared" si="122"/>
        <v>0</v>
      </c>
      <c r="AS504" s="33">
        <f t="shared" si="123"/>
        <v>0</v>
      </c>
      <c r="AX504" s="47" t="str">
        <f t="shared" si="124"/>
        <v>WORTHLESS CREEKChum</v>
      </c>
      <c r="AY504" s="49">
        <f t="shared" si="125"/>
        <v>0</v>
      </c>
      <c r="AZ504" s="49">
        <f t="shared" si="126"/>
        <v>0</v>
      </c>
      <c r="BA504" s="31">
        <v>0</v>
      </c>
      <c r="BB504" s="188">
        <f t="shared" si="129"/>
        <v>0</v>
      </c>
      <c r="BC504" s="188" t="str">
        <f t="shared" si="133"/>
        <v xml:space="preserve"> </v>
      </c>
      <c r="BD504" s="188" t="str">
        <f t="shared" si="134"/>
        <v xml:space="preserve"> </v>
      </c>
      <c r="BE504" s="188" t="str">
        <f t="shared" si="135"/>
        <v xml:space="preserve"> </v>
      </c>
      <c r="BF504" s="50" t="str">
        <f t="shared" si="127"/>
        <v>WORTHLESS CREEK_Chum</v>
      </c>
      <c r="BG504" s="50" t="str">
        <f>IFERROR(VLOOKUP(BF504,'[1]WCVI Esc'!$C$5:$W$514,18,FALSE),"-")</f>
        <v>-</v>
      </c>
      <c r="BH504" s="50" t="str">
        <f t="shared" si="130"/>
        <v>-</v>
      </c>
      <c r="BI504" s="50" t="str">
        <f>IFERROR(VLOOKUP(BF504,'[1]WCVI Esc'!$C$5:$W$514,19,FALSE),"-")</f>
        <v>-</v>
      </c>
      <c r="BJ504" s="50" t="str">
        <f t="shared" si="131"/>
        <v>-</v>
      </c>
    </row>
    <row r="505" spans="1:62" hidden="1" x14ac:dyDescent="0.2">
      <c r="A505" s="28">
        <v>4</v>
      </c>
      <c r="B505" s="28">
        <v>5</v>
      </c>
      <c r="C505" s="11">
        <v>22</v>
      </c>
      <c r="D505" s="13" t="s">
        <v>304</v>
      </c>
      <c r="E505" s="10" t="s">
        <v>86</v>
      </c>
      <c r="F505" s="10" t="s">
        <v>210</v>
      </c>
      <c r="G505" s="10"/>
      <c r="H505" s="152"/>
      <c r="I505" s="164"/>
      <c r="J505" s="62"/>
      <c r="K505" s="62"/>
      <c r="L505" s="177"/>
      <c r="M505" s="171"/>
      <c r="N505" s="62"/>
      <c r="O505" s="62"/>
      <c r="P505" s="62"/>
      <c r="Q505" s="64"/>
      <c r="R505" s="164"/>
      <c r="S505" s="62"/>
      <c r="T505" s="62"/>
      <c r="U505" s="62"/>
      <c r="V505" s="177"/>
      <c r="W505" s="171"/>
      <c r="X505" s="62"/>
      <c r="Y505" s="45"/>
      <c r="Z505" s="45"/>
      <c r="AA505" s="100"/>
      <c r="AB505" s="100"/>
      <c r="AC505" s="100"/>
      <c r="AD505" s="100"/>
      <c r="AE505" s="100"/>
      <c r="AF505" s="100"/>
      <c r="AG505" s="18">
        <v>22</v>
      </c>
      <c r="AH505" s="69" t="s">
        <v>304</v>
      </c>
      <c r="AI505" s="243" t="s">
        <v>86</v>
      </c>
      <c r="AJ505" s="243" t="s">
        <v>419</v>
      </c>
      <c r="AK505" s="246"/>
      <c r="AL505" s="43" t="str">
        <f t="shared" si="132"/>
        <v>-</v>
      </c>
      <c r="AM505" s="43">
        <f t="shared" si="120"/>
        <v>0</v>
      </c>
      <c r="AN505" s="193">
        <f t="shared" si="120"/>
        <v>0</v>
      </c>
      <c r="AO505" s="270" t="str">
        <f t="shared" si="121"/>
        <v>-</v>
      </c>
      <c r="AP505" s="266"/>
      <c r="AQ505" s="26" t="str">
        <f t="shared" si="128"/>
        <v>WORTHLESS CREEKChinook</v>
      </c>
      <c r="AR505" s="26">
        <f t="shared" si="122"/>
        <v>0</v>
      </c>
      <c r="AS505" s="33">
        <f t="shared" si="123"/>
        <v>0</v>
      </c>
      <c r="AX505" s="47" t="str">
        <f t="shared" si="124"/>
        <v>WORTHLESS CREEKChinook</v>
      </c>
      <c r="AY505" s="49">
        <f t="shared" si="125"/>
        <v>0</v>
      </c>
      <c r="AZ505" s="49">
        <f t="shared" si="126"/>
        <v>0</v>
      </c>
      <c r="BA505" s="31">
        <v>0</v>
      </c>
      <c r="BB505" s="188">
        <f t="shared" si="129"/>
        <v>0</v>
      </c>
      <c r="BC505" s="188" t="str">
        <f t="shared" si="133"/>
        <v xml:space="preserve"> </v>
      </c>
      <c r="BD505" s="188" t="str">
        <f t="shared" si="134"/>
        <v xml:space="preserve"> </v>
      </c>
      <c r="BE505" s="188" t="str">
        <f t="shared" si="135"/>
        <v xml:space="preserve"> </v>
      </c>
      <c r="BF505" s="50" t="str">
        <f t="shared" si="127"/>
        <v>WORTHLESS CREEK_Chinook</v>
      </c>
      <c r="BG505" s="50" t="str">
        <f>IFERROR(VLOOKUP(BF505,'[1]WCVI Esc'!$C$5:$W$514,18,FALSE),"-")</f>
        <v>-</v>
      </c>
      <c r="BH505" s="50" t="str">
        <f t="shared" si="130"/>
        <v>-</v>
      </c>
      <c r="BI505" s="50" t="str">
        <f>IFERROR(VLOOKUP(BF505,'[1]WCVI Esc'!$C$5:$W$514,19,FALSE),"-")</f>
        <v>-</v>
      </c>
      <c r="BJ505" s="50" t="str">
        <f t="shared" si="131"/>
        <v>-</v>
      </c>
    </row>
    <row r="506" spans="1:62" hidden="1" x14ac:dyDescent="0.2">
      <c r="A506" s="28">
        <v>4</v>
      </c>
      <c r="B506" s="28">
        <v>6</v>
      </c>
      <c r="C506" s="11">
        <v>22</v>
      </c>
      <c r="D506" s="13" t="s">
        <v>304</v>
      </c>
      <c r="E506" s="10" t="s">
        <v>86</v>
      </c>
      <c r="F506" s="10" t="s">
        <v>211</v>
      </c>
      <c r="G506" s="10"/>
      <c r="H506" s="152"/>
      <c r="I506" s="164"/>
      <c r="J506" s="62"/>
      <c r="K506" s="62"/>
      <c r="L506" s="177"/>
      <c r="M506" s="171"/>
      <c r="N506" s="62"/>
      <c r="O506" s="62"/>
      <c r="P506" s="62"/>
      <c r="Q506" s="64"/>
      <c r="R506" s="164"/>
      <c r="S506" s="62"/>
      <c r="T506" s="62"/>
      <c r="U506" s="62"/>
      <c r="V506" s="177"/>
      <c r="W506" s="171"/>
      <c r="X506" s="62"/>
      <c r="Y506" s="45"/>
      <c r="Z506" s="45"/>
      <c r="AA506" s="100"/>
      <c r="AB506" s="100"/>
      <c r="AC506" s="100"/>
      <c r="AD506" s="100"/>
      <c r="AE506" s="100"/>
      <c r="AF506" s="100"/>
      <c r="AG506" s="18">
        <v>22</v>
      </c>
      <c r="AH506" s="69" t="s">
        <v>304</v>
      </c>
      <c r="AI506" s="243" t="s">
        <v>86</v>
      </c>
      <c r="AJ506" s="243" t="s">
        <v>419</v>
      </c>
      <c r="AK506" s="246"/>
      <c r="AL506" s="43" t="str">
        <f t="shared" si="132"/>
        <v>-</v>
      </c>
      <c r="AM506" s="43">
        <f t="shared" si="120"/>
        <v>0</v>
      </c>
      <c r="AN506" s="193">
        <f t="shared" si="120"/>
        <v>0</v>
      </c>
      <c r="AO506" s="270" t="str">
        <f t="shared" si="121"/>
        <v>-</v>
      </c>
      <c r="AP506" s="266"/>
      <c r="AQ506" s="26" t="str">
        <f t="shared" si="128"/>
        <v>WORTHLESS CREEKSteelhead</v>
      </c>
      <c r="AR506" s="26">
        <f t="shared" si="122"/>
        <v>0</v>
      </c>
      <c r="AS506" s="33">
        <f t="shared" si="123"/>
        <v>0</v>
      </c>
      <c r="AX506" s="47" t="str">
        <f t="shared" si="124"/>
        <v>WORTHLESS CREEKSteelhead</v>
      </c>
      <c r="AY506" s="49">
        <f t="shared" si="125"/>
        <v>0</v>
      </c>
      <c r="AZ506" s="49">
        <f t="shared" si="126"/>
        <v>0</v>
      </c>
      <c r="BA506" s="31">
        <v>0</v>
      </c>
      <c r="BB506" s="188">
        <f t="shared" si="129"/>
        <v>0</v>
      </c>
      <c r="BC506" s="188" t="str">
        <f t="shared" si="133"/>
        <v xml:space="preserve"> </v>
      </c>
      <c r="BD506" s="188" t="str">
        <f t="shared" si="134"/>
        <v xml:space="preserve"> </v>
      </c>
      <c r="BE506" s="188" t="str">
        <f t="shared" si="135"/>
        <v xml:space="preserve"> </v>
      </c>
      <c r="BF506" s="50" t="str">
        <f t="shared" si="127"/>
        <v>WORTHLESS CREEK_Steelhead</v>
      </c>
      <c r="BG506" s="50" t="str">
        <f>IFERROR(VLOOKUP(BF506,'[1]WCVI Esc'!$C$5:$W$514,18,FALSE),"-")</f>
        <v>-</v>
      </c>
      <c r="BH506" s="50" t="str">
        <f t="shared" si="130"/>
        <v>-</v>
      </c>
      <c r="BI506" s="50" t="str">
        <f>IFERROR(VLOOKUP(BF506,'[1]WCVI Esc'!$C$5:$W$514,19,FALSE),"-")</f>
        <v>-</v>
      </c>
      <c r="BJ506" s="50" t="str">
        <f t="shared" si="131"/>
        <v>-</v>
      </c>
    </row>
    <row r="507" spans="1:62" hidden="1" x14ac:dyDescent="0.2">
      <c r="A507" s="28">
        <v>4</v>
      </c>
      <c r="B507" s="28">
        <v>1</v>
      </c>
      <c r="C507" s="11">
        <v>23</v>
      </c>
      <c r="D507" s="13" t="s">
        <v>320</v>
      </c>
      <c r="E507" s="10" t="s">
        <v>87</v>
      </c>
      <c r="F507" s="10" t="s">
        <v>207</v>
      </c>
      <c r="G507" s="10"/>
      <c r="H507" s="152"/>
      <c r="I507" s="164"/>
      <c r="J507" s="62"/>
      <c r="K507" s="62"/>
      <c r="L507" s="177"/>
      <c r="M507" s="171"/>
      <c r="N507" s="62"/>
      <c r="O507" s="62"/>
      <c r="P507" s="62"/>
      <c r="Q507" s="64"/>
      <c r="R507" s="164"/>
      <c r="S507" s="62"/>
      <c r="T507" s="62"/>
      <c r="U507" s="62"/>
      <c r="V507" s="177"/>
      <c r="W507" s="171"/>
      <c r="X507" s="62"/>
      <c r="Y507" s="45"/>
      <c r="Z507" s="45"/>
      <c r="AA507" s="100"/>
      <c r="AB507" s="100"/>
      <c r="AC507" s="100"/>
      <c r="AD507" s="100"/>
      <c r="AE507" s="100"/>
      <c r="AF507" s="100"/>
      <c r="AG507" s="18">
        <v>23</v>
      </c>
      <c r="AH507" s="69" t="s">
        <v>320</v>
      </c>
      <c r="AI507" s="243" t="s">
        <v>87</v>
      </c>
      <c r="AJ507" s="243" t="s">
        <v>419</v>
      </c>
      <c r="AK507" s="246"/>
      <c r="AL507" s="43" t="str">
        <f t="shared" si="132"/>
        <v>-</v>
      </c>
      <c r="AM507" s="43">
        <f t="shared" si="120"/>
        <v>0</v>
      </c>
      <c r="AN507" s="193">
        <f t="shared" si="120"/>
        <v>0</v>
      </c>
      <c r="AO507" s="270" t="str">
        <f t="shared" si="121"/>
        <v>-</v>
      </c>
      <c r="AP507" s="266"/>
      <c r="AQ507" s="26" t="str">
        <f t="shared" si="128"/>
        <v>ASH RIVERSockeye</v>
      </c>
      <c r="AR507" s="26">
        <f t="shared" si="122"/>
        <v>0</v>
      </c>
      <c r="AS507" s="33">
        <f t="shared" si="123"/>
        <v>0</v>
      </c>
      <c r="AX507" s="47" t="str">
        <f t="shared" si="124"/>
        <v>ASH RIVERSockeye</v>
      </c>
      <c r="AY507" s="49">
        <f t="shared" si="125"/>
        <v>0</v>
      </c>
      <c r="AZ507" s="49">
        <f t="shared" si="126"/>
        <v>0</v>
      </c>
      <c r="BA507" s="31">
        <v>0</v>
      </c>
      <c r="BB507" s="188">
        <f t="shared" si="129"/>
        <v>0</v>
      </c>
      <c r="BC507" s="188" t="str">
        <f t="shared" si="133"/>
        <v xml:space="preserve"> </v>
      </c>
      <c r="BD507" s="188" t="str">
        <f t="shared" si="134"/>
        <v xml:space="preserve"> </v>
      </c>
      <c r="BE507" s="188" t="str">
        <f t="shared" si="135"/>
        <v xml:space="preserve"> </v>
      </c>
      <c r="BF507" s="50" t="str">
        <f t="shared" si="127"/>
        <v>ASH RIVER_Sockeye</v>
      </c>
      <c r="BG507" s="50" t="str">
        <f>IFERROR(VLOOKUP(BF507,'[1]WCVI Esc'!$C$5:$W$514,18,FALSE),"-")</f>
        <v>-</v>
      </c>
      <c r="BH507" s="50" t="str">
        <f t="shared" si="130"/>
        <v>-</v>
      </c>
      <c r="BI507" s="50" t="str">
        <f>IFERROR(VLOOKUP(BF507,'[1]WCVI Esc'!$C$5:$W$514,19,FALSE),"-")</f>
        <v>-</v>
      </c>
      <c r="BJ507" s="50" t="str">
        <f t="shared" si="131"/>
        <v>-</v>
      </c>
    </row>
    <row r="508" spans="1:62" hidden="1" x14ac:dyDescent="0.2">
      <c r="A508" s="28">
        <v>4</v>
      </c>
      <c r="B508" s="28">
        <v>2</v>
      </c>
      <c r="C508" s="11">
        <v>23</v>
      </c>
      <c r="D508" s="13" t="s">
        <v>320</v>
      </c>
      <c r="E508" s="10" t="s">
        <v>87</v>
      </c>
      <c r="F508" s="10" t="s">
        <v>219</v>
      </c>
      <c r="G508" s="10"/>
      <c r="H508" s="152"/>
      <c r="I508" s="164"/>
      <c r="J508" s="62"/>
      <c r="K508" s="62"/>
      <c r="L508" s="177"/>
      <c r="M508" s="171"/>
      <c r="N508" s="62"/>
      <c r="O508" s="62"/>
      <c r="P508" s="62"/>
      <c r="Q508" s="64"/>
      <c r="R508" s="164"/>
      <c r="S508" s="62"/>
      <c r="T508" s="62"/>
      <c r="U508" s="62"/>
      <c r="V508" s="177"/>
      <c r="W508" s="171"/>
      <c r="X508" s="62"/>
      <c r="Y508" s="45"/>
      <c r="Z508" s="45"/>
      <c r="AA508" s="100"/>
      <c r="AB508" s="100"/>
      <c r="AC508" s="100"/>
      <c r="AD508" s="100"/>
      <c r="AE508" s="100"/>
      <c r="AF508" s="100"/>
      <c r="AG508" s="18">
        <v>23</v>
      </c>
      <c r="AH508" s="69" t="s">
        <v>320</v>
      </c>
      <c r="AI508" s="243" t="s">
        <v>87</v>
      </c>
      <c r="AJ508" s="243" t="s">
        <v>419</v>
      </c>
      <c r="AK508" s="246"/>
      <c r="AL508" s="43" t="str">
        <f t="shared" si="132"/>
        <v>-</v>
      </c>
      <c r="AM508" s="43">
        <f t="shared" si="120"/>
        <v>0</v>
      </c>
      <c r="AN508" s="193">
        <f t="shared" si="120"/>
        <v>0</v>
      </c>
      <c r="AO508" s="270" t="str">
        <f t="shared" si="121"/>
        <v>-</v>
      </c>
      <c r="AP508" s="266"/>
      <c r="AQ508" s="26" t="str">
        <f t="shared" si="128"/>
        <v>ASH RIVERCoho</v>
      </c>
      <c r="AR508" s="26">
        <f t="shared" si="122"/>
        <v>0</v>
      </c>
      <c r="AS508" s="33">
        <f t="shared" si="123"/>
        <v>0</v>
      </c>
      <c r="AX508" s="47" t="str">
        <f t="shared" si="124"/>
        <v>ASH RIVERCoho</v>
      </c>
      <c r="AY508" s="49">
        <f t="shared" si="125"/>
        <v>0</v>
      </c>
      <c r="AZ508" s="49">
        <f t="shared" si="126"/>
        <v>0</v>
      </c>
      <c r="BA508" s="31">
        <v>0</v>
      </c>
      <c r="BB508" s="188">
        <f t="shared" si="129"/>
        <v>0</v>
      </c>
      <c r="BC508" s="188" t="str">
        <f t="shared" si="133"/>
        <v xml:space="preserve"> </v>
      </c>
      <c r="BD508" s="188" t="str">
        <f t="shared" si="134"/>
        <v xml:space="preserve"> </v>
      </c>
      <c r="BE508" s="188" t="str">
        <f t="shared" si="135"/>
        <v xml:space="preserve"> </v>
      </c>
      <c r="BF508" s="50" t="str">
        <f t="shared" si="127"/>
        <v>ASH RIVER_Coho</v>
      </c>
      <c r="BG508" s="50" t="str">
        <f>IFERROR(VLOOKUP(BF508,'[1]WCVI Esc'!$C$5:$W$514,18,FALSE),"-")</f>
        <v>-</v>
      </c>
      <c r="BH508" s="50" t="str">
        <f t="shared" si="130"/>
        <v>-</v>
      </c>
      <c r="BI508" s="50" t="str">
        <f>IFERROR(VLOOKUP(BF508,'[1]WCVI Esc'!$C$5:$W$514,19,FALSE),"-")</f>
        <v>-</v>
      </c>
      <c r="BJ508" s="50" t="str">
        <f t="shared" si="131"/>
        <v>-</v>
      </c>
    </row>
    <row r="509" spans="1:62" hidden="1" x14ac:dyDescent="0.2">
      <c r="A509" s="28">
        <v>4</v>
      </c>
      <c r="B509" s="28">
        <v>3</v>
      </c>
      <c r="C509" s="11">
        <v>23</v>
      </c>
      <c r="D509" s="13" t="s">
        <v>320</v>
      </c>
      <c r="E509" s="10" t="s">
        <v>87</v>
      </c>
      <c r="F509" s="10" t="s">
        <v>208</v>
      </c>
      <c r="G509" s="10"/>
      <c r="H509" s="152"/>
      <c r="I509" s="164"/>
      <c r="J509" s="62"/>
      <c r="K509" s="62"/>
      <c r="L509" s="177"/>
      <c r="M509" s="171"/>
      <c r="N509" s="62"/>
      <c r="O509" s="62"/>
      <c r="P509" s="62"/>
      <c r="Q509" s="64"/>
      <c r="R509" s="164"/>
      <c r="S509" s="62"/>
      <c r="T509" s="62"/>
      <c r="U509" s="62"/>
      <c r="V509" s="177"/>
      <c r="W509" s="171"/>
      <c r="X509" s="62"/>
      <c r="Y509" s="45"/>
      <c r="Z509" s="45"/>
      <c r="AA509" s="100"/>
      <c r="AB509" s="100"/>
      <c r="AC509" s="100"/>
      <c r="AD509" s="100"/>
      <c r="AE509" s="100"/>
      <c r="AF509" s="100"/>
      <c r="AG509" s="18">
        <v>23</v>
      </c>
      <c r="AH509" s="69" t="s">
        <v>320</v>
      </c>
      <c r="AI509" s="243" t="s">
        <v>87</v>
      </c>
      <c r="AJ509" s="243" t="s">
        <v>419</v>
      </c>
      <c r="AK509" s="246"/>
      <c r="AL509" s="43" t="str">
        <f t="shared" si="132"/>
        <v>-</v>
      </c>
      <c r="AM509" s="43">
        <f t="shared" si="120"/>
        <v>0</v>
      </c>
      <c r="AN509" s="193">
        <f t="shared" si="120"/>
        <v>0</v>
      </c>
      <c r="AO509" s="270" t="str">
        <f t="shared" si="121"/>
        <v>-</v>
      </c>
      <c r="AP509" s="266"/>
      <c r="AQ509" s="26" t="str">
        <f t="shared" si="128"/>
        <v>ASH RIVERPink</v>
      </c>
      <c r="AR509" s="26">
        <f t="shared" si="122"/>
        <v>0</v>
      </c>
      <c r="AS509" s="33">
        <f t="shared" si="123"/>
        <v>0</v>
      </c>
      <c r="AX509" s="47" t="str">
        <f t="shared" si="124"/>
        <v>ASH RIVERPink</v>
      </c>
      <c r="AY509" s="49">
        <f t="shared" si="125"/>
        <v>0</v>
      </c>
      <c r="AZ509" s="49">
        <f t="shared" si="126"/>
        <v>0</v>
      </c>
      <c r="BA509" s="31">
        <v>0</v>
      </c>
      <c r="BB509" s="188">
        <f t="shared" si="129"/>
        <v>0</v>
      </c>
      <c r="BC509" s="188" t="str">
        <f t="shared" si="133"/>
        <v xml:space="preserve"> </v>
      </c>
      <c r="BD509" s="188" t="str">
        <f t="shared" si="134"/>
        <v xml:space="preserve"> </v>
      </c>
      <c r="BE509" s="188" t="str">
        <f t="shared" si="135"/>
        <v xml:space="preserve"> </v>
      </c>
      <c r="BF509" s="50" t="str">
        <f t="shared" si="127"/>
        <v>ASH RIVER_Pink</v>
      </c>
      <c r="BG509" s="50" t="str">
        <f>IFERROR(VLOOKUP(BF509,'[1]WCVI Esc'!$C$5:$W$514,18,FALSE),"-")</f>
        <v>-</v>
      </c>
      <c r="BH509" s="50" t="str">
        <f t="shared" si="130"/>
        <v>-</v>
      </c>
      <c r="BI509" s="50" t="str">
        <f>IFERROR(VLOOKUP(BF509,'[1]WCVI Esc'!$C$5:$W$514,19,FALSE),"-")</f>
        <v>-</v>
      </c>
      <c r="BJ509" s="50" t="str">
        <f t="shared" si="131"/>
        <v>-</v>
      </c>
    </row>
    <row r="510" spans="1:62" hidden="1" x14ac:dyDescent="0.2">
      <c r="A510" s="28">
        <v>4</v>
      </c>
      <c r="B510" s="28">
        <v>4</v>
      </c>
      <c r="C510" s="11">
        <v>23</v>
      </c>
      <c r="D510" s="13" t="s">
        <v>320</v>
      </c>
      <c r="E510" s="10" t="s">
        <v>87</v>
      </c>
      <c r="F510" s="10" t="s">
        <v>209</v>
      </c>
      <c r="G510" s="10"/>
      <c r="H510" s="152"/>
      <c r="I510" s="164"/>
      <c r="J510" s="62"/>
      <c r="K510" s="62"/>
      <c r="L510" s="177"/>
      <c r="M510" s="171"/>
      <c r="N510" s="62"/>
      <c r="O510" s="62"/>
      <c r="P510" s="62"/>
      <c r="Q510" s="64"/>
      <c r="R510" s="164"/>
      <c r="S510" s="62"/>
      <c r="T510" s="62"/>
      <c r="U510" s="62"/>
      <c r="V510" s="177"/>
      <c r="W510" s="171"/>
      <c r="X510" s="62"/>
      <c r="Y510" s="45"/>
      <c r="Z510" s="45"/>
      <c r="AA510" s="100"/>
      <c r="AB510" s="100"/>
      <c r="AC510" s="100"/>
      <c r="AD510" s="100"/>
      <c r="AE510" s="100"/>
      <c r="AF510" s="100"/>
      <c r="AG510" s="18">
        <v>23</v>
      </c>
      <c r="AH510" s="69" t="s">
        <v>320</v>
      </c>
      <c r="AI510" s="243" t="s">
        <v>87</v>
      </c>
      <c r="AJ510" s="243" t="s">
        <v>419</v>
      </c>
      <c r="AK510" s="246"/>
      <c r="AL510" s="43" t="str">
        <f t="shared" si="132"/>
        <v>-</v>
      </c>
      <c r="AM510" s="43">
        <f t="shared" si="120"/>
        <v>0</v>
      </c>
      <c r="AN510" s="193">
        <f t="shared" si="120"/>
        <v>0</v>
      </c>
      <c r="AO510" s="270" t="str">
        <f t="shared" si="121"/>
        <v>-</v>
      </c>
      <c r="AP510" s="266"/>
      <c r="AQ510" s="26" t="str">
        <f t="shared" si="128"/>
        <v>ASH RIVERChum</v>
      </c>
      <c r="AR510" s="26">
        <f t="shared" si="122"/>
        <v>0</v>
      </c>
      <c r="AS510" s="33">
        <f t="shared" si="123"/>
        <v>0</v>
      </c>
      <c r="AX510" s="47" t="str">
        <f t="shared" si="124"/>
        <v>ASH RIVERChum</v>
      </c>
      <c r="AY510" s="49">
        <f t="shared" si="125"/>
        <v>0</v>
      </c>
      <c r="AZ510" s="49">
        <f t="shared" si="126"/>
        <v>0</v>
      </c>
      <c r="BA510" s="31">
        <v>0</v>
      </c>
      <c r="BB510" s="188">
        <f t="shared" si="129"/>
        <v>0</v>
      </c>
      <c r="BC510" s="188" t="str">
        <f t="shared" si="133"/>
        <v xml:space="preserve"> </v>
      </c>
      <c r="BD510" s="188" t="str">
        <f t="shared" si="134"/>
        <v xml:space="preserve"> </v>
      </c>
      <c r="BE510" s="188" t="str">
        <f t="shared" si="135"/>
        <v xml:space="preserve"> </v>
      </c>
      <c r="BF510" s="50" t="str">
        <f t="shared" si="127"/>
        <v>ASH RIVER_Chum</v>
      </c>
      <c r="BG510" s="50" t="str">
        <f>IFERROR(VLOOKUP(BF510,'[1]WCVI Esc'!$C$5:$W$514,18,FALSE),"-")</f>
        <v>-</v>
      </c>
      <c r="BH510" s="50" t="str">
        <f t="shared" si="130"/>
        <v>-</v>
      </c>
      <c r="BI510" s="50" t="str">
        <f>IFERROR(VLOOKUP(BF510,'[1]WCVI Esc'!$C$5:$W$514,19,FALSE),"-")</f>
        <v>-</v>
      </c>
      <c r="BJ510" s="50" t="str">
        <f t="shared" si="131"/>
        <v>-</v>
      </c>
    </row>
    <row r="511" spans="1:62" hidden="1" x14ac:dyDescent="0.2">
      <c r="A511" s="28">
        <v>4</v>
      </c>
      <c r="B511" s="28">
        <v>5</v>
      </c>
      <c r="C511" s="11">
        <v>23</v>
      </c>
      <c r="D511" s="13" t="s">
        <v>320</v>
      </c>
      <c r="E511" s="10" t="s">
        <v>87</v>
      </c>
      <c r="F511" s="10" t="s">
        <v>210</v>
      </c>
      <c r="G511" s="10"/>
      <c r="H511" s="152"/>
      <c r="I511" s="164"/>
      <c r="J511" s="62"/>
      <c r="K511" s="62"/>
      <c r="L511" s="177"/>
      <c r="M511" s="171"/>
      <c r="N511" s="62"/>
      <c r="O511" s="62"/>
      <c r="P511" s="62"/>
      <c r="Q511" s="64"/>
      <c r="R511" s="164"/>
      <c r="S511" s="62"/>
      <c r="T511" s="62"/>
      <c r="U511" s="62"/>
      <c r="V511" s="177"/>
      <c r="W511" s="171"/>
      <c r="X511" s="62"/>
      <c r="Y511" s="45"/>
      <c r="Z511" s="45"/>
      <c r="AA511" s="100"/>
      <c r="AB511" s="100"/>
      <c r="AC511" s="100"/>
      <c r="AD511" s="100"/>
      <c r="AE511" s="100"/>
      <c r="AF511" s="100"/>
      <c r="AG511" s="18">
        <v>23</v>
      </c>
      <c r="AH511" s="69" t="s">
        <v>320</v>
      </c>
      <c r="AI511" s="243" t="s">
        <v>87</v>
      </c>
      <c r="AJ511" s="243" t="s">
        <v>419</v>
      </c>
      <c r="AK511" s="246"/>
      <c r="AL511" s="43" t="str">
        <f t="shared" si="132"/>
        <v>-</v>
      </c>
      <c r="AM511" s="43">
        <f t="shared" ref="AM511:AN574" si="136">AR511</f>
        <v>0</v>
      </c>
      <c r="AN511" s="193">
        <f t="shared" si="136"/>
        <v>0</v>
      </c>
      <c r="AO511" s="270" t="str">
        <f t="shared" ref="AO511:AO574" si="137">BH511</f>
        <v>-</v>
      </c>
      <c r="AP511" s="266"/>
      <c r="AQ511" s="26" t="str">
        <f t="shared" si="128"/>
        <v>ASH RIVERChinook</v>
      </c>
      <c r="AR511" s="26">
        <f t="shared" ref="AR511:AR574" si="138">COUNT(G511:X511)</f>
        <v>0</v>
      </c>
      <c r="AS511" s="33">
        <f t="shared" ref="AS511:AS574" si="139">MAX(G511:X511)</f>
        <v>0</v>
      </c>
      <c r="AX511" s="47" t="str">
        <f t="shared" ref="AX511:AX574" si="140">CONCATENATE(E511,F511)</f>
        <v>ASH RIVERChinook</v>
      </c>
      <c r="AY511" s="49">
        <f t="shared" ref="AY511:AY574" si="141">Z511</f>
        <v>0</v>
      </c>
      <c r="AZ511" s="49">
        <f t="shared" ref="AZ511:AZ574" si="142">Y511</f>
        <v>0</v>
      </c>
      <c r="BA511" s="31">
        <v>0</v>
      </c>
      <c r="BB511" s="188">
        <f t="shared" si="129"/>
        <v>0</v>
      </c>
      <c r="BC511" s="188" t="str">
        <f t="shared" si="133"/>
        <v xml:space="preserve"> </v>
      </c>
      <c r="BD511" s="188" t="str">
        <f t="shared" si="134"/>
        <v xml:space="preserve"> </v>
      </c>
      <c r="BE511" s="188" t="str">
        <f t="shared" si="135"/>
        <v xml:space="preserve"> </v>
      </c>
      <c r="BF511" s="50" t="str">
        <f t="shared" ref="BF511:BF574" si="143">CONCATENATE(E511,"_",F511)</f>
        <v>ASH RIVER_Chinook</v>
      </c>
      <c r="BG511" s="50" t="str">
        <f>IFERROR(VLOOKUP(BF511,'[1]WCVI Esc'!$C$5:$W$514,18,FALSE),"-")</f>
        <v>-</v>
      </c>
      <c r="BH511" s="50" t="str">
        <f t="shared" si="130"/>
        <v>-</v>
      </c>
      <c r="BI511" s="50" t="str">
        <f>IFERROR(VLOOKUP(BF511,'[1]WCVI Esc'!$C$5:$W$514,19,FALSE),"-")</f>
        <v>-</v>
      </c>
      <c r="BJ511" s="50" t="str">
        <f t="shared" si="131"/>
        <v>-</v>
      </c>
    </row>
    <row r="512" spans="1:62" hidden="1" x14ac:dyDescent="0.2">
      <c r="A512" s="28">
        <v>4</v>
      </c>
      <c r="B512" s="28">
        <v>6</v>
      </c>
      <c r="C512" s="11">
        <v>23</v>
      </c>
      <c r="D512" s="13" t="s">
        <v>320</v>
      </c>
      <c r="E512" s="10" t="s">
        <v>87</v>
      </c>
      <c r="F512" s="10" t="s">
        <v>211</v>
      </c>
      <c r="G512" s="10"/>
      <c r="H512" s="152"/>
      <c r="I512" s="164"/>
      <c r="J512" s="62"/>
      <c r="K512" s="62"/>
      <c r="L512" s="177"/>
      <c r="M512" s="171"/>
      <c r="N512" s="62"/>
      <c r="O512" s="62"/>
      <c r="P512" s="62"/>
      <c r="Q512" s="64"/>
      <c r="R512" s="164"/>
      <c r="S512" s="62"/>
      <c r="T512" s="62"/>
      <c r="U512" s="62"/>
      <c r="V512" s="177"/>
      <c r="W512" s="171"/>
      <c r="X512" s="62"/>
      <c r="Y512" s="45"/>
      <c r="Z512" s="45"/>
      <c r="AA512" s="100"/>
      <c r="AB512" s="100"/>
      <c r="AC512" s="100"/>
      <c r="AD512" s="100"/>
      <c r="AE512" s="100"/>
      <c r="AF512" s="100"/>
      <c r="AG512" s="18">
        <v>23</v>
      </c>
      <c r="AH512" s="69" t="s">
        <v>320</v>
      </c>
      <c r="AI512" s="243" t="s">
        <v>87</v>
      </c>
      <c r="AJ512" s="243" t="s">
        <v>419</v>
      </c>
      <c r="AK512" s="246"/>
      <c r="AL512" s="43" t="str">
        <f t="shared" si="132"/>
        <v>-</v>
      </c>
      <c r="AM512" s="43">
        <f t="shared" si="136"/>
        <v>0</v>
      </c>
      <c r="AN512" s="193">
        <f t="shared" si="136"/>
        <v>0</v>
      </c>
      <c r="AO512" s="270" t="str">
        <f t="shared" si="137"/>
        <v>-</v>
      </c>
      <c r="AP512" s="266"/>
      <c r="AQ512" s="26" t="str">
        <f t="shared" si="128"/>
        <v>ASH RIVERSteelhead</v>
      </c>
      <c r="AR512" s="26">
        <f t="shared" si="138"/>
        <v>0</v>
      </c>
      <c r="AS512" s="33">
        <f t="shared" si="139"/>
        <v>0</v>
      </c>
      <c r="AX512" s="47" t="str">
        <f t="shared" si="140"/>
        <v>ASH RIVERSteelhead</v>
      </c>
      <c r="AY512" s="49">
        <f t="shared" si="141"/>
        <v>0</v>
      </c>
      <c r="AZ512" s="49">
        <f t="shared" si="142"/>
        <v>0</v>
      </c>
      <c r="BA512" s="31">
        <v>0</v>
      </c>
      <c r="BB512" s="188">
        <f t="shared" si="129"/>
        <v>0</v>
      </c>
      <c r="BC512" s="188" t="str">
        <f t="shared" si="133"/>
        <v xml:space="preserve"> </v>
      </c>
      <c r="BD512" s="188" t="str">
        <f t="shared" si="134"/>
        <v xml:space="preserve"> </v>
      </c>
      <c r="BE512" s="188" t="str">
        <f t="shared" si="135"/>
        <v xml:space="preserve"> </v>
      </c>
      <c r="BF512" s="50" t="str">
        <f t="shared" si="143"/>
        <v>ASH RIVER_Steelhead</v>
      </c>
      <c r="BG512" s="50" t="str">
        <f>IFERROR(VLOOKUP(BF512,'[1]WCVI Esc'!$C$5:$W$514,18,FALSE),"-")</f>
        <v>-</v>
      </c>
      <c r="BH512" s="50" t="str">
        <f t="shared" si="130"/>
        <v>-</v>
      </c>
      <c r="BI512" s="50" t="str">
        <f>IFERROR(VLOOKUP(BF512,'[1]WCVI Esc'!$C$5:$W$514,19,FALSE),"-")</f>
        <v>-</v>
      </c>
      <c r="BJ512" s="50" t="str">
        <f t="shared" si="131"/>
        <v>-</v>
      </c>
    </row>
    <row r="513" spans="1:62" hidden="1" x14ac:dyDescent="0.2">
      <c r="A513" s="28">
        <v>4</v>
      </c>
      <c r="B513" s="28">
        <v>1</v>
      </c>
      <c r="C513" s="11">
        <v>23</v>
      </c>
      <c r="D513" s="13" t="s">
        <v>320</v>
      </c>
      <c r="E513" s="10" t="s">
        <v>167</v>
      </c>
      <c r="F513" s="10" t="s">
        <v>207</v>
      </c>
      <c r="G513" s="10"/>
      <c r="H513" s="152"/>
      <c r="I513" s="164"/>
      <c r="J513" s="62"/>
      <c r="K513" s="62"/>
      <c r="L513" s="177"/>
      <c r="M513" s="171"/>
      <c r="N513" s="62"/>
      <c r="O513" s="62"/>
      <c r="P513" s="62"/>
      <c r="Q513" s="64"/>
      <c r="R513" s="164"/>
      <c r="S513" s="62"/>
      <c r="T513" s="62"/>
      <c r="U513" s="62"/>
      <c r="V513" s="177"/>
      <c r="W513" s="171"/>
      <c r="X513" s="62"/>
      <c r="Y513" s="45"/>
      <c r="Z513" s="45"/>
      <c r="AA513" s="100"/>
      <c r="AB513" s="100"/>
      <c r="AC513" s="100"/>
      <c r="AD513" s="100"/>
      <c r="AE513" s="100"/>
      <c r="AF513" s="100"/>
      <c r="AG513" s="18">
        <v>23</v>
      </c>
      <c r="AH513" s="69" t="s">
        <v>320</v>
      </c>
      <c r="AI513" s="243" t="s">
        <v>167</v>
      </c>
      <c r="AJ513" s="243" t="s">
        <v>419</v>
      </c>
      <c r="AK513" s="246"/>
      <c r="AL513" s="43" t="str">
        <f t="shared" si="132"/>
        <v>-</v>
      </c>
      <c r="AM513" s="43">
        <f t="shared" si="136"/>
        <v>0</v>
      </c>
      <c r="AN513" s="193">
        <f t="shared" si="136"/>
        <v>0</v>
      </c>
      <c r="AO513" s="270" t="str">
        <f t="shared" si="137"/>
        <v>-</v>
      </c>
      <c r="AP513" s="266"/>
      <c r="AQ513" s="26" t="str">
        <f t="shared" si="128"/>
        <v>BEAVER CREEKSockeye</v>
      </c>
      <c r="AR513" s="26">
        <f t="shared" si="138"/>
        <v>0</v>
      </c>
      <c r="AS513" s="33">
        <f t="shared" si="139"/>
        <v>0</v>
      </c>
      <c r="AX513" s="47" t="str">
        <f t="shared" si="140"/>
        <v>BEAVER CREEKSockeye</v>
      </c>
      <c r="AY513" s="49">
        <f t="shared" si="141"/>
        <v>0</v>
      </c>
      <c r="AZ513" s="49">
        <f t="shared" si="142"/>
        <v>0</v>
      </c>
      <c r="BA513" s="31">
        <v>0</v>
      </c>
      <c r="BB513" s="188">
        <f t="shared" si="129"/>
        <v>0</v>
      </c>
      <c r="BC513" s="188" t="str">
        <f t="shared" si="133"/>
        <v xml:space="preserve"> </v>
      </c>
      <c r="BD513" s="188" t="str">
        <f t="shared" si="134"/>
        <v xml:space="preserve"> </v>
      </c>
      <c r="BE513" s="188" t="str">
        <f t="shared" si="135"/>
        <v xml:space="preserve"> </v>
      </c>
      <c r="BF513" s="50" t="str">
        <f t="shared" si="143"/>
        <v>BEAVER CREEK_Sockeye</v>
      </c>
      <c r="BG513" s="50" t="str">
        <f>IFERROR(VLOOKUP(BF513,'[1]WCVI Esc'!$C$5:$W$514,18,FALSE),"-")</f>
        <v>-</v>
      </c>
      <c r="BH513" s="50" t="str">
        <f t="shared" si="130"/>
        <v>-</v>
      </c>
      <c r="BI513" s="50" t="str">
        <f>IFERROR(VLOOKUP(BF513,'[1]WCVI Esc'!$C$5:$W$514,19,FALSE),"-")</f>
        <v>-</v>
      </c>
      <c r="BJ513" s="50" t="str">
        <f t="shared" si="131"/>
        <v>-</v>
      </c>
    </row>
    <row r="514" spans="1:62" hidden="1" x14ac:dyDescent="0.2">
      <c r="A514" s="28">
        <v>4</v>
      </c>
      <c r="B514" s="28">
        <v>2</v>
      </c>
      <c r="C514" s="11">
        <v>23</v>
      </c>
      <c r="D514" s="13" t="s">
        <v>320</v>
      </c>
      <c r="E514" s="10" t="s">
        <v>167</v>
      </c>
      <c r="F514" s="10" t="s">
        <v>219</v>
      </c>
      <c r="G514" s="10"/>
      <c r="H514" s="152"/>
      <c r="I514" s="164"/>
      <c r="J514" s="62"/>
      <c r="K514" s="62"/>
      <c r="L514" s="177"/>
      <c r="M514" s="171"/>
      <c r="N514" s="62"/>
      <c r="O514" s="62"/>
      <c r="P514" s="62"/>
      <c r="Q514" s="64"/>
      <c r="R514" s="164"/>
      <c r="S514" s="62"/>
      <c r="T514" s="62"/>
      <c r="U514" s="62"/>
      <c r="V514" s="177"/>
      <c r="W514" s="171"/>
      <c r="X514" s="62"/>
      <c r="Y514" s="45"/>
      <c r="Z514" s="45"/>
      <c r="AA514" s="100"/>
      <c r="AB514" s="100"/>
      <c r="AC514" s="100"/>
      <c r="AD514" s="100"/>
      <c r="AE514" s="100"/>
      <c r="AF514" s="100"/>
      <c r="AG514" s="18">
        <v>23</v>
      </c>
      <c r="AH514" s="69" t="s">
        <v>320</v>
      </c>
      <c r="AI514" s="243" t="s">
        <v>167</v>
      </c>
      <c r="AJ514" s="243" t="s">
        <v>419</v>
      </c>
      <c r="AK514" s="246"/>
      <c r="AL514" s="43" t="str">
        <f t="shared" si="132"/>
        <v>-</v>
      </c>
      <c r="AM514" s="43">
        <f t="shared" si="136"/>
        <v>0</v>
      </c>
      <c r="AN514" s="193">
        <f t="shared" si="136"/>
        <v>0</v>
      </c>
      <c r="AO514" s="270" t="str">
        <f t="shared" si="137"/>
        <v>-</v>
      </c>
      <c r="AP514" s="266"/>
      <c r="AQ514" s="26" t="str">
        <f t="shared" si="128"/>
        <v>BEAVER CREEKCoho</v>
      </c>
      <c r="AR514" s="26">
        <f t="shared" si="138"/>
        <v>0</v>
      </c>
      <c r="AS514" s="33">
        <f t="shared" si="139"/>
        <v>0</v>
      </c>
      <c r="AX514" s="47" t="str">
        <f t="shared" si="140"/>
        <v>BEAVER CREEKCoho</v>
      </c>
      <c r="AY514" s="49">
        <f t="shared" si="141"/>
        <v>0</v>
      </c>
      <c r="AZ514" s="49">
        <f t="shared" si="142"/>
        <v>0</v>
      </c>
      <c r="BA514" s="31">
        <v>1990</v>
      </c>
      <c r="BB514" s="188">
        <f t="shared" si="129"/>
        <v>0</v>
      </c>
      <c r="BC514" s="188" t="str">
        <f t="shared" si="133"/>
        <v xml:space="preserve"> </v>
      </c>
      <c r="BD514" s="188" t="str">
        <f t="shared" si="134"/>
        <v xml:space="preserve"> </v>
      </c>
      <c r="BE514" s="188" t="str">
        <f t="shared" si="135"/>
        <v xml:space="preserve"> </v>
      </c>
      <c r="BF514" s="50" t="str">
        <f t="shared" si="143"/>
        <v>BEAVER CREEK_Coho</v>
      </c>
      <c r="BG514" s="50" t="str">
        <f>IFERROR(VLOOKUP(BF514,'[1]WCVI Esc'!$C$5:$W$514,18,FALSE),"-")</f>
        <v>-</v>
      </c>
      <c r="BH514" s="50" t="str">
        <f t="shared" si="130"/>
        <v>-</v>
      </c>
      <c r="BI514" s="50" t="str">
        <f>IFERROR(VLOOKUP(BF514,'[1]WCVI Esc'!$C$5:$W$514,19,FALSE),"-")</f>
        <v>-</v>
      </c>
      <c r="BJ514" s="50" t="str">
        <f t="shared" si="131"/>
        <v>-</v>
      </c>
    </row>
    <row r="515" spans="1:62" hidden="1" x14ac:dyDescent="0.2">
      <c r="A515" s="28">
        <v>4</v>
      </c>
      <c r="B515" s="28">
        <v>3</v>
      </c>
      <c r="C515" s="11">
        <v>23</v>
      </c>
      <c r="D515" s="13" t="s">
        <v>320</v>
      </c>
      <c r="E515" s="10" t="s">
        <v>167</v>
      </c>
      <c r="F515" s="10" t="s">
        <v>208</v>
      </c>
      <c r="G515" s="10"/>
      <c r="H515" s="152"/>
      <c r="I515" s="164"/>
      <c r="J515" s="62"/>
      <c r="K515" s="62"/>
      <c r="L515" s="177"/>
      <c r="M515" s="171"/>
      <c r="N515" s="62"/>
      <c r="O515" s="62"/>
      <c r="P515" s="62"/>
      <c r="Q515" s="64"/>
      <c r="R515" s="164"/>
      <c r="S515" s="62"/>
      <c r="T515" s="62"/>
      <c r="U515" s="62"/>
      <c r="V515" s="177"/>
      <c r="W515" s="171"/>
      <c r="X515" s="62"/>
      <c r="Y515" s="45"/>
      <c r="Z515" s="45"/>
      <c r="AA515" s="100"/>
      <c r="AB515" s="100"/>
      <c r="AC515" s="100"/>
      <c r="AD515" s="100"/>
      <c r="AE515" s="100"/>
      <c r="AF515" s="100"/>
      <c r="AG515" s="18">
        <v>23</v>
      </c>
      <c r="AH515" s="69" t="s">
        <v>320</v>
      </c>
      <c r="AI515" s="243" t="s">
        <v>167</v>
      </c>
      <c r="AJ515" s="243" t="s">
        <v>419</v>
      </c>
      <c r="AK515" s="246"/>
      <c r="AL515" s="43" t="str">
        <f t="shared" si="132"/>
        <v>-</v>
      </c>
      <c r="AM515" s="43">
        <f t="shared" si="136"/>
        <v>0</v>
      </c>
      <c r="AN515" s="193">
        <f t="shared" si="136"/>
        <v>0</v>
      </c>
      <c r="AO515" s="270" t="str">
        <f t="shared" si="137"/>
        <v>-</v>
      </c>
      <c r="AP515" s="266"/>
      <c r="AQ515" s="26" t="str">
        <f t="shared" ref="AQ515:AQ578" si="144">CONCATENATE(E515,F515)</f>
        <v>BEAVER CREEKPink</v>
      </c>
      <c r="AR515" s="26">
        <f t="shared" si="138"/>
        <v>0</v>
      </c>
      <c r="AS515" s="33">
        <f t="shared" si="139"/>
        <v>0</v>
      </c>
      <c r="AX515" s="47" t="str">
        <f t="shared" si="140"/>
        <v>BEAVER CREEKPink</v>
      </c>
      <c r="AY515" s="49">
        <f t="shared" si="141"/>
        <v>0</v>
      </c>
      <c r="AZ515" s="49">
        <f t="shared" si="142"/>
        <v>0</v>
      </c>
      <c r="BA515" s="31">
        <v>0</v>
      </c>
      <c r="BB515" s="188">
        <f t="shared" si="129"/>
        <v>0</v>
      </c>
      <c r="BC515" s="188" t="str">
        <f t="shared" si="133"/>
        <v xml:space="preserve"> </v>
      </c>
      <c r="BD515" s="188" t="str">
        <f t="shared" si="134"/>
        <v xml:space="preserve"> </v>
      </c>
      <c r="BE515" s="188" t="str">
        <f t="shared" si="135"/>
        <v xml:space="preserve"> </v>
      </c>
      <c r="BF515" s="50" t="str">
        <f t="shared" si="143"/>
        <v>BEAVER CREEK_Pink</v>
      </c>
      <c r="BG515" s="50" t="str">
        <f>IFERROR(VLOOKUP(BF515,'[1]WCVI Esc'!$C$5:$W$514,18,FALSE),"-")</f>
        <v>-</v>
      </c>
      <c r="BH515" s="50" t="str">
        <f t="shared" si="130"/>
        <v>-</v>
      </c>
      <c r="BI515" s="50" t="str">
        <f>IFERROR(VLOOKUP(BF515,'[1]WCVI Esc'!$C$5:$W$514,19,FALSE),"-")</f>
        <v>-</v>
      </c>
      <c r="BJ515" s="50" t="str">
        <f t="shared" si="131"/>
        <v>-</v>
      </c>
    </row>
    <row r="516" spans="1:62" hidden="1" x14ac:dyDescent="0.2">
      <c r="A516" s="28">
        <v>4</v>
      </c>
      <c r="B516" s="28">
        <v>4</v>
      </c>
      <c r="C516" s="11">
        <v>23</v>
      </c>
      <c r="D516" s="13" t="s">
        <v>320</v>
      </c>
      <c r="E516" s="10" t="s">
        <v>167</v>
      </c>
      <c r="F516" s="10" t="s">
        <v>209</v>
      </c>
      <c r="G516" s="10"/>
      <c r="H516" s="152"/>
      <c r="I516" s="164"/>
      <c r="J516" s="62"/>
      <c r="K516" s="62"/>
      <c r="L516" s="177"/>
      <c r="M516" s="171"/>
      <c r="N516" s="62"/>
      <c r="O516" s="62"/>
      <c r="P516" s="62"/>
      <c r="Q516" s="64"/>
      <c r="R516" s="164"/>
      <c r="S516" s="62"/>
      <c r="T516" s="62"/>
      <c r="U516" s="62"/>
      <c r="V516" s="177"/>
      <c r="W516" s="171"/>
      <c r="X516" s="62"/>
      <c r="Y516" s="45"/>
      <c r="Z516" s="45"/>
      <c r="AA516" s="100"/>
      <c r="AB516" s="100"/>
      <c r="AC516" s="100"/>
      <c r="AD516" s="100"/>
      <c r="AE516" s="100"/>
      <c r="AF516" s="100"/>
      <c r="AG516" s="18">
        <v>23</v>
      </c>
      <c r="AH516" s="69" t="s">
        <v>320</v>
      </c>
      <c r="AI516" s="243" t="s">
        <v>167</v>
      </c>
      <c r="AJ516" s="243" t="s">
        <v>419</v>
      </c>
      <c r="AK516" s="246"/>
      <c r="AL516" s="43" t="str">
        <f t="shared" si="132"/>
        <v>-</v>
      </c>
      <c r="AM516" s="43">
        <f t="shared" si="136"/>
        <v>0</v>
      </c>
      <c r="AN516" s="193">
        <f t="shared" si="136"/>
        <v>0</v>
      </c>
      <c r="AO516" s="270" t="str">
        <f t="shared" si="137"/>
        <v>-</v>
      </c>
      <c r="AP516" s="266"/>
      <c r="AQ516" s="26" t="str">
        <f t="shared" si="144"/>
        <v>BEAVER CREEKChum</v>
      </c>
      <c r="AR516" s="26">
        <f t="shared" si="138"/>
        <v>0</v>
      </c>
      <c r="AS516" s="33">
        <f t="shared" si="139"/>
        <v>0</v>
      </c>
      <c r="AX516" s="47" t="str">
        <f t="shared" si="140"/>
        <v>BEAVER CREEKChum</v>
      </c>
      <c r="AY516" s="49">
        <f t="shared" si="141"/>
        <v>0</v>
      </c>
      <c r="AZ516" s="49">
        <f t="shared" si="142"/>
        <v>0</v>
      </c>
      <c r="BA516" s="31">
        <v>1990</v>
      </c>
      <c r="BB516" s="188">
        <f t="shared" si="129"/>
        <v>0</v>
      </c>
      <c r="BC516" s="188" t="str">
        <f t="shared" si="133"/>
        <v xml:space="preserve"> </v>
      </c>
      <c r="BD516" s="188" t="str">
        <f t="shared" si="134"/>
        <v xml:space="preserve"> </v>
      </c>
      <c r="BE516" s="188" t="str">
        <f t="shared" si="135"/>
        <v xml:space="preserve"> </v>
      </c>
      <c r="BF516" s="50" t="str">
        <f t="shared" si="143"/>
        <v>BEAVER CREEK_Chum</v>
      </c>
      <c r="BG516" s="50" t="str">
        <f>IFERROR(VLOOKUP(BF516,'[1]WCVI Esc'!$C$5:$W$514,18,FALSE),"-")</f>
        <v>-</v>
      </c>
      <c r="BH516" s="50" t="str">
        <f t="shared" si="130"/>
        <v>-</v>
      </c>
      <c r="BI516" s="50" t="str">
        <f>IFERROR(VLOOKUP(BF516,'[1]WCVI Esc'!$C$5:$W$514,19,FALSE),"-")</f>
        <v>-</v>
      </c>
      <c r="BJ516" s="50" t="str">
        <f t="shared" si="131"/>
        <v>-</v>
      </c>
    </row>
    <row r="517" spans="1:62" hidden="1" x14ac:dyDescent="0.2">
      <c r="A517" s="28">
        <v>4</v>
      </c>
      <c r="B517" s="28">
        <v>5</v>
      </c>
      <c r="C517" s="11">
        <v>23</v>
      </c>
      <c r="D517" s="13" t="s">
        <v>320</v>
      </c>
      <c r="E517" s="10" t="s">
        <v>167</v>
      </c>
      <c r="F517" s="10" t="s">
        <v>210</v>
      </c>
      <c r="G517" s="10"/>
      <c r="H517" s="152"/>
      <c r="I517" s="164"/>
      <c r="J517" s="62"/>
      <c r="K517" s="62"/>
      <c r="L517" s="177"/>
      <c r="M517" s="171"/>
      <c r="N517" s="62"/>
      <c r="O517" s="62"/>
      <c r="P517" s="62"/>
      <c r="Q517" s="64"/>
      <c r="R517" s="164"/>
      <c r="S517" s="62"/>
      <c r="T517" s="62"/>
      <c r="U517" s="62"/>
      <c r="V517" s="177"/>
      <c r="W517" s="171"/>
      <c r="X517" s="62"/>
      <c r="Y517" s="45"/>
      <c r="Z517" s="45"/>
      <c r="AA517" s="100"/>
      <c r="AB517" s="100"/>
      <c r="AC517" s="100"/>
      <c r="AD517" s="100"/>
      <c r="AE517" s="100"/>
      <c r="AF517" s="100"/>
      <c r="AG517" s="18">
        <v>23</v>
      </c>
      <c r="AH517" s="69" t="s">
        <v>320</v>
      </c>
      <c r="AI517" s="243" t="s">
        <v>167</v>
      </c>
      <c r="AJ517" s="243" t="s">
        <v>419</v>
      </c>
      <c r="AK517" s="246"/>
      <c r="AL517" s="43" t="str">
        <f t="shared" si="132"/>
        <v>-</v>
      </c>
      <c r="AM517" s="43">
        <f t="shared" si="136"/>
        <v>0</v>
      </c>
      <c r="AN517" s="193">
        <f t="shared" si="136"/>
        <v>0</v>
      </c>
      <c r="AO517" s="270" t="str">
        <f t="shared" si="137"/>
        <v>-</v>
      </c>
      <c r="AP517" s="266"/>
      <c r="AQ517" s="26" t="str">
        <f t="shared" si="144"/>
        <v>BEAVER CREEKChinook</v>
      </c>
      <c r="AR517" s="26">
        <f t="shared" si="138"/>
        <v>0</v>
      </c>
      <c r="AS517" s="33">
        <f t="shared" si="139"/>
        <v>0</v>
      </c>
      <c r="AX517" s="47" t="str">
        <f t="shared" si="140"/>
        <v>BEAVER CREEKChinook</v>
      </c>
      <c r="AY517" s="49">
        <f t="shared" si="141"/>
        <v>0</v>
      </c>
      <c r="AZ517" s="49">
        <f t="shared" si="142"/>
        <v>0</v>
      </c>
      <c r="BA517" s="31">
        <v>0</v>
      </c>
      <c r="BB517" s="188">
        <f t="shared" si="129"/>
        <v>0</v>
      </c>
      <c r="BC517" s="188" t="str">
        <f t="shared" si="133"/>
        <v xml:space="preserve"> </v>
      </c>
      <c r="BD517" s="188" t="str">
        <f t="shared" si="134"/>
        <v xml:space="preserve"> </v>
      </c>
      <c r="BE517" s="188" t="str">
        <f t="shared" si="135"/>
        <v xml:space="preserve"> </v>
      </c>
      <c r="BF517" s="50" t="str">
        <f t="shared" si="143"/>
        <v>BEAVER CREEK_Chinook</v>
      </c>
      <c r="BG517" s="50" t="str">
        <f>IFERROR(VLOOKUP(BF517,'[1]WCVI Esc'!$C$5:$W$514,18,FALSE),"-")</f>
        <v>-</v>
      </c>
      <c r="BH517" s="50" t="str">
        <f t="shared" si="130"/>
        <v>-</v>
      </c>
      <c r="BI517" s="50" t="str">
        <f>IFERROR(VLOOKUP(BF517,'[1]WCVI Esc'!$C$5:$W$514,19,FALSE),"-")</f>
        <v>-</v>
      </c>
      <c r="BJ517" s="50" t="str">
        <f t="shared" si="131"/>
        <v>-</v>
      </c>
    </row>
    <row r="518" spans="1:62" hidden="1" x14ac:dyDescent="0.2">
      <c r="A518" s="28">
        <v>4</v>
      </c>
      <c r="B518" s="28">
        <v>6</v>
      </c>
      <c r="C518" s="11">
        <v>23</v>
      </c>
      <c r="D518" s="13" t="s">
        <v>320</v>
      </c>
      <c r="E518" s="10" t="s">
        <v>167</v>
      </c>
      <c r="F518" s="10" t="s">
        <v>211</v>
      </c>
      <c r="G518" s="10"/>
      <c r="H518" s="152"/>
      <c r="I518" s="164"/>
      <c r="J518" s="62"/>
      <c r="K518" s="62"/>
      <c r="L518" s="177"/>
      <c r="M518" s="171"/>
      <c r="N518" s="62"/>
      <c r="O518" s="62"/>
      <c r="P518" s="62"/>
      <c r="Q518" s="64"/>
      <c r="R518" s="164"/>
      <c r="S518" s="62"/>
      <c r="T518" s="62"/>
      <c r="U518" s="62"/>
      <c r="V518" s="177"/>
      <c r="W518" s="171"/>
      <c r="X518" s="62"/>
      <c r="Y518" s="45"/>
      <c r="Z518" s="45"/>
      <c r="AA518" s="100"/>
      <c r="AB518" s="100"/>
      <c r="AC518" s="100"/>
      <c r="AD518" s="100"/>
      <c r="AE518" s="100"/>
      <c r="AF518" s="100"/>
      <c r="AG518" s="18">
        <v>23</v>
      </c>
      <c r="AH518" s="69" t="s">
        <v>320</v>
      </c>
      <c r="AI518" s="243" t="s">
        <v>167</v>
      </c>
      <c r="AJ518" s="243" t="s">
        <v>419</v>
      </c>
      <c r="AK518" s="246"/>
      <c r="AL518" s="43" t="str">
        <f t="shared" si="132"/>
        <v>-</v>
      </c>
      <c r="AM518" s="43">
        <f t="shared" si="136"/>
        <v>0</v>
      </c>
      <c r="AN518" s="193">
        <f t="shared" si="136"/>
        <v>0</v>
      </c>
      <c r="AO518" s="270" t="str">
        <f t="shared" si="137"/>
        <v>-</v>
      </c>
      <c r="AP518" s="266"/>
      <c r="AQ518" s="26" t="str">
        <f t="shared" si="144"/>
        <v>BEAVER CREEKSteelhead</v>
      </c>
      <c r="AR518" s="26">
        <f t="shared" si="138"/>
        <v>0</v>
      </c>
      <c r="AS518" s="33">
        <f t="shared" si="139"/>
        <v>0</v>
      </c>
      <c r="AX518" s="47" t="str">
        <f t="shared" si="140"/>
        <v>BEAVER CREEKSteelhead</v>
      </c>
      <c r="AY518" s="49">
        <f t="shared" si="141"/>
        <v>0</v>
      </c>
      <c r="AZ518" s="49">
        <f t="shared" si="142"/>
        <v>0</v>
      </c>
      <c r="BA518" s="31">
        <v>0</v>
      </c>
      <c r="BB518" s="188">
        <f t="shared" si="129"/>
        <v>0</v>
      </c>
      <c r="BC518" s="188" t="str">
        <f t="shared" si="133"/>
        <v xml:space="preserve"> </v>
      </c>
      <c r="BD518" s="188" t="str">
        <f t="shared" si="134"/>
        <v xml:space="preserve"> </v>
      </c>
      <c r="BE518" s="188" t="str">
        <f t="shared" si="135"/>
        <v xml:space="preserve"> </v>
      </c>
      <c r="BF518" s="50" t="str">
        <f t="shared" si="143"/>
        <v>BEAVER CREEK_Steelhead</v>
      </c>
      <c r="BG518" s="50" t="str">
        <f>IFERROR(VLOOKUP(BF518,'[1]WCVI Esc'!$C$5:$W$514,18,FALSE),"-")</f>
        <v>-</v>
      </c>
      <c r="BH518" s="50" t="str">
        <f t="shared" si="130"/>
        <v>-</v>
      </c>
      <c r="BI518" s="50" t="str">
        <f>IFERROR(VLOOKUP(BF518,'[1]WCVI Esc'!$C$5:$W$514,19,FALSE),"-")</f>
        <v>-</v>
      </c>
      <c r="BJ518" s="50" t="str">
        <f t="shared" si="131"/>
        <v>-</v>
      </c>
    </row>
    <row r="519" spans="1:62" hidden="1" x14ac:dyDescent="0.2">
      <c r="A519" s="28">
        <v>4</v>
      </c>
      <c r="B519" s="28">
        <v>1</v>
      </c>
      <c r="C519" s="11">
        <v>23</v>
      </c>
      <c r="D519" s="13" t="s">
        <v>295</v>
      </c>
      <c r="E519" s="10" t="s">
        <v>168</v>
      </c>
      <c r="F519" s="10" t="s">
        <v>207</v>
      </c>
      <c r="G519" s="10"/>
      <c r="H519" s="152"/>
      <c r="I519" s="164"/>
      <c r="J519" s="62"/>
      <c r="K519" s="62"/>
      <c r="L519" s="177"/>
      <c r="M519" s="171"/>
      <c r="N519" s="62"/>
      <c r="O519" s="62"/>
      <c r="P519" s="62"/>
      <c r="Q519" s="64"/>
      <c r="R519" s="169"/>
      <c r="S519" s="62"/>
      <c r="T519" s="62"/>
      <c r="U519" s="62"/>
      <c r="V519" s="177"/>
      <c r="W519" s="171"/>
      <c r="X519" s="62"/>
      <c r="Y519" s="45"/>
      <c r="Z519" s="45"/>
      <c r="AA519" s="100"/>
      <c r="AB519" s="100"/>
      <c r="AC519" s="100"/>
      <c r="AD519" s="100"/>
      <c r="AE519" s="100"/>
      <c r="AF519" s="100"/>
      <c r="AG519" s="18">
        <v>23</v>
      </c>
      <c r="AH519" s="69" t="s">
        <v>295</v>
      </c>
      <c r="AI519" s="243" t="s">
        <v>168</v>
      </c>
      <c r="AJ519" s="243" t="s">
        <v>419</v>
      </c>
      <c r="AK519" s="246"/>
      <c r="AL519" s="43" t="str">
        <f t="shared" si="132"/>
        <v>-</v>
      </c>
      <c r="AM519" s="43">
        <f t="shared" si="136"/>
        <v>0</v>
      </c>
      <c r="AN519" s="193">
        <f t="shared" si="136"/>
        <v>0</v>
      </c>
      <c r="AO519" s="270" t="str">
        <f t="shared" si="137"/>
        <v>-</v>
      </c>
      <c r="AP519" s="266"/>
      <c r="AQ519" s="26" t="str">
        <f t="shared" si="144"/>
        <v>CAMPSITE CREEKSockeye</v>
      </c>
      <c r="AR519" s="26">
        <f t="shared" si="138"/>
        <v>0</v>
      </c>
      <c r="AS519" s="33">
        <f t="shared" si="139"/>
        <v>0</v>
      </c>
      <c r="AX519" s="47" t="str">
        <f t="shared" si="140"/>
        <v>CAMPSITE CREEKSockeye</v>
      </c>
      <c r="AY519" s="49">
        <f t="shared" si="141"/>
        <v>0</v>
      </c>
      <c r="AZ519" s="49">
        <f t="shared" si="142"/>
        <v>0</v>
      </c>
      <c r="BA519" s="31">
        <v>0</v>
      </c>
      <c r="BB519" s="188">
        <f t="shared" si="129"/>
        <v>0</v>
      </c>
      <c r="BC519" s="188" t="str">
        <f t="shared" si="133"/>
        <v xml:space="preserve"> </v>
      </c>
      <c r="BD519" s="188" t="str">
        <f t="shared" si="134"/>
        <v xml:space="preserve"> </v>
      </c>
      <c r="BE519" s="188" t="str">
        <f t="shared" si="135"/>
        <v xml:space="preserve"> </v>
      </c>
      <c r="BF519" s="50" t="str">
        <f t="shared" si="143"/>
        <v>CAMPSITE CREEK_Sockeye</v>
      </c>
      <c r="BG519" s="50" t="str">
        <f>IFERROR(VLOOKUP(BF519,'[1]WCVI Esc'!$C$5:$W$514,18,FALSE),"-")</f>
        <v>-</v>
      </c>
      <c r="BH519" s="50" t="str">
        <f t="shared" si="130"/>
        <v>-</v>
      </c>
      <c r="BI519" s="50" t="str">
        <f>IFERROR(VLOOKUP(BF519,'[1]WCVI Esc'!$C$5:$W$514,19,FALSE),"-")</f>
        <v>-</v>
      </c>
      <c r="BJ519" s="50" t="str">
        <f t="shared" si="131"/>
        <v>-</v>
      </c>
    </row>
    <row r="520" spans="1:62" hidden="1" x14ac:dyDescent="0.2">
      <c r="A520" s="28">
        <v>4</v>
      </c>
      <c r="B520" s="28">
        <v>2</v>
      </c>
      <c r="C520" s="11">
        <v>23</v>
      </c>
      <c r="D520" s="13" t="s">
        <v>295</v>
      </c>
      <c r="E520" s="10" t="s">
        <v>168</v>
      </c>
      <c r="F520" s="10" t="s">
        <v>219</v>
      </c>
      <c r="G520" s="10"/>
      <c r="H520" s="152"/>
      <c r="I520" s="164"/>
      <c r="J520" s="62"/>
      <c r="K520" s="62"/>
      <c r="L520" s="177"/>
      <c r="M520" s="171"/>
      <c r="N520" s="62"/>
      <c r="O520" s="62"/>
      <c r="P520" s="62"/>
      <c r="Q520" s="64"/>
      <c r="R520" s="169"/>
      <c r="S520" s="62"/>
      <c r="T520" s="62"/>
      <c r="U520" s="62"/>
      <c r="V520" s="177"/>
      <c r="W520" s="171"/>
      <c r="X520" s="62"/>
      <c r="Y520" s="45"/>
      <c r="Z520" s="45"/>
      <c r="AA520" s="100"/>
      <c r="AB520" s="100"/>
      <c r="AC520" s="100"/>
      <c r="AD520" s="100"/>
      <c r="AE520" s="100"/>
      <c r="AF520" s="100"/>
      <c r="AG520" s="18">
        <v>23</v>
      </c>
      <c r="AH520" s="69" t="s">
        <v>295</v>
      </c>
      <c r="AI520" s="243" t="s">
        <v>168</v>
      </c>
      <c r="AJ520" s="243" t="s">
        <v>419</v>
      </c>
      <c r="AK520" s="246"/>
      <c r="AL520" s="43" t="str">
        <f t="shared" si="132"/>
        <v>-</v>
      </c>
      <c r="AM520" s="43">
        <f t="shared" si="136"/>
        <v>0</v>
      </c>
      <c r="AN520" s="193">
        <f t="shared" si="136"/>
        <v>0</v>
      </c>
      <c r="AO520" s="270" t="str">
        <f t="shared" si="137"/>
        <v>-</v>
      </c>
      <c r="AP520" s="266"/>
      <c r="AQ520" s="26" t="str">
        <f t="shared" si="144"/>
        <v>CAMPSITE CREEKCoho</v>
      </c>
      <c r="AR520" s="26">
        <f t="shared" si="138"/>
        <v>0</v>
      </c>
      <c r="AS520" s="33">
        <f t="shared" si="139"/>
        <v>0</v>
      </c>
      <c r="AX520" s="47" t="str">
        <f t="shared" si="140"/>
        <v>CAMPSITE CREEKCoho</v>
      </c>
      <c r="AY520" s="49">
        <f t="shared" si="141"/>
        <v>0</v>
      </c>
      <c r="AZ520" s="49">
        <f t="shared" si="142"/>
        <v>0</v>
      </c>
      <c r="BA520" s="31">
        <v>2013</v>
      </c>
      <c r="BB520" s="188">
        <f t="shared" si="129"/>
        <v>0</v>
      </c>
      <c r="BC520" s="188" t="str">
        <f t="shared" si="133"/>
        <v xml:space="preserve"> </v>
      </c>
      <c r="BD520" s="188" t="str">
        <f t="shared" si="134"/>
        <v xml:space="preserve"> </v>
      </c>
      <c r="BE520" s="188" t="str">
        <f t="shared" si="135"/>
        <v xml:space="preserve"> </v>
      </c>
      <c r="BF520" s="50" t="str">
        <f t="shared" si="143"/>
        <v>CAMPSITE CREEK_Coho</v>
      </c>
      <c r="BG520" s="50" t="str">
        <f>IFERROR(VLOOKUP(BF520,'[1]WCVI Esc'!$C$5:$W$514,18,FALSE),"-")</f>
        <v>-</v>
      </c>
      <c r="BH520" s="50" t="str">
        <f t="shared" si="130"/>
        <v>-</v>
      </c>
      <c r="BI520" s="50" t="str">
        <f>IFERROR(VLOOKUP(BF520,'[1]WCVI Esc'!$C$5:$W$514,19,FALSE),"-")</f>
        <v>-</v>
      </c>
      <c r="BJ520" s="50" t="str">
        <f t="shared" si="131"/>
        <v>-</v>
      </c>
    </row>
    <row r="521" spans="1:62" hidden="1" x14ac:dyDescent="0.2">
      <c r="A521" s="28">
        <v>4</v>
      </c>
      <c r="B521" s="28">
        <v>3</v>
      </c>
      <c r="C521" s="11">
        <v>23</v>
      </c>
      <c r="D521" s="13" t="s">
        <v>295</v>
      </c>
      <c r="E521" s="10" t="s">
        <v>168</v>
      </c>
      <c r="F521" s="10" t="s">
        <v>208</v>
      </c>
      <c r="G521" s="10"/>
      <c r="H521" s="152"/>
      <c r="I521" s="164"/>
      <c r="J521" s="62"/>
      <c r="K521" s="62"/>
      <c r="L521" s="177"/>
      <c r="M521" s="171"/>
      <c r="N521" s="62"/>
      <c r="O521" s="62"/>
      <c r="P521" s="62"/>
      <c r="Q521" s="64"/>
      <c r="R521" s="169"/>
      <c r="S521" s="62"/>
      <c r="T521" s="62"/>
      <c r="U521" s="62"/>
      <c r="V521" s="177"/>
      <c r="W521" s="171"/>
      <c r="X521" s="62"/>
      <c r="Y521" s="45"/>
      <c r="Z521" s="45"/>
      <c r="AA521" s="100"/>
      <c r="AB521" s="100"/>
      <c r="AC521" s="100"/>
      <c r="AD521" s="100"/>
      <c r="AE521" s="100"/>
      <c r="AF521" s="100"/>
      <c r="AG521" s="18">
        <v>23</v>
      </c>
      <c r="AH521" s="69" t="s">
        <v>295</v>
      </c>
      <c r="AI521" s="243" t="s">
        <v>168</v>
      </c>
      <c r="AJ521" s="243" t="s">
        <v>419</v>
      </c>
      <c r="AK521" s="246"/>
      <c r="AL521" s="43" t="str">
        <f t="shared" si="132"/>
        <v>-</v>
      </c>
      <c r="AM521" s="43">
        <f t="shared" si="136"/>
        <v>0</v>
      </c>
      <c r="AN521" s="193">
        <f t="shared" si="136"/>
        <v>0</v>
      </c>
      <c r="AO521" s="270" t="str">
        <f t="shared" si="137"/>
        <v>-</v>
      </c>
      <c r="AP521" s="266"/>
      <c r="AQ521" s="26" t="str">
        <f t="shared" si="144"/>
        <v>CAMPSITE CREEKPink</v>
      </c>
      <c r="AR521" s="26">
        <f t="shared" si="138"/>
        <v>0</v>
      </c>
      <c r="AS521" s="33">
        <f t="shared" si="139"/>
        <v>0</v>
      </c>
      <c r="AX521" s="47" t="str">
        <f t="shared" si="140"/>
        <v>CAMPSITE CREEKPink</v>
      </c>
      <c r="AY521" s="49">
        <f t="shared" si="141"/>
        <v>0</v>
      </c>
      <c r="AZ521" s="49">
        <f t="shared" si="142"/>
        <v>0</v>
      </c>
      <c r="BA521" s="31">
        <v>0</v>
      </c>
      <c r="BB521" s="188">
        <f t="shared" ref="BB521:BB584" si="145">AK521</f>
        <v>0</v>
      </c>
      <c r="BC521" s="188" t="str">
        <f t="shared" si="133"/>
        <v xml:space="preserve"> </v>
      </c>
      <c r="BD521" s="188" t="str">
        <f t="shared" si="134"/>
        <v xml:space="preserve"> </v>
      </c>
      <c r="BE521" s="188" t="str">
        <f t="shared" si="135"/>
        <v xml:space="preserve"> </v>
      </c>
      <c r="BF521" s="50" t="str">
        <f t="shared" si="143"/>
        <v>CAMPSITE CREEK_Pink</v>
      </c>
      <c r="BG521" s="50" t="str">
        <f>IFERROR(VLOOKUP(BF521,'[1]WCVI Esc'!$C$5:$W$514,18,FALSE),"-")</f>
        <v>-</v>
      </c>
      <c r="BH521" s="50" t="str">
        <f t="shared" ref="BH521:BH584" si="146">IFERROR(ROUND(BG521,-1),"-")</f>
        <v>-</v>
      </c>
      <c r="BI521" s="50" t="str">
        <f>IFERROR(VLOOKUP(BF521,'[1]WCVI Esc'!$C$5:$W$514,19,FALSE),"-")</f>
        <v>-</v>
      </c>
      <c r="BJ521" s="50" t="str">
        <f t="shared" ref="BJ521:BJ584" si="147">IFERROR(ROUND(BI521,-1),"-")</f>
        <v>-</v>
      </c>
    </row>
    <row r="522" spans="1:62" hidden="1" x14ac:dyDescent="0.2">
      <c r="A522" s="28">
        <v>4</v>
      </c>
      <c r="B522" s="28">
        <v>4</v>
      </c>
      <c r="C522" s="11">
        <v>23</v>
      </c>
      <c r="D522" s="13" t="s">
        <v>295</v>
      </c>
      <c r="E522" s="10" t="s">
        <v>168</v>
      </c>
      <c r="F522" s="10" t="s">
        <v>209</v>
      </c>
      <c r="G522" s="10"/>
      <c r="H522" s="152"/>
      <c r="I522" s="164"/>
      <c r="J522" s="62"/>
      <c r="K522" s="62"/>
      <c r="L522" s="177"/>
      <c r="M522" s="171"/>
      <c r="N522" s="62"/>
      <c r="O522" s="62"/>
      <c r="P522" s="62"/>
      <c r="Q522" s="64"/>
      <c r="R522" s="169"/>
      <c r="S522" s="62"/>
      <c r="T522" s="62"/>
      <c r="U522" s="62"/>
      <c r="V522" s="177"/>
      <c r="W522" s="171"/>
      <c r="X522" s="62"/>
      <c r="Y522" s="45"/>
      <c r="Z522" s="45"/>
      <c r="AA522" s="100" t="e">
        <f>Y522/AP522</f>
        <v>#VALUE!</v>
      </c>
      <c r="AB522" s="100" t="e">
        <f>AS522/AP522</f>
        <v>#VALUE!</v>
      </c>
      <c r="AC522" s="100"/>
      <c r="AD522" s="100"/>
      <c r="AE522" s="100"/>
      <c r="AF522" s="100"/>
      <c r="AG522" s="18">
        <v>23</v>
      </c>
      <c r="AH522" s="69" t="s">
        <v>295</v>
      </c>
      <c r="AI522" s="243" t="s">
        <v>168</v>
      </c>
      <c r="AJ522" s="243" t="s">
        <v>419</v>
      </c>
      <c r="AK522" s="246"/>
      <c r="AL522" s="43" t="str">
        <f t="shared" ref="AL522:AL585" si="148">IF(BE522=" ",IF(BD522=" ", IF(BC522=" ","-",BC522),BD522), BE522)</f>
        <v>-</v>
      </c>
      <c r="AM522" s="43">
        <f t="shared" si="136"/>
        <v>0</v>
      </c>
      <c r="AN522" s="193">
        <f t="shared" si="136"/>
        <v>0</v>
      </c>
      <c r="AO522" s="270" t="str">
        <f t="shared" si="137"/>
        <v>-</v>
      </c>
      <c r="AP522" s="265" t="str">
        <f>BJ522</f>
        <v>-</v>
      </c>
      <c r="AQ522" s="26" t="str">
        <f t="shared" si="144"/>
        <v>CAMPSITE CREEKChum</v>
      </c>
      <c r="AR522" s="26">
        <f t="shared" si="138"/>
        <v>0</v>
      </c>
      <c r="AS522" s="33">
        <f t="shared" si="139"/>
        <v>0</v>
      </c>
      <c r="AX522" s="47" t="str">
        <f t="shared" si="140"/>
        <v>CAMPSITE CREEKChum</v>
      </c>
      <c r="AY522" s="49">
        <f t="shared" si="141"/>
        <v>0</v>
      </c>
      <c r="AZ522" s="49">
        <f t="shared" si="142"/>
        <v>0</v>
      </c>
      <c r="BA522" s="31">
        <v>2013</v>
      </c>
      <c r="BB522" s="188">
        <f t="shared" si="145"/>
        <v>0</v>
      </c>
      <c r="BC522" s="188" t="str">
        <f t="shared" ref="BC522:BC585" si="149">IF(ISNUMBER(M522),M$8,IF(ISNUMBER(L522),L$8,IF(ISNUMBER(K522),K$8,IF(ISNUMBER(J522),J$8,IF(ISNUMBER(I522),I$8,IF(ISNUMBER(H522),H$8, IF(ISNUMBER(G522),G$8," ")))))))</f>
        <v xml:space="preserve"> </v>
      </c>
      <c r="BD522" s="188" t="str">
        <f t="shared" ref="BD522:BD585" si="150">IF(ISNUMBER(S522),S$8,IF(ISNUMBER(R522),R$8,IF(ISNUMBER(Q522),Q$8,IF(ISNUMBER(P522),P$8,IF(ISNUMBER(O522),O$8,IF(ISNUMBER(N522),N$8," "))))))</f>
        <v xml:space="preserve"> </v>
      </c>
      <c r="BE522" s="188" t="str">
        <f t="shared" ref="BE522:BE585" si="151">IF(ISNUMBER(X522),X$8,IF(ISNUMBER(W522),W$8,IF(ISNUMBER(V522),V$8,IF(ISNUMBER(U522),U$8,IF(ISNUMBER(T522),T$8," ")))))</f>
        <v xml:space="preserve"> </v>
      </c>
      <c r="BF522" s="50" t="str">
        <f t="shared" si="143"/>
        <v>CAMPSITE CREEK_Chum</v>
      </c>
      <c r="BG522" s="50" t="str">
        <f>IFERROR(VLOOKUP(BF522,'[1]WCVI Esc'!$C$5:$W$514,18,FALSE),"-")</f>
        <v>-</v>
      </c>
      <c r="BH522" s="50" t="str">
        <f t="shared" si="146"/>
        <v>-</v>
      </c>
      <c r="BI522" s="50" t="str">
        <f>IFERROR(VLOOKUP(BF522,'[1]WCVI Esc'!$C$5:$W$514,19,FALSE),"-")</f>
        <v>-</v>
      </c>
      <c r="BJ522" s="50" t="str">
        <f t="shared" si="147"/>
        <v>-</v>
      </c>
    </row>
    <row r="523" spans="1:62" hidden="1" x14ac:dyDescent="0.2">
      <c r="A523" s="28">
        <v>4</v>
      </c>
      <c r="B523" s="28">
        <v>5</v>
      </c>
      <c r="C523" s="11">
        <v>23</v>
      </c>
      <c r="D523" s="13" t="s">
        <v>295</v>
      </c>
      <c r="E523" s="10" t="s">
        <v>168</v>
      </c>
      <c r="F523" s="10" t="s">
        <v>210</v>
      </c>
      <c r="G523" s="10"/>
      <c r="H523" s="152"/>
      <c r="I523" s="164"/>
      <c r="J523" s="62"/>
      <c r="K523" s="62"/>
      <c r="L523" s="177"/>
      <c r="M523" s="171"/>
      <c r="N523" s="62"/>
      <c r="O523" s="62"/>
      <c r="P523" s="62"/>
      <c r="Q523" s="64"/>
      <c r="R523" s="169"/>
      <c r="S523" s="62"/>
      <c r="T523" s="62"/>
      <c r="U523" s="62"/>
      <c r="V523" s="177"/>
      <c r="W523" s="171"/>
      <c r="X523" s="62"/>
      <c r="Y523" s="45"/>
      <c r="Z523" s="45"/>
      <c r="AA523" s="100"/>
      <c r="AB523" s="100"/>
      <c r="AC523" s="100"/>
      <c r="AD523" s="100"/>
      <c r="AE523" s="100"/>
      <c r="AF523" s="100"/>
      <c r="AG523" s="18">
        <v>23</v>
      </c>
      <c r="AH523" s="69" t="s">
        <v>295</v>
      </c>
      <c r="AI523" s="243" t="s">
        <v>168</v>
      </c>
      <c r="AJ523" s="243" t="s">
        <v>419</v>
      </c>
      <c r="AK523" s="246"/>
      <c r="AL523" s="43" t="str">
        <f t="shared" si="148"/>
        <v>-</v>
      </c>
      <c r="AM523" s="43">
        <f t="shared" si="136"/>
        <v>0</v>
      </c>
      <c r="AN523" s="193">
        <f t="shared" si="136"/>
        <v>0</v>
      </c>
      <c r="AO523" s="270" t="str">
        <f t="shared" si="137"/>
        <v>-</v>
      </c>
      <c r="AP523" s="266"/>
      <c r="AQ523" s="26" t="str">
        <f t="shared" si="144"/>
        <v>CAMPSITE CREEKChinook</v>
      </c>
      <c r="AR523" s="26">
        <f t="shared" si="138"/>
        <v>0</v>
      </c>
      <c r="AS523" s="33">
        <f t="shared" si="139"/>
        <v>0</v>
      </c>
      <c r="AX523" s="47" t="str">
        <f t="shared" si="140"/>
        <v>CAMPSITE CREEKChinook</v>
      </c>
      <c r="AY523" s="49">
        <f t="shared" si="141"/>
        <v>0</v>
      </c>
      <c r="AZ523" s="49">
        <f t="shared" si="142"/>
        <v>0</v>
      </c>
      <c r="BA523" s="31">
        <v>0</v>
      </c>
      <c r="BB523" s="188">
        <f t="shared" si="145"/>
        <v>0</v>
      </c>
      <c r="BC523" s="188" t="str">
        <f t="shared" si="149"/>
        <v xml:space="preserve"> </v>
      </c>
      <c r="BD523" s="188" t="str">
        <f t="shared" si="150"/>
        <v xml:space="preserve"> </v>
      </c>
      <c r="BE523" s="188" t="str">
        <f t="shared" si="151"/>
        <v xml:space="preserve"> </v>
      </c>
      <c r="BF523" s="50" t="str">
        <f t="shared" si="143"/>
        <v>CAMPSITE CREEK_Chinook</v>
      </c>
      <c r="BG523" s="50" t="str">
        <f>IFERROR(VLOOKUP(BF523,'[1]WCVI Esc'!$C$5:$W$514,18,FALSE),"-")</f>
        <v>-</v>
      </c>
      <c r="BH523" s="50" t="str">
        <f t="shared" si="146"/>
        <v>-</v>
      </c>
      <c r="BI523" s="50" t="str">
        <f>IFERROR(VLOOKUP(BF523,'[1]WCVI Esc'!$C$5:$W$514,19,FALSE),"-")</f>
        <v>-</v>
      </c>
      <c r="BJ523" s="50" t="str">
        <f t="shared" si="147"/>
        <v>-</v>
      </c>
    </row>
    <row r="524" spans="1:62" hidden="1" x14ac:dyDescent="0.2">
      <c r="A524" s="28">
        <v>4</v>
      </c>
      <c r="B524" s="28">
        <v>6</v>
      </c>
      <c r="C524" s="11">
        <v>23</v>
      </c>
      <c r="D524" s="13" t="s">
        <v>295</v>
      </c>
      <c r="E524" s="10" t="s">
        <v>168</v>
      </c>
      <c r="F524" s="10" t="s">
        <v>211</v>
      </c>
      <c r="G524" s="10"/>
      <c r="H524" s="152"/>
      <c r="I524" s="164"/>
      <c r="J524" s="62"/>
      <c r="K524" s="62"/>
      <c r="L524" s="177"/>
      <c r="M524" s="171"/>
      <c r="N524" s="62"/>
      <c r="O524" s="62"/>
      <c r="P524" s="62"/>
      <c r="Q524" s="64"/>
      <c r="R524" s="169"/>
      <c r="S524" s="62"/>
      <c r="T524" s="62"/>
      <c r="U524" s="62"/>
      <c r="V524" s="177"/>
      <c r="W524" s="171"/>
      <c r="X524" s="62"/>
      <c r="Y524" s="45"/>
      <c r="Z524" s="45"/>
      <c r="AA524" s="100"/>
      <c r="AB524" s="100"/>
      <c r="AC524" s="100"/>
      <c r="AD524" s="100"/>
      <c r="AE524" s="100"/>
      <c r="AF524" s="100"/>
      <c r="AG524" s="18">
        <v>23</v>
      </c>
      <c r="AH524" s="69" t="s">
        <v>295</v>
      </c>
      <c r="AI524" s="243" t="s">
        <v>168</v>
      </c>
      <c r="AJ524" s="243" t="s">
        <v>419</v>
      </c>
      <c r="AK524" s="246"/>
      <c r="AL524" s="43" t="str">
        <f t="shared" si="148"/>
        <v>-</v>
      </c>
      <c r="AM524" s="43">
        <f t="shared" si="136"/>
        <v>0</v>
      </c>
      <c r="AN524" s="193">
        <f t="shared" si="136"/>
        <v>0</v>
      </c>
      <c r="AO524" s="270" t="str">
        <f t="shared" si="137"/>
        <v>-</v>
      </c>
      <c r="AP524" s="266"/>
      <c r="AQ524" s="26" t="str">
        <f t="shared" si="144"/>
        <v>CAMPSITE CREEKSteelhead</v>
      </c>
      <c r="AR524" s="26">
        <f t="shared" si="138"/>
        <v>0</v>
      </c>
      <c r="AS524" s="33">
        <f t="shared" si="139"/>
        <v>0</v>
      </c>
      <c r="AX524" s="47" t="str">
        <f t="shared" si="140"/>
        <v>CAMPSITE CREEKSteelhead</v>
      </c>
      <c r="AY524" s="49">
        <f t="shared" si="141"/>
        <v>0</v>
      </c>
      <c r="AZ524" s="49">
        <f t="shared" si="142"/>
        <v>0</v>
      </c>
      <c r="BA524" s="31">
        <v>0</v>
      </c>
      <c r="BB524" s="188">
        <f t="shared" si="145"/>
        <v>0</v>
      </c>
      <c r="BC524" s="188" t="str">
        <f t="shared" si="149"/>
        <v xml:space="preserve"> </v>
      </c>
      <c r="BD524" s="188" t="str">
        <f t="shared" si="150"/>
        <v xml:space="preserve"> </v>
      </c>
      <c r="BE524" s="188" t="str">
        <f t="shared" si="151"/>
        <v xml:space="preserve"> </v>
      </c>
      <c r="BF524" s="50" t="str">
        <f t="shared" si="143"/>
        <v>CAMPSITE CREEK_Steelhead</v>
      </c>
      <c r="BG524" s="50" t="str">
        <f>IFERROR(VLOOKUP(BF524,'[1]WCVI Esc'!$C$5:$W$514,18,FALSE),"-")</f>
        <v>-</v>
      </c>
      <c r="BH524" s="50" t="str">
        <f t="shared" si="146"/>
        <v>-</v>
      </c>
      <c r="BI524" s="50" t="str">
        <f>IFERROR(VLOOKUP(BF524,'[1]WCVI Esc'!$C$5:$W$514,19,FALSE),"-")</f>
        <v>-</v>
      </c>
      <c r="BJ524" s="50" t="str">
        <f t="shared" si="147"/>
        <v>-</v>
      </c>
    </row>
    <row r="525" spans="1:62" hidden="1" x14ac:dyDescent="0.2">
      <c r="A525" s="28">
        <v>4</v>
      </c>
      <c r="B525" s="28">
        <v>1</v>
      </c>
      <c r="C525" s="11">
        <v>23</v>
      </c>
      <c r="D525" s="13" t="s">
        <v>295</v>
      </c>
      <c r="E525" s="10" t="s">
        <v>169</v>
      </c>
      <c r="F525" s="10" t="s">
        <v>207</v>
      </c>
      <c r="G525" s="10"/>
      <c r="H525" s="152"/>
      <c r="I525" s="164"/>
      <c r="J525" s="62"/>
      <c r="K525" s="62"/>
      <c r="L525" s="177"/>
      <c r="M525" s="171"/>
      <c r="N525" s="62"/>
      <c r="O525" s="62"/>
      <c r="P525" s="62"/>
      <c r="Q525" s="64"/>
      <c r="R525" s="164"/>
      <c r="S525" s="62"/>
      <c r="T525" s="62"/>
      <c r="U525" s="62"/>
      <c r="V525" s="177"/>
      <c r="W525" s="171"/>
      <c r="X525" s="62"/>
      <c r="Y525" s="45"/>
      <c r="Z525" s="45"/>
      <c r="AA525" s="100"/>
      <c r="AB525" s="100"/>
      <c r="AC525" s="100"/>
      <c r="AD525" s="100"/>
      <c r="AE525" s="100"/>
      <c r="AF525" s="100"/>
      <c r="AG525" s="18">
        <v>23</v>
      </c>
      <c r="AH525" s="69" t="s">
        <v>295</v>
      </c>
      <c r="AI525" s="243" t="s">
        <v>169</v>
      </c>
      <c r="AJ525" s="243" t="s">
        <v>419</v>
      </c>
      <c r="AK525" s="246"/>
      <c r="AL525" s="43" t="str">
        <f t="shared" si="148"/>
        <v>-</v>
      </c>
      <c r="AM525" s="43">
        <f t="shared" si="136"/>
        <v>0</v>
      </c>
      <c r="AN525" s="193">
        <f t="shared" si="136"/>
        <v>0</v>
      </c>
      <c r="AO525" s="270" t="str">
        <f t="shared" si="137"/>
        <v>-</v>
      </c>
      <c r="AP525" s="266"/>
      <c r="AQ525" s="26" t="str">
        <f t="shared" si="144"/>
        <v>CANOE PASS CREEKSockeye</v>
      </c>
      <c r="AR525" s="26">
        <f t="shared" si="138"/>
        <v>0</v>
      </c>
      <c r="AS525" s="33">
        <f t="shared" si="139"/>
        <v>0</v>
      </c>
      <c r="AX525" s="47" t="str">
        <f t="shared" si="140"/>
        <v>CANOE PASS CREEKSockeye</v>
      </c>
      <c r="AY525" s="49">
        <f t="shared" si="141"/>
        <v>0</v>
      </c>
      <c r="AZ525" s="49">
        <f t="shared" si="142"/>
        <v>0</v>
      </c>
      <c r="BA525" s="31">
        <v>0</v>
      </c>
      <c r="BB525" s="188">
        <f t="shared" si="145"/>
        <v>0</v>
      </c>
      <c r="BC525" s="188" t="str">
        <f t="shared" si="149"/>
        <v xml:space="preserve"> </v>
      </c>
      <c r="BD525" s="188" t="str">
        <f t="shared" si="150"/>
        <v xml:space="preserve"> </v>
      </c>
      <c r="BE525" s="188" t="str">
        <f t="shared" si="151"/>
        <v xml:space="preserve"> </v>
      </c>
      <c r="BF525" s="50" t="str">
        <f t="shared" si="143"/>
        <v>CANOE PASS CREEK_Sockeye</v>
      </c>
      <c r="BG525" s="50" t="str">
        <f>IFERROR(VLOOKUP(BF525,'[1]WCVI Esc'!$C$5:$W$514,18,FALSE),"-")</f>
        <v>-</v>
      </c>
      <c r="BH525" s="50" t="str">
        <f t="shared" si="146"/>
        <v>-</v>
      </c>
      <c r="BI525" s="50" t="str">
        <f>IFERROR(VLOOKUP(BF525,'[1]WCVI Esc'!$C$5:$W$514,19,FALSE),"-")</f>
        <v>-</v>
      </c>
      <c r="BJ525" s="50" t="str">
        <f t="shared" si="147"/>
        <v>-</v>
      </c>
    </row>
    <row r="526" spans="1:62" hidden="1" x14ac:dyDescent="0.2">
      <c r="A526" s="28">
        <v>4</v>
      </c>
      <c r="B526" s="28">
        <v>2</v>
      </c>
      <c r="C526" s="11">
        <v>23</v>
      </c>
      <c r="D526" s="13" t="s">
        <v>295</v>
      </c>
      <c r="E526" s="10" t="s">
        <v>169</v>
      </c>
      <c r="F526" s="10" t="s">
        <v>219</v>
      </c>
      <c r="G526" s="10"/>
      <c r="H526" s="152"/>
      <c r="I526" s="164"/>
      <c r="J526" s="62"/>
      <c r="K526" s="62"/>
      <c r="L526" s="177"/>
      <c r="M526" s="171"/>
      <c r="N526" s="62"/>
      <c r="O526" s="62"/>
      <c r="P526" s="62"/>
      <c r="Q526" s="64"/>
      <c r="R526" s="164"/>
      <c r="S526" s="62"/>
      <c r="T526" s="62"/>
      <c r="U526" s="62"/>
      <c r="V526" s="177"/>
      <c r="W526" s="171"/>
      <c r="X526" s="62"/>
      <c r="Y526" s="45"/>
      <c r="Z526" s="45"/>
      <c r="AA526" s="100"/>
      <c r="AB526" s="100"/>
      <c r="AC526" s="100"/>
      <c r="AD526" s="100"/>
      <c r="AE526" s="100"/>
      <c r="AF526" s="100"/>
      <c r="AG526" s="18">
        <v>23</v>
      </c>
      <c r="AH526" s="69" t="s">
        <v>295</v>
      </c>
      <c r="AI526" s="243" t="s">
        <v>169</v>
      </c>
      <c r="AJ526" s="243" t="s">
        <v>419</v>
      </c>
      <c r="AK526" s="246"/>
      <c r="AL526" s="43" t="str">
        <f t="shared" si="148"/>
        <v>-</v>
      </c>
      <c r="AM526" s="43">
        <f t="shared" si="136"/>
        <v>0</v>
      </c>
      <c r="AN526" s="193">
        <f t="shared" si="136"/>
        <v>0</v>
      </c>
      <c r="AO526" s="270" t="str">
        <f t="shared" si="137"/>
        <v>-</v>
      </c>
      <c r="AP526" s="266"/>
      <c r="AQ526" s="26" t="str">
        <f t="shared" si="144"/>
        <v>CANOE PASS CREEKCoho</v>
      </c>
      <c r="AR526" s="26">
        <f t="shared" si="138"/>
        <v>0</v>
      </c>
      <c r="AS526" s="33">
        <f t="shared" si="139"/>
        <v>0</v>
      </c>
      <c r="AX526" s="47" t="str">
        <f t="shared" si="140"/>
        <v>CANOE PASS CREEKCoho</v>
      </c>
      <c r="AY526" s="49">
        <f t="shared" si="141"/>
        <v>0</v>
      </c>
      <c r="AZ526" s="49">
        <f t="shared" si="142"/>
        <v>0</v>
      </c>
      <c r="BA526" s="31">
        <v>2000</v>
      </c>
      <c r="BB526" s="188">
        <f t="shared" si="145"/>
        <v>0</v>
      </c>
      <c r="BC526" s="188" t="str">
        <f t="shared" si="149"/>
        <v xml:space="preserve"> </v>
      </c>
      <c r="BD526" s="188" t="str">
        <f t="shared" si="150"/>
        <v xml:space="preserve"> </v>
      </c>
      <c r="BE526" s="188" t="str">
        <f t="shared" si="151"/>
        <v xml:space="preserve"> </v>
      </c>
      <c r="BF526" s="50" t="str">
        <f t="shared" si="143"/>
        <v>CANOE PASS CREEK_Coho</v>
      </c>
      <c r="BG526" s="50" t="str">
        <f>IFERROR(VLOOKUP(BF526,'[1]WCVI Esc'!$C$5:$W$514,18,FALSE),"-")</f>
        <v>-</v>
      </c>
      <c r="BH526" s="50" t="str">
        <f t="shared" si="146"/>
        <v>-</v>
      </c>
      <c r="BI526" s="50" t="str">
        <f>IFERROR(VLOOKUP(BF526,'[1]WCVI Esc'!$C$5:$W$514,19,FALSE),"-")</f>
        <v>-</v>
      </c>
      <c r="BJ526" s="50" t="str">
        <f t="shared" si="147"/>
        <v>-</v>
      </c>
    </row>
    <row r="527" spans="1:62" hidden="1" x14ac:dyDescent="0.2">
      <c r="A527" s="28">
        <v>4</v>
      </c>
      <c r="B527" s="28">
        <v>3</v>
      </c>
      <c r="C527" s="11">
        <v>23</v>
      </c>
      <c r="D527" s="13" t="s">
        <v>295</v>
      </c>
      <c r="E527" s="10" t="s">
        <v>169</v>
      </c>
      <c r="F527" s="10" t="s">
        <v>208</v>
      </c>
      <c r="G527" s="10"/>
      <c r="H527" s="152"/>
      <c r="I527" s="164"/>
      <c r="J527" s="62"/>
      <c r="K527" s="62"/>
      <c r="L527" s="177"/>
      <c r="M527" s="171"/>
      <c r="N527" s="62"/>
      <c r="O527" s="62"/>
      <c r="P527" s="62"/>
      <c r="Q527" s="64"/>
      <c r="R527" s="164"/>
      <c r="S527" s="62"/>
      <c r="T527" s="62"/>
      <c r="U527" s="62"/>
      <c r="V527" s="177"/>
      <c r="W527" s="171"/>
      <c r="X527" s="62"/>
      <c r="Y527" s="45"/>
      <c r="Z527" s="45"/>
      <c r="AA527" s="100"/>
      <c r="AB527" s="100"/>
      <c r="AC527" s="100"/>
      <c r="AD527" s="100"/>
      <c r="AE527" s="100"/>
      <c r="AF527" s="100"/>
      <c r="AG527" s="18">
        <v>23</v>
      </c>
      <c r="AH527" s="69" t="s">
        <v>295</v>
      </c>
      <c r="AI527" s="243" t="s">
        <v>169</v>
      </c>
      <c r="AJ527" s="243" t="s">
        <v>419</v>
      </c>
      <c r="AK527" s="246"/>
      <c r="AL527" s="43" t="str">
        <f t="shared" si="148"/>
        <v>-</v>
      </c>
      <c r="AM527" s="43">
        <f t="shared" si="136"/>
        <v>0</v>
      </c>
      <c r="AN527" s="193">
        <f t="shared" si="136"/>
        <v>0</v>
      </c>
      <c r="AO527" s="270" t="str">
        <f t="shared" si="137"/>
        <v>-</v>
      </c>
      <c r="AP527" s="266"/>
      <c r="AQ527" s="26" t="str">
        <f t="shared" si="144"/>
        <v>CANOE PASS CREEKPink</v>
      </c>
      <c r="AR527" s="26">
        <f t="shared" si="138"/>
        <v>0</v>
      </c>
      <c r="AS527" s="33">
        <f t="shared" si="139"/>
        <v>0</v>
      </c>
      <c r="AX527" s="47" t="str">
        <f t="shared" si="140"/>
        <v>CANOE PASS CREEKPink</v>
      </c>
      <c r="AY527" s="49">
        <f t="shared" si="141"/>
        <v>0</v>
      </c>
      <c r="AZ527" s="49">
        <f t="shared" si="142"/>
        <v>0</v>
      </c>
      <c r="BA527" s="31">
        <v>0</v>
      </c>
      <c r="BB527" s="188">
        <f t="shared" si="145"/>
        <v>0</v>
      </c>
      <c r="BC527" s="188" t="str">
        <f t="shared" si="149"/>
        <v xml:space="preserve"> </v>
      </c>
      <c r="BD527" s="188" t="str">
        <f t="shared" si="150"/>
        <v xml:space="preserve"> </v>
      </c>
      <c r="BE527" s="188" t="str">
        <f t="shared" si="151"/>
        <v xml:space="preserve"> </v>
      </c>
      <c r="BF527" s="50" t="str">
        <f t="shared" si="143"/>
        <v>CANOE PASS CREEK_Pink</v>
      </c>
      <c r="BG527" s="50" t="str">
        <f>IFERROR(VLOOKUP(BF527,'[1]WCVI Esc'!$C$5:$W$514,18,FALSE),"-")</f>
        <v>-</v>
      </c>
      <c r="BH527" s="50" t="str">
        <f t="shared" si="146"/>
        <v>-</v>
      </c>
      <c r="BI527" s="50" t="str">
        <f>IFERROR(VLOOKUP(BF527,'[1]WCVI Esc'!$C$5:$W$514,19,FALSE),"-")</f>
        <v>-</v>
      </c>
      <c r="BJ527" s="50" t="str">
        <f t="shared" si="147"/>
        <v>-</v>
      </c>
    </row>
    <row r="528" spans="1:62" hidden="1" x14ac:dyDescent="0.2">
      <c r="A528" s="28">
        <v>4</v>
      </c>
      <c r="B528" s="28">
        <v>4</v>
      </c>
      <c r="C528" s="11">
        <v>23</v>
      </c>
      <c r="D528" s="13" t="s">
        <v>295</v>
      </c>
      <c r="E528" s="10" t="s">
        <v>169</v>
      </c>
      <c r="F528" s="10" t="s">
        <v>209</v>
      </c>
      <c r="G528" s="10"/>
      <c r="H528" s="152"/>
      <c r="I528" s="164"/>
      <c r="J528" s="62"/>
      <c r="K528" s="62"/>
      <c r="L528" s="177"/>
      <c r="M528" s="171"/>
      <c r="N528" s="62"/>
      <c r="O528" s="62"/>
      <c r="P528" s="62"/>
      <c r="Q528" s="64"/>
      <c r="R528" s="164"/>
      <c r="S528" s="62"/>
      <c r="T528" s="62"/>
      <c r="U528" s="62"/>
      <c r="V528" s="177"/>
      <c r="W528" s="171"/>
      <c r="X528" s="62"/>
      <c r="Y528" s="45"/>
      <c r="Z528" s="45"/>
      <c r="AA528" s="100"/>
      <c r="AB528" s="100"/>
      <c r="AC528" s="100"/>
      <c r="AD528" s="100"/>
      <c r="AE528" s="100"/>
      <c r="AF528" s="100"/>
      <c r="AG528" s="18">
        <v>23</v>
      </c>
      <c r="AH528" s="69" t="s">
        <v>295</v>
      </c>
      <c r="AI528" s="243" t="s">
        <v>169</v>
      </c>
      <c r="AJ528" s="243" t="s">
        <v>419</v>
      </c>
      <c r="AK528" s="246"/>
      <c r="AL528" s="43" t="str">
        <f t="shared" si="148"/>
        <v>-</v>
      </c>
      <c r="AM528" s="43">
        <f t="shared" si="136"/>
        <v>0</v>
      </c>
      <c r="AN528" s="193">
        <f t="shared" si="136"/>
        <v>0</v>
      </c>
      <c r="AO528" s="270" t="str">
        <f t="shared" si="137"/>
        <v>-</v>
      </c>
      <c r="AP528" s="266"/>
      <c r="AQ528" s="26" t="str">
        <f t="shared" si="144"/>
        <v>CANOE PASS CREEKChum</v>
      </c>
      <c r="AR528" s="26">
        <f t="shared" si="138"/>
        <v>0</v>
      </c>
      <c r="AS528" s="33">
        <f t="shared" si="139"/>
        <v>0</v>
      </c>
      <c r="AX528" s="47" t="str">
        <f t="shared" si="140"/>
        <v>CANOE PASS CREEKChum</v>
      </c>
      <c r="AY528" s="49">
        <f t="shared" si="141"/>
        <v>0</v>
      </c>
      <c r="AZ528" s="49">
        <f t="shared" si="142"/>
        <v>0</v>
      </c>
      <c r="BA528" s="31">
        <v>2000</v>
      </c>
      <c r="BB528" s="188">
        <f t="shared" si="145"/>
        <v>0</v>
      </c>
      <c r="BC528" s="188" t="str">
        <f t="shared" si="149"/>
        <v xml:space="preserve"> </v>
      </c>
      <c r="BD528" s="188" t="str">
        <f t="shared" si="150"/>
        <v xml:space="preserve"> </v>
      </c>
      <c r="BE528" s="188" t="str">
        <f t="shared" si="151"/>
        <v xml:space="preserve"> </v>
      </c>
      <c r="BF528" s="50" t="str">
        <f t="shared" si="143"/>
        <v>CANOE PASS CREEK_Chum</v>
      </c>
      <c r="BG528" s="50" t="str">
        <f>IFERROR(VLOOKUP(BF528,'[1]WCVI Esc'!$C$5:$W$514,18,FALSE),"-")</f>
        <v>-</v>
      </c>
      <c r="BH528" s="50" t="str">
        <f t="shared" si="146"/>
        <v>-</v>
      </c>
      <c r="BI528" s="50" t="str">
        <f>IFERROR(VLOOKUP(BF528,'[1]WCVI Esc'!$C$5:$W$514,19,FALSE),"-")</f>
        <v>-</v>
      </c>
      <c r="BJ528" s="50" t="str">
        <f t="shared" si="147"/>
        <v>-</v>
      </c>
    </row>
    <row r="529" spans="1:62" hidden="1" x14ac:dyDescent="0.2">
      <c r="A529" s="28">
        <v>4</v>
      </c>
      <c r="B529" s="28">
        <v>5</v>
      </c>
      <c r="C529" s="11">
        <v>23</v>
      </c>
      <c r="D529" s="13" t="s">
        <v>295</v>
      </c>
      <c r="E529" s="10" t="s">
        <v>169</v>
      </c>
      <c r="F529" s="10" t="s">
        <v>210</v>
      </c>
      <c r="G529" s="10"/>
      <c r="H529" s="152"/>
      <c r="I529" s="164"/>
      <c r="J529" s="62"/>
      <c r="K529" s="62"/>
      <c r="L529" s="177"/>
      <c r="M529" s="171"/>
      <c r="N529" s="62"/>
      <c r="O529" s="62"/>
      <c r="P529" s="62"/>
      <c r="Q529" s="64"/>
      <c r="R529" s="164"/>
      <c r="S529" s="62"/>
      <c r="T529" s="62"/>
      <c r="U529" s="62"/>
      <c r="V529" s="177"/>
      <c r="W529" s="171"/>
      <c r="X529" s="62"/>
      <c r="Y529" s="45"/>
      <c r="Z529" s="45"/>
      <c r="AA529" s="100"/>
      <c r="AB529" s="100"/>
      <c r="AC529" s="100"/>
      <c r="AD529" s="100"/>
      <c r="AE529" s="100"/>
      <c r="AF529" s="100"/>
      <c r="AG529" s="18">
        <v>23</v>
      </c>
      <c r="AH529" s="69" t="s">
        <v>295</v>
      </c>
      <c r="AI529" s="243" t="s">
        <v>169</v>
      </c>
      <c r="AJ529" s="243" t="s">
        <v>419</v>
      </c>
      <c r="AK529" s="246"/>
      <c r="AL529" s="43" t="str">
        <f t="shared" si="148"/>
        <v>-</v>
      </c>
      <c r="AM529" s="43">
        <f t="shared" si="136"/>
        <v>0</v>
      </c>
      <c r="AN529" s="193">
        <f t="shared" si="136"/>
        <v>0</v>
      </c>
      <c r="AO529" s="270" t="str">
        <f t="shared" si="137"/>
        <v>-</v>
      </c>
      <c r="AP529" s="266"/>
      <c r="AQ529" s="26" t="str">
        <f t="shared" si="144"/>
        <v>CANOE PASS CREEKChinook</v>
      </c>
      <c r="AR529" s="26">
        <f t="shared" si="138"/>
        <v>0</v>
      </c>
      <c r="AS529" s="33">
        <f t="shared" si="139"/>
        <v>0</v>
      </c>
      <c r="AX529" s="47" t="str">
        <f t="shared" si="140"/>
        <v>CANOE PASS CREEKChinook</v>
      </c>
      <c r="AY529" s="49">
        <f t="shared" si="141"/>
        <v>0</v>
      </c>
      <c r="AZ529" s="49">
        <f t="shared" si="142"/>
        <v>0</v>
      </c>
      <c r="BA529" s="31">
        <v>0</v>
      </c>
      <c r="BB529" s="188">
        <f t="shared" si="145"/>
        <v>0</v>
      </c>
      <c r="BC529" s="188" t="str">
        <f t="shared" si="149"/>
        <v xml:space="preserve"> </v>
      </c>
      <c r="BD529" s="188" t="str">
        <f t="shared" si="150"/>
        <v xml:space="preserve"> </v>
      </c>
      <c r="BE529" s="188" t="str">
        <f t="shared" si="151"/>
        <v xml:space="preserve"> </v>
      </c>
      <c r="BF529" s="50" t="str">
        <f t="shared" si="143"/>
        <v>CANOE PASS CREEK_Chinook</v>
      </c>
      <c r="BG529" s="50" t="str">
        <f>IFERROR(VLOOKUP(BF529,'[1]WCVI Esc'!$C$5:$W$514,18,FALSE),"-")</f>
        <v>-</v>
      </c>
      <c r="BH529" s="50" t="str">
        <f t="shared" si="146"/>
        <v>-</v>
      </c>
      <c r="BI529" s="50" t="str">
        <f>IFERROR(VLOOKUP(BF529,'[1]WCVI Esc'!$C$5:$W$514,19,FALSE),"-")</f>
        <v>-</v>
      </c>
      <c r="BJ529" s="50" t="str">
        <f t="shared" si="147"/>
        <v>-</v>
      </c>
    </row>
    <row r="530" spans="1:62" hidden="1" x14ac:dyDescent="0.2">
      <c r="A530" s="28">
        <v>4</v>
      </c>
      <c r="B530" s="28">
        <v>6</v>
      </c>
      <c r="C530" s="11">
        <v>23</v>
      </c>
      <c r="D530" s="13" t="s">
        <v>295</v>
      </c>
      <c r="E530" s="10" t="s">
        <v>169</v>
      </c>
      <c r="F530" s="10" t="s">
        <v>211</v>
      </c>
      <c r="G530" s="10"/>
      <c r="H530" s="152"/>
      <c r="I530" s="164"/>
      <c r="J530" s="62"/>
      <c r="K530" s="62"/>
      <c r="L530" s="177"/>
      <c r="M530" s="171"/>
      <c r="N530" s="62"/>
      <c r="O530" s="62"/>
      <c r="P530" s="62"/>
      <c r="Q530" s="64"/>
      <c r="R530" s="164"/>
      <c r="S530" s="62"/>
      <c r="T530" s="62"/>
      <c r="U530" s="62"/>
      <c r="V530" s="177"/>
      <c r="W530" s="171"/>
      <c r="X530" s="62"/>
      <c r="Y530" s="45"/>
      <c r="Z530" s="45"/>
      <c r="AA530" s="100"/>
      <c r="AB530" s="100"/>
      <c r="AC530" s="100"/>
      <c r="AD530" s="100"/>
      <c r="AE530" s="100"/>
      <c r="AF530" s="100"/>
      <c r="AG530" s="18">
        <v>23</v>
      </c>
      <c r="AH530" s="69" t="s">
        <v>295</v>
      </c>
      <c r="AI530" s="243" t="s">
        <v>169</v>
      </c>
      <c r="AJ530" s="243" t="s">
        <v>419</v>
      </c>
      <c r="AK530" s="246"/>
      <c r="AL530" s="43" t="str">
        <f t="shared" si="148"/>
        <v>-</v>
      </c>
      <c r="AM530" s="43">
        <f t="shared" si="136"/>
        <v>0</v>
      </c>
      <c r="AN530" s="193">
        <f t="shared" si="136"/>
        <v>0</v>
      </c>
      <c r="AO530" s="270" t="str">
        <f t="shared" si="137"/>
        <v>-</v>
      </c>
      <c r="AP530" s="266"/>
      <c r="AQ530" s="26" t="str">
        <f t="shared" si="144"/>
        <v>CANOE PASS CREEKSteelhead</v>
      </c>
      <c r="AR530" s="26">
        <f t="shared" si="138"/>
        <v>0</v>
      </c>
      <c r="AS530" s="33">
        <f t="shared" si="139"/>
        <v>0</v>
      </c>
      <c r="AX530" s="47" t="str">
        <f t="shared" si="140"/>
        <v>CANOE PASS CREEKSteelhead</v>
      </c>
      <c r="AY530" s="49">
        <f t="shared" si="141"/>
        <v>0</v>
      </c>
      <c r="AZ530" s="49">
        <f t="shared" si="142"/>
        <v>0</v>
      </c>
      <c r="BA530" s="31">
        <v>0</v>
      </c>
      <c r="BB530" s="188">
        <f t="shared" si="145"/>
        <v>0</v>
      </c>
      <c r="BC530" s="188" t="str">
        <f t="shared" si="149"/>
        <v xml:space="preserve"> </v>
      </c>
      <c r="BD530" s="188" t="str">
        <f t="shared" si="150"/>
        <v xml:space="preserve"> </v>
      </c>
      <c r="BE530" s="188" t="str">
        <f t="shared" si="151"/>
        <v xml:space="preserve"> </v>
      </c>
      <c r="BF530" s="50" t="str">
        <f t="shared" si="143"/>
        <v>CANOE PASS CREEK_Steelhead</v>
      </c>
      <c r="BG530" s="50" t="str">
        <f>IFERROR(VLOOKUP(BF530,'[1]WCVI Esc'!$C$5:$W$514,18,FALSE),"-")</f>
        <v>-</v>
      </c>
      <c r="BH530" s="50" t="str">
        <f t="shared" si="146"/>
        <v>-</v>
      </c>
      <c r="BI530" s="50" t="str">
        <f>IFERROR(VLOOKUP(BF530,'[1]WCVI Esc'!$C$5:$W$514,19,FALSE),"-")</f>
        <v>-</v>
      </c>
      <c r="BJ530" s="50" t="str">
        <f t="shared" si="147"/>
        <v>-</v>
      </c>
    </row>
    <row r="531" spans="1:62" hidden="1" x14ac:dyDescent="0.2">
      <c r="A531" s="28">
        <v>4</v>
      </c>
      <c r="B531" s="28">
        <v>1</v>
      </c>
      <c r="C531" s="11">
        <v>23</v>
      </c>
      <c r="D531" s="13" t="s">
        <v>294</v>
      </c>
      <c r="E531" s="10" t="s">
        <v>170</v>
      </c>
      <c r="F531" s="10" t="s">
        <v>207</v>
      </c>
      <c r="G531" s="10"/>
      <c r="H531" s="152"/>
      <c r="I531" s="164"/>
      <c r="J531" s="62"/>
      <c r="K531" s="62"/>
      <c r="L531" s="177"/>
      <c r="M531" s="171"/>
      <c r="N531" s="62"/>
      <c r="O531" s="62"/>
      <c r="P531" s="62"/>
      <c r="Q531" s="64"/>
      <c r="R531" s="164"/>
      <c r="S531" s="62"/>
      <c r="T531" s="62"/>
      <c r="U531" s="62"/>
      <c r="V531" s="177"/>
      <c r="W531" s="171"/>
      <c r="X531" s="62"/>
      <c r="Y531" s="45"/>
      <c r="Z531" s="45"/>
      <c r="AA531" s="100"/>
      <c r="AB531" s="100"/>
      <c r="AC531" s="100"/>
      <c r="AD531" s="100"/>
      <c r="AE531" s="100"/>
      <c r="AF531" s="100"/>
      <c r="AG531" s="18">
        <v>23</v>
      </c>
      <c r="AH531" s="69" t="s">
        <v>294</v>
      </c>
      <c r="AI531" s="243" t="s">
        <v>170</v>
      </c>
      <c r="AJ531" s="243" t="s">
        <v>419</v>
      </c>
      <c r="AK531" s="246"/>
      <c r="AL531" s="43" t="str">
        <f t="shared" si="148"/>
        <v>-</v>
      </c>
      <c r="AM531" s="43">
        <f t="shared" si="136"/>
        <v>0</v>
      </c>
      <c r="AN531" s="193">
        <f t="shared" si="136"/>
        <v>0</v>
      </c>
      <c r="AO531" s="270" t="str">
        <f t="shared" si="137"/>
        <v>-</v>
      </c>
      <c r="AP531" s="266"/>
      <c r="AQ531" s="26" t="str">
        <f t="shared" si="144"/>
        <v>CASS CREEKSockeye</v>
      </c>
      <c r="AR531" s="26">
        <f t="shared" si="138"/>
        <v>0</v>
      </c>
      <c r="AS531" s="33">
        <f t="shared" si="139"/>
        <v>0</v>
      </c>
      <c r="AU531" s="34"/>
      <c r="AX531" s="47" t="str">
        <f t="shared" si="140"/>
        <v>CASS CREEKSockeye</v>
      </c>
      <c r="AY531" s="49">
        <f t="shared" si="141"/>
        <v>0</v>
      </c>
      <c r="AZ531" s="49">
        <f t="shared" si="142"/>
        <v>0</v>
      </c>
      <c r="BA531" s="31">
        <v>0</v>
      </c>
      <c r="BB531" s="188">
        <f t="shared" si="145"/>
        <v>0</v>
      </c>
      <c r="BC531" s="188" t="str">
        <f t="shared" si="149"/>
        <v xml:space="preserve"> </v>
      </c>
      <c r="BD531" s="188" t="str">
        <f t="shared" si="150"/>
        <v xml:space="preserve"> </v>
      </c>
      <c r="BE531" s="188" t="str">
        <f t="shared" si="151"/>
        <v xml:space="preserve"> </v>
      </c>
      <c r="BF531" s="50" t="str">
        <f t="shared" si="143"/>
        <v>CASS CREEK_Sockeye</v>
      </c>
      <c r="BG531" s="50" t="str">
        <f>IFERROR(VLOOKUP(BF531,'[1]WCVI Esc'!$C$5:$W$514,18,FALSE),"-")</f>
        <v>-</v>
      </c>
      <c r="BH531" s="50" t="str">
        <f t="shared" si="146"/>
        <v>-</v>
      </c>
      <c r="BI531" s="50" t="str">
        <f>IFERROR(VLOOKUP(BF531,'[1]WCVI Esc'!$C$5:$W$514,19,FALSE),"-")</f>
        <v>-</v>
      </c>
      <c r="BJ531" s="50" t="str">
        <f t="shared" si="147"/>
        <v>-</v>
      </c>
    </row>
    <row r="532" spans="1:62" hidden="1" x14ac:dyDescent="0.2">
      <c r="A532" s="28">
        <v>4</v>
      </c>
      <c r="B532" s="28">
        <v>2</v>
      </c>
      <c r="C532" s="11">
        <v>23</v>
      </c>
      <c r="D532" s="13" t="s">
        <v>294</v>
      </c>
      <c r="E532" s="10" t="s">
        <v>170</v>
      </c>
      <c r="F532" s="10" t="s">
        <v>219</v>
      </c>
      <c r="G532" s="10"/>
      <c r="H532" s="152"/>
      <c r="I532" s="164"/>
      <c r="J532" s="62"/>
      <c r="K532" s="62"/>
      <c r="L532" s="177"/>
      <c r="M532" s="171"/>
      <c r="N532" s="62"/>
      <c r="O532" s="62"/>
      <c r="P532" s="62"/>
      <c r="Q532" s="64"/>
      <c r="R532" s="164"/>
      <c r="S532" s="62"/>
      <c r="T532" s="62"/>
      <c r="U532" s="62"/>
      <c r="V532" s="177"/>
      <c r="W532" s="171"/>
      <c r="X532" s="62"/>
      <c r="Y532" s="45"/>
      <c r="Z532" s="45"/>
      <c r="AA532" s="100"/>
      <c r="AB532" s="100"/>
      <c r="AC532" s="100"/>
      <c r="AD532" s="100"/>
      <c r="AE532" s="100"/>
      <c r="AF532" s="100"/>
      <c r="AG532" s="18">
        <v>23</v>
      </c>
      <c r="AH532" s="69" t="s">
        <v>294</v>
      </c>
      <c r="AI532" s="243" t="s">
        <v>170</v>
      </c>
      <c r="AJ532" s="243" t="s">
        <v>419</v>
      </c>
      <c r="AK532" s="246"/>
      <c r="AL532" s="43" t="str">
        <f t="shared" si="148"/>
        <v>-</v>
      </c>
      <c r="AM532" s="43">
        <f t="shared" si="136"/>
        <v>0</v>
      </c>
      <c r="AN532" s="193">
        <f t="shared" si="136"/>
        <v>0</v>
      </c>
      <c r="AO532" s="270" t="str">
        <f t="shared" si="137"/>
        <v>-</v>
      </c>
      <c r="AP532" s="266"/>
      <c r="AQ532" s="26" t="str">
        <f t="shared" si="144"/>
        <v>CASS CREEKCoho</v>
      </c>
      <c r="AR532" s="26">
        <f t="shared" si="138"/>
        <v>0</v>
      </c>
      <c r="AS532" s="33">
        <f t="shared" si="139"/>
        <v>0</v>
      </c>
      <c r="AU532" s="34"/>
      <c r="AX532" s="47" t="str">
        <f t="shared" si="140"/>
        <v>CASS CREEKCoho</v>
      </c>
      <c r="AY532" s="49">
        <f t="shared" si="141"/>
        <v>0</v>
      </c>
      <c r="AZ532" s="49">
        <f t="shared" si="142"/>
        <v>0</v>
      </c>
      <c r="BA532" s="31">
        <v>0</v>
      </c>
      <c r="BB532" s="188">
        <f t="shared" si="145"/>
        <v>0</v>
      </c>
      <c r="BC532" s="188" t="str">
        <f t="shared" si="149"/>
        <v xml:space="preserve"> </v>
      </c>
      <c r="BD532" s="188" t="str">
        <f t="shared" si="150"/>
        <v xml:space="preserve"> </v>
      </c>
      <c r="BE532" s="188" t="str">
        <f t="shared" si="151"/>
        <v xml:space="preserve"> </v>
      </c>
      <c r="BF532" s="50" t="str">
        <f t="shared" si="143"/>
        <v>CASS CREEK_Coho</v>
      </c>
      <c r="BG532" s="50" t="str">
        <f>IFERROR(VLOOKUP(BF532,'[1]WCVI Esc'!$C$5:$W$514,18,FALSE),"-")</f>
        <v>-</v>
      </c>
      <c r="BH532" s="50" t="str">
        <f t="shared" si="146"/>
        <v>-</v>
      </c>
      <c r="BI532" s="50" t="str">
        <f>IFERROR(VLOOKUP(BF532,'[1]WCVI Esc'!$C$5:$W$514,19,FALSE),"-")</f>
        <v>-</v>
      </c>
      <c r="BJ532" s="50" t="str">
        <f t="shared" si="147"/>
        <v>-</v>
      </c>
    </row>
    <row r="533" spans="1:62" hidden="1" x14ac:dyDescent="0.2">
      <c r="A533" s="28">
        <v>4</v>
      </c>
      <c r="B533" s="28">
        <v>3</v>
      </c>
      <c r="C533" s="11">
        <v>23</v>
      </c>
      <c r="D533" s="13" t="s">
        <v>294</v>
      </c>
      <c r="E533" s="10" t="s">
        <v>170</v>
      </c>
      <c r="F533" s="10" t="s">
        <v>208</v>
      </c>
      <c r="G533" s="10"/>
      <c r="H533" s="152"/>
      <c r="I533" s="164"/>
      <c r="J533" s="62"/>
      <c r="K533" s="62"/>
      <c r="L533" s="177"/>
      <c r="M533" s="171"/>
      <c r="N533" s="62"/>
      <c r="O533" s="62"/>
      <c r="P533" s="62"/>
      <c r="Q533" s="64"/>
      <c r="R533" s="164"/>
      <c r="S533" s="62"/>
      <c r="T533" s="62"/>
      <c r="U533" s="62"/>
      <c r="V533" s="177"/>
      <c r="W533" s="171"/>
      <c r="X533" s="62"/>
      <c r="Y533" s="45"/>
      <c r="Z533" s="45"/>
      <c r="AA533" s="100"/>
      <c r="AB533" s="100"/>
      <c r="AC533" s="100"/>
      <c r="AD533" s="100"/>
      <c r="AE533" s="100"/>
      <c r="AF533" s="100"/>
      <c r="AG533" s="18">
        <v>23</v>
      </c>
      <c r="AH533" s="69" t="s">
        <v>294</v>
      </c>
      <c r="AI533" s="243" t="s">
        <v>170</v>
      </c>
      <c r="AJ533" s="243" t="s">
        <v>419</v>
      </c>
      <c r="AK533" s="246"/>
      <c r="AL533" s="43" t="str">
        <f t="shared" si="148"/>
        <v>-</v>
      </c>
      <c r="AM533" s="43">
        <f t="shared" si="136"/>
        <v>0</v>
      </c>
      <c r="AN533" s="193">
        <f t="shared" si="136"/>
        <v>0</v>
      </c>
      <c r="AO533" s="270" t="str">
        <f t="shared" si="137"/>
        <v>-</v>
      </c>
      <c r="AP533" s="266"/>
      <c r="AQ533" s="26" t="str">
        <f t="shared" si="144"/>
        <v>CASS CREEKPink</v>
      </c>
      <c r="AR533" s="26">
        <f t="shared" si="138"/>
        <v>0</v>
      </c>
      <c r="AS533" s="33">
        <f t="shared" si="139"/>
        <v>0</v>
      </c>
      <c r="AU533" s="34"/>
      <c r="AX533" s="47" t="str">
        <f t="shared" si="140"/>
        <v>CASS CREEKPink</v>
      </c>
      <c r="AY533" s="49">
        <f t="shared" si="141"/>
        <v>0</v>
      </c>
      <c r="AZ533" s="49">
        <f t="shared" si="142"/>
        <v>0</v>
      </c>
      <c r="BA533" s="31">
        <v>0</v>
      </c>
      <c r="BB533" s="188">
        <f t="shared" si="145"/>
        <v>0</v>
      </c>
      <c r="BC533" s="188" t="str">
        <f t="shared" si="149"/>
        <v xml:space="preserve"> </v>
      </c>
      <c r="BD533" s="188" t="str">
        <f t="shared" si="150"/>
        <v xml:space="preserve"> </v>
      </c>
      <c r="BE533" s="188" t="str">
        <f t="shared" si="151"/>
        <v xml:space="preserve"> </v>
      </c>
      <c r="BF533" s="50" t="str">
        <f t="shared" si="143"/>
        <v>CASS CREEK_Pink</v>
      </c>
      <c r="BG533" s="50" t="str">
        <f>IFERROR(VLOOKUP(BF533,'[1]WCVI Esc'!$C$5:$W$514,18,FALSE),"-")</f>
        <v>-</v>
      </c>
      <c r="BH533" s="50" t="str">
        <f t="shared" si="146"/>
        <v>-</v>
      </c>
      <c r="BI533" s="50" t="str">
        <f>IFERROR(VLOOKUP(BF533,'[1]WCVI Esc'!$C$5:$W$514,19,FALSE),"-")</f>
        <v>-</v>
      </c>
      <c r="BJ533" s="50" t="str">
        <f t="shared" si="147"/>
        <v>-</v>
      </c>
    </row>
    <row r="534" spans="1:62" hidden="1" x14ac:dyDescent="0.2">
      <c r="A534" s="28">
        <v>4</v>
      </c>
      <c r="B534" s="28">
        <v>4</v>
      </c>
      <c r="C534" s="11">
        <v>23</v>
      </c>
      <c r="D534" s="13" t="s">
        <v>294</v>
      </c>
      <c r="E534" s="10" t="s">
        <v>170</v>
      </c>
      <c r="F534" s="10" t="s">
        <v>209</v>
      </c>
      <c r="G534" s="10"/>
      <c r="H534" s="152"/>
      <c r="I534" s="164"/>
      <c r="J534" s="62"/>
      <c r="K534" s="62"/>
      <c r="L534" s="177"/>
      <c r="M534" s="171"/>
      <c r="N534" s="62"/>
      <c r="O534" s="62"/>
      <c r="P534" s="62"/>
      <c r="Q534" s="64"/>
      <c r="R534" s="164"/>
      <c r="S534" s="62"/>
      <c r="T534" s="62"/>
      <c r="U534" s="62"/>
      <c r="V534" s="177"/>
      <c r="W534" s="171"/>
      <c r="X534" s="62"/>
      <c r="Y534" s="45"/>
      <c r="Z534" s="45"/>
      <c r="AA534" s="100"/>
      <c r="AB534" s="100"/>
      <c r="AC534" s="100"/>
      <c r="AD534" s="100"/>
      <c r="AE534" s="100"/>
      <c r="AF534" s="100"/>
      <c r="AG534" s="18">
        <v>23</v>
      </c>
      <c r="AH534" s="69" t="s">
        <v>294</v>
      </c>
      <c r="AI534" s="243" t="s">
        <v>170</v>
      </c>
      <c r="AJ534" s="243" t="s">
        <v>419</v>
      </c>
      <c r="AK534" s="246"/>
      <c r="AL534" s="43" t="str">
        <f t="shared" si="148"/>
        <v>-</v>
      </c>
      <c r="AM534" s="43">
        <f t="shared" si="136"/>
        <v>0</v>
      </c>
      <c r="AN534" s="193">
        <f t="shared" si="136"/>
        <v>0</v>
      </c>
      <c r="AO534" s="270" t="str">
        <f t="shared" si="137"/>
        <v>-</v>
      </c>
      <c r="AP534" s="266"/>
      <c r="AQ534" s="26" t="str">
        <f t="shared" si="144"/>
        <v>CASS CREEKChum</v>
      </c>
      <c r="AR534" s="26">
        <f t="shared" si="138"/>
        <v>0</v>
      </c>
      <c r="AS534" s="33">
        <f t="shared" si="139"/>
        <v>0</v>
      </c>
      <c r="AU534" s="34"/>
      <c r="AX534" s="47" t="str">
        <f t="shared" si="140"/>
        <v>CASS CREEKChum</v>
      </c>
      <c r="AY534" s="49">
        <f t="shared" si="141"/>
        <v>0</v>
      </c>
      <c r="AZ534" s="49">
        <f t="shared" si="142"/>
        <v>0</v>
      </c>
      <c r="BA534" s="31">
        <v>1990</v>
      </c>
      <c r="BB534" s="188">
        <f t="shared" si="145"/>
        <v>0</v>
      </c>
      <c r="BC534" s="188" t="str">
        <f t="shared" si="149"/>
        <v xml:space="preserve"> </v>
      </c>
      <c r="BD534" s="188" t="str">
        <f t="shared" si="150"/>
        <v xml:space="preserve"> </v>
      </c>
      <c r="BE534" s="188" t="str">
        <f t="shared" si="151"/>
        <v xml:space="preserve"> </v>
      </c>
      <c r="BF534" s="50" t="str">
        <f t="shared" si="143"/>
        <v>CASS CREEK_Chum</v>
      </c>
      <c r="BG534" s="50" t="str">
        <f>IFERROR(VLOOKUP(BF534,'[1]WCVI Esc'!$C$5:$W$514,18,FALSE),"-")</f>
        <v>-</v>
      </c>
      <c r="BH534" s="50" t="str">
        <f t="shared" si="146"/>
        <v>-</v>
      </c>
      <c r="BI534" s="50" t="str">
        <f>IFERROR(VLOOKUP(BF534,'[1]WCVI Esc'!$C$5:$W$514,19,FALSE),"-")</f>
        <v>-</v>
      </c>
      <c r="BJ534" s="50" t="str">
        <f t="shared" si="147"/>
        <v>-</v>
      </c>
    </row>
    <row r="535" spans="1:62" hidden="1" x14ac:dyDescent="0.2">
      <c r="A535" s="28">
        <v>4</v>
      </c>
      <c r="B535" s="28">
        <v>5</v>
      </c>
      <c r="C535" s="11">
        <v>23</v>
      </c>
      <c r="D535" s="13" t="s">
        <v>294</v>
      </c>
      <c r="E535" s="10" t="s">
        <v>170</v>
      </c>
      <c r="F535" s="10" t="s">
        <v>210</v>
      </c>
      <c r="G535" s="10"/>
      <c r="H535" s="152"/>
      <c r="I535" s="164"/>
      <c r="J535" s="62"/>
      <c r="K535" s="62"/>
      <c r="L535" s="177"/>
      <c r="M535" s="171"/>
      <c r="N535" s="62"/>
      <c r="O535" s="62"/>
      <c r="P535" s="62"/>
      <c r="Q535" s="64"/>
      <c r="R535" s="164"/>
      <c r="S535" s="62"/>
      <c r="T535" s="62"/>
      <c r="U535" s="62"/>
      <c r="V535" s="177"/>
      <c r="W535" s="171"/>
      <c r="X535" s="62"/>
      <c r="Y535" s="45"/>
      <c r="Z535" s="45"/>
      <c r="AA535" s="100"/>
      <c r="AB535" s="100"/>
      <c r="AC535" s="100"/>
      <c r="AD535" s="100"/>
      <c r="AE535" s="100"/>
      <c r="AF535" s="100"/>
      <c r="AG535" s="18">
        <v>23</v>
      </c>
      <c r="AH535" s="69" t="s">
        <v>294</v>
      </c>
      <c r="AI535" s="243" t="s">
        <v>170</v>
      </c>
      <c r="AJ535" s="243" t="s">
        <v>419</v>
      </c>
      <c r="AK535" s="246"/>
      <c r="AL535" s="43" t="str">
        <f t="shared" si="148"/>
        <v>-</v>
      </c>
      <c r="AM535" s="43">
        <f t="shared" si="136"/>
        <v>0</v>
      </c>
      <c r="AN535" s="193">
        <f t="shared" si="136"/>
        <v>0</v>
      </c>
      <c r="AO535" s="270" t="str">
        <f t="shared" si="137"/>
        <v>-</v>
      </c>
      <c r="AP535" s="266"/>
      <c r="AQ535" s="26" t="str">
        <f t="shared" si="144"/>
        <v>CASS CREEKChinook</v>
      </c>
      <c r="AR535" s="26">
        <f t="shared" si="138"/>
        <v>0</v>
      </c>
      <c r="AS535" s="33">
        <f t="shared" si="139"/>
        <v>0</v>
      </c>
      <c r="AU535" s="34"/>
      <c r="AX535" s="47" t="str">
        <f t="shared" si="140"/>
        <v>CASS CREEKChinook</v>
      </c>
      <c r="AY535" s="49">
        <f t="shared" si="141"/>
        <v>0</v>
      </c>
      <c r="AZ535" s="49">
        <f t="shared" si="142"/>
        <v>0</v>
      </c>
      <c r="BA535" s="31">
        <v>0</v>
      </c>
      <c r="BB535" s="188">
        <f t="shared" si="145"/>
        <v>0</v>
      </c>
      <c r="BC535" s="188" t="str">
        <f t="shared" si="149"/>
        <v xml:space="preserve"> </v>
      </c>
      <c r="BD535" s="188" t="str">
        <f t="shared" si="150"/>
        <v xml:space="preserve"> </v>
      </c>
      <c r="BE535" s="188" t="str">
        <f t="shared" si="151"/>
        <v xml:space="preserve"> </v>
      </c>
      <c r="BF535" s="50" t="str">
        <f t="shared" si="143"/>
        <v>CASS CREEK_Chinook</v>
      </c>
      <c r="BG535" s="50" t="str">
        <f>IFERROR(VLOOKUP(BF535,'[1]WCVI Esc'!$C$5:$W$514,18,FALSE),"-")</f>
        <v>-</v>
      </c>
      <c r="BH535" s="50" t="str">
        <f t="shared" si="146"/>
        <v>-</v>
      </c>
      <c r="BI535" s="50" t="str">
        <f>IFERROR(VLOOKUP(BF535,'[1]WCVI Esc'!$C$5:$W$514,19,FALSE),"-")</f>
        <v>-</v>
      </c>
      <c r="BJ535" s="50" t="str">
        <f t="shared" si="147"/>
        <v>-</v>
      </c>
    </row>
    <row r="536" spans="1:62" hidden="1" x14ac:dyDescent="0.2">
      <c r="A536" s="28">
        <v>4</v>
      </c>
      <c r="B536" s="28">
        <v>6</v>
      </c>
      <c r="C536" s="11">
        <v>23</v>
      </c>
      <c r="D536" s="13" t="s">
        <v>294</v>
      </c>
      <c r="E536" s="10" t="s">
        <v>170</v>
      </c>
      <c r="F536" s="10" t="s">
        <v>211</v>
      </c>
      <c r="G536" s="10"/>
      <c r="H536" s="152"/>
      <c r="I536" s="164"/>
      <c r="J536" s="62"/>
      <c r="K536" s="62"/>
      <c r="L536" s="177"/>
      <c r="M536" s="171"/>
      <c r="N536" s="62"/>
      <c r="O536" s="62"/>
      <c r="P536" s="62"/>
      <c r="Q536" s="64"/>
      <c r="R536" s="164"/>
      <c r="S536" s="62"/>
      <c r="T536" s="62"/>
      <c r="U536" s="62"/>
      <c r="V536" s="177"/>
      <c r="W536" s="171"/>
      <c r="X536" s="62"/>
      <c r="Y536" s="45"/>
      <c r="Z536" s="45"/>
      <c r="AA536" s="100"/>
      <c r="AB536" s="100"/>
      <c r="AC536" s="100"/>
      <c r="AD536" s="100"/>
      <c r="AE536" s="100"/>
      <c r="AF536" s="100"/>
      <c r="AG536" s="18">
        <v>23</v>
      </c>
      <c r="AH536" s="69" t="s">
        <v>294</v>
      </c>
      <c r="AI536" s="243" t="s">
        <v>170</v>
      </c>
      <c r="AJ536" s="243" t="s">
        <v>419</v>
      </c>
      <c r="AK536" s="246"/>
      <c r="AL536" s="43" t="str">
        <f t="shared" si="148"/>
        <v>-</v>
      </c>
      <c r="AM536" s="43">
        <f t="shared" si="136"/>
        <v>0</v>
      </c>
      <c r="AN536" s="193">
        <f t="shared" si="136"/>
        <v>0</v>
      </c>
      <c r="AO536" s="270" t="str">
        <f t="shared" si="137"/>
        <v>-</v>
      </c>
      <c r="AP536" s="266"/>
      <c r="AQ536" s="26" t="str">
        <f t="shared" si="144"/>
        <v>CASS CREEKSteelhead</v>
      </c>
      <c r="AR536" s="26">
        <f t="shared" si="138"/>
        <v>0</v>
      </c>
      <c r="AS536" s="33">
        <f t="shared" si="139"/>
        <v>0</v>
      </c>
      <c r="AU536" s="34"/>
      <c r="AX536" s="47" t="str">
        <f t="shared" si="140"/>
        <v>CASS CREEKSteelhead</v>
      </c>
      <c r="AY536" s="49">
        <f t="shared" si="141"/>
        <v>0</v>
      </c>
      <c r="AZ536" s="49">
        <f t="shared" si="142"/>
        <v>0</v>
      </c>
      <c r="BA536" s="31">
        <v>0</v>
      </c>
      <c r="BB536" s="188">
        <f t="shared" si="145"/>
        <v>0</v>
      </c>
      <c r="BC536" s="188" t="str">
        <f t="shared" si="149"/>
        <v xml:space="preserve"> </v>
      </c>
      <c r="BD536" s="188" t="str">
        <f t="shared" si="150"/>
        <v xml:space="preserve"> </v>
      </c>
      <c r="BE536" s="188" t="str">
        <f t="shared" si="151"/>
        <v xml:space="preserve"> </v>
      </c>
      <c r="BF536" s="50" t="str">
        <f t="shared" si="143"/>
        <v>CASS CREEK_Steelhead</v>
      </c>
      <c r="BG536" s="50" t="str">
        <f>IFERROR(VLOOKUP(BF536,'[1]WCVI Esc'!$C$5:$W$514,18,FALSE),"-")</f>
        <v>-</v>
      </c>
      <c r="BH536" s="50" t="str">
        <f t="shared" si="146"/>
        <v>-</v>
      </c>
      <c r="BI536" s="50" t="str">
        <f>IFERROR(VLOOKUP(BF536,'[1]WCVI Esc'!$C$5:$W$514,19,FALSE),"-")</f>
        <v>-</v>
      </c>
      <c r="BJ536" s="50" t="str">
        <f t="shared" si="147"/>
        <v>-</v>
      </c>
    </row>
    <row r="537" spans="1:62" hidden="1" x14ac:dyDescent="0.2">
      <c r="A537" s="28">
        <v>4</v>
      </c>
      <c r="B537" s="28">
        <v>1</v>
      </c>
      <c r="C537" s="11">
        <v>23</v>
      </c>
      <c r="D537" s="13" t="s">
        <v>295</v>
      </c>
      <c r="E537" s="10" t="s">
        <v>171</v>
      </c>
      <c r="F537" s="10" t="s">
        <v>207</v>
      </c>
      <c r="G537" s="10"/>
      <c r="H537" s="152"/>
      <c r="I537" s="164"/>
      <c r="J537" s="62"/>
      <c r="K537" s="62"/>
      <c r="L537" s="177"/>
      <c r="M537" s="171"/>
      <c r="N537" s="62"/>
      <c r="O537" s="62"/>
      <c r="P537" s="62"/>
      <c r="Q537" s="64"/>
      <c r="R537" s="164"/>
      <c r="S537" s="62"/>
      <c r="T537" s="62"/>
      <c r="U537" s="62"/>
      <c r="V537" s="177"/>
      <c r="W537" s="171"/>
      <c r="X537" s="62"/>
      <c r="Y537" s="45"/>
      <c r="Z537" s="45"/>
      <c r="AA537" s="100"/>
      <c r="AB537" s="100"/>
      <c r="AC537" s="100"/>
      <c r="AD537" s="100"/>
      <c r="AE537" s="100"/>
      <c r="AF537" s="100"/>
      <c r="AG537" s="18">
        <v>23</v>
      </c>
      <c r="AH537" s="69" t="s">
        <v>295</v>
      </c>
      <c r="AI537" s="243" t="s">
        <v>171</v>
      </c>
      <c r="AJ537" s="243" t="s">
        <v>419</v>
      </c>
      <c r="AK537" s="246"/>
      <c r="AL537" s="43" t="str">
        <f t="shared" si="148"/>
        <v>-</v>
      </c>
      <c r="AM537" s="43">
        <f t="shared" si="136"/>
        <v>0</v>
      </c>
      <c r="AN537" s="193">
        <f t="shared" si="136"/>
        <v>0</v>
      </c>
      <c r="AO537" s="270" t="str">
        <f t="shared" si="137"/>
        <v>-</v>
      </c>
      <c r="AP537" s="266"/>
      <c r="AQ537" s="26" t="str">
        <f t="shared" si="144"/>
        <v>CATARACT CREEKSockeye</v>
      </c>
      <c r="AR537" s="26">
        <f t="shared" si="138"/>
        <v>0</v>
      </c>
      <c r="AS537" s="33">
        <f t="shared" si="139"/>
        <v>0</v>
      </c>
      <c r="AU537" s="34"/>
      <c r="AX537" s="47" t="str">
        <f t="shared" si="140"/>
        <v>CATARACT CREEKSockeye</v>
      </c>
      <c r="AY537" s="49">
        <f t="shared" si="141"/>
        <v>0</v>
      </c>
      <c r="AZ537" s="49">
        <f t="shared" si="142"/>
        <v>0</v>
      </c>
      <c r="BA537" s="31">
        <v>0</v>
      </c>
      <c r="BB537" s="188">
        <f t="shared" si="145"/>
        <v>0</v>
      </c>
      <c r="BC537" s="188" t="str">
        <f t="shared" si="149"/>
        <v xml:space="preserve"> </v>
      </c>
      <c r="BD537" s="188" t="str">
        <f t="shared" si="150"/>
        <v xml:space="preserve"> </v>
      </c>
      <c r="BE537" s="188" t="str">
        <f t="shared" si="151"/>
        <v xml:space="preserve"> </v>
      </c>
      <c r="BF537" s="50" t="str">
        <f t="shared" si="143"/>
        <v>CATARACT CREEK_Sockeye</v>
      </c>
      <c r="BG537" s="50" t="str">
        <f>IFERROR(VLOOKUP(BF537,'[1]WCVI Esc'!$C$5:$W$514,18,FALSE),"-")</f>
        <v>-</v>
      </c>
      <c r="BH537" s="50" t="str">
        <f t="shared" si="146"/>
        <v>-</v>
      </c>
      <c r="BI537" s="50" t="str">
        <f>IFERROR(VLOOKUP(BF537,'[1]WCVI Esc'!$C$5:$W$514,19,FALSE),"-")</f>
        <v>-</v>
      </c>
      <c r="BJ537" s="50" t="str">
        <f t="shared" si="147"/>
        <v>-</v>
      </c>
    </row>
    <row r="538" spans="1:62" hidden="1" x14ac:dyDescent="0.2">
      <c r="A538" s="28">
        <v>4</v>
      </c>
      <c r="B538" s="28">
        <v>2</v>
      </c>
      <c r="C538" s="11">
        <v>23</v>
      </c>
      <c r="D538" s="13" t="s">
        <v>295</v>
      </c>
      <c r="E538" s="10" t="s">
        <v>171</v>
      </c>
      <c r="F538" s="10" t="s">
        <v>219</v>
      </c>
      <c r="G538" s="10"/>
      <c r="H538" s="152"/>
      <c r="I538" s="164"/>
      <c r="J538" s="62"/>
      <c r="K538" s="62"/>
      <c r="L538" s="177"/>
      <c r="M538" s="171"/>
      <c r="N538" s="62"/>
      <c r="O538" s="62"/>
      <c r="P538" s="62"/>
      <c r="Q538" s="64"/>
      <c r="R538" s="164"/>
      <c r="S538" s="62"/>
      <c r="T538" s="62"/>
      <c r="U538" s="62"/>
      <c r="V538" s="177"/>
      <c r="W538" s="171"/>
      <c r="X538" s="62"/>
      <c r="Y538" s="45"/>
      <c r="Z538" s="45"/>
      <c r="AA538" s="100"/>
      <c r="AB538" s="100"/>
      <c r="AC538" s="100"/>
      <c r="AD538" s="100"/>
      <c r="AE538" s="100"/>
      <c r="AF538" s="100"/>
      <c r="AG538" s="18">
        <v>23</v>
      </c>
      <c r="AH538" s="69" t="s">
        <v>295</v>
      </c>
      <c r="AI538" s="243" t="s">
        <v>171</v>
      </c>
      <c r="AJ538" s="243" t="s">
        <v>419</v>
      </c>
      <c r="AK538" s="246"/>
      <c r="AL538" s="43" t="str">
        <f t="shared" si="148"/>
        <v>-</v>
      </c>
      <c r="AM538" s="43">
        <f t="shared" si="136"/>
        <v>0</v>
      </c>
      <c r="AN538" s="193">
        <f t="shared" si="136"/>
        <v>0</v>
      </c>
      <c r="AO538" s="270" t="str">
        <f t="shared" si="137"/>
        <v>-</v>
      </c>
      <c r="AP538" s="266"/>
      <c r="AQ538" s="26" t="str">
        <f t="shared" si="144"/>
        <v>CATARACT CREEKCoho</v>
      </c>
      <c r="AR538" s="26">
        <f t="shared" si="138"/>
        <v>0</v>
      </c>
      <c r="AS538" s="33">
        <f t="shared" si="139"/>
        <v>0</v>
      </c>
      <c r="AU538" s="34"/>
      <c r="AX538" s="47" t="str">
        <f t="shared" si="140"/>
        <v>CATARACT CREEKCoho</v>
      </c>
      <c r="AY538" s="49">
        <f t="shared" si="141"/>
        <v>0</v>
      </c>
      <c r="AZ538" s="49">
        <f t="shared" si="142"/>
        <v>0</v>
      </c>
      <c r="BA538" s="31">
        <v>0</v>
      </c>
      <c r="BB538" s="188">
        <f t="shared" si="145"/>
        <v>0</v>
      </c>
      <c r="BC538" s="188" t="str">
        <f t="shared" si="149"/>
        <v xml:space="preserve"> </v>
      </c>
      <c r="BD538" s="188" t="str">
        <f t="shared" si="150"/>
        <v xml:space="preserve"> </v>
      </c>
      <c r="BE538" s="188" t="str">
        <f t="shared" si="151"/>
        <v xml:space="preserve"> </v>
      </c>
      <c r="BF538" s="50" t="str">
        <f t="shared" si="143"/>
        <v>CATARACT CREEK_Coho</v>
      </c>
      <c r="BG538" s="50" t="str">
        <f>IFERROR(VLOOKUP(BF538,'[1]WCVI Esc'!$C$5:$W$514,18,FALSE),"-")</f>
        <v>-</v>
      </c>
      <c r="BH538" s="50" t="str">
        <f t="shared" si="146"/>
        <v>-</v>
      </c>
      <c r="BI538" s="50" t="str">
        <f>IFERROR(VLOOKUP(BF538,'[1]WCVI Esc'!$C$5:$W$514,19,FALSE),"-")</f>
        <v>-</v>
      </c>
      <c r="BJ538" s="50" t="str">
        <f t="shared" si="147"/>
        <v>-</v>
      </c>
    </row>
    <row r="539" spans="1:62" hidden="1" x14ac:dyDescent="0.2">
      <c r="A539" s="28">
        <v>4</v>
      </c>
      <c r="B539" s="28">
        <v>3</v>
      </c>
      <c r="C539" s="11">
        <v>23</v>
      </c>
      <c r="D539" s="13" t="s">
        <v>295</v>
      </c>
      <c r="E539" s="10" t="s">
        <v>171</v>
      </c>
      <c r="F539" s="10" t="s">
        <v>208</v>
      </c>
      <c r="G539" s="10"/>
      <c r="H539" s="152"/>
      <c r="I539" s="164"/>
      <c r="J539" s="62"/>
      <c r="K539" s="62"/>
      <c r="L539" s="177"/>
      <c r="M539" s="171"/>
      <c r="N539" s="62"/>
      <c r="O539" s="62"/>
      <c r="P539" s="62"/>
      <c r="Q539" s="64"/>
      <c r="R539" s="164"/>
      <c r="S539" s="62"/>
      <c r="T539" s="62"/>
      <c r="U539" s="62"/>
      <c r="V539" s="177"/>
      <c r="W539" s="171"/>
      <c r="X539" s="62"/>
      <c r="Y539" s="45"/>
      <c r="Z539" s="45"/>
      <c r="AA539" s="100"/>
      <c r="AB539" s="100"/>
      <c r="AC539" s="100"/>
      <c r="AD539" s="100"/>
      <c r="AE539" s="100"/>
      <c r="AF539" s="100"/>
      <c r="AG539" s="18">
        <v>23</v>
      </c>
      <c r="AH539" s="69" t="s">
        <v>295</v>
      </c>
      <c r="AI539" s="243" t="s">
        <v>171</v>
      </c>
      <c r="AJ539" s="243" t="s">
        <v>419</v>
      </c>
      <c r="AK539" s="246"/>
      <c r="AL539" s="43" t="str">
        <f t="shared" si="148"/>
        <v>-</v>
      </c>
      <c r="AM539" s="43">
        <f t="shared" si="136"/>
        <v>0</v>
      </c>
      <c r="AN539" s="193">
        <f t="shared" si="136"/>
        <v>0</v>
      </c>
      <c r="AO539" s="270" t="str">
        <f t="shared" si="137"/>
        <v>-</v>
      </c>
      <c r="AP539" s="266"/>
      <c r="AQ539" s="26" t="str">
        <f t="shared" si="144"/>
        <v>CATARACT CREEKPink</v>
      </c>
      <c r="AR539" s="26">
        <f t="shared" si="138"/>
        <v>0</v>
      </c>
      <c r="AS539" s="33">
        <f t="shared" si="139"/>
        <v>0</v>
      </c>
      <c r="AU539" s="34"/>
      <c r="AX539" s="47" t="str">
        <f t="shared" si="140"/>
        <v>CATARACT CREEKPink</v>
      </c>
      <c r="AY539" s="49">
        <f t="shared" si="141"/>
        <v>0</v>
      </c>
      <c r="AZ539" s="49">
        <f t="shared" si="142"/>
        <v>0</v>
      </c>
      <c r="BA539" s="31">
        <v>0</v>
      </c>
      <c r="BB539" s="188">
        <f t="shared" si="145"/>
        <v>0</v>
      </c>
      <c r="BC539" s="188" t="str">
        <f t="shared" si="149"/>
        <v xml:space="preserve"> </v>
      </c>
      <c r="BD539" s="188" t="str">
        <f t="shared" si="150"/>
        <v xml:space="preserve"> </v>
      </c>
      <c r="BE539" s="188" t="str">
        <f t="shared" si="151"/>
        <v xml:space="preserve"> </v>
      </c>
      <c r="BF539" s="50" t="str">
        <f t="shared" si="143"/>
        <v>CATARACT CREEK_Pink</v>
      </c>
      <c r="BG539" s="50" t="str">
        <f>IFERROR(VLOOKUP(BF539,'[1]WCVI Esc'!$C$5:$W$514,18,FALSE),"-")</f>
        <v>-</v>
      </c>
      <c r="BH539" s="50" t="str">
        <f t="shared" si="146"/>
        <v>-</v>
      </c>
      <c r="BI539" s="50" t="str">
        <f>IFERROR(VLOOKUP(BF539,'[1]WCVI Esc'!$C$5:$W$514,19,FALSE),"-")</f>
        <v>-</v>
      </c>
      <c r="BJ539" s="50" t="str">
        <f t="shared" si="147"/>
        <v>-</v>
      </c>
    </row>
    <row r="540" spans="1:62" hidden="1" x14ac:dyDescent="0.2">
      <c r="A540" s="28">
        <v>4</v>
      </c>
      <c r="B540" s="28">
        <v>4</v>
      </c>
      <c r="C540" s="11">
        <v>23</v>
      </c>
      <c r="D540" s="13" t="s">
        <v>295</v>
      </c>
      <c r="E540" s="10" t="s">
        <v>171</v>
      </c>
      <c r="F540" s="10" t="s">
        <v>209</v>
      </c>
      <c r="G540" s="10"/>
      <c r="H540" s="152"/>
      <c r="I540" s="164"/>
      <c r="J540" s="62"/>
      <c r="K540" s="62"/>
      <c r="L540" s="177"/>
      <c r="M540" s="171"/>
      <c r="N540" s="62"/>
      <c r="O540" s="62"/>
      <c r="P540" s="62"/>
      <c r="Q540" s="64"/>
      <c r="R540" s="164"/>
      <c r="S540" s="62"/>
      <c r="T540" s="62"/>
      <c r="U540" s="62"/>
      <c r="V540" s="177"/>
      <c r="W540" s="171"/>
      <c r="X540" s="62"/>
      <c r="Y540" s="45"/>
      <c r="Z540" s="45"/>
      <c r="AA540" s="100"/>
      <c r="AB540" s="100"/>
      <c r="AC540" s="100"/>
      <c r="AD540" s="100"/>
      <c r="AE540" s="100"/>
      <c r="AF540" s="100"/>
      <c r="AG540" s="18">
        <v>23</v>
      </c>
      <c r="AH540" s="69" t="s">
        <v>295</v>
      </c>
      <c r="AI540" s="243" t="s">
        <v>171</v>
      </c>
      <c r="AJ540" s="243" t="s">
        <v>419</v>
      </c>
      <c r="AK540" s="246"/>
      <c r="AL540" s="43" t="str">
        <f t="shared" si="148"/>
        <v>-</v>
      </c>
      <c r="AM540" s="43">
        <f t="shared" si="136"/>
        <v>0</v>
      </c>
      <c r="AN540" s="193">
        <f t="shared" si="136"/>
        <v>0</v>
      </c>
      <c r="AO540" s="270" t="str">
        <f t="shared" si="137"/>
        <v>-</v>
      </c>
      <c r="AP540" s="266"/>
      <c r="AQ540" s="26" t="str">
        <f t="shared" si="144"/>
        <v>CATARACT CREEKChum</v>
      </c>
      <c r="AR540" s="26">
        <f t="shared" si="138"/>
        <v>0</v>
      </c>
      <c r="AS540" s="33">
        <f t="shared" si="139"/>
        <v>0</v>
      </c>
      <c r="AX540" s="47" t="str">
        <f t="shared" si="140"/>
        <v>CATARACT CREEKChum</v>
      </c>
      <c r="AY540" s="49">
        <f t="shared" si="141"/>
        <v>0</v>
      </c>
      <c r="AZ540" s="49">
        <f t="shared" si="142"/>
        <v>0</v>
      </c>
      <c r="BA540" s="31">
        <v>1999</v>
      </c>
      <c r="BB540" s="188">
        <f t="shared" si="145"/>
        <v>0</v>
      </c>
      <c r="BC540" s="188" t="str">
        <f t="shared" si="149"/>
        <v xml:space="preserve"> </v>
      </c>
      <c r="BD540" s="188" t="str">
        <f t="shared" si="150"/>
        <v xml:space="preserve"> </v>
      </c>
      <c r="BE540" s="188" t="str">
        <f t="shared" si="151"/>
        <v xml:space="preserve"> </v>
      </c>
      <c r="BF540" s="50" t="str">
        <f t="shared" si="143"/>
        <v>CATARACT CREEK_Chum</v>
      </c>
      <c r="BG540" s="50" t="str">
        <f>IFERROR(VLOOKUP(BF540,'[1]WCVI Esc'!$C$5:$W$514,18,FALSE),"-")</f>
        <v>-</v>
      </c>
      <c r="BH540" s="50" t="str">
        <f t="shared" si="146"/>
        <v>-</v>
      </c>
      <c r="BI540" s="50" t="str">
        <f>IFERROR(VLOOKUP(BF540,'[1]WCVI Esc'!$C$5:$W$514,19,FALSE),"-")</f>
        <v>-</v>
      </c>
      <c r="BJ540" s="50" t="str">
        <f t="shared" si="147"/>
        <v>-</v>
      </c>
    </row>
    <row r="541" spans="1:62" hidden="1" x14ac:dyDescent="0.2">
      <c r="A541" s="28">
        <v>4</v>
      </c>
      <c r="B541" s="28">
        <v>5</v>
      </c>
      <c r="C541" s="11">
        <v>23</v>
      </c>
      <c r="D541" s="13" t="s">
        <v>295</v>
      </c>
      <c r="E541" s="10" t="s">
        <v>171</v>
      </c>
      <c r="F541" s="10" t="s">
        <v>210</v>
      </c>
      <c r="G541" s="10"/>
      <c r="H541" s="152"/>
      <c r="I541" s="164"/>
      <c r="J541" s="62"/>
      <c r="K541" s="62"/>
      <c r="L541" s="177"/>
      <c r="M541" s="171"/>
      <c r="N541" s="62"/>
      <c r="O541" s="62"/>
      <c r="P541" s="62"/>
      <c r="Q541" s="64"/>
      <c r="R541" s="164"/>
      <c r="S541" s="62"/>
      <c r="T541" s="62"/>
      <c r="U541" s="62"/>
      <c r="V541" s="177"/>
      <c r="W541" s="171"/>
      <c r="X541" s="62"/>
      <c r="Y541" s="45"/>
      <c r="Z541" s="45"/>
      <c r="AA541" s="100"/>
      <c r="AB541" s="100"/>
      <c r="AC541" s="100"/>
      <c r="AD541" s="100"/>
      <c r="AE541" s="100"/>
      <c r="AF541" s="100"/>
      <c r="AG541" s="18">
        <v>23</v>
      </c>
      <c r="AH541" s="69" t="s">
        <v>295</v>
      </c>
      <c r="AI541" s="243" t="s">
        <v>171</v>
      </c>
      <c r="AJ541" s="243" t="s">
        <v>419</v>
      </c>
      <c r="AK541" s="246"/>
      <c r="AL541" s="43" t="str">
        <f t="shared" si="148"/>
        <v>-</v>
      </c>
      <c r="AM541" s="43">
        <f t="shared" si="136"/>
        <v>0</v>
      </c>
      <c r="AN541" s="193">
        <f t="shared" si="136"/>
        <v>0</v>
      </c>
      <c r="AO541" s="270" t="str">
        <f t="shared" si="137"/>
        <v>-</v>
      </c>
      <c r="AP541" s="266"/>
      <c r="AQ541" s="26" t="str">
        <f t="shared" si="144"/>
        <v>CATARACT CREEKChinook</v>
      </c>
      <c r="AR541" s="26">
        <f t="shared" si="138"/>
        <v>0</v>
      </c>
      <c r="AS541" s="33">
        <f t="shared" si="139"/>
        <v>0</v>
      </c>
      <c r="AX541" s="47" t="str">
        <f t="shared" si="140"/>
        <v>CATARACT CREEKChinook</v>
      </c>
      <c r="AY541" s="49">
        <f t="shared" si="141"/>
        <v>0</v>
      </c>
      <c r="AZ541" s="49">
        <f t="shared" si="142"/>
        <v>0</v>
      </c>
      <c r="BA541" s="31">
        <v>0</v>
      </c>
      <c r="BB541" s="188">
        <f t="shared" si="145"/>
        <v>0</v>
      </c>
      <c r="BC541" s="188" t="str">
        <f t="shared" si="149"/>
        <v xml:space="preserve"> </v>
      </c>
      <c r="BD541" s="188" t="str">
        <f t="shared" si="150"/>
        <v xml:space="preserve"> </v>
      </c>
      <c r="BE541" s="188" t="str">
        <f t="shared" si="151"/>
        <v xml:space="preserve"> </v>
      </c>
      <c r="BF541" s="50" t="str">
        <f t="shared" si="143"/>
        <v>CATARACT CREEK_Chinook</v>
      </c>
      <c r="BG541" s="50" t="str">
        <f>IFERROR(VLOOKUP(BF541,'[1]WCVI Esc'!$C$5:$W$514,18,FALSE),"-")</f>
        <v>-</v>
      </c>
      <c r="BH541" s="50" t="str">
        <f t="shared" si="146"/>
        <v>-</v>
      </c>
      <c r="BI541" s="50" t="str">
        <f>IFERROR(VLOOKUP(BF541,'[1]WCVI Esc'!$C$5:$W$514,19,FALSE),"-")</f>
        <v>-</v>
      </c>
      <c r="BJ541" s="50" t="str">
        <f t="shared" si="147"/>
        <v>-</v>
      </c>
    </row>
    <row r="542" spans="1:62" hidden="1" x14ac:dyDescent="0.2">
      <c r="A542" s="28">
        <v>4</v>
      </c>
      <c r="B542" s="28">
        <v>6</v>
      </c>
      <c r="C542" s="11">
        <v>23</v>
      </c>
      <c r="D542" s="13" t="s">
        <v>295</v>
      </c>
      <c r="E542" s="10" t="s">
        <v>171</v>
      </c>
      <c r="F542" s="10" t="s">
        <v>211</v>
      </c>
      <c r="G542" s="10"/>
      <c r="H542" s="152"/>
      <c r="I542" s="164"/>
      <c r="J542" s="62"/>
      <c r="K542" s="62"/>
      <c r="L542" s="177"/>
      <c r="M542" s="171"/>
      <c r="N542" s="62"/>
      <c r="O542" s="62"/>
      <c r="P542" s="62"/>
      <c r="Q542" s="64"/>
      <c r="R542" s="164"/>
      <c r="S542" s="62"/>
      <c r="T542" s="62"/>
      <c r="U542" s="62"/>
      <c r="V542" s="177"/>
      <c r="W542" s="171"/>
      <c r="X542" s="62"/>
      <c r="Y542" s="45"/>
      <c r="Z542" s="45"/>
      <c r="AA542" s="100"/>
      <c r="AB542" s="100"/>
      <c r="AC542" s="100"/>
      <c r="AD542" s="100"/>
      <c r="AE542" s="100"/>
      <c r="AF542" s="100"/>
      <c r="AG542" s="18">
        <v>23</v>
      </c>
      <c r="AH542" s="69" t="s">
        <v>295</v>
      </c>
      <c r="AI542" s="243" t="s">
        <v>171</v>
      </c>
      <c r="AJ542" s="243" t="s">
        <v>419</v>
      </c>
      <c r="AK542" s="246"/>
      <c r="AL542" s="43" t="str">
        <f t="shared" si="148"/>
        <v>-</v>
      </c>
      <c r="AM542" s="43">
        <f t="shared" si="136"/>
        <v>0</v>
      </c>
      <c r="AN542" s="193">
        <f t="shared" si="136"/>
        <v>0</v>
      </c>
      <c r="AO542" s="270" t="str">
        <f t="shared" si="137"/>
        <v>-</v>
      </c>
      <c r="AP542" s="266"/>
      <c r="AQ542" s="26" t="str">
        <f t="shared" si="144"/>
        <v>CATARACT CREEKSteelhead</v>
      </c>
      <c r="AR542" s="26">
        <f t="shared" si="138"/>
        <v>0</v>
      </c>
      <c r="AS542" s="33">
        <f t="shared" si="139"/>
        <v>0</v>
      </c>
      <c r="AX542" s="47" t="str">
        <f t="shared" si="140"/>
        <v>CATARACT CREEKSteelhead</v>
      </c>
      <c r="AY542" s="49">
        <f t="shared" si="141"/>
        <v>0</v>
      </c>
      <c r="AZ542" s="49">
        <f t="shared" si="142"/>
        <v>0</v>
      </c>
      <c r="BA542" s="31">
        <v>0</v>
      </c>
      <c r="BB542" s="188">
        <f t="shared" si="145"/>
        <v>0</v>
      </c>
      <c r="BC542" s="188" t="str">
        <f t="shared" si="149"/>
        <v xml:space="preserve"> </v>
      </c>
      <c r="BD542" s="188" t="str">
        <f t="shared" si="150"/>
        <v xml:space="preserve"> </v>
      </c>
      <c r="BE542" s="188" t="str">
        <f t="shared" si="151"/>
        <v xml:space="preserve"> </v>
      </c>
      <c r="BF542" s="50" t="str">
        <f t="shared" si="143"/>
        <v>CATARACT CREEK_Steelhead</v>
      </c>
      <c r="BG542" s="50" t="str">
        <f>IFERROR(VLOOKUP(BF542,'[1]WCVI Esc'!$C$5:$W$514,18,FALSE),"-")</f>
        <v>-</v>
      </c>
      <c r="BH542" s="50" t="str">
        <f t="shared" si="146"/>
        <v>-</v>
      </c>
      <c r="BI542" s="50" t="str">
        <f>IFERROR(VLOOKUP(BF542,'[1]WCVI Esc'!$C$5:$W$514,19,FALSE),"-")</f>
        <v>-</v>
      </c>
      <c r="BJ542" s="50" t="str">
        <f t="shared" si="147"/>
        <v>-</v>
      </c>
    </row>
    <row r="543" spans="1:62" hidden="1" x14ac:dyDescent="0.2">
      <c r="A543" s="28">
        <v>4</v>
      </c>
      <c r="B543" s="28">
        <v>1</v>
      </c>
      <c r="C543" s="11">
        <v>23</v>
      </c>
      <c r="D543" s="13" t="s">
        <v>356</v>
      </c>
      <c r="E543" s="10" t="s">
        <v>28</v>
      </c>
      <c r="F543" s="10" t="s">
        <v>207</v>
      </c>
      <c r="G543" s="10"/>
      <c r="H543" s="152"/>
      <c r="I543" s="164"/>
      <c r="J543" s="62"/>
      <c r="K543" s="62"/>
      <c r="L543" s="177"/>
      <c r="M543" s="171"/>
      <c r="N543" s="62"/>
      <c r="O543" s="62"/>
      <c r="P543" s="62"/>
      <c r="Q543" s="64"/>
      <c r="R543" s="164"/>
      <c r="S543" s="62"/>
      <c r="T543" s="62"/>
      <c r="U543" s="62"/>
      <c r="V543" s="177"/>
      <c r="W543" s="171"/>
      <c r="X543" s="62"/>
      <c r="Y543" s="45"/>
      <c r="Z543" s="45"/>
      <c r="AA543" s="100"/>
      <c r="AB543" s="100"/>
      <c r="AC543" s="100"/>
      <c r="AD543" s="100"/>
      <c r="AE543" s="100"/>
      <c r="AF543" s="100"/>
      <c r="AG543" s="18">
        <v>23</v>
      </c>
      <c r="AH543" s="69" t="s">
        <v>356</v>
      </c>
      <c r="AI543" s="243" t="s">
        <v>28</v>
      </c>
      <c r="AJ543" s="243" t="s">
        <v>419</v>
      </c>
      <c r="AK543" s="246"/>
      <c r="AL543" s="43" t="str">
        <f t="shared" si="148"/>
        <v>-</v>
      </c>
      <c r="AM543" s="43">
        <f t="shared" si="136"/>
        <v>0</v>
      </c>
      <c r="AN543" s="193">
        <f t="shared" si="136"/>
        <v>0</v>
      </c>
      <c r="AO543" s="270" t="str">
        <f t="shared" si="137"/>
        <v>-</v>
      </c>
      <c r="AP543" s="266"/>
      <c r="AQ543" s="26" t="str">
        <f t="shared" si="144"/>
        <v>CHERRY CREEKSockeye</v>
      </c>
      <c r="AR543" s="26">
        <f t="shared" si="138"/>
        <v>0</v>
      </c>
      <c r="AS543" s="33">
        <f t="shared" si="139"/>
        <v>0</v>
      </c>
      <c r="AX543" s="47" t="str">
        <f t="shared" si="140"/>
        <v>CHERRY CREEKSockeye</v>
      </c>
      <c r="AY543" s="49">
        <f t="shared" si="141"/>
        <v>0</v>
      </c>
      <c r="AZ543" s="49">
        <f t="shared" si="142"/>
        <v>0</v>
      </c>
      <c r="BA543" s="31">
        <v>0</v>
      </c>
      <c r="BB543" s="188">
        <f t="shared" si="145"/>
        <v>0</v>
      </c>
      <c r="BC543" s="188" t="str">
        <f t="shared" si="149"/>
        <v xml:space="preserve"> </v>
      </c>
      <c r="BD543" s="188" t="str">
        <f t="shared" si="150"/>
        <v xml:space="preserve"> </v>
      </c>
      <c r="BE543" s="188" t="str">
        <f t="shared" si="151"/>
        <v xml:space="preserve"> </v>
      </c>
      <c r="BF543" s="50" t="str">
        <f t="shared" si="143"/>
        <v>CHERRY CREEK_Sockeye</v>
      </c>
      <c r="BG543" s="50" t="str">
        <f>IFERROR(VLOOKUP(BF543,'[1]WCVI Esc'!$C$5:$W$514,18,FALSE),"-")</f>
        <v>-</v>
      </c>
      <c r="BH543" s="50" t="str">
        <f t="shared" si="146"/>
        <v>-</v>
      </c>
      <c r="BI543" s="50" t="str">
        <f>IFERROR(VLOOKUP(BF543,'[1]WCVI Esc'!$C$5:$W$514,19,FALSE),"-")</f>
        <v>-</v>
      </c>
      <c r="BJ543" s="50" t="str">
        <f t="shared" si="147"/>
        <v>-</v>
      </c>
    </row>
    <row r="544" spans="1:62" hidden="1" x14ac:dyDescent="0.2">
      <c r="A544" s="28">
        <v>4</v>
      </c>
      <c r="B544" s="28">
        <v>2</v>
      </c>
      <c r="C544" s="11">
        <v>23</v>
      </c>
      <c r="D544" s="13" t="s">
        <v>356</v>
      </c>
      <c r="E544" s="10" t="s">
        <v>28</v>
      </c>
      <c r="F544" s="10" t="s">
        <v>219</v>
      </c>
      <c r="G544" s="10"/>
      <c r="H544" s="152"/>
      <c r="I544" s="164"/>
      <c r="J544" s="62"/>
      <c r="K544" s="62"/>
      <c r="L544" s="177"/>
      <c r="M544" s="171"/>
      <c r="N544" s="62"/>
      <c r="O544" s="62"/>
      <c r="P544" s="62"/>
      <c r="Q544" s="64"/>
      <c r="R544" s="164"/>
      <c r="S544" s="62"/>
      <c r="T544" s="62"/>
      <c r="U544" s="62"/>
      <c r="V544" s="177"/>
      <c r="W544" s="171"/>
      <c r="X544" s="62"/>
      <c r="Y544" s="45"/>
      <c r="Z544" s="45"/>
      <c r="AA544" s="100"/>
      <c r="AB544" s="100"/>
      <c r="AC544" s="100"/>
      <c r="AD544" s="100"/>
      <c r="AE544" s="100"/>
      <c r="AF544" s="100"/>
      <c r="AG544" s="18">
        <v>23</v>
      </c>
      <c r="AH544" s="69" t="s">
        <v>356</v>
      </c>
      <c r="AI544" s="243" t="s">
        <v>28</v>
      </c>
      <c r="AJ544" s="243" t="s">
        <v>419</v>
      </c>
      <c r="AK544" s="246"/>
      <c r="AL544" s="43" t="str">
        <f t="shared" si="148"/>
        <v>-</v>
      </c>
      <c r="AM544" s="43">
        <f t="shared" si="136"/>
        <v>0</v>
      </c>
      <c r="AN544" s="193">
        <f t="shared" si="136"/>
        <v>0</v>
      </c>
      <c r="AO544" s="270" t="str">
        <f t="shared" si="137"/>
        <v>-</v>
      </c>
      <c r="AP544" s="266"/>
      <c r="AQ544" s="26" t="str">
        <f t="shared" si="144"/>
        <v>CHERRY CREEKCoho</v>
      </c>
      <c r="AR544" s="26">
        <f t="shared" si="138"/>
        <v>0</v>
      </c>
      <c r="AS544" s="33">
        <f t="shared" si="139"/>
        <v>0</v>
      </c>
      <c r="AX544" s="47" t="str">
        <f t="shared" si="140"/>
        <v>CHERRY CREEKCoho</v>
      </c>
      <c r="AY544" s="49">
        <f t="shared" si="141"/>
        <v>0</v>
      </c>
      <c r="AZ544" s="49">
        <f t="shared" si="142"/>
        <v>0</v>
      </c>
      <c r="BA544" s="31">
        <v>0</v>
      </c>
      <c r="BB544" s="188">
        <f t="shared" si="145"/>
        <v>0</v>
      </c>
      <c r="BC544" s="188" t="str">
        <f t="shared" si="149"/>
        <v xml:space="preserve"> </v>
      </c>
      <c r="BD544" s="188" t="str">
        <f t="shared" si="150"/>
        <v xml:space="preserve"> </v>
      </c>
      <c r="BE544" s="188" t="str">
        <f t="shared" si="151"/>
        <v xml:space="preserve"> </v>
      </c>
      <c r="BF544" s="50" t="str">
        <f t="shared" si="143"/>
        <v>CHERRY CREEK_Coho</v>
      </c>
      <c r="BG544" s="50" t="str">
        <f>IFERROR(VLOOKUP(BF544,'[1]WCVI Esc'!$C$5:$W$514,18,FALSE),"-")</f>
        <v>-</v>
      </c>
      <c r="BH544" s="50" t="str">
        <f t="shared" si="146"/>
        <v>-</v>
      </c>
      <c r="BI544" s="50" t="str">
        <f>IFERROR(VLOOKUP(BF544,'[1]WCVI Esc'!$C$5:$W$514,19,FALSE),"-")</f>
        <v>-</v>
      </c>
      <c r="BJ544" s="50" t="str">
        <f t="shared" si="147"/>
        <v>-</v>
      </c>
    </row>
    <row r="545" spans="1:66" hidden="1" x14ac:dyDescent="0.2">
      <c r="A545" s="28">
        <v>4</v>
      </c>
      <c r="B545" s="28">
        <v>3</v>
      </c>
      <c r="C545" s="11">
        <v>23</v>
      </c>
      <c r="D545" s="13" t="s">
        <v>356</v>
      </c>
      <c r="E545" s="10" t="s">
        <v>28</v>
      </c>
      <c r="F545" s="10" t="s">
        <v>208</v>
      </c>
      <c r="G545" s="10"/>
      <c r="H545" s="152"/>
      <c r="I545" s="164"/>
      <c r="J545" s="62"/>
      <c r="K545" s="62"/>
      <c r="L545" s="177"/>
      <c r="M545" s="171"/>
      <c r="N545" s="62"/>
      <c r="O545" s="62"/>
      <c r="P545" s="62"/>
      <c r="Q545" s="64"/>
      <c r="R545" s="164"/>
      <c r="S545" s="62"/>
      <c r="T545" s="62"/>
      <c r="U545" s="62"/>
      <c r="V545" s="177"/>
      <c r="W545" s="171"/>
      <c r="X545" s="62"/>
      <c r="Y545" s="45"/>
      <c r="Z545" s="45"/>
      <c r="AA545" s="100"/>
      <c r="AB545" s="100"/>
      <c r="AC545" s="100"/>
      <c r="AD545" s="100"/>
      <c r="AE545" s="100"/>
      <c r="AF545" s="100"/>
      <c r="AG545" s="18">
        <v>23</v>
      </c>
      <c r="AH545" s="69" t="s">
        <v>356</v>
      </c>
      <c r="AI545" s="243" t="s">
        <v>28</v>
      </c>
      <c r="AJ545" s="243" t="s">
        <v>419</v>
      </c>
      <c r="AK545" s="246"/>
      <c r="AL545" s="43" t="str">
        <f t="shared" si="148"/>
        <v>-</v>
      </c>
      <c r="AM545" s="43">
        <f t="shared" si="136"/>
        <v>0</v>
      </c>
      <c r="AN545" s="193">
        <f t="shared" si="136"/>
        <v>0</v>
      </c>
      <c r="AO545" s="270" t="str">
        <f t="shared" si="137"/>
        <v>-</v>
      </c>
      <c r="AP545" s="266"/>
      <c r="AQ545" s="26" t="str">
        <f t="shared" si="144"/>
        <v>CHERRY CREEKPink</v>
      </c>
      <c r="AR545" s="26">
        <f t="shared" si="138"/>
        <v>0</v>
      </c>
      <c r="AS545" s="33">
        <f t="shared" si="139"/>
        <v>0</v>
      </c>
      <c r="AX545" s="47" t="str">
        <f t="shared" si="140"/>
        <v>CHERRY CREEKPink</v>
      </c>
      <c r="AY545" s="49">
        <f t="shared" si="141"/>
        <v>0</v>
      </c>
      <c r="AZ545" s="49">
        <f t="shared" si="142"/>
        <v>0</v>
      </c>
      <c r="BA545" s="31">
        <v>0</v>
      </c>
      <c r="BB545" s="188">
        <f t="shared" si="145"/>
        <v>0</v>
      </c>
      <c r="BC545" s="188" t="str">
        <f t="shared" si="149"/>
        <v xml:space="preserve"> </v>
      </c>
      <c r="BD545" s="188" t="str">
        <f t="shared" si="150"/>
        <v xml:space="preserve"> </v>
      </c>
      <c r="BE545" s="188" t="str">
        <f t="shared" si="151"/>
        <v xml:space="preserve"> </v>
      </c>
      <c r="BF545" s="50" t="str">
        <f t="shared" si="143"/>
        <v>CHERRY CREEK_Pink</v>
      </c>
      <c r="BG545" s="50" t="str">
        <f>IFERROR(VLOOKUP(BF545,'[1]WCVI Esc'!$C$5:$W$514,18,FALSE),"-")</f>
        <v>-</v>
      </c>
      <c r="BH545" s="50" t="str">
        <f t="shared" si="146"/>
        <v>-</v>
      </c>
      <c r="BI545" s="50" t="str">
        <f>IFERROR(VLOOKUP(BF545,'[1]WCVI Esc'!$C$5:$W$514,19,FALSE),"-")</f>
        <v>-</v>
      </c>
      <c r="BJ545" s="50" t="str">
        <f t="shared" si="147"/>
        <v>-</v>
      </c>
    </row>
    <row r="546" spans="1:66" hidden="1" x14ac:dyDescent="0.2">
      <c r="A546" s="28">
        <v>4</v>
      </c>
      <c r="B546" s="28">
        <v>4</v>
      </c>
      <c r="C546" s="11">
        <v>23</v>
      </c>
      <c r="D546" s="13" t="s">
        <v>356</v>
      </c>
      <c r="E546" s="10" t="s">
        <v>28</v>
      </c>
      <c r="F546" s="10" t="s">
        <v>209</v>
      </c>
      <c r="G546" s="10"/>
      <c r="H546" s="152"/>
      <c r="I546" s="164"/>
      <c r="J546" s="62"/>
      <c r="K546" s="62"/>
      <c r="L546" s="177"/>
      <c r="M546" s="171"/>
      <c r="N546" s="62"/>
      <c r="O546" s="62"/>
      <c r="P546" s="62"/>
      <c r="Q546" s="64"/>
      <c r="R546" s="164"/>
      <c r="S546" s="62"/>
      <c r="T546" s="62"/>
      <c r="U546" s="62"/>
      <c r="V546" s="177"/>
      <c r="W546" s="171"/>
      <c r="X546" s="62"/>
      <c r="Y546" s="45"/>
      <c r="Z546" s="45"/>
      <c r="AA546" s="100"/>
      <c r="AB546" s="100"/>
      <c r="AC546" s="100"/>
      <c r="AD546" s="100"/>
      <c r="AE546" s="100"/>
      <c r="AF546" s="100"/>
      <c r="AG546" s="18">
        <v>23</v>
      </c>
      <c r="AH546" s="69" t="s">
        <v>356</v>
      </c>
      <c r="AI546" s="243" t="s">
        <v>28</v>
      </c>
      <c r="AJ546" s="243" t="s">
        <v>419</v>
      </c>
      <c r="AK546" s="246"/>
      <c r="AL546" s="43" t="str">
        <f t="shared" si="148"/>
        <v>-</v>
      </c>
      <c r="AM546" s="43">
        <f t="shared" si="136"/>
        <v>0</v>
      </c>
      <c r="AN546" s="193">
        <f t="shared" si="136"/>
        <v>0</v>
      </c>
      <c r="AO546" s="270" t="str">
        <f t="shared" si="137"/>
        <v>-</v>
      </c>
      <c r="AP546" s="266"/>
      <c r="AQ546" s="26" t="str">
        <f t="shared" si="144"/>
        <v>CHERRY CREEKChum</v>
      </c>
      <c r="AR546" s="26">
        <f t="shared" si="138"/>
        <v>0</v>
      </c>
      <c r="AS546" s="33">
        <f t="shared" si="139"/>
        <v>0</v>
      </c>
      <c r="AX546" s="47" t="str">
        <f t="shared" si="140"/>
        <v>CHERRY CREEKChum</v>
      </c>
      <c r="AY546" s="49">
        <f t="shared" si="141"/>
        <v>0</v>
      </c>
      <c r="AZ546" s="49">
        <f t="shared" si="142"/>
        <v>0</v>
      </c>
      <c r="BA546" s="31">
        <v>0</v>
      </c>
      <c r="BB546" s="188">
        <f t="shared" si="145"/>
        <v>0</v>
      </c>
      <c r="BC546" s="188" t="str">
        <f t="shared" si="149"/>
        <v xml:space="preserve"> </v>
      </c>
      <c r="BD546" s="188" t="str">
        <f t="shared" si="150"/>
        <v xml:space="preserve"> </v>
      </c>
      <c r="BE546" s="188" t="str">
        <f t="shared" si="151"/>
        <v xml:space="preserve"> </v>
      </c>
      <c r="BF546" s="50" t="str">
        <f t="shared" si="143"/>
        <v>CHERRY CREEK_Chum</v>
      </c>
      <c r="BG546" s="50" t="str">
        <f>IFERROR(VLOOKUP(BF546,'[1]WCVI Esc'!$C$5:$W$514,18,FALSE),"-")</f>
        <v>-</v>
      </c>
      <c r="BH546" s="50" t="str">
        <f t="shared" si="146"/>
        <v>-</v>
      </c>
      <c r="BI546" s="50" t="str">
        <f>IFERROR(VLOOKUP(BF546,'[1]WCVI Esc'!$C$5:$W$514,19,FALSE),"-")</f>
        <v>-</v>
      </c>
      <c r="BJ546" s="50" t="str">
        <f t="shared" si="147"/>
        <v>-</v>
      </c>
    </row>
    <row r="547" spans="1:66" hidden="1" x14ac:dyDescent="0.2">
      <c r="A547" s="28">
        <v>4</v>
      </c>
      <c r="B547" s="28">
        <v>5</v>
      </c>
      <c r="C547" s="11">
        <v>23</v>
      </c>
      <c r="D547" s="13" t="s">
        <v>356</v>
      </c>
      <c r="E547" s="10" t="s">
        <v>28</v>
      </c>
      <c r="F547" s="10" t="s">
        <v>210</v>
      </c>
      <c r="G547" s="10"/>
      <c r="H547" s="152"/>
      <c r="I547" s="164"/>
      <c r="J547" s="62"/>
      <c r="K547" s="62"/>
      <c r="L547" s="177"/>
      <c r="M547" s="171"/>
      <c r="N547" s="62"/>
      <c r="O547" s="62"/>
      <c r="P547" s="62"/>
      <c r="Q547" s="64"/>
      <c r="R547" s="164"/>
      <c r="S547" s="62"/>
      <c r="T547" s="62"/>
      <c r="U547" s="62"/>
      <c r="V547" s="177"/>
      <c r="W547" s="171"/>
      <c r="X547" s="62"/>
      <c r="Y547" s="45"/>
      <c r="Z547" s="45"/>
      <c r="AA547" s="100"/>
      <c r="AB547" s="100"/>
      <c r="AC547" s="100"/>
      <c r="AD547" s="100"/>
      <c r="AE547" s="100"/>
      <c r="AF547" s="100"/>
      <c r="AG547" s="18">
        <v>23</v>
      </c>
      <c r="AH547" s="69" t="s">
        <v>356</v>
      </c>
      <c r="AI547" s="243" t="s">
        <v>28</v>
      </c>
      <c r="AJ547" s="243" t="s">
        <v>419</v>
      </c>
      <c r="AK547" s="246"/>
      <c r="AL547" s="43" t="str">
        <f t="shared" si="148"/>
        <v>-</v>
      </c>
      <c r="AM547" s="43">
        <f t="shared" si="136"/>
        <v>0</v>
      </c>
      <c r="AN547" s="193">
        <f t="shared" si="136"/>
        <v>0</v>
      </c>
      <c r="AO547" s="270" t="str">
        <f t="shared" si="137"/>
        <v>-</v>
      </c>
      <c r="AP547" s="266"/>
      <c r="AQ547" s="26" t="str">
        <f t="shared" si="144"/>
        <v>CHERRY CREEKChinook</v>
      </c>
      <c r="AR547" s="26">
        <f t="shared" si="138"/>
        <v>0</v>
      </c>
      <c r="AS547" s="33">
        <f t="shared" si="139"/>
        <v>0</v>
      </c>
      <c r="AX547" s="47" t="str">
        <f t="shared" si="140"/>
        <v>CHERRY CREEKChinook</v>
      </c>
      <c r="AY547" s="49">
        <f t="shared" si="141"/>
        <v>0</v>
      </c>
      <c r="AZ547" s="49">
        <f t="shared" si="142"/>
        <v>0</v>
      </c>
      <c r="BA547" s="31">
        <v>0</v>
      </c>
      <c r="BB547" s="188">
        <f t="shared" si="145"/>
        <v>0</v>
      </c>
      <c r="BC547" s="188" t="str">
        <f t="shared" si="149"/>
        <v xml:space="preserve"> </v>
      </c>
      <c r="BD547" s="188" t="str">
        <f t="shared" si="150"/>
        <v xml:space="preserve"> </v>
      </c>
      <c r="BE547" s="188" t="str">
        <f t="shared" si="151"/>
        <v xml:space="preserve"> </v>
      </c>
      <c r="BF547" s="50" t="str">
        <f t="shared" si="143"/>
        <v>CHERRY CREEK_Chinook</v>
      </c>
      <c r="BG547" s="50" t="str">
        <f>IFERROR(VLOOKUP(BF547,'[1]WCVI Esc'!$C$5:$W$514,18,FALSE),"-")</f>
        <v>-</v>
      </c>
      <c r="BH547" s="50" t="str">
        <f t="shared" si="146"/>
        <v>-</v>
      </c>
      <c r="BI547" s="50" t="str">
        <f>IFERROR(VLOOKUP(BF547,'[1]WCVI Esc'!$C$5:$W$514,19,FALSE),"-")</f>
        <v>-</v>
      </c>
      <c r="BJ547" s="50" t="str">
        <f t="shared" si="147"/>
        <v>-</v>
      </c>
    </row>
    <row r="548" spans="1:66" hidden="1" x14ac:dyDescent="0.2">
      <c r="A548" s="28">
        <v>4</v>
      </c>
      <c r="B548" s="28">
        <v>6</v>
      </c>
      <c r="C548" s="11">
        <v>23</v>
      </c>
      <c r="D548" s="13" t="s">
        <v>356</v>
      </c>
      <c r="E548" s="10" t="s">
        <v>28</v>
      </c>
      <c r="F548" s="10" t="s">
        <v>211</v>
      </c>
      <c r="G548" s="10"/>
      <c r="H548" s="152"/>
      <c r="I548" s="164"/>
      <c r="J548" s="62"/>
      <c r="K548" s="62"/>
      <c r="L548" s="177"/>
      <c r="M548" s="171"/>
      <c r="N548" s="62"/>
      <c r="O548" s="62"/>
      <c r="P548" s="62"/>
      <c r="Q548" s="64"/>
      <c r="R548" s="164"/>
      <c r="S548" s="62"/>
      <c r="T548" s="62"/>
      <c r="U548" s="62"/>
      <c r="V548" s="177"/>
      <c r="W548" s="171"/>
      <c r="X548" s="62"/>
      <c r="Y548" s="45"/>
      <c r="Z548" s="45"/>
      <c r="AA548" s="100"/>
      <c r="AB548" s="100"/>
      <c r="AC548" s="100"/>
      <c r="AD548" s="100"/>
      <c r="AE548" s="100"/>
      <c r="AF548" s="100"/>
      <c r="AG548" s="18">
        <v>23</v>
      </c>
      <c r="AH548" s="69" t="s">
        <v>356</v>
      </c>
      <c r="AI548" s="243" t="s">
        <v>28</v>
      </c>
      <c r="AJ548" s="243" t="s">
        <v>419</v>
      </c>
      <c r="AK548" s="246"/>
      <c r="AL548" s="43" t="str">
        <f t="shared" si="148"/>
        <v>-</v>
      </c>
      <c r="AM548" s="43">
        <f t="shared" si="136"/>
        <v>0</v>
      </c>
      <c r="AN548" s="193">
        <f t="shared" si="136"/>
        <v>0</v>
      </c>
      <c r="AO548" s="270" t="str">
        <f t="shared" si="137"/>
        <v>-</v>
      </c>
      <c r="AP548" s="266"/>
      <c r="AQ548" s="26" t="str">
        <f t="shared" si="144"/>
        <v>CHERRY CREEKSteelhead</v>
      </c>
      <c r="AR548" s="26">
        <f t="shared" si="138"/>
        <v>0</v>
      </c>
      <c r="AS548" s="33">
        <f t="shared" si="139"/>
        <v>0</v>
      </c>
      <c r="AX548" s="47" t="str">
        <f t="shared" si="140"/>
        <v>CHERRY CREEKSteelhead</v>
      </c>
      <c r="AY548" s="49">
        <f t="shared" si="141"/>
        <v>0</v>
      </c>
      <c r="AZ548" s="49">
        <f t="shared" si="142"/>
        <v>0</v>
      </c>
      <c r="BA548" s="31">
        <v>0</v>
      </c>
      <c r="BB548" s="188">
        <f t="shared" si="145"/>
        <v>0</v>
      </c>
      <c r="BC548" s="188" t="str">
        <f t="shared" si="149"/>
        <v xml:space="preserve"> </v>
      </c>
      <c r="BD548" s="188" t="str">
        <f t="shared" si="150"/>
        <v xml:space="preserve"> </v>
      </c>
      <c r="BE548" s="188" t="str">
        <f t="shared" si="151"/>
        <v xml:space="preserve"> </v>
      </c>
      <c r="BF548" s="50" t="str">
        <f t="shared" si="143"/>
        <v>CHERRY CREEK_Steelhead</v>
      </c>
      <c r="BG548" s="50" t="str">
        <f>IFERROR(VLOOKUP(BF548,'[1]WCVI Esc'!$C$5:$W$514,18,FALSE),"-")</f>
        <v>-</v>
      </c>
      <c r="BH548" s="50" t="str">
        <f t="shared" si="146"/>
        <v>-</v>
      </c>
      <c r="BI548" s="50" t="str">
        <f>IFERROR(VLOOKUP(BF548,'[1]WCVI Esc'!$C$5:$W$514,19,FALSE),"-")</f>
        <v>-</v>
      </c>
      <c r="BJ548" s="50" t="str">
        <f t="shared" si="147"/>
        <v>-</v>
      </c>
    </row>
    <row r="549" spans="1:66" hidden="1" x14ac:dyDescent="0.2">
      <c r="A549" s="28">
        <v>4</v>
      </c>
      <c r="B549" s="28">
        <v>1</v>
      </c>
      <c r="C549" s="11">
        <v>23</v>
      </c>
      <c r="D549" s="13" t="s">
        <v>356</v>
      </c>
      <c r="E549" s="10" t="s">
        <v>88</v>
      </c>
      <c r="F549" s="10" t="s">
        <v>207</v>
      </c>
      <c r="G549" s="10"/>
      <c r="H549" s="152"/>
      <c r="I549" s="164"/>
      <c r="J549" s="62"/>
      <c r="K549" s="62"/>
      <c r="L549" s="177"/>
      <c r="M549" s="171"/>
      <c r="N549" s="94"/>
      <c r="O549" s="94"/>
      <c r="P549" s="62"/>
      <c r="Q549" s="64"/>
      <c r="R549" s="164"/>
      <c r="S549" s="62"/>
      <c r="T549" s="62"/>
      <c r="U549" s="62"/>
      <c r="V549" s="177"/>
      <c r="W549" s="171"/>
      <c r="X549" s="62"/>
      <c r="Y549" s="45"/>
      <c r="Z549" s="45"/>
      <c r="AA549" s="100"/>
      <c r="AB549" s="100"/>
      <c r="AC549" s="100"/>
      <c r="AD549" s="100"/>
      <c r="AE549" s="100"/>
      <c r="AF549" s="100"/>
      <c r="AG549" s="18">
        <v>23</v>
      </c>
      <c r="AH549" s="69" t="s">
        <v>356</v>
      </c>
      <c r="AI549" s="243" t="s">
        <v>88</v>
      </c>
      <c r="AJ549" s="243" t="s">
        <v>419</v>
      </c>
      <c r="AK549" s="246"/>
      <c r="AL549" s="43" t="str">
        <f t="shared" si="148"/>
        <v>-</v>
      </c>
      <c r="AM549" s="43">
        <f t="shared" si="136"/>
        <v>0</v>
      </c>
      <c r="AN549" s="193">
        <f t="shared" si="136"/>
        <v>0</v>
      </c>
      <c r="AO549" s="270" t="str">
        <f t="shared" si="137"/>
        <v>-</v>
      </c>
      <c r="AP549" s="266"/>
      <c r="AQ549" s="26" t="str">
        <f t="shared" si="144"/>
        <v>CHINA CREEKSockeye</v>
      </c>
      <c r="AR549" s="26">
        <f t="shared" si="138"/>
        <v>0</v>
      </c>
      <c r="AS549" s="33">
        <f t="shared" si="139"/>
        <v>0</v>
      </c>
      <c r="AX549" s="47" t="str">
        <f t="shared" si="140"/>
        <v>CHINA CREEKSockeye</v>
      </c>
      <c r="AY549" s="49">
        <f t="shared" si="141"/>
        <v>0</v>
      </c>
      <c r="AZ549" s="49">
        <f t="shared" si="142"/>
        <v>0</v>
      </c>
      <c r="BA549" s="31">
        <v>0</v>
      </c>
      <c r="BB549" s="188">
        <f t="shared" si="145"/>
        <v>0</v>
      </c>
      <c r="BC549" s="188" t="str">
        <f t="shared" si="149"/>
        <v xml:space="preserve"> </v>
      </c>
      <c r="BD549" s="188" t="str">
        <f t="shared" si="150"/>
        <v xml:space="preserve"> </v>
      </c>
      <c r="BE549" s="188" t="str">
        <f t="shared" si="151"/>
        <v xml:space="preserve"> </v>
      </c>
      <c r="BF549" s="50" t="str">
        <f t="shared" si="143"/>
        <v>CHINA CREEK_Sockeye</v>
      </c>
      <c r="BG549" s="50" t="str">
        <f>IFERROR(VLOOKUP(BF549,'[1]WCVI Esc'!$C$5:$W$514,18,FALSE),"-")</f>
        <v>-</v>
      </c>
      <c r="BH549" s="50" t="str">
        <f t="shared" si="146"/>
        <v>-</v>
      </c>
      <c r="BI549" s="50" t="str">
        <f>IFERROR(VLOOKUP(BF549,'[1]WCVI Esc'!$C$5:$W$514,19,FALSE),"-")</f>
        <v>-</v>
      </c>
      <c r="BJ549" s="50" t="str">
        <f t="shared" si="147"/>
        <v>-</v>
      </c>
    </row>
    <row r="550" spans="1:66" hidden="1" x14ac:dyDescent="0.2">
      <c r="A550" s="28">
        <v>4</v>
      </c>
      <c r="B550" s="28">
        <v>2</v>
      </c>
      <c r="C550" s="11">
        <v>23</v>
      </c>
      <c r="D550" s="13" t="s">
        <v>356</v>
      </c>
      <c r="E550" s="10" t="s">
        <v>88</v>
      </c>
      <c r="F550" s="10" t="s">
        <v>219</v>
      </c>
      <c r="G550" s="10"/>
      <c r="H550" s="152"/>
      <c r="I550" s="164"/>
      <c r="J550" s="62"/>
      <c r="K550" s="62"/>
      <c r="L550" s="177"/>
      <c r="M550" s="171"/>
      <c r="N550" s="94"/>
      <c r="O550" s="94"/>
      <c r="P550" s="62"/>
      <c r="Q550" s="64"/>
      <c r="R550" s="164"/>
      <c r="S550" s="62"/>
      <c r="T550" s="62"/>
      <c r="U550" s="62"/>
      <c r="V550" s="177"/>
      <c r="W550" s="171"/>
      <c r="X550" s="62"/>
      <c r="Y550" s="45"/>
      <c r="Z550" s="45"/>
      <c r="AA550" s="100">
        <f>Y550/AP550</f>
        <v>0</v>
      </c>
      <c r="AB550" s="100">
        <f>AS550/AP550</f>
        <v>0</v>
      </c>
      <c r="AC550" s="100"/>
      <c r="AD550" s="100"/>
      <c r="AE550" s="100"/>
      <c r="AF550" s="100"/>
      <c r="AG550" s="18">
        <v>23</v>
      </c>
      <c r="AH550" s="69" t="s">
        <v>356</v>
      </c>
      <c r="AI550" s="243" t="s">
        <v>88</v>
      </c>
      <c r="AJ550" s="243" t="s">
        <v>419</v>
      </c>
      <c r="AK550" s="246"/>
      <c r="AL550" s="43" t="str">
        <f t="shared" si="148"/>
        <v>-</v>
      </c>
      <c r="AM550" s="43">
        <f t="shared" si="136"/>
        <v>0</v>
      </c>
      <c r="AN550" s="193">
        <f t="shared" si="136"/>
        <v>0</v>
      </c>
      <c r="AO550" s="270" t="str">
        <f t="shared" si="137"/>
        <v>-</v>
      </c>
      <c r="AP550" s="265">
        <f>BJ550</f>
        <v>30</v>
      </c>
      <c r="AQ550" s="26" t="str">
        <f t="shared" si="144"/>
        <v>CHINA CREEKCoho</v>
      </c>
      <c r="AR550" s="26">
        <f t="shared" si="138"/>
        <v>0</v>
      </c>
      <c r="AS550" s="33">
        <f t="shared" si="139"/>
        <v>0</v>
      </c>
      <c r="AX550" s="47" t="str">
        <f t="shared" si="140"/>
        <v>CHINA CREEKCoho</v>
      </c>
      <c r="AY550" s="49">
        <f t="shared" si="141"/>
        <v>0</v>
      </c>
      <c r="AZ550" s="49">
        <f t="shared" si="142"/>
        <v>0</v>
      </c>
      <c r="BA550" s="31">
        <v>2015</v>
      </c>
      <c r="BB550" s="188">
        <f t="shared" si="145"/>
        <v>0</v>
      </c>
      <c r="BC550" s="188" t="str">
        <f t="shared" si="149"/>
        <v xml:space="preserve"> </v>
      </c>
      <c r="BD550" s="188" t="str">
        <f t="shared" si="150"/>
        <v xml:space="preserve"> </v>
      </c>
      <c r="BE550" s="188" t="str">
        <f t="shared" si="151"/>
        <v xml:space="preserve"> </v>
      </c>
      <c r="BF550" s="50" t="str">
        <f t="shared" si="143"/>
        <v>CHINA CREEK_Coho</v>
      </c>
      <c r="BG550" s="50" t="str">
        <f>IFERROR(VLOOKUP(BF550,'[1]WCVI Esc'!$C$5:$W$514,18,FALSE),"-")</f>
        <v>-</v>
      </c>
      <c r="BH550" s="50" t="str">
        <f t="shared" si="146"/>
        <v>-</v>
      </c>
      <c r="BI550" s="50">
        <f>IFERROR(VLOOKUP(BF550,'[1]WCVI Esc'!$C$5:$W$514,19,FALSE),"-")</f>
        <v>30</v>
      </c>
      <c r="BJ550" s="50">
        <f t="shared" si="147"/>
        <v>30</v>
      </c>
    </row>
    <row r="551" spans="1:66" hidden="1" x14ac:dyDescent="0.2">
      <c r="A551" s="28">
        <v>4</v>
      </c>
      <c r="B551" s="28">
        <v>3</v>
      </c>
      <c r="C551" s="11">
        <v>23</v>
      </c>
      <c r="D551" s="13" t="s">
        <v>356</v>
      </c>
      <c r="E551" s="10" t="s">
        <v>88</v>
      </c>
      <c r="F551" s="10" t="s">
        <v>208</v>
      </c>
      <c r="G551" s="10"/>
      <c r="H551" s="152"/>
      <c r="I551" s="164"/>
      <c r="J551" s="62"/>
      <c r="K551" s="62"/>
      <c r="L551" s="177"/>
      <c r="M551" s="171"/>
      <c r="N551" s="94"/>
      <c r="O551" s="94"/>
      <c r="P551" s="62"/>
      <c r="Q551" s="64"/>
      <c r="R551" s="164"/>
      <c r="S551" s="62"/>
      <c r="T551" s="62"/>
      <c r="U551" s="62"/>
      <c r="V551" s="177"/>
      <c r="W551" s="171"/>
      <c r="X551" s="62"/>
      <c r="Y551" s="45"/>
      <c r="Z551" s="45"/>
      <c r="AA551" s="100"/>
      <c r="AB551" s="100"/>
      <c r="AC551" s="100"/>
      <c r="AD551" s="100"/>
      <c r="AE551" s="100"/>
      <c r="AF551" s="100"/>
      <c r="AG551" s="18">
        <v>23</v>
      </c>
      <c r="AH551" s="69" t="s">
        <v>356</v>
      </c>
      <c r="AI551" s="243" t="s">
        <v>88</v>
      </c>
      <c r="AJ551" s="243" t="s">
        <v>419</v>
      </c>
      <c r="AK551" s="246"/>
      <c r="AL551" s="43" t="str">
        <f t="shared" si="148"/>
        <v>-</v>
      </c>
      <c r="AM551" s="43">
        <f t="shared" si="136"/>
        <v>0</v>
      </c>
      <c r="AN551" s="193">
        <f t="shared" si="136"/>
        <v>0</v>
      </c>
      <c r="AO551" s="270" t="str">
        <f t="shared" si="137"/>
        <v>-</v>
      </c>
      <c r="AP551" s="266"/>
      <c r="AQ551" s="26" t="str">
        <f t="shared" si="144"/>
        <v>CHINA CREEKPink</v>
      </c>
      <c r="AR551" s="26">
        <f t="shared" si="138"/>
        <v>0</v>
      </c>
      <c r="AS551" s="33">
        <f t="shared" si="139"/>
        <v>0</v>
      </c>
      <c r="AX551" s="47" t="str">
        <f t="shared" si="140"/>
        <v>CHINA CREEKPink</v>
      </c>
      <c r="AY551" s="49">
        <f t="shared" si="141"/>
        <v>0</v>
      </c>
      <c r="AZ551" s="49">
        <f t="shared" si="142"/>
        <v>0</v>
      </c>
      <c r="BA551" s="31">
        <v>0</v>
      </c>
      <c r="BB551" s="188">
        <f t="shared" si="145"/>
        <v>0</v>
      </c>
      <c r="BC551" s="188" t="str">
        <f t="shared" si="149"/>
        <v xml:space="preserve"> </v>
      </c>
      <c r="BD551" s="188" t="str">
        <f t="shared" si="150"/>
        <v xml:space="preserve"> </v>
      </c>
      <c r="BE551" s="188" t="str">
        <f t="shared" si="151"/>
        <v xml:space="preserve"> </v>
      </c>
      <c r="BF551" s="50" t="str">
        <f t="shared" si="143"/>
        <v>CHINA CREEK_Pink</v>
      </c>
      <c r="BG551" s="50" t="str">
        <f>IFERROR(VLOOKUP(BF551,'[1]WCVI Esc'!$C$5:$W$514,18,FALSE),"-")</f>
        <v>-</v>
      </c>
      <c r="BH551" s="50" t="str">
        <f t="shared" si="146"/>
        <v>-</v>
      </c>
      <c r="BI551" s="50" t="str">
        <f>IFERROR(VLOOKUP(BF551,'[1]WCVI Esc'!$C$5:$W$514,19,FALSE),"-")</f>
        <v>-</v>
      </c>
      <c r="BJ551" s="50" t="str">
        <f t="shared" si="147"/>
        <v>-</v>
      </c>
    </row>
    <row r="552" spans="1:66" hidden="1" x14ac:dyDescent="0.2">
      <c r="A552" s="28">
        <v>4</v>
      </c>
      <c r="B552" s="28">
        <v>4</v>
      </c>
      <c r="C552" s="11">
        <v>23</v>
      </c>
      <c r="D552" s="13" t="s">
        <v>356</v>
      </c>
      <c r="E552" s="10" t="s">
        <v>88</v>
      </c>
      <c r="F552" s="10" t="s">
        <v>209</v>
      </c>
      <c r="G552" s="10"/>
      <c r="H552" s="152"/>
      <c r="I552" s="164"/>
      <c r="J552" s="62"/>
      <c r="K552" s="62"/>
      <c r="L552" s="177"/>
      <c r="M552" s="171"/>
      <c r="N552" s="94"/>
      <c r="O552" s="94"/>
      <c r="P552" s="62"/>
      <c r="Q552" s="64"/>
      <c r="R552" s="164"/>
      <c r="S552" s="62"/>
      <c r="T552" s="62"/>
      <c r="U552" s="62"/>
      <c r="V552" s="177"/>
      <c r="W552" s="171"/>
      <c r="X552" s="62"/>
      <c r="Y552" s="45"/>
      <c r="Z552" s="45"/>
      <c r="AA552" s="100">
        <f>Y552/AP552</f>
        <v>0</v>
      </c>
      <c r="AB552" s="100">
        <f>AS552/AP552</f>
        <v>0</v>
      </c>
      <c r="AC552" s="100"/>
      <c r="AD552" s="100"/>
      <c r="AE552" s="100"/>
      <c r="AF552" s="100"/>
      <c r="AG552" s="18">
        <v>23</v>
      </c>
      <c r="AH552" s="69" t="s">
        <v>356</v>
      </c>
      <c r="AI552" s="243" t="s">
        <v>88</v>
      </c>
      <c r="AJ552" s="243" t="s">
        <v>419</v>
      </c>
      <c r="AK552" s="246"/>
      <c r="AL552" s="43" t="str">
        <f t="shared" si="148"/>
        <v>-</v>
      </c>
      <c r="AM552" s="43">
        <f t="shared" si="136"/>
        <v>0</v>
      </c>
      <c r="AN552" s="193">
        <f t="shared" si="136"/>
        <v>0</v>
      </c>
      <c r="AO552" s="270" t="str">
        <f t="shared" si="137"/>
        <v>-</v>
      </c>
      <c r="AP552" s="265">
        <f>BJ552</f>
        <v>20</v>
      </c>
      <c r="AQ552" s="26" t="str">
        <f t="shared" si="144"/>
        <v>CHINA CREEKChum</v>
      </c>
      <c r="AR552" s="26">
        <f t="shared" si="138"/>
        <v>0</v>
      </c>
      <c r="AS552" s="33">
        <f t="shared" si="139"/>
        <v>0</v>
      </c>
      <c r="AX552" s="47" t="str">
        <f t="shared" si="140"/>
        <v>CHINA CREEKChum</v>
      </c>
      <c r="AY552" s="49">
        <f t="shared" si="141"/>
        <v>0</v>
      </c>
      <c r="AZ552" s="49">
        <f t="shared" si="142"/>
        <v>0</v>
      </c>
      <c r="BA552" s="31">
        <v>2015</v>
      </c>
      <c r="BB552" s="188">
        <f t="shared" si="145"/>
        <v>0</v>
      </c>
      <c r="BC552" s="188" t="str">
        <f t="shared" si="149"/>
        <v xml:space="preserve"> </v>
      </c>
      <c r="BD552" s="188" t="str">
        <f t="shared" si="150"/>
        <v xml:space="preserve"> </v>
      </c>
      <c r="BE552" s="188" t="str">
        <f t="shared" si="151"/>
        <v xml:space="preserve"> </v>
      </c>
      <c r="BF552" s="50" t="str">
        <f t="shared" si="143"/>
        <v>CHINA CREEK_Chum</v>
      </c>
      <c r="BG552" s="50" t="str">
        <f>IFERROR(VLOOKUP(BF552,'[1]WCVI Esc'!$C$5:$W$514,18,FALSE),"-")</f>
        <v>-</v>
      </c>
      <c r="BH552" s="50" t="str">
        <f t="shared" si="146"/>
        <v>-</v>
      </c>
      <c r="BI552" s="50">
        <f>IFERROR(VLOOKUP(BF552,'[1]WCVI Esc'!$C$5:$W$514,19,FALSE),"-")</f>
        <v>15</v>
      </c>
      <c r="BJ552" s="50">
        <f t="shared" si="147"/>
        <v>20</v>
      </c>
    </row>
    <row r="553" spans="1:66" hidden="1" x14ac:dyDescent="0.2">
      <c r="A553" s="28">
        <v>4</v>
      </c>
      <c r="B553" s="28">
        <v>5</v>
      </c>
      <c r="C553" s="11">
        <v>23</v>
      </c>
      <c r="D553" s="13" t="s">
        <v>356</v>
      </c>
      <c r="E553" s="10" t="s">
        <v>88</v>
      </c>
      <c r="F553" s="10" t="s">
        <v>210</v>
      </c>
      <c r="G553" s="10"/>
      <c r="H553" s="152"/>
      <c r="I553" s="164"/>
      <c r="J553" s="62"/>
      <c r="K553" s="62"/>
      <c r="L553" s="177"/>
      <c r="M553" s="171"/>
      <c r="N553" s="94"/>
      <c r="O553" s="94"/>
      <c r="P553" s="62"/>
      <c r="Q553" s="64"/>
      <c r="R553" s="164"/>
      <c r="S553" s="62"/>
      <c r="T553" s="62"/>
      <c r="U553" s="62"/>
      <c r="V553" s="177"/>
      <c r="W553" s="171"/>
      <c r="X553" s="62"/>
      <c r="Y553" s="45"/>
      <c r="Z553" s="45"/>
      <c r="AA553" s="100"/>
      <c r="AB553" s="100"/>
      <c r="AC553" s="24"/>
      <c r="AD553" s="24"/>
      <c r="AE553" s="24"/>
      <c r="AF553" s="24"/>
      <c r="AG553" s="18">
        <v>23</v>
      </c>
      <c r="AH553" s="69" t="s">
        <v>356</v>
      </c>
      <c r="AI553" s="243" t="s">
        <v>88</v>
      </c>
      <c r="AJ553" s="243" t="s">
        <v>419</v>
      </c>
      <c r="AK553" s="246"/>
      <c r="AL553" s="43" t="str">
        <f t="shared" si="148"/>
        <v>-</v>
      </c>
      <c r="AM553" s="43">
        <f t="shared" si="136"/>
        <v>0</v>
      </c>
      <c r="AN553" s="193">
        <f t="shared" si="136"/>
        <v>0</v>
      </c>
      <c r="AO553" s="270" t="str">
        <f t="shared" si="137"/>
        <v>-</v>
      </c>
      <c r="AP553" s="266"/>
      <c r="AQ553" s="26" t="str">
        <f t="shared" si="144"/>
        <v>CHINA CREEKChinook</v>
      </c>
      <c r="AR553" s="26">
        <f t="shared" si="138"/>
        <v>0</v>
      </c>
      <c r="AS553" s="33">
        <f t="shared" si="139"/>
        <v>0</v>
      </c>
      <c r="AX553" s="47" t="str">
        <f t="shared" si="140"/>
        <v>CHINA CREEKChinook</v>
      </c>
      <c r="AY553" s="49">
        <f t="shared" si="141"/>
        <v>0</v>
      </c>
      <c r="AZ553" s="49">
        <f t="shared" si="142"/>
        <v>0</v>
      </c>
      <c r="BA553" s="31">
        <v>0</v>
      </c>
      <c r="BB553" s="188">
        <f t="shared" si="145"/>
        <v>0</v>
      </c>
      <c r="BC553" s="188" t="str">
        <f t="shared" si="149"/>
        <v xml:space="preserve"> </v>
      </c>
      <c r="BD553" s="188" t="str">
        <f t="shared" si="150"/>
        <v xml:space="preserve"> </v>
      </c>
      <c r="BE553" s="188" t="str">
        <f t="shared" si="151"/>
        <v xml:space="preserve"> </v>
      </c>
      <c r="BF553" s="50" t="str">
        <f t="shared" si="143"/>
        <v>CHINA CREEK_Chinook</v>
      </c>
      <c r="BG553" s="50" t="str">
        <f>IFERROR(VLOOKUP(BF553,'[1]WCVI Esc'!$C$5:$W$514,18,FALSE),"-")</f>
        <v>-</v>
      </c>
      <c r="BH553" s="50" t="str">
        <f t="shared" si="146"/>
        <v>-</v>
      </c>
      <c r="BI553" s="50" t="str">
        <f>IFERROR(VLOOKUP(BF553,'[1]WCVI Esc'!$C$5:$W$514,19,FALSE),"-")</f>
        <v>-</v>
      </c>
      <c r="BJ553" s="50" t="str">
        <f t="shared" si="147"/>
        <v>-</v>
      </c>
      <c r="BK553">
        <v>4</v>
      </c>
      <c r="BL553" t="s">
        <v>354</v>
      </c>
      <c r="BN553" s="31">
        <v>1</v>
      </c>
    </row>
    <row r="554" spans="1:66" hidden="1" x14ac:dyDescent="0.2">
      <c r="A554" s="28">
        <v>4</v>
      </c>
      <c r="B554" s="28">
        <v>6</v>
      </c>
      <c r="C554" s="11">
        <v>23</v>
      </c>
      <c r="D554" s="13" t="s">
        <v>356</v>
      </c>
      <c r="E554" s="10" t="s">
        <v>88</v>
      </c>
      <c r="F554" s="10" t="s">
        <v>211</v>
      </c>
      <c r="G554" s="10"/>
      <c r="H554" s="152"/>
      <c r="I554" s="164"/>
      <c r="J554" s="62"/>
      <c r="K554" s="62"/>
      <c r="L554" s="177"/>
      <c r="M554" s="171"/>
      <c r="N554" s="94"/>
      <c r="O554" s="94"/>
      <c r="P554" s="62"/>
      <c r="Q554" s="64"/>
      <c r="R554" s="164"/>
      <c r="S554" s="62"/>
      <c r="T554" s="62"/>
      <c r="U554" s="62"/>
      <c r="V554" s="177"/>
      <c r="W554" s="171"/>
      <c r="X554" s="62"/>
      <c r="Y554" s="45"/>
      <c r="Z554" s="45"/>
      <c r="AA554" s="100"/>
      <c r="AB554" s="100"/>
      <c r="AC554" s="24"/>
      <c r="AD554" s="24"/>
      <c r="AE554" s="24"/>
      <c r="AF554" s="24"/>
      <c r="AG554" s="18">
        <v>23</v>
      </c>
      <c r="AH554" s="69" t="s">
        <v>356</v>
      </c>
      <c r="AI554" s="243" t="s">
        <v>88</v>
      </c>
      <c r="AJ554" s="243" t="s">
        <v>419</v>
      </c>
      <c r="AK554" s="246"/>
      <c r="AL554" s="43" t="str">
        <f t="shared" si="148"/>
        <v>-</v>
      </c>
      <c r="AM554" s="43">
        <f t="shared" si="136"/>
        <v>0</v>
      </c>
      <c r="AN554" s="193">
        <f t="shared" si="136"/>
        <v>0</v>
      </c>
      <c r="AO554" s="270" t="str">
        <f t="shared" si="137"/>
        <v>-</v>
      </c>
      <c r="AP554" s="266"/>
      <c r="AQ554" s="26" t="str">
        <f t="shared" si="144"/>
        <v>CHINA CREEKSteelhead</v>
      </c>
      <c r="AR554" s="26">
        <f t="shared" si="138"/>
        <v>0</v>
      </c>
      <c r="AS554" s="33">
        <f t="shared" si="139"/>
        <v>0</v>
      </c>
      <c r="AX554" s="47" t="str">
        <f t="shared" si="140"/>
        <v>CHINA CREEKSteelhead</v>
      </c>
      <c r="AY554" s="49">
        <f t="shared" si="141"/>
        <v>0</v>
      </c>
      <c r="AZ554" s="49">
        <f t="shared" si="142"/>
        <v>0</v>
      </c>
      <c r="BA554" s="31">
        <v>0</v>
      </c>
      <c r="BB554" s="188">
        <f t="shared" si="145"/>
        <v>0</v>
      </c>
      <c r="BC554" s="188" t="str">
        <f t="shared" si="149"/>
        <v xml:space="preserve"> </v>
      </c>
      <c r="BD554" s="188" t="str">
        <f t="shared" si="150"/>
        <v xml:space="preserve"> </v>
      </c>
      <c r="BE554" s="188" t="str">
        <f t="shared" si="151"/>
        <v xml:space="preserve"> </v>
      </c>
      <c r="BF554" s="50" t="str">
        <f t="shared" si="143"/>
        <v>CHINA CREEK_Steelhead</v>
      </c>
      <c r="BG554" s="50" t="str">
        <f>IFERROR(VLOOKUP(BF554,'[1]WCVI Esc'!$C$5:$W$514,18,FALSE),"-")</f>
        <v>-</v>
      </c>
      <c r="BH554" s="50" t="str">
        <f t="shared" si="146"/>
        <v>-</v>
      </c>
      <c r="BI554" s="50" t="str">
        <f>IFERROR(VLOOKUP(BF554,'[1]WCVI Esc'!$C$5:$W$514,19,FALSE),"-")</f>
        <v>-</v>
      </c>
      <c r="BJ554" s="50" t="str">
        <f t="shared" si="147"/>
        <v>-</v>
      </c>
    </row>
    <row r="555" spans="1:66" hidden="1" x14ac:dyDescent="0.2">
      <c r="A555" s="28">
        <v>4</v>
      </c>
      <c r="B555" s="28">
        <v>1</v>
      </c>
      <c r="C555" s="11">
        <v>23</v>
      </c>
      <c r="D555" s="13" t="s">
        <v>294</v>
      </c>
      <c r="E555" s="10" t="s">
        <v>89</v>
      </c>
      <c r="F555" s="10" t="s">
        <v>207</v>
      </c>
      <c r="G555" s="10"/>
      <c r="H555" s="152"/>
      <c r="I555" s="164"/>
      <c r="J555" s="62"/>
      <c r="K555" s="62"/>
      <c r="L555" s="177"/>
      <c r="M555" s="171"/>
      <c r="N555" s="62"/>
      <c r="O555" s="62"/>
      <c r="P555" s="62"/>
      <c r="Q555" s="64"/>
      <c r="R555" s="164"/>
      <c r="S555" s="62"/>
      <c r="T555" s="62"/>
      <c r="U555" s="62"/>
      <c r="V555" s="177"/>
      <c r="W555" s="171"/>
      <c r="X555" s="62"/>
      <c r="Y555" s="45"/>
      <c r="Z555" s="45"/>
      <c r="AA555" s="100"/>
      <c r="AB555" s="100"/>
      <c r="AC555" s="24"/>
      <c r="AD555" s="24"/>
      <c r="AE555" s="24"/>
      <c r="AF555" s="24"/>
      <c r="AG555" s="18">
        <v>23</v>
      </c>
      <c r="AH555" s="69" t="s">
        <v>294</v>
      </c>
      <c r="AI555" s="243" t="s">
        <v>89</v>
      </c>
      <c r="AJ555" s="243" t="s">
        <v>419</v>
      </c>
      <c r="AK555" s="246"/>
      <c r="AL555" s="43" t="str">
        <f t="shared" si="148"/>
        <v>-</v>
      </c>
      <c r="AM555" s="43">
        <f t="shared" si="136"/>
        <v>0</v>
      </c>
      <c r="AN555" s="193">
        <f t="shared" si="136"/>
        <v>0</v>
      </c>
      <c r="AO555" s="270" t="str">
        <f t="shared" si="137"/>
        <v>-</v>
      </c>
      <c r="AP555" s="266"/>
      <c r="AQ555" s="26" t="str">
        <f t="shared" si="144"/>
        <v>COEUR D'ALENE CREEKSockeye</v>
      </c>
      <c r="AR555" s="26">
        <f t="shared" si="138"/>
        <v>0</v>
      </c>
      <c r="AS555" s="33">
        <f t="shared" si="139"/>
        <v>0</v>
      </c>
      <c r="AX555" s="47" t="str">
        <f t="shared" si="140"/>
        <v>COEUR D'ALENE CREEKSockeye</v>
      </c>
      <c r="AY555" s="49">
        <f t="shared" si="141"/>
        <v>0</v>
      </c>
      <c r="AZ555" s="49">
        <f t="shared" si="142"/>
        <v>0</v>
      </c>
      <c r="BA555" s="31">
        <v>0</v>
      </c>
      <c r="BB555" s="188">
        <f t="shared" si="145"/>
        <v>0</v>
      </c>
      <c r="BC555" s="188" t="str">
        <f t="shared" si="149"/>
        <v xml:space="preserve"> </v>
      </c>
      <c r="BD555" s="188" t="str">
        <f t="shared" si="150"/>
        <v xml:space="preserve"> </v>
      </c>
      <c r="BE555" s="188" t="str">
        <f t="shared" si="151"/>
        <v xml:space="preserve"> </v>
      </c>
      <c r="BF555" s="50" t="str">
        <f t="shared" si="143"/>
        <v>COEUR D'ALENE CREEK_Sockeye</v>
      </c>
      <c r="BG555" s="50" t="str">
        <f>IFERROR(VLOOKUP(BF555,'[1]WCVI Esc'!$C$5:$W$514,18,FALSE),"-")</f>
        <v>-</v>
      </c>
      <c r="BH555" s="50" t="str">
        <f t="shared" si="146"/>
        <v>-</v>
      </c>
      <c r="BI555" s="50" t="str">
        <f>IFERROR(VLOOKUP(BF555,'[1]WCVI Esc'!$C$5:$W$514,19,FALSE),"-")</f>
        <v>-</v>
      </c>
      <c r="BJ555" s="50" t="str">
        <f t="shared" si="147"/>
        <v>-</v>
      </c>
    </row>
    <row r="556" spans="1:66" hidden="1" x14ac:dyDescent="0.2">
      <c r="A556" s="28">
        <v>4</v>
      </c>
      <c r="B556" s="28">
        <v>2</v>
      </c>
      <c r="C556" s="11">
        <v>23</v>
      </c>
      <c r="D556" s="13" t="s">
        <v>294</v>
      </c>
      <c r="E556" s="10" t="s">
        <v>89</v>
      </c>
      <c r="F556" s="10" t="s">
        <v>219</v>
      </c>
      <c r="G556" s="10"/>
      <c r="H556" s="152"/>
      <c r="I556" s="164"/>
      <c r="J556" s="62"/>
      <c r="K556" s="62"/>
      <c r="L556" s="177"/>
      <c r="M556" s="171"/>
      <c r="N556" s="62"/>
      <c r="O556" s="62"/>
      <c r="P556" s="62"/>
      <c r="Q556" s="64"/>
      <c r="R556" s="164"/>
      <c r="S556" s="62"/>
      <c r="T556" s="62"/>
      <c r="U556" s="62"/>
      <c r="V556" s="177"/>
      <c r="W556" s="171"/>
      <c r="X556" s="62"/>
      <c r="Y556" s="45"/>
      <c r="Z556" s="45"/>
      <c r="AA556" s="100"/>
      <c r="AB556" s="100"/>
      <c r="AC556" s="24"/>
      <c r="AD556" s="24"/>
      <c r="AE556" s="24"/>
      <c r="AF556" s="24"/>
      <c r="AG556" s="18">
        <v>23</v>
      </c>
      <c r="AH556" s="69" t="s">
        <v>294</v>
      </c>
      <c r="AI556" s="243" t="s">
        <v>89</v>
      </c>
      <c r="AJ556" s="243" t="s">
        <v>419</v>
      </c>
      <c r="AK556" s="246"/>
      <c r="AL556" s="43" t="str">
        <f t="shared" si="148"/>
        <v>-</v>
      </c>
      <c r="AM556" s="43">
        <f t="shared" si="136"/>
        <v>0</v>
      </c>
      <c r="AN556" s="193">
        <f t="shared" si="136"/>
        <v>0</v>
      </c>
      <c r="AO556" s="270" t="str">
        <f t="shared" si="137"/>
        <v>-</v>
      </c>
      <c r="AP556" s="266"/>
      <c r="AQ556" s="26" t="str">
        <f t="shared" si="144"/>
        <v>COEUR D'ALENE CREEKCoho</v>
      </c>
      <c r="AR556" s="26">
        <f t="shared" si="138"/>
        <v>0</v>
      </c>
      <c r="AS556" s="33">
        <f t="shared" si="139"/>
        <v>0</v>
      </c>
      <c r="AX556" s="47" t="str">
        <f t="shared" si="140"/>
        <v>COEUR D'ALENE CREEKCoho</v>
      </c>
      <c r="AY556" s="49">
        <f t="shared" si="141"/>
        <v>0</v>
      </c>
      <c r="AZ556" s="49">
        <f t="shared" si="142"/>
        <v>0</v>
      </c>
      <c r="BA556" s="31">
        <v>2004</v>
      </c>
      <c r="BB556" s="188">
        <f t="shared" si="145"/>
        <v>0</v>
      </c>
      <c r="BC556" s="188" t="str">
        <f t="shared" si="149"/>
        <v xml:space="preserve"> </v>
      </c>
      <c r="BD556" s="188" t="str">
        <f t="shared" si="150"/>
        <v xml:space="preserve"> </v>
      </c>
      <c r="BE556" s="188" t="str">
        <f t="shared" si="151"/>
        <v xml:space="preserve"> </v>
      </c>
      <c r="BF556" s="50" t="str">
        <f t="shared" si="143"/>
        <v>COEUR D'ALENE CREEK_Coho</v>
      </c>
      <c r="BG556" s="50" t="str">
        <f>IFERROR(VLOOKUP(BF556,'[1]WCVI Esc'!$C$5:$W$514,18,FALSE),"-")</f>
        <v>-</v>
      </c>
      <c r="BH556" s="50" t="str">
        <f t="shared" si="146"/>
        <v>-</v>
      </c>
      <c r="BI556" s="50" t="str">
        <f>IFERROR(VLOOKUP(BF556,'[1]WCVI Esc'!$C$5:$W$514,19,FALSE),"-")</f>
        <v>-</v>
      </c>
      <c r="BJ556" s="50" t="str">
        <f t="shared" si="147"/>
        <v>-</v>
      </c>
    </row>
    <row r="557" spans="1:66" hidden="1" x14ac:dyDescent="0.2">
      <c r="A557" s="28">
        <v>4</v>
      </c>
      <c r="B557" s="28">
        <v>3</v>
      </c>
      <c r="C557" s="11">
        <v>23</v>
      </c>
      <c r="D557" s="13" t="s">
        <v>294</v>
      </c>
      <c r="E557" s="10" t="s">
        <v>89</v>
      </c>
      <c r="F557" s="10" t="s">
        <v>208</v>
      </c>
      <c r="G557" s="10"/>
      <c r="H557" s="152"/>
      <c r="I557" s="164"/>
      <c r="J557" s="62"/>
      <c r="K557" s="62"/>
      <c r="L557" s="177"/>
      <c r="M557" s="171"/>
      <c r="N557" s="62"/>
      <c r="O557" s="62"/>
      <c r="P557" s="62"/>
      <c r="Q557" s="64"/>
      <c r="R557" s="164"/>
      <c r="S557" s="62"/>
      <c r="T557" s="62"/>
      <c r="U557" s="62"/>
      <c r="V557" s="177"/>
      <c r="W557" s="171"/>
      <c r="X557" s="62"/>
      <c r="Y557" s="45"/>
      <c r="Z557" s="45"/>
      <c r="AA557" s="100"/>
      <c r="AB557" s="100"/>
      <c r="AC557" s="24"/>
      <c r="AD557" s="24"/>
      <c r="AE557" s="24"/>
      <c r="AF557" s="24"/>
      <c r="AG557" s="18">
        <v>23</v>
      </c>
      <c r="AH557" s="69" t="s">
        <v>294</v>
      </c>
      <c r="AI557" s="243" t="s">
        <v>89</v>
      </c>
      <c r="AJ557" s="243" t="s">
        <v>419</v>
      </c>
      <c r="AK557" s="246"/>
      <c r="AL557" s="43" t="str">
        <f t="shared" si="148"/>
        <v>-</v>
      </c>
      <c r="AM557" s="43">
        <f t="shared" si="136"/>
        <v>0</v>
      </c>
      <c r="AN557" s="193">
        <f t="shared" si="136"/>
        <v>0</v>
      </c>
      <c r="AO557" s="270" t="str">
        <f t="shared" si="137"/>
        <v>-</v>
      </c>
      <c r="AP557" s="266"/>
      <c r="AQ557" s="26" t="str">
        <f t="shared" si="144"/>
        <v>COEUR D'ALENE CREEKPink</v>
      </c>
      <c r="AR557" s="26">
        <f t="shared" si="138"/>
        <v>0</v>
      </c>
      <c r="AS557" s="33">
        <f t="shared" si="139"/>
        <v>0</v>
      </c>
      <c r="AX557" s="47" t="str">
        <f t="shared" si="140"/>
        <v>COEUR D'ALENE CREEKPink</v>
      </c>
      <c r="AY557" s="49">
        <f t="shared" si="141"/>
        <v>0</v>
      </c>
      <c r="AZ557" s="49">
        <f t="shared" si="142"/>
        <v>0</v>
      </c>
      <c r="BA557" s="31">
        <v>0</v>
      </c>
      <c r="BB557" s="188">
        <f t="shared" si="145"/>
        <v>0</v>
      </c>
      <c r="BC557" s="188" t="str">
        <f t="shared" si="149"/>
        <v xml:space="preserve"> </v>
      </c>
      <c r="BD557" s="188" t="str">
        <f t="shared" si="150"/>
        <v xml:space="preserve"> </v>
      </c>
      <c r="BE557" s="188" t="str">
        <f t="shared" si="151"/>
        <v xml:space="preserve"> </v>
      </c>
      <c r="BF557" s="50" t="str">
        <f t="shared" si="143"/>
        <v>COEUR D'ALENE CREEK_Pink</v>
      </c>
      <c r="BG557" s="50" t="str">
        <f>IFERROR(VLOOKUP(BF557,'[1]WCVI Esc'!$C$5:$W$514,18,FALSE),"-")</f>
        <v>-</v>
      </c>
      <c r="BH557" s="50" t="str">
        <f t="shared" si="146"/>
        <v>-</v>
      </c>
      <c r="BI557" s="50" t="str">
        <f>IFERROR(VLOOKUP(BF557,'[1]WCVI Esc'!$C$5:$W$514,19,FALSE),"-")</f>
        <v>-</v>
      </c>
      <c r="BJ557" s="50" t="str">
        <f t="shared" si="147"/>
        <v>-</v>
      </c>
    </row>
    <row r="558" spans="1:66" hidden="1" x14ac:dyDescent="0.2">
      <c r="A558" s="28">
        <v>4</v>
      </c>
      <c r="B558" s="28">
        <v>4</v>
      </c>
      <c r="C558" s="11">
        <v>23</v>
      </c>
      <c r="D558" s="13" t="s">
        <v>294</v>
      </c>
      <c r="E558" s="10" t="s">
        <v>89</v>
      </c>
      <c r="F558" s="10" t="s">
        <v>209</v>
      </c>
      <c r="G558" s="10"/>
      <c r="H558" s="152"/>
      <c r="I558" s="164"/>
      <c r="J558" s="62"/>
      <c r="K558" s="62"/>
      <c r="L558" s="177"/>
      <c r="M558" s="171"/>
      <c r="N558" s="62"/>
      <c r="O558" s="62"/>
      <c r="P558" s="62"/>
      <c r="Q558" s="64"/>
      <c r="R558" s="164"/>
      <c r="S558" s="62"/>
      <c r="T558" s="62"/>
      <c r="U558" s="62"/>
      <c r="V558" s="177"/>
      <c r="W558" s="171"/>
      <c r="X558" s="62"/>
      <c r="Y558" s="45"/>
      <c r="Z558" s="45"/>
      <c r="AA558" s="100"/>
      <c r="AB558" s="100"/>
      <c r="AC558" s="24"/>
      <c r="AD558" s="24"/>
      <c r="AE558" s="24"/>
      <c r="AF558" s="24"/>
      <c r="AG558" s="18">
        <v>23</v>
      </c>
      <c r="AH558" s="69" t="s">
        <v>294</v>
      </c>
      <c r="AI558" s="243" t="s">
        <v>89</v>
      </c>
      <c r="AJ558" s="243" t="s">
        <v>419</v>
      </c>
      <c r="AK558" s="246"/>
      <c r="AL558" s="43" t="str">
        <f t="shared" si="148"/>
        <v>-</v>
      </c>
      <c r="AM558" s="43">
        <f t="shared" si="136"/>
        <v>0</v>
      </c>
      <c r="AN558" s="193">
        <f t="shared" si="136"/>
        <v>0</v>
      </c>
      <c r="AO558" s="270" t="str">
        <f t="shared" si="137"/>
        <v>-</v>
      </c>
      <c r="AP558" s="266"/>
      <c r="AQ558" s="26" t="str">
        <f t="shared" si="144"/>
        <v>COEUR D'ALENE CREEKChum</v>
      </c>
      <c r="AR558" s="26">
        <f t="shared" si="138"/>
        <v>0</v>
      </c>
      <c r="AS558" s="33">
        <f t="shared" si="139"/>
        <v>0</v>
      </c>
      <c r="AX558" s="47" t="str">
        <f t="shared" si="140"/>
        <v>COEUR D'ALENE CREEKChum</v>
      </c>
      <c r="AY558" s="49">
        <f t="shared" si="141"/>
        <v>0</v>
      </c>
      <c r="AZ558" s="49">
        <f t="shared" si="142"/>
        <v>0</v>
      </c>
      <c r="BA558" s="31">
        <v>2004</v>
      </c>
      <c r="BB558" s="188">
        <f t="shared" si="145"/>
        <v>0</v>
      </c>
      <c r="BC558" s="188" t="str">
        <f t="shared" si="149"/>
        <v xml:space="preserve"> </v>
      </c>
      <c r="BD558" s="188" t="str">
        <f t="shared" si="150"/>
        <v xml:space="preserve"> </v>
      </c>
      <c r="BE558" s="188" t="str">
        <f t="shared" si="151"/>
        <v xml:space="preserve"> </v>
      </c>
      <c r="BF558" s="50" t="str">
        <f t="shared" si="143"/>
        <v>COEUR D'ALENE CREEK_Chum</v>
      </c>
      <c r="BG558" s="50" t="str">
        <f>IFERROR(VLOOKUP(BF558,'[1]WCVI Esc'!$C$5:$W$514,18,FALSE),"-")</f>
        <v>-</v>
      </c>
      <c r="BH558" s="50" t="str">
        <f t="shared" si="146"/>
        <v>-</v>
      </c>
      <c r="BI558" s="50" t="str">
        <f>IFERROR(VLOOKUP(BF558,'[1]WCVI Esc'!$C$5:$W$514,19,FALSE),"-")</f>
        <v>-</v>
      </c>
      <c r="BJ558" s="50" t="str">
        <f t="shared" si="147"/>
        <v>-</v>
      </c>
    </row>
    <row r="559" spans="1:66" hidden="1" x14ac:dyDescent="0.2">
      <c r="A559" s="28">
        <v>4</v>
      </c>
      <c r="B559" s="28">
        <v>5</v>
      </c>
      <c r="C559" s="11">
        <v>23</v>
      </c>
      <c r="D559" s="13" t="s">
        <v>294</v>
      </c>
      <c r="E559" s="10" t="s">
        <v>89</v>
      </c>
      <c r="F559" s="10" t="s">
        <v>210</v>
      </c>
      <c r="G559" s="10"/>
      <c r="H559" s="152"/>
      <c r="I559" s="164"/>
      <c r="J559" s="62"/>
      <c r="K559" s="62"/>
      <c r="L559" s="177"/>
      <c r="M559" s="171"/>
      <c r="N559" s="62"/>
      <c r="O559" s="62"/>
      <c r="P559" s="62"/>
      <c r="Q559" s="64"/>
      <c r="R559" s="164"/>
      <c r="S559" s="62"/>
      <c r="T559" s="62"/>
      <c r="U559" s="62"/>
      <c r="V559" s="177"/>
      <c r="W559" s="171"/>
      <c r="X559" s="62"/>
      <c r="Y559" s="45"/>
      <c r="Z559" s="45"/>
      <c r="AA559" s="100"/>
      <c r="AB559" s="100"/>
      <c r="AC559" s="24"/>
      <c r="AD559" s="24"/>
      <c r="AE559" s="24"/>
      <c r="AF559" s="24"/>
      <c r="AG559" s="18">
        <v>23</v>
      </c>
      <c r="AH559" s="69" t="s">
        <v>294</v>
      </c>
      <c r="AI559" s="243" t="s">
        <v>89</v>
      </c>
      <c r="AJ559" s="243" t="s">
        <v>419</v>
      </c>
      <c r="AK559" s="246"/>
      <c r="AL559" s="43" t="str">
        <f t="shared" si="148"/>
        <v>-</v>
      </c>
      <c r="AM559" s="43">
        <f t="shared" si="136"/>
        <v>0</v>
      </c>
      <c r="AN559" s="193">
        <f t="shared" si="136"/>
        <v>0</v>
      </c>
      <c r="AO559" s="270" t="str">
        <f t="shared" si="137"/>
        <v>-</v>
      </c>
      <c r="AP559" s="266"/>
      <c r="AQ559" s="26" t="str">
        <f t="shared" si="144"/>
        <v>COEUR D'ALENE CREEKChinook</v>
      </c>
      <c r="AR559" s="26">
        <f t="shared" si="138"/>
        <v>0</v>
      </c>
      <c r="AS559" s="33">
        <f t="shared" si="139"/>
        <v>0</v>
      </c>
      <c r="AX559" s="47" t="str">
        <f t="shared" si="140"/>
        <v>COEUR D'ALENE CREEKChinook</v>
      </c>
      <c r="AY559" s="49">
        <f t="shared" si="141"/>
        <v>0</v>
      </c>
      <c r="AZ559" s="49">
        <f t="shared" si="142"/>
        <v>0</v>
      </c>
      <c r="BA559" s="31">
        <v>2004</v>
      </c>
      <c r="BB559" s="188">
        <f t="shared" si="145"/>
        <v>0</v>
      </c>
      <c r="BC559" s="188" t="str">
        <f t="shared" si="149"/>
        <v xml:space="preserve"> </v>
      </c>
      <c r="BD559" s="188" t="str">
        <f t="shared" si="150"/>
        <v xml:space="preserve"> </v>
      </c>
      <c r="BE559" s="188" t="str">
        <f t="shared" si="151"/>
        <v xml:space="preserve"> </v>
      </c>
      <c r="BF559" s="50" t="str">
        <f t="shared" si="143"/>
        <v>COEUR D'ALENE CREEK_Chinook</v>
      </c>
      <c r="BG559" s="50" t="str">
        <f>IFERROR(VLOOKUP(BF559,'[1]WCVI Esc'!$C$5:$W$514,18,FALSE),"-")</f>
        <v>-</v>
      </c>
      <c r="BH559" s="50" t="str">
        <f t="shared" si="146"/>
        <v>-</v>
      </c>
      <c r="BI559" s="50" t="str">
        <f>IFERROR(VLOOKUP(BF559,'[1]WCVI Esc'!$C$5:$W$514,19,FALSE),"-")</f>
        <v>-</v>
      </c>
      <c r="BJ559" s="50" t="str">
        <f t="shared" si="147"/>
        <v>-</v>
      </c>
    </row>
    <row r="560" spans="1:66" hidden="1" x14ac:dyDescent="0.2">
      <c r="A560" s="28">
        <v>4</v>
      </c>
      <c r="B560" s="28">
        <v>6</v>
      </c>
      <c r="C560" s="11">
        <v>23</v>
      </c>
      <c r="D560" s="13" t="s">
        <v>294</v>
      </c>
      <c r="E560" s="10" t="s">
        <v>89</v>
      </c>
      <c r="F560" s="10" t="s">
        <v>211</v>
      </c>
      <c r="G560" s="10"/>
      <c r="H560" s="152"/>
      <c r="I560" s="164"/>
      <c r="J560" s="62"/>
      <c r="K560" s="62"/>
      <c r="L560" s="177"/>
      <c r="M560" s="171"/>
      <c r="N560" s="62"/>
      <c r="O560" s="62"/>
      <c r="P560" s="62"/>
      <c r="Q560" s="64"/>
      <c r="R560" s="164"/>
      <c r="S560" s="62"/>
      <c r="T560" s="62"/>
      <c r="U560" s="62"/>
      <c r="V560" s="177"/>
      <c r="W560" s="171"/>
      <c r="X560" s="62"/>
      <c r="Y560" s="45"/>
      <c r="Z560" s="45"/>
      <c r="AA560" s="100"/>
      <c r="AB560" s="100"/>
      <c r="AC560" s="24"/>
      <c r="AD560" s="24"/>
      <c r="AE560" s="24"/>
      <c r="AF560" s="24"/>
      <c r="AG560" s="18">
        <v>23</v>
      </c>
      <c r="AH560" s="69" t="s">
        <v>294</v>
      </c>
      <c r="AI560" s="243" t="s">
        <v>89</v>
      </c>
      <c r="AJ560" s="243" t="s">
        <v>419</v>
      </c>
      <c r="AK560" s="246"/>
      <c r="AL560" s="43" t="str">
        <f t="shared" si="148"/>
        <v>-</v>
      </c>
      <c r="AM560" s="43">
        <f t="shared" si="136"/>
        <v>0</v>
      </c>
      <c r="AN560" s="193">
        <f t="shared" si="136"/>
        <v>0</v>
      </c>
      <c r="AO560" s="270" t="str">
        <f t="shared" si="137"/>
        <v>-</v>
      </c>
      <c r="AP560" s="266"/>
      <c r="AQ560" s="26" t="str">
        <f t="shared" si="144"/>
        <v>COEUR D'ALENE CREEKSteelhead</v>
      </c>
      <c r="AR560" s="26">
        <f t="shared" si="138"/>
        <v>0</v>
      </c>
      <c r="AS560" s="33">
        <f t="shared" si="139"/>
        <v>0</v>
      </c>
      <c r="AX560" s="47" t="str">
        <f t="shared" si="140"/>
        <v>COEUR D'ALENE CREEKSteelhead</v>
      </c>
      <c r="AY560" s="49">
        <f t="shared" si="141"/>
        <v>0</v>
      </c>
      <c r="AZ560" s="49">
        <f t="shared" si="142"/>
        <v>0</v>
      </c>
      <c r="BA560" s="31">
        <v>0</v>
      </c>
      <c r="BB560" s="188">
        <f t="shared" si="145"/>
        <v>0</v>
      </c>
      <c r="BC560" s="188" t="str">
        <f t="shared" si="149"/>
        <v xml:space="preserve"> </v>
      </c>
      <c r="BD560" s="188" t="str">
        <f t="shared" si="150"/>
        <v xml:space="preserve"> </v>
      </c>
      <c r="BE560" s="188" t="str">
        <f t="shared" si="151"/>
        <v xml:space="preserve"> </v>
      </c>
      <c r="BF560" s="50" t="str">
        <f t="shared" si="143"/>
        <v>COEUR D'ALENE CREEK_Steelhead</v>
      </c>
      <c r="BG560" s="50" t="str">
        <f>IFERROR(VLOOKUP(BF560,'[1]WCVI Esc'!$C$5:$W$514,18,FALSE),"-")</f>
        <v>-</v>
      </c>
      <c r="BH560" s="50" t="str">
        <f t="shared" si="146"/>
        <v>-</v>
      </c>
      <c r="BI560" s="50" t="str">
        <f>IFERROR(VLOOKUP(BF560,'[1]WCVI Esc'!$C$5:$W$514,19,FALSE),"-")</f>
        <v>-</v>
      </c>
      <c r="BJ560" s="50" t="str">
        <f t="shared" si="147"/>
        <v>-</v>
      </c>
    </row>
    <row r="561" spans="1:62" hidden="1" x14ac:dyDescent="0.2">
      <c r="A561" s="28">
        <v>4</v>
      </c>
      <c r="B561" s="28">
        <v>1</v>
      </c>
      <c r="C561" s="11">
        <v>23</v>
      </c>
      <c r="D561" s="13" t="s">
        <v>319</v>
      </c>
      <c r="E561" s="10" t="s">
        <v>90</v>
      </c>
      <c r="F561" s="10" t="s">
        <v>207</v>
      </c>
      <c r="G561" s="10"/>
      <c r="H561" s="152"/>
      <c r="I561" s="164"/>
      <c r="J561" s="62"/>
      <c r="K561" s="62"/>
      <c r="L561" s="177"/>
      <c r="M561" s="171"/>
      <c r="N561" s="62"/>
      <c r="O561" s="62"/>
      <c r="P561" s="62"/>
      <c r="Q561" s="64"/>
      <c r="R561" s="164"/>
      <c r="S561" s="62"/>
      <c r="T561" s="62"/>
      <c r="U561" s="62"/>
      <c r="V561" s="177"/>
      <c r="W561" s="171"/>
      <c r="X561" s="62"/>
      <c r="Y561" s="45"/>
      <c r="Z561" s="45"/>
      <c r="AA561" s="100"/>
      <c r="AB561" s="100"/>
      <c r="AC561" s="24"/>
      <c r="AD561" s="24"/>
      <c r="AE561" s="24"/>
      <c r="AF561" s="24"/>
      <c r="AG561" s="18">
        <v>23</v>
      </c>
      <c r="AH561" s="69" t="s">
        <v>319</v>
      </c>
      <c r="AI561" s="243" t="s">
        <v>90</v>
      </c>
      <c r="AJ561" s="243" t="s">
        <v>419</v>
      </c>
      <c r="AK561" s="246"/>
      <c r="AL561" s="43" t="str">
        <f t="shared" si="148"/>
        <v>-</v>
      </c>
      <c r="AM561" s="43">
        <f t="shared" si="136"/>
        <v>0</v>
      </c>
      <c r="AN561" s="193">
        <f t="shared" si="136"/>
        <v>0</v>
      </c>
      <c r="AO561" s="270" t="str">
        <f t="shared" si="137"/>
        <v>-</v>
      </c>
      <c r="AP561" s="266"/>
      <c r="AQ561" s="26" t="str">
        <f t="shared" si="144"/>
        <v>COLEMAN CREEKSockeye</v>
      </c>
      <c r="AR561" s="26">
        <f t="shared" si="138"/>
        <v>0</v>
      </c>
      <c r="AS561" s="33">
        <f t="shared" si="139"/>
        <v>0</v>
      </c>
      <c r="AX561" s="47" t="str">
        <f t="shared" si="140"/>
        <v>COLEMAN CREEKSockeye</v>
      </c>
      <c r="AY561" s="49">
        <f t="shared" si="141"/>
        <v>0</v>
      </c>
      <c r="AZ561" s="49">
        <f t="shared" si="142"/>
        <v>0</v>
      </c>
      <c r="BA561" s="31">
        <v>0</v>
      </c>
      <c r="BB561" s="188">
        <f t="shared" si="145"/>
        <v>0</v>
      </c>
      <c r="BC561" s="188" t="str">
        <f t="shared" si="149"/>
        <v xml:space="preserve"> </v>
      </c>
      <c r="BD561" s="188" t="str">
        <f t="shared" si="150"/>
        <v xml:space="preserve"> </v>
      </c>
      <c r="BE561" s="188" t="str">
        <f t="shared" si="151"/>
        <v xml:space="preserve"> </v>
      </c>
      <c r="BF561" s="50" t="str">
        <f t="shared" si="143"/>
        <v>COLEMAN CREEK_Sockeye</v>
      </c>
      <c r="BG561" s="50" t="str">
        <f>IFERROR(VLOOKUP(BF561,'[1]WCVI Esc'!$C$5:$W$514,18,FALSE),"-")</f>
        <v>-</v>
      </c>
      <c r="BH561" s="50" t="str">
        <f t="shared" si="146"/>
        <v>-</v>
      </c>
      <c r="BI561" s="50" t="str">
        <f>IFERROR(VLOOKUP(BF561,'[1]WCVI Esc'!$C$5:$W$514,19,FALSE),"-")</f>
        <v>-</v>
      </c>
      <c r="BJ561" s="50" t="str">
        <f t="shared" si="147"/>
        <v>-</v>
      </c>
    </row>
    <row r="562" spans="1:62" hidden="1" x14ac:dyDescent="0.2">
      <c r="A562" s="28">
        <v>4</v>
      </c>
      <c r="B562" s="28">
        <v>2</v>
      </c>
      <c r="C562" s="11">
        <v>23</v>
      </c>
      <c r="D562" s="13" t="s">
        <v>319</v>
      </c>
      <c r="E562" s="10" t="s">
        <v>90</v>
      </c>
      <c r="F562" s="10" t="s">
        <v>219</v>
      </c>
      <c r="G562" s="10"/>
      <c r="H562" s="152"/>
      <c r="I562" s="164"/>
      <c r="J562" s="62"/>
      <c r="K562" s="62"/>
      <c r="L562" s="177"/>
      <c r="M562" s="171"/>
      <c r="N562" s="62"/>
      <c r="O562" s="62"/>
      <c r="P562" s="62"/>
      <c r="Q562" s="64"/>
      <c r="R562" s="164"/>
      <c r="S562" s="62"/>
      <c r="T562" s="62"/>
      <c r="U562" s="62"/>
      <c r="V562" s="177"/>
      <c r="W562" s="171"/>
      <c r="X562" s="62"/>
      <c r="Y562" s="45"/>
      <c r="Z562" s="45"/>
      <c r="AA562" s="100"/>
      <c r="AB562" s="100"/>
      <c r="AC562" s="24"/>
      <c r="AD562" s="24"/>
      <c r="AE562" s="24"/>
      <c r="AF562" s="24"/>
      <c r="AG562" s="18">
        <v>23</v>
      </c>
      <c r="AH562" s="69" t="s">
        <v>319</v>
      </c>
      <c r="AI562" s="243" t="s">
        <v>90</v>
      </c>
      <c r="AJ562" s="243" t="s">
        <v>419</v>
      </c>
      <c r="AK562" s="246"/>
      <c r="AL562" s="43" t="str">
        <f t="shared" si="148"/>
        <v>-</v>
      </c>
      <c r="AM562" s="43">
        <f t="shared" si="136"/>
        <v>0</v>
      </c>
      <c r="AN562" s="193">
        <f t="shared" si="136"/>
        <v>0</v>
      </c>
      <c r="AO562" s="270" t="str">
        <f t="shared" si="137"/>
        <v>-</v>
      </c>
      <c r="AP562" s="266"/>
      <c r="AQ562" s="26" t="str">
        <f t="shared" si="144"/>
        <v>COLEMAN CREEKCoho</v>
      </c>
      <c r="AR562" s="26">
        <f t="shared" si="138"/>
        <v>0</v>
      </c>
      <c r="AS562" s="33">
        <f t="shared" si="139"/>
        <v>0</v>
      </c>
      <c r="AX562" s="47" t="str">
        <f t="shared" si="140"/>
        <v>COLEMAN CREEKCoho</v>
      </c>
      <c r="AY562" s="49">
        <f t="shared" si="141"/>
        <v>0</v>
      </c>
      <c r="AZ562" s="49">
        <f t="shared" si="142"/>
        <v>0</v>
      </c>
      <c r="BA562" s="31">
        <v>1996</v>
      </c>
      <c r="BB562" s="188">
        <f t="shared" si="145"/>
        <v>0</v>
      </c>
      <c r="BC562" s="188" t="str">
        <f t="shared" si="149"/>
        <v xml:space="preserve"> </v>
      </c>
      <c r="BD562" s="188" t="str">
        <f t="shared" si="150"/>
        <v xml:space="preserve"> </v>
      </c>
      <c r="BE562" s="188" t="str">
        <f t="shared" si="151"/>
        <v xml:space="preserve"> </v>
      </c>
      <c r="BF562" s="50" t="str">
        <f t="shared" si="143"/>
        <v>COLEMAN CREEK_Coho</v>
      </c>
      <c r="BG562" s="50" t="str">
        <f>IFERROR(VLOOKUP(BF562,'[1]WCVI Esc'!$C$5:$W$514,18,FALSE),"-")</f>
        <v>-</v>
      </c>
      <c r="BH562" s="50" t="str">
        <f t="shared" si="146"/>
        <v>-</v>
      </c>
      <c r="BI562" s="50" t="str">
        <f>IFERROR(VLOOKUP(BF562,'[1]WCVI Esc'!$C$5:$W$514,19,FALSE),"-")</f>
        <v>-</v>
      </c>
      <c r="BJ562" s="50" t="str">
        <f t="shared" si="147"/>
        <v>-</v>
      </c>
    </row>
    <row r="563" spans="1:62" hidden="1" x14ac:dyDescent="0.2">
      <c r="A563" s="28">
        <v>4</v>
      </c>
      <c r="B563" s="28">
        <v>3</v>
      </c>
      <c r="C563" s="11">
        <v>23</v>
      </c>
      <c r="D563" s="13" t="s">
        <v>319</v>
      </c>
      <c r="E563" s="10" t="s">
        <v>90</v>
      </c>
      <c r="F563" s="10" t="s">
        <v>208</v>
      </c>
      <c r="G563" s="10"/>
      <c r="H563" s="152"/>
      <c r="I563" s="164"/>
      <c r="J563" s="62"/>
      <c r="K563" s="62"/>
      <c r="L563" s="177"/>
      <c r="M563" s="171"/>
      <c r="N563" s="62"/>
      <c r="O563" s="62"/>
      <c r="P563" s="62"/>
      <c r="Q563" s="64"/>
      <c r="R563" s="164"/>
      <c r="S563" s="62"/>
      <c r="T563" s="62"/>
      <c r="U563" s="62"/>
      <c r="V563" s="177"/>
      <c r="W563" s="171"/>
      <c r="X563" s="62"/>
      <c r="Y563" s="45"/>
      <c r="Z563" s="45"/>
      <c r="AA563" s="100"/>
      <c r="AB563" s="100"/>
      <c r="AC563" s="24"/>
      <c r="AD563" s="24"/>
      <c r="AE563" s="24"/>
      <c r="AF563" s="24"/>
      <c r="AG563" s="18">
        <v>23</v>
      </c>
      <c r="AH563" s="69" t="s">
        <v>319</v>
      </c>
      <c r="AI563" s="243" t="s">
        <v>90</v>
      </c>
      <c r="AJ563" s="243" t="s">
        <v>419</v>
      </c>
      <c r="AK563" s="246"/>
      <c r="AL563" s="43" t="str">
        <f t="shared" si="148"/>
        <v>-</v>
      </c>
      <c r="AM563" s="43">
        <f t="shared" si="136"/>
        <v>0</v>
      </c>
      <c r="AN563" s="193">
        <f t="shared" si="136"/>
        <v>0</v>
      </c>
      <c r="AO563" s="270" t="str">
        <f t="shared" si="137"/>
        <v>-</v>
      </c>
      <c r="AP563" s="266"/>
      <c r="AQ563" s="26" t="str">
        <f t="shared" si="144"/>
        <v>COLEMAN CREEKPink</v>
      </c>
      <c r="AR563" s="26">
        <f t="shared" si="138"/>
        <v>0</v>
      </c>
      <c r="AS563" s="33">
        <f t="shared" si="139"/>
        <v>0</v>
      </c>
      <c r="AX563" s="47" t="str">
        <f t="shared" si="140"/>
        <v>COLEMAN CREEKPink</v>
      </c>
      <c r="AY563" s="49">
        <f t="shared" si="141"/>
        <v>0</v>
      </c>
      <c r="AZ563" s="49">
        <f t="shared" si="142"/>
        <v>0</v>
      </c>
      <c r="BA563" s="31">
        <v>0</v>
      </c>
      <c r="BB563" s="188">
        <f t="shared" si="145"/>
        <v>0</v>
      </c>
      <c r="BC563" s="188" t="str">
        <f t="shared" si="149"/>
        <v xml:space="preserve"> </v>
      </c>
      <c r="BD563" s="188" t="str">
        <f t="shared" si="150"/>
        <v xml:space="preserve"> </v>
      </c>
      <c r="BE563" s="188" t="str">
        <f t="shared" si="151"/>
        <v xml:space="preserve"> </v>
      </c>
      <c r="BF563" s="50" t="str">
        <f t="shared" si="143"/>
        <v>COLEMAN CREEK_Pink</v>
      </c>
      <c r="BG563" s="50" t="str">
        <f>IFERROR(VLOOKUP(BF563,'[1]WCVI Esc'!$C$5:$W$514,18,FALSE),"-")</f>
        <v>-</v>
      </c>
      <c r="BH563" s="50" t="str">
        <f t="shared" si="146"/>
        <v>-</v>
      </c>
      <c r="BI563" s="50" t="str">
        <f>IFERROR(VLOOKUP(BF563,'[1]WCVI Esc'!$C$5:$W$514,19,FALSE),"-")</f>
        <v>-</v>
      </c>
      <c r="BJ563" s="50" t="str">
        <f t="shared" si="147"/>
        <v>-</v>
      </c>
    </row>
    <row r="564" spans="1:62" hidden="1" x14ac:dyDescent="0.2">
      <c r="A564" s="28">
        <v>4</v>
      </c>
      <c r="B564" s="28">
        <v>4</v>
      </c>
      <c r="C564" s="11">
        <v>23</v>
      </c>
      <c r="D564" s="13" t="s">
        <v>319</v>
      </c>
      <c r="E564" s="10" t="s">
        <v>90</v>
      </c>
      <c r="F564" s="10" t="s">
        <v>209</v>
      </c>
      <c r="G564" s="10"/>
      <c r="H564" s="152"/>
      <c r="I564" s="164"/>
      <c r="J564" s="62"/>
      <c r="K564" s="62"/>
      <c r="L564" s="177"/>
      <c r="M564" s="171"/>
      <c r="N564" s="62"/>
      <c r="O564" s="62"/>
      <c r="P564" s="62"/>
      <c r="Q564" s="64"/>
      <c r="R564" s="164"/>
      <c r="S564" s="62"/>
      <c r="T564" s="62"/>
      <c r="U564" s="62"/>
      <c r="V564" s="177"/>
      <c r="W564" s="171"/>
      <c r="X564" s="62"/>
      <c r="Y564" s="45"/>
      <c r="Z564" s="45"/>
      <c r="AA564" s="100"/>
      <c r="AB564" s="100"/>
      <c r="AC564" s="24"/>
      <c r="AD564" s="24"/>
      <c r="AE564" s="24"/>
      <c r="AF564" s="24"/>
      <c r="AG564" s="18">
        <v>23</v>
      </c>
      <c r="AH564" s="69" t="s">
        <v>319</v>
      </c>
      <c r="AI564" s="243" t="s">
        <v>90</v>
      </c>
      <c r="AJ564" s="243" t="s">
        <v>419</v>
      </c>
      <c r="AK564" s="246"/>
      <c r="AL564" s="43" t="str">
        <f t="shared" si="148"/>
        <v>-</v>
      </c>
      <c r="AM564" s="43">
        <f t="shared" si="136"/>
        <v>0</v>
      </c>
      <c r="AN564" s="193">
        <f t="shared" si="136"/>
        <v>0</v>
      </c>
      <c r="AO564" s="270" t="str">
        <f t="shared" si="137"/>
        <v>-</v>
      </c>
      <c r="AP564" s="266"/>
      <c r="AQ564" s="26" t="str">
        <f t="shared" si="144"/>
        <v>COLEMAN CREEKChum</v>
      </c>
      <c r="AR564" s="26">
        <f t="shared" si="138"/>
        <v>0</v>
      </c>
      <c r="AS564" s="33">
        <f t="shared" si="139"/>
        <v>0</v>
      </c>
      <c r="AX564" s="47" t="str">
        <f t="shared" si="140"/>
        <v>COLEMAN CREEKChum</v>
      </c>
      <c r="AY564" s="49">
        <f t="shared" si="141"/>
        <v>0</v>
      </c>
      <c r="AZ564" s="49">
        <f t="shared" si="142"/>
        <v>0</v>
      </c>
      <c r="BA564" s="31">
        <v>2003</v>
      </c>
      <c r="BB564" s="188">
        <f t="shared" si="145"/>
        <v>0</v>
      </c>
      <c r="BC564" s="188" t="str">
        <f t="shared" si="149"/>
        <v xml:space="preserve"> </v>
      </c>
      <c r="BD564" s="188" t="str">
        <f t="shared" si="150"/>
        <v xml:space="preserve"> </v>
      </c>
      <c r="BE564" s="188" t="str">
        <f t="shared" si="151"/>
        <v xml:space="preserve"> </v>
      </c>
      <c r="BF564" s="50" t="str">
        <f t="shared" si="143"/>
        <v>COLEMAN CREEK_Chum</v>
      </c>
      <c r="BG564" s="50" t="str">
        <f>IFERROR(VLOOKUP(BF564,'[1]WCVI Esc'!$C$5:$W$514,18,FALSE),"-")</f>
        <v>-</v>
      </c>
      <c r="BH564" s="50" t="str">
        <f t="shared" si="146"/>
        <v>-</v>
      </c>
      <c r="BI564" s="50" t="str">
        <f>IFERROR(VLOOKUP(BF564,'[1]WCVI Esc'!$C$5:$W$514,19,FALSE),"-")</f>
        <v>-</v>
      </c>
      <c r="BJ564" s="50" t="str">
        <f t="shared" si="147"/>
        <v>-</v>
      </c>
    </row>
    <row r="565" spans="1:62" hidden="1" x14ac:dyDescent="0.2">
      <c r="A565" s="28">
        <v>4</v>
      </c>
      <c r="B565" s="28">
        <v>5</v>
      </c>
      <c r="C565" s="11">
        <v>23</v>
      </c>
      <c r="D565" s="13" t="s">
        <v>319</v>
      </c>
      <c r="E565" s="10" t="s">
        <v>90</v>
      </c>
      <c r="F565" s="10" t="s">
        <v>210</v>
      </c>
      <c r="G565" s="10"/>
      <c r="H565" s="152"/>
      <c r="I565" s="164"/>
      <c r="J565" s="62"/>
      <c r="K565" s="62"/>
      <c r="L565" s="177"/>
      <c r="M565" s="171"/>
      <c r="N565" s="62"/>
      <c r="O565" s="62"/>
      <c r="P565" s="62"/>
      <c r="Q565" s="64"/>
      <c r="R565" s="164"/>
      <c r="S565" s="62"/>
      <c r="T565" s="62"/>
      <c r="U565" s="62"/>
      <c r="V565" s="177"/>
      <c r="W565" s="171"/>
      <c r="X565" s="62"/>
      <c r="Y565" s="45"/>
      <c r="Z565" s="45"/>
      <c r="AA565" s="100"/>
      <c r="AB565" s="100"/>
      <c r="AC565" s="24"/>
      <c r="AD565" s="24"/>
      <c r="AE565" s="24"/>
      <c r="AF565" s="24"/>
      <c r="AG565" s="18">
        <v>23</v>
      </c>
      <c r="AH565" s="69" t="s">
        <v>319</v>
      </c>
      <c r="AI565" s="243" t="s">
        <v>90</v>
      </c>
      <c r="AJ565" s="243" t="s">
        <v>419</v>
      </c>
      <c r="AK565" s="246"/>
      <c r="AL565" s="43" t="str">
        <f t="shared" si="148"/>
        <v>-</v>
      </c>
      <c r="AM565" s="43">
        <f t="shared" si="136"/>
        <v>0</v>
      </c>
      <c r="AN565" s="193">
        <f t="shared" si="136"/>
        <v>0</v>
      </c>
      <c r="AO565" s="270" t="str">
        <f t="shared" si="137"/>
        <v>-</v>
      </c>
      <c r="AP565" s="266"/>
      <c r="AQ565" s="26" t="str">
        <f t="shared" si="144"/>
        <v>COLEMAN CREEKChinook</v>
      </c>
      <c r="AR565" s="26">
        <f t="shared" si="138"/>
        <v>0</v>
      </c>
      <c r="AS565" s="33">
        <f t="shared" si="139"/>
        <v>0</v>
      </c>
      <c r="AX565" s="47" t="str">
        <f t="shared" si="140"/>
        <v>COLEMAN CREEKChinook</v>
      </c>
      <c r="AY565" s="49">
        <f t="shared" si="141"/>
        <v>0</v>
      </c>
      <c r="AZ565" s="49">
        <f t="shared" si="142"/>
        <v>0</v>
      </c>
      <c r="BA565" s="31">
        <v>0</v>
      </c>
      <c r="BB565" s="188">
        <f t="shared" si="145"/>
        <v>0</v>
      </c>
      <c r="BC565" s="188" t="str">
        <f t="shared" si="149"/>
        <v xml:space="preserve"> </v>
      </c>
      <c r="BD565" s="188" t="str">
        <f t="shared" si="150"/>
        <v xml:space="preserve"> </v>
      </c>
      <c r="BE565" s="188" t="str">
        <f t="shared" si="151"/>
        <v xml:space="preserve"> </v>
      </c>
      <c r="BF565" s="50" t="str">
        <f t="shared" si="143"/>
        <v>COLEMAN CREEK_Chinook</v>
      </c>
      <c r="BG565" s="50" t="str">
        <f>IFERROR(VLOOKUP(BF565,'[1]WCVI Esc'!$C$5:$W$514,18,FALSE),"-")</f>
        <v>-</v>
      </c>
      <c r="BH565" s="50" t="str">
        <f t="shared" si="146"/>
        <v>-</v>
      </c>
      <c r="BI565" s="50" t="str">
        <f>IFERROR(VLOOKUP(BF565,'[1]WCVI Esc'!$C$5:$W$514,19,FALSE),"-")</f>
        <v>-</v>
      </c>
      <c r="BJ565" s="50" t="str">
        <f t="shared" si="147"/>
        <v>-</v>
      </c>
    </row>
    <row r="566" spans="1:62" hidden="1" x14ac:dyDescent="0.2">
      <c r="A566" s="28">
        <v>4</v>
      </c>
      <c r="B566" s="28">
        <v>6</v>
      </c>
      <c r="C566" s="11">
        <v>23</v>
      </c>
      <c r="D566" s="13" t="s">
        <v>319</v>
      </c>
      <c r="E566" s="10" t="s">
        <v>90</v>
      </c>
      <c r="F566" s="10" t="s">
        <v>211</v>
      </c>
      <c r="G566" s="10"/>
      <c r="H566" s="152"/>
      <c r="I566" s="164"/>
      <c r="J566" s="62"/>
      <c r="K566" s="62"/>
      <c r="L566" s="177"/>
      <c r="M566" s="171"/>
      <c r="N566" s="62"/>
      <c r="O566" s="62"/>
      <c r="P566" s="62"/>
      <c r="Q566" s="64"/>
      <c r="R566" s="164"/>
      <c r="S566" s="62"/>
      <c r="T566" s="62"/>
      <c r="U566" s="62"/>
      <c r="V566" s="177"/>
      <c r="W566" s="171"/>
      <c r="X566" s="62"/>
      <c r="Y566" s="45"/>
      <c r="Z566" s="45"/>
      <c r="AA566" s="100"/>
      <c r="AB566" s="100"/>
      <c r="AC566" s="24"/>
      <c r="AD566" s="24"/>
      <c r="AE566" s="24"/>
      <c r="AF566" s="24"/>
      <c r="AG566" s="18">
        <v>23</v>
      </c>
      <c r="AH566" s="69" t="s">
        <v>319</v>
      </c>
      <c r="AI566" s="243" t="s">
        <v>90</v>
      </c>
      <c r="AJ566" s="243" t="s">
        <v>419</v>
      </c>
      <c r="AK566" s="246"/>
      <c r="AL566" s="43" t="str">
        <f t="shared" si="148"/>
        <v>-</v>
      </c>
      <c r="AM566" s="43">
        <f t="shared" si="136"/>
        <v>0</v>
      </c>
      <c r="AN566" s="193">
        <f t="shared" si="136"/>
        <v>0</v>
      </c>
      <c r="AO566" s="270" t="str">
        <f t="shared" si="137"/>
        <v>-</v>
      </c>
      <c r="AP566" s="266"/>
      <c r="AQ566" s="26" t="str">
        <f t="shared" si="144"/>
        <v>COLEMAN CREEKSteelhead</v>
      </c>
      <c r="AR566" s="26">
        <f t="shared" si="138"/>
        <v>0</v>
      </c>
      <c r="AS566" s="33">
        <f t="shared" si="139"/>
        <v>0</v>
      </c>
      <c r="AX566" s="47" t="str">
        <f t="shared" si="140"/>
        <v>COLEMAN CREEKSteelhead</v>
      </c>
      <c r="AY566" s="49">
        <f t="shared" si="141"/>
        <v>0</v>
      </c>
      <c r="AZ566" s="49">
        <f t="shared" si="142"/>
        <v>0</v>
      </c>
      <c r="BA566" s="31">
        <v>0</v>
      </c>
      <c r="BB566" s="188">
        <f t="shared" si="145"/>
        <v>0</v>
      </c>
      <c r="BC566" s="188" t="str">
        <f t="shared" si="149"/>
        <v xml:space="preserve"> </v>
      </c>
      <c r="BD566" s="188" t="str">
        <f t="shared" si="150"/>
        <v xml:space="preserve"> </v>
      </c>
      <c r="BE566" s="188" t="str">
        <f t="shared" si="151"/>
        <v xml:space="preserve"> </v>
      </c>
      <c r="BF566" s="50" t="str">
        <f t="shared" si="143"/>
        <v>COLEMAN CREEK_Steelhead</v>
      </c>
      <c r="BG566" s="50" t="str">
        <f>IFERROR(VLOOKUP(BF566,'[1]WCVI Esc'!$C$5:$W$514,18,FALSE),"-")</f>
        <v>-</v>
      </c>
      <c r="BH566" s="50" t="str">
        <f t="shared" si="146"/>
        <v>-</v>
      </c>
      <c r="BI566" s="50" t="str">
        <f>IFERROR(VLOOKUP(BF566,'[1]WCVI Esc'!$C$5:$W$514,19,FALSE),"-")</f>
        <v>-</v>
      </c>
      <c r="BJ566" s="50" t="str">
        <f t="shared" si="147"/>
        <v>-</v>
      </c>
    </row>
    <row r="567" spans="1:62" hidden="1" x14ac:dyDescent="0.2">
      <c r="A567" s="28">
        <v>4</v>
      </c>
      <c r="B567" s="28">
        <v>1</v>
      </c>
      <c r="C567" s="11">
        <v>23</v>
      </c>
      <c r="D567" s="13" t="s">
        <v>319</v>
      </c>
      <c r="E567" s="10" t="s">
        <v>91</v>
      </c>
      <c r="F567" s="10" t="s">
        <v>207</v>
      </c>
      <c r="G567" s="10"/>
      <c r="H567" s="152"/>
      <c r="I567" s="164"/>
      <c r="J567" s="62"/>
      <c r="K567" s="62"/>
      <c r="L567" s="177"/>
      <c r="M567" s="171"/>
      <c r="N567" s="62"/>
      <c r="O567" s="62"/>
      <c r="P567" s="62"/>
      <c r="Q567" s="64"/>
      <c r="R567" s="164"/>
      <c r="S567" s="62"/>
      <c r="T567" s="62"/>
      <c r="U567" s="62"/>
      <c r="V567" s="177"/>
      <c r="W567" s="171"/>
      <c r="X567" s="62"/>
      <c r="Y567" s="45"/>
      <c r="Z567" s="45"/>
      <c r="AA567" s="100"/>
      <c r="AB567" s="100"/>
      <c r="AC567" s="24"/>
      <c r="AD567" s="24"/>
      <c r="AE567" s="24"/>
      <c r="AF567" s="24"/>
      <c r="AG567" s="18">
        <v>23</v>
      </c>
      <c r="AH567" s="69" t="s">
        <v>319</v>
      </c>
      <c r="AI567" s="243" t="s">
        <v>91</v>
      </c>
      <c r="AJ567" s="243" t="s">
        <v>419</v>
      </c>
      <c r="AK567" s="246"/>
      <c r="AL567" s="43" t="str">
        <f t="shared" si="148"/>
        <v>-</v>
      </c>
      <c r="AM567" s="43">
        <f t="shared" si="136"/>
        <v>0</v>
      </c>
      <c r="AN567" s="193">
        <f t="shared" si="136"/>
        <v>0</v>
      </c>
      <c r="AO567" s="270" t="str">
        <f t="shared" si="137"/>
        <v>-</v>
      </c>
      <c r="AP567" s="266"/>
      <c r="AQ567" s="26" t="str">
        <f t="shared" si="144"/>
        <v>CONSINKA CREEKSockeye</v>
      </c>
      <c r="AR567" s="26">
        <f t="shared" si="138"/>
        <v>0</v>
      </c>
      <c r="AS567" s="33">
        <f t="shared" si="139"/>
        <v>0</v>
      </c>
      <c r="AX567" s="47" t="str">
        <f t="shared" si="140"/>
        <v>CONSINKA CREEKSockeye</v>
      </c>
      <c r="AY567" s="49">
        <f t="shared" si="141"/>
        <v>0</v>
      </c>
      <c r="AZ567" s="49">
        <f t="shared" si="142"/>
        <v>0</v>
      </c>
      <c r="BA567" s="31">
        <v>0</v>
      </c>
      <c r="BB567" s="188">
        <f t="shared" si="145"/>
        <v>0</v>
      </c>
      <c r="BC567" s="188" t="str">
        <f t="shared" si="149"/>
        <v xml:space="preserve"> </v>
      </c>
      <c r="BD567" s="188" t="str">
        <f t="shared" si="150"/>
        <v xml:space="preserve"> </v>
      </c>
      <c r="BE567" s="188" t="str">
        <f t="shared" si="151"/>
        <v xml:space="preserve"> </v>
      </c>
      <c r="BF567" s="50" t="str">
        <f t="shared" si="143"/>
        <v>CONSINKA CREEK_Sockeye</v>
      </c>
      <c r="BG567" s="50" t="str">
        <f>IFERROR(VLOOKUP(BF567,'[1]WCVI Esc'!$C$5:$W$514,18,FALSE),"-")</f>
        <v>-</v>
      </c>
      <c r="BH567" s="50" t="str">
        <f t="shared" si="146"/>
        <v>-</v>
      </c>
      <c r="BI567" s="50" t="str">
        <f>IFERROR(VLOOKUP(BF567,'[1]WCVI Esc'!$C$5:$W$514,19,FALSE),"-")</f>
        <v>-</v>
      </c>
      <c r="BJ567" s="50" t="str">
        <f t="shared" si="147"/>
        <v>-</v>
      </c>
    </row>
    <row r="568" spans="1:62" hidden="1" x14ac:dyDescent="0.2">
      <c r="A568" s="28">
        <v>4</v>
      </c>
      <c r="B568" s="28">
        <v>2</v>
      </c>
      <c r="C568" s="11">
        <v>23</v>
      </c>
      <c r="D568" s="13" t="s">
        <v>319</v>
      </c>
      <c r="E568" s="10" t="s">
        <v>91</v>
      </c>
      <c r="F568" s="10" t="s">
        <v>219</v>
      </c>
      <c r="G568" s="10"/>
      <c r="H568" s="152"/>
      <c r="I568" s="164"/>
      <c r="J568" s="62"/>
      <c r="K568" s="62"/>
      <c r="L568" s="177"/>
      <c r="M568" s="171"/>
      <c r="N568" s="62"/>
      <c r="O568" s="62"/>
      <c r="P568" s="62"/>
      <c r="Q568" s="64"/>
      <c r="R568" s="164"/>
      <c r="S568" s="62"/>
      <c r="T568" s="62"/>
      <c r="U568" s="62"/>
      <c r="V568" s="177"/>
      <c r="W568" s="171"/>
      <c r="X568" s="62"/>
      <c r="Y568" s="45"/>
      <c r="Z568" s="45"/>
      <c r="AA568" s="100"/>
      <c r="AB568" s="100"/>
      <c r="AC568" s="24"/>
      <c r="AD568" s="24"/>
      <c r="AE568" s="24"/>
      <c r="AF568" s="24"/>
      <c r="AG568" s="18">
        <v>23</v>
      </c>
      <c r="AH568" s="69" t="s">
        <v>319</v>
      </c>
      <c r="AI568" s="243" t="s">
        <v>91</v>
      </c>
      <c r="AJ568" s="243" t="s">
        <v>419</v>
      </c>
      <c r="AK568" s="246"/>
      <c r="AL568" s="43" t="str">
        <f t="shared" si="148"/>
        <v>-</v>
      </c>
      <c r="AM568" s="43">
        <f t="shared" si="136"/>
        <v>0</v>
      </c>
      <c r="AN568" s="193">
        <f t="shared" si="136"/>
        <v>0</v>
      </c>
      <c r="AO568" s="270">
        <f t="shared" si="137"/>
        <v>0</v>
      </c>
      <c r="AP568" s="265">
        <f>BJ568</f>
        <v>0</v>
      </c>
      <c r="AQ568" s="26" t="str">
        <f t="shared" si="144"/>
        <v>CONSINKA CREEKCoho</v>
      </c>
      <c r="AR568" s="26">
        <f t="shared" si="138"/>
        <v>0</v>
      </c>
      <c r="AS568" s="33">
        <f t="shared" si="139"/>
        <v>0</v>
      </c>
      <c r="AX568" s="47" t="str">
        <f t="shared" si="140"/>
        <v>CONSINKA CREEKCoho</v>
      </c>
      <c r="AY568" s="49">
        <f t="shared" si="141"/>
        <v>0</v>
      </c>
      <c r="AZ568" s="49">
        <f t="shared" si="142"/>
        <v>0</v>
      </c>
      <c r="BA568" s="31">
        <v>0</v>
      </c>
      <c r="BB568" s="188">
        <f t="shared" si="145"/>
        <v>0</v>
      </c>
      <c r="BC568" s="188" t="str">
        <f t="shared" si="149"/>
        <v xml:space="preserve"> </v>
      </c>
      <c r="BD568" s="188" t="str">
        <f t="shared" si="150"/>
        <v xml:space="preserve"> </v>
      </c>
      <c r="BE568" s="188" t="str">
        <f t="shared" si="151"/>
        <v xml:space="preserve"> </v>
      </c>
      <c r="BF568" s="50" t="str">
        <f t="shared" si="143"/>
        <v>CONSINKA CREEK_Coho</v>
      </c>
      <c r="BG568" s="50">
        <f>IFERROR(VLOOKUP(BF568,'[1]WCVI Esc'!$C$5:$W$514,18,FALSE),"-")</f>
        <v>2</v>
      </c>
      <c r="BH568" s="50">
        <f t="shared" si="146"/>
        <v>0</v>
      </c>
      <c r="BI568" s="50">
        <f>IFERROR(VLOOKUP(BF568,'[1]WCVI Esc'!$C$5:$W$514,19,FALSE),"-")</f>
        <v>2</v>
      </c>
      <c r="BJ568" s="50">
        <f t="shared" si="147"/>
        <v>0</v>
      </c>
    </row>
    <row r="569" spans="1:62" hidden="1" x14ac:dyDescent="0.2">
      <c r="A569" s="28">
        <v>4</v>
      </c>
      <c r="B569" s="28">
        <v>3</v>
      </c>
      <c r="C569" s="11">
        <v>23</v>
      </c>
      <c r="D569" s="13" t="s">
        <v>319</v>
      </c>
      <c r="E569" s="10" t="s">
        <v>91</v>
      </c>
      <c r="F569" s="10" t="s">
        <v>208</v>
      </c>
      <c r="G569" s="10"/>
      <c r="H569" s="152"/>
      <c r="I569" s="164"/>
      <c r="J569" s="62"/>
      <c r="K569" s="62"/>
      <c r="L569" s="177"/>
      <c r="M569" s="171"/>
      <c r="N569" s="62"/>
      <c r="O569" s="62"/>
      <c r="P569" s="62"/>
      <c r="Q569" s="64"/>
      <c r="R569" s="164"/>
      <c r="S569" s="62"/>
      <c r="T569" s="62"/>
      <c r="U569" s="62"/>
      <c r="V569" s="177"/>
      <c r="W569" s="171"/>
      <c r="X569" s="62"/>
      <c r="Y569" s="45"/>
      <c r="Z569" s="45"/>
      <c r="AA569" s="100"/>
      <c r="AB569" s="100"/>
      <c r="AC569" s="24"/>
      <c r="AD569" s="24"/>
      <c r="AE569" s="24"/>
      <c r="AF569" s="24"/>
      <c r="AG569" s="18">
        <v>23</v>
      </c>
      <c r="AH569" s="69" t="s">
        <v>319</v>
      </c>
      <c r="AI569" s="243" t="s">
        <v>91</v>
      </c>
      <c r="AJ569" s="243" t="s">
        <v>419</v>
      </c>
      <c r="AK569" s="246"/>
      <c r="AL569" s="43" t="str">
        <f t="shared" si="148"/>
        <v>-</v>
      </c>
      <c r="AM569" s="43">
        <f t="shared" si="136"/>
        <v>0</v>
      </c>
      <c r="AN569" s="193">
        <f t="shared" si="136"/>
        <v>0</v>
      </c>
      <c r="AO569" s="270" t="str">
        <f t="shared" si="137"/>
        <v>-</v>
      </c>
      <c r="AP569" s="266"/>
      <c r="AQ569" s="26" t="str">
        <f t="shared" si="144"/>
        <v>CONSINKA CREEKPink</v>
      </c>
      <c r="AR569" s="26">
        <f t="shared" si="138"/>
        <v>0</v>
      </c>
      <c r="AS569" s="33">
        <f t="shared" si="139"/>
        <v>0</v>
      </c>
      <c r="AX569" s="47" t="str">
        <f t="shared" si="140"/>
        <v>CONSINKA CREEKPink</v>
      </c>
      <c r="AY569" s="49">
        <f t="shared" si="141"/>
        <v>0</v>
      </c>
      <c r="AZ569" s="49">
        <f t="shared" si="142"/>
        <v>0</v>
      </c>
      <c r="BA569" s="31">
        <v>0</v>
      </c>
      <c r="BB569" s="188">
        <f t="shared" si="145"/>
        <v>0</v>
      </c>
      <c r="BC569" s="188" t="str">
        <f t="shared" si="149"/>
        <v xml:space="preserve"> </v>
      </c>
      <c r="BD569" s="188" t="str">
        <f t="shared" si="150"/>
        <v xml:space="preserve"> </v>
      </c>
      <c r="BE569" s="188" t="str">
        <f t="shared" si="151"/>
        <v xml:space="preserve"> </v>
      </c>
      <c r="BF569" s="50" t="str">
        <f t="shared" si="143"/>
        <v>CONSINKA CREEK_Pink</v>
      </c>
      <c r="BG569" s="50" t="str">
        <f>IFERROR(VLOOKUP(BF569,'[1]WCVI Esc'!$C$5:$W$514,18,FALSE),"-")</f>
        <v>-</v>
      </c>
      <c r="BH569" s="50" t="str">
        <f t="shared" si="146"/>
        <v>-</v>
      </c>
      <c r="BI569" s="50" t="str">
        <f>IFERROR(VLOOKUP(BF569,'[1]WCVI Esc'!$C$5:$W$514,19,FALSE),"-")</f>
        <v>-</v>
      </c>
      <c r="BJ569" s="50" t="str">
        <f t="shared" si="147"/>
        <v>-</v>
      </c>
    </row>
    <row r="570" spans="1:62" hidden="1" x14ac:dyDescent="0.2">
      <c r="A570" s="28">
        <v>4</v>
      </c>
      <c r="B570" s="28">
        <v>4</v>
      </c>
      <c r="C570" s="11">
        <v>23</v>
      </c>
      <c r="D570" s="13" t="s">
        <v>319</v>
      </c>
      <c r="E570" s="10" t="s">
        <v>91</v>
      </c>
      <c r="F570" s="10" t="s">
        <v>209</v>
      </c>
      <c r="G570" s="10"/>
      <c r="H570" s="152"/>
      <c r="I570" s="164"/>
      <c r="J570" s="62"/>
      <c r="K570" s="62"/>
      <c r="L570" s="177"/>
      <c r="M570" s="171"/>
      <c r="N570" s="62"/>
      <c r="O570" s="62"/>
      <c r="P570" s="62"/>
      <c r="Q570" s="64"/>
      <c r="R570" s="164"/>
      <c r="S570" s="62"/>
      <c r="T570" s="62"/>
      <c r="U570" s="62"/>
      <c r="V570" s="177"/>
      <c r="W570" s="171"/>
      <c r="X570" s="62"/>
      <c r="Y570" s="45"/>
      <c r="Z570" s="45"/>
      <c r="AA570" s="100">
        <f>Y570/AP570</f>
        <v>0</v>
      </c>
      <c r="AB570" s="100">
        <f>AS570/AP570</f>
        <v>0</v>
      </c>
      <c r="AC570" s="24"/>
      <c r="AD570" s="24"/>
      <c r="AE570" s="24"/>
      <c r="AF570" s="24"/>
      <c r="AG570" s="18">
        <v>23</v>
      </c>
      <c r="AH570" s="69" t="s">
        <v>319</v>
      </c>
      <c r="AI570" s="243" t="s">
        <v>91</v>
      </c>
      <c r="AJ570" s="243" t="s">
        <v>419</v>
      </c>
      <c r="AK570" s="246"/>
      <c r="AL570" s="43" t="str">
        <f t="shared" si="148"/>
        <v>-</v>
      </c>
      <c r="AM570" s="43">
        <f t="shared" si="136"/>
        <v>0</v>
      </c>
      <c r="AN570" s="193">
        <f t="shared" si="136"/>
        <v>0</v>
      </c>
      <c r="AO570" s="270" t="str">
        <f t="shared" si="137"/>
        <v>-</v>
      </c>
      <c r="AP570" s="265">
        <f>BJ570</f>
        <v>320</v>
      </c>
      <c r="AQ570" s="26" t="str">
        <f t="shared" si="144"/>
        <v>CONSINKA CREEKChum</v>
      </c>
      <c r="AR570" s="26">
        <f t="shared" si="138"/>
        <v>0</v>
      </c>
      <c r="AS570" s="33">
        <f t="shared" si="139"/>
        <v>0</v>
      </c>
      <c r="AX570" s="47" t="str">
        <f t="shared" si="140"/>
        <v>CONSINKA CREEKChum</v>
      </c>
      <c r="AY570" s="49">
        <f t="shared" si="141"/>
        <v>0</v>
      </c>
      <c r="AZ570" s="49">
        <f t="shared" si="142"/>
        <v>0</v>
      </c>
      <c r="BA570" s="31">
        <v>2011</v>
      </c>
      <c r="BB570" s="188">
        <f t="shared" si="145"/>
        <v>0</v>
      </c>
      <c r="BC570" s="188" t="str">
        <f t="shared" si="149"/>
        <v xml:space="preserve"> </v>
      </c>
      <c r="BD570" s="188" t="str">
        <f t="shared" si="150"/>
        <v xml:space="preserve"> </v>
      </c>
      <c r="BE570" s="188" t="str">
        <f t="shared" si="151"/>
        <v xml:space="preserve"> </v>
      </c>
      <c r="BF570" s="50" t="str">
        <f t="shared" si="143"/>
        <v>CONSINKA CREEK_Chum</v>
      </c>
      <c r="BG570" s="50" t="str">
        <f>IFERROR(VLOOKUP(BF570,'[1]WCVI Esc'!$C$5:$W$514,18,FALSE),"-")</f>
        <v>-</v>
      </c>
      <c r="BH570" s="50" t="str">
        <f t="shared" si="146"/>
        <v>-</v>
      </c>
      <c r="BI570" s="50">
        <f>IFERROR(VLOOKUP(BF570,'[1]WCVI Esc'!$C$5:$W$514,19,FALSE),"-")</f>
        <v>320</v>
      </c>
      <c r="BJ570" s="50">
        <f t="shared" si="147"/>
        <v>320</v>
      </c>
    </row>
    <row r="571" spans="1:62" hidden="1" x14ac:dyDescent="0.2">
      <c r="A571" s="28">
        <v>4</v>
      </c>
      <c r="B571" s="28">
        <v>5</v>
      </c>
      <c r="C571" s="11">
        <v>23</v>
      </c>
      <c r="D571" s="13" t="s">
        <v>319</v>
      </c>
      <c r="E571" s="10" t="s">
        <v>91</v>
      </c>
      <c r="F571" s="10" t="s">
        <v>210</v>
      </c>
      <c r="G571" s="10"/>
      <c r="H571" s="152"/>
      <c r="I571" s="164"/>
      <c r="J571" s="62"/>
      <c r="K571" s="62"/>
      <c r="L571" s="177"/>
      <c r="M571" s="171"/>
      <c r="N571" s="62"/>
      <c r="O571" s="62"/>
      <c r="P571" s="62"/>
      <c r="Q571" s="64"/>
      <c r="R571" s="164"/>
      <c r="S571" s="62"/>
      <c r="T571" s="62"/>
      <c r="U571" s="62"/>
      <c r="V571" s="177"/>
      <c r="W571" s="171"/>
      <c r="X571" s="62"/>
      <c r="Y571" s="45"/>
      <c r="Z571" s="45"/>
      <c r="AA571" s="100"/>
      <c r="AB571" s="100"/>
      <c r="AC571" s="24"/>
      <c r="AD571" s="24"/>
      <c r="AE571" s="24"/>
      <c r="AF571" s="24"/>
      <c r="AG571" s="18">
        <v>23</v>
      </c>
      <c r="AH571" s="69" t="s">
        <v>319</v>
      </c>
      <c r="AI571" s="243" t="s">
        <v>91</v>
      </c>
      <c r="AJ571" s="243" t="s">
        <v>419</v>
      </c>
      <c r="AK571" s="246"/>
      <c r="AL571" s="43" t="str">
        <f t="shared" si="148"/>
        <v>-</v>
      </c>
      <c r="AM571" s="43">
        <f t="shared" si="136"/>
        <v>0</v>
      </c>
      <c r="AN571" s="193">
        <f t="shared" si="136"/>
        <v>0</v>
      </c>
      <c r="AO571" s="270" t="str">
        <f t="shared" si="137"/>
        <v>-</v>
      </c>
      <c r="AP571" s="266"/>
      <c r="AQ571" s="26" t="str">
        <f t="shared" si="144"/>
        <v>CONSINKA CREEKChinook</v>
      </c>
      <c r="AR571" s="26">
        <f t="shared" si="138"/>
        <v>0</v>
      </c>
      <c r="AS571" s="33">
        <f t="shared" si="139"/>
        <v>0</v>
      </c>
      <c r="AX571" s="47" t="str">
        <f t="shared" si="140"/>
        <v>CONSINKA CREEKChinook</v>
      </c>
      <c r="AY571" s="49">
        <f t="shared" si="141"/>
        <v>0</v>
      </c>
      <c r="AZ571" s="49">
        <f t="shared" si="142"/>
        <v>0</v>
      </c>
      <c r="BA571" s="31">
        <v>2011</v>
      </c>
      <c r="BB571" s="188">
        <f t="shared" si="145"/>
        <v>0</v>
      </c>
      <c r="BC571" s="188" t="str">
        <f t="shared" si="149"/>
        <v xml:space="preserve"> </v>
      </c>
      <c r="BD571" s="188" t="str">
        <f t="shared" si="150"/>
        <v xml:space="preserve"> </v>
      </c>
      <c r="BE571" s="188" t="str">
        <f t="shared" si="151"/>
        <v xml:space="preserve"> </v>
      </c>
      <c r="BF571" s="50" t="str">
        <f t="shared" si="143"/>
        <v>CONSINKA CREEK_Chinook</v>
      </c>
      <c r="BG571" s="50" t="str">
        <f>IFERROR(VLOOKUP(BF571,'[1]WCVI Esc'!$C$5:$W$514,18,FALSE),"-")</f>
        <v>-</v>
      </c>
      <c r="BH571" s="50" t="str">
        <f t="shared" si="146"/>
        <v>-</v>
      </c>
      <c r="BI571" s="50" t="str">
        <f>IFERROR(VLOOKUP(BF571,'[1]WCVI Esc'!$C$5:$W$514,19,FALSE),"-")</f>
        <v>-</v>
      </c>
      <c r="BJ571" s="50" t="str">
        <f t="shared" si="147"/>
        <v>-</v>
      </c>
    </row>
    <row r="572" spans="1:62" hidden="1" x14ac:dyDescent="0.2">
      <c r="A572" s="28">
        <v>4</v>
      </c>
      <c r="B572" s="28">
        <v>6</v>
      </c>
      <c r="C572" s="11">
        <v>23</v>
      </c>
      <c r="D572" s="13" t="s">
        <v>319</v>
      </c>
      <c r="E572" s="10" t="s">
        <v>91</v>
      </c>
      <c r="F572" s="10" t="s">
        <v>211</v>
      </c>
      <c r="G572" s="10"/>
      <c r="H572" s="152"/>
      <c r="I572" s="164"/>
      <c r="J572" s="62"/>
      <c r="K572" s="62"/>
      <c r="L572" s="177"/>
      <c r="M572" s="171"/>
      <c r="N572" s="62"/>
      <c r="O572" s="62"/>
      <c r="P572" s="62"/>
      <c r="Q572" s="64"/>
      <c r="R572" s="164"/>
      <c r="S572" s="62"/>
      <c r="T572" s="62"/>
      <c r="U572" s="62"/>
      <c r="V572" s="177"/>
      <c r="W572" s="171"/>
      <c r="X572" s="62"/>
      <c r="Y572" s="45"/>
      <c r="Z572" s="45"/>
      <c r="AA572" s="100"/>
      <c r="AB572" s="100"/>
      <c r="AC572" s="24"/>
      <c r="AD572" s="24"/>
      <c r="AE572" s="24"/>
      <c r="AF572" s="24"/>
      <c r="AG572" s="18">
        <v>23</v>
      </c>
      <c r="AH572" s="69" t="s">
        <v>319</v>
      </c>
      <c r="AI572" s="243" t="s">
        <v>91</v>
      </c>
      <c r="AJ572" s="243" t="s">
        <v>419</v>
      </c>
      <c r="AK572" s="246"/>
      <c r="AL572" s="43" t="str">
        <f t="shared" si="148"/>
        <v>-</v>
      </c>
      <c r="AM572" s="43">
        <f t="shared" si="136"/>
        <v>0</v>
      </c>
      <c r="AN572" s="193">
        <f t="shared" si="136"/>
        <v>0</v>
      </c>
      <c r="AO572" s="270" t="str">
        <f t="shared" si="137"/>
        <v>-</v>
      </c>
      <c r="AP572" s="266"/>
      <c r="AQ572" s="26" t="str">
        <f t="shared" si="144"/>
        <v>CONSINKA CREEKSteelhead</v>
      </c>
      <c r="AR572" s="26">
        <f t="shared" si="138"/>
        <v>0</v>
      </c>
      <c r="AS572" s="33">
        <f t="shared" si="139"/>
        <v>0</v>
      </c>
      <c r="AX572" s="47" t="str">
        <f t="shared" si="140"/>
        <v>CONSINKA CREEKSteelhead</v>
      </c>
      <c r="AY572" s="49">
        <f t="shared" si="141"/>
        <v>0</v>
      </c>
      <c r="AZ572" s="49">
        <f t="shared" si="142"/>
        <v>0</v>
      </c>
      <c r="BA572" s="31">
        <v>0</v>
      </c>
      <c r="BB572" s="188">
        <f t="shared" si="145"/>
        <v>0</v>
      </c>
      <c r="BC572" s="188" t="str">
        <f t="shared" si="149"/>
        <v xml:space="preserve"> </v>
      </c>
      <c r="BD572" s="188" t="str">
        <f t="shared" si="150"/>
        <v xml:space="preserve"> </v>
      </c>
      <c r="BE572" s="188" t="str">
        <f t="shared" si="151"/>
        <v xml:space="preserve"> </v>
      </c>
      <c r="BF572" s="50" t="str">
        <f t="shared" si="143"/>
        <v>CONSINKA CREEK_Steelhead</v>
      </c>
      <c r="BG572" s="50" t="str">
        <f>IFERROR(VLOOKUP(BF572,'[1]WCVI Esc'!$C$5:$W$514,18,FALSE),"-")</f>
        <v>-</v>
      </c>
      <c r="BH572" s="50" t="str">
        <f t="shared" si="146"/>
        <v>-</v>
      </c>
      <c r="BI572" s="50" t="str">
        <f>IFERROR(VLOOKUP(BF572,'[1]WCVI Esc'!$C$5:$W$514,19,FALSE),"-")</f>
        <v>-</v>
      </c>
      <c r="BJ572" s="50" t="str">
        <f t="shared" si="147"/>
        <v>-</v>
      </c>
    </row>
    <row r="573" spans="1:62" hidden="1" x14ac:dyDescent="0.2">
      <c r="A573" s="28">
        <v>4</v>
      </c>
      <c r="B573" s="28">
        <v>1</v>
      </c>
      <c r="C573" s="11">
        <v>23</v>
      </c>
      <c r="D573" s="13" t="s">
        <v>356</v>
      </c>
      <c r="E573" s="10" t="s">
        <v>92</v>
      </c>
      <c r="F573" s="10" t="s">
        <v>207</v>
      </c>
      <c r="G573" s="10"/>
      <c r="H573" s="152"/>
      <c r="I573" s="155"/>
      <c r="J573" s="106"/>
      <c r="K573" s="94"/>
      <c r="L573" s="180"/>
      <c r="M573" s="173"/>
      <c r="N573" s="106"/>
      <c r="O573" s="106"/>
      <c r="P573" s="63"/>
      <c r="Q573" s="162"/>
      <c r="R573" s="164"/>
      <c r="S573" s="62"/>
      <c r="T573" s="63"/>
      <c r="U573" s="62"/>
      <c r="V573" s="177"/>
      <c r="W573" s="171"/>
      <c r="X573" s="62"/>
      <c r="Y573" s="45"/>
      <c r="Z573" s="44"/>
      <c r="AA573" s="100"/>
      <c r="AB573" s="100"/>
      <c r="AG573" s="18">
        <v>23</v>
      </c>
      <c r="AH573" s="69" t="s">
        <v>356</v>
      </c>
      <c r="AI573" s="243" t="s">
        <v>92</v>
      </c>
      <c r="AJ573" s="243" t="s">
        <v>419</v>
      </c>
      <c r="AK573" s="246"/>
      <c r="AL573" s="43" t="str">
        <f t="shared" si="148"/>
        <v>-</v>
      </c>
      <c r="AM573" s="43">
        <f t="shared" si="136"/>
        <v>0</v>
      </c>
      <c r="AN573" s="193">
        <f t="shared" si="136"/>
        <v>0</v>
      </c>
      <c r="AO573" s="264" t="str">
        <f t="shared" si="137"/>
        <v>-</v>
      </c>
      <c r="AP573" s="266"/>
      <c r="AQ573" s="26" t="str">
        <f t="shared" si="144"/>
        <v>COUS CREEKSockeye</v>
      </c>
      <c r="AR573" s="26">
        <f t="shared" si="138"/>
        <v>0</v>
      </c>
      <c r="AS573" s="33">
        <f t="shared" si="139"/>
        <v>0</v>
      </c>
      <c r="AX573" s="47" t="str">
        <f t="shared" si="140"/>
        <v>COUS CREEKSockeye</v>
      </c>
      <c r="AY573" s="49">
        <f t="shared" si="141"/>
        <v>0</v>
      </c>
      <c r="AZ573" s="49">
        <f t="shared" si="142"/>
        <v>0</v>
      </c>
      <c r="BA573" s="31">
        <v>0</v>
      </c>
      <c r="BB573" s="188">
        <f t="shared" si="145"/>
        <v>0</v>
      </c>
      <c r="BC573" s="188" t="str">
        <f t="shared" si="149"/>
        <v xml:space="preserve"> </v>
      </c>
      <c r="BD573" s="188" t="str">
        <f t="shared" si="150"/>
        <v xml:space="preserve"> </v>
      </c>
      <c r="BE573" s="188" t="str">
        <f t="shared" si="151"/>
        <v xml:space="preserve"> </v>
      </c>
      <c r="BF573" s="50" t="str">
        <f t="shared" si="143"/>
        <v>COUS CREEK_Sockeye</v>
      </c>
      <c r="BG573" s="50" t="str">
        <f>IFERROR(VLOOKUP(BF573,'[1]WCVI Esc'!$C$5:$W$534,18,FALSE),"-")</f>
        <v>-</v>
      </c>
      <c r="BH573" s="50" t="str">
        <f t="shared" si="146"/>
        <v>-</v>
      </c>
      <c r="BI573" s="50" t="str">
        <f>IFERROR(VLOOKUP(BF573,'[1]WCVI Esc'!$C$5:$W$534,19,FALSE),"-")</f>
        <v>-</v>
      </c>
      <c r="BJ573" s="50" t="str">
        <f t="shared" si="147"/>
        <v>-</v>
      </c>
    </row>
    <row r="574" spans="1:62" hidden="1" x14ac:dyDescent="0.2">
      <c r="A574" s="28">
        <v>4</v>
      </c>
      <c r="B574" s="28">
        <v>2</v>
      </c>
      <c r="C574" s="11">
        <v>23</v>
      </c>
      <c r="D574" s="13" t="s">
        <v>356</v>
      </c>
      <c r="E574" s="10" t="s">
        <v>92</v>
      </c>
      <c r="F574" s="10" t="s">
        <v>219</v>
      </c>
      <c r="G574" s="10"/>
      <c r="H574" s="152"/>
      <c r="I574" s="155"/>
      <c r="J574" s="106"/>
      <c r="K574" s="94"/>
      <c r="L574" s="180"/>
      <c r="M574" s="173"/>
      <c r="N574" s="106"/>
      <c r="O574" s="106"/>
      <c r="P574" s="63"/>
      <c r="Q574" s="162"/>
      <c r="R574" s="164"/>
      <c r="S574" s="62"/>
      <c r="T574" s="63"/>
      <c r="U574" s="62"/>
      <c r="V574" s="177"/>
      <c r="W574" s="171"/>
      <c r="X574" s="62"/>
      <c r="Y574" s="45"/>
      <c r="Z574" s="44"/>
      <c r="AA574" s="100"/>
      <c r="AB574" s="100"/>
      <c r="AG574" s="18">
        <v>23</v>
      </c>
      <c r="AH574" s="69" t="s">
        <v>356</v>
      </c>
      <c r="AI574" s="243" t="s">
        <v>92</v>
      </c>
      <c r="AJ574" s="243" t="s">
        <v>419</v>
      </c>
      <c r="AK574" s="246"/>
      <c r="AL574" s="43" t="str">
        <f t="shared" si="148"/>
        <v>-</v>
      </c>
      <c r="AM574" s="43">
        <f t="shared" si="136"/>
        <v>0</v>
      </c>
      <c r="AN574" s="193">
        <f t="shared" si="136"/>
        <v>0</v>
      </c>
      <c r="AO574" s="264" t="str">
        <f t="shared" si="137"/>
        <v>-</v>
      </c>
      <c r="AP574" s="266"/>
      <c r="AQ574" s="26" t="str">
        <f t="shared" si="144"/>
        <v>COUS CREEKCoho</v>
      </c>
      <c r="AR574" s="26">
        <f t="shared" si="138"/>
        <v>0</v>
      </c>
      <c r="AS574" s="33">
        <f t="shared" si="139"/>
        <v>0</v>
      </c>
      <c r="AX574" s="47" t="str">
        <f t="shared" si="140"/>
        <v>COUS CREEKCoho</v>
      </c>
      <c r="AY574" s="49">
        <f t="shared" si="141"/>
        <v>0</v>
      </c>
      <c r="AZ574" s="49">
        <f t="shared" si="142"/>
        <v>0</v>
      </c>
      <c r="BA574" s="31">
        <v>2012</v>
      </c>
      <c r="BB574" s="188">
        <f t="shared" si="145"/>
        <v>0</v>
      </c>
      <c r="BC574" s="188" t="str">
        <f t="shared" si="149"/>
        <v xml:space="preserve"> </v>
      </c>
      <c r="BD574" s="188" t="str">
        <f t="shared" si="150"/>
        <v xml:space="preserve"> </v>
      </c>
      <c r="BE574" s="188" t="str">
        <f t="shared" si="151"/>
        <v xml:space="preserve"> </v>
      </c>
      <c r="BF574" s="50" t="str">
        <f t="shared" si="143"/>
        <v>COUS CREEK_Coho</v>
      </c>
      <c r="BG574" s="50" t="str">
        <f>IFERROR(VLOOKUP(BF574,'[1]WCVI Esc'!$C$5:$W$534,18,FALSE),"-")</f>
        <v>-</v>
      </c>
      <c r="BH574" s="50" t="str">
        <f t="shared" si="146"/>
        <v>-</v>
      </c>
      <c r="BI574" s="50" t="str">
        <f>IFERROR(VLOOKUP(BF574,'[1]WCVI Esc'!$C$5:$W$534,19,FALSE),"-")</f>
        <v>-</v>
      </c>
      <c r="BJ574" s="50" t="str">
        <f t="shared" si="147"/>
        <v>-</v>
      </c>
    </row>
    <row r="575" spans="1:62" hidden="1" x14ac:dyDescent="0.2">
      <c r="A575" s="28">
        <v>4</v>
      </c>
      <c r="B575" s="28">
        <v>3</v>
      </c>
      <c r="C575" s="11">
        <v>23</v>
      </c>
      <c r="D575" s="13" t="s">
        <v>356</v>
      </c>
      <c r="E575" s="10" t="s">
        <v>92</v>
      </c>
      <c r="F575" s="10" t="s">
        <v>208</v>
      </c>
      <c r="G575" s="10"/>
      <c r="H575" s="152"/>
      <c r="I575" s="155"/>
      <c r="J575" s="106"/>
      <c r="K575" s="94"/>
      <c r="L575" s="180"/>
      <c r="M575" s="173"/>
      <c r="N575" s="106"/>
      <c r="O575" s="106"/>
      <c r="P575" s="63"/>
      <c r="Q575" s="162"/>
      <c r="R575" s="164"/>
      <c r="S575" s="62"/>
      <c r="T575" s="63"/>
      <c r="U575" s="62"/>
      <c r="V575" s="177"/>
      <c r="W575" s="171"/>
      <c r="X575" s="62"/>
      <c r="Y575" s="45"/>
      <c r="Z575" s="44"/>
      <c r="AA575" s="100"/>
      <c r="AB575" s="100"/>
      <c r="AG575" s="18">
        <v>23</v>
      </c>
      <c r="AH575" s="69" t="s">
        <v>356</v>
      </c>
      <c r="AI575" s="243" t="s">
        <v>92</v>
      </c>
      <c r="AJ575" s="243" t="s">
        <v>419</v>
      </c>
      <c r="AK575" s="246"/>
      <c r="AL575" s="43" t="str">
        <f t="shared" si="148"/>
        <v>-</v>
      </c>
      <c r="AM575" s="43">
        <f t="shared" ref="AM575:AN638" si="152">AR575</f>
        <v>0</v>
      </c>
      <c r="AN575" s="193">
        <f t="shared" si="152"/>
        <v>0</v>
      </c>
      <c r="AO575" s="264" t="str">
        <f t="shared" ref="AO575:AO638" si="153">BH575</f>
        <v>-</v>
      </c>
      <c r="AP575" s="266"/>
      <c r="AQ575" s="26" t="str">
        <f t="shared" si="144"/>
        <v>COUS CREEKPink</v>
      </c>
      <c r="AR575" s="26">
        <f t="shared" ref="AR575:AR638" si="154">COUNT(G575:X575)</f>
        <v>0</v>
      </c>
      <c r="AS575" s="33">
        <f t="shared" ref="AS575:AS638" si="155">MAX(G575:X575)</f>
        <v>0</v>
      </c>
      <c r="AX575" s="47" t="str">
        <f t="shared" ref="AX575:AX638" si="156">CONCATENATE(E575,F575)</f>
        <v>COUS CREEKPink</v>
      </c>
      <c r="AY575" s="49">
        <f t="shared" ref="AY575:AY638" si="157">Z575</f>
        <v>0</v>
      </c>
      <c r="AZ575" s="49">
        <f t="shared" ref="AZ575:AZ638" si="158">Y575</f>
        <v>0</v>
      </c>
      <c r="BA575" s="31">
        <v>0</v>
      </c>
      <c r="BB575" s="188">
        <f t="shared" si="145"/>
        <v>0</v>
      </c>
      <c r="BC575" s="188" t="str">
        <f t="shared" si="149"/>
        <v xml:space="preserve"> </v>
      </c>
      <c r="BD575" s="188" t="str">
        <f t="shared" si="150"/>
        <v xml:space="preserve"> </v>
      </c>
      <c r="BE575" s="188" t="str">
        <f t="shared" si="151"/>
        <v xml:space="preserve"> </v>
      </c>
      <c r="BF575" s="50" t="str">
        <f t="shared" ref="BF575:BF638" si="159">CONCATENATE(E575,"_",F575)</f>
        <v>COUS CREEK_Pink</v>
      </c>
      <c r="BG575" s="50" t="str">
        <f>IFERROR(VLOOKUP(BF575,'[1]WCVI Esc'!$C$5:$W$534,18,FALSE),"-")</f>
        <v>-</v>
      </c>
      <c r="BH575" s="50" t="str">
        <f t="shared" si="146"/>
        <v>-</v>
      </c>
      <c r="BI575" s="50" t="str">
        <f>IFERROR(VLOOKUP(BF575,'[1]WCVI Esc'!$C$5:$W$534,19,FALSE),"-")</f>
        <v>-</v>
      </c>
      <c r="BJ575" s="50" t="str">
        <f t="shared" si="147"/>
        <v>-</v>
      </c>
    </row>
    <row r="576" spans="1:62" hidden="1" x14ac:dyDescent="0.2">
      <c r="A576" s="28">
        <v>4</v>
      </c>
      <c r="B576" s="28">
        <v>4</v>
      </c>
      <c r="C576" s="11">
        <v>23</v>
      </c>
      <c r="D576" s="13" t="s">
        <v>356</v>
      </c>
      <c r="E576" s="10" t="s">
        <v>92</v>
      </c>
      <c r="F576" s="10" t="s">
        <v>209</v>
      </c>
      <c r="G576" s="10"/>
      <c r="H576" s="152"/>
      <c r="I576" s="155"/>
      <c r="J576" s="106"/>
      <c r="K576" s="94"/>
      <c r="L576" s="180"/>
      <c r="M576" s="173"/>
      <c r="N576" s="106"/>
      <c r="O576" s="106"/>
      <c r="P576" s="63"/>
      <c r="Q576" s="162"/>
      <c r="R576" s="164"/>
      <c r="S576" s="62"/>
      <c r="T576" s="63"/>
      <c r="U576" s="62"/>
      <c r="V576" s="177"/>
      <c r="W576" s="171"/>
      <c r="X576" s="62"/>
      <c r="Y576" s="45"/>
      <c r="Z576" s="44"/>
      <c r="AA576" s="100">
        <f>Y576/AP576</f>
        <v>0</v>
      </c>
      <c r="AB576" s="100">
        <f>AS576/AP576</f>
        <v>0</v>
      </c>
      <c r="AG576" s="18">
        <v>23</v>
      </c>
      <c r="AH576" s="69" t="s">
        <v>356</v>
      </c>
      <c r="AI576" s="243" t="s">
        <v>92</v>
      </c>
      <c r="AJ576" s="243" t="s">
        <v>419</v>
      </c>
      <c r="AK576" s="246"/>
      <c r="AL576" s="43" t="str">
        <f t="shared" si="148"/>
        <v>-</v>
      </c>
      <c r="AM576" s="43">
        <f t="shared" si="152"/>
        <v>0</v>
      </c>
      <c r="AN576" s="193">
        <f t="shared" si="152"/>
        <v>0</v>
      </c>
      <c r="AO576" s="264" t="str">
        <f t="shared" si="153"/>
        <v>-</v>
      </c>
      <c r="AP576" s="265">
        <f>BJ576</f>
        <v>3190</v>
      </c>
      <c r="AQ576" s="26" t="str">
        <f t="shared" si="144"/>
        <v>COUS CREEKChum</v>
      </c>
      <c r="AR576" s="26">
        <f t="shared" si="154"/>
        <v>0</v>
      </c>
      <c r="AS576" s="33">
        <f t="shared" si="155"/>
        <v>0</v>
      </c>
      <c r="AX576" s="47" t="str">
        <f t="shared" si="156"/>
        <v>COUS CREEKChum</v>
      </c>
      <c r="AY576" s="49">
        <f t="shared" si="157"/>
        <v>0</v>
      </c>
      <c r="AZ576" s="49">
        <f t="shared" si="158"/>
        <v>0</v>
      </c>
      <c r="BA576" s="31">
        <v>2012</v>
      </c>
      <c r="BB576" s="188">
        <f t="shared" si="145"/>
        <v>0</v>
      </c>
      <c r="BC576" s="188" t="str">
        <f t="shared" si="149"/>
        <v xml:space="preserve"> </v>
      </c>
      <c r="BD576" s="188" t="str">
        <f t="shared" si="150"/>
        <v xml:space="preserve"> </v>
      </c>
      <c r="BE576" s="188" t="str">
        <f t="shared" si="151"/>
        <v xml:space="preserve"> </v>
      </c>
      <c r="BF576" s="50" t="str">
        <f t="shared" si="159"/>
        <v>COUS CREEK_Chum</v>
      </c>
      <c r="BG576" s="50" t="str">
        <f>IFERROR(VLOOKUP(BF576,'[1]WCVI Esc'!$C$5:$W$534,18,FALSE),"-")</f>
        <v>-</v>
      </c>
      <c r="BH576" s="50" t="str">
        <f t="shared" si="146"/>
        <v>-</v>
      </c>
      <c r="BI576" s="50">
        <f>IFERROR(VLOOKUP(BF576,'[1]WCVI Esc'!$C$5:$W$534,19,FALSE),"-")</f>
        <v>3188</v>
      </c>
      <c r="BJ576" s="50">
        <f t="shared" si="147"/>
        <v>3190</v>
      </c>
    </row>
    <row r="577" spans="1:66" hidden="1" x14ac:dyDescent="0.2">
      <c r="A577" s="28">
        <v>4</v>
      </c>
      <c r="B577" s="28">
        <v>5</v>
      </c>
      <c r="C577" s="11">
        <v>23</v>
      </c>
      <c r="D577" s="13" t="s">
        <v>356</v>
      </c>
      <c r="E577" s="10" t="s">
        <v>92</v>
      </c>
      <c r="F577" s="10" t="s">
        <v>210</v>
      </c>
      <c r="G577" s="10"/>
      <c r="H577" s="152"/>
      <c r="I577" s="155"/>
      <c r="J577" s="106"/>
      <c r="K577" s="94"/>
      <c r="L577" s="180"/>
      <c r="M577" s="173"/>
      <c r="N577" s="106"/>
      <c r="O577" s="106"/>
      <c r="P577" s="63"/>
      <c r="Q577" s="162"/>
      <c r="R577" s="164"/>
      <c r="S577" s="62"/>
      <c r="T577" s="63"/>
      <c r="U577" s="62"/>
      <c r="V577" s="177"/>
      <c r="W577" s="171"/>
      <c r="X577" s="62"/>
      <c r="Y577" s="45"/>
      <c r="Z577" s="44"/>
      <c r="AA577" s="100"/>
      <c r="AB577" s="100"/>
      <c r="AF577" s="123">
        <f>Y577</f>
        <v>0</v>
      </c>
      <c r="AG577" s="18">
        <v>23</v>
      </c>
      <c r="AH577" s="69" t="s">
        <v>356</v>
      </c>
      <c r="AI577" s="243" t="s">
        <v>92</v>
      </c>
      <c r="AJ577" s="243" t="s">
        <v>419</v>
      </c>
      <c r="AK577" s="246"/>
      <c r="AL577" s="43" t="str">
        <f t="shared" si="148"/>
        <v>-</v>
      </c>
      <c r="AM577" s="43">
        <f t="shared" si="152"/>
        <v>0</v>
      </c>
      <c r="AN577" s="193">
        <f t="shared" si="152"/>
        <v>0</v>
      </c>
      <c r="AO577" s="264" t="str">
        <f t="shared" si="153"/>
        <v>-</v>
      </c>
      <c r="AP577" s="266"/>
      <c r="AQ577" s="26" t="str">
        <f t="shared" si="144"/>
        <v>COUS CREEKChinook</v>
      </c>
      <c r="AR577" s="26">
        <f t="shared" si="154"/>
        <v>0</v>
      </c>
      <c r="AS577" s="33">
        <f t="shared" si="155"/>
        <v>0</v>
      </c>
      <c r="AX577" s="47" t="str">
        <f t="shared" si="156"/>
        <v>COUS CREEKChinook</v>
      </c>
      <c r="AY577" s="49">
        <f t="shared" si="157"/>
        <v>0</v>
      </c>
      <c r="AZ577" s="49">
        <f t="shared" si="158"/>
        <v>0</v>
      </c>
      <c r="BA577" s="31">
        <v>2012</v>
      </c>
      <c r="BB577" s="188">
        <f t="shared" si="145"/>
        <v>0</v>
      </c>
      <c r="BC577" s="188" t="str">
        <f t="shared" si="149"/>
        <v xml:space="preserve"> </v>
      </c>
      <c r="BD577" s="188" t="str">
        <f t="shared" si="150"/>
        <v xml:space="preserve"> </v>
      </c>
      <c r="BE577" s="188" t="str">
        <f t="shared" si="151"/>
        <v xml:space="preserve"> </v>
      </c>
      <c r="BF577" s="50" t="str">
        <f t="shared" si="159"/>
        <v>COUS CREEK_Chinook</v>
      </c>
      <c r="BG577" s="50" t="str">
        <f>IFERROR(VLOOKUP(BF577,'[1]WCVI Esc'!$C$5:$W$534,18,FALSE),"-")</f>
        <v>-</v>
      </c>
      <c r="BH577" s="50" t="str">
        <f t="shared" si="146"/>
        <v>-</v>
      </c>
      <c r="BI577" s="50" t="str">
        <f>IFERROR(VLOOKUP(BF577,'[1]WCVI Esc'!$C$5:$W$534,19,FALSE),"-")</f>
        <v>-</v>
      </c>
      <c r="BJ577" s="50" t="str">
        <f t="shared" si="147"/>
        <v>-</v>
      </c>
      <c r="BK577">
        <v>4</v>
      </c>
      <c r="BL577" t="s">
        <v>354</v>
      </c>
      <c r="BN577" s="31">
        <v>1</v>
      </c>
    </row>
    <row r="578" spans="1:66" hidden="1" x14ac:dyDescent="0.2">
      <c r="A578" s="28">
        <v>4</v>
      </c>
      <c r="B578" s="28">
        <v>6</v>
      </c>
      <c r="C578" s="11">
        <v>23</v>
      </c>
      <c r="D578" s="13" t="s">
        <v>356</v>
      </c>
      <c r="E578" s="10" t="s">
        <v>92</v>
      </c>
      <c r="F578" s="10" t="s">
        <v>211</v>
      </c>
      <c r="G578" s="10"/>
      <c r="H578" s="152"/>
      <c r="I578" s="155"/>
      <c r="J578" s="106"/>
      <c r="K578" s="94"/>
      <c r="L578" s="180"/>
      <c r="M578" s="173"/>
      <c r="N578" s="106"/>
      <c r="O578" s="106"/>
      <c r="P578" s="63"/>
      <c r="Q578" s="162"/>
      <c r="R578" s="164"/>
      <c r="S578" s="62"/>
      <c r="T578" s="63"/>
      <c r="U578" s="62"/>
      <c r="V578" s="177"/>
      <c r="W578" s="171"/>
      <c r="X578" s="62"/>
      <c r="Y578" s="45"/>
      <c r="Z578" s="44"/>
      <c r="AA578" s="100"/>
      <c r="AB578" s="100"/>
      <c r="AG578" s="18">
        <v>23</v>
      </c>
      <c r="AH578" s="69" t="s">
        <v>356</v>
      </c>
      <c r="AI578" s="243" t="s">
        <v>92</v>
      </c>
      <c r="AJ578" s="243" t="s">
        <v>419</v>
      </c>
      <c r="AK578" s="246"/>
      <c r="AL578" s="43" t="str">
        <f t="shared" si="148"/>
        <v>-</v>
      </c>
      <c r="AM578" s="43">
        <f t="shared" si="152"/>
        <v>0</v>
      </c>
      <c r="AN578" s="193">
        <f t="shared" si="152"/>
        <v>0</v>
      </c>
      <c r="AO578" s="264" t="str">
        <f t="shared" si="153"/>
        <v>-</v>
      </c>
      <c r="AP578" s="266"/>
      <c r="AQ578" s="26" t="str">
        <f t="shared" si="144"/>
        <v>COUS CREEKSteelhead</v>
      </c>
      <c r="AR578" s="26">
        <f t="shared" si="154"/>
        <v>0</v>
      </c>
      <c r="AS578" s="33">
        <f t="shared" si="155"/>
        <v>0</v>
      </c>
      <c r="AX578" s="47" t="str">
        <f t="shared" si="156"/>
        <v>COUS CREEKSteelhead</v>
      </c>
      <c r="AY578" s="49">
        <f t="shared" si="157"/>
        <v>0</v>
      </c>
      <c r="AZ578" s="49">
        <f t="shared" si="158"/>
        <v>0</v>
      </c>
      <c r="BA578" s="31">
        <v>0</v>
      </c>
      <c r="BB578" s="188">
        <f t="shared" si="145"/>
        <v>0</v>
      </c>
      <c r="BC578" s="188" t="str">
        <f t="shared" si="149"/>
        <v xml:space="preserve"> </v>
      </c>
      <c r="BD578" s="188" t="str">
        <f t="shared" si="150"/>
        <v xml:space="preserve"> </v>
      </c>
      <c r="BE578" s="188" t="str">
        <f t="shared" si="151"/>
        <v xml:space="preserve"> </v>
      </c>
      <c r="BF578" s="50" t="str">
        <f t="shared" si="159"/>
        <v>COUS CREEK_Steelhead</v>
      </c>
      <c r="BG578" s="50" t="str">
        <f>IFERROR(VLOOKUP(BF578,'[1]WCVI Esc'!$C$5:$W$534,18,FALSE),"-")</f>
        <v>-</v>
      </c>
      <c r="BH578" s="50" t="str">
        <f t="shared" si="146"/>
        <v>-</v>
      </c>
      <c r="BI578" s="50" t="str">
        <f>IFERROR(VLOOKUP(BF578,'[1]WCVI Esc'!$C$5:$W$534,19,FALSE),"-")</f>
        <v>-</v>
      </c>
      <c r="BJ578" s="50" t="str">
        <f t="shared" si="147"/>
        <v>-</v>
      </c>
    </row>
    <row r="579" spans="1:66" hidden="1" x14ac:dyDescent="0.2">
      <c r="A579" s="28">
        <v>4</v>
      </c>
      <c r="B579" s="28">
        <v>1</v>
      </c>
      <c r="C579" s="11">
        <v>23</v>
      </c>
      <c r="D579" s="13" t="s">
        <v>320</v>
      </c>
      <c r="E579" s="10" t="s">
        <v>172</v>
      </c>
      <c r="F579" s="10" t="s">
        <v>207</v>
      </c>
      <c r="G579" s="10"/>
      <c r="H579" s="152"/>
      <c r="I579" s="164"/>
      <c r="J579" s="62"/>
      <c r="K579" s="62"/>
      <c r="L579" s="177"/>
      <c r="M579" s="171"/>
      <c r="N579" s="62"/>
      <c r="O579" s="62"/>
      <c r="P579" s="62"/>
      <c r="Q579" s="64"/>
      <c r="R579" s="164"/>
      <c r="S579" s="62"/>
      <c r="T579" s="62"/>
      <c r="U579" s="62"/>
      <c r="V579" s="177"/>
      <c r="W579" s="171"/>
      <c r="X579" s="62"/>
      <c r="Y579" s="45"/>
      <c r="Z579" s="45"/>
      <c r="AA579" s="100"/>
      <c r="AB579" s="100"/>
      <c r="AC579" s="24"/>
      <c r="AD579" s="24"/>
      <c r="AE579" s="24"/>
      <c r="AF579" s="24"/>
      <c r="AG579" s="18">
        <v>23</v>
      </c>
      <c r="AH579" s="69" t="s">
        <v>320</v>
      </c>
      <c r="AI579" s="243" t="s">
        <v>172</v>
      </c>
      <c r="AJ579" s="243" t="s">
        <v>419</v>
      </c>
      <c r="AK579" s="246"/>
      <c r="AL579" s="43" t="str">
        <f t="shared" si="148"/>
        <v>-</v>
      </c>
      <c r="AM579" s="43">
        <f t="shared" si="152"/>
        <v>0</v>
      </c>
      <c r="AN579" s="193">
        <f t="shared" si="152"/>
        <v>0</v>
      </c>
      <c r="AO579" s="270" t="str">
        <f t="shared" si="153"/>
        <v>-</v>
      </c>
      <c r="AP579" s="268"/>
      <c r="AQ579" s="26" t="str">
        <f t="shared" ref="AQ579:AQ642" si="160">CONCATENATE(E579,F579)</f>
        <v>DEER CREEKSockeye</v>
      </c>
      <c r="AR579" s="26">
        <f t="shared" si="154"/>
        <v>0</v>
      </c>
      <c r="AS579" s="33">
        <f t="shared" si="155"/>
        <v>0</v>
      </c>
      <c r="AX579" s="47" t="str">
        <f t="shared" si="156"/>
        <v>DEER CREEKSockeye</v>
      </c>
      <c r="AY579" s="49">
        <f t="shared" si="157"/>
        <v>0</v>
      </c>
      <c r="AZ579" s="49">
        <f t="shared" si="158"/>
        <v>0</v>
      </c>
      <c r="BA579" s="31">
        <v>0</v>
      </c>
      <c r="BB579" s="188">
        <f t="shared" si="145"/>
        <v>0</v>
      </c>
      <c r="BC579" s="188" t="str">
        <f t="shared" si="149"/>
        <v xml:space="preserve"> </v>
      </c>
      <c r="BD579" s="188" t="str">
        <f t="shared" si="150"/>
        <v xml:space="preserve"> </v>
      </c>
      <c r="BE579" s="188" t="str">
        <f t="shared" si="151"/>
        <v xml:space="preserve"> </v>
      </c>
      <c r="BF579" s="50" t="str">
        <f t="shared" si="159"/>
        <v>DEER CREEK_Sockeye</v>
      </c>
      <c r="BG579" s="50" t="str">
        <f>IFERROR(VLOOKUP(BF579,'[1]WCVI Esc'!$C$5:$W$514,18,FALSE),"-")</f>
        <v>-</v>
      </c>
      <c r="BH579" s="50" t="str">
        <f t="shared" si="146"/>
        <v>-</v>
      </c>
      <c r="BI579" s="50" t="str">
        <f>IFERROR(VLOOKUP(BF579,'[1]WCVI Esc'!$C$5:$W$514,19,FALSE),"-")</f>
        <v>-</v>
      </c>
      <c r="BJ579" s="50" t="str">
        <f t="shared" si="147"/>
        <v>-</v>
      </c>
    </row>
    <row r="580" spans="1:66" hidden="1" x14ac:dyDescent="0.2">
      <c r="A580" s="28">
        <v>4</v>
      </c>
      <c r="B580" s="28">
        <v>2</v>
      </c>
      <c r="C580" s="11">
        <v>23</v>
      </c>
      <c r="D580" s="13" t="s">
        <v>320</v>
      </c>
      <c r="E580" s="10" t="s">
        <v>172</v>
      </c>
      <c r="F580" s="10" t="s">
        <v>219</v>
      </c>
      <c r="G580" s="10"/>
      <c r="H580" s="152"/>
      <c r="I580" s="164"/>
      <c r="J580" s="62"/>
      <c r="K580" s="62"/>
      <c r="L580" s="177"/>
      <c r="M580" s="171"/>
      <c r="N580" s="62"/>
      <c r="O580" s="62"/>
      <c r="P580" s="62"/>
      <c r="Q580" s="64"/>
      <c r="R580" s="164"/>
      <c r="S580" s="62"/>
      <c r="T580" s="62"/>
      <c r="U580" s="62"/>
      <c r="V580" s="177"/>
      <c r="W580" s="171"/>
      <c r="X580" s="62"/>
      <c r="Y580" s="45"/>
      <c r="Z580" s="45"/>
      <c r="AA580" s="100"/>
      <c r="AB580" s="100"/>
      <c r="AC580" s="24"/>
      <c r="AD580" s="24"/>
      <c r="AE580" s="24"/>
      <c r="AF580" s="24"/>
      <c r="AG580" s="18">
        <v>23</v>
      </c>
      <c r="AH580" s="69" t="s">
        <v>320</v>
      </c>
      <c r="AI580" s="243" t="s">
        <v>172</v>
      </c>
      <c r="AJ580" s="243" t="s">
        <v>419</v>
      </c>
      <c r="AK580" s="246"/>
      <c r="AL580" s="43" t="str">
        <f t="shared" si="148"/>
        <v>-</v>
      </c>
      <c r="AM580" s="43">
        <f t="shared" si="152"/>
        <v>0</v>
      </c>
      <c r="AN580" s="193">
        <f t="shared" si="152"/>
        <v>0</v>
      </c>
      <c r="AO580" s="270" t="str">
        <f t="shared" si="153"/>
        <v>-</v>
      </c>
      <c r="AP580" s="268"/>
      <c r="AQ580" s="26" t="str">
        <f t="shared" si="160"/>
        <v>DEER CREEKCoho</v>
      </c>
      <c r="AR580" s="26">
        <f t="shared" si="154"/>
        <v>0</v>
      </c>
      <c r="AS580" s="33">
        <f t="shared" si="155"/>
        <v>0</v>
      </c>
      <c r="AX580" s="47" t="str">
        <f t="shared" si="156"/>
        <v>DEER CREEKCoho</v>
      </c>
      <c r="AY580" s="49">
        <f t="shared" si="157"/>
        <v>0</v>
      </c>
      <c r="AZ580" s="49">
        <f t="shared" si="158"/>
        <v>0</v>
      </c>
      <c r="BA580" s="31">
        <v>1993</v>
      </c>
      <c r="BB580" s="188">
        <f t="shared" si="145"/>
        <v>0</v>
      </c>
      <c r="BC580" s="188" t="str">
        <f t="shared" si="149"/>
        <v xml:space="preserve"> </v>
      </c>
      <c r="BD580" s="188" t="str">
        <f t="shared" si="150"/>
        <v xml:space="preserve"> </v>
      </c>
      <c r="BE580" s="188" t="str">
        <f t="shared" si="151"/>
        <v xml:space="preserve"> </v>
      </c>
      <c r="BF580" s="50" t="str">
        <f t="shared" si="159"/>
        <v>DEER CREEK_Coho</v>
      </c>
      <c r="BG580" s="50" t="str">
        <f>IFERROR(VLOOKUP(BF580,'[1]WCVI Esc'!$C$5:$W$514,18,FALSE),"-")</f>
        <v>-</v>
      </c>
      <c r="BH580" s="50" t="str">
        <f t="shared" si="146"/>
        <v>-</v>
      </c>
      <c r="BI580" s="50" t="str">
        <f>IFERROR(VLOOKUP(BF580,'[1]WCVI Esc'!$C$5:$W$514,19,FALSE),"-")</f>
        <v>-</v>
      </c>
      <c r="BJ580" s="50" t="str">
        <f t="shared" si="147"/>
        <v>-</v>
      </c>
    </row>
    <row r="581" spans="1:66" hidden="1" x14ac:dyDescent="0.2">
      <c r="A581" s="28">
        <v>4</v>
      </c>
      <c r="B581" s="28">
        <v>3</v>
      </c>
      <c r="C581" s="11">
        <v>23</v>
      </c>
      <c r="D581" s="13" t="s">
        <v>320</v>
      </c>
      <c r="E581" s="10" t="s">
        <v>172</v>
      </c>
      <c r="F581" s="10" t="s">
        <v>208</v>
      </c>
      <c r="G581" s="10"/>
      <c r="H581" s="152"/>
      <c r="I581" s="164"/>
      <c r="J581" s="62"/>
      <c r="K581" s="62"/>
      <c r="L581" s="177"/>
      <c r="M581" s="171"/>
      <c r="N581" s="62"/>
      <c r="O581" s="62"/>
      <c r="P581" s="62"/>
      <c r="Q581" s="64"/>
      <c r="R581" s="164"/>
      <c r="S581" s="62"/>
      <c r="T581" s="62"/>
      <c r="U581" s="62"/>
      <c r="V581" s="177"/>
      <c r="W581" s="171"/>
      <c r="X581" s="62"/>
      <c r="Y581" s="45"/>
      <c r="Z581" s="45"/>
      <c r="AA581" s="100"/>
      <c r="AB581" s="100"/>
      <c r="AC581" s="24"/>
      <c r="AD581" s="24"/>
      <c r="AE581" s="24"/>
      <c r="AF581" s="24"/>
      <c r="AG581" s="18">
        <v>23</v>
      </c>
      <c r="AH581" s="69" t="s">
        <v>320</v>
      </c>
      <c r="AI581" s="243" t="s">
        <v>172</v>
      </c>
      <c r="AJ581" s="243" t="s">
        <v>419</v>
      </c>
      <c r="AK581" s="246"/>
      <c r="AL581" s="43" t="str">
        <f t="shared" si="148"/>
        <v>-</v>
      </c>
      <c r="AM581" s="43">
        <f t="shared" si="152"/>
        <v>0</v>
      </c>
      <c r="AN581" s="193">
        <f t="shared" si="152"/>
        <v>0</v>
      </c>
      <c r="AO581" s="270" t="str">
        <f t="shared" si="153"/>
        <v>-</v>
      </c>
      <c r="AP581" s="267"/>
      <c r="AQ581" s="26" t="str">
        <f t="shared" si="160"/>
        <v>DEER CREEKPink</v>
      </c>
      <c r="AR581" s="26">
        <f t="shared" si="154"/>
        <v>0</v>
      </c>
      <c r="AS581" s="33">
        <f t="shared" si="155"/>
        <v>0</v>
      </c>
      <c r="AX581" s="47" t="str">
        <f t="shared" si="156"/>
        <v>DEER CREEKPink</v>
      </c>
      <c r="AY581" s="49">
        <f t="shared" si="157"/>
        <v>0</v>
      </c>
      <c r="AZ581" s="49">
        <f t="shared" si="158"/>
        <v>0</v>
      </c>
      <c r="BA581" s="31">
        <v>0</v>
      </c>
      <c r="BB581" s="188">
        <f t="shared" si="145"/>
        <v>0</v>
      </c>
      <c r="BC581" s="188" t="str">
        <f t="shared" si="149"/>
        <v xml:space="preserve"> </v>
      </c>
      <c r="BD581" s="188" t="str">
        <f t="shared" si="150"/>
        <v xml:space="preserve"> </v>
      </c>
      <c r="BE581" s="188" t="str">
        <f t="shared" si="151"/>
        <v xml:space="preserve"> </v>
      </c>
      <c r="BF581" s="50" t="str">
        <f t="shared" si="159"/>
        <v>DEER CREEK_Pink</v>
      </c>
      <c r="BG581" s="50" t="str">
        <f>IFERROR(VLOOKUP(BF581,'[1]WCVI Esc'!$C$5:$W$514,18,FALSE),"-")</f>
        <v>-</v>
      </c>
      <c r="BH581" s="50" t="str">
        <f t="shared" si="146"/>
        <v>-</v>
      </c>
      <c r="BI581" s="50" t="str">
        <f>IFERROR(VLOOKUP(BF581,'[1]WCVI Esc'!$C$5:$W$514,19,FALSE),"-")</f>
        <v>-</v>
      </c>
      <c r="BJ581" s="50" t="str">
        <f t="shared" si="147"/>
        <v>-</v>
      </c>
    </row>
    <row r="582" spans="1:66" hidden="1" x14ac:dyDescent="0.2">
      <c r="A582" s="28">
        <v>4</v>
      </c>
      <c r="B582" s="28">
        <v>4</v>
      </c>
      <c r="C582" s="11">
        <v>23</v>
      </c>
      <c r="D582" s="13" t="s">
        <v>320</v>
      </c>
      <c r="E582" s="10" t="s">
        <v>172</v>
      </c>
      <c r="F582" s="10" t="s">
        <v>209</v>
      </c>
      <c r="G582" s="10"/>
      <c r="H582" s="152"/>
      <c r="I582" s="164"/>
      <c r="J582" s="62"/>
      <c r="K582" s="62"/>
      <c r="L582" s="177"/>
      <c r="M582" s="171"/>
      <c r="N582" s="62"/>
      <c r="O582" s="62"/>
      <c r="P582" s="62"/>
      <c r="Q582" s="64"/>
      <c r="R582" s="164"/>
      <c r="S582" s="62"/>
      <c r="T582" s="62"/>
      <c r="U582" s="62"/>
      <c r="V582" s="177"/>
      <c r="W582" s="171"/>
      <c r="X582" s="62"/>
      <c r="Y582" s="45"/>
      <c r="Z582" s="45"/>
      <c r="AA582" s="100"/>
      <c r="AB582" s="100"/>
      <c r="AC582" s="24"/>
      <c r="AD582" s="24"/>
      <c r="AE582" s="24"/>
      <c r="AF582" s="24"/>
      <c r="AG582" s="18">
        <v>23</v>
      </c>
      <c r="AH582" s="69" t="s">
        <v>320</v>
      </c>
      <c r="AI582" s="243" t="s">
        <v>172</v>
      </c>
      <c r="AJ582" s="243" t="s">
        <v>419</v>
      </c>
      <c r="AK582" s="246"/>
      <c r="AL582" s="43" t="str">
        <f t="shared" si="148"/>
        <v>-</v>
      </c>
      <c r="AM582" s="43">
        <f t="shared" si="152"/>
        <v>0</v>
      </c>
      <c r="AN582" s="193">
        <f t="shared" si="152"/>
        <v>0</v>
      </c>
      <c r="AO582" s="270" t="str">
        <f t="shared" si="153"/>
        <v>-</v>
      </c>
      <c r="AP582" s="268"/>
      <c r="AQ582" s="26" t="str">
        <f t="shared" si="160"/>
        <v>DEER CREEKChum</v>
      </c>
      <c r="AR582" s="26">
        <f t="shared" si="154"/>
        <v>0</v>
      </c>
      <c r="AS582" s="33">
        <f t="shared" si="155"/>
        <v>0</v>
      </c>
      <c r="AX582" s="47" t="str">
        <f t="shared" si="156"/>
        <v>DEER CREEKChum</v>
      </c>
      <c r="AY582" s="49">
        <f t="shared" si="157"/>
        <v>0</v>
      </c>
      <c r="AZ582" s="49">
        <f t="shared" si="158"/>
        <v>0</v>
      </c>
      <c r="BA582" s="31">
        <v>1993</v>
      </c>
      <c r="BB582" s="188">
        <f t="shared" si="145"/>
        <v>0</v>
      </c>
      <c r="BC582" s="188" t="str">
        <f t="shared" si="149"/>
        <v xml:space="preserve"> </v>
      </c>
      <c r="BD582" s="188" t="str">
        <f t="shared" si="150"/>
        <v xml:space="preserve"> </v>
      </c>
      <c r="BE582" s="188" t="str">
        <f t="shared" si="151"/>
        <v xml:space="preserve"> </v>
      </c>
      <c r="BF582" s="50" t="str">
        <f t="shared" si="159"/>
        <v>DEER CREEK_Chum</v>
      </c>
      <c r="BG582" s="50" t="str">
        <f>IFERROR(VLOOKUP(BF582,'[1]WCVI Esc'!$C$5:$W$514,18,FALSE),"-")</f>
        <v>-</v>
      </c>
      <c r="BH582" s="50" t="str">
        <f t="shared" si="146"/>
        <v>-</v>
      </c>
      <c r="BI582" s="50" t="str">
        <f>IFERROR(VLOOKUP(BF582,'[1]WCVI Esc'!$C$5:$W$514,19,FALSE),"-")</f>
        <v>-</v>
      </c>
      <c r="BJ582" s="50" t="str">
        <f t="shared" si="147"/>
        <v>-</v>
      </c>
    </row>
    <row r="583" spans="1:66" hidden="1" x14ac:dyDescent="0.2">
      <c r="A583" s="28">
        <v>4</v>
      </c>
      <c r="B583" s="28">
        <v>5</v>
      </c>
      <c r="C583" s="11">
        <v>23</v>
      </c>
      <c r="D583" s="13" t="s">
        <v>320</v>
      </c>
      <c r="E583" s="10" t="s">
        <v>172</v>
      </c>
      <c r="F583" s="10" t="s">
        <v>210</v>
      </c>
      <c r="G583" s="10"/>
      <c r="H583" s="152"/>
      <c r="I583" s="164"/>
      <c r="J583" s="62"/>
      <c r="K583" s="62"/>
      <c r="L583" s="177"/>
      <c r="M583" s="171"/>
      <c r="N583" s="62"/>
      <c r="O583" s="62"/>
      <c r="P583" s="62"/>
      <c r="Q583" s="64"/>
      <c r="R583" s="164"/>
      <c r="S583" s="62"/>
      <c r="T583" s="62"/>
      <c r="U583" s="62"/>
      <c r="V583" s="177"/>
      <c r="W583" s="171"/>
      <c r="X583" s="62"/>
      <c r="Y583" s="45"/>
      <c r="Z583" s="45"/>
      <c r="AA583" s="100"/>
      <c r="AB583" s="100"/>
      <c r="AC583" s="24"/>
      <c r="AD583" s="24"/>
      <c r="AE583" s="24"/>
      <c r="AF583" s="24"/>
      <c r="AG583" s="18">
        <v>23</v>
      </c>
      <c r="AH583" s="69" t="s">
        <v>320</v>
      </c>
      <c r="AI583" s="243" t="s">
        <v>172</v>
      </c>
      <c r="AJ583" s="243" t="s">
        <v>419</v>
      </c>
      <c r="AK583" s="246"/>
      <c r="AL583" s="43" t="str">
        <f t="shared" si="148"/>
        <v>-</v>
      </c>
      <c r="AM583" s="43">
        <f t="shared" si="152"/>
        <v>0</v>
      </c>
      <c r="AN583" s="193">
        <f t="shared" si="152"/>
        <v>0</v>
      </c>
      <c r="AO583" s="270" t="str">
        <f t="shared" si="153"/>
        <v>-</v>
      </c>
      <c r="AP583" s="268"/>
      <c r="AQ583" s="26" t="str">
        <f t="shared" si="160"/>
        <v>DEER CREEKChinook</v>
      </c>
      <c r="AR583" s="26">
        <f t="shared" si="154"/>
        <v>0</v>
      </c>
      <c r="AS583" s="33">
        <f t="shared" si="155"/>
        <v>0</v>
      </c>
      <c r="AX583" s="47" t="str">
        <f t="shared" si="156"/>
        <v>DEER CREEKChinook</v>
      </c>
      <c r="AY583" s="49">
        <f t="shared" si="157"/>
        <v>0</v>
      </c>
      <c r="AZ583" s="49">
        <f t="shared" si="158"/>
        <v>0</v>
      </c>
      <c r="BA583" s="31">
        <v>0</v>
      </c>
      <c r="BB583" s="188">
        <f t="shared" si="145"/>
        <v>0</v>
      </c>
      <c r="BC583" s="188" t="str">
        <f t="shared" si="149"/>
        <v xml:space="preserve"> </v>
      </c>
      <c r="BD583" s="188" t="str">
        <f t="shared" si="150"/>
        <v xml:space="preserve"> </v>
      </c>
      <c r="BE583" s="188" t="str">
        <f t="shared" si="151"/>
        <v xml:space="preserve"> </v>
      </c>
      <c r="BF583" s="50" t="str">
        <f t="shared" si="159"/>
        <v>DEER CREEK_Chinook</v>
      </c>
      <c r="BG583" s="50" t="str">
        <f>IFERROR(VLOOKUP(BF583,'[1]WCVI Esc'!$C$5:$W$514,18,FALSE),"-")</f>
        <v>-</v>
      </c>
      <c r="BH583" s="50" t="str">
        <f t="shared" si="146"/>
        <v>-</v>
      </c>
      <c r="BI583" s="50" t="str">
        <f>IFERROR(VLOOKUP(BF583,'[1]WCVI Esc'!$C$5:$W$514,19,FALSE),"-")</f>
        <v>-</v>
      </c>
      <c r="BJ583" s="50" t="str">
        <f t="shared" si="147"/>
        <v>-</v>
      </c>
    </row>
    <row r="584" spans="1:66" hidden="1" x14ac:dyDescent="0.2">
      <c r="A584" s="28">
        <v>4</v>
      </c>
      <c r="B584" s="28">
        <v>6</v>
      </c>
      <c r="C584" s="11">
        <v>23</v>
      </c>
      <c r="D584" s="13" t="s">
        <v>320</v>
      </c>
      <c r="E584" s="10" t="s">
        <v>172</v>
      </c>
      <c r="F584" s="10" t="s">
        <v>211</v>
      </c>
      <c r="G584" s="10"/>
      <c r="H584" s="152"/>
      <c r="I584" s="164"/>
      <c r="J584" s="62"/>
      <c r="K584" s="62"/>
      <c r="L584" s="177"/>
      <c r="M584" s="171"/>
      <c r="N584" s="62"/>
      <c r="O584" s="62"/>
      <c r="P584" s="62"/>
      <c r="Q584" s="64"/>
      <c r="R584" s="164"/>
      <c r="S584" s="62"/>
      <c r="T584" s="62"/>
      <c r="U584" s="62"/>
      <c r="V584" s="177"/>
      <c r="W584" s="171"/>
      <c r="X584" s="62"/>
      <c r="Y584" s="45"/>
      <c r="Z584" s="45"/>
      <c r="AA584" s="100"/>
      <c r="AB584" s="100"/>
      <c r="AC584" s="24"/>
      <c r="AD584" s="24"/>
      <c r="AE584" s="24"/>
      <c r="AF584" s="24"/>
      <c r="AG584" s="18">
        <v>23</v>
      </c>
      <c r="AH584" s="69" t="s">
        <v>320</v>
      </c>
      <c r="AI584" s="243" t="s">
        <v>172</v>
      </c>
      <c r="AJ584" s="243" t="s">
        <v>419</v>
      </c>
      <c r="AK584" s="246"/>
      <c r="AL584" s="43" t="str">
        <f t="shared" si="148"/>
        <v>-</v>
      </c>
      <c r="AM584" s="43">
        <f t="shared" si="152"/>
        <v>0</v>
      </c>
      <c r="AN584" s="193">
        <f t="shared" si="152"/>
        <v>0</v>
      </c>
      <c r="AO584" s="270" t="str">
        <f t="shared" si="153"/>
        <v>-</v>
      </c>
      <c r="AP584" s="267"/>
      <c r="AQ584" s="26" t="str">
        <f t="shared" si="160"/>
        <v>DEER CREEKSteelhead</v>
      </c>
      <c r="AR584" s="26">
        <f t="shared" si="154"/>
        <v>0</v>
      </c>
      <c r="AS584" s="33">
        <f t="shared" si="155"/>
        <v>0</v>
      </c>
      <c r="AX584" s="47" t="str">
        <f t="shared" si="156"/>
        <v>DEER CREEKSteelhead</v>
      </c>
      <c r="AY584" s="49">
        <f t="shared" si="157"/>
        <v>0</v>
      </c>
      <c r="AZ584" s="49">
        <f t="shared" si="158"/>
        <v>0</v>
      </c>
      <c r="BA584" s="31">
        <v>0</v>
      </c>
      <c r="BB584" s="188">
        <f t="shared" si="145"/>
        <v>0</v>
      </c>
      <c r="BC584" s="188" t="str">
        <f t="shared" si="149"/>
        <v xml:space="preserve"> </v>
      </c>
      <c r="BD584" s="188" t="str">
        <f t="shared" si="150"/>
        <v xml:space="preserve"> </v>
      </c>
      <c r="BE584" s="188" t="str">
        <f t="shared" si="151"/>
        <v xml:space="preserve"> </v>
      </c>
      <c r="BF584" s="50" t="str">
        <f t="shared" si="159"/>
        <v>DEER CREEK_Steelhead</v>
      </c>
      <c r="BG584" s="50" t="str">
        <f>IFERROR(VLOOKUP(BF584,'[1]WCVI Esc'!$C$5:$W$514,18,FALSE),"-")</f>
        <v>-</v>
      </c>
      <c r="BH584" s="50" t="str">
        <f t="shared" si="146"/>
        <v>-</v>
      </c>
      <c r="BI584" s="50" t="str">
        <f>IFERROR(VLOOKUP(BF584,'[1]WCVI Esc'!$C$5:$W$514,19,FALSE),"-")</f>
        <v>-</v>
      </c>
      <c r="BJ584" s="50" t="str">
        <f t="shared" si="147"/>
        <v>-</v>
      </c>
    </row>
    <row r="585" spans="1:66" hidden="1" x14ac:dyDescent="0.2">
      <c r="A585" s="28">
        <v>4</v>
      </c>
      <c r="B585" s="28">
        <v>1</v>
      </c>
      <c r="C585" s="11">
        <v>23</v>
      </c>
      <c r="D585" s="13" t="s">
        <v>295</v>
      </c>
      <c r="E585" s="10" t="s">
        <v>173</v>
      </c>
      <c r="F585" s="10" t="s">
        <v>207</v>
      </c>
      <c r="G585" s="10"/>
      <c r="H585" s="152"/>
      <c r="I585" s="164"/>
      <c r="J585" s="62"/>
      <c r="K585" s="62"/>
      <c r="L585" s="177"/>
      <c r="M585" s="171"/>
      <c r="N585" s="62"/>
      <c r="O585" s="62"/>
      <c r="P585" s="62"/>
      <c r="Q585" s="64"/>
      <c r="R585" s="164"/>
      <c r="S585" s="62"/>
      <c r="T585" s="62"/>
      <c r="U585" s="62"/>
      <c r="V585" s="177"/>
      <c r="W585" s="171"/>
      <c r="X585" s="62"/>
      <c r="Y585" s="45"/>
      <c r="Z585" s="45"/>
      <c r="AA585" s="100"/>
      <c r="AB585" s="100"/>
      <c r="AC585" s="24"/>
      <c r="AD585" s="24"/>
      <c r="AE585" s="24"/>
      <c r="AF585" s="24"/>
      <c r="AG585" s="18">
        <v>23</v>
      </c>
      <c r="AH585" s="69" t="s">
        <v>295</v>
      </c>
      <c r="AI585" s="243" t="s">
        <v>173</v>
      </c>
      <c r="AJ585" s="243" t="s">
        <v>419</v>
      </c>
      <c r="AK585" s="246"/>
      <c r="AL585" s="43" t="str">
        <f t="shared" si="148"/>
        <v>-</v>
      </c>
      <c r="AM585" s="43">
        <f t="shared" si="152"/>
        <v>0</v>
      </c>
      <c r="AN585" s="193">
        <f t="shared" si="152"/>
        <v>0</v>
      </c>
      <c r="AO585" s="270" t="str">
        <f t="shared" si="153"/>
        <v>-</v>
      </c>
      <c r="AP585" s="266"/>
      <c r="AQ585" s="26" t="str">
        <f t="shared" si="160"/>
        <v>DRAW CREEKSockeye</v>
      </c>
      <c r="AR585" s="26">
        <f t="shared" si="154"/>
        <v>0</v>
      </c>
      <c r="AS585" s="33">
        <f t="shared" si="155"/>
        <v>0</v>
      </c>
      <c r="AX585" s="47" t="str">
        <f t="shared" si="156"/>
        <v>DRAW CREEKSockeye</v>
      </c>
      <c r="AY585" s="49">
        <f t="shared" si="157"/>
        <v>0</v>
      </c>
      <c r="AZ585" s="49">
        <f t="shared" si="158"/>
        <v>0</v>
      </c>
      <c r="BA585" s="31">
        <v>0</v>
      </c>
      <c r="BB585" s="188">
        <f t="shared" ref="BB585:BB648" si="161">AK585</f>
        <v>0</v>
      </c>
      <c r="BC585" s="188" t="str">
        <f t="shared" si="149"/>
        <v xml:space="preserve"> </v>
      </c>
      <c r="BD585" s="188" t="str">
        <f t="shared" si="150"/>
        <v xml:space="preserve"> </v>
      </c>
      <c r="BE585" s="188" t="str">
        <f t="shared" si="151"/>
        <v xml:space="preserve"> </v>
      </c>
      <c r="BF585" s="50" t="str">
        <f t="shared" si="159"/>
        <v>DRAW CREEK_Sockeye</v>
      </c>
      <c r="BG585" s="50" t="str">
        <f>IFERROR(VLOOKUP(BF585,'[1]WCVI Esc'!$C$5:$W$514,18,FALSE),"-")</f>
        <v>-</v>
      </c>
      <c r="BH585" s="50" t="str">
        <f t="shared" ref="BH585:BH648" si="162">IFERROR(ROUND(BG585,-1),"-")</f>
        <v>-</v>
      </c>
      <c r="BI585" s="50" t="str">
        <f>IFERROR(VLOOKUP(BF585,'[1]WCVI Esc'!$C$5:$W$514,19,FALSE),"-")</f>
        <v>-</v>
      </c>
      <c r="BJ585" s="50" t="str">
        <f t="shared" ref="BJ585:BJ648" si="163">IFERROR(ROUND(BI585,-1),"-")</f>
        <v>-</v>
      </c>
    </row>
    <row r="586" spans="1:66" hidden="1" x14ac:dyDescent="0.2">
      <c r="A586" s="28">
        <v>4</v>
      </c>
      <c r="B586" s="28">
        <v>2</v>
      </c>
      <c r="C586" s="11">
        <v>23</v>
      </c>
      <c r="D586" s="13" t="s">
        <v>295</v>
      </c>
      <c r="E586" s="10" t="s">
        <v>173</v>
      </c>
      <c r="F586" s="10" t="s">
        <v>219</v>
      </c>
      <c r="G586" s="10"/>
      <c r="H586" s="152"/>
      <c r="I586" s="164"/>
      <c r="J586" s="62"/>
      <c r="K586" s="62"/>
      <c r="L586" s="177"/>
      <c r="M586" s="171"/>
      <c r="N586" s="62"/>
      <c r="O586" s="62"/>
      <c r="P586" s="62"/>
      <c r="Q586" s="64"/>
      <c r="R586" s="164"/>
      <c r="S586" s="62"/>
      <c r="T586" s="62"/>
      <c r="U586" s="62"/>
      <c r="V586" s="177"/>
      <c r="W586" s="171"/>
      <c r="X586" s="62"/>
      <c r="Y586" s="45"/>
      <c r="Z586" s="45"/>
      <c r="AA586" s="100"/>
      <c r="AB586" s="100"/>
      <c r="AC586" s="24"/>
      <c r="AD586" s="24"/>
      <c r="AE586" s="24"/>
      <c r="AF586" s="24"/>
      <c r="AG586" s="18">
        <v>23</v>
      </c>
      <c r="AH586" s="69" t="s">
        <v>295</v>
      </c>
      <c r="AI586" s="243" t="s">
        <v>173</v>
      </c>
      <c r="AJ586" s="243" t="s">
        <v>419</v>
      </c>
      <c r="AK586" s="246"/>
      <c r="AL586" s="43" t="str">
        <f t="shared" ref="AL586:AL649" si="164">IF(BE586=" ",IF(BD586=" ", IF(BC586=" ","-",BC586),BD586), BE586)</f>
        <v>-</v>
      </c>
      <c r="AM586" s="43">
        <f t="shared" si="152"/>
        <v>0</v>
      </c>
      <c r="AN586" s="193">
        <f t="shared" si="152"/>
        <v>0</v>
      </c>
      <c r="AO586" s="270" t="str">
        <f t="shared" si="153"/>
        <v>-</v>
      </c>
      <c r="AP586" s="266"/>
      <c r="AQ586" s="26" t="str">
        <f t="shared" si="160"/>
        <v>DRAW CREEKCoho</v>
      </c>
      <c r="AR586" s="26">
        <f t="shared" si="154"/>
        <v>0</v>
      </c>
      <c r="AS586" s="33">
        <f t="shared" si="155"/>
        <v>0</v>
      </c>
      <c r="AX586" s="47" t="str">
        <f t="shared" si="156"/>
        <v>DRAW CREEKCoho</v>
      </c>
      <c r="AY586" s="49">
        <f t="shared" si="157"/>
        <v>0</v>
      </c>
      <c r="AZ586" s="49">
        <f t="shared" si="158"/>
        <v>0</v>
      </c>
      <c r="BA586" s="31">
        <v>0</v>
      </c>
      <c r="BB586" s="188">
        <f t="shared" si="161"/>
        <v>0</v>
      </c>
      <c r="BC586" s="188" t="str">
        <f t="shared" ref="BC586:BC649" si="165">IF(ISNUMBER(M586),M$8,IF(ISNUMBER(L586),L$8,IF(ISNUMBER(K586),K$8,IF(ISNUMBER(J586),J$8,IF(ISNUMBER(I586),I$8,IF(ISNUMBER(H586),H$8, IF(ISNUMBER(G586),G$8," ")))))))</f>
        <v xml:space="preserve"> </v>
      </c>
      <c r="BD586" s="188" t="str">
        <f t="shared" ref="BD586:BD649" si="166">IF(ISNUMBER(S586),S$8,IF(ISNUMBER(R586),R$8,IF(ISNUMBER(Q586),Q$8,IF(ISNUMBER(P586),P$8,IF(ISNUMBER(O586),O$8,IF(ISNUMBER(N586),N$8," "))))))</f>
        <v xml:space="preserve"> </v>
      </c>
      <c r="BE586" s="188" t="str">
        <f t="shared" ref="BE586:BE649" si="167">IF(ISNUMBER(X586),X$8,IF(ISNUMBER(W586),W$8,IF(ISNUMBER(V586),V$8,IF(ISNUMBER(U586),U$8,IF(ISNUMBER(T586),T$8," ")))))</f>
        <v xml:space="preserve"> </v>
      </c>
      <c r="BF586" s="50" t="str">
        <f t="shared" si="159"/>
        <v>DRAW CREEK_Coho</v>
      </c>
      <c r="BG586" s="50" t="str">
        <f>IFERROR(VLOOKUP(BF586,'[1]WCVI Esc'!$C$5:$W$514,18,FALSE),"-")</f>
        <v>-</v>
      </c>
      <c r="BH586" s="50" t="str">
        <f t="shared" si="162"/>
        <v>-</v>
      </c>
      <c r="BI586" s="50" t="str">
        <f>IFERROR(VLOOKUP(BF586,'[1]WCVI Esc'!$C$5:$W$514,19,FALSE),"-")</f>
        <v>-</v>
      </c>
      <c r="BJ586" s="50" t="str">
        <f t="shared" si="163"/>
        <v>-</v>
      </c>
    </row>
    <row r="587" spans="1:66" hidden="1" x14ac:dyDescent="0.2">
      <c r="A587" s="28">
        <v>4</v>
      </c>
      <c r="B587" s="28">
        <v>3</v>
      </c>
      <c r="C587" s="11">
        <v>23</v>
      </c>
      <c r="D587" s="13" t="s">
        <v>295</v>
      </c>
      <c r="E587" s="10" t="s">
        <v>173</v>
      </c>
      <c r="F587" s="10" t="s">
        <v>208</v>
      </c>
      <c r="G587" s="10"/>
      <c r="H587" s="152"/>
      <c r="I587" s="164"/>
      <c r="J587" s="62"/>
      <c r="K587" s="62"/>
      <c r="L587" s="177"/>
      <c r="M587" s="171"/>
      <c r="N587" s="62"/>
      <c r="O587" s="62"/>
      <c r="P587" s="62"/>
      <c r="Q587" s="64"/>
      <c r="R587" s="164"/>
      <c r="S587" s="62"/>
      <c r="T587" s="62"/>
      <c r="U587" s="62"/>
      <c r="V587" s="177"/>
      <c r="W587" s="171"/>
      <c r="X587" s="62"/>
      <c r="Y587" s="45"/>
      <c r="Z587" s="45"/>
      <c r="AA587" s="100"/>
      <c r="AB587" s="100"/>
      <c r="AC587" s="24"/>
      <c r="AD587" s="24"/>
      <c r="AE587" s="24"/>
      <c r="AF587" s="24"/>
      <c r="AG587" s="18">
        <v>23</v>
      </c>
      <c r="AH587" s="69" t="s">
        <v>295</v>
      </c>
      <c r="AI587" s="243" t="s">
        <v>173</v>
      </c>
      <c r="AJ587" s="243" t="s">
        <v>419</v>
      </c>
      <c r="AK587" s="246"/>
      <c r="AL587" s="43" t="str">
        <f t="shared" si="164"/>
        <v>-</v>
      </c>
      <c r="AM587" s="43">
        <f t="shared" si="152"/>
        <v>0</v>
      </c>
      <c r="AN587" s="193">
        <f t="shared" si="152"/>
        <v>0</v>
      </c>
      <c r="AO587" s="270" t="str">
        <f t="shared" si="153"/>
        <v>-</v>
      </c>
      <c r="AP587" s="266"/>
      <c r="AQ587" s="26" t="str">
        <f t="shared" si="160"/>
        <v>DRAW CREEKPink</v>
      </c>
      <c r="AR587" s="26">
        <f t="shared" si="154"/>
        <v>0</v>
      </c>
      <c r="AS587" s="33">
        <f t="shared" si="155"/>
        <v>0</v>
      </c>
      <c r="AX587" s="47" t="str">
        <f t="shared" si="156"/>
        <v>DRAW CREEKPink</v>
      </c>
      <c r="AY587" s="49">
        <f t="shared" si="157"/>
        <v>0</v>
      </c>
      <c r="AZ587" s="49">
        <f t="shared" si="158"/>
        <v>0</v>
      </c>
      <c r="BA587" s="31">
        <v>0</v>
      </c>
      <c r="BB587" s="188">
        <f t="shared" si="161"/>
        <v>0</v>
      </c>
      <c r="BC587" s="188" t="str">
        <f t="shared" si="165"/>
        <v xml:space="preserve"> </v>
      </c>
      <c r="BD587" s="188" t="str">
        <f t="shared" si="166"/>
        <v xml:space="preserve"> </v>
      </c>
      <c r="BE587" s="188" t="str">
        <f t="shared" si="167"/>
        <v xml:space="preserve"> </v>
      </c>
      <c r="BF587" s="50" t="str">
        <f t="shared" si="159"/>
        <v>DRAW CREEK_Pink</v>
      </c>
      <c r="BG587" s="50" t="str">
        <f>IFERROR(VLOOKUP(BF587,'[1]WCVI Esc'!$C$5:$W$514,18,FALSE),"-")</f>
        <v>-</v>
      </c>
      <c r="BH587" s="50" t="str">
        <f t="shared" si="162"/>
        <v>-</v>
      </c>
      <c r="BI587" s="50" t="str">
        <f>IFERROR(VLOOKUP(BF587,'[1]WCVI Esc'!$C$5:$W$514,19,FALSE),"-")</f>
        <v>-</v>
      </c>
      <c r="BJ587" s="50" t="str">
        <f t="shared" si="163"/>
        <v>-</v>
      </c>
    </row>
    <row r="588" spans="1:66" hidden="1" x14ac:dyDescent="0.2">
      <c r="A588" s="28">
        <v>4</v>
      </c>
      <c r="B588" s="28">
        <v>4</v>
      </c>
      <c r="C588" s="11">
        <v>23</v>
      </c>
      <c r="D588" s="13" t="s">
        <v>295</v>
      </c>
      <c r="E588" s="10" t="s">
        <v>173</v>
      </c>
      <c r="F588" s="10" t="s">
        <v>209</v>
      </c>
      <c r="G588" s="10"/>
      <c r="H588" s="152"/>
      <c r="I588" s="164"/>
      <c r="J588" s="62"/>
      <c r="K588" s="62"/>
      <c r="L588" s="177"/>
      <c r="M588" s="171"/>
      <c r="N588" s="62"/>
      <c r="O588" s="62"/>
      <c r="P588" s="62"/>
      <c r="Q588" s="64"/>
      <c r="R588" s="164"/>
      <c r="S588" s="62"/>
      <c r="T588" s="62"/>
      <c r="U588" s="62"/>
      <c r="V588" s="177"/>
      <c r="W588" s="171"/>
      <c r="X588" s="62"/>
      <c r="Y588" s="45"/>
      <c r="Z588" s="45"/>
      <c r="AA588" s="100"/>
      <c r="AB588" s="100"/>
      <c r="AC588" s="24"/>
      <c r="AD588" s="24"/>
      <c r="AE588" s="24"/>
      <c r="AF588" s="24"/>
      <c r="AG588" s="18">
        <v>23</v>
      </c>
      <c r="AH588" s="69" t="s">
        <v>295</v>
      </c>
      <c r="AI588" s="243" t="s">
        <v>173</v>
      </c>
      <c r="AJ588" s="243" t="s">
        <v>419</v>
      </c>
      <c r="AK588" s="246"/>
      <c r="AL588" s="43" t="str">
        <f t="shared" si="164"/>
        <v>-</v>
      </c>
      <c r="AM588" s="43">
        <f t="shared" si="152"/>
        <v>0</v>
      </c>
      <c r="AN588" s="193">
        <f t="shared" si="152"/>
        <v>0</v>
      </c>
      <c r="AO588" s="270" t="str">
        <f t="shared" si="153"/>
        <v>-</v>
      </c>
      <c r="AP588" s="266"/>
      <c r="AQ588" s="26" t="str">
        <f t="shared" si="160"/>
        <v>DRAW CREEKChum</v>
      </c>
      <c r="AR588" s="26">
        <f t="shared" si="154"/>
        <v>0</v>
      </c>
      <c r="AS588" s="33">
        <f t="shared" si="155"/>
        <v>0</v>
      </c>
      <c r="AX588" s="47" t="str">
        <f t="shared" si="156"/>
        <v>DRAW CREEKChum</v>
      </c>
      <c r="AY588" s="49">
        <f t="shared" si="157"/>
        <v>0</v>
      </c>
      <c r="AZ588" s="49">
        <f t="shared" si="158"/>
        <v>0</v>
      </c>
      <c r="BA588" s="31">
        <v>0</v>
      </c>
      <c r="BB588" s="188">
        <f t="shared" si="161"/>
        <v>0</v>
      </c>
      <c r="BC588" s="188" t="str">
        <f t="shared" si="165"/>
        <v xml:space="preserve"> </v>
      </c>
      <c r="BD588" s="188" t="str">
        <f t="shared" si="166"/>
        <v xml:space="preserve"> </v>
      </c>
      <c r="BE588" s="188" t="str">
        <f t="shared" si="167"/>
        <v xml:space="preserve"> </v>
      </c>
      <c r="BF588" s="50" t="str">
        <f t="shared" si="159"/>
        <v>DRAW CREEK_Chum</v>
      </c>
      <c r="BG588" s="50" t="str">
        <f>IFERROR(VLOOKUP(BF588,'[1]WCVI Esc'!$C$5:$W$514,18,FALSE),"-")</f>
        <v>-</v>
      </c>
      <c r="BH588" s="50" t="str">
        <f t="shared" si="162"/>
        <v>-</v>
      </c>
      <c r="BI588" s="50" t="str">
        <f>IFERROR(VLOOKUP(BF588,'[1]WCVI Esc'!$C$5:$W$514,19,FALSE),"-")</f>
        <v>-</v>
      </c>
      <c r="BJ588" s="50" t="str">
        <f t="shared" si="163"/>
        <v>-</v>
      </c>
    </row>
    <row r="589" spans="1:66" hidden="1" x14ac:dyDescent="0.2">
      <c r="A589" s="28">
        <v>4</v>
      </c>
      <c r="B589" s="28">
        <v>5</v>
      </c>
      <c r="C589" s="11">
        <v>23</v>
      </c>
      <c r="D589" s="13" t="s">
        <v>295</v>
      </c>
      <c r="E589" s="10" t="s">
        <v>173</v>
      </c>
      <c r="F589" s="10" t="s">
        <v>210</v>
      </c>
      <c r="G589" s="10"/>
      <c r="H589" s="152"/>
      <c r="I589" s="164"/>
      <c r="J589" s="62"/>
      <c r="K589" s="62"/>
      <c r="L589" s="177"/>
      <c r="M589" s="171"/>
      <c r="N589" s="62"/>
      <c r="O589" s="62"/>
      <c r="P589" s="62"/>
      <c r="Q589" s="64"/>
      <c r="R589" s="164"/>
      <c r="S589" s="62"/>
      <c r="T589" s="62"/>
      <c r="U589" s="62"/>
      <c r="V589" s="177"/>
      <c r="W589" s="171"/>
      <c r="X589" s="62"/>
      <c r="Y589" s="45"/>
      <c r="Z589" s="45"/>
      <c r="AA589" s="100"/>
      <c r="AB589" s="100"/>
      <c r="AC589" s="24"/>
      <c r="AD589" s="24"/>
      <c r="AE589" s="24"/>
      <c r="AF589" s="24"/>
      <c r="AG589" s="18">
        <v>23</v>
      </c>
      <c r="AH589" s="69" t="s">
        <v>295</v>
      </c>
      <c r="AI589" s="243" t="s">
        <v>173</v>
      </c>
      <c r="AJ589" s="243" t="s">
        <v>419</v>
      </c>
      <c r="AK589" s="246"/>
      <c r="AL589" s="43" t="str">
        <f t="shared" si="164"/>
        <v>-</v>
      </c>
      <c r="AM589" s="43">
        <f t="shared" si="152"/>
        <v>0</v>
      </c>
      <c r="AN589" s="193">
        <f t="shared" si="152"/>
        <v>0</v>
      </c>
      <c r="AO589" s="270" t="str">
        <f t="shared" si="153"/>
        <v>-</v>
      </c>
      <c r="AP589" s="266"/>
      <c r="AQ589" s="26" t="str">
        <f t="shared" si="160"/>
        <v>DRAW CREEKChinook</v>
      </c>
      <c r="AR589" s="26">
        <f t="shared" si="154"/>
        <v>0</v>
      </c>
      <c r="AS589" s="33">
        <f t="shared" si="155"/>
        <v>0</v>
      </c>
      <c r="AX589" s="47" t="str">
        <f t="shared" si="156"/>
        <v>DRAW CREEKChinook</v>
      </c>
      <c r="AY589" s="49">
        <f t="shared" si="157"/>
        <v>0</v>
      </c>
      <c r="AZ589" s="49">
        <f t="shared" si="158"/>
        <v>0</v>
      </c>
      <c r="BA589" s="31">
        <v>0</v>
      </c>
      <c r="BB589" s="188">
        <f t="shared" si="161"/>
        <v>0</v>
      </c>
      <c r="BC589" s="188" t="str">
        <f t="shared" si="165"/>
        <v xml:space="preserve"> </v>
      </c>
      <c r="BD589" s="188" t="str">
        <f t="shared" si="166"/>
        <v xml:space="preserve"> </v>
      </c>
      <c r="BE589" s="188" t="str">
        <f t="shared" si="167"/>
        <v xml:space="preserve"> </v>
      </c>
      <c r="BF589" s="50" t="str">
        <f t="shared" si="159"/>
        <v>DRAW CREEK_Chinook</v>
      </c>
      <c r="BG589" s="50" t="str">
        <f>IFERROR(VLOOKUP(BF589,'[1]WCVI Esc'!$C$5:$W$514,18,FALSE),"-")</f>
        <v>-</v>
      </c>
      <c r="BH589" s="50" t="str">
        <f t="shared" si="162"/>
        <v>-</v>
      </c>
      <c r="BI589" s="50" t="str">
        <f>IFERROR(VLOOKUP(BF589,'[1]WCVI Esc'!$C$5:$W$514,19,FALSE),"-")</f>
        <v>-</v>
      </c>
      <c r="BJ589" s="50" t="str">
        <f t="shared" si="163"/>
        <v>-</v>
      </c>
    </row>
    <row r="590" spans="1:66" hidden="1" x14ac:dyDescent="0.2">
      <c r="A590" s="28">
        <v>4</v>
      </c>
      <c r="B590" s="28">
        <v>6</v>
      </c>
      <c r="C590" s="11">
        <v>23</v>
      </c>
      <c r="D590" s="13" t="s">
        <v>295</v>
      </c>
      <c r="E590" s="10" t="s">
        <v>173</v>
      </c>
      <c r="F590" s="10" t="s">
        <v>211</v>
      </c>
      <c r="G590" s="10"/>
      <c r="H590" s="152"/>
      <c r="I590" s="164"/>
      <c r="J590" s="62"/>
      <c r="K590" s="62"/>
      <c r="L590" s="177"/>
      <c r="M590" s="171"/>
      <c r="N590" s="62"/>
      <c r="O590" s="62"/>
      <c r="P590" s="62"/>
      <c r="Q590" s="64"/>
      <c r="R590" s="164"/>
      <c r="S590" s="62"/>
      <c r="T590" s="62"/>
      <c r="U590" s="62"/>
      <c r="V590" s="177"/>
      <c r="W590" s="171"/>
      <c r="X590" s="62"/>
      <c r="Y590" s="45"/>
      <c r="Z590" s="45"/>
      <c r="AA590" s="100"/>
      <c r="AB590" s="100"/>
      <c r="AC590" s="24"/>
      <c r="AD590" s="24"/>
      <c r="AE590" s="24"/>
      <c r="AF590" s="24"/>
      <c r="AG590" s="18">
        <v>23</v>
      </c>
      <c r="AH590" s="69" t="s">
        <v>295</v>
      </c>
      <c r="AI590" s="243" t="s">
        <v>173</v>
      </c>
      <c r="AJ590" s="243" t="s">
        <v>419</v>
      </c>
      <c r="AK590" s="246"/>
      <c r="AL590" s="43" t="str">
        <f t="shared" si="164"/>
        <v>-</v>
      </c>
      <c r="AM590" s="43">
        <f t="shared" si="152"/>
        <v>0</v>
      </c>
      <c r="AN590" s="193">
        <f t="shared" si="152"/>
        <v>0</v>
      </c>
      <c r="AO590" s="270" t="str">
        <f t="shared" si="153"/>
        <v>-</v>
      </c>
      <c r="AP590" s="266"/>
      <c r="AQ590" s="26" t="str">
        <f t="shared" si="160"/>
        <v>DRAW CREEKSteelhead</v>
      </c>
      <c r="AR590" s="26">
        <f t="shared" si="154"/>
        <v>0</v>
      </c>
      <c r="AS590" s="33">
        <f t="shared" si="155"/>
        <v>0</v>
      </c>
      <c r="AX590" s="47" t="str">
        <f t="shared" si="156"/>
        <v>DRAW CREEKSteelhead</v>
      </c>
      <c r="AY590" s="49">
        <f t="shared" si="157"/>
        <v>0</v>
      </c>
      <c r="AZ590" s="49">
        <f t="shared" si="158"/>
        <v>0</v>
      </c>
      <c r="BA590" s="31">
        <v>0</v>
      </c>
      <c r="BB590" s="188">
        <f t="shared" si="161"/>
        <v>0</v>
      </c>
      <c r="BC590" s="188" t="str">
        <f t="shared" si="165"/>
        <v xml:space="preserve"> </v>
      </c>
      <c r="BD590" s="188" t="str">
        <f t="shared" si="166"/>
        <v xml:space="preserve"> </v>
      </c>
      <c r="BE590" s="188" t="str">
        <f t="shared" si="167"/>
        <v xml:space="preserve"> </v>
      </c>
      <c r="BF590" s="50" t="str">
        <f t="shared" si="159"/>
        <v>DRAW CREEK_Steelhead</v>
      </c>
      <c r="BG590" s="50" t="str">
        <f>IFERROR(VLOOKUP(BF590,'[1]WCVI Esc'!$C$5:$W$514,18,FALSE),"-")</f>
        <v>-</v>
      </c>
      <c r="BH590" s="50" t="str">
        <f t="shared" si="162"/>
        <v>-</v>
      </c>
      <c r="BI590" s="50" t="str">
        <f>IFERROR(VLOOKUP(BF590,'[1]WCVI Esc'!$C$5:$W$514,19,FALSE),"-")</f>
        <v>-</v>
      </c>
      <c r="BJ590" s="50" t="str">
        <f t="shared" si="163"/>
        <v>-</v>
      </c>
    </row>
    <row r="591" spans="1:66" hidden="1" x14ac:dyDescent="0.2">
      <c r="A591" s="28">
        <v>4</v>
      </c>
      <c r="B591" s="28">
        <v>1</v>
      </c>
      <c r="C591" s="11">
        <v>23</v>
      </c>
      <c r="D591" s="13" t="s">
        <v>320</v>
      </c>
      <c r="E591" s="10" t="s">
        <v>93</v>
      </c>
      <c r="F591" s="10" t="s">
        <v>207</v>
      </c>
      <c r="G591" s="10"/>
      <c r="H591" s="152"/>
      <c r="I591" s="164"/>
      <c r="J591" s="62"/>
      <c r="K591" s="62"/>
      <c r="L591" s="177"/>
      <c r="M591" s="171"/>
      <c r="N591" s="62"/>
      <c r="O591" s="62"/>
      <c r="P591" s="62"/>
      <c r="Q591" s="64"/>
      <c r="R591" s="164"/>
      <c r="S591" s="62"/>
      <c r="T591" s="62"/>
      <c r="U591" s="62"/>
      <c r="V591" s="177"/>
      <c r="W591" s="171"/>
      <c r="X591" s="62"/>
      <c r="Y591" s="45"/>
      <c r="Z591" s="45"/>
      <c r="AA591" s="100"/>
      <c r="AB591" s="100"/>
      <c r="AC591" s="24"/>
      <c r="AD591" s="24"/>
      <c r="AE591" s="24"/>
      <c r="AF591" s="24"/>
      <c r="AG591" s="18">
        <v>23</v>
      </c>
      <c r="AH591" s="69" t="s">
        <v>320</v>
      </c>
      <c r="AI591" s="243" t="s">
        <v>93</v>
      </c>
      <c r="AJ591" s="243" t="s">
        <v>419</v>
      </c>
      <c r="AK591" s="246"/>
      <c r="AL591" s="43" t="str">
        <f t="shared" si="164"/>
        <v>-</v>
      </c>
      <c r="AM591" s="43">
        <f t="shared" si="152"/>
        <v>0</v>
      </c>
      <c r="AN591" s="193">
        <f t="shared" si="152"/>
        <v>0</v>
      </c>
      <c r="AO591" s="270" t="str">
        <f t="shared" si="153"/>
        <v>-</v>
      </c>
      <c r="AP591" s="267"/>
      <c r="AQ591" s="26" t="str">
        <f t="shared" si="160"/>
        <v>DRINKWATER CREEKSockeye</v>
      </c>
      <c r="AR591" s="26">
        <f t="shared" si="154"/>
        <v>0</v>
      </c>
      <c r="AS591" s="33">
        <f t="shared" si="155"/>
        <v>0</v>
      </c>
      <c r="AX591" s="47" t="str">
        <f t="shared" si="156"/>
        <v>DRINKWATER CREEKSockeye</v>
      </c>
      <c r="AY591" s="49">
        <f t="shared" si="157"/>
        <v>0</v>
      </c>
      <c r="AZ591" s="49">
        <f t="shared" si="158"/>
        <v>0</v>
      </c>
      <c r="BA591" s="31">
        <v>0</v>
      </c>
      <c r="BB591" s="188">
        <f t="shared" si="161"/>
        <v>0</v>
      </c>
      <c r="BC591" s="188" t="str">
        <f t="shared" si="165"/>
        <v xml:space="preserve"> </v>
      </c>
      <c r="BD591" s="188" t="str">
        <f t="shared" si="166"/>
        <v xml:space="preserve"> </v>
      </c>
      <c r="BE591" s="188" t="str">
        <f t="shared" si="167"/>
        <v xml:space="preserve"> </v>
      </c>
      <c r="BF591" s="50" t="str">
        <f t="shared" si="159"/>
        <v>DRINKWATER CREEK_Sockeye</v>
      </c>
      <c r="BG591" s="50" t="str">
        <f>IFERROR(VLOOKUP(BF591,'[1]WCVI Esc'!$C$5:$W$514,18,FALSE),"-")</f>
        <v>-</v>
      </c>
      <c r="BH591" s="50" t="str">
        <f t="shared" si="162"/>
        <v>-</v>
      </c>
      <c r="BI591" s="50" t="str">
        <f>IFERROR(VLOOKUP(BF591,'[1]WCVI Esc'!$C$5:$W$514,19,FALSE),"-")</f>
        <v>-</v>
      </c>
      <c r="BJ591" s="50" t="str">
        <f t="shared" si="163"/>
        <v>-</v>
      </c>
    </row>
    <row r="592" spans="1:66" hidden="1" x14ac:dyDescent="0.2">
      <c r="A592" s="28">
        <v>4</v>
      </c>
      <c r="B592" s="28">
        <v>2</v>
      </c>
      <c r="C592" s="11">
        <v>23</v>
      </c>
      <c r="D592" s="13" t="s">
        <v>320</v>
      </c>
      <c r="E592" s="10" t="s">
        <v>93</v>
      </c>
      <c r="F592" s="10" t="s">
        <v>219</v>
      </c>
      <c r="G592" s="10"/>
      <c r="H592" s="152"/>
      <c r="I592" s="164"/>
      <c r="J592" s="62"/>
      <c r="K592" s="62"/>
      <c r="L592" s="177"/>
      <c r="M592" s="171"/>
      <c r="N592" s="62"/>
      <c r="O592" s="62"/>
      <c r="P592" s="62"/>
      <c r="Q592" s="64"/>
      <c r="R592" s="164"/>
      <c r="S592" s="62"/>
      <c r="T592" s="62"/>
      <c r="U592" s="62"/>
      <c r="V592" s="177"/>
      <c r="W592" s="171"/>
      <c r="X592" s="62"/>
      <c r="Y592" s="45"/>
      <c r="Z592" s="45"/>
      <c r="AA592" s="100"/>
      <c r="AB592" s="100"/>
      <c r="AC592" s="24"/>
      <c r="AD592" s="24"/>
      <c r="AE592" s="24"/>
      <c r="AF592" s="24"/>
      <c r="AG592" s="18">
        <v>23</v>
      </c>
      <c r="AH592" s="69" t="s">
        <v>320</v>
      </c>
      <c r="AI592" s="243" t="s">
        <v>93</v>
      </c>
      <c r="AJ592" s="243" t="s">
        <v>419</v>
      </c>
      <c r="AK592" s="246"/>
      <c r="AL592" s="43" t="str">
        <f t="shared" si="164"/>
        <v>-</v>
      </c>
      <c r="AM592" s="43">
        <f t="shared" si="152"/>
        <v>0</v>
      </c>
      <c r="AN592" s="193">
        <f t="shared" si="152"/>
        <v>0</v>
      </c>
      <c r="AO592" s="270" t="str">
        <f t="shared" si="153"/>
        <v>-</v>
      </c>
      <c r="AP592" s="268"/>
      <c r="AQ592" s="26" t="str">
        <f t="shared" si="160"/>
        <v>DRINKWATER CREEKCoho</v>
      </c>
      <c r="AR592" s="26">
        <f t="shared" si="154"/>
        <v>0</v>
      </c>
      <c r="AS592" s="33">
        <f t="shared" si="155"/>
        <v>0</v>
      </c>
      <c r="AX592" s="47" t="str">
        <f t="shared" si="156"/>
        <v>DRINKWATER CREEKCoho</v>
      </c>
      <c r="AY592" s="49">
        <f t="shared" si="157"/>
        <v>0</v>
      </c>
      <c r="AZ592" s="49">
        <f t="shared" si="158"/>
        <v>0</v>
      </c>
      <c r="BA592" s="31">
        <v>0</v>
      </c>
      <c r="BB592" s="188">
        <f t="shared" si="161"/>
        <v>0</v>
      </c>
      <c r="BC592" s="188" t="str">
        <f t="shared" si="165"/>
        <v xml:space="preserve"> </v>
      </c>
      <c r="BD592" s="188" t="str">
        <f t="shared" si="166"/>
        <v xml:space="preserve"> </v>
      </c>
      <c r="BE592" s="188" t="str">
        <f t="shared" si="167"/>
        <v xml:space="preserve"> </v>
      </c>
      <c r="BF592" s="50" t="str">
        <f t="shared" si="159"/>
        <v>DRINKWATER CREEK_Coho</v>
      </c>
      <c r="BG592" s="50" t="str">
        <f>IFERROR(VLOOKUP(BF592,'[1]WCVI Esc'!$C$5:$W$514,18,FALSE),"-")</f>
        <v>-</v>
      </c>
      <c r="BH592" s="50" t="str">
        <f t="shared" si="162"/>
        <v>-</v>
      </c>
      <c r="BI592" s="50" t="str">
        <f>IFERROR(VLOOKUP(BF592,'[1]WCVI Esc'!$C$5:$W$514,19,FALSE),"-")</f>
        <v>-</v>
      </c>
      <c r="BJ592" s="50" t="str">
        <f t="shared" si="163"/>
        <v>-</v>
      </c>
    </row>
    <row r="593" spans="1:62" hidden="1" x14ac:dyDescent="0.2">
      <c r="A593" s="28">
        <v>4</v>
      </c>
      <c r="B593" s="28">
        <v>3</v>
      </c>
      <c r="C593" s="11">
        <v>23</v>
      </c>
      <c r="D593" s="13" t="s">
        <v>320</v>
      </c>
      <c r="E593" s="10" t="s">
        <v>93</v>
      </c>
      <c r="F593" s="10" t="s">
        <v>208</v>
      </c>
      <c r="G593" s="10"/>
      <c r="H593" s="152"/>
      <c r="I593" s="164"/>
      <c r="J593" s="62"/>
      <c r="K593" s="62"/>
      <c r="L593" s="177"/>
      <c r="M593" s="171"/>
      <c r="N593" s="62"/>
      <c r="O593" s="62"/>
      <c r="P593" s="62"/>
      <c r="Q593" s="64"/>
      <c r="R593" s="164"/>
      <c r="S593" s="62"/>
      <c r="T593" s="62"/>
      <c r="U593" s="62"/>
      <c r="V593" s="177"/>
      <c r="W593" s="171"/>
      <c r="X593" s="62"/>
      <c r="Y593" s="45"/>
      <c r="Z593" s="45"/>
      <c r="AA593" s="100"/>
      <c r="AB593" s="100"/>
      <c r="AC593" s="24"/>
      <c r="AD593" s="24"/>
      <c r="AE593" s="24"/>
      <c r="AF593" s="24"/>
      <c r="AG593" s="18">
        <v>23</v>
      </c>
      <c r="AH593" s="69" t="s">
        <v>320</v>
      </c>
      <c r="AI593" s="243" t="s">
        <v>93</v>
      </c>
      <c r="AJ593" s="243" t="s">
        <v>419</v>
      </c>
      <c r="AK593" s="246"/>
      <c r="AL593" s="43" t="str">
        <f t="shared" si="164"/>
        <v>-</v>
      </c>
      <c r="AM593" s="43">
        <f t="shared" si="152"/>
        <v>0</v>
      </c>
      <c r="AN593" s="193">
        <f t="shared" si="152"/>
        <v>0</v>
      </c>
      <c r="AO593" s="270" t="str">
        <f t="shared" si="153"/>
        <v>-</v>
      </c>
      <c r="AP593" s="267"/>
      <c r="AQ593" s="26" t="str">
        <f t="shared" si="160"/>
        <v>DRINKWATER CREEKPink</v>
      </c>
      <c r="AR593" s="26">
        <f t="shared" si="154"/>
        <v>0</v>
      </c>
      <c r="AS593" s="33">
        <f t="shared" si="155"/>
        <v>0</v>
      </c>
      <c r="AX593" s="47" t="str">
        <f t="shared" si="156"/>
        <v>DRINKWATER CREEKPink</v>
      </c>
      <c r="AY593" s="49">
        <f t="shared" si="157"/>
        <v>0</v>
      </c>
      <c r="AZ593" s="49">
        <f t="shared" si="158"/>
        <v>0</v>
      </c>
      <c r="BA593" s="31">
        <v>0</v>
      </c>
      <c r="BB593" s="188">
        <f t="shared" si="161"/>
        <v>0</v>
      </c>
      <c r="BC593" s="188" t="str">
        <f t="shared" si="165"/>
        <v xml:space="preserve"> </v>
      </c>
      <c r="BD593" s="188" t="str">
        <f t="shared" si="166"/>
        <v xml:space="preserve"> </v>
      </c>
      <c r="BE593" s="188" t="str">
        <f t="shared" si="167"/>
        <v xml:space="preserve"> </v>
      </c>
      <c r="BF593" s="50" t="str">
        <f t="shared" si="159"/>
        <v>DRINKWATER CREEK_Pink</v>
      </c>
      <c r="BG593" s="50" t="str">
        <f>IFERROR(VLOOKUP(BF593,'[1]WCVI Esc'!$C$5:$W$514,18,FALSE),"-")</f>
        <v>-</v>
      </c>
      <c r="BH593" s="50" t="str">
        <f t="shared" si="162"/>
        <v>-</v>
      </c>
      <c r="BI593" s="50" t="str">
        <f>IFERROR(VLOOKUP(BF593,'[1]WCVI Esc'!$C$5:$W$514,19,FALSE),"-")</f>
        <v>-</v>
      </c>
      <c r="BJ593" s="50" t="str">
        <f t="shared" si="163"/>
        <v>-</v>
      </c>
    </row>
    <row r="594" spans="1:62" hidden="1" x14ac:dyDescent="0.2">
      <c r="A594" s="28">
        <v>4</v>
      </c>
      <c r="B594" s="28">
        <v>4</v>
      </c>
      <c r="C594" s="11">
        <v>23</v>
      </c>
      <c r="D594" s="13" t="s">
        <v>320</v>
      </c>
      <c r="E594" s="10" t="s">
        <v>93</v>
      </c>
      <c r="F594" s="10" t="s">
        <v>209</v>
      </c>
      <c r="G594" s="10"/>
      <c r="H594" s="152"/>
      <c r="I594" s="164"/>
      <c r="J594" s="62"/>
      <c r="K594" s="62"/>
      <c r="L594" s="177"/>
      <c r="M594" s="171"/>
      <c r="N594" s="62"/>
      <c r="O594" s="62"/>
      <c r="P594" s="62"/>
      <c r="Q594" s="64"/>
      <c r="R594" s="164"/>
      <c r="S594" s="62"/>
      <c r="T594" s="62"/>
      <c r="U594" s="62"/>
      <c r="V594" s="177"/>
      <c r="W594" s="171"/>
      <c r="X594" s="62"/>
      <c r="Y594" s="45"/>
      <c r="Z594" s="45"/>
      <c r="AA594" s="100"/>
      <c r="AB594" s="100"/>
      <c r="AC594" s="24"/>
      <c r="AD594" s="24"/>
      <c r="AE594" s="24"/>
      <c r="AF594" s="24"/>
      <c r="AG594" s="18">
        <v>23</v>
      </c>
      <c r="AH594" s="69" t="s">
        <v>320</v>
      </c>
      <c r="AI594" s="243" t="s">
        <v>93</v>
      </c>
      <c r="AJ594" s="243" t="s">
        <v>419</v>
      </c>
      <c r="AK594" s="246"/>
      <c r="AL594" s="43" t="str">
        <f t="shared" si="164"/>
        <v>-</v>
      </c>
      <c r="AM594" s="43">
        <f t="shared" si="152"/>
        <v>0</v>
      </c>
      <c r="AN594" s="193">
        <f t="shared" si="152"/>
        <v>0</v>
      </c>
      <c r="AO594" s="270" t="str">
        <f t="shared" si="153"/>
        <v>-</v>
      </c>
      <c r="AP594" s="268"/>
      <c r="AQ594" s="26" t="str">
        <f t="shared" si="160"/>
        <v>DRINKWATER CREEKChum</v>
      </c>
      <c r="AR594" s="26">
        <f t="shared" si="154"/>
        <v>0</v>
      </c>
      <c r="AS594" s="33">
        <f t="shared" si="155"/>
        <v>0</v>
      </c>
      <c r="AX594" s="47" t="str">
        <f t="shared" si="156"/>
        <v>DRINKWATER CREEKChum</v>
      </c>
      <c r="AY594" s="49">
        <f t="shared" si="157"/>
        <v>0</v>
      </c>
      <c r="AZ594" s="49">
        <f t="shared" si="158"/>
        <v>0</v>
      </c>
      <c r="BA594" s="31">
        <v>0</v>
      </c>
      <c r="BB594" s="188">
        <f t="shared" si="161"/>
        <v>0</v>
      </c>
      <c r="BC594" s="188" t="str">
        <f t="shared" si="165"/>
        <v xml:space="preserve"> </v>
      </c>
      <c r="BD594" s="188" t="str">
        <f t="shared" si="166"/>
        <v xml:space="preserve"> </v>
      </c>
      <c r="BE594" s="188" t="str">
        <f t="shared" si="167"/>
        <v xml:space="preserve"> </v>
      </c>
      <c r="BF594" s="50" t="str">
        <f t="shared" si="159"/>
        <v>DRINKWATER CREEK_Chum</v>
      </c>
      <c r="BG594" s="50" t="str">
        <f>IFERROR(VLOOKUP(BF594,'[1]WCVI Esc'!$C$5:$W$514,18,FALSE),"-")</f>
        <v>-</v>
      </c>
      <c r="BH594" s="50" t="str">
        <f t="shared" si="162"/>
        <v>-</v>
      </c>
      <c r="BI594" s="50" t="str">
        <f>IFERROR(VLOOKUP(BF594,'[1]WCVI Esc'!$C$5:$W$514,19,FALSE),"-")</f>
        <v>-</v>
      </c>
      <c r="BJ594" s="50" t="str">
        <f t="shared" si="163"/>
        <v>-</v>
      </c>
    </row>
    <row r="595" spans="1:62" hidden="1" x14ac:dyDescent="0.2">
      <c r="A595" s="28">
        <v>4</v>
      </c>
      <c r="B595" s="28">
        <v>5</v>
      </c>
      <c r="C595" s="11">
        <v>23</v>
      </c>
      <c r="D595" s="13" t="s">
        <v>320</v>
      </c>
      <c r="E595" s="10" t="s">
        <v>93</v>
      </c>
      <c r="F595" s="10" t="s">
        <v>210</v>
      </c>
      <c r="G595" s="10"/>
      <c r="H595" s="152"/>
      <c r="I595" s="164"/>
      <c r="J595" s="62"/>
      <c r="K595" s="62"/>
      <c r="L595" s="177"/>
      <c r="M595" s="171"/>
      <c r="N595" s="62"/>
      <c r="O595" s="62"/>
      <c r="P595" s="62"/>
      <c r="Q595" s="64"/>
      <c r="R595" s="164"/>
      <c r="S595" s="62"/>
      <c r="T595" s="62"/>
      <c r="U595" s="62"/>
      <c r="V595" s="177"/>
      <c r="W595" s="171"/>
      <c r="X595" s="62"/>
      <c r="Y595" s="45"/>
      <c r="Z595" s="45"/>
      <c r="AA595" s="100"/>
      <c r="AB595" s="100"/>
      <c r="AC595" s="24"/>
      <c r="AD595" s="24"/>
      <c r="AE595" s="24"/>
      <c r="AF595" s="24"/>
      <c r="AG595" s="18">
        <v>23</v>
      </c>
      <c r="AH595" s="69" t="s">
        <v>320</v>
      </c>
      <c r="AI595" s="243" t="s">
        <v>93</v>
      </c>
      <c r="AJ595" s="243" t="s">
        <v>419</v>
      </c>
      <c r="AK595" s="246"/>
      <c r="AL595" s="43" t="str">
        <f t="shared" si="164"/>
        <v>-</v>
      </c>
      <c r="AM595" s="43">
        <f t="shared" si="152"/>
        <v>0</v>
      </c>
      <c r="AN595" s="193">
        <f t="shared" si="152"/>
        <v>0</v>
      </c>
      <c r="AO595" s="270" t="str">
        <f t="shared" si="153"/>
        <v>-</v>
      </c>
      <c r="AP595" s="267"/>
      <c r="AQ595" s="26" t="str">
        <f t="shared" si="160"/>
        <v>DRINKWATER CREEKChinook</v>
      </c>
      <c r="AR595" s="26">
        <f t="shared" si="154"/>
        <v>0</v>
      </c>
      <c r="AS595" s="33">
        <f t="shared" si="155"/>
        <v>0</v>
      </c>
      <c r="AX595" s="47" t="str">
        <f t="shared" si="156"/>
        <v>DRINKWATER CREEKChinook</v>
      </c>
      <c r="AY595" s="49">
        <f t="shared" si="157"/>
        <v>0</v>
      </c>
      <c r="AZ595" s="49">
        <f t="shared" si="158"/>
        <v>0</v>
      </c>
      <c r="BA595" s="31">
        <v>0</v>
      </c>
      <c r="BB595" s="188">
        <f t="shared" si="161"/>
        <v>0</v>
      </c>
      <c r="BC595" s="188" t="str">
        <f t="shared" si="165"/>
        <v xml:space="preserve"> </v>
      </c>
      <c r="BD595" s="188" t="str">
        <f t="shared" si="166"/>
        <v xml:space="preserve"> </v>
      </c>
      <c r="BE595" s="188" t="str">
        <f t="shared" si="167"/>
        <v xml:space="preserve"> </v>
      </c>
      <c r="BF595" s="50" t="str">
        <f t="shared" si="159"/>
        <v>DRINKWATER CREEK_Chinook</v>
      </c>
      <c r="BG595" s="50" t="str">
        <f>IFERROR(VLOOKUP(BF595,'[1]WCVI Esc'!$C$5:$W$514,18,FALSE),"-")</f>
        <v>-</v>
      </c>
      <c r="BH595" s="50" t="str">
        <f t="shared" si="162"/>
        <v>-</v>
      </c>
      <c r="BI595" s="50" t="str">
        <f>IFERROR(VLOOKUP(BF595,'[1]WCVI Esc'!$C$5:$W$514,19,FALSE),"-")</f>
        <v>-</v>
      </c>
      <c r="BJ595" s="50" t="str">
        <f t="shared" si="163"/>
        <v>-</v>
      </c>
    </row>
    <row r="596" spans="1:62" hidden="1" x14ac:dyDescent="0.2">
      <c r="A596" s="28">
        <v>4</v>
      </c>
      <c r="B596" s="28">
        <v>6</v>
      </c>
      <c r="C596" s="11">
        <v>23</v>
      </c>
      <c r="D596" s="13" t="s">
        <v>320</v>
      </c>
      <c r="E596" s="10" t="s">
        <v>93</v>
      </c>
      <c r="F596" s="10" t="s">
        <v>211</v>
      </c>
      <c r="G596" s="10"/>
      <c r="H596" s="152"/>
      <c r="I596" s="164"/>
      <c r="J596" s="62"/>
      <c r="K596" s="62"/>
      <c r="L596" s="177"/>
      <c r="M596" s="171"/>
      <c r="N596" s="62"/>
      <c r="O596" s="62"/>
      <c r="P596" s="62"/>
      <c r="Q596" s="64"/>
      <c r="R596" s="164"/>
      <c r="S596" s="62"/>
      <c r="T596" s="62"/>
      <c r="U596" s="62"/>
      <c r="V596" s="177"/>
      <c r="W596" s="171"/>
      <c r="X596" s="62"/>
      <c r="Y596" s="45"/>
      <c r="Z596" s="45"/>
      <c r="AA596" s="100"/>
      <c r="AB596" s="100"/>
      <c r="AC596" s="24"/>
      <c r="AD596" s="24"/>
      <c r="AE596" s="24"/>
      <c r="AF596" s="24"/>
      <c r="AG596" s="18">
        <v>23</v>
      </c>
      <c r="AH596" s="69" t="s">
        <v>320</v>
      </c>
      <c r="AI596" s="243" t="s">
        <v>93</v>
      </c>
      <c r="AJ596" s="243" t="s">
        <v>419</v>
      </c>
      <c r="AK596" s="246"/>
      <c r="AL596" s="43" t="str">
        <f t="shared" si="164"/>
        <v>-</v>
      </c>
      <c r="AM596" s="43">
        <f t="shared" si="152"/>
        <v>0</v>
      </c>
      <c r="AN596" s="193">
        <f t="shared" si="152"/>
        <v>0</v>
      </c>
      <c r="AO596" s="270" t="str">
        <f t="shared" si="153"/>
        <v>-</v>
      </c>
      <c r="AP596" s="267"/>
      <c r="AQ596" s="26" t="str">
        <f t="shared" si="160"/>
        <v>DRINKWATER CREEKSteelhead</v>
      </c>
      <c r="AR596" s="26">
        <f t="shared" si="154"/>
        <v>0</v>
      </c>
      <c r="AS596" s="33">
        <f t="shared" si="155"/>
        <v>0</v>
      </c>
      <c r="AX596" s="47" t="str">
        <f t="shared" si="156"/>
        <v>DRINKWATER CREEKSteelhead</v>
      </c>
      <c r="AY596" s="49">
        <f t="shared" si="157"/>
        <v>0</v>
      </c>
      <c r="AZ596" s="49">
        <f t="shared" si="158"/>
        <v>0</v>
      </c>
      <c r="BA596" s="31">
        <v>0</v>
      </c>
      <c r="BB596" s="188">
        <f t="shared" si="161"/>
        <v>0</v>
      </c>
      <c r="BC596" s="188" t="str">
        <f t="shared" si="165"/>
        <v xml:space="preserve"> </v>
      </c>
      <c r="BD596" s="188" t="str">
        <f t="shared" si="166"/>
        <v xml:space="preserve"> </v>
      </c>
      <c r="BE596" s="188" t="str">
        <f t="shared" si="167"/>
        <v xml:space="preserve"> </v>
      </c>
      <c r="BF596" s="50" t="str">
        <f t="shared" si="159"/>
        <v>DRINKWATER CREEK_Steelhead</v>
      </c>
      <c r="BG596" s="50" t="str">
        <f>IFERROR(VLOOKUP(BF596,'[1]WCVI Esc'!$C$5:$W$514,18,FALSE),"-")</f>
        <v>-</v>
      </c>
      <c r="BH596" s="50" t="str">
        <f t="shared" si="162"/>
        <v>-</v>
      </c>
      <c r="BI596" s="50" t="str">
        <f>IFERROR(VLOOKUP(BF596,'[1]WCVI Esc'!$C$5:$W$514,19,FALSE),"-")</f>
        <v>-</v>
      </c>
      <c r="BJ596" s="50" t="str">
        <f t="shared" si="163"/>
        <v>-</v>
      </c>
    </row>
    <row r="597" spans="1:62" hidden="1" x14ac:dyDescent="0.2">
      <c r="A597" s="28">
        <v>4</v>
      </c>
      <c r="B597" s="28">
        <v>1</v>
      </c>
      <c r="C597" s="11">
        <v>23</v>
      </c>
      <c r="D597" s="13" t="s">
        <v>295</v>
      </c>
      <c r="E597" s="10" t="s">
        <v>94</v>
      </c>
      <c r="F597" s="10" t="s">
        <v>207</v>
      </c>
      <c r="G597" s="10"/>
      <c r="H597" s="152"/>
      <c r="I597" s="164"/>
      <c r="J597" s="62"/>
      <c r="K597" s="62"/>
      <c r="L597" s="177"/>
      <c r="M597" s="171"/>
      <c r="N597" s="62"/>
      <c r="O597" s="62"/>
      <c r="P597" s="62"/>
      <c r="Q597" s="64"/>
      <c r="R597" s="164"/>
      <c r="S597" s="62"/>
      <c r="T597" s="62"/>
      <c r="U597" s="62"/>
      <c r="V597" s="177"/>
      <c r="W597" s="171"/>
      <c r="X597" s="62"/>
      <c r="Y597" s="45"/>
      <c r="Z597" s="45"/>
      <c r="AA597" s="100"/>
      <c r="AB597" s="100"/>
      <c r="AC597" s="24"/>
      <c r="AD597" s="24"/>
      <c r="AE597" s="24"/>
      <c r="AF597" s="24"/>
      <c r="AG597" s="18">
        <v>23</v>
      </c>
      <c r="AH597" s="69" t="s">
        <v>295</v>
      </c>
      <c r="AI597" s="243" t="s">
        <v>94</v>
      </c>
      <c r="AJ597" s="243" t="s">
        <v>419</v>
      </c>
      <c r="AK597" s="246"/>
      <c r="AL597" s="43" t="str">
        <f t="shared" si="164"/>
        <v>-</v>
      </c>
      <c r="AM597" s="43">
        <f t="shared" si="152"/>
        <v>0</v>
      </c>
      <c r="AN597" s="193">
        <f t="shared" si="152"/>
        <v>0</v>
      </c>
      <c r="AO597" s="270" t="str">
        <f t="shared" si="153"/>
        <v>-</v>
      </c>
      <c r="AP597" s="266"/>
      <c r="AQ597" s="26" t="str">
        <f t="shared" si="160"/>
        <v>DUTCH HARBOUR CREEK EASTSockeye</v>
      </c>
      <c r="AR597" s="26">
        <f t="shared" si="154"/>
        <v>0</v>
      </c>
      <c r="AS597" s="33">
        <f t="shared" si="155"/>
        <v>0</v>
      </c>
      <c r="AX597" s="47" t="str">
        <f t="shared" si="156"/>
        <v>DUTCH HARBOUR CREEK EASTSockeye</v>
      </c>
      <c r="AY597" s="49">
        <f t="shared" si="157"/>
        <v>0</v>
      </c>
      <c r="AZ597" s="49">
        <f t="shared" si="158"/>
        <v>0</v>
      </c>
      <c r="BA597" s="31">
        <v>0</v>
      </c>
      <c r="BB597" s="188">
        <f t="shared" si="161"/>
        <v>0</v>
      </c>
      <c r="BC597" s="188" t="str">
        <f t="shared" si="165"/>
        <v xml:space="preserve"> </v>
      </c>
      <c r="BD597" s="188" t="str">
        <f t="shared" si="166"/>
        <v xml:space="preserve"> </v>
      </c>
      <c r="BE597" s="188" t="str">
        <f t="shared" si="167"/>
        <v xml:space="preserve"> </v>
      </c>
      <c r="BF597" s="50" t="str">
        <f t="shared" si="159"/>
        <v>DUTCH HARBOUR CREEK EAST_Sockeye</v>
      </c>
      <c r="BG597" s="50" t="str">
        <f>IFERROR(VLOOKUP(BF597,'[1]WCVI Esc'!$C$5:$W$514,18,FALSE),"-")</f>
        <v>-</v>
      </c>
      <c r="BH597" s="50" t="str">
        <f t="shared" si="162"/>
        <v>-</v>
      </c>
      <c r="BI597" s="50" t="str">
        <f>IFERROR(VLOOKUP(BF597,'[1]WCVI Esc'!$C$5:$W$514,19,FALSE),"-")</f>
        <v>-</v>
      </c>
      <c r="BJ597" s="50" t="str">
        <f t="shared" si="163"/>
        <v>-</v>
      </c>
    </row>
    <row r="598" spans="1:62" hidden="1" x14ac:dyDescent="0.2">
      <c r="A598" s="28">
        <v>4</v>
      </c>
      <c r="B598" s="28">
        <v>2</v>
      </c>
      <c r="C598" s="11">
        <v>23</v>
      </c>
      <c r="D598" s="13" t="s">
        <v>295</v>
      </c>
      <c r="E598" s="10" t="s">
        <v>94</v>
      </c>
      <c r="F598" s="10" t="s">
        <v>219</v>
      </c>
      <c r="G598" s="10"/>
      <c r="H598" s="152"/>
      <c r="I598" s="164"/>
      <c r="J598" s="62"/>
      <c r="K598" s="62"/>
      <c r="L598" s="177"/>
      <c r="M598" s="171"/>
      <c r="N598" s="62"/>
      <c r="O598" s="62"/>
      <c r="P598" s="62"/>
      <c r="Q598" s="64"/>
      <c r="R598" s="164"/>
      <c r="S598" s="62"/>
      <c r="T598" s="62"/>
      <c r="U598" s="62"/>
      <c r="V598" s="177"/>
      <c r="W598" s="171"/>
      <c r="X598" s="62"/>
      <c r="Y598" s="45"/>
      <c r="Z598" s="45"/>
      <c r="AA598" s="100"/>
      <c r="AB598" s="100"/>
      <c r="AC598" s="24"/>
      <c r="AD598" s="24"/>
      <c r="AE598" s="24"/>
      <c r="AF598" s="24"/>
      <c r="AG598" s="18">
        <v>23</v>
      </c>
      <c r="AH598" s="69" t="s">
        <v>295</v>
      </c>
      <c r="AI598" s="243" t="s">
        <v>94</v>
      </c>
      <c r="AJ598" s="243" t="s">
        <v>419</v>
      </c>
      <c r="AK598" s="246"/>
      <c r="AL598" s="43" t="str">
        <f t="shared" si="164"/>
        <v>-</v>
      </c>
      <c r="AM598" s="43">
        <f t="shared" si="152"/>
        <v>0</v>
      </c>
      <c r="AN598" s="193">
        <f t="shared" si="152"/>
        <v>0</v>
      </c>
      <c r="AO598" s="270" t="str">
        <f t="shared" si="153"/>
        <v>-</v>
      </c>
      <c r="AP598" s="266"/>
      <c r="AQ598" s="26" t="str">
        <f t="shared" si="160"/>
        <v>DUTCH HARBOUR CREEK EASTCoho</v>
      </c>
      <c r="AR598" s="26">
        <f t="shared" si="154"/>
        <v>0</v>
      </c>
      <c r="AS598" s="33">
        <f t="shared" si="155"/>
        <v>0</v>
      </c>
      <c r="AX598" s="47" t="str">
        <f t="shared" si="156"/>
        <v>DUTCH HARBOUR CREEK EASTCoho</v>
      </c>
      <c r="AY598" s="49">
        <f t="shared" si="157"/>
        <v>0</v>
      </c>
      <c r="AZ598" s="49">
        <f t="shared" si="158"/>
        <v>0</v>
      </c>
      <c r="BA598" s="31">
        <v>2004</v>
      </c>
      <c r="BB598" s="188">
        <f t="shared" si="161"/>
        <v>0</v>
      </c>
      <c r="BC598" s="188" t="str">
        <f t="shared" si="165"/>
        <v xml:space="preserve"> </v>
      </c>
      <c r="BD598" s="188" t="str">
        <f t="shared" si="166"/>
        <v xml:space="preserve"> </v>
      </c>
      <c r="BE598" s="188" t="str">
        <f t="shared" si="167"/>
        <v xml:space="preserve"> </v>
      </c>
      <c r="BF598" s="50" t="str">
        <f t="shared" si="159"/>
        <v>DUTCH HARBOUR CREEK EAST_Coho</v>
      </c>
      <c r="BG598" s="50" t="str">
        <f>IFERROR(VLOOKUP(BF598,'[1]WCVI Esc'!$C$5:$W$514,18,FALSE),"-")</f>
        <v>-</v>
      </c>
      <c r="BH598" s="50" t="str">
        <f t="shared" si="162"/>
        <v>-</v>
      </c>
      <c r="BI598" s="50" t="str">
        <f>IFERROR(VLOOKUP(BF598,'[1]WCVI Esc'!$C$5:$W$514,19,FALSE),"-")</f>
        <v>-</v>
      </c>
      <c r="BJ598" s="50" t="str">
        <f t="shared" si="163"/>
        <v>-</v>
      </c>
    </row>
    <row r="599" spans="1:62" hidden="1" x14ac:dyDescent="0.2">
      <c r="A599" s="28">
        <v>4</v>
      </c>
      <c r="B599" s="28">
        <v>3</v>
      </c>
      <c r="C599" s="11">
        <v>23</v>
      </c>
      <c r="D599" s="13" t="s">
        <v>295</v>
      </c>
      <c r="E599" s="10" t="s">
        <v>94</v>
      </c>
      <c r="F599" s="10" t="s">
        <v>208</v>
      </c>
      <c r="G599" s="10"/>
      <c r="H599" s="152"/>
      <c r="I599" s="164"/>
      <c r="J599" s="62"/>
      <c r="K599" s="62"/>
      <c r="L599" s="177"/>
      <c r="M599" s="171"/>
      <c r="N599" s="62"/>
      <c r="O599" s="62"/>
      <c r="P599" s="62"/>
      <c r="Q599" s="64"/>
      <c r="R599" s="164"/>
      <c r="S599" s="62"/>
      <c r="T599" s="62"/>
      <c r="U599" s="62"/>
      <c r="V599" s="177"/>
      <c r="W599" s="171"/>
      <c r="X599" s="62"/>
      <c r="Y599" s="45"/>
      <c r="Z599" s="45"/>
      <c r="AA599" s="100"/>
      <c r="AB599" s="100"/>
      <c r="AC599" s="24"/>
      <c r="AD599" s="24"/>
      <c r="AE599" s="24"/>
      <c r="AF599" s="24"/>
      <c r="AG599" s="18">
        <v>23</v>
      </c>
      <c r="AH599" s="69" t="s">
        <v>295</v>
      </c>
      <c r="AI599" s="243" t="s">
        <v>94</v>
      </c>
      <c r="AJ599" s="243" t="s">
        <v>419</v>
      </c>
      <c r="AK599" s="246"/>
      <c r="AL599" s="43" t="str">
        <f t="shared" si="164"/>
        <v>-</v>
      </c>
      <c r="AM599" s="43">
        <f t="shared" si="152"/>
        <v>0</v>
      </c>
      <c r="AN599" s="193">
        <f t="shared" si="152"/>
        <v>0</v>
      </c>
      <c r="AO599" s="270" t="str">
        <f t="shared" si="153"/>
        <v>-</v>
      </c>
      <c r="AP599" s="266"/>
      <c r="AQ599" s="26" t="str">
        <f t="shared" si="160"/>
        <v>DUTCH HARBOUR CREEK EASTPink</v>
      </c>
      <c r="AR599" s="26">
        <f t="shared" si="154"/>
        <v>0</v>
      </c>
      <c r="AS599" s="33">
        <f t="shared" si="155"/>
        <v>0</v>
      </c>
      <c r="AX599" s="47" t="str">
        <f t="shared" si="156"/>
        <v>DUTCH HARBOUR CREEK EASTPink</v>
      </c>
      <c r="AY599" s="49">
        <f t="shared" si="157"/>
        <v>0</v>
      </c>
      <c r="AZ599" s="49">
        <f t="shared" si="158"/>
        <v>0</v>
      </c>
      <c r="BA599" s="31">
        <v>0</v>
      </c>
      <c r="BB599" s="188">
        <f t="shared" si="161"/>
        <v>0</v>
      </c>
      <c r="BC599" s="188" t="str">
        <f t="shared" si="165"/>
        <v xml:space="preserve"> </v>
      </c>
      <c r="BD599" s="188" t="str">
        <f t="shared" si="166"/>
        <v xml:space="preserve"> </v>
      </c>
      <c r="BE599" s="188" t="str">
        <f t="shared" si="167"/>
        <v xml:space="preserve"> </v>
      </c>
      <c r="BF599" s="50" t="str">
        <f t="shared" si="159"/>
        <v>DUTCH HARBOUR CREEK EAST_Pink</v>
      </c>
      <c r="BG599" s="50" t="str">
        <f>IFERROR(VLOOKUP(BF599,'[1]WCVI Esc'!$C$5:$W$514,18,FALSE),"-")</f>
        <v>-</v>
      </c>
      <c r="BH599" s="50" t="str">
        <f t="shared" si="162"/>
        <v>-</v>
      </c>
      <c r="BI599" s="50" t="str">
        <f>IFERROR(VLOOKUP(BF599,'[1]WCVI Esc'!$C$5:$W$514,19,FALSE),"-")</f>
        <v>-</v>
      </c>
      <c r="BJ599" s="50" t="str">
        <f t="shared" si="163"/>
        <v>-</v>
      </c>
    </row>
    <row r="600" spans="1:62" hidden="1" x14ac:dyDescent="0.2">
      <c r="A600" s="28">
        <v>4</v>
      </c>
      <c r="B600" s="28">
        <v>4</v>
      </c>
      <c r="C600" s="11">
        <v>23</v>
      </c>
      <c r="D600" s="13" t="s">
        <v>295</v>
      </c>
      <c r="E600" s="10" t="s">
        <v>94</v>
      </c>
      <c r="F600" s="10" t="s">
        <v>209</v>
      </c>
      <c r="G600" s="10"/>
      <c r="H600" s="152"/>
      <c r="I600" s="164"/>
      <c r="J600" s="62"/>
      <c r="K600" s="62"/>
      <c r="L600" s="177"/>
      <c r="M600" s="171"/>
      <c r="N600" s="62"/>
      <c r="O600" s="62"/>
      <c r="P600" s="62"/>
      <c r="Q600" s="64"/>
      <c r="R600" s="164"/>
      <c r="S600" s="62"/>
      <c r="T600" s="62"/>
      <c r="U600" s="62"/>
      <c r="V600" s="177"/>
      <c r="W600" s="171"/>
      <c r="X600" s="62"/>
      <c r="Y600" s="45"/>
      <c r="Z600" s="45"/>
      <c r="AA600" s="100"/>
      <c r="AB600" s="100"/>
      <c r="AC600" s="24"/>
      <c r="AD600" s="24"/>
      <c r="AE600" s="24"/>
      <c r="AF600" s="24"/>
      <c r="AG600" s="18">
        <v>23</v>
      </c>
      <c r="AH600" s="69" t="s">
        <v>295</v>
      </c>
      <c r="AI600" s="243" t="s">
        <v>94</v>
      </c>
      <c r="AJ600" s="243" t="s">
        <v>419</v>
      </c>
      <c r="AK600" s="246"/>
      <c r="AL600" s="43" t="str">
        <f t="shared" si="164"/>
        <v>-</v>
      </c>
      <c r="AM600" s="43">
        <f t="shared" si="152"/>
        <v>0</v>
      </c>
      <c r="AN600" s="193">
        <f t="shared" si="152"/>
        <v>0</v>
      </c>
      <c r="AO600" s="270" t="str">
        <f t="shared" si="153"/>
        <v>-</v>
      </c>
      <c r="AP600" s="266"/>
      <c r="AQ600" s="26" t="str">
        <f t="shared" si="160"/>
        <v>DUTCH HARBOUR CREEK EASTChum</v>
      </c>
      <c r="AR600" s="26">
        <f t="shared" si="154"/>
        <v>0</v>
      </c>
      <c r="AS600" s="33">
        <f t="shared" si="155"/>
        <v>0</v>
      </c>
      <c r="AX600" s="47" t="str">
        <f t="shared" si="156"/>
        <v>DUTCH HARBOUR CREEK EASTChum</v>
      </c>
      <c r="AY600" s="49">
        <f t="shared" si="157"/>
        <v>0</v>
      </c>
      <c r="AZ600" s="49">
        <f t="shared" si="158"/>
        <v>0</v>
      </c>
      <c r="BA600" s="31">
        <v>2004</v>
      </c>
      <c r="BB600" s="188">
        <f t="shared" si="161"/>
        <v>0</v>
      </c>
      <c r="BC600" s="188" t="str">
        <f t="shared" si="165"/>
        <v xml:space="preserve"> </v>
      </c>
      <c r="BD600" s="188" t="str">
        <f t="shared" si="166"/>
        <v xml:space="preserve"> </v>
      </c>
      <c r="BE600" s="188" t="str">
        <f t="shared" si="167"/>
        <v xml:space="preserve"> </v>
      </c>
      <c r="BF600" s="50" t="str">
        <f t="shared" si="159"/>
        <v>DUTCH HARBOUR CREEK EAST_Chum</v>
      </c>
      <c r="BG600" s="50" t="str">
        <f>IFERROR(VLOOKUP(BF600,'[1]WCVI Esc'!$C$5:$W$514,18,FALSE),"-")</f>
        <v>-</v>
      </c>
      <c r="BH600" s="50" t="str">
        <f t="shared" si="162"/>
        <v>-</v>
      </c>
      <c r="BI600" s="50" t="str">
        <f>IFERROR(VLOOKUP(BF600,'[1]WCVI Esc'!$C$5:$W$514,19,FALSE),"-")</f>
        <v>-</v>
      </c>
      <c r="BJ600" s="50" t="str">
        <f t="shared" si="163"/>
        <v>-</v>
      </c>
    </row>
    <row r="601" spans="1:62" hidden="1" x14ac:dyDescent="0.2">
      <c r="A601" s="28">
        <v>4</v>
      </c>
      <c r="B601" s="28">
        <v>5</v>
      </c>
      <c r="C601" s="11">
        <v>23</v>
      </c>
      <c r="D601" s="13" t="s">
        <v>295</v>
      </c>
      <c r="E601" s="10" t="s">
        <v>94</v>
      </c>
      <c r="F601" s="10" t="s">
        <v>210</v>
      </c>
      <c r="G601" s="10"/>
      <c r="H601" s="152"/>
      <c r="I601" s="164"/>
      <c r="J601" s="62"/>
      <c r="K601" s="62"/>
      <c r="L601" s="177"/>
      <c r="M601" s="171"/>
      <c r="N601" s="62"/>
      <c r="O601" s="62"/>
      <c r="P601" s="62"/>
      <c r="Q601" s="64"/>
      <c r="R601" s="164"/>
      <c r="S601" s="62"/>
      <c r="T601" s="62"/>
      <c r="U601" s="62"/>
      <c r="V601" s="177"/>
      <c r="W601" s="171"/>
      <c r="X601" s="62"/>
      <c r="Y601" s="45"/>
      <c r="Z601" s="45"/>
      <c r="AA601" s="100"/>
      <c r="AB601" s="100"/>
      <c r="AC601" s="24"/>
      <c r="AD601" s="24"/>
      <c r="AE601" s="24"/>
      <c r="AF601" s="24"/>
      <c r="AG601" s="18">
        <v>23</v>
      </c>
      <c r="AH601" s="69" t="s">
        <v>295</v>
      </c>
      <c r="AI601" s="243" t="s">
        <v>94</v>
      </c>
      <c r="AJ601" s="243" t="s">
        <v>419</v>
      </c>
      <c r="AK601" s="246"/>
      <c r="AL601" s="43" t="str">
        <f t="shared" si="164"/>
        <v>-</v>
      </c>
      <c r="AM601" s="43">
        <f t="shared" si="152"/>
        <v>0</v>
      </c>
      <c r="AN601" s="193">
        <f t="shared" si="152"/>
        <v>0</v>
      </c>
      <c r="AO601" s="270" t="str">
        <f t="shared" si="153"/>
        <v>-</v>
      </c>
      <c r="AP601" s="266"/>
      <c r="AQ601" s="26" t="str">
        <f t="shared" si="160"/>
        <v>DUTCH HARBOUR CREEK EASTChinook</v>
      </c>
      <c r="AR601" s="26">
        <f t="shared" si="154"/>
        <v>0</v>
      </c>
      <c r="AS601" s="33">
        <f t="shared" si="155"/>
        <v>0</v>
      </c>
      <c r="AX601" s="47" t="str">
        <f t="shared" si="156"/>
        <v>DUTCH HARBOUR CREEK EASTChinook</v>
      </c>
      <c r="AY601" s="49">
        <f t="shared" si="157"/>
        <v>0</v>
      </c>
      <c r="AZ601" s="49">
        <f t="shared" si="158"/>
        <v>0</v>
      </c>
      <c r="BA601" s="31">
        <v>0</v>
      </c>
      <c r="BB601" s="188">
        <f t="shared" si="161"/>
        <v>0</v>
      </c>
      <c r="BC601" s="188" t="str">
        <f t="shared" si="165"/>
        <v xml:space="preserve"> </v>
      </c>
      <c r="BD601" s="188" t="str">
        <f t="shared" si="166"/>
        <v xml:space="preserve"> </v>
      </c>
      <c r="BE601" s="188" t="str">
        <f t="shared" si="167"/>
        <v xml:space="preserve"> </v>
      </c>
      <c r="BF601" s="50" t="str">
        <f t="shared" si="159"/>
        <v>DUTCH HARBOUR CREEK EAST_Chinook</v>
      </c>
      <c r="BG601" s="50" t="str">
        <f>IFERROR(VLOOKUP(BF601,'[1]WCVI Esc'!$C$5:$W$514,18,FALSE),"-")</f>
        <v>-</v>
      </c>
      <c r="BH601" s="50" t="str">
        <f t="shared" si="162"/>
        <v>-</v>
      </c>
      <c r="BI601" s="50" t="str">
        <f>IFERROR(VLOOKUP(BF601,'[1]WCVI Esc'!$C$5:$W$514,19,FALSE),"-")</f>
        <v>-</v>
      </c>
      <c r="BJ601" s="50" t="str">
        <f t="shared" si="163"/>
        <v>-</v>
      </c>
    </row>
    <row r="602" spans="1:62" hidden="1" x14ac:dyDescent="0.2">
      <c r="A602" s="28">
        <v>4</v>
      </c>
      <c r="B602" s="28">
        <v>6</v>
      </c>
      <c r="C602" s="11">
        <v>23</v>
      </c>
      <c r="D602" s="13" t="s">
        <v>295</v>
      </c>
      <c r="E602" s="10" t="s">
        <v>94</v>
      </c>
      <c r="F602" s="10" t="s">
        <v>211</v>
      </c>
      <c r="G602" s="10"/>
      <c r="H602" s="152"/>
      <c r="I602" s="164"/>
      <c r="J602" s="62"/>
      <c r="K602" s="62"/>
      <c r="L602" s="177"/>
      <c r="M602" s="171"/>
      <c r="N602" s="62"/>
      <c r="O602" s="62"/>
      <c r="P602" s="62"/>
      <c r="Q602" s="64"/>
      <c r="R602" s="164"/>
      <c r="S602" s="62"/>
      <c r="T602" s="62"/>
      <c r="U602" s="62"/>
      <c r="V602" s="177"/>
      <c r="W602" s="171"/>
      <c r="X602" s="62"/>
      <c r="Y602" s="45"/>
      <c r="Z602" s="45"/>
      <c r="AA602" s="100"/>
      <c r="AB602" s="100"/>
      <c r="AC602" s="24"/>
      <c r="AD602" s="24"/>
      <c r="AE602" s="24"/>
      <c r="AF602" s="24"/>
      <c r="AG602" s="18">
        <v>23</v>
      </c>
      <c r="AH602" s="69" t="s">
        <v>295</v>
      </c>
      <c r="AI602" s="243" t="s">
        <v>94</v>
      </c>
      <c r="AJ602" s="243" t="s">
        <v>419</v>
      </c>
      <c r="AK602" s="246"/>
      <c r="AL602" s="43" t="str">
        <f t="shared" si="164"/>
        <v>-</v>
      </c>
      <c r="AM602" s="43">
        <f t="shared" si="152"/>
        <v>0</v>
      </c>
      <c r="AN602" s="193">
        <f t="shared" si="152"/>
        <v>0</v>
      </c>
      <c r="AO602" s="270" t="str">
        <f t="shared" si="153"/>
        <v>-</v>
      </c>
      <c r="AP602" s="266"/>
      <c r="AQ602" s="26" t="str">
        <f t="shared" si="160"/>
        <v>DUTCH HARBOUR CREEK EASTSteelhead</v>
      </c>
      <c r="AR602" s="26">
        <f t="shared" si="154"/>
        <v>0</v>
      </c>
      <c r="AS602" s="33">
        <f t="shared" si="155"/>
        <v>0</v>
      </c>
      <c r="AX602" s="47" t="str">
        <f t="shared" si="156"/>
        <v>DUTCH HARBOUR CREEK EASTSteelhead</v>
      </c>
      <c r="AY602" s="49">
        <f t="shared" si="157"/>
        <v>0</v>
      </c>
      <c r="AZ602" s="49">
        <f t="shared" si="158"/>
        <v>0</v>
      </c>
      <c r="BA602" s="31">
        <v>0</v>
      </c>
      <c r="BB602" s="188">
        <f t="shared" si="161"/>
        <v>0</v>
      </c>
      <c r="BC602" s="188" t="str">
        <f t="shared" si="165"/>
        <v xml:space="preserve"> </v>
      </c>
      <c r="BD602" s="188" t="str">
        <f t="shared" si="166"/>
        <v xml:space="preserve"> </v>
      </c>
      <c r="BE602" s="188" t="str">
        <f t="shared" si="167"/>
        <v xml:space="preserve"> </v>
      </c>
      <c r="BF602" s="50" t="str">
        <f t="shared" si="159"/>
        <v>DUTCH HARBOUR CREEK EAST_Steelhead</v>
      </c>
      <c r="BG602" s="50" t="str">
        <f>IFERROR(VLOOKUP(BF602,'[1]WCVI Esc'!$C$5:$W$514,18,FALSE),"-")</f>
        <v>-</v>
      </c>
      <c r="BH602" s="50" t="str">
        <f t="shared" si="162"/>
        <v>-</v>
      </c>
      <c r="BI602" s="50" t="str">
        <f>IFERROR(VLOOKUP(BF602,'[1]WCVI Esc'!$C$5:$W$514,19,FALSE),"-")</f>
        <v>-</v>
      </c>
      <c r="BJ602" s="50" t="str">
        <f t="shared" si="163"/>
        <v>-</v>
      </c>
    </row>
    <row r="603" spans="1:62" hidden="1" x14ac:dyDescent="0.2">
      <c r="A603" s="28">
        <v>4</v>
      </c>
      <c r="B603" s="28">
        <v>1</v>
      </c>
      <c r="C603" s="11">
        <v>23</v>
      </c>
      <c r="D603" s="13" t="s">
        <v>295</v>
      </c>
      <c r="E603" s="10" t="s">
        <v>95</v>
      </c>
      <c r="F603" s="10" t="s">
        <v>207</v>
      </c>
      <c r="G603" s="10"/>
      <c r="H603" s="152"/>
      <c r="I603" s="164"/>
      <c r="J603" s="62"/>
      <c r="K603" s="62"/>
      <c r="L603" s="177"/>
      <c r="M603" s="171"/>
      <c r="N603" s="62"/>
      <c r="O603" s="62"/>
      <c r="P603" s="62"/>
      <c r="Q603" s="64"/>
      <c r="R603" s="164"/>
      <c r="S603" s="62"/>
      <c r="T603" s="62"/>
      <c r="U603" s="62"/>
      <c r="V603" s="177"/>
      <c r="W603" s="171"/>
      <c r="X603" s="62"/>
      <c r="Y603" s="45"/>
      <c r="Z603" s="45"/>
      <c r="AA603" s="100"/>
      <c r="AB603" s="100"/>
      <c r="AC603" s="24"/>
      <c r="AD603" s="24"/>
      <c r="AE603" s="24"/>
      <c r="AF603" s="24"/>
      <c r="AG603" s="18">
        <v>23</v>
      </c>
      <c r="AH603" s="69" t="s">
        <v>295</v>
      </c>
      <c r="AI603" s="243" t="s">
        <v>95</v>
      </c>
      <c r="AJ603" s="243" t="s">
        <v>419</v>
      </c>
      <c r="AK603" s="246"/>
      <c r="AL603" s="43" t="str">
        <f t="shared" si="164"/>
        <v>-</v>
      </c>
      <c r="AM603" s="43">
        <f t="shared" si="152"/>
        <v>0</v>
      </c>
      <c r="AN603" s="193">
        <f t="shared" si="152"/>
        <v>0</v>
      </c>
      <c r="AO603" s="270" t="str">
        <f t="shared" si="153"/>
        <v>-</v>
      </c>
      <c r="AP603" s="266"/>
      <c r="AQ603" s="26" t="str">
        <f t="shared" si="160"/>
        <v>DUTCH HARBOUR CREEK WESTSockeye</v>
      </c>
      <c r="AR603" s="26">
        <f t="shared" si="154"/>
        <v>0</v>
      </c>
      <c r="AS603" s="33">
        <f t="shared" si="155"/>
        <v>0</v>
      </c>
      <c r="AX603" s="47" t="str">
        <f t="shared" si="156"/>
        <v>DUTCH HARBOUR CREEK WESTSockeye</v>
      </c>
      <c r="AY603" s="49">
        <f t="shared" si="157"/>
        <v>0</v>
      </c>
      <c r="AZ603" s="49">
        <f t="shared" si="158"/>
        <v>0</v>
      </c>
      <c r="BA603" s="31">
        <v>0</v>
      </c>
      <c r="BB603" s="188">
        <f t="shared" si="161"/>
        <v>0</v>
      </c>
      <c r="BC603" s="188" t="str">
        <f t="shared" si="165"/>
        <v xml:space="preserve"> </v>
      </c>
      <c r="BD603" s="188" t="str">
        <f t="shared" si="166"/>
        <v xml:space="preserve"> </v>
      </c>
      <c r="BE603" s="188" t="str">
        <f t="shared" si="167"/>
        <v xml:space="preserve"> </v>
      </c>
      <c r="BF603" s="50" t="str">
        <f t="shared" si="159"/>
        <v>DUTCH HARBOUR CREEK WEST_Sockeye</v>
      </c>
      <c r="BG603" s="50" t="str">
        <f>IFERROR(VLOOKUP(BF603,'[1]WCVI Esc'!$C$5:$W$514,18,FALSE),"-")</f>
        <v>-</v>
      </c>
      <c r="BH603" s="50" t="str">
        <f t="shared" si="162"/>
        <v>-</v>
      </c>
      <c r="BI603" s="50" t="str">
        <f>IFERROR(VLOOKUP(BF603,'[1]WCVI Esc'!$C$5:$W$514,19,FALSE),"-")</f>
        <v>-</v>
      </c>
      <c r="BJ603" s="50" t="str">
        <f t="shared" si="163"/>
        <v>-</v>
      </c>
    </row>
    <row r="604" spans="1:62" hidden="1" x14ac:dyDescent="0.2">
      <c r="A604" s="28">
        <v>4</v>
      </c>
      <c r="B604" s="28">
        <v>2</v>
      </c>
      <c r="C604" s="11">
        <v>23</v>
      </c>
      <c r="D604" s="13" t="s">
        <v>295</v>
      </c>
      <c r="E604" s="10" t="s">
        <v>95</v>
      </c>
      <c r="F604" s="10" t="s">
        <v>219</v>
      </c>
      <c r="G604" s="10"/>
      <c r="H604" s="152"/>
      <c r="I604" s="164"/>
      <c r="J604" s="62"/>
      <c r="K604" s="62"/>
      <c r="L604" s="177"/>
      <c r="M604" s="171"/>
      <c r="N604" s="62"/>
      <c r="O604" s="62"/>
      <c r="P604" s="62"/>
      <c r="Q604" s="64"/>
      <c r="R604" s="164"/>
      <c r="S604" s="62"/>
      <c r="T604" s="62"/>
      <c r="U604" s="62"/>
      <c r="V604" s="177"/>
      <c r="W604" s="171"/>
      <c r="X604" s="62"/>
      <c r="Y604" s="45"/>
      <c r="Z604" s="45"/>
      <c r="AA604" s="100"/>
      <c r="AB604" s="100"/>
      <c r="AC604" s="24"/>
      <c r="AD604" s="24"/>
      <c r="AE604" s="24"/>
      <c r="AF604" s="24"/>
      <c r="AG604" s="18">
        <v>23</v>
      </c>
      <c r="AH604" s="69" t="s">
        <v>295</v>
      </c>
      <c r="AI604" s="243" t="s">
        <v>95</v>
      </c>
      <c r="AJ604" s="243" t="s">
        <v>419</v>
      </c>
      <c r="AK604" s="246"/>
      <c r="AL604" s="43" t="str">
        <f t="shared" si="164"/>
        <v>-</v>
      </c>
      <c r="AM604" s="43">
        <f t="shared" si="152"/>
        <v>0</v>
      </c>
      <c r="AN604" s="193">
        <f t="shared" si="152"/>
        <v>0</v>
      </c>
      <c r="AO604" s="270" t="str">
        <f t="shared" si="153"/>
        <v>-</v>
      </c>
      <c r="AP604" s="266"/>
      <c r="AQ604" s="26" t="str">
        <f t="shared" si="160"/>
        <v>DUTCH HARBOUR CREEK WESTCoho</v>
      </c>
      <c r="AR604" s="26">
        <f t="shared" si="154"/>
        <v>0</v>
      </c>
      <c r="AS604" s="33">
        <f t="shared" si="155"/>
        <v>0</v>
      </c>
      <c r="AX604" s="47" t="str">
        <f t="shared" si="156"/>
        <v>DUTCH HARBOUR CREEK WESTCoho</v>
      </c>
      <c r="AY604" s="49">
        <f t="shared" si="157"/>
        <v>0</v>
      </c>
      <c r="AZ604" s="49">
        <f t="shared" si="158"/>
        <v>0</v>
      </c>
      <c r="BA604" s="31">
        <v>2004</v>
      </c>
      <c r="BB604" s="188">
        <f t="shared" si="161"/>
        <v>0</v>
      </c>
      <c r="BC604" s="188" t="str">
        <f t="shared" si="165"/>
        <v xml:space="preserve"> </v>
      </c>
      <c r="BD604" s="188" t="str">
        <f t="shared" si="166"/>
        <v xml:space="preserve"> </v>
      </c>
      <c r="BE604" s="188" t="str">
        <f t="shared" si="167"/>
        <v xml:space="preserve"> </v>
      </c>
      <c r="BF604" s="50" t="str">
        <f t="shared" si="159"/>
        <v>DUTCH HARBOUR CREEK WEST_Coho</v>
      </c>
      <c r="BG604" s="50" t="str">
        <f>IFERROR(VLOOKUP(BF604,'[1]WCVI Esc'!$C$5:$W$514,18,FALSE),"-")</f>
        <v>-</v>
      </c>
      <c r="BH604" s="50" t="str">
        <f t="shared" si="162"/>
        <v>-</v>
      </c>
      <c r="BI604" s="50" t="str">
        <f>IFERROR(VLOOKUP(BF604,'[1]WCVI Esc'!$C$5:$W$514,19,FALSE),"-")</f>
        <v>-</v>
      </c>
      <c r="BJ604" s="50" t="str">
        <f t="shared" si="163"/>
        <v>-</v>
      </c>
    </row>
    <row r="605" spans="1:62" hidden="1" x14ac:dyDescent="0.2">
      <c r="A605" s="28">
        <v>4</v>
      </c>
      <c r="B605" s="28">
        <v>3</v>
      </c>
      <c r="C605" s="11">
        <v>23</v>
      </c>
      <c r="D605" s="13" t="s">
        <v>295</v>
      </c>
      <c r="E605" s="10" t="s">
        <v>95</v>
      </c>
      <c r="F605" s="10" t="s">
        <v>208</v>
      </c>
      <c r="G605" s="10"/>
      <c r="H605" s="152"/>
      <c r="I605" s="164"/>
      <c r="J605" s="62"/>
      <c r="K605" s="62"/>
      <c r="L605" s="177"/>
      <c r="M605" s="171"/>
      <c r="N605" s="62"/>
      <c r="O605" s="62"/>
      <c r="P605" s="62"/>
      <c r="Q605" s="64"/>
      <c r="R605" s="164"/>
      <c r="S605" s="62"/>
      <c r="T605" s="62"/>
      <c r="U605" s="62"/>
      <c r="V605" s="177"/>
      <c r="W605" s="171"/>
      <c r="X605" s="62"/>
      <c r="Y605" s="45"/>
      <c r="Z605" s="45"/>
      <c r="AA605" s="100"/>
      <c r="AB605" s="100"/>
      <c r="AC605" s="24"/>
      <c r="AD605" s="24"/>
      <c r="AE605" s="24"/>
      <c r="AF605" s="24"/>
      <c r="AG605" s="18">
        <v>23</v>
      </c>
      <c r="AH605" s="69" t="s">
        <v>295</v>
      </c>
      <c r="AI605" s="243" t="s">
        <v>95</v>
      </c>
      <c r="AJ605" s="243" t="s">
        <v>419</v>
      </c>
      <c r="AK605" s="246"/>
      <c r="AL605" s="43" t="str">
        <f t="shared" si="164"/>
        <v>-</v>
      </c>
      <c r="AM605" s="43">
        <f t="shared" si="152"/>
        <v>0</v>
      </c>
      <c r="AN605" s="193">
        <f t="shared" si="152"/>
        <v>0</v>
      </c>
      <c r="AO605" s="270" t="str">
        <f t="shared" si="153"/>
        <v>-</v>
      </c>
      <c r="AP605" s="266"/>
      <c r="AQ605" s="26" t="str">
        <f t="shared" si="160"/>
        <v>DUTCH HARBOUR CREEK WESTPink</v>
      </c>
      <c r="AR605" s="26">
        <f t="shared" si="154"/>
        <v>0</v>
      </c>
      <c r="AS605" s="33">
        <f t="shared" si="155"/>
        <v>0</v>
      </c>
      <c r="AX605" s="47" t="str">
        <f t="shared" si="156"/>
        <v>DUTCH HARBOUR CREEK WESTPink</v>
      </c>
      <c r="AY605" s="49">
        <f t="shared" si="157"/>
        <v>0</v>
      </c>
      <c r="AZ605" s="49">
        <f t="shared" si="158"/>
        <v>0</v>
      </c>
      <c r="BA605" s="31">
        <v>0</v>
      </c>
      <c r="BB605" s="188">
        <f t="shared" si="161"/>
        <v>0</v>
      </c>
      <c r="BC605" s="188" t="str">
        <f t="shared" si="165"/>
        <v xml:space="preserve"> </v>
      </c>
      <c r="BD605" s="188" t="str">
        <f t="shared" si="166"/>
        <v xml:space="preserve"> </v>
      </c>
      <c r="BE605" s="188" t="str">
        <f t="shared" si="167"/>
        <v xml:space="preserve"> </v>
      </c>
      <c r="BF605" s="50" t="str">
        <f t="shared" si="159"/>
        <v>DUTCH HARBOUR CREEK WEST_Pink</v>
      </c>
      <c r="BG605" s="50" t="str">
        <f>IFERROR(VLOOKUP(BF605,'[1]WCVI Esc'!$C$5:$W$514,18,FALSE),"-")</f>
        <v>-</v>
      </c>
      <c r="BH605" s="50" t="str">
        <f t="shared" si="162"/>
        <v>-</v>
      </c>
      <c r="BI605" s="50" t="str">
        <f>IFERROR(VLOOKUP(BF605,'[1]WCVI Esc'!$C$5:$W$514,19,FALSE),"-")</f>
        <v>-</v>
      </c>
      <c r="BJ605" s="50" t="str">
        <f t="shared" si="163"/>
        <v>-</v>
      </c>
    </row>
    <row r="606" spans="1:62" hidden="1" x14ac:dyDescent="0.2">
      <c r="A606" s="28">
        <v>4</v>
      </c>
      <c r="B606" s="28">
        <v>4</v>
      </c>
      <c r="C606" s="11">
        <v>23</v>
      </c>
      <c r="D606" s="13" t="s">
        <v>295</v>
      </c>
      <c r="E606" s="10" t="s">
        <v>95</v>
      </c>
      <c r="F606" s="10" t="s">
        <v>209</v>
      </c>
      <c r="G606" s="10"/>
      <c r="H606" s="152"/>
      <c r="I606" s="164"/>
      <c r="J606" s="62"/>
      <c r="K606" s="62"/>
      <c r="L606" s="177"/>
      <c r="M606" s="171"/>
      <c r="N606" s="62"/>
      <c r="O606" s="62"/>
      <c r="P606" s="62"/>
      <c r="Q606" s="64"/>
      <c r="R606" s="164"/>
      <c r="S606" s="62"/>
      <c r="T606" s="62"/>
      <c r="U606" s="62"/>
      <c r="V606" s="177"/>
      <c r="W606" s="171"/>
      <c r="X606" s="62"/>
      <c r="Y606" s="45"/>
      <c r="Z606" s="45"/>
      <c r="AA606" s="100"/>
      <c r="AB606" s="100"/>
      <c r="AC606" s="24"/>
      <c r="AD606" s="24"/>
      <c r="AE606" s="24"/>
      <c r="AF606" s="24"/>
      <c r="AG606" s="18">
        <v>23</v>
      </c>
      <c r="AH606" s="69" t="s">
        <v>295</v>
      </c>
      <c r="AI606" s="243" t="s">
        <v>95</v>
      </c>
      <c r="AJ606" s="243" t="s">
        <v>419</v>
      </c>
      <c r="AK606" s="246"/>
      <c r="AL606" s="43" t="str">
        <f t="shared" si="164"/>
        <v>-</v>
      </c>
      <c r="AM606" s="43">
        <f t="shared" si="152"/>
        <v>0</v>
      </c>
      <c r="AN606" s="193">
        <f t="shared" si="152"/>
        <v>0</v>
      </c>
      <c r="AO606" s="270" t="str">
        <f t="shared" si="153"/>
        <v>-</v>
      </c>
      <c r="AP606" s="266"/>
      <c r="AQ606" s="26" t="str">
        <f t="shared" si="160"/>
        <v>DUTCH HARBOUR CREEK WESTChum</v>
      </c>
      <c r="AR606" s="26">
        <f t="shared" si="154"/>
        <v>0</v>
      </c>
      <c r="AS606" s="33">
        <f t="shared" si="155"/>
        <v>0</v>
      </c>
      <c r="AX606" s="47" t="str">
        <f t="shared" si="156"/>
        <v>DUTCH HARBOUR CREEK WESTChum</v>
      </c>
      <c r="AY606" s="49">
        <f t="shared" si="157"/>
        <v>0</v>
      </c>
      <c r="AZ606" s="49">
        <f t="shared" si="158"/>
        <v>0</v>
      </c>
      <c r="BA606" s="31">
        <v>2004</v>
      </c>
      <c r="BB606" s="188">
        <f t="shared" si="161"/>
        <v>0</v>
      </c>
      <c r="BC606" s="188" t="str">
        <f t="shared" si="165"/>
        <v xml:space="preserve"> </v>
      </c>
      <c r="BD606" s="188" t="str">
        <f t="shared" si="166"/>
        <v xml:space="preserve"> </v>
      </c>
      <c r="BE606" s="188" t="str">
        <f t="shared" si="167"/>
        <v xml:space="preserve"> </v>
      </c>
      <c r="BF606" s="50" t="str">
        <f t="shared" si="159"/>
        <v>DUTCH HARBOUR CREEK WEST_Chum</v>
      </c>
      <c r="BG606" s="50" t="str">
        <f>IFERROR(VLOOKUP(BF606,'[1]WCVI Esc'!$C$5:$W$514,18,FALSE),"-")</f>
        <v>-</v>
      </c>
      <c r="BH606" s="50" t="str">
        <f t="shared" si="162"/>
        <v>-</v>
      </c>
      <c r="BI606" s="50" t="str">
        <f>IFERROR(VLOOKUP(BF606,'[1]WCVI Esc'!$C$5:$W$514,19,FALSE),"-")</f>
        <v>-</v>
      </c>
      <c r="BJ606" s="50" t="str">
        <f t="shared" si="163"/>
        <v>-</v>
      </c>
    </row>
    <row r="607" spans="1:62" hidden="1" x14ac:dyDescent="0.2">
      <c r="A607" s="28">
        <v>4</v>
      </c>
      <c r="B607" s="28">
        <v>5</v>
      </c>
      <c r="C607" s="11">
        <v>23</v>
      </c>
      <c r="D607" s="13" t="s">
        <v>295</v>
      </c>
      <c r="E607" s="10" t="s">
        <v>95</v>
      </c>
      <c r="F607" s="10" t="s">
        <v>210</v>
      </c>
      <c r="G607" s="10"/>
      <c r="H607" s="152"/>
      <c r="I607" s="164"/>
      <c r="J607" s="62"/>
      <c r="K607" s="62"/>
      <c r="L607" s="177"/>
      <c r="M607" s="171"/>
      <c r="N607" s="62"/>
      <c r="O607" s="62"/>
      <c r="P607" s="62"/>
      <c r="Q607" s="64"/>
      <c r="R607" s="164"/>
      <c r="S607" s="62"/>
      <c r="T607" s="62"/>
      <c r="U607" s="62"/>
      <c r="V607" s="177"/>
      <c r="W607" s="171"/>
      <c r="X607" s="62"/>
      <c r="Y607" s="45"/>
      <c r="Z607" s="45"/>
      <c r="AA607" s="100"/>
      <c r="AB607" s="100"/>
      <c r="AC607" s="24"/>
      <c r="AD607" s="24"/>
      <c r="AE607" s="24"/>
      <c r="AF607" s="24"/>
      <c r="AG607" s="18">
        <v>23</v>
      </c>
      <c r="AH607" s="69" t="s">
        <v>295</v>
      </c>
      <c r="AI607" s="243" t="s">
        <v>95</v>
      </c>
      <c r="AJ607" s="243" t="s">
        <v>419</v>
      </c>
      <c r="AK607" s="246"/>
      <c r="AL607" s="43" t="str">
        <f t="shared" si="164"/>
        <v>-</v>
      </c>
      <c r="AM607" s="43">
        <f t="shared" si="152"/>
        <v>0</v>
      </c>
      <c r="AN607" s="193">
        <f t="shared" si="152"/>
        <v>0</v>
      </c>
      <c r="AO607" s="270" t="str">
        <f t="shared" si="153"/>
        <v>-</v>
      </c>
      <c r="AP607" s="266"/>
      <c r="AQ607" s="26" t="str">
        <f t="shared" si="160"/>
        <v>DUTCH HARBOUR CREEK WESTChinook</v>
      </c>
      <c r="AR607" s="26">
        <f t="shared" si="154"/>
        <v>0</v>
      </c>
      <c r="AS607" s="33">
        <f t="shared" si="155"/>
        <v>0</v>
      </c>
      <c r="AX607" s="47" t="str">
        <f t="shared" si="156"/>
        <v>DUTCH HARBOUR CREEK WESTChinook</v>
      </c>
      <c r="AY607" s="49">
        <f t="shared" si="157"/>
        <v>0</v>
      </c>
      <c r="AZ607" s="49">
        <f t="shared" si="158"/>
        <v>0</v>
      </c>
      <c r="BA607" s="31">
        <v>0</v>
      </c>
      <c r="BB607" s="188">
        <f t="shared" si="161"/>
        <v>0</v>
      </c>
      <c r="BC607" s="188" t="str">
        <f t="shared" si="165"/>
        <v xml:space="preserve"> </v>
      </c>
      <c r="BD607" s="188" t="str">
        <f t="shared" si="166"/>
        <v xml:space="preserve"> </v>
      </c>
      <c r="BE607" s="188" t="str">
        <f t="shared" si="167"/>
        <v xml:space="preserve"> </v>
      </c>
      <c r="BF607" s="50" t="str">
        <f t="shared" si="159"/>
        <v>DUTCH HARBOUR CREEK WEST_Chinook</v>
      </c>
      <c r="BG607" s="50" t="str">
        <f>IFERROR(VLOOKUP(BF607,'[1]WCVI Esc'!$C$5:$W$514,18,FALSE),"-")</f>
        <v>-</v>
      </c>
      <c r="BH607" s="50" t="str">
        <f t="shared" si="162"/>
        <v>-</v>
      </c>
      <c r="BI607" s="50" t="str">
        <f>IFERROR(VLOOKUP(BF607,'[1]WCVI Esc'!$C$5:$W$514,19,FALSE),"-")</f>
        <v>-</v>
      </c>
      <c r="BJ607" s="50" t="str">
        <f t="shared" si="163"/>
        <v>-</v>
      </c>
    </row>
    <row r="608" spans="1:62" hidden="1" x14ac:dyDescent="0.2">
      <c r="A608" s="28">
        <v>4</v>
      </c>
      <c r="B608" s="28">
        <v>6</v>
      </c>
      <c r="C608" s="11">
        <v>23</v>
      </c>
      <c r="D608" s="13" t="s">
        <v>295</v>
      </c>
      <c r="E608" s="10" t="s">
        <v>95</v>
      </c>
      <c r="F608" s="10" t="s">
        <v>211</v>
      </c>
      <c r="G608" s="10"/>
      <c r="H608" s="152"/>
      <c r="I608" s="164"/>
      <c r="J608" s="62"/>
      <c r="K608" s="62"/>
      <c r="L608" s="177"/>
      <c r="M608" s="171"/>
      <c r="N608" s="62"/>
      <c r="O608" s="62"/>
      <c r="P608" s="62"/>
      <c r="Q608" s="64"/>
      <c r="R608" s="164"/>
      <c r="S608" s="62"/>
      <c r="T608" s="62"/>
      <c r="U608" s="62"/>
      <c r="V608" s="177"/>
      <c r="W608" s="171"/>
      <c r="X608" s="62"/>
      <c r="Y608" s="45"/>
      <c r="Z608" s="45"/>
      <c r="AA608" s="100"/>
      <c r="AB608" s="100"/>
      <c r="AC608" s="24"/>
      <c r="AD608" s="24"/>
      <c r="AE608" s="24"/>
      <c r="AF608" s="24"/>
      <c r="AG608" s="18">
        <v>23</v>
      </c>
      <c r="AH608" s="69" t="s">
        <v>295</v>
      </c>
      <c r="AI608" s="243" t="s">
        <v>95</v>
      </c>
      <c r="AJ608" s="243" t="s">
        <v>419</v>
      </c>
      <c r="AK608" s="246"/>
      <c r="AL608" s="43" t="str">
        <f t="shared" si="164"/>
        <v>-</v>
      </c>
      <c r="AM608" s="43">
        <f t="shared" si="152"/>
        <v>0</v>
      </c>
      <c r="AN608" s="193">
        <f t="shared" si="152"/>
        <v>0</v>
      </c>
      <c r="AO608" s="270" t="str">
        <f t="shared" si="153"/>
        <v>-</v>
      </c>
      <c r="AP608" s="266"/>
      <c r="AQ608" s="26" t="str">
        <f t="shared" si="160"/>
        <v>DUTCH HARBOUR CREEK WESTSteelhead</v>
      </c>
      <c r="AR608" s="26">
        <f t="shared" si="154"/>
        <v>0</v>
      </c>
      <c r="AS608" s="33">
        <f t="shared" si="155"/>
        <v>0</v>
      </c>
      <c r="AX608" s="47" t="str">
        <f t="shared" si="156"/>
        <v>DUTCH HARBOUR CREEK WESTSteelhead</v>
      </c>
      <c r="AY608" s="49">
        <f t="shared" si="157"/>
        <v>0</v>
      </c>
      <c r="AZ608" s="49">
        <f t="shared" si="158"/>
        <v>0</v>
      </c>
      <c r="BA608" s="31">
        <v>0</v>
      </c>
      <c r="BB608" s="188">
        <f t="shared" si="161"/>
        <v>0</v>
      </c>
      <c r="BC608" s="188" t="str">
        <f t="shared" si="165"/>
        <v xml:space="preserve"> </v>
      </c>
      <c r="BD608" s="188" t="str">
        <f t="shared" si="166"/>
        <v xml:space="preserve"> </v>
      </c>
      <c r="BE608" s="188" t="str">
        <f t="shared" si="167"/>
        <v xml:space="preserve"> </v>
      </c>
      <c r="BF608" s="50" t="str">
        <f t="shared" si="159"/>
        <v>DUTCH HARBOUR CREEK WEST_Steelhead</v>
      </c>
      <c r="BG608" s="50" t="str">
        <f>IFERROR(VLOOKUP(BF608,'[1]WCVI Esc'!$C$5:$W$514,18,FALSE),"-")</f>
        <v>-</v>
      </c>
      <c r="BH608" s="50" t="str">
        <f t="shared" si="162"/>
        <v>-</v>
      </c>
      <c r="BI608" s="50" t="str">
        <f>IFERROR(VLOOKUP(BF608,'[1]WCVI Esc'!$C$5:$W$514,19,FALSE),"-")</f>
        <v>-</v>
      </c>
      <c r="BJ608" s="50" t="str">
        <f t="shared" si="163"/>
        <v>-</v>
      </c>
    </row>
    <row r="609" spans="1:66" hidden="1" x14ac:dyDescent="0.2">
      <c r="A609" s="28">
        <v>4</v>
      </c>
      <c r="B609" s="28">
        <v>1</v>
      </c>
      <c r="C609" s="11">
        <v>23</v>
      </c>
      <c r="D609" s="11" t="s">
        <v>305</v>
      </c>
      <c r="E609" s="10" t="s">
        <v>96</v>
      </c>
      <c r="F609" s="10" t="s">
        <v>207</v>
      </c>
      <c r="G609" s="10"/>
      <c r="H609" s="152"/>
      <c r="I609" s="164"/>
      <c r="J609" s="62"/>
      <c r="K609" s="62"/>
      <c r="L609" s="177"/>
      <c r="M609" s="171"/>
      <c r="N609" s="62"/>
      <c r="O609" s="62"/>
      <c r="P609" s="62"/>
      <c r="Q609" s="64"/>
      <c r="R609" s="164"/>
      <c r="S609" s="62"/>
      <c r="T609" s="62"/>
      <c r="U609" s="62"/>
      <c r="V609" s="177"/>
      <c r="W609" s="171"/>
      <c r="X609" s="62"/>
      <c r="Y609" s="45"/>
      <c r="Z609" s="45"/>
      <c r="AA609" s="100"/>
      <c r="AB609" s="100"/>
      <c r="AC609" s="24"/>
      <c r="AD609" s="24"/>
      <c r="AE609" s="24"/>
      <c r="AF609" s="24"/>
      <c r="AG609" s="18">
        <v>23</v>
      </c>
      <c r="AH609" s="18" t="s">
        <v>305</v>
      </c>
      <c r="AI609" s="243" t="s">
        <v>96</v>
      </c>
      <c r="AJ609" s="243" t="s">
        <v>419</v>
      </c>
      <c r="AK609" s="246"/>
      <c r="AL609" s="43" t="str">
        <f t="shared" si="164"/>
        <v>-</v>
      </c>
      <c r="AM609" s="43">
        <f t="shared" si="152"/>
        <v>0</v>
      </c>
      <c r="AN609" s="193">
        <f t="shared" si="152"/>
        <v>0</v>
      </c>
      <c r="AO609" s="270" t="str">
        <f t="shared" si="153"/>
        <v>-</v>
      </c>
      <c r="AP609" s="266"/>
      <c r="AQ609" s="26" t="str">
        <f t="shared" si="160"/>
        <v>EFFINGHAM RIVERSockeye</v>
      </c>
      <c r="AR609" s="26">
        <f t="shared" si="154"/>
        <v>0</v>
      </c>
      <c r="AS609" s="33">
        <f t="shared" si="155"/>
        <v>0</v>
      </c>
      <c r="AX609" s="47" t="str">
        <f t="shared" si="156"/>
        <v>EFFINGHAM RIVERSockeye</v>
      </c>
      <c r="AY609" s="49">
        <f t="shared" si="157"/>
        <v>0</v>
      </c>
      <c r="AZ609" s="49">
        <f t="shared" si="158"/>
        <v>0</v>
      </c>
      <c r="BA609" s="31">
        <v>0</v>
      </c>
      <c r="BB609" s="188">
        <f t="shared" si="161"/>
        <v>0</v>
      </c>
      <c r="BC609" s="188" t="str">
        <f t="shared" si="165"/>
        <v xml:space="preserve"> </v>
      </c>
      <c r="BD609" s="188" t="str">
        <f t="shared" si="166"/>
        <v xml:space="preserve"> </v>
      </c>
      <c r="BE609" s="188" t="str">
        <f t="shared" si="167"/>
        <v xml:space="preserve"> </v>
      </c>
      <c r="BF609" s="50" t="str">
        <f t="shared" si="159"/>
        <v>EFFINGHAM RIVER_Sockeye</v>
      </c>
      <c r="BG609" s="50" t="str">
        <f>IFERROR(VLOOKUP(BF609,'[1]WCVI Esc'!$C$5:$W$514,18,FALSE),"-")</f>
        <v>-</v>
      </c>
      <c r="BH609" s="50" t="str">
        <f t="shared" si="162"/>
        <v>-</v>
      </c>
      <c r="BI609" s="50" t="str">
        <f>IFERROR(VLOOKUP(BF609,'[1]WCVI Esc'!$C$5:$W$514,19,FALSE),"-")</f>
        <v>-</v>
      </c>
      <c r="BJ609" s="50" t="str">
        <f t="shared" si="163"/>
        <v>-</v>
      </c>
    </row>
    <row r="610" spans="1:66" hidden="1" x14ac:dyDescent="0.2">
      <c r="A610" s="28">
        <v>4</v>
      </c>
      <c r="B610" s="28">
        <v>2</v>
      </c>
      <c r="C610" s="11">
        <v>23</v>
      </c>
      <c r="D610" s="11" t="s">
        <v>305</v>
      </c>
      <c r="E610" s="10" t="s">
        <v>96</v>
      </c>
      <c r="F610" s="10" t="s">
        <v>219</v>
      </c>
      <c r="G610" s="10"/>
      <c r="H610" s="152"/>
      <c r="I610" s="164"/>
      <c r="J610" s="62"/>
      <c r="K610" s="62"/>
      <c r="L610" s="177"/>
      <c r="M610" s="171"/>
      <c r="N610" s="62"/>
      <c r="O610" s="62"/>
      <c r="P610" s="62"/>
      <c r="Q610" s="64"/>
      <c r="R610" s="164"/>
      <c r="S610" s="62"/>
      <c r="T610" s="62"/>
      <c r="U610" s="62"/>
      <c r="V610" s="177"/>
      <c r="W610" s="171"/>
      <c r="X610" s="62"/>
      <c r="Y610" s="45"/>
      <c r="Z610" s="45"/>
      <c r="AA610" s="100"/>
      <c r="AB610" s="100"/>
      <c r="AC610" s="24"/>
      <c r="AD610" s="24"/>
      <c r="AE610" s="24"/>
      <c r="AF610" s="24"/>
      <c r="AG610" s="18">
        <v>23</v>
      </c>
      <c r="AH610" s="18" t="s">
        <v>305</v>
      </c>
      <c r="AI610" s="243" t="s">
        <v>96</v>
      </c>
      <c r="AJ610" s="243" t="s">
        <v>419</v>
      </c>
      <c r="AK610" s="246"/>
      <c r="AL610" s="43" t="str">
        <f t="shared" si="164"/>
        <v>-</v>
      </c>
      <c r="AM610" s="43">
        <f t="shared" si="152"/>
        <v>0</v>
      </c>
      <c r="AN610" s="193">
        <f t="shared" si="152"/>
        <v>0</v>
      </c>
      <c r="AO610" s="270">
        <f t="shared" si="153"/>
        <v>350</v>
      </c>
      <c r="AP610" s="266"/>
      <c r="AQ610" s="26" t="str">
        <f t="shared" si="160"/>
        <v>EFFINGHAM RIVERCoho</v>
      </c>
      <c r="AR610" s="26">
        <f t="shared" si="154"/>
        <v>0</v>
      </c>
      <c r="AS610" s="33">
        <f t="shared" si="155"/>
        <v>0</v>
      </c>
      <c r="AX610" s="47" t="str">
        <f t="shared" si="156"/>
        <v>EFFINGHAM RIVERCoho</v>
      </c>
      <c r="AY610" s="49">
        <f t="shared" si="157"/>
        <v>0</v>
      </c>
      <c r="AZ610" s="49">
        <f t="shared" si="158"/>
        <v>0</v>
      </c>
      <c r="BA610" s="31">
        <v>2005</v>
      </c>
      <c r="BB610" s="188">
        <f t="shared" si="161"/>
        <v>0</v>
      </c>
      <c r="BC610" s="188" t="str">
        <f t="shared" si="165"/>
        <v xml:space="preserve"> </v>
      </c>
      <c r="BD610" s="188" t="str">
        <f t="shared" si="166"/>
        <v xml:space="preserve"> </v>
      </c>
      <c r="BE610" s="188" t="str">
        <f t="shared" si="167"/>
        <v xml:space="preserve"> </v>
      </c>
      <c r="BF610" s="50" t="str">
        <f t="shared" si="159"/>
        <v>EFFINGHAM RIVER_Coho</v>
      </c>
      <c r="BG610" s="50">
        <f>IFERROR(VLOOKUP(BF610,'[1]WCVI Esc'!$C$5:$W$514,18,FALSE),"-")</f>
        <v>349.25</v>
      </c>
      <c r="BH610" s="50">
        <f t="shared" si="162"/>
        <v>350</v>
      </c>
      <c r="BI610" s="50">
        <f>IFERROR(VLOOKUP(BF610,'[1]WCVI Esc'!$C$5:$W$514,19,FALSE),"-")</f>
        <v>297</v>
      </c>
      <c r="BJ610" s="50">
        <f t="shared" si="163"/>
        <v>300</v>
      </c>
    </row>
    <row r="611" spans="1:66" hidden="1" x14ac:dyDescent="0.2">
      <c r="A611" s="28">
        <v>4</v>
      </c>
      <c r="B611" s="28">
        <v>3</v>
      </c>
      <c r="C611" s="11">
        <v>23</v>
      </c>
      <c r="D611" s="11" t="s">
        <v>305</v>
      </c>
      <c r="E611" s="10" t="s">
        <v>96</v>
      </c>
      <c r="F611" s="10" t="s">
        <v>208</v>
      </c>
      <c r="G611" s="10"/>
      <c r="H611" s="152"/>
      <c r="I611" s="164"/>
      <c r="J611" s="62"/>
      <c r="K611" s="62"/>
      <c r="L611" s="177"/>
      <c r="M611" s="171"/>
      <c r="N611" s="62"/>
      <c r="O611" s="62"/>
      <c r="P611" s="62"/>
      <c r="Q611" s="64"/>
      <c r="R611" s="164"/>
      <c r="S611" s="62"/>
      <c r="T611" s="62"/>
      <c r="U611" s="62"/>
      <c r="V611" s="177"/>
      <c r="W611" s="171"/>
      <c r="X611" s="62"/>
      <c r="Y611" s="45"/>
      <c r="Z611" s="45"/>
      <c r="AA611" s="100"/>
      <c r="AB611" s="100"/>
      <c r="AC611" s="24"/>
      <c r="AD611" s="24"/>
      <c r="AE611" s="24"/>
      <c r="AF611" s="24"/>
      <c r="AG611" s="18">
        <v>23</v>
      </c>
      <c r="AH611" s="18" t="s">
        <v>305</v>
      </c>
      <c r="AI611" s="243" t="s">
        <v>96</v>
      </c>
      <c r="AJ611" s="243" t="s">
        <v>419</v>
      </c>
      <c r="AK611" s="246"/>
      <c r="AL611" s="43" t="str">
        <f t="shared" si="164"/>
        <v>-</v>
      </c>
      <c r="AM611" s="43">
        <f t="shared" si="152"/>
        <v>0</v>
      </c>
      <c r="AN611" s="193">
        <f t="shared" si="152"/>
        <v>0</v>
      </c>
      <c r="AO611" s="270" t="str">
        <f t="shared" si="153"/>
        <v>-</v>
      </c>
      <c r="AP611" s="266"/>
      <c r="AQ611" s="26" t="str">
        <f t="shared" si="160"/>
        <v>EFFINGHAM RIVERPink</v>
      </c>
      <c r="AR611" s="26">
        <f t="shared" si="154"/>
        <v>0</v>
      </c>
      <c r="AS611" s="33">
        <f t="shared" si="155"/>
        <v>0</v>
      </c>
      <c r="AX611" s="47" t="str">
        <f t="shared" si="156"/>
        <v>EFFINGHAM RIVERPink</v>
      </c>
      <c r="AY611" s="49">
        <f t="shared" si="157"/>
        <v>0</v>
      </c>
      <c r="AZ611" s="49">
        <f t="shared" si="158"/>
        <v>0</v>
      </c>
      <c r="BA611" s="31">
        <v>0</v>
      </c>
      <c r="BB611" s="188">
        <f t="shared" si="161"/>
        <v>0</v>
      </c>
      <c r="BC611" s="188" t="str">
        <f t="shared" si="165"/>
        <v xml:space="preserve"> </v>
      </c>
      <c r="BD611" s="188" t="str">
        <f t="shared" si="166"/>
        <v xml:space="preserve"> </v>
      </c>
      <c r="BE611" s="188" t="str">
        <f t="shared" si="167"/>
        <v xml:space="preserve"> </v>
      </c>
      <c r="BF611" s="50" t="str">
        <f t="shared" si="159"/>
        <v>EFFINGHAM RIVER_Pink</v>
      </c>
      <c r="BG611" s="50" t="str">
        <f>IFERROR(VLOOKUP(BF611,'[1]WCVI Esc'!$C$5:$W$514,18,FALSE),"-")</f>
        <v>-</v>
      </c>
      <c r="BH611" s="50" t="str">
        <f t="shared" si="162"/>
        <v>-</v>
      </c>
      <c r="BI611" s="50" t="str">
        <f>IFERROR(VLOOKUP(BF611,'[1]WCVI Esc'!$C$5:$W$514,19,FALSE),"-")</f>
        <v>-</v>
      </c>
      <c r="BJ611" s="50" t="str">
        <f t="shared" si="163"/>
        <v>-</v>
      </c>
    </row>
    <row r="612" spans="1:66" hidden="1" x14ac:dyDescent="0.2">
      <c r="A612" s="28">
        <v>4</v>
      </c>
      <c r="B612" s="28">
        <v>4</v>
      </c>
      <c r="C612" s="11">
        <v>23</v>
      </c>
      <c r="D612" s="11" t="s">
        <v>305</v>
      </c>
      <c r="E612" s="10" t="s">
        <v>96</v>
      </c>
      <c r="F612" s="10" t="s">
        <v>209</v>
      </c>
      <c r="G612" s="10"/>
      <c r="H612" s="152"/>
      <c r="I612" s="164"/>
      <c r="J612" s="62"/>
      <c r="K612" s="62"/>
      <c r="L612" s="177"/>
      <c r="M612" s="171"/>
      <c r="N612" s="62"/>
      <c r="O612" s="64"/>
      <c r="P612" s="62"/>
      <c r="Q612" s="64"/>
      <c r="R612" s="164"/>
      <c r="S612" s="62"/>
      <c r="T612" s="62"/>
      <c r="U612" s="62"/>
      <c r="V612" s="177"/>
      <c r="W612" s="171"/>
      <c r="X612" s="62"/>
      <c r="Y612" s="45"/>
      <c r="Z612" s="45"/>
      <c r="AA612" s="100">
        <f>Y612/AP612</f>
        <v>0</v>
      </c>
      <c r="AB612" s="100">
        <f>AS612/AP612</f>
        <v>0</v>
      </c>
      <c r="AC612" s="24"/>
      <c r="AD612" s="24"/>
      <c r="AE612" s="24"/>
      <c r="AF612" s="24"/>
      <c r="AG612" s="18">
        <v>23</v>
      </c>
      <c r="AH612" s="18" t="s">
        <v>305</v>
      </c>
      <c r="AI612" s="243" t="s">
        <v>96</v>
      </c>
      <c r="AJ612" s="243" t="s">
        <v>419</v>
      </c>
      <c r="AK612" s="246"/>
      <c r="AL612" s="43" t="str">
        <f t="shared" si="164"/>
        <v>-</v>
      </c>
      <c r="AM612" s="43">
        <f t="shared" si="152"/>
        <v>0</v>
      </c>
      <c r="AN612" s="193">
        <f t="shared" si="152"/>
        <v>0</v>
      </c>
      <c r="AO612" s="270">
        <f t="shared" si="153"/>
        <v>870</v>
      </c>
      <c r="AP612" s="265">
        <f>BJ612</f>
        <v>680</v>
      </c>
      <c r="AQ612" s="26" t="str">
        <f t="shared" si="160"/>
        <v>EFFINGHAM RIVERChum</v>
      </c>
      <c r="AR612" s="26">
        <f t="shared" si="154"/>
        <v>0</v>
      </c>
      <c r="AS612" s="33">
        <f t="shared" si="155"/>
        <v>0</v>
      </c>
      <c r="AX612" s="47" t="str">
        <f t="shared" si="156"/>
        <v>EFFINGHAM RIVERChum</v>
      </c>
      <c r="AY612" s="49">
        <f t="shared" si="157"/>
        <v>0</v>
      </c>
      <c r="AZ612" s="49">
        <f t="shared" si="158"/>
        <v>0</v>
      </c>
      <c r="BA612" s="31">
        <v>2005</v>
      </c>
      <c r="BB612" s="188">
        <f t="shared" si="161"/>
        <v>0</v>
      </c>
      <c r="BC612" s="188" t="str">
        <f t="shared" si="165"/>
        <v xml:space="preserve"> </v>
      </c>
      <c r="BD612" s="188" t="str">
        <f t="shared" si="166"/>
        <v xml:space="preserve"> </v>
      </c>
      <c r="BE612" s="188" t="str">
        <f t="shared" si="167"/>
        <v xml:space="preserve"> </v>
      </c>
      <c r="BF612" s="50" t="str">
        <f t="shared" si="159"/>
        <v>EFFINGHAM RIVER_Chum</v>
      </c>
      <c r="BG612" s="50">
        <f>IFERROR(VLOOKUP(BF612,'[1]WCVI Esc'!$C$5:$W$514,18,FALSE),"-")</f>
        <v>871</v>
      </c>
      <c r="BH612" s="50">
        <f t="shared" si="162"/>
        <v>870</v>
      </c>
      <c r="BI612" s="50">
        <f>IFERROR(VLOOKUP(BF612,'[1]WCVI Esc'!$C$5:$W$514,19,FALSE),"-")</f>
        <v>683.33333333333337</v>
      </c>
      <c r="BJ612" s="50">
        <f t="shared" si="163"/>
        <v>680</v>
      </c>
    </row>
    <row r="613" spans="1:66" hidden="1" x14ac:dyDescent="0.2">
      <c r="A613" s="28">
        <v>4</v>
      </c>
      <c r="B613" s="28">
        <v>5</v>
      </c>
      <c r="C613" s="11">
        <v>23</v>
      </c>
      <c r="D613" s="11" t="s">
        <v>305</v>
      </c>
      <c r="E613" s="10" t="s">
        <v>96</v>
      </c>
      <c r="F613" s="10" t="s">
        <v>210</v>
      </c>
      <c r="G613" s="10"/>
      <c r="H613" s="152"/>
      <c r="I613" s="164"/>
      <c r="J613" s="62"/>
      <c r="K613" s="62"/>
      <c r="L613" s="177"/>
      <c r="M613" s="171"/>
      <c r="N613" s="62"/>
      <c r="O613" s="64"/>
      <c r="P613" s="62"/>
      <c r="Q613" s="64"/>
      <c r="R613" s="164"/>
      <c r="S613" s="62"/>
      <c r="T613" s="62"/>
      <c r="U613" s="62"/>
      <c r="V613" s="177"/>
      <c r="W613" s="171"/>
      <c r="X613" s="62"/>
      <c r="Y613" s="45"/>
      <c r="Z613" s="45"/>
      <c r="AA613" s="100"/>
      <c r="AB613" s="100"/>
      <c r="AC613" s="24"/>
      <c r="AD613" s="24"/>
      <c r="AE613" s="24"/>
      <c r="AF613" s="24"/>
      <c r="AG613" s="18">
        <v>23</v>
      </c>
      <c r="AH613" s="18" t="s">
        <v>305</v>
      </c>
      <c r="AI613" s="243" t="s">
        <v>96</v>
      </c>
      <c r="AJ613" s="243" t="s">
        <v>419</v>
      </c>
      <c r="AK613" s="246"/>
      <c r="AL613" s="43" t="str">
        <f t="shared" si="164"/>
        <v>-</v>
      </c>
      <c r="AM613" s="43">
        <f t="shared" si="152"/>
        <v>0</v>
      </c>
      <c r="AN613" s="193">
        <f t="shared" si="152"/>
        <v>0</v>
      </c>
      <c r="AO613" s="270">
        <f t="shared" si="153"/>
        <v>10</v>
      </c>
      <c r="AP613" s="266"/>
      <c r="AQ613" s="26" t="str">
        <f t="shared" si="160"/>
        <v>EFFINGHAM RIVERChinook</v>
      </c>
      <c r="AR613" s="26">
        <f t="shared" si="154"/>
        <v>0</v>
      </c>
      <c r="AS613" s="33">
        <f t="shared" si="155"/>
        <v>0</v>
      </c>
      <c r="AX613" s="47" t="str">
        <f t="shared" si="156"/>
        <v>EFFINGHAM RIVERChinook</v>
      </c>
      <c r="AY613" s="49">
        <f t="shared" si="157"/>
        <v>0</v>
      </c>
      <c r="AZ613" s="49">
        <f t="shared" si="158"/>
        <v>0</v>
      </c>
      <c r="BA613" s="31">
        <v>2005</v>
      </c>
      <c r="BB613" s="188">
        <f t="shared" si="161"/>
        <v>0</v>
      </c>
      <c r="BC613" s="188" t="str">
        <f t="shared" si="165"/>
        <v xml:space="preserve"> </v>
      </c>
      <c r="BD613" s="188" t="str">
        <f t="shared" si="166"/>
        <v xml:space="preserve"> </v>
      </c>
      <c r="BE613" s="188" t="str">
        <f t="shared" si="167"/>
        <v xml:space="preserve"> </v>
      </c>
      <c r="BF613" s="50" t="str">
        <f t="shared" si="159"/>
        <v>EFFINGHAM RIVER_Chinook</v>
      </c>
      <c r="BG613" s="50">
        <f>IFERROR(VLOOKUP(BF613,'[1]WCVI Esc'!$C$5:$W$514,18,FALSE),"-")</f>
        <v>12.75</v>
      </c>
      <c r="BH613" s="50">
        <f t="shared" si="162"/>
        <v>10</v>
      </c>
      <c r="BI613" s="50">
        <f>IFERROR(VLOOKUP(BF613,'[1]WCVI Esc'!$C$5:$W$514,19,FALSE),"-")</f>
        <v>21.5</v>
      </c>
      <c r="BJ613" s="50">
        <f t="shared" si="163"/>
        <v>20</v>
      </c>
      <c r="BK613">
        <v>4</v>
      </c>
      <c r="BL613" s="18" t="s">
        <v>305</v>
      </c>
      <c r="BM613" s="31">
        <v>1</v>
      </c>
    </row>
    <row r="614" spans="1:66" hidden="1" x14ac:dyDescent="0.2">
      <c r="A614" s="28">
        <v>4</v>
      </c>
      <c r="B614" s="28">
        <v>6</v>
      </c>
      <c r="C614" s="11">
        <v>23</v>
      </c>
      <c r="D614" s="11" t="s">
        <v>305</v>
      </c>
      <c r="E614" s="10" t="s">
        <v>96</v>
      </c>
      <c r="F614" s="10" t="s">
        <v>211</v>
      </c>
      <c r="G614" s="10"/>
      <c r="H614" s="152"/>
      <c r="I614" s="164"/>
      <c r="J614" s="62"/>
      <c r="K614" s="62"/>
      <c r="L614" s="177"/>
      <c r="M614" s="171"/>
      <c r="N614" s="62"/>
      <c r="O614" s="64"/>
      <c r="P614" s="62"/>
      <c r="Q614" s="64"/>
      <c r="R614" s="164"/>
      <c r="S614" s="62"/>
      <c r="T614" s="62"/>
      <c r="U614" s="62"/>
      <c r="V614" s="177"/>
      <c r="W614" s="171"/>
      <c r="X614" s="62"/>
      <c r="Y614" s="45"/>
      <c r="Z614" s="45"/>
      <c r="AA614" s="100"/>
      <c r="AB614" s="100"/>
      <c r="AC614" s="24"/>
      <c r="AD614" s="24"/>
      <c r="AE614" s="24"/>
      <c r="AF614" s="24"/>
      <c r="AG614" s="18">
        <v>23</v>
      </c>
      <c r="AH614" s="18" t="s">
        <v>305</v>
      </c>
      <c r="AI614" s="243" t="s">
        <v>96</v>
      </c>
      <c r="AJ614" s="243" t="s">
        <v>419</v>
      </c>
      <c r="AK614" s="246"/>
      <c r="AL614" s="43" t="str">
        <f t="shared" si="164"/>
        <v>-</v>
      </c>
      <c r="AM614" s="43">
        <f t="shared" si="152"/>
        <v>0</v>
      </c>
      <c r="AN614" s="193">
        <f t="shared" si="152"/>
        <v>0</v>
      </c>
      <c r="AO614" s="270" t="str">
        <f t="shared" si="153"/>
        <v>-</v>
      </c>
      <c r="AP614" s="266"/>
      <c r="AQ614" s="26" t="str">
        <f t="shared" si="160"/>
        <v>EFFINGHAM RIVERSteelhead</v>
      </c>
      <c r="AR614" s="26">
        <f t="shared" si="154"/>
        <v>0</v>
      </c>
      <c r="AS614" s="33">
        <f t="shared" si="155"/>
        <v>0</v>
      </c>
      <c r="AX614" s="47" t="str">
        <f t="shared" si="156"/>
        <v>EFFINGHAM RIVERSteelhead</v>
      </c>
      <c r="AY614" s="49">
        <f t="shared" si="157"/>
        <v>0</v>
      </c>
      <c r="AZ614" s="49">
        <f t="shared" si="158"/>
        <v>0</v>
      </c>
      <c r="BA614" s="31">
        <v>0</v>
      </c>
      <c r="BB614" s="188">
        <f t="shared" si="161"/>
        <v>0</v>
      </c>
      <c r="BC614" s="188" t="str">
        <f t="shared" si="165"/>
        <v xml:space="preserve"> </v>
      </c>
      <c r="BD614" s="188" t="str">
        <f t="shared" si="166"/>
        <v xml:space="preserve"> </v>
      </c>
      <c r="BE614" s="188" t="str">
        <f t="shared" si="167"/>
        <v xml:space="preserve"> </v>
      </c>
      <c r="BF614" s="50" t="str">
        <f t="shared" si="159"/>
        <v>EFFINGHAM RIVER_Steelhead</v>
      </c>
      <c r="BG614" s="50" t="str">
        <f>IFERROR(VLOOKUP(BF614,'[1]WCVI Esc'!$C$5:$W$514,18,FALSE),"-")</f>
        <v>-</v>
      </c>
      <c r="BH614" s="50" t="str">
        <f t="shared" si="162"/>
        <v>-</v>
      </c>
      <c r="BI614" s="50" t="str">
        <f>IFERROR(VLOOKUP(BF614,'[1]WCVI Esc'!$C$5:$W$514,19,FALSE),"-")</f>
        <v>-</v>
      </c>
      <c r="BJ614" s="50" t="str">
        <f t="shared" si="163"/>
        <v>-</v>
      </c>
    </row>
    <row r="615" spans="1:66" hidden="1" x14ac:dyDescent="0.2">
      <c r="A615" s="28">
        <v>4</v>
      </c>
      <c r="B615" s="28">
        <v>1</v>
      </c>
      <c r="C615" s="11">
        <v>23</v>
      </c>
      <c r="D615" s="13" t="s">
        <v>320</v>
      </c>
      <c r="E615" s="10" t="s">
        <v>174</v>
      </c>
      <c r="F615" s="10" t="s">
        <v>207</v>
      </c>
      <c r="G615" s="10"/>
      <c r="H615" s="152"/>
      <c r="I615" s="164"/>
      <c r="J615" s="62"/>
      <c r="K615" s="62"/>
      <c r="L615" s="177"/>
      <c r="M615" s="171"/>
      <c r="N615" s="62"/>
      <c r="O615" s="64"/>
      <c r="P615" s="62"/>
      <c r="Q615" s="64"/>
      <c r="R615" s="164"/>
      <c r="S615" s="62"/>
      <c r="T615" s="62"/>
      <c r="U615" s="62"/>
      <c r="V615" s="177"/>
      <c r="W615" s="171"/>
      <c r="X615" s="62"/>
      <c r="Y615" s="45"/>
      <c r="Z615" s="45"/>
      <c r="AA615" s="100"/>
      <c r="AB615" s="100"/>
      <c r="AC615" s="24"/>
      <c r="AD615" s="24"/>
      <c r="AE615" s="24"/>
      <c r="AF615" s="24"/>
      <c r="AG615" s="18">
        <v>23</v>
      </c>
      <c r="AH615" s="69" t="s">
        <v>320</v>
      </c>
      <c r="AI615" s="243" t="s">
        <v>174</v>
      </c>
      <c r="AJ615" s="243" t="s">
        <v>419</v>
      </c>
      <c r="AK615" s="246"/>
      <c r="AL615" s="43" t="str">
        <f t="shared" si="164"/>
        <v>-</v>
      </c>
      <c r="AM615" s="43">
        <f t="shared" si="152"/>
        <v>0</v>
      </c>
      <c r="AN615" s="193">
        <f t="shared" si="152"/>
        <v>0</v>
      </c>
      <c r="AO615" s="270" t="str">
        <f t="shared" si="153"/>
        <v>-</v>
      </c>
      <c r="AP615" s="268"/>
      <c r="AQ615" s="26" t="str">
        <f t="shared" si="160"/>
        <v>FORESTRY CAMP CREEKSockeye</v>
      </c>
      <c r="AR615" s="26">
        <f t="shared" si="154"/>
        <v>0</v>
      </c>
      <c r="AS615" s="33">
        <f t="shared" si="155"/>
        <v>0</v>
      </c>
      <c r="AX615" s="47" t="str">
        <f t="shared" si="156"/>
        <v>FORESTRY CAMP CREEKSockeye</v>
      </c>
      <c r="AY615" s="49">
        <f t="shared" si="157"/>
        <v>0</v>
      </c>
      <c r="AZ615" s="49">
        <f t="shared" si="158"/>
        <v>0</v>
      </c>
      <c r="BA615" s="31">
        <v>0</v>
      </c>
      <c r="BB615" s="188">
        <f t="shared" si="161"/>
        <v>0</v>
      </c>
      <c r="BC615" s="188" t="str">
        <f t="shared" si="165"/>
        <v xml:space="preserve"> </v>
      </c>
      <c r="BD615" s="188" t="str">
        <f t="shared" si="166"/>
        <v xml:space="preserve"> </v>
      </c>
      <c r="BE615" s="188" t="str">
        <f t="shared" si="167"/>
        <v xml:space="preserve"> </v>
      </c>
      <c r="BF615" s="50" t="str">
        <f t="shared" si="159"/>
        <v>FORESTRY CAMP CREEK_Sockeye</v>
      </c>
      <c r="BG615" s="50" t="str">
        <f>IFERROR(VLOOKUP(BF615,'[1]WCVI Esc'!$C$5:$W$514,18,FALSE),"-")</f>
        <v>-</v>
      </c>
      <c r="BH615" s="50" t="str">
        <f t="shared" si="162"/>
        <v>-</v>
      </c>
      <c r="BI615" s="50" t="str">
        <f>IFERROR(VLOOKUP(BF615,'[1]WCVI Esc'!$C$5:$W$514,19,FALSE),"-")</f>
        <v>-</v>
      </c>
      <c r="BJ615" s="50" t="str">
        <f t="shared" si="163"/>
        <v>-</v>
      </c>
    </row>
    <row r="616" spans="1:66" hidden="1" x14ac:dyDescent="0.2">
      <c r="A616" s="28">
        <v>4</v>
      </c>
      <c r="B616" s="28">
        <v>2</v>
      </c>
      <c r="C616" s="11">
        <v>23</v>
      </c>
      <c r="D616" s="13" t="s">
        <v>320</v>
      </c>
      <c r="E616" s="10" t="s">
        <v>174</v>
      </c>
      <c r="F616" s="10" t="s">
        <v>219</v>
      </c>
      <c r="G616" s="10"/>
      <c r="H616" s="152"/>
      <c r="I616" s="164"/>
      <c r="J616" s="62"/>
      <c r="K616" s="62"/>
      <c r="L616" s="177"/>
      <c r="M616" s="171"/>
      <c r="N616" s="62"/>
      <c r="O616" s="64"/>
      <c r="P616" s="62"/>
      <c r="Q616" s="64"/>
      <c r="R616" s="164"/>
      <c r="S616" s="62"/>
      <c r="T616" s="62"/>
      <c r="U616" s="62"/>
      <c r="V616" s="177"/>
      <c r="W616" s="171"/>
      <c r="X616" s="62"/>
      <c r="Y616" s="45"/>
      <c r="Z616" s="45"/>
      <c r="AA616" s="100"/>
      <c r="AB616" s="100"/>
      <c r="AC616" s="24"/>
      <c r="AD616" s="24"/>
      <c r="AE616" s="24"/>
      <c r="AF616" s="24"/>
      <c r="AG616" s="18">
        <v>23</v>
      </c>
      <c r="AH616" s="69" t="s">
        <v>320</v>
      </c>
      <c r="AI616" s="243" t="s">
        <v>174</v>
      </c>
      <c r="AJ616" s="243" t="s">
        <v>419</v>
      </c>
      <c r="AK616" s="246"/>
      <c r="AL616" s="43" t="str">
        <f t="shared" si="164"/>
        <v>-</v>
      </c>
      <c r="AM616" s="43">
        <f t="shared" si="152"/>
        <v>0</v>
      </c>
      <c r="AN616" s="193">
        <f t="shared" si="152"/>
        <v>0</v>
      </c>
      <c r="AO616" s="270" t="str">
        <f t="shared" si="153"/>
        <v>-</v>
      </c>
      <c r="AP616" s="268"/>
      <c r="AQ616" s="26" t="str">
        <f t="shared" si="160"/>
        <v>FORESTRY CAMP CREEKCoho</v>
      </c>
      <c r="AR616" s="26">
        <f t="shared" si="154"/>
        <v>0</v>
      </c>
      <c r="AS616" s="33">
        <f t="shared" si="155"/>
        <v>0</v>
      </c>
      <c r="AX616" s="47" t="str">
        <f t="shared" si="156"/>
        <v>FORESTRY CAMP CREEKCoho</v>
      </c>
      <c r="AY616" s="49">
        <f t="shared" si="157"/>
        <v>0</v>
      </c>
      <c r="AZ616" s="49">
        <f t="shared" si="158"/>
        <v>0</v>
      </c>
      <c r="BA616" s="31">
        <v>0</v>
      </c>
      <c r="BB616" s="188">
        <f t="shared" si="161"/>
        <v>0</v>
      </c>
      <c r="BC616" s="188" t="str">
        <f t="shared" si="165"/>
        <v xml:space="preserve"> </v>
      </c>
      <c r="BD616" s="188" t="str">
        <f t="shared" si="166"/>
        <v xml:space="preserve"> </v>
      </c>
      <c r="BE616" s="188" t="str">
        <f t="shared" si="167"/>
        <v xml:space="preserve"> </v>
      </c>
      <c r="BF616" s="50" t="str">
        <f t="shared" si="159"/>
        <v>FORESTRY CAMP CREEK_Coho</v>
      </c>
      <c r="BG616" s="50" t="str">
        <f>IFERROR(VLOOKUP(BF616,'[1]WCVI Esc'!$C$5:$W$514,18,FALSE),"-")</f>
        <v>-</v>
      </c>
      <c r="BH616" s="50" t="str">
        <f t="shared" si="162"/>
        <v>-</v>
      </c>
      <c r="BI616" s="50" t="str">
        <f>IFERROR(VLOOKUP(BF616,'[1]WCVI Esc'!$C$5:$W$514,19,FALSE),"-")</f>
        <v>-</v>
      </c>
      <c r="BJ616" s="50" t="str">
        <f t="shared" si="163"/>
        <v>-</v>
      </c>
    </row>
    <row r="617" spans="1:66" hidden="1" x14ac:dyDescent="0.2">
      <c r="A617" s="28">
        <v>4</v>
      </c>
      <c r="B617" s="28">
        <v>3</v>
      </c>
      <c r="C617" s="11">
        <v>23</v>
      </c>
      <c r="D617" s="13" t="s">
        <v>320</v>
      </c>
      <c r="E617" s="10" t="s">
        <v>174</v>
      </c>
      <c r="F617" s="10" t="s">
        <v>208</v>
      </c>
      <c r="G617" s="10"/>
      <c r="H617" s="152"/>
      <c r="I617" s="164"/>
      <c r="J617" s="62"/>
      <c r="K617" s="62"/>
      <c r="L617" s="177"/>
      <c r="M617" s="171"/>
      <c r="N617" s="62"/>
      <c r="O617" s="64"/>
      <c r="P617" s="62"/>
      <c r="Q617" s="64"/>
      <c r="R617" s="164"/>
      <c r="S617" s="62"/>
      <c r="T617" s="62"/>
      <c r="U617" s="62"/>
      <c r="V617" s="177"/>
      <c r="W617" s="171"/>
      <c r="X617" s="62"/>
      <c r="Y617" s="45"/>
      <c r="Z617" s="45"/>
      <c r="AA617" s="100"/>
      <c r="AB617" s="100"/>
      <c r="AC617" s="24"/>
      <c r="AD617" s="24"/>
      <c r="AE617" s="24"/>
      <c r="AF617" s="24"/>
      <c r="AG617" s="18">
        <v>23</v>
      </c>
      <c r="AH617" s="69" t="s">
        <v>320</v>
      </c>
      <c r="AI617" s="243" t="s">
        <v>174</v>
      </c>
      <c r="AJ617" s="243" t="s">
        <v>419</v>
      </c>
      <c r="AK617" s="246"/>
      <c r="AL617" s="43" t="str">
        <f t="shared" si="164"/>
        <v>-</v>
      </c>
      <c r="AM617" s="43">
        <f t="shared" si="152"/>
        <v>0</v>
      </c>
      <c r="AN617" s="193">
        <f t="shared" si="152"/>
        <v>0</v>
      </c>
      <c r="AO617" s="270" t="str">
        <f t="shared" si="153"/>
        <v>-</v>
      </c>
      <c r="AP617" s="267"/>
      <c r="AQ617" s="26" t="str">
        <f t="shared" si="160"/>
        <v>FORESTRY CAMP CREEKPink</v>
      </c>
      <c r="AR617" s="26">
        <f t="shared" si="154"/>
        <v>0</v>
      </c>
      <c r="AS617" s="33">
        <f t="shared" si="155"/>
        <v>0</v>
      </c>
      <c r="AX617" s="47" t="str">
        <f t="shared" si="156"/>
        <v>FORESTRY CAMP CREEKPink</v>
      </c>
      <c r="AY617" s="49">
        <f t="shared" si="157"/>
        <v>0</v>
      </c>
      <c r="AZ617" s="49">
        <f t="shared" si="158"/>
        <v>0</v>
      </c>
      <c r="BA617" s="31">
        <v>0</v>
      </c>
      <c r="BB617" s="188">
        <f t="shared" si="161"/>
        <v>0</v>
      </c>
      <c r="BC617" s="188" t="str">
        <f t="shared" si="165"/>
        <v xml:space="preserve"> </v>
      </c>
      <c r="BD617" s="188" t="str">
        <f t="shared" si="166"/>
        <v xml:space="preserve"> </v>
      </c>
      <c r="BE617" s="188" t="str">
        <f t="shared" si="167"/>
        <v xml:space="preserve"> </v>
      </c>
      <c r="BF617" s="50" t="str">
        <f t="shared" si="159"/>
        <v>FORESTRY CAMP CREEK_Pink</v>
      </c>
      <c r="BG617" s="50" t="str">
        <f>IFERROR(VLOOKUP(BF617,'[1]WCVI Esc'!$C$5:$W$514,18,FALSE),"-")</f>
        <v>-</v>
      </c>
      <c r="BH617" s="50" t="str">
        <f t="shared" si="162"/>
        <v>-</v>
      </c>
      <c r="BI617" s="50" t="str">
        <f>IFERROR(VLOOKUP(BF617,'[1]WCVI Esc'!$C$5:$W$514,19,FALSE),"-")</f>
        <v>-</v>
      </c>
      <c r="BJ617" s="50" t="str">
        <f t="shared" si="163"/>
        <v>-</v>
      </c>
    </row>
    <row r="618" spans="1:66" hidden="1" x14ac:dyDescent="0.2">
      <c r="A618" s="28">
        <v>4</v>
      </c>
      <c r="B618" s="28">
        <v>4</v>
      </c>
      <c r="C618" s="11">
        <v>23</v>
      </c>
      <c r="D618" s="13" t="s">
        <v>320</v>
      </c>
      <c r="E618" s="10" t="s">
        <v>174</v>
      </c>
      <c r="F618" s="10" t="s">
        <v>209</v>
      </c>
      <c r="G618" s="10"/>
      <c r="H618" s="152"/>
      <c r="I618" s="164"/>
      <c r="J618" s="62"/>
      <c r="K618" s="62"/>
      <c r="L618" s="177"/>
      <c r="M618" s="171"/>
      <c r="N618" s="62"/>
      <c r="O618" s="62"/>
      <c r="P618" s="62"/>
      <c r="Q618" s="64"/>
      <c r="R618" s="164"/>
      <c r="S618" s="62"/>
      <c r="T618" s="62"/>
      <c r="U618" s="62"/>
      <c r="V618" s="177"/>
      <c r="W618" s="171"/>
      <c r="X618" s="62"/>
      <c r="Y618" s="45"/>
      <c r="Z618" s="45"/>
      <c r="AA618" s="100"/>
      <c r="AB618" s="100"/>
      <c r="AC618" s="24"/>
      <c r="AD618" s="24"/>
      <c r="AE618" s="24"/>
      <c r="AF618" s="24"/>
      <c r="AG618" s="18">
        <v>23</v>
      </c>
      <c r="AH618" s="69" t="s">
        <v>320</v>
      </c>
      <c r="AI618" s="243" t="s">
        <v>174</v>
      </c>
      <c r="AJ618" s="243" t="s">
        <v>419</v>
      </c>
      <c r="AK618" s="246"/>
      <c r="AL618" s="43" t="str">
        <f t="shared" si="164"/>
        <v>-</v>
      </c>
      <c r="AM618" s="43">
        <f t="shared" si="152"/>
        <v>0</v>
      </c>
      <c r="AN618" s="193">
        <f t="shared" si="152"/>
        <v>0</v>
      </c>
      <c r="AO618" s="270" t="str">
        <f t="shared" si="153"/>
        <v>-</v>
      </c>
      <c r="AP618" s="268"/>
      <c r="AQ618" s="26" t="str">
        <f t="shared" si="160"/>
        <v>FORESTRY CAMP CREEKChum</v>
      </c>
      <c r="AR618" s="26">
        <f t="shared" si="154"/>
        <v>0</v>
      </c>
      <c r="AS618" s="33">
        <f t="shared" si="155"/>
        <v>0</v>
      </c>
      <c r="AX618" s="47" t="str">
        <f t="shared" si="156"/>
        <v>FORESTRY CAMP CREEKChum</v>
      </c>
      <c r="AY618" s="49">
        <f t="shared" si="157"/>
        <v>0</v>
      </c>
      <c r="AZ618" s="49">
        <f t="shared" si="158"/>
        <v>0</v>
      </c>
      <c r="BA618" s="31">
        <v>0</v>
      </c>
      <c r="BB618" s="188">
        <f t="shared" si="161"/>
        <v>0</v>
      </c>
      <c r="BC618" s="188" t="str">
        <f t="shared" si="165"/>
        <v xml:space="preserve"> </v>
      </c>
      <c r="BD618" s="188" t="str">
        <f t="shared" si="166"/>
        <v xml:space="preserve"> </v>
      </c>
      <c r="BE618" s="188" t="str">
        <f t="shared" si="167"/>
        <v xml:space="preserve"> </v>
      </c>
      <c r="BF618" s="50" t="str">
        <f t="shared" si="159"/>
        <v>FORESTRY CAMP CREEK_Chum</v>
      </c>
      <c r="BG618" s="50" t="str">
        <f>IFERROR(VLOOKUP(BF618,'[1]WCVI Esc'!$C$5:$W$514,18,FALSE),"-")</f>
        <v>-</v>
      </c>
      <c r="BH618" s="50" t="str">
        <f t="shared" si="162"/>
        <v>-</v>
      </c>
      <c r="BI618" s="50" t="str">
        <f>IFERROR(VLOOKUP(BF618,'[1]WCVI Esc'!$C$5:$W$514,19,FALSE),"-")</f>
        <v>-</v>
      </c>
      <c r="BJ618" s="50" t="str">
        <f t="shared" si="163"/>
        <v>-</v>
      </c>
    </row>
    <row r="619" spans="1:66" hidden="1" x14ac:dyDescent="0.2">
      <c r="A619" s="28">
        <v>4</v>
      </c>
      <c r="B619" s="28">
        <v>5</v>
      </c>
      <c r="C619" s="11">
        <v>23</v>
      </c>
      <c r="D619" s="13" t="s">
        <v>320</v>
      </c>
      <c r="E619" s="10" t="s">
        <v>174</v>
      </c>
      <c r="F619" s="10" t="s">
        <v>210</v>
      </c>
      <c r="G619" s="10"/>
      <c r="H619" s="152"/>
      <c r="I619" s="164"/>
      <c r="J619" s="62"/>
      <c r="K619" s="62"/>
      <c r="L619" s="177"/>
      <c r="M619" s="171"/>
      <c r="N619" s="62"/>
      <c r="O619" s="62"/>
      <c r="P619" s="62"/>
      <c r="Q619" s="64"/>
      <c r="R619" s="164"/>
      <c r="S619" s="62"/>
      <c r="T619" s="62"/>
      <c r="U619" s="62"/>
      <c r="V619" s="177"/>
      <c r="W619" s="171"/>
      <c r="X619" s="62"/>
      <c r="Y619" s="45"/>
      <c r="Z619" s="45"/>
      <c r="AA619" s="100"/>
      <c r="AB619" s="100"/>
      <c r="AC619" s="24"/>
      <c r="AD619" s="24"/>
      <c r="AE619" s="24"/>
      <c r="AF619" s="24"/>
      <c r="AG619" s="18">
        <v>23</v>
      </c>
      <c r="AH619" s="69" t="s">
        <v>320</v>
      </c>
      <c r="AI619" s="243" t="s">
        <v>174</v>
      </c>
      <c r="AJ619" s="243" t="s">
        <v>419</v>
      </c>
      <c r="AK619" s="246"/>
      <c r="AL619" s="43" t="str">
        <f t="shared" si="164"/>
        <v>-</v>
      </c>
      <c r="AM619" s="43">
        <f t="shared" si="152"/>
        <v>0</v>
      </c>
      <c r="AN619" s="193">
        <f t="shared" si="152"/>
        <v>0</v>
      </c>
      <c r="AO619" s="270" t="str">
        <f t="shared" si="153"/>
        <v>-</v>
      </c>
      <c r="AP619" s="268"/>
      <c r="AQ619" s="26" t="str">
        <f t="shared" si="160"/>
        <v>FORESTRY CAMP CREEKChinook</v>
      </c>
      <c r="AR619" s="26">
        <f t="shared" si="154"/>
        <v>0</v>
      </c>
      <c r="AS619" s="33">
        <f t="shared" si="155"/>
        <v>0</v>
      </c>
      <c r="AX619" s="47" t="str">
        <f t="shared" si="156"/>
        <v>FORESTRY CAMP CREEKChinook</v>
      </c>
      <c r="AY619" s="49">
        <f t="shared" si="157"/>
        <v>0</v>
      </c>
      <c r="AZ619" s="49">
        <f t="shared" si="158"/>
        <v>0</v>
      </c>
      <c r="BA619" s="31">
        <v>0</v>
      </c>
      <c r="BB619" s="188">
        <f t="shared" si="161"/>
        <v>0</v>
      </c>
      <c r="BC619" s="188" t="str">
        <f t="shared" si="165"/>
        <v xml:space="preserve"> </v>
      </c>
      <c r="BD619" s="188" t="str">
        <f t="shared" si="166"/>
        <v xml:space="preserve"> </v>
      </c>
      <c r="BE619" s="188" t="str">
        <f t="shared" si="167"/>
        <v xml:space="preserve"> </v>
      </c>
      <c r="BF619" s="50" t="str">
        <f t="shared" si="159"/>
        <v>FORESTRY CAMP CREEK_Chinook</v>
      </c>
      <c r="BG619" s="50" t="str">
        <f>IFERROR(VLOOKUP(BF619,'[1]WCVI Esc'!$C$5:$W$514,18,FALSE),"-")</f>
        <v>-</v>
      </c>
      <c r="BH619" s="50" t="str">
        <f t="shared" si="162"/>
        <v>-</v>
      </c>
      <c r="BI619" s="50" t="str">
        <f>IFERROR(VLOOKUP(BF619,'[1]WCVI Esc'!$C$5:$W$514,19,FALSE),"-")</f>
        <v>-</v>
      </c>
      <c r="BJ619" s="50" t="str">
        <f t="shared" si="163"/>
        <v>-</v>
      </c>
    </row>
    <row r="620" spans="1:66" hidden="1" x14ac:dyDescent="0.2">
      <c r="A620" s="28">
        <v>4</v>
      </c>
      <c r="B620" s="28">
        <v>6</v>
      </c>
      <c r="C620" s="11">
        <v>23</v>
      </c>
      <c r="D620" s="13" t="s">
        <v>320</v>
      </c>
      <c r="E620" s="10" t="s">
        <v>174</v>
      </c>
      <c r="F620" s="10" t="s">
        <v>211</v>
      </c>
      <c r="G620" s="10"/>
      <c r="H620" s="152"/>
      <c r="I620" s="164"/>
      <c r="J620" s="62"/>
      <c r="K620" s="62"/>
      <c r="L620" s="177"/>
      <c r="M620" s="171"/>
      <c r="N620" s="62"/>
      <c r="O620" s="62"/>
      <c r="P620" s="62"/>
      <c r="Q620" s="64"/>
      <c r="R620" s="164"/>
      <c r="S620" s="62"/>
      <c r="T620" s="62"/>
      <c r="U620" s="62"/>
      <c r="V620" s="177"/>
      <c r="W620" s="171"/>
      <c r="X620" s="62"/>
      <c r="Y620" s="45"/>
      <c r="Z620" s="45"/>
      <c r="AA620" s="100"/>
      <c r="AB620" s="100"/>
      <c r="AC620" s="24"/>
      <c r="AD620" s="24"/>
      <c r="AE620" s="24"/>
      <c r="AF620" s="24"/>
      <c r="AG620" s="18">
        <v>23</v>
      </c>
      <c r="AH620" s="69" t="s">
        <v>320</v>
      </c>
      <c r="AI620" s="243" t="s">
        <v>174</v>
      </c>
      <c r="AJ620" s="243" t="s">
        <v>419</v>
      </c>
      <c r="AK620" s="246"/>
      <c r="AL620" s="43" t="str">
        <f t="shared" si="164"/>
        <v>-</v>
      </c>
      <c r="AM620" s="43">
        <f t="shared" si="152"/>
        <v>0</v>
      </c>
      <c r="AN620" s="193">
        <f t="shared" si="152"/>
        <v>0</v>
      </c>
      <c r="AO620" s="270" t="str">
        <f t="shared" si="153"/>
        <v>-</v>
      </c>
      <c r="AP620" s="267"/>
      <c r="AQ620" s="26" t="str">
        <f t="shared" si="160"/>
        <v>FORESTRY CAMP CREEKSteelhead</v>
      </c>
      <c r="AR620" s="26">
        <f t="shared" si="154"/>
        <v>0</v>
      </c>
      <c r="AS620" s="33">
        <f t="shared" si="155"/>
        <v>0</v>
      </c>
      <c r="AX620" s="47" t="str">
        <f t="shared" si="156"/>
        <v>FORESTRY CAMP CREEKSteelhead</v>
      </c>
      <c r="AY620" s="49">
        <f t="shared" si="157"/>
        <v>0</v>
      </c>
      <c r="AZ620" s="49">
        <f t="shared" si="158"/>
        <v>0</v>
      </c>
      <c r="BA620" s="31">
        <v>0</v>
      </c>
      <c r="BB620" s="188">
        <f t="shared" si="161"/>
        <v>0</v>
      </c>
      <c r="BC620" s="188" t="str">
        <f t="shared" si="165"/>
        <v xml:space="preserve"> </v>
      </c>
      <c r="BD620" s="188" t="str">
        <f t="shared" si="166"/>
        <v xml:space="preserve"> </v>
      </c>
      <c r="BE620" s="188" t="str">
        <f t="shared" si="167"/>
        <v xml:space="preserve"> </v>
      </c>
      <c r="BF620" s="50" t="str">
        <f t="shared" si="159"/>
        <v>FORESTRY CAMP CREEK_Steelhead</v>
      </c>
      <c r="BG620" s="50" t="str">
        <f>IFERROR(VLOOKUP(BF620,'[1]WCVI Esc'!$C$5:$W$514,18,FALSE),"-")</f>
        <v>-</v>
      </c>
      <c r="BH620" s="50" t="str">
        <f t="shared" si="162"/>
        <v>-</v>
      </c>
      <c r="BI620" s="50" t="str">
        <f>IFERROR(VLOOKUP(BF620,'[1]WCVI Esc'!$C$5:$W$514,19,FALSE),"-")</f>
        <v>-</v>
      </c>
      <c r="BJ620" s="50" t="str">
        <f t="shared" si="163"/>
        <v>-</v>
      </c>
    </row>
    <row r="621" spans="1:66" hidden="1" x14ac:dyDescent="0.2">
      <c r="A621" s="28">
        <v>4</v>
      </c>
      <c r="B621" s="28">
        <v>1</v>
      </c>
      <c r="C621" s="11">
        <v>23</v>
      </c>
      <c r="D621" s="13" t="s">
        <v>356</v>
      </c>
      <c r="E621" s="10" t="s">
        <v>97</v>
      </c>
      <c r="F621" s="10" t="s">
        <v>207</v>
      </c>
      <c r="G621" s="10"/>
      <c r="H621" s="152"/>
      <c r="I621" s="164"/>
      <c r="J621" s="62"/>
      <c r="K621" s="62"/>
      <c r="L621" s="177"/>
      <c r="M621" s="171"/>
      <c r="N621" s="94"/>
      <c r="O621" s="94"/>
      <c r="P621" s="62"/>
      <c r="Q621" s="64"/>
      <c r="R621" s="164"/>
      <c r="S621" s="62"/>
      <c r="T621" s="62"/>
      <c r="U621" s="62"/>
      <c r="V621" s="177"/>
      <c r="W621" s="171"/>
      <c r="X621" s="62"/>
      <c r="Y621" s="45"/>
      <c r="Z621" s="45"/>
      <c r="AA621" s="100"/>
      <c r="AB621" s="100"/>
      <c r="AC621" s="24"/>
      <c r="AD621" s="24"/>
      <c r="AE621" s="24"/>
      <c r="AF621" s="24"/>
      <c r="AG621" s="18">
        <v>23</v>
      </c>
      <c r="AH621" s="69" t="s">
        <v>356</v>
      </c>
      <c r="AI621" s="243" t="s">
        <v>97</v>
      </c>
      <c r="AJ621" s="243" t="s">
        <v>419</v>
      </c>
      <c r="AK621" s="246"/>
      <c r="AL621" s="43" t="str">
        <f t="shared" si="164"/>
        <v>-</v>
      </c>
      <c r="AM621" s="43">
        <f t="shared" si="152"/>
        <v>0</v>
      </c>
      <c r="AN621" s="193">
        <f t="shared" si="152"/>
        <v>0</v>
      </c>
      <c r="AO621" s="270" t="str">
        <f t="shared" si="153"/>
        <v>-</v>
      </c>
      <c r="AP621" s="266"/>
      <c r="AQ621" s="26" t="str">
        <f t="shared" si="160"/>
        <v>FRANKLIN RIVERSockeye</v>
      </c>
      <c r="AR621" s="26">
        <f t="shared" si="154"/>
        <v>0</v>
      </c>
      <c r="AS621" s="33">
        <f t="shared" si="155"/>
        <v>0</v>
      </c>
      <c r="AX621" s="47" t="str">
        <f t="shared" si="156"/>
        <v>FRANKLIN RIVERSockeye</v>
      </c>
      <c r="AY621" s="49">
        <f t="shared" si="157"/>
        <v>0</v>
      </c>
      <c r="AZ621" s="49">
        <f t="shared" si="158"/>
        <v>0</v>
      </c>
      <c r="BA621" s="31">
        <v>0</v>
      </c>
      <c r="BB621" s="188">
        <f t="shared" si="161"/>
        <v>0</v>
      </c>
      <c r="BC621" s="188" t="str">
        <f t="shared" si="165"/>
        <v xml:space="preserve"> </v>
      </c>
      <c r="BD621" s="188" t="str">
        <f t="shared" si="166"/>
        <v xml:space="preserve"> </v>
      </c>
      <c r="BE621" s="188" t="str">
        <f t="shared" si="167"/>
        <v xml:space="preserve"> </v>
      </c>
      <c r="BF621" s="50" t="str">
        <f t="shared" si="159"/>
        <v>FRANKLIN RIVER_Sockeye</v>
      </c>
      <c r="BG621" s="50" t="str">
        <f>IFERROR(VLOOKUP(BF621,'[1]WCVI Esc'!$C$5:$W$514,18,FALSE),"-")</f>
        <v>-</v>
      </c>
      <c r="BH621" s="50" t="str">
        <f t="shared" si="162"/>
        <v>-</v>
      </c>
      <c r="BI621" s="50" t="str">
        <f>IFERROR(VLOOKUP(BF621,'[1]WCVI Esc'!$C$5:$W$514,19,FALSE),"-")</f>
        <v>-</v>
      </c>
      <c r="BJ621" s="50" t="str">
        <f t="shared" si="163"/>
        <v>-</v>
      </c>
    </row>
    <row r="622" spans="1:66" hidden="1" x14ac:dyDescent="0.2">
      <c r="A622" s="28">
        <v>4</v>
      </c>
      <c r="B622" s="28">
        <v>2</v>
      </c>
      <c r="C622" s="11">
        <v>23</v>
      </c>
      <c r="D622" s="13" t="s">
        <v>356</v>
      </c>
      <c r="E622" s="10" t="s">
        <v>97</v>
      </c>
      <c r="F622" s="10" t="s">
        <v>219</v>
      </c>
      <c r="G622" s="10"/>
      <c r="H622" s="152"/>
      <c r="I622" s="164"/>
      <c r="J622" s="62"/>
      <c r="K622" s="62"/>
      <c r="L622" s="177"/>
      <c r="M622" s="171"/>
      <c r="N622" s="94"/>
      <c r="O622" s="94"/>
      <c r="P622" s="62"/>
      <c r="Q622" s="64"/>
      <c r="R622" s="164"/>
      <c r="S622" s="62"/>
      <c r="T622" s="62"/>
      <c r="U622" s="62"/>
      <c r="V622" s="177"/>
      <c r="W622" s="171"/>
      <c r="X622" s="62"/>
      <c r="Y622" s="45"/>
      <c r="Z622" s="45"/>
      <c r="AA622" s="100">
        <f>Y622/AP622</f>
        <v>0</v>
      </c>
      <c r="AB622" s="100">
        <f>AS622/AP622</f>
        <v>0</v>
      </c>
      <c r="AC622" s="100"/>
      <c r="AD622" s="100"/>
      <c r="AE622" s="100"/>
      <c r="AF622" s="100"/>
      <c r="AG622" s="18">
        <v>23</v>
      </c>
      <c r="AH622" s="69" t="s">
        <v>356</v>
      </c>
      <c r="AI622" s="243" t="s">
        <v>97</v>
      </c>
      <c r="AJ622" s="243" t="s">
        <v>419</v>
      </c>
      <c r="AK622" s="246"/>
      <c r="AL622" s="43" t="str">
        <f t="shared" si="164"/>
        <v>-</v>
      </c>
      <c r="AM622" s="43">
        <f t="shared" si="152"/>
        <v>0</v>
      </c>
      <c r="AN622" s="193">
        <f t="shared" si="152"/>
        <v>0</v>
      </c>
      <c r="AO622" s="270" t="str">
        <f t="shared" si="153"/>
        <v>-</v>
      </c>
      <c r="AP622" s="265">
        <f>BJ622</f>
        <v>40</v>
      </c>
      <c r="AQ622" s="26" t="str">
        <f t="shared" si="160"/>
        <v>FRANKLIN RIVERCoho</v>
      </c>
      <c r="AR622" s="26">
        <f t="shared" si="154"/>
        <v>0</v>
      </c>
      <c r="AS622" s="33">
        <f t="shared" si="155"/>
        <v>0</v>
      </c>
      <c r="AX622" s="47" t="str">
        <f t="shared" si="156"/>
        <v>FRANKLIN RIVERCoho</v>
      </c>
      <c r="AY622" s="49">
        <f t="shared" si="157"/>
        <v>0</v>
      </c>
      <c r="AZ622" s="49">
        <f t="shared" si="158"/>
        <v>0</v>
      </c>
      <c r="BA622" s="31">
        <v>2015</v>
      </c>
      <c r="BB622" s="188">
        <f t="shared" si="161"/>
        <v>0</v>
      </c>
      <c r="BC622" s="188" t="str">
        <f t="shared" si="165"/>
        <v xml:space="preserve"> </v>
      </c>
      <c r="BD622" s="188" t="str">
        <f t="shared" si="166"/>
        <v xml:space="preserve"> </v>
      </c>
      <c r="BE622" s="188" t="str">
        <f t="shared" si="167"/>
        <v xml:space="preserve"> </v>
      </c>
      <c r="BF622" s="50" t="str">
        <f t="shared" si="159"/>
        <v>FRANKLIN RIVER_Coho</v>
      </c>
      <c r="BG622" s="50" t="str">
        <f>IFERROR(VLOOKUP(BF622,'[1]WCVI Esc'!$C$5:$W$514,18,FALSE),"-")</f>
        <v>-</v>
      </c>
      <c r="BH622" s="50" t="str">
        <f t="shared" si="162"/>
        <v>-</v>
      </c>
      <c r="BI622" s="50">
        <f>IFERROR(VLOOKUP(BF622,'[1]WCVI Esc'!$C$5:$W$514,19,FALSE),"-")</f>
        <v>42.75</v>
      </c>
      <c r="BJ622" s="50">
        <f t="shared" si="163"/>
        <v>40</v>
      </c>
    </row>
    <row r="623" spans="1:66" hidden="1" x14ac:dyDescent="0.2">
      <c r="A623" s="28">
        <v>4</v>
      </c>
      <c r="B623" s="28">
        <v>3</v>
      </c>
      <c r="C623" s="11">
        <v>23</v>
      </c>
      <c r="D623" s="13" t="s">
        <v>356</v>
      </c>
      <c r="E623" s="10" t="s">
        <v>97</v>
      </c>
      <c r="F623" s="10" t="s">
        <v>208</v>
      </c>
      <c r="G623" s="10"/>
      <c r="H623" s="152"/>
      <c r="I623" s="164"/>
      <c r="J623" s="62"/>
      <c r="K623" s="62"/>
      <c r="L623" s="177"/>
      <c r="M623" s="171"/>
      <c r="N623" s="94"/>
      <c r="O623" s="94"/>
      <c r="P623" s="62"/>
      <c r="Q623" s="64"/>
      <c r="R623" s="164"/>
      <c r="S623" s="62"/>
      <c r="T623" s="62"/>
      <c r="U623" s="62"/>
      <c r="V623" s="177"/>
      <c r="W623" s="171"/>
      <c r="X623" s="62"/>
      <c r="Y623" s="45"/>
      <c r="Z623" s="45"/>
      <c r="AA623" s="100"/>
      <c r="AB623" s="100"/>
      <c r="AC623" s="24"/>
      <c r="AD623" s="24"/>
      <c r="AE623" s="24"/>
      <c r="AF623" s="24"/>
      <c r="AG623" s="18">
        <v>23</v>
      </c>
      <c r="AH623" s="69" t="s">
        <v>356</v>
      </c>
      <c r="AI623" s="243" t="s">
        <v>97</v>
      </c>
      <c r="AJ623" s="243" t="s">
        <v>419</v>
      </c>
      <c r="AK623" s="246"/>
      <c r="AL623" s="43" t="str">
        <f t="shared" si="164"/>
        <v>-</v>
      </c>
      <c r="AM623" s="43">
        <f t="shared" si="152"/>
        <v>0</v>
      </c>
      <c r="AN623" s="193">
        <f t="shared" si="152"/>
        <v>0</v>
      </c>
      <c r="AO623" s="270" t="str">
        <f t="shared" si="153"/>
        <v>-</v>
      </c>
      <c r="AP623" s="266"/>
      <c r="AQ623" s="26" t="str">
        <f t="shared" si="160"/>
        <v>FRANKLIN RIVERPink</v>
      </c>
      <c r="AR623" s="26">
        <f t="shared" si="154"/>
        <v>0</v>
      </c>
      <c r="AS623" s="33">
        <f t="shared" si="155"/>
        <v>0</v>
      </c>
      <c r="AX623" s="47" t="str">
        <f t="shared" si="156"/>
        <v>FRANKLIN RIVERPink</v>
      </c>
      <c r="AY623" s="49">
        <f t="shared" si="157"/>
        <v>0</v>
      </c>
      <c r="AZ623" s="49">
        <f t="shared" si="158"/>
        <v>0</v>
      </c>
      <c r="BA623" s="31">
        <v>0</v>
      </c>
      <c r="BB623" s="188">
        <f t="shared" si="161"/>
        <v>0</v>
      </c>
      <c r="BC623" s="188" t="str">
        <f t="shared" si="165"/>
        <v xml:space="preserve"> </v>
      </c>
      <c r="BD623" s="188" t="str">
        <f t="shared" si="166"/>
        <v xml:space="preserve"> </v>
      </c>
      <c r="BE623" s="188" t="str">
        <f t="shared" si="167"/>
        <v xml:space="preserve"> </v>
      </c>
      <c r="BF623" s="50" t="str">
        <f t="shared" si="159"/>
        <v>FRANKLIN RIVER_Pink</v>
      </c>
      <c r="BG623" s="50" t="str">
        <f>IFERROR(VLOOKUP(BF623,'[1]WCVI Esc'!$C$5:$W$514,18,FALSE),"-")</f>
        <v>-</v>
      </c>
      <c r="BH623" s="50" t="str">
        <f t="shared" si="162"/>
        <v>-</v>
      </c>
      <c r="BI623" s="50" t="str">
        <f>IFERROR(VLOOKUP(BF623,'[1]WCVI Esc'!$C$5:$W$514,19,FALSE),"-")</f>
        <v>-</v>
      </c>
      <c r="BJ623" s="50" t="str">
        <f t="shared" si="163"/>
        <v>-</v>
      </c>
    </row>
    <row r="624" spans="1:66" hidden="1" x14ac:dyDescent="0.2">
      <c r="A624" s="28">
        <v>4</v>
      </c>
      <c r="B624" s="28">
        <v>4</v>
      </c>
      <c r="C624" s="11">
        <v>23</v>
      </c>
      <c r="D624" s="13" t="s">
        <v>356</v>
      </c>
      <c r="E624" s="10" t="s">
        <v>97</v>
      </c>
      <c r="F624" s="10" t="s">
        <v>209</v>
      </c>
      <c r="G624" s="10"/>
      <c r="H624" s="152"/>
      <c r="I624" s="164"/>
      <c r="J624" s="62"/>
      <c r="K624" s="62"/>
      <c r="L624" s="177"/>
      <c r="M624" s="171"/>
      <c r="N624" s="94"/>
      <c r="O624" s="94"/>
      <c r="P624" s="62"/>
      <c r="Q624" s="64"/>
      <c r="R624" s="164"/>
      <c r="S624" s="62"/>
      <c r="T624" s="62"/>
      <c r="U624" s="62"/>
      <c r="V624" s="177"/>
      <c r="W624" s="171"/>
      <c r="X624" s="62"/>
      <c r="Y624" s="45"/>
      <c r="Z624" s="45"/>
      <c r="AA624" s="100">
        <f>Y624/AP624</f>
        <v>0</v>
      </c>
      <c r="AB624" s="100">
        <f>AS624/AP624</f>
        <v>0</v>
      </c>
      <c r="AC624" s="100"/>
      <c r="AD624" s="100"/>
      <c r="AE624" s="100"/>
      <c r="AF624" s="100"/>
      <c r="AG624" s="18">
        <v>23</v>
      </c>
      <c r="AH624" s="69" t="s">
        <v>356</v>
      </c>
      <c r="AI624" s="243" t="s">
        <v>97</v>
      </c>
      <c r="AJ624" s="243" t="s">
        <v>419</v>
      </c>
      <c r="AK624" s="246"/>
      <c r="AL624" s="43" t="str">
        <f t="shared" si="164"/>
        <v>-</v>
      </c>
      <c r="AM624" s="43">
        <f t="shared" si="152"/>
        <v>0</v>
      </c>
      <c r="AN624" s="193">
        <f t="shared" si="152"/>
        <v>0</v>
      </c>
      <c r="AO624" s="270" t="str">
        <f t="shared" si="153"/>
        <v>-</v>
      </c>
      <c r="AP624" s="265">
        <f>BJ624</f>
        <v>60</v>
      </c>
      <c r="AQ624" s="26" t="str">
        <f t="shared" si="160"/>
        <v>FRANKLIN RIVERChum</v>
      </c>
      <c r="AR624" s="26">
        <f t="shared" si="154"/>
        <v>0</v>
      </c>
      <c r="AS624" s="33">
        <f t="shared" si="155"/>
        <v>0</v>
      </c>
      <c r="AX624" s="47" t="str">
        <f t="shared" si="156"/>
        <v>FRANKLIN RIVERChum</v>
      </c>
      <c r="AY624" s="49">
        <f t="shared" si="157"/>
        <v>0</v>
      </c>
      <c r="AZ624" s="49">
        <f t="shared" si="158"/>
        <v>0</v>
      </c>
      <c r="BA624" s="31">
        <v>2015</v>
      </c>
      <c r="BB624" s="188">
        <f t="shared" si="161"/>
        <v>0</v>
      </c>
      <c r="BC624" s="188" t="str">
        <f t="shared" si="165"/>
        <v xml:space="preserve"> </v>
      </c>
      <c r="BD624" s="188" t="str">
        <f t="shared" si="166"/>
        <v xml:space="preserve"> </v>
      </c>
      <c r="BE624" s="188" t="str">
        <f t="shared" si="167"/>
        <v xml:space="preserve"> </v>
      </c>
      <c r="BF624" s="50" t="str">
        <f t="shared" si="159"/>
        <v>FRANKLIN RIVER_Chum</v>
      </c>
      <c r="BG624" s="50" t="str">
        <f>IFERROR(VLOOKUP(BF624,'[1]WCVI Esc'!$C$5:$W$514,18,FALSE),"-")</f>
        <v>-</v>
      </c>
      <c r="BH624" s="50" t="str">
        <f t="shared" si="162"/>
        <v>-</v>
      </c>
      <c r="BI624" s="50">
        <f>IFERROR(VLOOKUP(BF624,'[1]WCVI Esc'!$C$5:$W$514,19,FALSE),"-")</f>
        <v>62</v>
      </c>
      <c r="BJ624" s="50">
        <f t="shared" si="163"/>
        <v>60</v>
      </c>
      <c r="BK624">
        <v>4</v>
      </c>
      <c r="BL624" s="17" t="s">
        <v>455</v>
      </c>
      <c r="BN624" s="31">
        <v>1</v>
      </c>
    </row>
    <row r="625" spans="1:62" hidden="1" x14ac:dyDescent="0.2">
      <c r="A625" s="28">
        <v>4</v>
      </c>
      <c r="B625" s="28">
        <v>5</v>
      </c>
      <c r="C625" s="11">
        <v>23</v>
      </c>
      <c r="D625" s="13" t="s">
        <v>356</v>
      </c>
      <c r="E625" s="10" t="s">
        <v>97</v>
      </c>
      <c r="F625" s="10" t="s">
        <v>210</v>
      </c>
      <c r="G625" s="10"/>
      <c r="H625" s="152"/>
      <c r="I625" s="164"/>
      <c r="J625" s="62"/>
      <c r="K625" s="62"/>
      <c r="L625" s="177"/>
      <c r="M625" s="171"/>
      <c r="N625" s="94"/>
      <c r="O625" s="94"/>
      <c r="P625" s="62"/>
      <c r="Q625" s="64"/>
      <c r="R625" s="164"/>
      <c r="S625" s="62"/>
      <c r="T625" s="62"/>
      <c r="U625" s="62"/>
      <c r="V625" s="177"/>
      <c r="W625" s="171"/>
      <c r="X625" s="62"/>
      <c r="Y625" s="45"/>
      <c r="Z625" s="45"/>
      <c r="AA625" s="100"/>
      <c r="AB625" s="100"/>
      <c r="AC625" s="24"/>
      <c r="AD625" s="24"/>
      <c r="AE625" s="24"/>
      <c r="AF625" s="24"/>
      <c r="AG625" s="18">
        <v>23</v>
      </c>
      <c r="AH625" s="69" t="s">
        <v>356</v>
      </c>
      <c r="AI625" s="243" t="s">
        <v>97</v>
      </c>
      <c r="AJ625" s="243" t="s">
        <v>419</v>
      </c>
      <c r="AK625" s="246"/>
      <c r="AL625" s="43" t="str">
        <f t="shared" si="164"/>
        <v>-</v>
      </c>
      <c r="AM625" s="43">
        <f t="shared" si="152"/>
        <v>0</v>
      </c>
      <c r="AN625" s="193">
        <f t="shared" si="152"/>
        <v>0</v>
      </c>
      <c r="AO625" s="270" t="str">
        <f t="shared" si="153"/>
        <v>-</v>
      </c>
      <c r="AP625" s="266"/>
      <c r="AQ625" s="26" t="str">
        <f t="shared" si="160"/>
        <v>FRANKLIN RIVERChinook</v>
      </c>
      <c r="AR625" s="26">
        <f t="shared" si="154"/>
        <v>0</v>
      </c>
      <c r="AS625" s="33">
        <f t="shared" si="155"/>
        <v>0</v>
      </c>
      <c r="AX625" s="47" t="str">
        <f t="shared" si="156"/>
        <v>FRANKLIN RIVERChinook</v>
      </c>
      <c r="AY625" s="49">
        <f t="shared" si="157"/>
        <v>0</v>
      </c>
      <c r="AZ625" s="49">
        <f t="shared" si="158"/>
        <v>0</v>
      </c>
      <c r="BA625" s="31">
        <v>2015</v>
      </c>
      <c r="BB625" s="188">
        <f t="shared" si="161"/>
        <v>0</v>
      </c>
      <c r="BC625" s="188" t="str">
        <f t="shared" si="165"/>
        <v xml:space="preserve"> </v>
      </c>
      <c r="BD625" s="188" t="str">
        <f t="shared" si="166"/>
        <v xml:space="preserve"> </v>
      </c>
      <c r="BE625" s="188" t="str">
        <f t="shared" si="167"/>
        <v xml:space="preserve"> </v>
      </c>
      <c r="BF625" s="50" t="str">
        <f t="shared" si="159"/>
        <v>FRANKLIN RIVER_Chinook</v>
      </c>
      <c r="BG625" s="50" t="str">
        <f>IFERROR(VLOOKUP(BF625,'[1]WCVI Esc'!$C$5:$W$514,18,FALSE),"-")</f>
        <v>-</v>
      </c>
      <c r="BH625" s="50" t="str">
        <f t="shared" si="162"/>
        <v>-</v>
      </c>
      <c r="BI625" s="50" t="str">
        <f>IFERROR(VLOOKUP(BF625,'[1]WCVI Esc'!$C$5:$W$514,19,FALSE),"-")</f>
        <v>-</v>
      </c>
      <c r="BJ625" s="50" t="str">
        <f t="shared" si="163"/>
        <v>-</v>
      </c>
    </row>
    <row r="626" spans="1:62" hidden="1" x14ac:dyDescent="0.2">
      <c r="A626" s="28">
        <v>4</v>
      </c>
      <c r="B626" s="28">
        <v>6</v>
      </c>
      <c r="C626" s="11">
        <v>23</v>
      </c>
      <c r="D626" s="13" t="s">
        <v>356</v>
      </c>
      <c r="E626" s="10" t="s">
        <v>97</v>
      </c>
      <c r="F626" s="10" t="s">
        <v>211</v>
      </c>
      <c r="G626" s="10"/>
      <c r="H626" s="152"/>
      <c r="I626" s="164"/>
      <c r="J626" s="62"/>
      <c r="K626" s="62"/>
      <c r="L626" s="177"/>
      <c r="M626" s="171"/>
      <c r="N626" s="94"/>
      <c r="O626" s="94"/>
      <c r="P626" s="62"/>
      <c r="Q626" s="64"/>
      <c r="R626" s="164"/>
      <c r="S626" s="62"/>
      <c r="T626" s="62"/>
      <c r="U626" s="62"/>
      <c r="V626" s="177"/>
      <c r="W626" s="171"/>
      <c r="X626" s="62"/>
      <c r="Y626" s="45"/>
      <c r="Z626" s="45"/>
      <c r="AA626" s="100"/>
      <c r="AB626" s="100"/>
      <c r="AC626" s="24"/>
      <c r="AD626" s="24"/>
      <c r="AE626" s="24"/>
      <c r="AF626" s="24"/>
      <c r="AG626" s="18">
        <v>23</v>
      </c>
      <c r="AH626" s="69" t="s">
        <v>356</v>
      </c>
      <c r="AI626" s="243" t="s">
        <v>97</v>
      </c>
      <c r="AJ626" s="243" t="s">
        <v>419</v>
      </c>
      <c r="AK626" s="246"/>
      <c r="AL626" s="43" t="str">
        <f t="shared" si="164"/>
        <v>-</v>
      </c>
      <c r="AM626" s="43">
        <f t="shared" si="152"/>
        <v>0</v>
      </c>
      <c r="AN626" s="193">
        <f t="shared" si="152"/>
        <v>0</v>
      </c>
      <c r="AO626" s="270" t="str">
        <f t="shared" si="153"/>
        <v>-</v>
      </c>
      <c r="AP626" s="266"/>
      <c r="AQ626" s="26" t="str">
        <f t="shared" si="160"/>
        <v>FRANKLIN RIVERSteelhead</v>
      </c>
      <c r="AR626" s="26">
        <f t="shared" si="154"/>
        <v>0</v>
      </c>
      <c r="AS626" s="33">
        <f t="shared" si="155"/>
        <v>0</v>
      </c>
      <c r="AX626" s="47" t="str">
        <f t="shared" si="156"/>
        <v>FRANKLIN RIVERSteelhead</v>
      </c>
      <c r="AY626" s="49">
        <f t="shared" si="157"/>
        <v>0</v>
      </c>
      <c r="AZ626" s="49">
        <f t="shared" si="158"/>
        <v>0</v>
      </c>
      <c r="BA626" s="31">
        <v>0</v>
      </c>
      <c r="BB626" s="188">
        <f t="shared" si="161"/>
        <v>0</v>
      </c>
      <c r="BC626" s="188" t="str">
        <f t="shared" si="165"/>
        <v xml:space="preserve"> </v>
      </c>
      <c r="BD626" s="188" t="str">
        <f t="shared" si="166"/>
        <v xml:space="preserve"> </v>
      </c>
      <c r="BE626" s="188" t="str">
        <f t="shared" si="167"/>
        <v xml:space="preserve"> </v>
      </c>
      <c r="BF626" s="50" t="str">
        <f t="shared" si="159"/>
        <v>FRANKLIN RIVER_Steelhead</v>
      </c>
      <c r="BG626" s="50" t="str">
        <f>IFERROR(VLOOKUP(BF626,'[1]WCVI Esc'!$C$5:$W$514,18,FALSE),"-")</f>
        <v>-</v>
      </c>
      <c r="BH626" s="50" t="str">
        <f t="shared" si="162"/>
        <v>-</v>
      </c>
      <c r="BI626" s="50" t="str">
        <f>IFERROR(VLOOKUP(BF626,'[1]WCVI Esc'!$C$5:$W$514,19,FALSE),"-")</f>
        <v>-</v>
      </c>
      <c r="BJ626" s="50" t="str">
        <f t="shared" si="163"/>
        <v>-</v>
      </c>
    </row>
    <row r="627" spans="1:62" hidden="1" x14ac:dyDescent="0.2">
      <c r="A627" s="28">
        <v>4</v>
      </c>
      <c r="B627" s="28">
        <v>1</v>
      </c>
      <c r="C627" s="11">
        <v>23</v>
      </c>
      <c r="D627" s="13" t="s">
        <v>319</v>
      </c>
      <c r="E627" s="10" t="s">
        <v>175</v>
      </c>
      <c r="F627" s="10" t="s">
        <v>207</v>
      </c>
      <c r="G627" s="10"/>
      <c r="H627" s="152"/>
      <c r="I627" s="164"/>
      <c r="J627" s="62"/>
      <c r="K627" s="62"/>
      <c r="L627" s="177"/>
      <c r="M627" s="171"/>
      <c r="N627" s="62"/>
      <c r="O627" s="62"/>
      <c r="P627" s="62"/>
      <c r="Q627" s="64"/>
      <c r="R627" s="164"/>
      <c r="S627" s="62"/>
      <c r="T627" s="62"/>
      <c r="U627" s="62"/>
      <c r="V627" s="177"/>
      <c r="W627" s="171"/>
      <c r="X627" s="62"/>
      <c r="Y627" s="45"/>
      <c r="Z627" s="45"/>
      <c r="AA627" s="100"/>
      <c r="AB627" s="100"/>
      <c r="AC627" s="24"/>
      <c r="AD627" s="24"/>
      <c r="AE627" s="24"/>
      <c r="AF627" s="24"/>
      <c r="AG627" s="18">
        <v>23</v>
      </c>
      <c r="AH627" s="69" t="s">
        <v>319</v>
      </c>
      <c r="AI627" s="243" t="s">
        <v>175</v>
      </c>
      <c r="AJ627" s="243" t="s">
        <v>419</v>
      </c>
      <c r="AK627" s="246"/>
      <c r="AL627" s="43" t="str">
        <f t="shared" si="164"/>
        <v>-</v>
      </c>
      <c r="AM627" s="43">
        <f t="shared" si="152"/>
        <v>0</v>
      </c>
      <c r="AN627" s="193">
        <f t="shared" si="152"/>
        <v>0</v>
      </c>
      <c r="AO627" s="270" t="str">
        <f t="shared" si="153"/>
        <v>-</v>
      </c>
      <c r="AP627" s="266"/>
      <c r="AQ627" s="26" t="str">
        <f t="shared" si="160"/>
        <v>FREDERICK CREEKSockeye</v>
      </c>
      <c r="AR627" s="26">
        <f t="shared" si="154"/>
        <v>0</v>
      </c>
      <c r="AS627" s="33">
        <f t="shared" si="155"/>
        <v>0</v>
      </c>
      <c r="AX627" s="47" t="str">
        <f t="shared" si="156"/>
        <v>FREDERICK CREEKSockeye</v>
      </c>
      <c r="AY627" s="49">
        <f t="shared" si="157"/>
        <v>0</v>
      </c>
      <c r="AZ627" s="49">
        <f t="shared" si="158"/>
        <v>0</v>
      </c>
      <c r="BA627" s="31">
        <v>0</v>
      </c>
      <c r="BB627" s="188">
        <f t="shared" si="161"/>
        <v>0</v>
      </c>
      <c r="BC627" s="188" t="str">
        <f t="shared" si="165"/>
        <v xml:space="preserve"> </v>
      </c>
      <c r="BD627" s="188" t="str">
        <f t="shared" si="166"/>
        <v xml:space="preserve"> </v>
      </c>
      <c r="BE627" s="188" t="str">
        <f t="shared" si="167"/>
        <v xml:space="preserve"> </v>
      </c>
      <c r="BF627" s="50" t="str">
        <f t="shared" si="159"/>
        <v>FREDERICK CREEK_Sockeye</v>
      </c>
      <c r="BG627" s="50" t="str">
        <f>IFERROR(VLOOKUP(BF627,'[1]WCVI Esc'!$C$5:$W$514,18,FALSE),"-")</f>
        <v>-</v>
      </c>
      <c r="BH627" s="50" t="str">
        <f t="shared" si="162"/>
        <v>-</v>
      </c>
      <c r="BI627" s="50" t="str">
        <f>IFERROR(VLOOKUP(BF627,'[1]WCVI Esc'!$C$5:$W$514,19,FALSE),"-")</f>
        <v>-</v>
      </c>
      <c r="BJ627" s="50" t="str">
        <f t="shared" si="163"/>
        <v>-</v>
      </c>
    </row>
    <row r="628" spans="1:62" hidden="1" x14ac:dyDescent="0.2">
      <c r="A628" s="28">
        <v>4</v>
      </c>
      <c r="B628" s="28">
        <v>2</v>
      </c>
      <c r="C628" s="11">
        <v>23</v>
      </c>
      <c r="D628" s="13" t="s">
        <v>319</v>
      </c>
      <c r="E628" s="10" t="s">
        <v>175</v>
      </c>
      <c r="F628" s="10" t="s">
        <v>219</v>
      </c>
      <c r="G628" s="10"/>
      <c r="H628" s="152"/>
      <c r="I628" s="164"/>
      <c r="J628" s="62"/>
      <c r="K628" s="62"/>
      <c r="L628" s="177"/>
      <c r="M628" s="171"/>
      <c r="N628" s="62"/>
      <c r="O628" s="62"/>
      <c r="P628" s="62"/>
      <c r="Q628" s="64"/>
      <c r="R628" s="164"/>
      <c r="S628" s="62"/>
      <c r="T628" s="62"/>
      <c r="U628" s="62"/>
      <c r="V628" s="177"/>
      <c r="W628" s="171"/>
      <c r="X628" s="62"/>
      <c r="Y628" s="45"/>
      <c r="Z628" s="45"/>
      <c r="AA628" s="100"/>
      <c r="AB628" s="100"/>
      <c r="AC628" s="24"/>
      <c r="AD628" s="24"/>
      <c r="AE628" s="24"/>
      <c r="AF628" s="24"/>
      <c r="AG628" s="18">
        <v>23</v>
      </c>
      <c r="AH628" s="69" t="s">
        <v>319</v>
      </c>
      <c r="AI628" s="243" t="s">
        <v>175</v>
      </c>
      <c r="AJ628" s="243" t="s">
        <v>419</v>
      </c>
      <c r="AK628" s="246"/>
      <c r="AL628" s="43" t="str">
        <f t="shared" si="164"/>
        <v>-</v>
      </c>
      <c r="AM628" s="43">
        <f t="shared" si="152"/>
        <v>0</v>
      </c>
      <c r="AN628" s="193">
        <f t="shared" si="152"/>
        <v>0</v>
      </c>
      <c r="AO628" s="270">
        <f t="shared" si="153"/>
        <v>10</v>
      </c>
      <c r="AP628" s="266"/>
      <c r="AQ628" s="26" t="str">
        <f t="shared" si="160"/>
        <v>FREDERICK CREEKCoho</v>
      </c>
      <c r="AR628" s="26">
        <f t="shared" si="154"/>
        <v>0</v>
      </c>
      <c r="AS628" s="33">
        <f t="shared" si="155"/>
        <v>0</v>
      </c>
      <c r="AX628" s="47" t="str">
        <f t="shared" si="156"/>
        <v>FREDERICK CREEKCoho</v>
      </c>
      <c r="AY628" s="49">
        <f t="shared" si="157"/>
        <v>0</v>
      </c>
      <c r="AZ628" s="49">
        <f t="shared" si="158"/>
        <v>0</v>
      </c>
      <c r="BA628" s="31">
        <v>1988</v>
      </c>
      <c r="BB628" s="188">
        <f t="shared" si="161"/>
        <v>0</v>
      </c>
      <c r="BC628" s="188" t="str">
        <f t="shared" si="165"/>
        <v xml:space="preserve"> </v>
      </c>
      <c r="BD628" s="188" t="str">
        <f t="shared" si="166"/>
        <v xml:space="preserve"> </v>
      </c>
      <c r="BE628" s="188" t="str">
        <f t="shared" si="167"/>
        <v xml:space="preserve"> </v>
      </c>
      <c r="BF628" s="50" t="str">
        <f t="shared" si="159"/>
        <v>FREDERICK CREEK_Coho</v>
      </c>
      <c r="BG628" s="50">
        <f>IFERROR(VLOOKUP(BF628,'[1]WCVI Esc'!$C$5:$W$514,18,FALSE),"-")</f>
        <v>11.5</v>
      </c>
      <c r="BH628" s="50">
        <f t="shared" si="162"/>
        <v>10</v>
      </c>
      <c r="BI628" s="50">
        <f>IFERROR(VLOOKUP(BF628,'[1]WCVI Esc'!$C$5:$W$514,19,FALSE),"-")</f>
        <v>11.5</v>
      </c>
      <c r="BJ628" s="50">
        <f t="shared" si="163"/>
        <v>10</v>
      </c>
    </row>
    <row r="629" spans="1:62" hidden="1" x14ac:dyDescent="0.2">
      <c r="A629" s="28">
        <v>4</v>
      </c>
      <c r="B629" s="28">
        <v>3</v>
      </c>
      <c r="C629" s="11">
        <v>23</v>
      </c>
      <c r="D629" s="13" t="s">
        <v>319</v>
      </c>
      <c r="E629" s="10" t="s">
        <v>175</v>
      </c>
      <c r="F629" s="10" t="s">
        <v>208</v>
      </c>
      <c r="G629" s="10"/>
      <c r="H629" s="152"/>
      <c r="I629" s="164"/>
      <c r="J629" s="62"/>
      <c r="K629" s="62"/>
      <c r="L629" s="177"/>
      <c r="M629" s="171"/>
      <c r="N629" s="62"/>
      <c r="O629" s="62"/>
      <c r="P629" s="62"/>
      <c r="Q629" s="64"/>
      <c r="R629" s="164"/>
      <c r="S629" s="62"/>
      <c r="T629" s="62"/>
      <c r="U629" s="62"/>
      <c r="V629" s="177"/>
      <c r="W629" s="171"/>
      <c r="X629" s="62"/>
      <c r="Y629" s="45"/>
      <c r="Z629" s="45"/>
      <c r="AA629" s="100"/>
      <c r="AB629" s="100"/>
      <c r="AC629" s="24"/>
      <c r="AD629" s="24"/>
      <c r="AE629" s="24"/>
      <c r="AF629" s="24"/>
      <c r="AG629" s="18">
        <v>23</v>
      </c>
      <c r="AH629" s="69" t="s">
        <v>319</v>
      </c>
      <c r="AI629" s="243" t="s">
        <v>175</v>
      </c>
      <c r="AJ629" s="243" t="s">
        <v>419</v>
      </c>
      <c r="AK629" s="246"/>
      <c r="AL629" s="43" t="str">
        <f t="shared" si="164"/>
        <v>-</v>
      </c>
      <c r="AM629" s="43">
        <f t="shared" si="152"/>
        <v>0</v>
      </c>
      <c r="AN629" s="193">
        <f t="shared" si="152"/>
        <v>0</v>
      </c>
      <c r="AO629" s="270" t="str">
        <f t="shared" si="153"/>
        <v>-</v>
      </c>
      <c r="AP629" s="266"/>
      <c r="AQ629" s="26" t="str">
        <f t="shared" si="160"/>
        <v>FREDERICK CREEKPink</v>
      </c>
      <c r="AR629" s="26">
        <f t="shared" si="154"/>
        <v>0</v>
      </c>
      <c r="AS629" s="33">
        <f t="shared" si="155"/>
        <v>0</v>
      </c>
      <c r="AX629" s="47" t="str">
        <f t="shared" si="156"/>
        <v>FREDERICK CREEKPink</v>
      </c>
      <c r="AY629" s="49">
        <f t="shared" si="157"/>
        <v>0</v>
      </c>
      <c r="AZ629" s="49">
        <f t="shared" si="158"/>
        <v>0</v>
      </c>
      <c r="BA629" s="31">
        <v>0</v>
      </c>
      <c r="BB629" s="188">
        <f t="shared" si="161"/>
        <v>0</v>
      </c>
      <c r="BC629" s="188" t="str">
        <f t="shared" si="165"/>
        <v xml:space="preserve"> </v>
      </c>
      <c r="BD629" s="188" t="str">
        <f t="shared" si="166"/>
        <v xml:space="preserve"> </v>
      </c>
      <c r="BE629" s="188" t="str">
        <f t="shared" si="167"/>
        <v xml:space="preserve"> </v>
      </c>
      <c r="BF629" s="50" t="str">
        <f t="shared" si="159"/>
        <v>FREDERICK CREEK_Pink</v>
      </c>
      <c r="BG629" s="50" t="str">
        <f>IFERROR(VLOOKUP(BF629,'[1]WCVI Esc'!$C$5:$W$514,18,FALSE),"-")</f>
        <v>-</v>
      </c>
      <c r="BH629" s="50" t="str">
        <f t="shared" si="162"/>
        <v>-</v>
      </c>
      <c r="BI629" s="50" t="str">
        <f>IFERROR(VLOOKUP(BF629,'[1]WCVI Esc'!$C$5:$W$514,19,FALSE),"-")</f>
        <v>-</v>
      </c>
      <c r="BJ629" s="50" t="str">
        <f t="shared" si="163"/>
        <v>-</v>
      </c>
    </row>
    <row r="630" spans="1:62" hidden="1" x14ac:dyDescent="0.2">
      <c r="A630" s="28">
        <v>4</v>
      </c>
      <c r="B630" s="28">
        <v>4</v>
      </c>
      <c r="C630" s="11">
        <v>23</v>
      </c>
      <c r="D630" s="13" t="s">
        <v>319</v>
      </c>
      <c r="E630" s="10" t="s">
        <v>175</v>
      </c>
      <c r="F630" s="10" t="s">
        <v>209</v>
      </c>
      <c r="G630" s="10"/>
      <c r="H630" s="152"/>
      <c r="I630" s="164"/>
      <c r="J630" s="62"/>
      <c r="K630" s="62"/>
      <c r="L630" s="177"/>
      <c r="M630" s="171"/>
      <c r="N630" s="62"/>
      <c r="O630" s="62"/>
      <c r="P630" s="62"/>
      <c r="Q630" s="64"/>
      <c r="R630" s="164"/>
      <c r="S630" s="62"/>
      <c r="T630" s="62"/>
      <c r="U630" s="62"/>
      <c r="V630" s="177"/>
      <c r="W630" s="171"/>
      <c r="X630" s="62"/>
      <c r="Y630" s="45"/>
      <c r="Z630" s="45"/>
      <c r="AA630" s="100"/>
      <c r="AB630" s="100"/>
      <c r="AC630" s="24"/>
      <c r="AD630" s="24"/>
      <c r="AE630" s="24"/>
      <c r="AF630" s="24"/>
      <c r="AG630" s="18">
        <v>23</v>
      </c>
      <c r="AH630" s="69" t="s">
        <v>319</v>
      </c>
      <c r="AI630" s="243" t="s">
        <v>175</v>
      </c>
      <c r="AJ630" s="243" t="s">
        <v>419</v>
      </c>
      <c r="AK630" s="246"/>
      <c r="AL630" s="43" t="str">
        <f t="shared" si="164"/>
        <v>-</v>
      </c>
      <c r="AM630" s="43">
        <f t="shared" si="152"/>
        <v>0</v>
      </c>
      <c r="AN630" s="193">
        <f t="shared" si="152"/>
        <v>0</v>
      </c>
      <c r="AO630" s="270">
        <f t="shared" si="153"/>
        <v>10</v>
      </c>
      <c r="AP630" s="266"/>
      <c r="AQ630" s="26" t="str">
        <f t="shared" si="160"/>
        <v>FREDERICK CREEKChum</v>
      </c>
      <c r="AR630" s="26">
        <f t="shared" si="154"/>
        <v>0</v>
      </c>
      <c r="AS630" s="33">
        <f t="shared" si="155"/>
        <v>0</v>
      </c>
      <c r="AX630" s="47" t="str">
        <f t="shared" si="156"/>
        <v>FREDERICK CREEKChum</v>
      </c>
      <c r="AY630" s="49">
        <f t="shared" si="157"/>
        <v>0</v>
      </c>
      <c r="AZ630" s="49">
        <f t="shared" si="158"/>
        <v>0</v>
      </c>
      <c r="BA630" s="31">
        <v>1992</v>
      </c>
      <c r="BB630" s="188">
        <f t="shared" si="161"/>
        <v>0</v>
      </c>
      <c r="BC630" s="188" t="str">
        <f t="shared" si="165"/>
        <v xml:space="preserve"> </v>
      </c>
      <c r="BD630" s="188" t="str">
        <f t="shared" si="166"/>
        <v xml:space="preserve"> </v>
      </c>
      <c r="BE630" s="188" t="str">
        <f t="shared" si="167"/>
        <v xml:space="preserve"> </v>
      </c>
      <c r="BF630" s="50" t="str">
        <f t="shared" si="159"/>
        <v>FREDERICK CREEK_Chum</v>
      </c>
      <c r="BG630" s="50">
        <f>IFERROR(VLOOKUP(BF630,'[1]WCVI Esc'!$C$5:$W$514,18,FALSE),"-")</f>
        <v>13</v>
      </c>
      <c r="BH630" s="50">
        <f t="shared" si="162"/>
        <v>10</v>
      </c>
      <c r="BI630" s="50">
        <f>IFERROR(VLOOKUP(BF630,'[1]WCVI Esc'!$C$5:$W$514,19,FALSE),"-")</f>
        <v>13</v>
      </c>
      <c r="BJ630" s="50">
        <f t="shared" si="163"/>
        <v>10</v>
      </c>
    </row>
    <row r="631" spans="1:62" hidden="1" x14ac:dyDescent="0.2">
      <c r="A631" s="28">
        <v>4</v>
      </c>
      <c r="B631" s="28">
        <v>5</v>
      </c>
      <c r="C631" s="11">
        <v>23</v>
      </c>
      <c r="D631" s="13" t="s">
        <v>319</v>
      </c>
      <c r="E631" s="10" t="s">
        <v>175</v>
      </c>
      <c r="F631" s="10" t="s">
        <v>210</v>
      </c>
      <c r="G631" s="10"/>
      <c r="H631" s="152"/>
      <c r="I631" s="164"/>
      <c r="J631" s="62"/>
      <c r="K631" s="62"/>
      <c r="L631" s="177"/>
      <c r="M631" s="171"/>
      <c r="N631" s="62"/>
      <c r="O631" s="62"/>
      <c r="P631" s="62"/>
      <c r="Q631" s="64"/>
      <c r="R631" s="164"/>
      <c r="S631" s="62"/>
      <c r="T631" s="62"/>
      <c r="U631" s="62"/>
      <c r="V631" s="177"/>
      <c r="W631" s="171"/>
      <c r="X631" s="62"/>
      <c r="Y631" s="45"/>
      <c r="Z631" s="45"/>
      <c r="AA631" s="100"/>
      <c r="AB631" s="100"/>
      <c r="AC631" s="24"/>
      <c r="AD631" s="24"/>
      <c r="AE631" s="24"/>
      <c r="AF631" s="24"/>
      <c r="AG631" s="18">
        <v>23</v>
      </c>
      <c r="AH631" s="69" t="s">
        <v>319</v>
      </c>
      <c r="AI631" s="243" t="s">
        <v>175</v>
      </c>
      <c r="AJ631" s="243" t="s">
        <v>419</v>
      </c>
      <c r="AK631" s="246"/>
      <c r="AL631" s="43" t="str">
        <f t="shared" si="164"/>
        <v>-</v>
      </c>
      <c r="AM631" s="43">
        <f t="shared" si="152"/>
        <v>0</v>
      </c>
      <c r="AN631" s="193">
        <f t="shared" si="152"/>
        <v>0</v>
      </c>
      <c r="AO631" s="270" t="str">
        <f t="shared" si="153"/>
        <v>-</v>
      </c>
      <c r="AP631" s="266"/>
      <c r="AQ631" s="26" t="str">
        <f t="shared" si="160"/>
        <v>FREDERICK CREEKChinook</v>
      </c>
      <c r="AR631" s="26">
        <f t="shared" si="154"/>
        <v>0</v>
      </c>
      <c r="AS631" s="33">
        <f t="shared" si="155"/>
        <v>0</v>
      </c>
      <c r="AX631" s="47" t="str">
        <f t="shared" si="156"/>
        <v>FREDERICK CREEKChinook</v>
      </c>
      <c r="AY631" s="49">
        <f t="shared" si="157"/>
        <v>0</v>
      </c>
      <c r="AZ631" s="49">
        <f t="shared" si="158"/>
        <v>0</v>
      </c>
      <c r="BA631" s="31">
        <v>0</v>
      </c>
      <c r="BB631" s="188">
        <f t="shared" si="161"/>
        <v>0</v>
      </c>
      <c r="BC631" s="188" t="str">
        <f t="shared" si="165"/>
        <v xml:space="preserve"> </v>
      </c>
      <c r="BD631" s="188" t="str">
        <f t="shared" si="166"/>
        <v xml:space="preserve"> </v>
      </c>
      <c r="BE631" s="188" t="str">
        <f t="shared" si="167"/>
        <v xml:space="preserve"> </v>
      </c>
      <c r="BF631" s="50" t="str">
        <f t="shared" si="159"/>
        <v>FREDERICK CREEK_Chinook</v>
      </c>
      <c r="BG631" s="50" t="str">
        <f>IFERROR(VLOOKUP(BF631,'[1]WCVI Esc'!$C$5:$W$514,18,FALSE),"-")</f>
        <v>-</v>
      </c>
      <c r="BH631" s="50" t="str">
        <f t="shared" si="162"/>
        <v>-</v>
      </c>
      <c r="BI631" s="50" t="str">
        <f>IFERROR(VLOOKUP(BF631,'[1]WCVI Esc'!$C$5:$W$514,19,FALSE),"-")</f>
        <v>-</v>
      </c>
      <c r="BJ631" s="50" t="str">
        <f t="shared" si="163"/>
        <v>-</v>
      </c>
    </row>
    <row r="632" spans="1:62" hidden="1" x14ac:dyDescent="0.2">
      <c r="A632" s="28">
        <v>4</v>
      </c>
      <c r="B632" s="28">
        <v>6</v>
      </c>
      <c r="C632" s="11">
        <v>23</v>
      </c>
      <c r="D632" s="13" t="s">
        <v>319</v>
      </c>
      <c r="E632" s="10" t="s">
        <v>175</v>
      </c>
      <c r="F632" s="10" t="s">
        <v>211</v>
      </c>
      <c r="G632" s="10"/>
      <c r="H632" s="152"/>
      <c r="I632" s="164"/>
      <c r="J632" s="62"/>
      <c r="K632" s="62"/>
      <c r="L632" s="177"/>
      <c r="M632" s="171"/>
      <c r="N632" s="62"/>
      <c r="O632" s="62"/>
      <c r="P632" s="62"/>
      <c r="Q632" s="64"/>
      <c r="R632" s="164"/>
      <c r="S632" s="62"/>
      <c r="T632" s="62"/>
      <c r="U632" s="62"/>
      <c r="V632" s="177"/>
      <c r="W632" s="171"/>
      <c r="X632" s="62"/>
      <c r="Y632" s="45"/>
      <c r="Z632" s="45"/>
      <c r="AA632" s="100"/>
      <c r="AB632" s="100"/>
      <c r="AC632" s="24"/>
      <c r="AD632" s="24"/>
      <c r="AE632" s="24"/>
      <c r="AF632" s="24"/>
      <c r="AG632" s="18">
        <v>23</v>
      </c>
      <c r="AH632" s="69" t="s">
        <v>319</v>
      </c>
      <c r="AI632" s="243" t="s">
        <v>175</v>
      </c>
      <c r="AJ632" s="243" t="s">
        <v>419</v>
      </c>
      <c r="AK632" s="246"/>
      <c r="AL632" s="43" t="str">
        <f t="shared" si="164"/>
        <v>-</v>
      </c>
      <c r="AM632" s="43">
        <f t="shared" si="152"/>
        <v>0</v>
      </c>
      <c r="AN632" s="193">
        <f t="shared" si="152"/>
        <v>0</v>
      </c>
      <c r="AO632" s="270" t="str">
        <f t="shared" si="153"/>
        <v>-</v>
      </c>
      <c r="AP632" s="266"/>
      <c r="AQ632" s="26" t="str">
        <f t="shared" si="160"/>
        <v>FREDERICK CREEKSteelhead</v>
      </c>
      <c r="AR632" s="26">
        <f t="shared" si="154"/>
        <v>0</v>
      </c>
      <c r="AS632" s="33">
        <f t="shared" si="155"/>
        <v>0</v>
      </c>
      <c r="AX632" s="47" t="str">
        <f t="shared" si="156"/>
        <v>FREDERICK CREEKSteelhead</v>
      </c>
      <c r="AY632" s="49">
        <f t="shared" si="157"/>
        <v>0</v>
      </c>
      <c r="AZ632" s="49">
        <f t="shared" si="158"/>
        <v>0</v>
      </c>
      <c r="BA632" s="31">
        <v>0</v>
      </c>
      <c r="BB632" s="188">
        <f t="shared" si="161"/>
        <v>0</v>
      </c>
      <c r="BC632" s="188" t="str">
        <f t="shared" si="165"/>
        <v xml:space="preserve"> </v>
      </c>
      <c r="BD632" s="188" t="str">
        <f t="shared" si="166"/>
        <v xml:space="preserve"> </v>
      </c>
      <c r="BE632" s="188" t="str">
        <f t="shared" si="167"/>
        <v xml:space="preserve"> </v>
      </c>
      <c r="BF632" s="50" t="str">
        <f t="shared" si="159"/>
        <v>FREDERICK CREEK_Steelhead</v>
      </c>
      <c r="BG632" s="50" t="str">
        <f>IFERROR(VLOOKUP(BF632,'[1]WCVI Esc'!$C$5:$W$514,18,FALSE),"-")</f>
        <v>-</v>
      </c>
      <c r="BH632" s="50" t="str">
        <f t="shared" si="162"/>
        <v>-</v>
      </c>
      <c r="BI632" s="50" t="str">
        <f>IFERROR(VLOOKUP(BF632,'[1]WCVI Esc'!$C$5:$W$514,19,FALSE),"-")</f>
        <v>-</v>
      </c>
      <c r="BJ632" s="50" t="str">
        <f t="shared" si="163"/>
        <v>-</v>
      </c>
    </row>
    <row r="633" spans="1:62" hidden="1" x14ac:dyDescent="0.2">
      <c r="A633" s="28">
        <v>4</v>
      </c>
      <c r="B633" s="28">
        <v>1</v>
      </c>
      <c r="C633" s="11">
        <v>23</v>
      </c>
      <c r="D633" s="13" t="s">
        <v>305</v>
      </c>
      <c r="E633" s="10" t="s">
        <v>176</v>
      </c>
      <c r="F633" s="10" t="s">
        <v>207</v>
      </c>
      <c r="G633" s="10"/>
      <c r="H633" s="152"/>
      <c r="I633" s="164"/>
      <c r="J633" s="62"/>
      <c r="K633" s="62"/>
      <c r="L633" s="177"/>
      <c r="M633" s="171"/>
      <c r="N633" s="62"/>
      <c r="O633" s="62"/>
      <c r="P633" s="62"/>
      <c r="Q633" s="64"/>
      <c r="R633" s="164"/>
      <c r="S633" s="62"/>
      <c r="T633" s="62"/>
      <c r="U633" s="62"/>
      <c r="V633" s="177"/>
      <c r="W633" s="171"/>
      <c r="X633" s="62"/>
      <c r="Y633" s="45"/>
      <c r="Z633" s="45"/>
      <c r="AA633" s="100"/>
      <c r="AB633" s="100"/>
      <c r="AC633" s="24"/>
      <c r="AD633" s="24"/>
      <c r="AE633" s="24"/>
      <c r="AF633" s="24"/>
      <c r="AG633" s="18">
        <v>23</v>
      </c>
      <c r="AH633" s="69" t="s">
        <v>305</v>
      </c>
      <c r="AI633" s="243" t="s">
        <v>176</v>
      </c>
      <c r="AJ633" s="243" t="s">
        <v>419</v>
      </c>
      <c r="AK633" s="246"/>
      <c r="AL633" s="43" t="str">
        <f t="shared" si="164"/>
        <v>-</v>
      </c>
      <c r="AM633" s="43">
        <f t="shared" si="152"/>
        <v>0</v>
      </c>
      <c r="AN633" s="193">
        <f t="shared" si="152"/>
        <v>0</v>
      </c>
      <c r="AO633" s="270" t="str">
        <f t="shared" si="153"/>
        <v>-</v>
      </c>
      <c r="AP633" s="266"/>
      <c r="AQ633" s="26" t="str">
        <f t="shared" si="160"/>
        <v>HILLIER CREEKSockeye</v>
      </c>
      <c r="AR633" s="26">
        <f t="shared" si="154"/>
        <v>0</v>
      </c>
      <c r="AS633" s="33">
        <f t="shared" si="155"/>
        <v>0</v>
      </c>
      <c r="AX633" s="47" t="str">
        <f t="shared" si="156"/>
        <v>HILLIER CREEKSockeye</v>
      </c>
      <c r="AY633" s="49">
        <f t="shared" si="157"/>
        <v>0</v>
      </c>
      <c r="AZ633" s="49">
        <f t="shared" si="158"/>
        <v>0</v>
      </c>
      <c r="BA633" s="31">
        <v>0</v>
      </c>
      <c r="BB633" s="188">
        <f t="shared" si="161"/>
        <v>0</v>
      </c>
      <c r="BC633" s="188" t="str">
        <f t="shared" si="165"/>
        <v xml:space="preserve"> </v>
      </c>
      <c r="BD633" s="188" t="str">
        <f t="shared" si="166"/>
        <v xml:space="preserve"> </v>
      </c>
      <c r="BE633" s="188" t="str">
        <f t="shared" si="167"/>
        <v xml:space="preserve"> </v>
      </c>
      <c r="BF633" s="50" t="str">
        <f t="shared" si="159"/>
        <v>HILLIER CREEK_Sockeye</v>
      </c>
      <c r="BG633" s="50" t="str">
        <f>IFERROR(VLOOKUP(BF633,'[1]WCVI Esc'!$C$5:$W$514,18,FALSE),"-")</f>
        <v>-</v>
      </c>
      <c r="BH633" s="50" t="str">
        <f t="shared" si="162"/>
        <v>-</v>
      </c>
      <c r="BI633" s="50" t="str">
        <f>IFERROR(VLOOKUP(BF633,'[1]WCVI Esc'!$C$5:$W$514,19,FALSE),"-")</f>
        <v>-</v>
      </c>
      <c r="BJ633" s="50" t="str">
        <f t="shared" si="163"/>
        <v>-</v>
      </c>
    </row>
    <row r="634" spans="1:62" hidden="1" x14ac:dyDescent="0.2">
      <c r="A634" s="28">
        <v>4</v>
      </c>
      <c r="B634" s="28">
        <v>2</v>
      </c>
      <c r="C634" s="11">
        <v>23</v>
      </c>
      <c r="D634" s="13" t="s">
        <v>305</v>
      </c>
      <c r="E634" s="10" t="s">
        <v>176</v>
      </c>
      <c r="F634" s="10" t="s">
        <v>219</v>
      </c>
      <c r="G634" s="10"/>
      <c r="H634" s="152"/>
      <c r="I634" s="164"/>
      <c r="J634" s="62"/>
      <c r="K634" s="62"/>
      <c r="L634" s="177"/>
      <c r="M634" s="171"/>
      <c r="N634" s="62"/>
      <c r="O634" s="62"/>
      <c r="P634" s="62"/>
      <c r="Q634" s="64"/>
      <c r="R634" s="164"/>
      <c r="S634" s="62"/>
      <c r="T634" s="62"/>
      <c r="U634" s="62"/>
      <c r="V634" s="177"/>
      <c r="W634" s="171"/>
      <c r="X634" s="62"/>
      <c r="Y634" s="45"/>
      <c r="Z634" s="45"/>
      <c r="AA634" s="100"/>
      <c r="AB634" s="100"/>
      <c r="AC634" s="24"/>
      <c r="AD634" s="24"/>
      <c r="AE634" s="24"/>
      <c r="AF634" s="24"/>
      <c r="AG634" s="18">
        <v>23</v>
      </c>
      <c r="AH634" s="69" t="s">
        <v>305</v>
      </c>
      <c r="AI634" s="243" t="s">
        <v>176</v>
      </c>
      <c r="AJ634" s="243" t="s">
        <v>419</v>
      </c>
      <c r="AK634" s="246"/>
      <c r="AL634" s="43" t="str">
        <f t="shared" si="164"/>
        <v>-</v>
      </c>
      <c r="AM634" s="43">
        <f t="shared" si="152"/>
        <v>0</v>
      </c>
      <c r="AN634" s="193">
        <f t="shared" si="152"/>
        <v>0</v>
      </c>
      <c r="AO634" s="270" t="str">
        <f t="shared" si="153"/>
        <v>-</v>
      </c>
      <c r="AP634" s="266"/>
      <c r="AQ634" s="26" t="str">
        <f t="shared" si="160"/>
        <v>HILLIER CREEKCoho</v>
      </c>
      <c r="AR634" s="26">
        <f t="shared" si="154"/>
        <v>0</v>
      </c>
      <c r="AS634" s="33">
        <f t="shared" si="155"/>
        <v>0</v>
      </c>
      <c r="AX634" s="47" t="str">
        <f t="shared" si="156"/>
        <v>HILLIER CREEKCoho</v>
      </c>
      <c r="AY634" s="49">
        <f t="shared" si="157"/>
        <v>0</v>
      </c>
      <c r="AZ634" s="49">
        <f t="shared" si="158"/>
        <v>0</v>
      </c>
      <c r="BA634" s="31">
        <v>2002</v>
      </c>
      <c r="BB634" s="188">
        <f t="shared" si="161"/>
        <v>0</v>
      </c>
      <c r="BC634" s="188" t="str">
        <f t="shared" si="165"/>
        <v xml:space="preserve"> </v>
      </c>
      <c r="BD634" s="188" t="str">
        <f t="shared" si="166"/>
        <v xml:space="preserve"> </v>
      </c>
      <c r="BE634" s="188" t="str">
        <f t="shared" si="167"/>
        <v xml:space="preserve"> </v>
      </c>
      <c r="BF634" s="50" t="str">
        <f t="shared" si="159"/>
        <v>HILLIER CREEK_Coho</v>
      </c>
      <c r="BG634" s="50" t="str">
        <f>IFERROR(VLOOKUP(BF634,'[1]WCVI Esc'!$C$5:$W$514,18,FALSE),"-")</f>
        <v>-</v>
      </c>
      <c r="BH634" s="50" t="str">
        <f t="shared" si="162"/>
        <v>-</v>
      </c>
      <c r="BI634" s="50" t="str">
        <f>IFERROR(VLOOKUP(BF634,'[1]WCVI Esc'!$C$5:$W$514,19,FALSE),"-")</f>
        <v>-</v>
      </c>
      <c r="BJ634" s="50" t="str">
        <f t="shared" si="163"/>
        <v>-</v>
      </c>
    </row>
    <row r="635" spans="1:62" hidden="1" x14ac:dyDescent="0.2">
      <c r="A635" s="28">
        <v>4</v>
      </c>
      <c r="B635" s="28">
        <v>3</v>
      </c>
      <c r="C635" s="11">
        <v>23</v>
      </c>
      <c r="D635" s="13" t="s">
        <v>305</v>
      </c>
      <c r="E635" s="10" t="s">
        <v>176</v>
      </c>
      <c r="F635" s="10" t="s">
        <v>208</v>
      </c>
      <c r="G635" s="10"/>
      <c r="H635" s="152"/>
      <c r="I635" s="164"/>
      <c r="J635" s="62"/>
      <c r="K635" s="62"/>
      <c r="L635" s="177"/>
      <c r="M635" s="171"/>
      <c r="N635" s="62"/>
      <c r="O635" s="62"/>
      <c r="P635" s="62"/>
      <c r="Q635" s="64"/>
      <c r="R635" s="164"/>
      <c r="S635" s="62"/>
      <c r="T635" s="62"/>
      <c r="U635" s="62"/>
      <c r="V635" s="177"/>
      <c r="W635" s="171"/>
      <c r="X635" s="62"/>
      <c r="Y635" s="45"/>
      <c r="Z635" s="45"/>
      <c r="AA635" s="100"/>
      <c r="AB635" s="100"/>
      <c r="AC635" s="24"/>
      <c r="AD635" s="24"/>
      <c r="AE635" s="24"/>
      <c r="AF635" s="24"/>
      <c r="AG635" s="18">
        <v>23</v>
      </c>
      <c r="AH635" s="69" t="s">
        <v>305</v>
      </c>
      <c r="AI635" s="243" t="s">
        <v>176</v>
      </c>
      <c r="AJ635" s="243" t="s">
        <v>419</v>
      </c>
      <c r="AK635" s="246"/>
      <c r="AL635" s="43" t="str">
        <f t="shared" si="164"/>
        <v>-</v>
      </c>
      <c r="AM635" s="43">
        <f t="shared" si="152"/>
        <v>0</v>
      </c>
      <c r="AN635" s="193">
        <f t="shared" si="152"/>
        <v>0</v>
      </c>
      <c r="AO635" s="270" t="str">
        <f t="shared" si="153"/>
        <v>-</v>
      </c>
      <c r="AP635" s="266"/>
      <c r="AQ635" s="26" t="str">
        <f t="shared" si="160"/>
        <v>HILLIER CREEKPink</v>
      </c>
      <c r="AR635" s="26">
        <f t="shared" si="154"/>
        <v>0</v>
      </c>
      <c r="AS635" s="33">
        <f t="shared" si="155"/>
        <v>0</v>
      </c>
      <c r="AX635" s="47" t="str">
        <f t="shared" si="156"/>
        <v>HILLIER CREEKPink</v>
      </c>
      <c r="AY635" s="49">
        <f t="shared" si="157"/>
        <v>0</v>
      </c>
      <c r="AZ635" s="49">
        <f t="shared" si="158"/>
        <v>0</v>
      </c>
      <c r="BA635" s="31">
        <v>0</v>
      </c>
      <c r="BB635" s="188">
        <f t="shared" si="161"/>
        <v>0</v>
      </c>
      <c r="BC635" s="188" t="str">
        <f t="shared" si="165"/>
        <v xml:space="preserve"> </v>
      </c>
      <c r="BD635" s="188" t="str">
        <f t="shared" si="166"/>
        <v xml:space="preserve"> </v>
      </c>
      <c r="BE635" s="188" t="str">
        <f t="shared" si="167"/>
        <v xml:space="preserve"> </v>
      </c>
      <c r="BF635" s="50" t="str">
        <f t="shared" si="159"/>
        <v>HILLIER CREEK_Pink</v>
      </c>
      <c r="BG635" s="50" t="str">
        <f>IFERROR(VLOOKUP(BF635,'[1]WCVI Esc'!$C$5:$W$514,18,FALSE),"-")</f>
        <v>-</v>
      </c>
      <c r="BH635" s="50" t="str">
        <f t="shared" si="162"/>
        <v>-</v>
      </c>
      <c r="BI635" s="50" t="str">
        <f>IFERROR(VLOOKUP(BF635,'[1]WCVI Esc'!$C$5:$W$514,19,FALSE),"-")</f>
        <v>-</v>
      </c>
      <c r="BJ635" s="50" t="str">
        <f t="shared" si="163"/>
        <v>-</v>
      </c>
    </row>
    <row r="636" spans="1:62" hidden="1" x14ac:dyDescent="0.2">
      <c r="A636" s="28">
        <v>4</v>
      </c>
      <c r="B636" s="28">
        <v>4</v>
      </c>
      <c r="C636" s="11">
        <v>23</v>
      </c>
      <c r="D636" s="13" t="s">
        <v>305</v>
      </c>
      <c r="E636" s="10" t="s">
        <v>176</v>
      </c>
      <c r="F636" s="10" t="s">
        <v>209</v>
      </c>
      <c r="G636" s="10"/>
      <c r="H636" s="152"/>
      <c r="I636" s="164"/>
      <c r="J636" s="62"/>
      <c r="K636" s="62"/>
      <c r="L636" s="177"/>
      <c r="M636" s="171"/>
      <c r="N636" s="62"/>
      <c r="O636" s="62"/>
      <c r="P636" s="62"/>
      <c r="Q636" s="64"/>
      <c r="R636" s="164"/>
      <c r="S636" s="62"/>
      <c r="T636" s="62"/>
      <c r="U636" s="62"/>
      <c r="V636" s="177"/>
      <c r="W636" s="171"/>
      <c r="X636" s="62"/>
      <c r="Y636" s="45"/>
      <c r="Z636" s="45"/>
      <c r="AA636" s="100" t="e">
        <f>Y636/AP636</f>
        <v>#VALUE!</v>
      </c>
      <c r="AB636" s="100" t="e">
        <f>AS636/AP636</f>
        <v>#VALUE!</v>
      </c>
      <c r="AC636" s="24"/>
      <c r="AD636" s="24"/>
      <c r="AE636" s="24"/>
      <c r="AF636" s="24"/>
      <c r="AG636" s="18">
        <v>23</v>
      </c>
      <c r="AH636" s="69" t="s">
        <v>305</v>
      </c>
      <c r="AI636" s="243" t="s">
        <v>176</v>
      </c>
      <c r="AJ636" s="243" t="s">
        <v>419</v>
      </c>
      <c r="AK636" s="246"/>
      <c r="AL636" s="43" t="str">
        <f t="shared" si="164"/>
        <v>-</v>
      </c>
      <c r="AM636" s="43">
        <f t="shared" si="152"/>
        <v>0</v>
      </c>
      <c r="AN636" s="193">
        <f t="shared" si="152"/>
        <v>0</v>
      </c>
      <c r="AO636" s="270" t="str">
        <f t="shared" si="153"/>
        <v>-</v>
      </c>
      <c r="AP636" s="265" t="str">
        <f>BJ636</f>
        <v>-</v>
      </c>
      <c r="AQ636" s="26" t="str">
        <f t="shared" si="160"/>
        <v>HILLIER CREEKChum</v>
      </c>
      <c r="AR636" s="26">
        <f t="shared" si="154"/>
        <v>0</v>
      </c>
      <c r="AS636" s="33">
        <f t="shared" si="155"/>
        <v>0</v>
      </c>
      <c r="AX636" s="47" t="str">
        <f t="shared" si="156"/>
        <v>HILLIER CREEKChum</v>
      </c>
      <c r="AY636" s="49">
        <f t="shared" si="157"/>
        <v>0</v>
      </c>
      <c r="AZ636" s="49">
        <f t="shared" si="158"/>
        <v>0</v>
      </c>
      <c r="BA636" s="31">
        <v>2005</v>
      </c>
      <c r="BB636" s="188">
        <f t="shared" si="161"/>
        <v>0</v>
      </c>
      <c r="BC636" s="188" t="str">
        <f t="shared" si="165"/>
        <v xml:space="preserve"> </v>
      </c>
      <c r="BD636" s="188" t="str">
        <f t="shared" si="166"/>
        <v xml:space="preserve"> </v>
      </c>
      <c r="BE636" s="188" t="str">
        <f t="shared" si="167"/>
        <v xml:space="preserve"> </v>
      </c>
      <c r="BF636" s="50" t="str">
        <f t="shared" si="159"/>
        <v>HILLIER CREEK_Chum</v>
      </c>
      <c r="BG636" s="50" t="str">
        <f>IFERROR(VLOOKUP(BF636,'[1]WCVI Esc'!$C$5:$W$514,18,FALSE),"-")</f>
        <v>-</v>
      </c>
      <c r="BH636" s="50" t="str">
        <f t="shared" si="162"/>
        <v>-</v>
      </c>
      <c r="BI636" s="50" t="str">
        <f>IFERROR(VLOOKUP(BF636,'[1]WCVI Esc'!$C$5:$W$514,19,FALSE),"-")</f>
        <v>-</v>
      </c>
      <c r="BJ636" s="50" t="str">
        <f t="shared" si="163"/>
        <v>-</v>
      </c>
    </row>
    <row r="637" spans="1:62" hidden="1" x14ac:dyDescent="0.2">
      <c r="A637" s="28">
        <v>4</v>
      </c>
      <c r="B637" s="28">
        <v>5</v>
      </c>
      <c r="C637" s="11">
        <v>23</v>
      </c>
      <c r="D637" s="13" t="s">
        <v>305</v>
      </c>
      <c r="E637" s="10" t="s">
        <v>176</v>
      </c>
      <c r="F637" s="10" t="s">
        <v>210</v>
      </c>
      <c r="G637" s="10"/>
      <c r="H637" s="152"/>
      <c r="I637" s="164"/>
      <c r="J637" s="62"/>
      <c r="K637" s="62"/>
      <c r="L637" s="177"/>
      <c r="M637" s="171"/>
      <c r="N637" s="62"/>
      <c r="O637" s="62"/>
      <c r="P637" s="62"/>
      <c r="Q637" s="64"/>
      <c r="R637" s="164"/>
      <c r="S637" s="62"/>
      <c r="T637" s="62"/>
      <c r="U637" s="62"/>
      <c r="V637" s="177"/>
      <c r="W637" s="171"/>
      <c r="X637" s="62"/>
      <c r="Y637" s="45"/>
      <c r="Z637" s="45"/>
      <c r="AA637" s="100"/>
      <c r="AB637" s="100"/>
      <c r="AC637" s="24"/>
      <c r="AD637" s="24"/>
      <c r="AE637" s="24"/>
      <c r="AF637" s="24"/>
      <c r="AG637" s="18">
        <v>23</v>
      </c>
      <c r="AH637" s="69" t="s">
        <v>305</v>
      </c>
      <c r="AI637" s="243" t="s">
        <v>176</v>
      </c>
      <c r="AJ637" s="243" t="s">
        <v>419</v>
      </c>
      <c r="AK637" s="246"/>
      <c r="AL637" s="43" t="str">
        <f t="shared" si="164"/>
        <v>-</v>
      </c>
      <c r="AM637" s="43">
        <f t="shared" si="152"/>
        <v>0</v>
      </c>
      <c r="AN637" s="193">
        <f t="shared" si="152"/>
        <v>0</v>
      </c>
      <c r="AO637" s="270" t="str">
        <f t="shared" si="153"/>
        <v>-</v>
      </c>
      <c r="AP637" s="266"/>
      <c r="AQ637" s="26" t="str">
        <f t="shared" si="160"/>
        <v>HILLIER CREEKChinook</v>
      </c>
      <c r="AR637" s="26">
        <f t="shared" si="154"/>
        <v>0</v>
      </c>
      <c r="AS637" s="33">
        <f t="shared" si="155"/>
        <v>0</v>
      </c>
      <c r="AX637" s="47" t="str">
        <f t="shared" si="156"/>
        <v>HILLIER CREEKChinook</v>
      </c>
      <c r="AY637" s="49">
        <f t="shared" si="157"/>
        <v>0</v>
      </c>
      <c r="AZ637" s="49">
        <f t="shared" si="158"/>
        <v>0</v>
      </c>
      <c r="BA637" s="31">
        <v>0</v>
      </c>
      <c r="BB637" s="188">
        <f t="shared" si="161"/>
        <v>0</v>
      </c>
      <c r="BC637" s="188" t="str">
        <f t="shared" si="165"/>
        <v xml:space="preserve"> </v>
      </c>
      <c r="BD637" s="188" t="str">
        <f t="shared" si="166"/>
        <v xml:space="preserve"> </v>
      </c>
      <c r="BE637" s="188" t="str">
        <f t="shared" si="167"/>
        <v xml:space="preserve"> </v>
      </c>
      <c r="BF637" s="50" t="str">
        <f t="shared" si="159"/>
        <v>HILLIER CREEK_Chinook</v>
      </c>
      <c r="BG637" s="50" t="str">
        <f>IFERROR(VLOOKUP(BF637,'[1]WCVI Esc'!$C$5:$W$514,18,FALSE),"-")</f>
        <v>-</v>
      </c>
      <c r="BH637" s="50" t="str">
        <f t="shared" si="162"/>
        <v>-</v>
      </c>
      <c r="BI637" s="50" t="str">
        <f>IFERROR(VLOOKUP(BF637,'[1]WCVI Esc'!$C$5:$W$514,19,FALSE),"-")</f>
        <v>-</v>
      </c>
      <c r="BJ637" s="50" t="str">
        <f t="shared" si="163"/>
        <v>-</v>
      </c>
    </row>
    <row r="638" spans="1:62" hidden="1" x14ac:dyDescent="0.2">
      <c r="A638" s="28">
        <v>4</v>
      </c>
      <c r="B638" s="28">
        <v>6</v>
      </c>
      <c r="C638" s="11">
        <v>23</v>
      </c>
      <c r="D638" s="13" t="s">
        <v>305</v>
      </c>
      <c r="E638" s="10" t="s">
        <v>176</v>
      </c>
      <c r="F638" s="10" t="s">
        <v>211</v>
      </c>
      <c r="G638" s="10"/>
      <c r="H638" s="152"/>
      <c r="I638" s="164"/>
      <c r="J638" s="62"/>
      <c r="K638" s="62"/>
      <c r="L638" s="177"/>
      <c r="M638" s="171"/>
      <c r="N638" s="62"/>
      <c r="O638" s="62"/>
      <c r="P638" s="62"/>
      <c r="Q638" s="64"/>
      <c r="R638" s="164"/>
      <c r="S638" s="62"/>
      <c r="T638" s="62"/>
      <c r="U638" s="62"/>
      <c r="V638" s="177"/>
      <c r="W638" s="171"/>
      <c r="X638" s="62"/>
      <c r="Y638" s="45"/>
      <c r="Z638" s="45"/>
      <c r="AA638" s="100"/>
      <c r="AB638" s="100"/>
      <c r="AC638" s="24"/>
      <c r="AD638" s="24"/>
      <c r="AE638" s="24"/>
      <c r="AF638" s="24"/>
      <c r="AG638" s="18">
        <v>23</v>
      </c>
      <c r="AH638" s="69" t="s">
        <v>305</v>
      </c>
      <c r="AI638" s="243" t="s">
        <v>176</v>
      </c>
      <c r="AJ638" s="243" t="s">
        <v>419</v>
      </c>
      <c r="AK638" s="246"/>
      <c r="AL638" s="43" t="str">
        <f t="shared" si="164"/>
        <v>-</v>
      </c>
      <c r="AM638" s="43">
        <f t="shared" si="152"/>
        <v>0</v>
      </c>
      <c r="AN638" s="193">
        <f t="shared" si="152"/>
        <v>0</v>
      </c>
      <c r="AO638" s="270" t="str">
        <f t="shared" si="153"/>
        <v>-</v>
      </c>
      <c r="AP638" s="266"/>
      <c r="AQ638" s="26" t="str">
        <f t="shared" si="160"/>
        <v>HILLIER CREEKSteelhead</v>
      </c>
      <c r="AR638" s="26">
        <f t="shared" si="154"/>
        <v>0</v>
      </c>
      <c r="AS638" s="33">
        <f t="shared" si="155"/>
        <v>0</v>
      </c>
      <c r="AX638" s="47" t="str">
        <f t="shared" si="156"/>
        <v>HILLIER CREEKSteelhead</v>
      </c>
      <c r="AY638" s="49">
        <f t="shared" si="157"/>
        <v>0</v>
      </c>
      <c r="AZ638" s="49">
        <f t="shared" si="158"/>
        <v>0</v>
      </c>
      <c r="BA638" s="31">
        <v>0</v>
      </c>
      <c r="BB638" s="188">
        <f t="shared" si="161"/>
        <v>0</v>
      </c>
      <c r="BC638" s="188" t="str">
        <f t="shared" si="165"/>
        <v xml:space="preserve"> </v>
      </c>
      <c r="BD638" s="188" t="str">
        <f t="shared" si="166"/>
        <v xml:space="preserve"> </v>
      </c>
      <c r="BE638" s="188" t="str">
        <f t="shared" si="167"/>
        <v xml:space="preserve"> </v>
      </c>
      <c r="BF638" s="50" t="str">
        <f t="shared" si="159"/>
        <v>HILLIER CREEK_Steelhead</v>
      </c>
      <c r="BG638" s="50" t="str">
        <f>IFERROR(VLOOKUP(BF638,'[1]WCVI Esc'!$C$5:$W$514,18,FALSE),"-")</f>
        <v>-</v>
      </c>
      <c r="BH638" s="50" t="str">
        <f t="shared" si="162"/>
        <v>-</v>
      </c>
      <c r="BI638" s="50" t="str">
        <f>IFERROR(VLOOKUP(BF638,'[1]WCVI Esc'!$C$5:$W$514,19,FALSE),"-")</f>
        <v>-</v>
      </c>
      <c r="BJ638" s="50" t="str">
        <f t="shared" si="163"/>
        <v>-</v>
      </c>
    </row>
    <row r="639" spans="1:62" hidden="1" x14ac:dyDescent="0.2">
      <c r="A639" s="28">
        <v>4</v>
      </c>
      <c r="B639" s="28">
        <v>1</v>
      </c>
      <c r="C639" s="11">
        <v>23</v>
      </c>
      <c r="D639" s="13" t="s">
        <v>305</v>
      </c>
      <c r="E639" s="10" t="s">
        <v>98</v>
      </c>
      <c r="F639" s="10" t="s">
        <v>207</v>
      </c>
      <c r="G639" s="10"/>
      <c r="H639" s="152"/>
      <c r="I639" s="164"/>
      <c r="J639" s="62"/>
      <c r="K639" s="62"/>
      <c r="L639" s="177"/>
      <c r="M639" s="171"/>
      <c r="N639" s="62"/>
      <c r="O639" s="62"/>
      <c r="P639" s="62"/>
      <c r="Q639" s="64"/>
      <c r="R639" s="164"/>
      <c r="S639" s="62"/>
      <c r="T639" s="62"/>
      <c r="U639" s="62"/>
      <c r="V639" s="177"/>
      <c r="W639" s="171"/>
      <c r="X639" s="62"/>
      <c r="Y639" s="45"/>
      <c r="Z639" s="45"/>
      <c r="AA639" s="100"/>
      <c r="AB639" s="100"/>
      <c r="AC639" s="24"/>
      <c r="AD639" s="24"/>
      <c r="AE639" s="24"/>
      <c r="AF639" s="24"/>
      <c r="AG639" s="18">
        <v>23</v>
      </c>
      <c r="AH639" s="69" t="s">
        <v>305</v>
      </c>
      <c r="AI639" s="243" t="s">
        <v>98</v>
      </c>
      <c r="AJ639" s="243" t="s">
        <v>419</v>
      </c>
      <c r="AK639" s="246"/>
      <c r="AL639" s="43" t="str">
        <f t="shared" si="164"/>
        <v>-</v>
      </c>
      <c r="AM639" s="43">
        <f t="shared" ref="AM639:AN702" si="168">AR639</f>
        <v>0</v>
      </c>
      <c r="AN639" s="193">
        <f t="shared" si="168"/>
        <v>0</v>
      </c>
      <c r="AO639" s="270" t="str">
        <f t="shared" ref="AO639:AO702" si="169">BH639</f>
        <v>-</v>
      </c>
      <c r="AP639" s="266"/>
      <c r="AQ639" s="26" t="str">
        <f t="shared" si="160"/>
        <v>HOLFORD CREEKSockeye</v>
      </c>
      <c r="AR639" s="26">
        <f t="shared" ref="AR639:AR702" si="170">COUNT(G639:X639)</f>
        <v>0</v>
      </c>
      <c r="AS639" s="33">
        <f t="shared" ref="AS639:AS702" si="171">MAX(G639:X639)</f>
        <v>0</v>
      </c>
      <c r="AX639" s="47" t="str">
        <f t="shared" ref="AX639:AX702" si="172">CONCATENATE(E639,F639)</f>
        <v>HOLFORD CREEKSockeye</v>
      </c>
      <c r="AY639" s="49">
        <f t="shared" ref="AY639:AY702" si="173">Z639</f>
        <v>0</v>
      </c>
      <c r="AZ639" s="49">
        <f t="shared" ref="AZ639:AZ702" si="174">Y639</f>
        <v>0</v>
      </c>
      <c r="BA639" s="31">
        <v>0</v>
      </c>
      <c r="BB639" s="188">
        <f t="shared" si="161"/>
        <v>0</v>
      </c>
      <c r="BC639" s="188" t="str">
        <f t="shared" si="165"/>
        <v xml:space="preserve"> </v>
      </c>
      <c r="BD639" s="188" t="str">
        <f t="shared" si="166"/>
        <v xml:space="preserve"> </v>
      </c>
      <c r="BE639" s="188" t="str">
        <f t="shared" si="167"/>
        <v xml:space="preserve"> </v>
      </c>
      <c r="BF639" s="50" t="str">
        <f t="shared" ref="BF639:BF702" si="175">CONCATENATE(E639,"_",F639)</f>
        <v>HOLFORD CREEK_Sockeye</v>
      </c>
      <c r="BG639" s="50" t="str">
        <f>IFERROR(VLOOKUP(BF639,'[1]WCVI Esc'!$C$5:$W$514,18,FALSE),"-")</f>
        <v>-</v>
      </c>
      <c r="BH639" s="50" t="str">
        <f t="shared" si="162"/>
        <v>-</v>
      </c>
      <c r="BI639" s="50" t="str">
        <f>IFERROR(VLOOKUP(BF639,'[1]WCVI Esc'!$C$5:$W$514,19,FALSE),"-")</f>
        <v>-</v>
      </c>
      <c r="BJ639" s="50" t="str">
        <f t="shared" si="163"/>
        <v>-</v>
      </c>
    </row>
    <row r="640" spans="1:62" hidden="1" x14ac:dyDescent="0.2">
      <c r="A640" s="28">
        <v>4</v>
      </c>
      <c r="B640" s="28">
        <v>2</v>
      </c>
      <c r="C640" s="11">
        <v>23</v>
      </c>
      <c r="D640" s="13" t="s">
        <v>305</v>
      </c>
      <c r="E640" s="10" t="s">
        <v>98</v>
      </c>
      <c r="F640" s="10" t="s">
        <v>219</v>
      </c>
      <c r="G640" s="10"/>
      <c r="H640" s="152"/>
      <c r="I640" s="164"/>
      <c r="J640" s="62"/>
      <c r="K640" s="62"/>
      <c r="L640" s="177"/>
      <c r="M640" s="171"/>
      <c r="N640" s="62"/>
      <c r="O640" s="62"/>
      <c r="P640" s="62"/>
      <c r="Q640" s="64"/>
      <c r="R640" s="164"/>
      <c r="S640" s="62"/>
      <c r="T640" s="62"/>
      <c r="U640" s="62"/>
      <c r="V640" s="177"/>
      <c r="W640" s="171"/>
      <c r="X640" s="62"/>
      <c r="Y640" s="45"/>
      <c r="Z640" s="45"/>
      <c r="AA640" s="100"/>
      <c r="AB640" s="100"/>
      <c r="AC640" s="24"/>
      <c r="AD640" s="24"/>
      <c r="AE640" s="24"/>
      <c r="AF640" s="24"/>
      <c r="AG640" s="18">
        <v>23</v>
      </c>
      <c r="AH640" s="69" t="s">
        <v>305</v>
      </c>
      <c r="AI640" s="243" t="s">
        <v>98</v>
      </c>
      <c r="AJ640" s="243" t="s">
        <v>419</v>
      </c>
      <c r="AK640" s="246"/>
      <c r="AL640" s="43" t="str">
        <f t="shared" si="164"/>
        <v>-</v>
      </c>
      <c r="AM640" s="43">
        <f t="shared" si="168"/>
        <v>0</v>
      </c>
      <c r="AN640" s="193">
        <f t="shared" si="168"/>
        <v>0</v>
      </c>
      <c r="AO640" s="270" t="str">
        <f t="shared" si="169"/>
        <v>-</v>
      </c>
      <c r="AP640" s="266"/>
      <c r="AQ640" s="26" t="str">
        <f t="shared" si="160"/>
        <v>HOLFORD CREEKCoho</v>
      </c>
      <c r="AR640" s="26">
        <f t="shared" si="170"/>
        <v>0</v>
      </c>
      <c r="AS640" s="33">
        <f t="shared" si="171"/>
        <v>0</v>
      </c>
      <c r="AX640" s="47" t="str">
        <f t="shared" si="172"/>
        <v>HOLFORD CREEKCoho</v>
      </c>
      <c r="AY640" s="49">
        <f t="shared" si="173"/>
        <v>0</v>
      </c>
      <c r="AZ640" s="49">
        <f t="shared" si="174"/>
        <v>0</v>
      </c>
      <c r="BA640" s="31">
        <v>1980</v>
      </c>
      <c r="BB640" s="188">
        <f t="shared" si="161"/>
        <v>0</v>
      </c>
      <c r="BC640" s="188" t="str">
        <f t="shared" si="165"/>
        <v xml:space="preserve"> </v>
      </c>
      <c r="BD640" s="188" t="str">
        <f t="shared" si="166"/>
        <v xml:space="preserve"> </v>
      </c>
      <c r="BE640" s="188" t="str">
        <f t="shared" si="167"/>
        <v xml:space="preserve"> </v>
      </c>
      <c r="BF640" s="50" t="str">
        <f t="shared" si="175"/>
        <v>HOLFORD CREEK_Coho</v>
      </c>
      <c r="BG640" s="50" t="str">
        <f>IFERROR(VLOOKUP(BF640,'[1]WCVI Esc'!$C$5:$W$514,18,FALSE),"-")</f>
        <v>-</v>
      </c>
      <c r="BH640" s="50" t="str">
        <f t="shared" si="162"/>
        <v>-</v>
      </c>
      <c r="BI640" s="50" t="str">
        <f>IFERROR(VLOOKUP(BF640,'[1]WCVI Esc'!$C$5:$W$514,19,FALSE),"-")</f>
        <v>-</v>
      </c>
      <c r="BJ640" s="50" t="str">
        <f t="shared" si="163"/>
        <v>-</v>
      </c>
    </row>
    <row r="641" spans="1:67" hidden="1" x14ac:dyDescent="0.2">
      <c r="A641" s="28">
        <v>4</v>
      </c>
      <c r="B641" s="28">
        <v>3</v>
      </c>
      <c r="C641" s="11">
        <v>23</v>
      </c>
      <c r="D641" s="13" t="s">
        <v>305</v>
      </c>
      <c r="E641" s="10" t="s">
        <v>98</v>
      </c>
      <c r="F641" s="10" t="s">
        <v>208</v>
      </c>
      <c r="G641" s="10"/>
      <c r="H641" s="152"/>
      <c r="I641" s="164"/>
      <c r="J641" s="62"/>
      <c r="K641" s="62"/>
      <c r="L641" s="177"/>
      <c r="M641" s="171"/>
      <c r="N641" s="62"/>
      <c r="O641" s="62"/>
      <c r="P641" s="62"/>
      <c r="Q641" s="64"/>
      <c r="R641" s="164"/>
      <c r="S641" s="62"/>
      <c r="T641" s="62"/>
      <c r="U641" s="62"/>
      <c r="V641" s="177"/>
      <c r="W641" s="171"/>
      <c r="X641" s="62"/>
      <c r="Y641" s="45"/>
      <c r="Z641" s="45"/>
      <c r="AA641" s="100"/>
      <c r="AB641" s="100"/>
      <c r="AC641" s="24"/>
      <c r="AD641" s="24"/>
      <c r="AE641" s="24"/>
      <c r="AF641" s="24"/>
      <c r="AG641" s="18">
        <v>23</v>
      </c>
      <c r="AH641" s="69" t="s">
        <v>305</v>
      </c>
      <c r="AI641" s="243" t="s">
        <v>98</v>
      </c>
      <c r="AJ641" s="243" t="s">
        <v>419</v>
      </c>
      <c r="AK641" s="246"/>
      <c r="AL641" s="43" t="str">
        <f t="shared" si="164"/>
        <v>-</v>
      </c>
      <c r="AM641" s="43">
        <f t="shared" si="168"/>
        <v>0</v>
      </c>
      <c r="AN641" s="193">
        <f t="shared" si="168"/>
        <v>0</v>
      </c>
      <c r="AO641" s="270" t="str">
        <f t="shared" si="169"/>
        <v>-</v>
      </c>
      <c r="AP641" s="266"/>
      <c r="AQ641" s="26" t="str">
        <f t="shared" si="160"/>
        <v>HOLFORD CREEKPink</v>
      </c>
      <c r="AR641" s="26">
        <f t="shared" si="170"/>
        <v>0</v>
      </c>
      <c r="AS641" s="33">
        <f t="shared" si="171"/>
        <v>0</v>
      </c>
      <c r="AX641" s="47" t="str">
        <f t="shared" si="172"/>
        <v>HOLFORD CREEKPink</v>
      </c>
      <c r="AY641" s="49">
        <f t="shared" si="173"/>
        <v>0</v>
      </c>
      <c r="AZ641" s="49">
        <f t="shared" si="174"/>
        <v>0</v>
      </c>
      <c r="BA641" s="31">
        <v>0</v>
      </c>
      <c r="BB641" s="188">
        <f t="shared" si="161"/>
        <v>0</v>
      </c>
      <c r="BC641" s="188" t="str">
        <f t="shared" si="165"/>
        <v xml:space="preserve"> </v>
      </c>
      <c r="BD641" s="188" t="str">
        <f t="shared" si="166"/>
        <v xml:space="preserve"> </v>
      </c>
      <c r="BE641" s="188" t="str">
        <f t="shared" si="167"/>
        <v xml:space="preserve"> </v>
      </c>
      <c r="BF641" s="50" t="str">
        <f t="shared" si="175"/>
        <v>HOLFORD CREEK_Pink</v>
      </c>
      <c r="BG641" s="50" t="str">
        <f>IFERROR(VLOOKUP(BF641,'[1]WCVI Esc'!$C$5:$W$514,18,FALSE),"-")</f>
        <v>-</v>
      </c>
      <c r="BH641" s="50" t="str">
        <f t="shared" si="162"/>
        <v>-</v>
      </c>
      <c r="BI641" s="50" t="str">
        <f>IFERROR(VLOOKUP(BF641,'[1]WCVI Esc'!$C$5:$W$514,19,FALSE),"-")</f>
        <v>-</v>
      </c>
      <c r="BJ641" s="50" t="str">
        <f t="shared" si="163"/>
        <v>-</v>
      </c>
    </row>
    <row r="642" spans="1:67" hidden="1" x14ac:dyDescent="0.2">
      <c r="A642" s="28">
        <v>4</v>
      </c>
      <c r="B642" s="28">
        <v>4</v>
      </c>
      <c r="C642" s="11">
        <v>23</v>
      </c>
      <c r="D642" s="13" t="s">
        <v>305</v>
      </c>
      <c r="E642" s="10" t="s">
        <v>98</v>
      </c>
      <c r="F642" s="10" t="s">
        <v>209</v>
      </c>
      <c r="G642" s="10"/>
      <c r="H642" s="152"/>
      <c r="I642" s="164"/>
      <c r="J642" s="62"/>
      <c r="K642" s="62"/>
      <c r="L642" s="177"/>
      <c r="M642" s="171"/>
      <c r="N642" s="62"/>
      <c r="O642" s="62"/>
      <c r="P642" s="62"/>
      <c r="Q642" s="64"/>
      <c r="R642" s="164"/>
      <c r="S642" s="62"/>
      <c r="T642" s="62"/>
      <c r="U642" s="62"/>
      <c r="V642" s="177"/>
      <c r="W642" s="171"/>
      <c r="X642" s="62"/>
      <c r="Y642" s="45"/>
      <c r="Z642" s="45"/>
      <c r="AA642" s="100"/>
      <c r="AB642" s="100"/>
      <c r="AC642" s="24"/>
      <c r="AD642" s="24"/>
      <c r="AE642" s="24"/>
      <c r="AF642" s="24"/>
      <c r="AG642" s="18">
        <v>23</v>
      </c>
      <c r="AH642" s="69" t="s">
        <v>305</v>
      </c>
      <c r="AI642" s="243" t="s">
        <v>98</v>
      </c>
      <c r="AJ642" s="243" t="s">
        <v>419</v>
      </c>
      <c r="AK642" s="246"/>
      <c r="AL642" s="43" t="str">
        <f t="shared" si="164"/>
        <v>-</v>
      </c>
      <c r="AM642" s="43">
        <f t="shared" si="168"/>
        <v>0</v>
      </c>
      <c r="AN642" s="193">
        <f t="shared" si="168"/>
        <v>0</v>
      </c>
      <c r="AO642" s="270" t="str">
        <f t="shared" si="169"/>
        <v>-</v>
      </c>
      <c r="AP642" s="271"/>
      <c r="AQ642" s="26" t="str">
        <f t="shared" si="160"/>
        <v>HOLFORD CREEKChum</v>
      </c>
      <c r="AR642" s="26">
        <f t="shared" si="170"/>
        <v>0</v>
      </c>
      <c r="AS642" s="33">
        <f t="shared" si="171"/>
        <v>0</v>
      </c>
      <c r="AX642" s="47" t="str">
        <f t="shared" si="172"/>
        <v>HOLFORD CREEKChum</v>
      </c>
      <c r="AY642" s="49">
        <f t="shared" si="173"/>
        <v>0</v>
      </c>
      <c r="AZ642" s="49">
        <f t="shared" si="174"/>
        <v>0</v>
      </c>
      <c r="BA642" s="31">
        <v>1998</v>
      </c>
      <c r="BB642" s="188">
        <f t="shared" si="161"/>
        <v>0</v>
      </c>
      <c r="BC642" s="188" t="str">
        <f t="shared" si="165"/>
        <v xml:space="preserve"> </v>
      </c>
      <c r="BD642" s="188" t="str">
        <f t="shared" si="166"/>
        <v xml:space="preserve"> </v>
      </c>
      <c r="BE642" s="188" t="str">
        <f t="shared" si="167"/>
        <v xml:space="preserve"> </v>
      </c>
      <c r="BF642" s="50" t="str">
        <f t="shared" si="175"/>
        <v>HOLFORD CREEK_Chum</v>
      </c>
      <c r="BG642" s="50" t="str">
        <f>IFERROR(VLOOKUP(BF642,'[1]WCVI Esc'!$C$5:$W$514,18,FALSE),"-")</f>
        <v>-</v>
      </c>
      <c r="BH642" s="50" t="str">
        <f t="shared" si="162"/>
        <v>-</v>
      </c>
      <c r="BI642" s="50" t="str">
        <f>IFERROR(VLOOKUP(BF642,'[1]WCVI Esc'!$C$5:$W$514,19,FALSE),"-")</f>
        <v>-</v>
      </c>
      <c r="BJ642" s="50" t="str">
        <f t="shared" si="163"/>
        <v>-</v>
      </c>
    </row>
    <row r="643" spans="1:67" hidden="1" x14ac:dyDescent="0.2">
      <c r="A643" s="28">
        <v>4</v>
      </c>
      <c r="B643" s="28">
        <v>5</v>
      </c>
      <c r="C643" s="11">
        <v>23</v>
      </c>
      <c r="D643" s="13" t="s">
        <v>305</v>
      </c>
      <c r="E643" s="10" t="s">
        <v>98</v>
      </c>
      <c r="F643" s="10" t="s">
        <v>210</v>
      </c>
      <c r="G643" s="10"/>
      <c r="H643" s="152"/>
      <c r="I643" s="164"/>
      <c r="J643" s="62"/>
      <c r="K643" s="62"/>
      <c r="L643" s="177"/>
      <c r="M643" s="171"/>
      <c r="N643" s="62"/>
      <c r="O643" s="62"/>
      <c r="P643" s="62"/>
      <c r="Q643" s="64"/>
      <c r="R643" s="164"/>
      <c r="S643" s="62"/>
      <c r="T643" s="62"/>
      <c r="U643" s="62"/>
      <c r="V643" s="177"/>
      <c r="W643" s="171"/>
      <c r="X643" s="62"/>
      <c r="Y643" s="45"/>
      <c r="Z643" s="45"/>
      <c r="AA643" s="100"/>
      <c r="AB643" s="100"/>
      <c r="AC643" s="24"/>
      <c r="AD643" s="24"/>
      <c r="AE643" s="24"/>
      <c r="AF643" s="24"/>
      <c r="AG643" s="18">
        <v>23</v>
      </c>
      <c r="AH643" s="69" t="s">
        <v>305</v>
      </c>
      <c r="AI643" s="243" t="s">
        <v>98</v>
      </c>
      <c r="AJ643" s="243" t="s">
        <v>419</v>
      </c>
      <c r="AK643" s="246"/>
      <c r="AL643" s="43" t="str">
        <f t="shared" si="164"/>
        <v>-</v>
      </c>
      <c r="AM643" s="43">
        <f t="shared" si="168"/>
        <v>0</v>
      </c>
      <c r="AN643" s="193">
        <f t="shared" si="168"/>
        <v>0</v>
      </c>
      <c r="AO643" s="270" t="str">
        <f t="shared" si="169"/>
        <v>-</v>
      </c>
      <c r="AP643" s="266"/>
      <c r="AQ643" s="26" t="str">
        <f t="shared" ref="AQ643:AQ706" si="176">CONCATENATE(E643,F643)</f>
        <v>HOLFORD CREEKChinook</v>
      </c>
      <c r="AR643" s="26">
        <f t="shared" si="170"/>
        <v>0</v>
      </c>
      <c r="AS643" s="33">
        <f t="shared" si="171"/>
        <v>0</v>
      </c>
      <c r="AX643" s="47" t="str">
        <f t="shared" si="172"/>
        <v>HOLFORD CREEKChinook</v>
      </c>
      <c r="AY643" s="49">
        <f t="shared" si="173"/>
        <v>0</v>
      </c>
      <c r="AZ643" s="49">
        <f t="shared" si="174"/>
        <v>0</v>
      </c>
      <c r="BA643" s="31">
        <v>0</v>
      </c>
      <c r="BB643" s="188">
        <f t="shared" si="161"/>
        <v>0</v>
      </c>
      <c r="BC643" s="188" t="str">
        <f t="shared" si="165"/>
        <v xml:space="preserve"> </v>
      </c>
      <c r="BD643" s="188" t="str">
        <f t="shared" si="166"/>
        <v xml:space="preserve"> </v>
      </c>
      <c r="BE643" s="188" t="str">
        <f t="shared" si="167"/>
        <v xml:space="preserve"> </v>
      </c>
      <c r="BF643" s="50" t="str">
        <f t="shared" si="175"/>
        <v>HOLFORD CREEK_Chinook</v>
      </c>
      <c r="BG643" s="50" t="str">
        <f>IFERROR(VLOOKUP(BF643,'[1]WCVI Esc'!$C$5:$W$514,18,FALSE),"-")</f>
        <v>-</v>
      </c>
      <c r="BH643" s="50" t="str">
        <f t="shared" si="162"/>
        <v>-</v>
      </c>
      <c r="BI643" s="50" t="str">
        <f>IFERROR(VLOOKUP(BF643,'[1]WCVI Esc'!$C$5:$W$514,19,FALSE),"-")</f>
        <v>-</v>
      </c>
      <c r="BJ643" s="50" t="str">
        <f t="shared" si="163"/>
        <v>-</v>
      </c>
    </row>
    <row r="644" spans="1:67" hidden="1" x14ac:dyDescent="0.2">
      <c r="A644" s="28">
        <v>4</v>
      </c>
      <c r="B644" s="28">
        <v>6</v>
      </c>
      <c r="C644" s="11">
        <v>23</v>
      </c>
      <c r="D644" s="13" t="s">
        <v>305</v>
      </c>
      <c r="E644" s="10" t="s">
        <v>98</v>
      </c>
      <c r="F644" s="10" t="s">
        <v>211</v>
      </c>
      <c r="G644" s="10"/>
      <c r="H644" s="152"/>
      <c r="I644" s="164"/>
      <c r="J644" s="62"/>
      <c r="K644" s="62"/>
      <c r="L644" s="177"/>
      <c r="M644" s="171"/>
      <c r="N644" s="62"/>
      <c r="O644" s="62"/>
      <c r="P644" s="62"/>
      <c r="Q644" s="64"/>
      <c r="R644" s="164"/>
      <c r="S644" s="62"/>
      <c r="T644" s="62"/>
      <c r="U644" s="62"/>
      <c r="V644" s="177"/>
      <c r="W644" s="171"/>
      <c r="X644" s="62"/>
      <c r="Y644" s="45"/>
      <c r="Z644" s="45"/>
      <c r="AA644" s="100"/>
      <c r="AB644" s="100"/>
      <c r="AC644" s="24"/>
      <c r="AD644" s="24"/>
      <c r="AE644" s="24"/>
      <c r="AF644" s="24"/>
      <c r="AG644" s="18">
        <v>23</v>
      </c>
      <c r="AH644" s="69" t="s">
        <v>305</v>
      </c>
      <c r="AI644" s="243" t="s">
        <v>98</v>
      </c>
      <c r="AJ644" s="243" t="s">
        <v>419</v>
      </c>
      <c r="AK644" s="246"/>
      <c r="AL644" s="43" t="str">
        <f t="shared" si="164"/>
        <v>-</v>
      </c>
      <c r="AM644" s="43">
        <f t="shared" si="168"/>
        <v>0</v>
      </c>
      <c r="AN644" s="193">
        <f t="shared" si="168"/>
        <v>0</v>
      </c>
      <c r="AO644" s="270" t="str">
        <f t="shared" si="169"/>
        <v>-</v>
      </c>
      <c r="AP644" s="266"/>
      <c r="AQ644" s="26" t="str">
        <f t="shared" si="176"/>
        <v>HOLFORD CREEKSteelhead</v>
      </c>
      <c r="AR644" s="26">
        <f t="shared" si="170"/>
        <v>0</v>
      </c>
      <c r="AS644" s="33">
        <f t="shared" si="171"/>
        <v>0</v>
      </c>
      <c r="AX644" s="47" t="str">
        <f t="shared" si="172"/>
        <v>HOLFORD CREEKSteelhead</v>
      </c>
      <c r="AY644" s="49">
        <f t="shared" si="173"/>
        <v>0</v>
      </c>
      <c r="AZ644" s="49">
        <f t="shared" si="174"/>
        <v>0</v>
      </c>
      <c r="BA644" s="31">
        <v>0</v>
      </c>
      <c r="BB644" s="188">
        <f t="shared" si="161"/>
        <v>0</v>
      </c>
      <c r="BC644" s="188" t="str">
        <f t="shared" si="165"/>
        <v xml:space="preserve"> </v>
      </c>
      <c r="BD644" s="188" t="str">
        <f t="shared" si="166"/>
        <v xml:space="preserve"> </v>
      </c>
      <c r="BE644" s="188" t="str">
        <f t="shared" si="167"/>
        <v xml:space="preserve"> </v>
      </c>
      <c r="BF644" s="50" t="str">
        <f t="shared" si="175"/>
        <v>HOLFORD CREEK_Steelhead</v>
      </c>
      <c r="BG644" s="50" t="str">
        <f>IFERROR(VLOOKUP(BF644,'[1]WCVI Esc'!$C$5:$W$514,18,FALSE),"-")</f>
        <v>-</v>
      </c>
      <c r="BH644" s="50" t="str">
        <f t="shared" si="162"/>
        <v>-</v>
      </c>
      <c r="BI644" s="50" t="str">
        <f>IFERROR(VLOOKUP(BF644,'[1]WCVI Esc'!$C$5:$W$514,19,FALSE),"-")</f>
        <v>-</v>
      </c>
      <c r="BJ644" s="50" t="str">
        <f t="shared" si="163"/>
        <v>-</v>
      </c>
    </row>
    <row r="645" spans="1:67" hidden="1" x14ac:dyDescent="0.2">
      <c r="A645" s="28">
        <v>4</v>
      </c>
      <c r="B645" s="28">
        <v>1</v>
      </c>
      <c r="C645" s="11">
        <v>23</v>
      </c>
      <c r="D645" s="13" t="s">
        <v>357</v>
      </c>
      <c r="E645" s="10" t="s">
        <v>177</v>
      </c>
      <c r="F645" s="10" t="s">
        <v>207</v>
      </c>
      <c r="G645" s="10"/>
      <c r="H645" s="152"/>
      <c r="I645" s="164"/>
      <c r="J645" s="62"/>
      <c r="K645" s="62"/>
      <c r="L645" s="177"/>
      <c r="M645" s="171"/>
      <c r="N645" s="62"/>
      <c r="O645" s="62"/>
      <c r="P645" s="62"/>
      <c r="Q645" s="64"/>
      <c r="R645" s="164"/>
      <c r="S645" s="62"/>
      <c r="T645" s="62"/>
      <c r="U645" s="62"/>
      <c r="V645" s="177"/>
      <c r="W645" s="171"/>
      <c r="X645" s="62"/>
      <c r="Y645" s="45"/>
      <c r="Z645" s="45"/>
      <c r="AA645" s="100"/>
      <c r="AB645" s="100"/>
      <c r="AC645" s="24"/>
      <c r="AD645" s="24"/>
      <c r="AE645" s="24"/>
      <c r="AF645" s="24"/>
      <c r="AG645" s="18">
        <v>23</v>
      </c>
      <c r="AH645" s="69" t="s">
        <v>357</v>
      </c>
      <c r="AI645" s="243" t="s">
        <v>177</v>
      </c>
      <c r="AJ645" s="243" t="s">
        <v>419</v>
      </c>
      <c r="AK645" s="246"/>
      <c r="AL645" s="43" t="str">
        <f t="shared" si="164"/>
        <v>-</v>
      </c>
      <c r="AM645" s="43">
        <f t="shared" si="168"/>
        <v>0</v>
      </c>
      <c r="AN645" s="193">
        <f t="shared" si="168"/>
        <v>0</v>
      </c>
      <c r="AO645" s="270" t="str">
        <f t="shared" si="169"/>
        <v>-</v>
      </c>
      <c r="AP645" s="266"/>
      <c r="AQ645" s="26" t="str">
        <f t="shared" si="176"/>
        <v>ITATSOO CREEKSockeye</v>
      </c>
      <c r="AR645" s="26">
        <f t="shared" si="170"/>
        <v>0</v>
      </c>
      <c r="AS645" s="33">
        <f t="shared" si="171"/>
        <v>0</v>
      </c>
      <c r="AX645" s="47" t="str">
        <f t="shared" si="172"/>
        <v>ITATSOO CREEKSockeye</v>
      </c>
      <c r="AY645" s="49">
        <f t="shared" si="173"/>
        <v>0</v>
      </c>
      <c r="AZ645" s="49">
        <f t="shared" si="174"/>
        <v>0</v>
      </c>
      <c r="BA645" s="31">
        <v>1997</v>
      </c>
      <c r="BB645" s="188">
        <f t="shared" si="161"/>
        <v>0</v>
      </c>
      <c r="BC645" s="188" t="str">
        <f t="shared" si="165"/>
        <v xml:space="preserve"> </v>
      </c>
      <c r="BD645" s="188" t="str">
        <f t="shared" si="166"/>
        <v xml:space="preserve"> </v>
      </c>
      <c r="BE645" s="188" t="str">
        <f t="shared" si="167"/>
        <v xml:space="preserve"> </v>
      </c>
      <c r="BF645" s="50" t="str">
        <f t="shared" si="175"/>
        <v>ITATSOO CREEK_Sockeye</v>
      </c>
      <c r="BG645" s="50" t="str">
        <f>IFERROR(VLOOKUP(BF645,'[1]WCVI Esc'!$C$5:$W$514,18,FALSE),"-")</f>
        <v>-</v>
      </c>
      <c r="BH645" s="50" t="str">
        <f t="shared" si="162"/>
        <v>-</v>
      </c>
      <c r="BI645" s="50" t="str">
        <f>IFERROR(VLOOKUP(BF645,'[1]WCVI Esc'!$C$5:$W$514,19,FALSE),"-")</f>
        <v>-</v>
      </c>
      <c r="BJ645" s="50" t="str">
        <f t="shared" si="163"/>
        <v>-</v>
      </c>
    </row>
    <row r="646" spans="1:67" hidden="1" x14ac:dyDescent="0.2">
      <c r="A646" s="28">
        <v>4</v>
      </c>
      <c r="B646" s="28">
        <v>2</v>
      </c>
      <c r="C646" s="11">
        <v>23</v>
      </c>
      <c r="D646" s="13" t="s">
        <v>357</v>
      </c>
      <c r="E646" s="10" t="s">
        <v>177</v>
      </c>
      <c r="F646" s="10" t="s">
        <v>219</v>
      </c>
      <c r="G646" s="10"/>
      <c r="H646" s="152"/>
      <c r="I646" s="164"/>
      <c r="J646" s="62"/>
      <c r="K646" s="62"/>
      <c r="L646" s="177"/>
      <c r="M646" s="171"/>
      <c r="N646" s="62"/>
      <c r="O646" s="62"/>
      <c r="P646" s="62"/>
      <c r="Q646" s="64"/>
      <c r="R646" s="164"/>
      <c r="S646" s="62"/>
      <c r="T646" s="62"/>
      <c r="U646" s="62"/>
      <c r="V646" s="177"/>
      <c r="W646" s="171"/>
      <c r="X646" s="62"/>
      <c r="Y646" s="45"/>
      <c r="Z646" s="45"/>
      <c r="AA646" s="100"/>
      <c r="AB646" s="100"/>
      <c r="AC646" s="24"/>
      <c r="AD646" s="24"/>
      <c r="AE646" s="24"/>
      <c r="AF646" s="24"/>
      <c r="AG646" s="18">
        <v>23</v>
      </c>
      <c r="AH646" s="69" t="s">
        <v>357</v>
      </c>
      <c r="AI646" s="243" t="s">
        <v>177</v>
      </c>
      <c r="AJ646" s="243" t="s">
        <v>419</v>
      </c>
      <c r="AK646" s="246"/>
      <c r="AL646" s="43" t="str">
        <f t="shared" si="164"/>
        <v>-</v>
      </c>
      <c r="AM646" s="43">
        <f t="shared" si="168"/>
        <v>0</v>
      </c>
      <c r="AN646" s="193">
        <f t="shared" si="168"/>
        <v>0</v>
      </c>
      <c r="AO646" s="270" t="str">
        <f t="shared" si="169"/>
        <v>-</v>
      </c>
      <c r="AP646" s="266"/>
      <c r="AQ646" s="26" t="str">
        <f t="shared" si="176"/>
        <v>ITATSOO CREEKCoho</v>
      </c>
      <c r="AR646" s="26">
        <f t="shared" si="170"/>
        <v>0</v>
      </c>
      <c r="AS646" s="33">
        <f t="shared" si="171"/>
        <v>0</v>
      </c>
      <c r="AX646" s="47" t="str">
        <f t="shared" si="172"/>
        <v>ITATSOO CREEKCoho</v>
      </c>
      <c r="AY646" s="49">
        <f t="shared" si="173"/>
        <v>0</v>
      </c>
      <c r="AZ646" s="49">
        <f t="shared" si="174"/>
        <v>0</v>
      </c>
      <c r="BA646" s="31">
        <v>1999</v>
      </c>
      <c r="BB646" s="188">
        <f t="shared" si="161"/>
        <v>0</v>
      </c>
      <c r="BC646" s="188" t="str">
        <f t="shared" si="165"/>
        <v xml:space="preserve"> </v>
      </c>
      <c r="BD646" s="188" t="str">
        <f t="shared" si="166"/>
        <v xml:space="preserve"> </v>
      </c>
      <c r="BE646" s="188" t="str">
        <f t="shared" si="167"/>
        <v xml:space="preserve"> </v>
      </c>
      <c r="BF646" s="50" t="str">
        <f t="shared" si="175"/>
        <v>ITATSOO CREEK_Coho</v>
      </c>
      <c r="BG646" s="50" t="str">
        <f>IFERROR(VLOOKUP(BF646,'[1]WCVI Esc'!$C$5:$W$514,18,FALSE),"-")</f>
        <v>-</v>
      </c>
      <c r="BH646" s="50" t="str">
        <f t="shared" si="162"/>
        <v>-</v>
      </c>
      <c r="BI646" s="50" t="str">
        <f>IFERROR(VLOOKUP(BF646,'[1]WCVI Esc'!$C$5:$W$514,19,FALSE),"-")</f>
        <v>-</v>
      </c>
      <c r="BJ646" s="50" t="str">
        <f t="shared" si="163"/>
        <v>-</v>
      </c>
    </row>
    <row r="647" spans="1:67" hidden="1" x14ac:dyDescent="0.2">
      <c r="A647" s="28">
        <v>4</v>
      </c>
      <c r="B647" s="28">
        <v>3</v>
      </c>
      <c r="C647" s="11">
        <v>23</v>
      </c>
      <c r="D647" s="13" t="s">
        <v>357</v>
      </c>
      <c r="E647" s="10" t="s">
        <v>177</v>
      </c>
      <c r="F647" s="10" t="s">
        <v>208</v>
      </c>
      <c r="G647" s="10"/>
      <c r="H647" s="152"/>
      <c r="I647" s="164"/>
      <c r="J647" s="62"/>
      <c r="K647" s="62"/>
      <c r="L647" s="177"/>
      <c r="M647" s="171"/>
      <c r="N647" s="62"/>
      <c r="O647" s="62"/>
      <c r="P647" s="62"/>
      <c r="Q647" s="64"/>
      <c r="R647" s="164"/>
      <c r="S647" s="62"/>
      <c r="T647" s="62"/>
      <c r="U647" s="62"/>
      <c r="V647" s="177"/>
      <c r="W647" s="171"/>
      <c r="X647" s="62"/>
      <c r="Y647" s="45"/>
      <c r="Z647" s="45"/>
      <c r="AA647" s="100"/>
      <c r="AB647" s="100"/>
      <c r="AC647" s="24"/>
      <c r="AD647" s="24"/>
      <c r="AE647" s="24"/>
      <c r="AF647" s="24"/>
      <c r="AG647" s="18">
        <v>23</v>
      </c>
      <c r="AH647" s="69" t="s">
        <v>357</v>
      </c>
      <c r="AI647" s="243" t="s">
        <v>177</v>
      </c>
      <c r="AJ647" s="243" t="s">
        <v>419</v>
      </c>
      <c r="AK647" s="246"/>
      <c r="AL647" s="43" t="str">
        <f t="shared" si="164"/>
        <v>-</v>
      </c>
      <c r="AM647" s="43">
        <f t="shared" si="168"/>
        <v>0</v>
      </c>
      <c r="AN647" s="193">
        <f t="shared" si="168"/>
        <v>0</v>
      </c>
      <c r="AO647" s="270" t="str">
        <f t="shared" si="169"/>
        <v>-</v>
      </c>
      <c r="AP647" s="266"/>
      <c r="AQ647" s="26" t="str">
        <f t="shared" si="176"/>
        <v>ITATSOO CREEKPink</v>
      </c>
      <c r="AR647" s="26">
        <f t="shared" si="170"/>
        <v>0</v>
      </c>
      <c r="AS647" s="33">
        <f t="shared" si="171"/>
        <v>0</v>
      </c>
      <c r="AX647" s="47" t="str">
        <f t="shared" si="172"/>
        <v>ITATSOO CREEKPink</v>
      </c>
      <c r="AY647" s="49">
        <f t="shared" si="173"/>
        <v>0</v>
      </c>
      <c r="AZ647" s="49">
        <f t="shared" si="174"/>
        <v>0</v>
      </c>
      <c r="BA647" s="31">
        <v>0</v>
      </c>
      <c r="BB647" s="188">
        <f t="shared" si="161"/>
        <v>0</v>
      </c>
      <c r="BC647" s="188" t="str">
        <f t="shared" si="165"/>
        <v xml:space="preserve"> </v>
      </c>
      <c r="BD647" s="188" t="str">
        <f t="shared" si="166"/>
        <v xml:space="preserve"> </v>
      </c>
      <c r="BE647" s="188" t="str">
        <f t="shared" si="167"/>
        <v xml:space="preserve"> </v>
      </c>
      <c r="BF647" s="50" t="str">
        <f t="shared" si="175"/>
        <v>ITATSOO CREEK_Pink</v>
      </c>
      <c r="BG647" s="50" t="str">
        <f>IFERROR(VLOOKUP(BF647,'[1]WCVI Esc'!$C$5:$W$514,18,FALSE),"-")</f>
        <v>-</v>
      </c>
      <c r="BH647" s="50" t="str">
        <f t="shared" si="162"/>
        <v>-</v>
      </c>
      <c r="BI647" s="50" t="str">
        <f>IFERROR(VLOOKUP(BF647,'[1]WCVI Esc'!$C$5:$W$514,19,FALSE),"-")</f>
        <v>-</v>
      </c>
      <c r="BJ647" s="50" t="str">
        <f t="shared" si="163"/>
        <v>-</v>
      </c>
    </row>
    <row r="648" spans="1:67" hidden="1" x14ac:dyDescent="0.2">
      <c r="A648" s="28">
        <v>4</v>
      </c>
      <c r="B648" s="28">
        <v>4</v>
      </c>
      <c r="C648" s="11">
        <v>23</v>
      </c>
      <c r="D648" s="13" t="s">
        <v>357</v>
      </c>
      <c r="E648" s="10" t="s">
        <v>177</v>
      </c>
      <c r="F648" s="10" t="s">
        <v>209</v>
      </c>
      <c r="G648" s="10"/>
      <c r="H648" s="152"/>
      <c r="I648" s="164"/>
      <c r="J648" s="62"/>
      <c r="K648" s="62"/>
      <c r="L648" s="177"/>
      <c r="M648" s="171"/>
      <c r="N648" s="62"/>
      <c r="O648" s="62"/>
      <c r="P648" s="62"/>
      <c r="Q648" s="64"/>
      <c r="R648" s="164"/>
      <c r="S648" s="62"/>
      <c r="T648" s="62"/>
      <c r="U648" s="62"/>
      <c r="V648" s="177"/>
      <c r="W648" s="171"/>
      <c r="X648" s="62"/>
      <c r="Y648" s="45"/>
      <c r="Z648" s="45"/>
      <c r="AA648" s="100"/>
      <c r="AB648" s="100"/>
      <c r="AC648" s="24"/>
      <c r="AD648" s="24"/>
      <c r="AE648" s="24"/>
      <c r="AF648" s="24"/>
      <c r="AG648" s="18">
        <v>23</v>
      </c>
      <c r="AH648" s="69" t="s">
        <v>357</v>
      </c>
      <c r="AI648" s="243" t="s">
        <v>177</v>
      </c>
      <c r="AJ648" s="243" t="s">
        <v>419</v>
      </c>
      <c r="AK648" s="246"/>
      <c r="AL648" s="43" t="str">
        <f t="shared" si="164"/>
        <v>-</v>
      </c>
      <c r="AM648" s="43">
        <f t="shared" si="168"/>
        <v>0</v>
      </c>
      <c r="AN648" s="193">
        <f t="shared" si="168"/>
        <v>0</v>
      </c>
      <c r="AO648" s="270" t="str">
        <f t="shared" si="169"/>
        <v>-</v>
      </c>
      <c r="AP648" s="266"/>
      <c r="AQ648" s="26" t="str">
        <f t="shared" si="176"/>
        <v>ITATSOO CREEKChum</v>
      </c>
      <c r="AR648" s="26">
        <f t="shared" si="170"/>
        <v>0</v>
      </c>
      <c r="AS648" s="33">
        <f t="shared" si="171"/>
        <v>0</v>
      </c>
      <c r="AX648" s="47" t="str">
        <f t="shared" si="172"/>
        <v>ITATSOO CREEKChum</v>
      </c>
      <c r="AY648" s="49">
        <f t="shared" si="173"/>
        <v>0</v>
      </c>
      <c r="AZ648" s="49">
        <f t="shared" si="174"/>
        <v>0</v>
      </c>
      <c r="BA648" s="31">
        <v>1999</v>
      </c>
      <c r="BB648" s="188">
        <f t="shared" si="161"/>
        <v>0</v>
      </c>
      <c r="BC648" s="188" t="str">
        <f t="shared" si="165"/>
        <v xml:space="preserve"> </v>
      </c>
      <c r="BD648" s="188" t="str">
        <f t="shared" si="166"/>
        <v xml:space="preserve"> </v>
      </c>
      <c r="BE648" s="188" t="str">
        <f t="shared" si="167"/>
        <v xml:space="preserve"> </v>
      </c>
      <c r="BF648" s="50" t="str">
        <f t="shared" si="175"/>
        <v>ITATSOO CREEK_Chum</v>
      </c>
      <c r="BG648" s="50" t="str">
        <f>IFERROR(VLOOKUP(BF648,'[1]WCVI Esc'!$C$5:$W$514,18,FALSE),"-")</f>
        <v>-</v>
      </c>
      <c r="BH648" s="50" t="str">
        <f t="shared" si="162"/>
        <v>-</v>
      </c>
      <c r="BI648" s="50" t="str">
        <f>IFERROR(VLOOKUP(BF648,'[1]WCVI Esc'!$C$5:$W$514,19,FALSE),"-")</f>
        <v>-</v>
      </c>
      <c r="BJ648" s="50" t="str">
        <f t="shared" si="163"/>
        <v>-</v>
      </c>
    </row>
    <row r="649" spans="1:67" hidden="1" x14ac:dyDescent="0.2">
      <c r="A649" s="28">
        <v>4</v>
      </c>
      <c r="B649" s="28">
        <v>5</v>
      </c>
      <c r="C649" s="11">
        <v>23</v>
      </c>
      <c r="D649" s="13" t="s">
        <v>357</v>
      </c>
      <c r="E649" s="10" t="s">
        <v>177</v>
      </c>
      <c r="F649" s="10" t="s">
        <v>210</v>
      </c>
      <c r="G649" s="10"/>
      <c r="H649" s="152"/>
      <c r="I649" s="164"/>
      <c r="J649" s="62"/>
      <c r="K649" s="62"/>
      <c r="L649" s="177"/>
      <c r="M649" s="171"/>
      <c r="N649" s="62"/>
      <c r="O649" s="62"/>
      <c r="P649" s="62"/>
      <c r="Q649" s="64"/>
      <c r="R649" s="164"/>
      <c r="S649" s="62"/>
      <c r="T649" s="62"/>
      <c r="U649" s="62"/>
      <c r="V649" s="177"/>
      <c r="W649" s="171"/>
      <c r="X649" s="62"/>
      <c r="Y649" s="45"/>
      <c r="Z649" s="45"/>
      <c r="AA649" s="100"/>
      <c r="AB649" s="100"/>
      <c r="AC649" s="24"/>
      <c r="AD649" s="24"/>
      <c r="AE649" s="24"/>
      <c r="AF649" s="24"/>
      <c r="AG649" s="18">
        <v>23</v>
      </c>
      <c r="AH649" s="69" t="s">
        <v>357</v>
      </c>
      <c r="AI649" s="243" t="s">
        <v>177</v>
      </c>
      <c r="AJ649" s="243" t="s">
        <v>419</v>
      </c>
      <c r="AK649" s="246"/>
      <c r="AL649" s="43" t="str">
        <f t="shared" si="164"/>
        <v>-</v>
      </c>
      <c r="AM649" s="43">
        <f t="shared" si="168"/>
        <v>0</v>
      </c>
      <c r="AN649" s="193">
        <f t="shared" si="168"/>
        <v>0</v>
      </c>
      <c r="AO649" s="270" t="str">
        <f t="shared" si="169"/>
        <v>-</v>
      </c>
      <c r="AP649" s="266"/>
      <c r="AQ649" s="26" t="str">
        <f t="shared" si="176"/>
        <v>ITATSOO CREEKChinook</v>
      </c>
      <c r="AR649" s="26">
        <f t="shared" si="170"/>
        <v>0</v>
      </c>
      <c r="AS649" s="33">
        <f t="shared" si="171"/>
        <v>0</v>
      </c>
      <c r="AX649" s="47" t="str">
        <f t="shared" si="172"/>
        <v>ITATSOO CREEKChinook</v>
      </c>
      <c r="AY649" s="49">
        <f t="shared" si="173"/>
        <v>0</v>
      </c>
      <c r="AZ649" s="49">
        <f t="shared" si="174"/>
        <v>0</v>
      </c>
      <c r="BA649" s="31">
        <v>0</v>
      </c>
      <c r="BB649" s="188">
        <f t="shared" ref="BB649:BB712" si="177">AK649</f>
        <v>0</v>
      </c>
      <c r="BC649" s="188" t="str">
        <f t="shared" si="165"/>
        <v xml:space="preserve"> </v>
      </c>
      <c r="BD649" s="188" t="str">
        <f t="shared" si="166"/>
        <v xml:space="preserve"> </v>
      </c>
      <c r="BE649" s="188" t="str">
        <f t="shared" si="167"/>
        <v xml:space="preserve"> </v>
      </c>
      <c r="BF649" s="50" t="str">
        <f t="shared" si="175"/>
        <v>ITATSOO CREEK_Chinook</v>
      </c>
      <c r="BG649" s="50" t="str">
        <f>IFERROR(VLOOKUP(BF649,'[1]WCVI Esc'!$C$5:$W$514,18,FALSE),"-")</f>
        <v>-</v>
      </c>
      <c r="BH649" s="50" t="str">
        <f t="shared" ref="BH649:BH712" si="178">IFERROR(ROUND(BG649,-1),"-")</f>
        <v>-</v>
      </c>
      <c r="BI649" s="50" t="str">
        <f>IFERROR(VLOOKUP(BF649,'[1]WCVI Esc'!$C$5:$W$514,19,FALSE),"-")</f>
        <v>-</v>
      </c>
      <c r="BJ649" s="50" t="str">
        <f t="shared" ref="BJ649:BJ712" si="179">IFERROR(ROUND(BI649,-1),"-")</f>
        <v>-</v>
      </c>
    </row>
    <row r="650" spans="1:67" hidden="1" x14ac:dyDescent="0.2">
      <c r="A650" s="28">
        <v>4</v>
      </c>
      <c r="B650" s="28">
        <v>6</v>
      </c>
      <c r="C650" s="11">
        <v>23</v>
      </c>
      <c r="D650" s="13" t="s">
        <v>357</v>
      </c>
      <c r="E650" s="10" t="s">
        <v>177</v>
      </c>
      <c r="F650" s="10" t="s">
        <v>211</v>
      </c>
      <c r="G650" s="10"/>
      <c r="H650" s="152"/>
      <c r="I650" s="164"/>
      <c r="J650" s="62"/>
      <c r="K650" s="62"/>
      <c r="L650" s="177"/>
      <c r="M650" s="171"/>
      <c r="N650" s="62"/>
      <c r="O650" s="62"/>
      <c r="P650" s="62"/>
      <c r="Q650" s="64"/>
      <c r="R650" s="164"/>
      <c r="S650" s="62"/>
      <c r="T650" s="62"/>
      <c r="U650" s="62"/>
      <c r="V650" s="177"/>
      <c r="W650" s="171"/>
      <c r="X650" s="62"/>
      <c r="Y650" s="45"/>
      <c r="Z650" s="45"/>
      <c r="AA650" s="100"/>
      <c r="AB650" s="100"/>
      <c r="AC650" s="24"/>
      <c r="AD650" s="24"/>
      <c r="AE650" s="24"/>
      <c r="AF650" s="24"/>
      <c r="AG650" s="18">
        <v>23</v>
      </c>
      <c r="AH650" s="69" t="s">
        <v>357</v>
      </c>
      <c r="AI650" s="243" t="s">
        <v>177</v>
      </c>
      <c r="AJ650" s="243" t="s">
        <v>419</v>
      </c>
      <c r="AK650" s="246"/>
      <c r="AL650" s="43" t="str">
        <f t="shared" ref="AL650:AL713" si="180">IF(BE650=" ",IF(BD650=" ", IF(BC650=" ","-",BC650),BD650), BE650)</f>
        <v>-</v>
      </c>
      <c r="AM650" s="43">
        <f t="shared" si="168"/>
        <v>0</v>
      </c>
      <c r="AN650" s="193">
        <f t="shared" si="168"/>
        <v>0</v>
      </c>
      <c r="AO650" s="270" t="str">
        <f t="shared" si="169"/>
        <v>-</v>
      </c>
      <c r="AP650" s="266"/>
      <c r="AQ650" s="26" t="str">
        <f t="shared" si="176"/>
        <v>ITATSOO CREEKSteelhead</v>
      </c>
      <c r="AR650" s="26">
        <f t="shared" si="170"/>
        <v>0</v>
      </c>
      <c r="AS650" s="33">
        <f t="shared" si="171"/>
        <v>0</v>
      </c>
      <c r="AX650" s="47" t="str">
        <f t="shared" si="172"/>
        <v>ITATSOO CREEKSteelhead</v>
      </c>
      <c r="AY650" s="49">
        <f t="shared" si="173"/>
        <v>0</v>
      </c>
      <c r="AZ650" s="49">
        <f t="shared" si="174"/>
        <v>0</v>
      </c>
      <c r="BA650" s="31">
        <v>0</v>
      </c>
      <c r="BB650" s="188">
        <f t="shared" si="177"/>
        <v>0</v>
      </c>
      <c r="BC650" s="188" t="str">
        <f t="shared" ref="BC650:BC713" si="181">IF(ISNUMBER(M650),M$8,IF(ISNUMBER(L650),L$8,IF(ISNUMBER(K650),K$8,IF(ISNUMBER(J650),J$8,IF(ISNUMBER(I650),I$8,IF(ISNUMBER(H650),H$8, IF(ISNUMBER(G650),G$8," ")))))))</f>
        <v xml:space="preserve"> </v>
      </c>
      <c r="BD650" s="188" t="str">
        <f t="shared" ref="BD650:BD713" si="182">IF(ISNUMBER(S650),S$8,IF(ISNUMBER(R650),R$8,IF(ISNUMBER(Q650),Q$8,IF(ISNUMBER(P650),P$8,IF(ISNUMBER(O650),O$8,IF(ISNUMBER(N650),N$8," "))))))</f>
        <v xml:space="preserve"> </v>
      </c>
      <c r="BE650" s="188" t="str">
        <f t="shared" ref="BE650:BE713" si="183">IF(ISNUMBER(X650),X$8,IF(ISNUMBER(W650),W$8,IF(ISNUMBER(V650),V$8,IF(ISNUMBER(U650),U$8,IF(ISNUMBER(T650),T$8," ")))))</f>
        <v xml:space="preserve"> </v>
      </c>
      <c r="BF650" s="50" t="str">
        <f t="shared" si="175"/>
        <v>ITATSOO CREEK_Steelhead</v>
      </c>
      <c r="BG650" s="50" t="str">
        <f>IFERROR(VLOOKUP(BF650,'[1]WCVI Esc'!$C$5:$W$514,18,FALSE),"-")</f>
        <v>-</v>
      </c>
      <c r="BH650" s="50" t="str">
        <f t="shared" si="178"/>
        <v>-</v>
      </c>
      <c r="BI650" s="50" t="str">
        <f>IFERROR(VLOOKUP(BF650,'[1]WCVI Esc'!$C$5:$W$514,19,FALSE),"-")</f>
        <v>-</v>
      </c>
      <c r="BJ650" s="50" t="str">
        <f t="shared" si="179"/>
        <v>-</v>
      </c>
    </row>
    <row r="651" spans="1:67" hidden="1" x14ac:dyDescent="0.2">
      <c r="A651" s="28">
        <v>4</v>
      </c>
      <c r="B651" s="28">
        <v>1</v>
      </c>
      <c r="C651" s="11">
        <v>23</v>
      </c>
      <c r="D651" s="13" t="s">
        <v>356</v>
      </c>
      <c r="E651" s="10" t="s">
        <v>31</v>
      </c>
      <c r="F651" s="10" t="s">
        <v>207</v>
      </c>
      <c r="G651" s="10"/>
      <c r="H651" s="152"/>
      <c r="I651" s="164"/>
      <c r="J651" s="62"/>
      <c r="K651" s="62"/>
      <c r="L651" s="177"/>
      <c r="M651" s="174"/>
      <c r="N651" s="143"/>
      <c r="O651" s="143"/>
      <c r="P651" s="143"/>
      <c r="Q651" s="184"/>
      <c r="R651" s="187"/>
      <c r="S651" s="143"/>
      <c r="T651" s="143"/>
      <c r="U651" s="143"/>
      <c r="V651" s="177"/>
      <c r="W651" s="171"/>
      <c r="X651" s="62"/>
      <c r="Y651" s="45"/>
      <c r="Z651" s="45"/>
      <c r="AA651" s="100"/>
      <c r="AB651" s="100"/>
      <c r="AC651" s="24"/>
      <c r="AD651" s="24"/>
      <c r="AE651" s="24"/>
      <c r="AF651" s="24"/>
      <c r="AG651" s="18">
        <v>23</v>
      </c>
      <c r="AH651" s="69" t="s">
        <v>356</v>
      </c>
      <c r="AI651" s="243" t="s">
        <v>31</v>
      </c>
      <c r="AJ651" s="243" t="s">
        <v>419</v>
      </c>
      <c r="AK651" s="246"/>
      <c r="AL651" s="43" t="str">
        <f t="shared" si="180"/>
        <v>-</v>
      </c>
      <c r="AM651" s="43">
        <f t="shared" si="168"/>
        <v>0</v>
      </c>
      <c r="AN651" s="193">
        <f t="shared" si="168"/>
        <v>0</v>
      </c>
      <c r="AO651" s="270" t="str">
        <f t="shared" si="169"/>
        <v>-</v>
      </c>
      <c r="AP651" s="266"/>
      <c r="AQ651" s="26" t="str">
        <f t="shared" si="176"/>
        <v>KITSUCKSUS CREEKSockeye</v>
      </c>
      <c r="AR651" s="26">
        <f t="shared" si="170"/>
        <v>0</v>
      </c>
      <c r="AS651" s="33">
        <f t="shared" si="171"/>
        <v>0</v>
      </c>
      <c r="AX651" s="47" t="str">
        <f t="shared" si="172"/>
        <v>KITSUCKSUS CREEKSockeye</v>
      </c>
      <c r="AY651" s="49">
        <f t="shared" si="173"/>
        <v>0</v>
      </c>
      <c r="AZ651" s="49">
        <f t="shared" si="174"/>
        <v>0</v>
      </c>
      <c r="BA651" s="31">
        <v>0</v>
      </c>
      <c r="BB651" s="188">
        <f t="shared" si="177"/>
        <v>0</v>
      </c>
      <c r="BC651" s="188" t="str">
        <f t="shared" si="181"/>
        <v xml:space="preserve"> </v>
      </c>
      <c r="BD651" s="188" t="str">
        <f t="shared" si="182"/>
        <v xml:space="preserve"> </v>
      </c>
      <c r="BE651" s="188" t="str">
        <f t="shared" si="183"/>
        <v xml:space="preserve"> </v>
      </c>
      <c r="BF651" s="50" t="str">
        <f t="shared" si="175"/>
        <v>KITSUCKSUS CREEK_Sockeye</v>
      </c>
      <c r="BG651" s="50" t="str">
        <f>IFERROR(VLOOKUP(BF651,'[1]WCVI Esc'!$C$5:$W$514,18,FALSE),"-")</f>
        <v>-</v>
      </c>
      <c r="BH651" s="50" t="str">
        <f t="shared" si="178"/>
        <v>-</v>
      </c>
      <c r="BI651" s="50" t="str">
        <f>IFERROR(VLOOKUP(BF651,'[1]WCVI Esc'!$C$5:$W$514,19,FALSE),"-")</f>
        <v>-</v>
      </c>
      <c r="BJ651" s="50" t="str">
        <f t="shared" si="179"/>
        <v>-</v>
      </c>
    </row>
    <row r="652" spans="1:67" hidden="1" x14ac:dyDescent="0.2">
      <c r="A652" s="28">
        <v>4</v>
      </c>
      <c r="B652" s="28">
        <v>2</v>
      </c>
      <c r="C652" s="11">
        <v>23</v>
      </c>
      <c r="D652" s="13" t="s">
        <v>356</v>
      </c>
      <c r="E652" s="10" t="s">
        <v>31</v>
      </c>
      <c r="F652" s="10" t="s">
        <v>219</v>
      </c>
      <c r="G652" s="10"/>
      <c r="H652" s="152"/>
      <c r="I652" s="164"/>
      <c r="J652" s="62"/>
      <c r="K652" s="62"/>
      <c r="L652" s="177"/>
      <c r="M652" s="174"/>
      <c r="N652" s="143"/>
      <c r="O652" s="143"/>
      <c r="P652" s="143"/>
      <c r="Q652" s="184"/>
      <c r="R652" s="187"/>
      <c r="S652" s="143"/>
      <c r="T652" s="143"/>
      <c r="U652" s="143"/>
      <c r="V652" s="177"/>
      <c r="W652" s="171"/>
      <c r="X652" s="62"/>
      <c r="Y652" s="45"/>
      <c r="Z652" s="45"/>
      <c r="AA652" s="100">
        <f>Y652/AP652</f>
        <v>0</v>
      </c>
      <c r="AB652" s="100">
        <f>AS652/AP652</f>
        <v>0</v>
      </c>
      <c r="AC652" s="24"/>
      <c r="AD652" s="24"/>
      <c r="AE652" s="24"/>
      <c r="AF652" s="24"/>
      <c r="AG652" s="18">
        <v>23</v>
      </c>
      <c r="AH652" s="69" t="s">
        <v>356</v>
      </c>
      <c r="AI652" s="243" t="s">
        <v>31</v>
      </c>
      <c r="AJ652" s="243" t="s">
        <v>419</v>
      </c>
      <c r="AK652" s="246"/>
      <c r="AL652" s="43" t="str">
        <f t="shared" si="180"/>
        <v>-</v>
      </c>
      <c r="AM652" s="43">
        <f t="shared" si="168"/>
        <v>0</v>
      </c>
      <c r="AN652" s="193">
        <f t="shared" si="168"/>
        <v>0</v>
      </c>
      <c r="AO652" s="270" t="str">
        <f t="shared" si="169"/>
        <v>-</v>
      </c>
      <c r="AP652" s="265">
        <f>BJ652</f>
        <v>40</v>
      </c>
      <c r="AQ652" s="26" t="str">
        <f t="shared" si="176"/>
        <v>KITSUCKSUS CREEKCoho</v>
      </c>
      <c r="AR652" s="26">
        <f t="shared" si="170"/>
        <v>0</v>
      </c>
      <c r="AS652" s="33">
        <f t="shared" si="171"/>
        <v>0</v>
      </c>
      <c r="AX652" s="47" t="str">
        <f t="shared" si="172"/>
        <v>KITSUCKSUS CREEKCoho</v>
      </c>
      <c r="AY652" s="49">
        <f t="shared" si="173"/>
        <v>0</v>
      </c>
      <c r="AZ652" s="49">
        <f t="shared" si="174"/>
        <v>0</v>
      </c>
      <c r="BA652" s="31">
        <v>2012</v>
      </c>
      <c r="BB652" s="188">
        <f t="shared" si="177"/>
        <v>0</v>
      </c>
      <c r="BC652" s="188" t="str">
        <f t="shared" si="181"/>
        <v xml:space="preserve"> </v>
      </c>
      <c r="BD652" s="188" t="str">
        <f t="shared" si="182"/>
        <v xml:space="preserve"> </v>
      </c>
      <c r="BE652" s="188" t="str">
        <f t="shared" si="183"/>
        <v xml:space="preserve"> </v>
      </c>
      <c r="BF652" s="50" t="str">
        <f t="shared" si="175"/>
        <v>KITSUCKSUS CREEK_Coho</v>
      </c>
      <c r="BG652" s="50" t="str">
        <f>IFERROR(VLOOKUP(BF652,'[1]WCVI Esc'!$C$5:$W$514,18,FALSE),"-")</f>
        <v>-</v>
      </c>
      <c r="BH652" s="50" t="str">
        <f t="shared" si="178"/>
        <v>-</v>
      </c>
      <c r="BI652" s="50">
        <f>IFERROR(VLOOKUP(BF652,'[1]WCVI Esc'!$C$5:$W$514,19,FALSE),"-")</f>
        <v>43</v>
      </c>
      <c r="BJ652" s="50">
        <f t="shared" si="179"/>
        <v>40</v>
      </c>
    </row>
    <row r="653" spans="1:67" hidden="1" x14ac:dyDescent="0.2">
      <c r="A653" s="28">
        <v>4</v>
      </c>
      <c r="B653" s="28">
        <v>3</v>
      </c>
      <c r="C653" s="11">
        <v>23</v>
      </c>
      <c r="D653" s="13" t="s">
        <v>356</v>
      </c>
      <c r="E653" s="10" t="s">
        <v>31</v>
      </c>
      <c r="F653" s="10" t="s">
        <v>208</v>
      </c>
      <c r="G653" s="10"/>
      <c r="H653" s="152"/>
      <c r="I653" s="164"/>
      <c r="J653" s="62"/>
      <c r="K653" s="62"/>
      <c r="L653" s="177"/>
      <c r="M653" s="174"/>
      <c r="N653" s="143"/>
      <c r="O653" s="143"/>
      <c r="P653" s="143"/>
      <c r="Q653" s="184"/>
      <c r="R653" s="187"/>
      <c r="S653" s="143"/>
      <c r="T653" s="143"/>
      <c r="U653" s="143"/>
      <c r="V653" s="177"/>
      <c r="W653" s="171"/>
      <c r="X653" s="62"/>
      <c r="Y653" s="45"/>
      <c r="Z653" s="45"/>
      <c r="AA653" s="100"/>
      <c r="AB653" s="100"/>
      <c r="AC653" s="24"/>
      <c r="AD653" s="24"/>
      <c r="AE653" s="24"/>
      <c r="AF653" s="24"/>
      <c r="AG653" s="18">
        <v>23</v>
      </c>
      <c r="AH653" s="69" t="s">
        <v>356</v>
      </c>
      <c r="AI653" s="243" t="s">
        <v>31</v>
      </c>
      <c r="AJ653" s="243" t="s">
        <v>419</v>
      </c>
      <c r="AK653" s="246"/>
      <c r="AL653" s="43" t="str">
        <f t="shared" si="180"/>
        <v>-</v>
      </c>
      <c r="AM653" s="43">
        <f t="shared" si="168"/>
        <v>0</v>
      </c>
      <c r="AN653" s="193">
        <f t="shared" si="168"/>
        <v>0</v>
      </c>
      <c r="AO653" s="270" t="str">
        <f t="shared" si="169"/>
        <v>-</v>
      </c>
      <c r="AP653" s="266"/>
      <c r="AQ653" s="26" t="str">
        <f t="shared" si="176"/>
        <v>KITSUCKSUS CREEKPink</v>
      </c>
      <c r="AR653" s="26">
        <f t="shared" si="170"/>
        <v>0</v>
      </c>
      <c r="AS653" s="33">
        <f t="shared" si="171"/>
        <v>0</v>
      </c>
      <c r="AX653" s="47" t="str">
        <f t="shared" si="172"/>
        <v>KITSUCKSUS CREEKPink</v>
      </c>
      <c r="AY653" s="49">
        <f t="shared" si="173"/>
        <v>0</v>
      </c>
      <c r="AZ653" s="49">
        <f t="shared" si="174"/>
        <v>0</v>
      </c>
      <c r="BA653" s="31">
        <v>0</v>
      </c>
      <c r="BB653" s="188">
        <f t="shared" si="177"/>
        <v>0</v>
      </c>
      <c r="BC653" s="188" t="str">
        <f t="shared" si="181"/>
        <v xml:space="preserve"> </v>
      </c>
      <c r="BD653" s="188" t="str">
        <f t="shared" si="182"/>
        <v xml:space="preserve"> </v>
      </c>
      <c r="BE653" s="188" t="str">
        <f t="shared" si="183"/>
        <v xml:space="preserve"> </v>
      </c>
      <c r="BF653" s="50" t="str">
        <f t="shared" si="175"/>
        <v>KITSUCKSUS CREEK_Pink</v>
      </c>
      <c r="BG653" s="50" t="str">
        <f>IFERROR(VLOOKUP(BF653,'[1]WCVI Esc'!$C$5:$W$514,18,FALSE),"-")</f>
        <v>-</v>
      </c>
      <c r="BH653" s="50" t="str">
        <f t="shared" si="178"/>
        <v>-</v>
      </c>
      <c r="BI653" s="50" t="str">
        <f>IFERROR(VLOOKUP(BF653,'[1]WCVI Esc'!$C$5:$W$514,19,FALSE),"-")</f>
        <v>-</v>
      </c>
      <c r="BJ653" s="50" t="str">
        <f t="shared" si="179"/>
        <v>-</v>
      </c>
    </row>
    <row r="654" spans="1:67" hidden="1" x14ac:dyDescent="0.2">
      <c r="A654" s="28">
        <v>4</v>
      </c>
      <c r="B654" s="28">
        <v>4</v>
      </c>
      <c r="C654" s="11">
        <v>23</v>
      </c>
      <c r="D654" s="13" t="s">
        <v>356</v>
      </c>
      <c r="E654" s="10" t="s">
        <v>31</v>
      </c>
      <c r="F654" s="10" t="s">
        <v>209</v>
      </c>
      <c r="G654" s="10"/>
      <c r="H654" s="152"/>
      <c r="I654" s="164"/>
      <c r="J654" s="62"/>
      <c r="K654" s="62"/>
      <c r="L654" s="177"/>
      <c r="M654" s="174"/>
      <c r="N654" s="143"/>
      <c r="O654" s="143"/>
      <c r="P654" s="143"/>
      <c r="Q654" s="184"/>
      <c r="R654" s="187"/>
      <c r="S654" s="143"/>
      <c r="T654" s="143"/>
      <c r="U654" s="143"/>
      <c r="V654" s="177"/>
      <c r="W654" s="171"/>
      <c r="X654" s="62"/>
      <c r="Y654" s="45"/>
      <c r="Z654" s="45"/>
      <c r="AA654" s="100">
        <f>Y654/AP654</f>
        <v>0</v>
      </c>
      <c r="AB654" s="100">
        <f>AS654/AP654</f>
        <v>0</v>
      </c>
      <c r="AC654" s="24"/>
      <c r="AD654" s="24"/>
      <c r="AE654" s="24"/>
      <c r="AF654" s="24"/>
      <c r="AG654" s="18">
        <v>23</v>
      </c>
      <c r="AH654" s="69" t="s">
        <v>356</v>
      </c>
      <c r="AI654" s="243" t="s">
        <v>31</v>
      </c>
      <c r="AJ654" s="243" t="s">
        <v>419</v>
      </c>
      <c r="AK654" s="246"/>
      <c r="AL654" s="43" t="str">
        <f t="shared" si="180"/>
        <v>-</v>
      </c>
      <c r="AM654" s="43">
        <f t="shared" si="168"/>
        <v>0</v>
      </c>
      <c r="AN654" s="193">
        <f t="shared" si="168"/>
        <v>0</v>
      </c>
      <c r="AO654" s="270" t="str">
        <f t="shared" si="169"/>
        <v>-</v>
      </c>
      <c r="AP654" s="265">
        <f>BJ654</f>
        <v>40</v>
      </c>
      <c r="AQ654" s="26" t="str">
        <f t="shared" si="176"/>
        <v>KITSUCKSUS CREEKChum</v>
      </c>
      <c r="AR654" s="26">
        <f t="shared" si="170"/>
        <v>0</v>
      </c>
      <c r="AS654" s="33">
        <f t="shared" si="171"/>
        <v>0</v>
      </c>
      <c r="AX654" s="47" t="str">
        <f t="shared" si="172"/>
        <v>KITSUCKSUS CREEKChum</v>
      </c>
      <c r="AY654" s="49">
        <f t="shared" si="173"/>
        <v>0</v>
      </c>
      <c r="AZ654" s="49">
        <f t="shared" si="174"/>
        <v>0</v>
      </c>
      <c r="BA654" s="31">
        <v>2012</v>
      </c>
      <c r="BB654" s="188">
        <f t="shared" si="177"/>
        <v>0</v>
      </c>
      <c r="BC654" s="188" t="str">
        <f t="shared" si="181"/>
        <v xml:space="preserve"> </v>
      </c>
      <c r="BD654" s="188" t="str">
        <f t="shared" si="182"/>
        <v xml:space="preserve"> </v>
      </c>
      <c r="BE654" s="188" t="str">
        <f t="shared" si="183"/>
        <v xml:space="preserve"> </v>
      </c>
      <c r="BF654" s="50" t="str">
        <f t="shared" si="175"/>
        <v>KITSUCKSUS CREEK_Chum</v>
      </c>
      <c r="BG654" s="50" t="str">
        <f>IFERROR(VLOOKUP(BF654,'[1]WCVI Esc'!$C$5:$W$514,18,FALSE),"-")</f>
        <v>-</v>
      </c>
      <c r="BH654" s="50" t="str">
        <f t="shared" si="178"/>
        <v>-</v>
      </c>
      <c r="BI654" s="50">
        <f>IFERROR(VLOOKUP(BF654,'[1]WCVI Esc'!$C$5:$W$514,19,FALSE),"-")</f>
        <v>42</v>
      </c>
      <c r="BJ654" s="50">
        <f t="shared" si="179"/>
        <v>40</v>
      </c>
    </row>
    <row r="655" spans="1:67" hidden="1" x14ac:dyDescent="0.2">
      <c r="A655" s="28">
        <v>4</v>
      </c>
      <c r="B655" s="28">
        <v>5</v>
      </c>
      <c r="C655" s="11">
        <v>23</v>
      </c>
      <c r="D655" s="13" t="s">
        <v>356</v>
      </c>
      <c r="E655" s="10" t="s">
        <v>31</v>
      </c>
      <c r="F655" s="10" t="s">
        <v>210</v>
      </c>
      <c r="G655" s="10"/>
      <c r="H655" s="152"/>
      <c r="I655" s="164"/>
      <c r="J655" s="62"/>
      <c r="K655" s="62"/>
      <c r="L655" s="177"/>
      <c r="M655" s="174"/>
      <c r="N655" s="143"/>
      <c r="O655" s="143"/>
      <c r="P655" s="143"/>
      <c r="Q655" s="184"/>
      <c r="R655" s="187"/>
      <c r="S655" s="143"/>
      <c r="T655" s="143"/>
      <c r="U655" s="143"/>
      <c r="V655" s="177"/>
      <c r="W655" s="171"/>
      <c r="X655" s="62"/>
      <c r="Y655" s="45"/>
      <c r="Z655" s="45"/>
      <c r="AA655" s="100"/>
      <c r="AB655" s="100"/>
      <c r="AC655" s="24"/>
      <c r="AD655" s="24"/>
      <c r="AE655" s="24"/>
      <c r="AF655" s="24"/>
      <c r="AG655" s="18">
        <v>23</v>
      </c>
      <c r="AH655" s="69" t="s">
        <v>356</v>
      </c>
      <c r="AI655" s="243" t="s">
        <v>31</v>
      </c>
      <c r="AJ655" s="243" t="s">
        <v>419</v>
      </c>
      <c r="AK655" s="246"/>
      <c r="AL655" s="43" t="str">
        <f t="shared" si="180"/>
        <v>-</v>
      </c>
      <c r="AM655" s="43">
        <f t="shared" si="168"/>
        <v>0</v>
      </c>
      <c r="AN655" s="193">
        <f t="shared" si="168"/>
        <v>0</v>
      </c>
      <c r="AO655" s="270" t="str">
        <f t="shared" si="169"/>
        <v>-</v>
      </c>
      <c r="AP655" s="266"/>
      <c r="AQ655" s="26" t="str">
        <f t="shared" si="176"/>
        <v>KITSUCKSUS CREEKChinook</v>
      </c>
      <c r="AR655" s="26">
        <f t="shared" si="170"/>
        <v>0</v>
      </c>
      <c r="AS655" s="33">
        <f t="shared" si="171"/>
        <v>0</v>
      </c>
      <c r="AX655" s="47" t="str">
        <f t="shared" si="172"/>
        <v>KITSUCKSUS CREEKChinook</v>
      </c>
      <c r="AY655" s="49">
        <f t="shared" si="173"/>
        <v>0</v>
      </c>
      <c r="AZ655" s="49">
        <f t="shared" si="174"/>
        <v>0</v>
      </c>
      <c r="BA655" s="31">
        <v>0</v>
      </c>
      <c r="BB655" s="188">
        <f t="shared" si="177"/>
        <v>0</v>
      </c>
      <c r="BC655" s="188" t="str">
        <f t="shared" si="181"/>
        <v xml:space="preserve"> </v>
      </c>
      <c r="BD655" s="188" t="str">
        <f t="shared" si="182"/>
        <v xml:space="preserve"> </v>
      </c>
      <c r="BE655" s="188" t="str">
        <f t="shared" si="183"/>
        <v xml:space="preserve"> </v>
      </c>
      <c r="BF655" s="50" t="str">
        <f t="shared" si="175"/>
        <v>KITSUCKSUS CREEK_Chinook</v>
      </c>
      <c r="BG655" s="50" t="str">
        <f>IFERROR(VLOOKUP(BF655,'[1]WCVI Esc'!$C$5:$W$514,18,FALSE),"-")</f>
        <v>-</v>
      </c>
      <c r="BH655" s="50" t="str">
        <f t="shared" si="178"/>
        <v>-</v>
      </c>
      <c r="BI655" s="50" t="str">
        <f>IFERROR(VLOOKUP(BF655,'[1]WCVI Esc'!$C$5:$W$514,19,FALSE),"-")</f>
        <v>-</v>
      </c>
      <c r="BJ655" s="50" t="str">
        <f t="shared" si="179"/>
        <v>-</v>
      </c>
      <c r="BK655" t="s">
        <v>441</v>
      </c>
      <c r="BL655" t="s">
        <v>450</v>
      </c>
      <c r="BO655" s="31">
        <v>1</v>
      </c>
    </row>
    <row r="656" spans="1:67" hidden="1" x14ac:dyDescent="0.2">
      <c r="A656" s="28">
        <v>4</v>
      </c>
      <c r="B656" s="28">
        <v>6</v>
      </c>
      <c r="C656" s="11">
        <v>23</v>
      </c>
      <c r="D656" s="13" t="s">
        <v>356</v>
      </c>
      <c r="E656" s="10" t="s">
        <v>31</v>
      </c>
      <c r="F656" s="10" t="s">
        <v>211</v>
      </c>
      <c r="G656" s="10"/>
      <c r="H656" s="152"/>
      <c r="I656" s="164"/>
      <c r="J656" s="62"/>
      <c r="K656" s="62"/>
      <c r="L656" s="177"/>
      <c r="M656" s="174"/>
      <c r="N656" s="143"/>
      <c r="O656" s="143"/>
      <c r="P656" s="143"/>
      <c r="Q656" s="184"/>
      <c r="R656" s="187"/>
      <c r="S656" s="143"/>
      <c r="T656" s="143"/>
      <c r="U656" s="143"/>
      <c r="V656" s="177"/>
      <c r="W656" s="171"/>
      <c r="X656" s="62"/>
      <c r="Y656" s="45"/>
      <c r="Z656" s="45"/>
      <c r="AA656" s="100"/>
      <c r="AB656" s="100"/>
      <c r="AC656" s="24"/>
      <c r="AD656" s="24"/>
      <c r="AE656" s="24"/>
      <c r="AF656" s="24"/>
      <c r="AG656" s="18">
        <v>23</v>
      </c>
      <c r="AH656" s="69" t="s">
        <v>356</v>
      </c>
      <c r="AI656" s="243" t="s">
        <v>31</v>
      </c>
      <c r="AJ656" s="243" t="s">
        <v>419</v>
      </c>
      <c r="AK656" s="246"/>
      <c r="AL656" s="43" t="str">
        <f t="shared" si="180"/>
        <v>-</v>
      </c>
      <c r="AM656" s="43">
        <f t="shared" si="168"/>
        <v>0</v>
      </c>
      <c r="AN656" s="193">
        <f t="shared" si="168"/>
        <v>0</v>
      </c>
      <c r="AO656" s="270" t="str">
        <f t="shared" si="169"/>
        <v>-</v>
      </c>
      <c r="AP656" s="266"/>
      <c r="AQ656" s="26" t="str">
        <f t="shared" si="176"/>
        <v>KITSUCKSUS CREEKSteelhead</v>
      </c>
      <c r="AR656" s="26">
        <f t="shared" si="170"/>
        <v>0</v>
      </c>
      <c r="AS656" s="33">
        <f t="shared" si="171"/>
        <v>0</v>
      </c>
      <c r="AX656" s="47" t="str">
        <f t="shared" si="172"/>
        <v>KITSUCKSUS CREEKSteelhead</v>
      </c>
      <c r="AY656" s="49">
        <f t="shared" si="173"/>
        <v>0</v>
      </c>
      <c r="AZ656" s="49">
        <f t="shared" si="174"/>
        <v>0</v>
      </c>
      <c r="BA656" s="31">
        <v>0</v>
      </c>
      <c r="BB656" s="188">
        <f t="shared" si="177"/>
        <v>0</v>
      </c>
      <c r="BC656" s="188" t="str">
        <f t="shared" si="181"/>
        <v xml:space="preserve"> </v>
      </c>
      <c r="BD656" s="188" t="str">
        <f t="shared" si="182"/>
        <v xml:space="preserve"> </v>
      </c>
      <c r="BE656" s="188" t="str">
        <f t="shared" si="183"/>
        <v xml:space="preserve"> </v>
      </c>
      <c r="BF656" s="50" t="str">
        <f t="shared" si="175"/>
        <v>KITSUCKSUS CREEK_Steelhead</v>
      </c>
      <c r="BG656" s="50" t="str">
        <f>IFERROR(VLOOKUP(BF656,'[1]WCVI Esc'!$C$5:$W$514,18,FALSE),"-")</f>
        <v>-</v>
      </c>
      <c r="BH656" s="50" t="str">
        <f t="shared" si="178"/>
        <v>-</v>
      </c>
      <c r="BI656" s="50" t="str">
        <f>IFERROR(VLOOKUP(BF656,'[1]WCVI Esc'!$C$5:$W$514,19,FALSE),"-")</f>
        <v>-</v>
      </c>
      <c r="BJ656" s="50" t="str">
        <f t="shared" si="179"/>
        <v>-</v>
      </c>
    </row>
    <row r="657" spans="1:62" hidden="1" x14ac:dyDescent="0.2">
      <c r="A657" s="28">
        <v>4</v>
      </c>
      <c r="B657" s="28">
        <v>1</v>
      </c>
      <c r="C657" s="11">
        <v>23</v>
      </c>
      <c r="D657" s="13" t="s">
        <v>295</v>
      </c>
      <c r="E657" s="10" t="s">
        <v>178</v>
      </c>
      <c r="F657" s="10" t="s">
        <v>207</v>
      </c>
      <c r="G657" s="10"/>
      <c r="H657" s="152"/>
      <c r="I657" s="164"/>
      <c r="J657" s="62"/>
      <c r="K657" s="62"/>
      <c r="L657" s="177"/>
      <c r="M657" s="171"/>
      <c r="N657" s="62"/>
      <c r="O657" s="62"/>
      <c r="P657" s="62"/>
      <c r="Q657" s="64"/>
      <c r="R657" s="164"/>
      <c r="S657" s="62"/>
      <c r="T657" s="62"/>
      <c r="U657" s="62"/>
      <c r="V657" s="177"/>
      <c r="W657" s="171"/>
      <c r="X657" s="62"/>
      <c r="Y657" s="45"/>
      <c r="Z657" s="45"/>
      <c r="AA657" s="100"/>
      <c r="AB657" s="100"/>
      <c r="AC657" s="24"/>
      <c r="AD657" s="24"/>
      <c r="AE657" s="24"/>
      <c r="AF657" s="24"/>
      <c r="AG657" s="18">
        <v>23</v>
      </c>
      <c r="AH657" s="69" t="s">
        <v>295</v>
      </c>
      <c r="AI657" s="243" t="s">
        <v>178</v>
      </c>
      <c r="AJ657" s="243" t="s">
        <v>419</v>
      </c>
      <c r="AK657" s="246"/>
      <c r="AL657" s="43" t="str">
        <f t="shared" si="180"/>
        <v>-</v>
      </c>
      <c r="AM657" s="43">
        <f t="shared" si="168"/>
        <v>0</v>
      </c>
      <c r="AN657" s="193">
        <f t="shared" si="168"/>
        <v>0</v>
      </c>
      <c r="AO657" s="270" t="str">
        <f t="shared" si="169"/>
        <v>-</v>
      </c>
      <c r="AP657" s="266"/>
      <c r="AQ657" s="26" t="str">
        <f t="shared" si="176"/>
        <v>LITTLE MAGGIE RIVERSockeye</v>
      </c>
      <c r="AR657" s="26">
        <f t="shared" si="170"/>
        <v>0</v>
      </c>
      <c r="AS657" s="33">
        <f t="shared" si="171"/>
        <v>0</v>
      </c>
      <c r="AX657" s="47" t="str">
        <f t="shared" si="172"/>
        <v>LITTLE MAGGIE RIVERSockeye</v>
      </c>
      <c r="AY657" s="49">
        <f t="shared" si="173"/>
        <v>0</v>
      </c>
      <c r="AZ657" s="49">
        <f t="shared" si="174"/>
        <v>0</v>
      </c>
      <c r="BA657" s="31">
        <v>0</v>
      </c>
      <c r="BB657" s="188">
        <f t="shared" si="177"/>
        <v>0</v>
      </c>
      <c r="BC657" s="188" t="str">
        <f t="shared" si="181"/>
        <v xml:space="preserve"> </v>
      </c>
      <c r="BD657" s="188" t="str">
        <f t="shared" si="182"/>
        <v xml:space="preserve"> </v>
      </c>
      <c r="BE657" s="188" t="str">
        <f t="shared" si="183"/>
        <v xml:space="preserve"> </v>
      </c>
      <c r="BF657" s="50" t="str">
        <f t="shared" si="175"/>
        <v>LITTLE MAGGIE RIVER_Sockeye</v>
      </c>
      <c r="BG657" s="50" t="str">
        <f>IFERROR(VLOOKUP(BF657,'[1]WCVI Esc'!$C$5:$W$514,18,FALSE),"-")</f>
        <v>-</v>
      </c>
      <c r="BH657" s="50" t="str">
        <f t="shared" si="178"/>
        <v>-</v>
      </c>
      <c r="BI657" s="50" t="str">
        <f>IFERROR(VLOOKUP(BF657,'[1]WCVI Esc'!$C$5:$W$514,19,FALSE),"-")</f>
        <v>-</v>
      </c>
      <c r="BJ657" s="50" t="str">
        <f t="shared" si="179"/>
        <v>-</v>
      </c>
    </row>
    <row r="658" spans="1:62" hidden="1" x14ac:dyDescent="0.2">
      <c r="A658" s="28">
        <v>4</v>
      </c>
      <c r="B658" s="28">
        <v>2</v>
      </c>
      <c r="C658" s="11">
        <v>23</v>
      </c>
      <c r="D658" s="13" t="s">
        <v>295</v>
      </c>
      <c r="E658" s="10" t="s">
        <v>178</v>
      </c>
      <c r="F658" s="10" t="s">
        <v>219</v>
      </c>
      <c r="G658" s="10"/>
      <c r="H658" s="152"/>
      <c r="I658" s="164"/>
      <c r="J658" s="62"/>
      <c r="K658" s="62"/>
      <c r="L658" s="177"/>
      <c r="M658" s="171"/>
      <c r="N658" s="62"/>
      <c r="O658" s="62"/>
      <c r="P658" s="62"/>
      <c r="Q658" s="64"/>
      <c r="R658" s="164"/>
      <c r="S658" s="62"/>
      <c r="T658" s="62"/>
      <c r="U658" s="62"/>
      <c r="V658" s="177"/>
      <c r="W658" s="171"/>
      <c r="X658" s="62"/>
      <c r="Y658" s="45"/>
      <c r="Z658" s="45"/>
      <c r="AA658" s="100"/>
      <c r="AB658" s="100"/>
      <c r="AC658" s="24"/>
      <c r="AD658" s="24"/>
      <c r="AE658" s="24"/>
      <c r="AF658" s="24"/>
      <c r="AG658" s="18">
        <v>23</v>
      </c>
      <c r="AH658" s="69" t="s">
        <v>295</v>
      </c>
      <c r="AI658" s="243" t="s">
        <v>178</v>
      </c>
      <c r="AJ658" s="243" t="s">
        <v>419</v>
      </c>
      <c r="AK658" s="246"/>
      <c r="AL658" s="43" t="str">
        <f t="shared" si="180"/>
        <v>-</v>
      </c>
      <c r="AM658" s="43">
        <f t="shared" si="168"/>
        <v>0</v>
      </c>
      <c r="AN658" s="193">
        <f t="shared" si="168"/>
        <v>0</v>
      </c>
      <c r="AO658" s="270" t="str">
        <f t="shared" si="169"/>
        <v>-</v>
      </c>
      <c r="AP658" s="266"/>
      <c r="AQ658" s="26" t="str">
        <f t="shared" si="176"/>
        <v>LITTLE MAGGIE RIVERCoho</v>
      </c>
      <c r="AR658" s="26">
        <f t="shared" si="170"/>
        <v>0</v>
      </c>
      <c r="AS658" s="33">
        <f t="shared" si="171"/>
        <v>0</v>
      </c>
      <c r="AX658" s="47" t="str">
        <f t="shared" si="172"/>
        <v>LITTLE MAGGIE RIVERCoho</v>
      </c>
      <c r="AY658" s="49">
        <f t="shared" si="173"/>
        <v>0</v>
      </c>
      <c r="AZ658" s="49">
        <f t="shared" si="174"/>
        <v>0</v>
      </c>
      <c r="BA658" s="31">
        <v>2000</v>
      </c>
      <c r="BB658" s="188">
        <f t="shared" si="177"/>
        <v>0</v>
      </c>
      <c r="BC658" s="188" t="str">
        <f t="shared" si="181"/>
        <v xml:space="preserve"> </v>
      </c>
      <c r="BD658" s="188" t="str">
        <f t="shared" si="182"/>
        <v xml:space="preserve"> </v>
      </c>
      <c r="BE658" s="188" t="str">
        <f t="shared" si="183"/>
        <v xml:space="preserve"> </v>
      </c>
      <c r="BF658" s="50" t="str">
        <f t="shared" si="175"/>
        <v>LITTLE MAGGIE RIVER_Coho</v>
      </c>
      <c r="BG658" s="50" t="str">
        <f>IFERROR(VLOOKUP(BF658,'[1]WCVI Esc'!$C$5:$W$514,18,FALSE),"-")</f>
        <v>-</v>
      </c>
      <c r="BH658" s="50" t="str">
        <f t="shared" si="178"/>
        <v>-</v>
      </c>
      <c r="BI658" s="50" t="str">
        <f>IFERROR(VLOOKUP(BF658,'[1]WCVI Esc'!$C$5:$W$514,19,FALSE),"-")</f>
        <v>-</v>
      </c>
      <c r="BJ658" s="50" t="str">
        <f t="shared" si="179"/>
        <v>-</v>
      </c>
    </row>
    <row r="659" spans="1:62" hidden="1" x14ac:dyDescent="0.2">
      <c r="A659" s="28">
        <v>4</v>
      </c>
      <c r="B659" s="28">
        <v>3</v>
      </c>
      <c r="C659" s="11">
        <v>23</v>
      </c>
      <c r="D659" s="13" t="s">
        <v>295</v>
      </c>
      <c r="E659" s="10" t="s">
        <v>178</v>
      </c>
      <c r="F659" s="10" t="s">
        <v>208</v>
      </c>
      <c r="G659" s="10"/>
      <c r="H659" s="152"/>
      <c r="I659" s="164"/>
      <c r="J659" s="62"/>
      <c r="K659" s="62"/>
      <c r="L659" s="177"/>
      <c r="M659" s="171"/>
      <c r="N659" s="62"/>
      <c r="O659" s="62"/>
      <c r="P659" s="62"/>
      <c r="Q659" s="64"/>
      <c r="R659" s="164"/>
      <c r="S659" s="62"/>
      <c r="T659" s="62"/>
      <c r="U659" s="62"/>
      <c r="V659" s="177"/>
      <c r="W659" s="171"/>
      <c r="X659" s="62"/>
      <c r="Y659" s="45"/>
      <c r="Z659" s="45"/>
      <c r="AA659" s="100"/>
      <c r="AB659" s="100"/>
      <c r="AC659" s="24"/>
      <c r="AD659" s="24"/>
      <c r="AE659" s="24"/>
      <c r="AF659" s="24"/>
      <c r="AG659" s="18">
        <v>23</v>
      </c>
      <c r="AH659" s="69" t="s">
        <v>295</v>
      </c>
      <c r="AI659" s="243" t="s">
        <v>178</v>
      </c>
      <c r="AJ659" s="243" t="s">
        <v>419</v>
      </c>
      <c r="AK659" s="246"/>
      <c r="AL659" s="43" t="str">
        <f t="shared" si="180"/>
        <v>-</v>
      </c>
      <c r="AM659" s="43">
        <f t="shared" si="168"/>
        <v>0</v>
      </c>
      <c r="AN659" s="193">
        <f t="shared" si="168"/>
        <v>0</v>
      </c>
      <c r="AO659" s="270" t="str">
        <f t="shared" si="169"/>
        <v>-</v>
      </c>
      <c r="AP659" s="266"/>
      <c r="AQ659" s="26" t="str">
        <f t="shared" si="176"/>
        <v>LITTLE MAGGIE RIVERPink</v>
      </c>
      <c r="AR659" s="26">
        <f t="shared" si="170"/>
        <v>0</v>
      </c>
      <c r="AS659" s="33">
        <f t="shared" si="171"/>
        <v>0</v>
      </c>
      <c r="AX659" s="47" t="str">
        <f t="shared" si="172"/>
        <v>LITTLE MAGGIE RIVERPink</v>
      </c>
      <c r="AY659" s="49">
        <f t="shared" si="173"/>
        <v>0</v>
      </c>
      <c r="AZ659" s="49">
        <f t="shared" si="174"/>
        <v>0</v>
      </c>
      <c r="BA659" s="31">
        <v>0</v>
      </c>
      <c r="BB659" s="188">
        <f t="shared" si="177"/>
        <v>0</v>
      </c>
      <c r="BC659" s="188" t="str">
        <f t="shared" si="181"/>
        <v xml:space="preserve"> </v>
      </c>
      <c r="BD659" s="188" t="str">
        <f t="shared" si="182"/>
        <v xml:space="preserve"> </v>
      </c>
      <c r="BE659" s="188" t="str">
        <f t="shared" si="183"/>
        <v xml:space="preserve"> </v>
      </c>
      <c r="BF659" s="50" t="str">
        <f t="shared" si="175"/>
        <v>LITTLE MAGGIE RIVER_Pink</v>
      </c>
      <c r="BG659" s="50" t="str">
        <f>IFERROR(VLOOKUP(BF659,'[1]WCVI Esc'!$C$5:$W$514,18,FALSE),"-")</f>
        <v>-</v>
      </c>
      <c r="BH659" s="50" t="str">
        <f t="shared" si="178"/>
        <v>-</v>
      </c>
      <c r="BI659" s="50" t="str">
        <f>IFERROR(VLOOKUP(BF659,'[1]WCVI Esc'!$C$5:$W$514,19,FALSE),"-")</f>
        <v>-</v>
      </c>
      <c r="BJ659" s="50" t="str">
        <f t="shared" si="179"/>
        <v>-</v>
      </c>
    </row>
    <row r="660" spans="1:62" hidden="1" x14ac:dyDescent="0.2">
      <c r="A660" s="28">
        <v>4</v>
      </c>
      <c r="B660" s="28">
        <v>4</v>
      </c>
      <c r="C660" s="11">
        <v>23</v>
      </c>
      <c r="D660" s="13" t="s">
        <v>295</v>
      </c>
      <c r="E660" s="10" t="s">
        <v>178</v>
      </c>
      <c r="F660" s="10" t="s">
        <v>209</v>
      </c>
      <c r="G660" s="10"/>
      <c r="H660" s="152"/>
      <c r="I660" s="164"/>
      <c r="J660" s="62"/>
      <c r="K660" s="62"/>
      <c r="L660" s="177"/>
      <c r="M660" s="171"/>
      <c r="N660" s="62"/>
      <c r="O660" s="62"/>
      <c r="P660" s="62"/>
      <c r="Q660" s="64"/>
      <c r="R660" s="164"/>
      <c r="S660" s="62"/>
      <c r="T660" s="62"/>
      <c r="U660" s="62"/>
      <c r="V660" s="177"/>
      <c r="W660" s="171"/>
      <c r="X660" s="62"/>
      <c r="Y660" s="45"/>
      <c r="Z660" s="45"/>
      <c r="AA660" s="100"/>
      <c r="AB660" s="100"/>
      <c r="AC660" s="24"/>
      <c r="AD660" s="24"/>
      <c r="AE660" s="24"/>
      <c r="AF660" s="24"/>
      <c r="AG660" s="18">
        <v>23</v>
      </c>
      <c r="AH660" s="69" t="s">
        <v>295</v>
      </c>
      <c r="AI660" s="243" t="s">
        <v>178</v>
      </c>
      <c r="AJ660" s="243" t="s">
        <v>419</v>
      </c>
      <c r="AK660" s="246"/>
      <c r="AL660" s="43" t="str">
        <f t="shared" si="180"/>
        <v>-</v>
      </c>
      <c r="AM660" s="43">
        <f t="shared" si="168"/>
        <v>0</v>
      </c>
      <c r="AN660" s="193">
        <f t="shared" si="168"/>
        <v>0</v>
      </c>
      <c r="AO660" s="270" t="str">
        <f t="shared" si="169"/>
        <v>-</v>
      </c>
      <c r="AP660" s="266"/>
      <c r="AQ660" s="26" t="str">
        <f t="shared" si="176"/>
        <v>LITTLE MAGGIE RIVERChum</v>
      </c>
      <c r="AR660" s="26">
        <f t="shared" si="170"/>
        <v>0</v>
      </c>
      <c r="AS660" s="33">
        <f t="shared" si="171"/>
        <v>0</v>
      </c>
      <c r="AX660" s="47" t="str">
        <f t="shared" si="172"/>
        <v>LITTLE MAGGIE RIVERChum</v>
      </c>
      <c r="AY660" s="49">
        <f t="shared" si="173"/>
        <v>0</v>
      </c>
      <c r="AZ660" s="49">
        <f t="shared" si="174"/>
        <v>0</v>
      </c>
      <c r="BA660" s="31">
        <v>2000</v>
      </c>
      <c r="BB660" s="188">
        <f t="shared" si="177"/>
        <v>0</v>
      </c>
      <c r="BC660" s="188" t="str">
        <f t="shared" si="181"/>
        <v xml:space="preserve"> </v>
      </c>
      <c r="BD660" s="188" t="str">
        <f t="shared" si="182"/>
        <v xml:space="preserve"> </v>
      </c>
      <c r="BE660" s="188" t="str">
        <f t="shared" si="183"/>
        <v xml:space="preserve"> </v>
      </c>
      <c r="BF660" s="50" t="str">
        <f t="shared" si="175"/>
        <v>LITTLE MAGGIE RIVER_Chum</v>
      </c>
      <c r="BG660" s="50" t="str">
        <f>IFERROR(VLOOKUP(BF660,'[1]WCVI Esc'!$C$5:$W$514,18,FALSE),"-")</f>
        <v>-</v>
      </c>
      <c r="BH660" s="50" t="str">
        <f t="shared" si="178"/>
        <v>-</v>
      </c>
      <c r="BI660" s="50" t="str">
        <f>IFERROR(VLOOKUP(BF660,'[1]WCVI Esc'!$C$5:$W$514,19,FALSE),"-")</f>
        <v>-</v>
      </c>
      <c r="BJ660" s="50" t="str">
        <f t="shared" si="179"/>
        <v>-</v>
      </c>
    </row>
    <row r="661" spans="1:62" hidden="1" x14ac:dyDescent="0.2">
      <c r="A661" s="28">
        <v>4</v>
      </c>
      <c r="B661" s="28">
        <v>5</v>
      </c>
      <c r="C661" s="11">
        <v>23</v>
      </c>
      <c r="D661" s="13" t="s">
        <v>295</v>
      </c>
      <c r="E661" s="10" t="s">
        <v>178</v>
      </c>
      <c r="F661" s="10" t="s">
        <v>210</v>
      </c>
      <c r="G661" s="10"/>
      <c r="H661" s="152"/>
      <c r="I661" s="164"/>
      <c r="J661" s="62"/>
      <c r="K661" s="62"/>
      <c r="L661" s="177"/>
      <c r="M661" s="171"/>
      <c r="N661" s="62"/>
      <c r="O661" s="62"/>
      <c r="P661" s="62"/>
      <c r="Q661" s="64"/>
      <c r="R661" s="164"/>
      <c r="S661" s="62"/>
      <c r="T661" s="62"/>
      <c r="U661" s="62"/>
      <c r="V661" s="177"/>
      <c r="W661" s="171"/>
      <c r="X661" s="62"/>
      <c r="Y661" s="45"/>
      <c r="Z661" s="45"/>
      <c r="AA661" s="100"/>
      <c r="AB661" s="100"/>
      <c r="AC661" s="24"/>
      <c r="AD661" s="24"/>
      <c r="AE661" s="24"/>
      <c r="AF661" s="24"/>
      <c r="AG661" s="18">
        <v>23</v>
      </c>
      <c r="AH661" s="69" t="s">
        <v>295</v>
      </c>
      <c r="AI661" s="243" t="s">
        <v>178</v>
      </c>
      <c r="AJ661" s="243" t="s">
        <v>419</v>
      </c>
      <c r="AK661" s="246"/>
      <c r="AL661" s="43" t="str">
        <f t="shared" si="180"/>
        <v>-</v>
      </c>
      <c r="AM661" s="43">
        <f t="shared" si="168"/>
        <v>0</v>
      </c>
      <c r="AN661" s="193">
        <f t="shared" si="168"/>
        <v>0</v>
      </c>
      <c r="AO661" s="270" t="str">
        <f t="shared" si="169"/>
        <v>-</v>
      </c>
      <c r="AP661" s="266"/>
      <c r="AQ661" s="26" t="str">
        <f t="shared" si="176"/>
        <v>LITTLE MAGGIE RIVERChinook</v>
      </c>
      <c r="AR661" s="26">
        <f t="shared" si="170"/>
        <v>0</v>
      </c>
      <c r="AS661" s="33">
        <f t="shared" si="171"/>
        <v>0</v>
      </c>
      <c r="AX661" s="47" t="str">
        <f t="shared" si="172"/>
        <v>LITTLE MAGGIE RIVERChinook</v>
      </c>
      <c r="AY661" s="49">
        <f t="shared" si="173"/>
        <v>0</v>
      </c>
      <c r="AZ661" s="49">
        <f t="shared" si="174"/>
        <v>0</v>
      </c>
      <c r="BA661" s="31">
        <v>0</v>
      </c>
      <c r="BB661" s="188">
        <f t="shared" si="177"/>
        <v>0</v>
      </c>
      <c r="BC661" s="188" t="str">
        <f t="shared" si="181"/>
        <v xml:space="preserve"> </v>
      </c>
      <c r="BD661" s="188" t="str">
        <f t="shared" si="182"/>
        <v xml:space="preserve"> </v>
      </c>
      <c r="BE661" s="188" t="str">
        <f t="shared" si="183"/>
        <v xml:space="preserve"> </v>
      </c>
      <c r="BF661" s="50" t="str">
        <f t="shared" si="175"/>
        <v>LITTLE MAGGIE RIVER_Chinook</v>
      </c>
      <c r="BG661" s="50" t="str">
        <f>IFERROR(VLOOKUP(BF661,'[1]WCVI Esc'!$C$5:$W$514,18,FALSE),"-")</f>
        <v>-</v>
      </c>
      <c r="BH661" s="50" t="str">
        <f t="shared" si="178"/>
        <v>-</v>
      </c>
      <c r="BI661" s="50" t="str">
        <f>IFERROR(VLOOKUP(BF661,'[1]WCVI Esc'!$C$5:$W$514,19,FALSE),"-")</f>
        <v>-</v>
      </c>
      <c r="BJ661" s="50" t="str">
        <f t="shared" si="179"/>
        <v>-</v>
      </c>
    </row>
    <row r="662" spans="1:62" hidden="1" x14ac:dyDescent="0.2">
      <c r="A662" s="28">
        <v>4</v>
      </c>
      <c r="B662" s="28">
        <v>6</v>
      </c>
      <c r="C662" s="11">
        <v>23</v>
      </c>
      <c r="D662" s="13" t="s">
        <v>295</v>
      </c>
      <c r="E662" s="10" t="s">
        <v>178</v>
      </c>
      <c r="F662" s="10" t="s">
        <v>211</v>
      </c>
      <c r="G662" s="10"/>
      <c r="H662" s="152"/>
      <c r="I662" s="164"/>
      <c r="J662" s="62"/>
      <c r="K662" s="62"/>
      <c r="L662" s="177"/>
      <c r="M662" s="171"/>
      <c r="N662" s="62"/>
      <c r="O662" s="62"/>
      <c r="P662" s="62"/>
      <c r="Q662" s="64"/>
      <c r="R662" s="164"/>
      <c r="S662" s="62"/>
      <c r="T662" s="62"/>
      <c r="U662" s="62"/>
      <c r="V662" s="177"/>
      <c r="W662" s="171"/>
      <c r="X662" s="62"/>
      <c r="Y662" s="45"/>
      <c r="Z662" s="45"/>
      <c r="AA662" s="100"/>
      <c r="AB662" s="100"/>
      <c r="AC662" s="24"/>
      <c r="AD662" s="24"/>
      <c r="AE662" s="24"/>
      <c r="AF662" s="24"/>
      <c r="AG662" s="18">
        <v>23</v>
      </c>
      <c r="AH662" s="69" t="s">
        <v>295</v>
      </c>
      <c r="AI662" s="243" t="s">
        <v>178</v>
      </c>
      <c r="AJ662" s="243" t="s">
        <v>419</v>
      </c>
      <c r="AK662" s="246"/>
      <c r="AL662" s="43" t="str">
        <f t="shared" si="180"/>
        <v>-</v>
      </c>
      <c r="AM662" s="43">
        <f t="shared" si="168"/>
        <v>0</v>
      </c>
      <c r="AN662" s="193">
        <f t="shared" si="168"/>
        <v>0</v>
      </c>
      <c r="AO662" s="270" t="str">
        <f t="shared" si="169"/>
        <v>-</v>
      </c>
      <c r="AP662" s="266"/>
      <c r="AQ662" s="26" t="str">
        <f t="shared" si="176"/>
        <v>LITTLE MAGGIE RIVERSteelhead</v>
      </c>
      <c r="AR662" s="26">
        <f t="shared" si="170"/>
        <v>0</v>
      </c>
      <c r="AS662" s="33">
        <f t="shared" si="171"/>
        <v>0</v>
      </c>
      <c r="AX662" s="47" t="str">
        <f t="shared" si="172"/>
        <v>LITTLE MAGGIE RIVERSteelhead</v>
      </c>
      <c r="AY662" s="49">
        <f t="shared" si="173"/>
        <v>0</v>
      </c>
      <c r="AZ662" s="49">
        <f t="shared" si="174"/>
        <v>0</v>
      </c>
      <c r="BA662" s="31">
        <v>0</v>
      </c>
      <c r="BB662" s="188">
        <f t="shared" si="177"/>
        <v>0</v>
      </c>
      <c r="BC662" s="188" t="str">
        <f t="shared" si="181"/>
        <v xml:space="preserve"> </v>
      </c>
      <c r="BD662" s="188" t="str">
        <f t="shared" si="182"/>
        <v xml:space="preserve"> </v>
      </c>
      <c r="BE662" s="188" t="str">
        <f t="shared" si="183"/>
        <v xml:space="preserve"> </v>
      </c>
      <c r="BF662" s="50" t="str">
        <f t="shared" si="175"/>
        <v>LITTLE MAGGIE RIVER_Steelhead</v>
      </c>
      <c r="BG662" s="50" t="str">
        <f>IFERROR(VLOOKUP(BF662,'[1]WCVI Esc'!$C$5:$W$514,18,FALSE),"-")</f>
        <v>-</v>
      </c>
      <c r="BH662" s="50" t="str">
        <f t="shared" si="178"/>
        <v>-</v>
      </c>
      <c r="BI662" s="50" t="str">
        <f>IFERROR(VLOOKUP(BF662,'[1]WCVI Esc'!$C$5:$W$514,19,FALSE),"-")</f>
        <v>-</v>
      </c>
      <c r="BJ662" s="50" t="str">
        <f t="shared" si="179"/>
        <v>-</v>
      </c>
    </row>
    <row r="663" spans="1:62" hidden="1" x14ac:dyDescent="0.2">
      <c r="A663" s="28">
        <v>4</v>
      </c>
      <c r="B663" s="28">
        <v>1</v>
      </c>
      <c r="C663" s="11">
        <v>23</v>
      </c>
      <c r="D663" s="13" t="s">
        <v>295</v>
      </c>
      <c r="E663" s="10" t="s">
        <v>179</v>
      </c>
      <c r="F663" s="10" t="s">
        <v>207</v>
      </c>
      <c r="G663" s="10"/>
      <c r="H663" s="152"/>
      <c r="I663" s="164"/>
      <c r="J663" s="62"/>
      <c r="K663" s="62"/>
      <c r="L663" s="177"/>
      <c r="M663" s="171"/>
      <c r="N663" s="62"/>
      <c r="O663" s="62"/>
      <c r="P663" s="66"/>
      <c r="Q663" s="64"/>
      <c r="R663" s="169"/>
      <c r="S663" s="62"/>
      <c r="T663" s="62"/>
      <c r="U663" s="62"/>
      <c r="V663" s="177"/>
      <c r="W663" s="171"/>
      <c r="X663" s="62"/>
      <c r="Y663" s="45"/>
      <c r="Z663" s="45"/>
      <c r="AA663" s="100"/>
      <c r="AB663" s="100"/>
      <c r="AC663" s="24"/>
      <c r="AD663" s="24"/>
      <c r="AE663" s="24"/>
      <c r="AF663" s="24"/>
      <c r="AG663" s="18">
        <v>23</v>
      </c>
      <c r="AH663" s="69" t="s">
        <v>295</v>
      </c>
      <c r="AI663" s="243" t="s">
        <v>179</v>
      </c>
      <c r="AJ663" s="243" t="s">
        <v>419</v>
      </c>
      <c r="AK663" s="246"/>
      <c r="AL663" s="43" t="str">
        <f t="shared" si="180"/>
        <v>-</v>
      </c>
      <c r="AM663" s="43">
        <f t="shared" si="168"/>
        <v>0</v>
      </c>
      <c r="AN663" s="193">
        <f t="shared" si="168"/>
        <v>0</v>
      </c>
      <c r="AO663" s="270" t="str">
        <f t="shared" si="169"/>
        <v>-</v>
      </c>
      <c r="AP663" s="266"/>
      <c r="AQ663" s="26" t="str">
        <f t="shared" si="176"/>
        <v>LITTLE TOQUART CREEKSockeye</v>
      </c>
      <c r="AR663" s="26">
        <f t="shared" si="170"/>
        <v>0</v>
      </c>
      <c r="AS663" s="33">
        <f t="shared" si="171"/>
        <v>0</v>
      </c>
      <c r="AX663" s="47" t="str">
        <f t="shared" si="172"/>
        <v>LITTLE TOQUART CREEKSockeye</v>
      </c>
      <c r="AY663" s="49">
        <f t="shared" si="173"/>
        <v>0</v>
      </c>
      <c r="AZ663" s="49">
        <f t="shared" si="174"/>
        <v>0</v>
      </c>
      <c r="BA663" s="31">
        <v>0</v>
      </c>
      <c r="BB663" s="188">
        <f t="shared" si="177"/>
        <v>0</v>
      </c>
      <c r="BC663" s="188" t="str">
        <f t="shared" si="181"/>
        <v xml:space="preserve"> </v>
      </c>
      <c r="BD663" s="188" t="str">
        <f t="shared" si="182"/>
        <v xml:space="preserve"> </v>
      </c>
      <c r="BE663" s="188" t="str">
        <f t="shared" si="183"/>
        <v xml:space="preserve"> </v>
      </c>
      <c r="BF663" s="50" t="str">
        <f t="shared" si="175"/>
        <v>LITTLE TOQUART CREEK_Sockeye</v>
      </c>
      <c r="BG663" s="50" t="str">
        <f>IFERROR(VLOOKUP(BF663,'[1]WCVI Esc'!$C$5:$W$514,18,FALSE),"-")</f>
        <v>-</v>
      </c>
      <c r="BH663" s="50" t="str">
        <f t="shared" si="178"/>
        <v>-</v>
      </c>
      <c r="BI663" s="50" t="str">
        <f>IFERROR(VLOOKUP(BF663,'[1]WCVI Esc'!$C$5:$W$514,19,FALSE),"-")</f>
        <v>-</v>
      </c>
      <c r="BJ663" s="50" t="str">
        <f t="shared" si="179"/>
        <v>-</v>
      </c>
    </row>
    <row r="664" spans="1:62" hidden="1" x14ac:dyDescent="0.2">
      <c r="A664" s="28">
        <v>4</v>
      </c>
      <c r="B664" s="28">
        <v>2</v>
      </c>
      <c r="C664" s="11">
        <v>23</v>
      </c>
      <c r="D664" s="13" t="s">
        <v>295</v>
      </c>
      <c r="E664" s="10" t="s">
        <v>179</v>
      </c>
      <c r="F664" s="10" t="s">
        <v>219</v>
      </c>
      <c r="G664" s="10"/>
      <c r="H664" s="152"/>
      <c r="I664" s="164"/>
      <c r="J664" s="62"/>
      <c r="K664" s="62"/>
      <c r="L664" s="177"/>
      <c r="M664" s="171"/>
      <c r="N664" s="62"/>
      <c r="O664" s="62"/>
      <c r="P664" s="66"/>
      <c r="Q664" s="64"/>
      <c r="R664" s="169"/>
      <c r="S664" s="62"/>
      <c r="T664" s="62"/>
      <c r="U664" s="62"/>
      <c r="V664" s="177"/>
      <c r="W664" s="171"/>
      <c r="X664" s="62"/>
      <c r="Y664" s="45"/>
      <c r="Z664" s="46"/>
      <c r="AA664" s="100">
        <f>Y664/AP664</f>
        <v>0</v>
      </c>
      <c r="AB664" s="100">
        <f>AS664/AP664</f>
        <v>0</v>
      </c>
      <c r="AC664" s="24"/>
      <c r="AD664" s="24"/>
      <c r="AE664" s="24"/>
      <c r="AF664" s="24"/>
      <c r="AG664" s="18">
        <v>23</v>
      </c>
      <c r="AH664" s="69" t="s">
        <v>295</v>
      </c>
      <c r="AI664" s="243" t="s">
        <v>179</v>
      </c>
      <c r="AJ664" s="243" t="s">
        <v>419</v>
      </c>
      <c r="AK664" s="246"/>
      <c r="AL664" s="43" t="str">
        <f t="shared" si="180"/>
        <v>-</v>
      </c>
      <c r="AM664" s="43">
        <f t="shared" si="168"/>
        <v>0</v>
      </c>
      <c r="AN664" s="193">
        <f t="shared" si="168"/>
        <v>0</v>
      </c>
      <c r="AO664" s="270">
        <f t="shared" si="169"/>
        <v>20</v>
      </c>
      <c r="AP664" s="265">
        <f>BJ664</f>
        <v>20</v>
      </c>
      <c r="AQ664" s="26" t="str">
        <f t="shared" si="176"/>
        <v>LITTLE TOQUART CREEKCoho</v>
      </c>
      <c r="AR664" s="26">
        <f t="shared" si="170"/>
        <v>0</v>
      </c>
      <c r="AS664" s="33">
        <f t="shared" si="171"/>
        <v>0</v>
      </c>
      <c r="AX664" s="47" t="str">
        <f t="shared" si="172"/>
        <v>LITTLE TOQUART CREEKCoho</v>
      </c>
      <c r="AY664" s="49">
        <f t="shared" si="173"/>
        <v>0</v>
      </c>
      <c r="AZ664" s="49">
        <f t="shared" si="174"/>
        <v>0</v>
      </c>
      <c r="BA664" s="31">
        <v>2013</v>
      </c>
      <c r="BB664" s="188">
        <f t="shared" si="177"/>
        <v>0</v>
      </c>
      <c r="BC664" s="188" t="str">
        <f t="shared" si="181"/>
        <v xml:space="preserve"> </v>
      </c>
      <c r="BD664" s="188" t="str">
        <f t="shared" si="182"/>
        <v xml:space="preserve"> </v>
      </c>
      <c r="BE664" s="188" t="str">
        <f t="shared" si="183"/>
        <v xml:space="preserve"> </v>
      </c>
      <c r="BF664" s="50" t="str">
        <f t="shared" si="175"/>
        <v>LITTLE TOQUART CREEK_Coho</v>
      </c>
      <c r="BG664" s="50">
        <f>IFERROR(VLOOKUP(BF664,'[1]WCVI Esc'!$C$5:$W$514,18,FALSE),"-")</f>
        <v>20</v>
      </c>
      <c r="BH664" s="50">
        <f t="shared" si="178"/>
        <v>20</v>
      </c>
      <c r="BI664" s="50">
        <f>IFERROR(VLOOKUP(BF664,'[1]WCVI Esc'!$C$5:$W$514,19,FALSE),"-")</f>
        <v>18.75</v>
      </c>
      <c r="BJ664" s="50">
        <f t="shared" si="179"/>
        <v>20</v>
      </c>
    </row>
    <row r="665" spans="1:62" hidden="1" x14ac:dyDescent="0.2">
      <c r="A665" s="28">
        <v>4</v>
      </c>
      <c r="B665" s="28">
        <v>3</v>
      </c>
      <c r="C665" s="11">
        <v>23</v>
      </c>
      <c r="D665" s="13" t="s">
        <v>295</v>
      </c>
      <c r="E665" s="10" t="s">
        <v>179</v>
      </c>
      <c r="F665" s="10" t="s">
        <v>208</v>
      </c>
      <c r="G665" s="10"/>
      <c r="H665" s="152"/>
      <c r="I665" s="164"/>
      <c r="J665" s="62"/>
      <c r="K665" s="62"/>
      <c r="L665" s="177"/>
      <c r="M665" s="171"/>
      <c r="N665" s="62"/>
      <c r="O665" s="62"/>
      <c r="P665" s="66"/>
      <c r="Q665" s="64"/>
      <c r="R665" s="169"/>
      <c r="S665" s="62"/>
      <c r="T665" s="62"/>
      <c r="U665" s="62"/>
      <c r="V665" s="177"/>
      <c r="W665" s="171"/>
      <c r="X665" s="62"/>
      <c r="Y665" s="45"/>
      <c r="Z665" s="45"/>
      <c r="AA665" s="100"/>
      <c r="AB665" s="100"/>
      <c r="AC665" s="24"/>
      <c r="AD665" s="24"/>
      <c r="AE665" s="24"/>
      <c r="AF665" s="24"/>
      <c r="AG665" s="18">
        <v>23</v>
      </c>
      <c r="AH665" s="69" t="s">
        <v>295</v>
      </c>
      <c r="AI665" s="243" t="s">
        <v>179</v>
      </c>
      <c r="AJ665" s="243" t="s">
        <v>419</v>
      </c>
      <c r="AK665" s="246"/>
      <c r="AL665" s="43" t="str">
        <f t="shared" si="180"/>
        <v>-</v>
      </c>
      <c r="AM665" s="43">
        <f t="shared" si="168"/>
        <v>0</v>
      </c>
      <c r="AN665" s="193">
        <f t="shared" si="168"/>
        <v>0</v>
      </c>
      <c r="AO665" s="270" t="str">
        <f t="shared" si="169"/>
        <v>-</v>
      </c>
      <c r="AP665" s="266"/>
      <c r="AQ665" s="26" t="str">
        <f t="shared" si="176"/>
        <v>LITTLE TOQUART CREEKPink</v>
      </c>
      <c r="AR665" s="26">
        <f t="shared" si="170"/>
        <v>0</v>
      </c>
      <c r="AS665" s="33">
        <f t="shared" si="171"/>
        <v>0</v>
      </c>
      <c r="AX665" s="47" t="str">
        <f t="shared" si="172"/>
        <v>LITTLE TOQUART CREEKPink</v>
      </c>
      <c r="AY665" s="49">
        <f t="shared" si="173"/>
        <v>0</v>
      </c>
      <c r="AZ665" s="49">
        <f t="shared" si="174"/>
        <v>0</v>
      </c>
      <c r="BA665" s="31">
        <v>0</v>
      </c>
      <c r="BB665" s="188">
        <f t="shared" si="177"/>
        <v>0</v>
      </c>
      <c r="BC665" s="188" t="str">
        <f t="shared" si="181"/>
        <v xml:space="preserve"> </v>
      </c>
      <c r="BD665" s="188" t="str">
        <f t="shared" si="182"/>
        <v xml:space="preserve"> </v>
      </c>
      <c r="BE665" s="188" t="str">
        <f t="shared" si="183"/>
        <v xml:space="preserve"> </v>
      </c>
      <c r="BF665" s="50" t="str">
        <f t="shared" si="175"/>
        <v>LITTLE TOQUART CREEK_Pink</v>
      </c>
      <c r="BG665" s="50" t="str">
        <f>IFERROR(VLOOKUP(BF665,'[1]WCVI Esc'!$C$5:$W$514,18,FALSE),"-")</f>
        <v>-</v>
      </c>
      <c r="BH665" s="50" t="str">
        <f t="shared" si="178"/>
        <v>-</v>
      </c>
      <c r="BI665" s="50" t="str">
        <f>IFERROR(VLOOKUP(BF665,'[1]WCVI Esc'!$C$5:$W$514,19,FALSE),"-")</f>
        <v>-</v>
      </c>
      <c r="BJ665" s="50" t="str">
        <f t="shared" si="179"/>
        <v>-</v>
      </c>
    </row>
    <row r="666" spans="1:62" hidden="1" x14ac:dyDescent="0.2">
      <c r="A666" s="28">
        <v>4</v>
      </c>
      <c r="B666" s="28">
        <v>4</v>
      </c>
      <c r="C666" s="11">
        <v>23</v>
      </c>
      <c r="D666" s="13" t="s">
        <v>295</v>
      </c>
      <c r="E666" s="10" t="s">
        <v>179</v>
      </c>
      <c r="F666" s="10" t="s">
        <v>209</v>
      </c>
      <c r="G666" s="10"/>
      <c r="H666" s="152"/>
      <c r="I666" s="164"/>
      <c r="J666" s="62"/>
      <c r="K666" s="62"/>
      <c r="L666" s="177"/>
      <c r="M666" s="171"/>
      <c r="N666" s="62"/>
      <c r="O666" s="62"/>
      <c r="P666" s="66"/>
      <c r="Q666" s="64"/>
      <c r="R666" s="169"/>
      <c r="S666" s="62"/>
      <c r="T666" s="62"/>
      <c r="U666" s="62"/>
      <c r="V666" s="177"/>
      <c r="W666" s="171"/>
      <c r="X666" s="62"/>
      <c r="Y666" s="45"/>
      <c r="Z666" s="45"/>
      <c r="AA666" s="100">
        <f>Y666/AP666</f>
        <v>0</v>
      </c>
      <c r="AB666" s="100">
        <f>AS666/AP666</f>
        <v>0</v>
      </c>
      <c r="AC666" s="24"/>
      <c r="AD666" s="24"/>
      <c r="AE666" s="24"/>
      <c r="AF666" s="24"/>
      <c r="AG666" s="18">
        <v>23</v>
      </c>
      <c r="AH666" s="69" t="s">
        <v>295</v>
      </c>
      <c r="AI666" s="243" t="s">
        <v>179</v>
      </c>
      <c r="AJ666" s="243" t="s">
        <v>419</v>
      </c>
      <c r="AK666" s="246"/>
      <c r="AL666" s="43" t="str">
        <f t="shared" si="180"/>
        <v>-</v>
      </c>
      <c r="AM666" s="43">
        <f t="shared" si="168"/>
        <v>0</v>
      </c>
      <c r="AN666" s="193">
        <f t="shared" si="168"/>
        <v>0</v>
      </c>
      <c r="AO666" s="270">
        <f t="shared" si="169"/>
        <v>2160</v>
      </c>
      <c r="AP666" s="265">
        <f>BJ666</f>
        <v>1980</v>
      </c>
      <c r="AQ666" s="26" t="str">
        <f t="shared" si="176"/>
        <v>LITTLE TOQUART CREEKChum</v>
      </c>
      <c r="AR666" s="26">
        <f t="shared" si="170"/>
        <v>0</v>
      </c>
      <c r="AS666" s="33">
        <f t="shared" si="171"/>
        <v>0</v>
      </c>
      <c r="AX666" s="47" t="str">
        <f t="shared" si="172"/>
        <v>LITTLE TOQUART CREEKChum</v>
      </c>
      <c r="AY666" s="49">
        <f t="shared" si="173"/>
        <v>0</v>
      </c>
      <c r="AZ666" s="49">
        <f t="shared" si="174"/>
        <v>0</v>
      </c>
      <c r="BA666" s="31">
        <v>2014</v>
      </c>
      <c r="BB666" s="188">
        <f t="shared" si="177"/>
        <v>0</v>
      </c>
      <c r="BC666" s="188" t="str">
        <f t="shared" si="181"/>
        <v xml:space="preserve"> </v>
      </c>
      <c r="BD666" s="188" t="str">
        <f t="shared" si="182"/>
        <v xml:space="preserve"> </v>
      </c>
      <c r="BE666" s="188" t="str">
        <f t="shared" si="183"/>
        <v xml:space="preserve"> </v>
      </c>
      <c r="BF666" s="50" t="str">
        <f t="shared" si="175"/>
        <v>LITTLE TOQUART CREEK_Chum</v>
      </c>
      <c r="BG666" s="50">
        <f>IFERROR(VLOOKUP(BF666,'[1]WCVI Esc'!$C$5:$W$514,18,FALSE),"-")</f>
        <v>2155.5</v>
      </c>
      <c r="BH666" s="50">
        <f t="shared" si="178"/>
        <v>2160</v>
      </c>
      <c r="BI666" s="50">
        <f>IFERROR(VLOOKUP(BF666,'[1]WCVI Esc'!$C$5:$W$514,19,FALSE),"-")</f>
        <v>1976.5</v>
      </c>
      <c r="BJ666" s="50">
        <f t="shared" si="179"/>
        <v>1980</v>
      </c>
    </row>
    <row r="667" spans="1:62" hidden="1" x14ac:dyDescent="0.2">
      <c r="A667" s="28">
        <v>4</v>
      </c>
      <c r="B667" s="28">
        <v>5</v>
      </c>
      <c r="C667" s="11">
        <v>23</v>
      </c>
      <c r="D667" s="13" t="s">
        <v>295</v>
      </c>
      <c r="E667" s="10" t="s">
        <v>179</v>
      </c>
      <c r="F667" s="10" t="s">
        <v>210</v>
      </c>
      <c r="G667" s="10"/>
      <c r="H667" s="152"/>
      <c r="I667" s="164"/>
      <c r="J667" s="62"/>
      <c r="K667" s="62"/>
      <c r="L667" s="177"/>
      <c r="M667" s="171"/>
      <c r="N667" s="62"/>
      <c r="O667" s="62"/>
      <c r="P667" s="66"/>
      <c r="Q667" s="64"/>
      <c r="R667" s="169"/>
      <c r="S667" s="62"/>
      <c r="T667" s="62"/>
      <c r="U667" s="62"/>
      <c r="V667" s="177"/>
      <c r="W667" s="171"/>
      <c r="X667" s="62"/>
      <c r="Y667" s="45"/>
      <c r="Z667" s="45"/>
      <c r="AA667" s="100"/>
      <c r="AB667" s="100"/>
      <c r="AC667" s="24"/>
      <c r="AD667" s="24"/>
      <c r="AE667" s="24"/>
      <c r="AF667" s="24"/>
      <c r="AG667" s="18">
        <v>23</v>
      </c>
      <c r="AH667" s="69" t="s">
        <v>295</v>
      </c>
      <c r="AI667" s="243" t="s">
        <v>179</v>
      </c>
      <c r="AJ667" s="243" t="s">
        <v>419</v>
      </c>
      <c r="AK667" s="246"/>
      <c r="AL667" s="43" t="str">
        <f t="shared" si="180"/>
        <v>-</v>
      </c>
      <c r="AM667" s="43">
        <f t="shared" si="168"/>
        <v>0</v>
      </c>
      <c r="AN667" s="193">
        <f t="shared" si="168"/>
        <v>0</v>
      </c>
      <c r="AO667" s="270" t="str">
        <f t="shared" si="169"/>
        <v>-</v>
      </c>
      <c r="AP667" s="266"/>
      <c r="AQ667" s="26" t="str">
        <f t="shared" si="176"/>
        <v>LITTLE TOQUART CREEKChinook</v>
      </c>
      <c r="AR667" s="26">
        <f t="shared" si="170"/>
        <v>0</v>
      </c>
      <c r="AS667" s="33">
        <f t="shared" si="171"/>
        <v>0</v>
      </c>
      <c r="AX667" s="47" t="str">
        <f t="shared" si="172"/>
        <v>LITTLE TOQUART CREEKChinook</v>
      </c>
      <c r="AY667" s="49">
        <f t="shared" si="173"/>
        <v>0</v>
      </c>
      <c r="AZ667" s="49">
        <f t="shared" si="174"/>
        <v>0</v>
      </c>
      <c r="BA667" s="31">
        <v>0</v>
      </c>
      <c r="BB667" s="188">
        <f t="shared" si="177"/>
        <v>0</v>
      </c>
      <c r="BC667" s="188" t="str">
        <f t="shared" si="181"/>
        <v xml:space="preserve"> </v>
      </c>
      <c r="BD667" s="188" t="str">
        <f t="shared" si="182"/>
        <v xml:space="preserve"> </v>
      </c>
      <c r="BE667" s="188" t="str">
        <f t="shared" si="183"/>
        <v xml:space="preserve"> </v>
      </c>
      <c r="BF667" s="50" t="str">
        <f t="shared" si="175"/>
        <v>LITTLE TOQUART CREEK_Chinook</v>
      </c>
      <c r="BG667" s="50" t="str">
        <f>IFERROR(VLOOKUP(BF667,'[1]WCVI Esc'!$C$5:$W$514,18,FALSE),"-")</f>
        <v>-</v>
      </c>
      <c r="BH667" s="50" t="str">
        <f t="shared" si="178"/>
        <v>-</v>
      </c>
      <c r="BI667" s="50" t="str">
        <f>IFERROR(VLOOKUP(BF667,'[1]WCVI Esc'!$C$5:$W$514,19,FALSE),"-")</f>
        <v>-</v>
      </c>
      <c r="BJ667" s="50" t="str">
        <f t="shared" si="179"/>
        <v>-</v>
      </c>
    </row>
    <row r="668" spans="1:62" hidden="1" x14ac:dyDescent="0.2">
      <c r="A668" s="28">
        <v>4</v>
      </c>
      <c r="B668" s="28">
        <v>6</v>
      </c>
      <c r="C668" s="11">
        <v>23</v>
      </c>
      <c r="D668" s="13" t="s">
        <v>295</v>
      </c>
      <c r="E668" s="10" t="s">
        <v>179</v>
      </c>
      <c r="F668" s="10" t="s">
        <v>211</v>
      </c>
      <c r="G668" s="10"/>
      <c r="H668" s="152"/>
      <c r="I668" s="164"/>
      <c r="J668" s="62"/>
      <c r="K668" s="62"/>
      <c r="L668" s="177"/>
      <c r="M668" s="171"/>
      <c r="N668" s="62"/>
      <c r="O668" s="62"/>
      <c r="P668" s="66"/>
      <c r="Q668" s="64"/>
      <c r="R668" s="169"/>
      <c r="S668" s="62"/>
      <c r="T668" s="62"/>
      <c r="U668" s="62"/>
      <c r="V668" s="177"/>
      <c r="W668" s="171"/>
      <c r="X668" s="62"/>
      <c r="Y668" s="45"/>
      <c r="Z668" s="45"/>
      <c r="AA668" s="100"/>
      <c r="AB668" s="100"/>
      <c r="AC668" s="24"/>
      <c r="AD668" s="24"/>
      <c r="AE668" s="24"/>
      <c r="AF668" s="24"/>
      <c r="AG668" s="18">
        <v>23</v>
      </c>
      <c r="AH668" s="69" t="s">
        <v>295</v>
      </c>
      <c r="AI668" s="243" t="s">
        <v>179</v>
      </c>
      <c r="AJ668" s="243" t="s">
        <v>419</v>
      </c>
      <c r="AK668" s="246"/>
      <c r="AL668" s="43" t="str">
        <f t="shared" si="180"/>
        <v>-</v>
      </c>
      <c r="AM668" s="43">
        <f t="shared" si="168"/>
        <v>0</v>
      </c>
      <c r="AN668" s="193">
        <f t="shared" si="168"/>
        <v>0</v>
      </c>
      <c r="AO668" s="270" t="str">
        <f t="shared" si="169"/>
        <v>-</v>
      </c>
      <c r="AP668" s="266"/>
      <c r="AQ668" s="26" t="str">
        <f t="shared" si="176"/>
        <v>LITTLE TOQUART CREEKSteelhead</v>
      </c>
      <c r="AR668" s="26">
        <f t="shared" si="170"/>
        <v>0</v>
      </c>
      <c r="AS668" s="33">
        <f t="shared" si="171"/>
        <v>0</v>
      </c>
      <c r="AX668" s="47" t="str">
        <f t="shared" si="172"/>
        <v>LITTLE TOQUART CREEKSteelhead</v>
      </c>
      <c r="AY668" s="49">
        <f t="shared" si="173"/>
        <v>0</v>
      </c>
      <c r="AZ668" s="49">
        <f t="shared" si="174"/>
        <v>0</v>
      </c>
      <c r="BA668" s="31">
        <v>0</v>
      </c>
      <c r="BB668" s="188">
        <f t="shared" si="177"/>
        <v>0</v>
      </c>
      <c r="BC668" s="188" t="str">
        <f t="shared" si="181"/>
        <v xml:space="preserve"> </v>
      </c>
      <c r="BD668" s="188" t="str">
        <f t="shared" si="182"/>
        <v xml:space="preserve"> </v>
      </c>
      <c r="BE668" s="188" t="str">
        <f t="shared" si="183"/>
        <v xml:space="preserve"> </v>
      </c>
      <c r="BF668" s="50" t="str">
        <f t="shared" si="175"/>
        <v>LITTLE TOQUART CREEK_Steelhead</v>
      </c>
      <c r="BG668" s="50" t="str">
        <f>IFERROR(VLOOKUP(BF668,'[1]WCVI Esc'!$C$5:$W$514,18,FALSE),"-")</f>
        <v>-</v>
      </c>
      <c r="BH668" s="50" t="str">
        <f t="shared" si="178"/>
        <v>-</v>
      </c>
      <c r="BI668" s="50" t="str">
        <f>IFERROR(VLOOKUP(BF668,'[1]WCVI Esc'!$C$5:$W$514,19,FALSE),"-")</f>
        <v>-</v>
      </c>
      <c r="BJ668" s="50" t="str">
        <f t="shared" si="179"/>
        <v>-</v>
      </c>
    </row>
    <row r="669" spans="1:62" hidden="1" x14ac:dyDescent="0.2">
      <c r="A669" s="28">
        <v>4</v>
      </c>
      <c r="B669" s="28">
        <v>1</v>
      </c>
      <c r="C669" s="11">
        <v>23</v>
      </c>
      <c r="D669" s="13" t="s">
        <v>295</v>
      </c>
      <c r="E669" s="10" t="s">
        <v>180</v>
      </c>
      <c r="F669" s="10" t="s">
        <v>207</v>
      </c>
      <c r="G669" s="10"/>
      <c r="H669" s="152"/>
      <c r="I669" s="164"/>
      <c r="J669" s="62"/>
      <c r="K669" s="62"/>
      <c r="L669" s="177"/>
      <c r="M669" s="171"/>
      <c r="N669" s="62"/>
      <c r="O669" s="62"/>
      <c r="P669" s="62"/>
      <c r="Q669" s="64"/>
      <c r="R669" s="164"/>
      <c r="S669" s="62"/>
      <c r="T669" s="62"/>
      <c r="U669" s="62"/>
      <c r="V669" s="177"/>
      <c r="W669" s="171"/>
      <c r="X669" s="62"/>
      <c r="Y669" s="45"/>
      <c r="Z669" s="45"/>
      <c r="AA669" s="100"/>
      <c r="AB669" s="100"/>
      <c r="AC669" s="24"/>
      <c r="AD669" s="24"/>
      <c r="AE669" s="24"/>
      <c r="AF669" s="24"/>
      <c r="AG669" s="18">
        <v>23</v>
      </c>
      <c r="AH669" s="69" t="s">
        <v>295</v>
      </c>
      <c r="AI669" s="243" t="s">
        <v>180</v>
      </c>
      <c r="AJ669" s="243" t="s">
        <v>419</v>
      </c>
      <c r="AK669" s="246"/>
      <c r="AL669" s="43" t="str">
        <f t="shared" si="180"/>
        <v>-</v>
      </c>
      <c r="AM669" s="43">
        <f t="shared" si="168"/>
        <v>0</v>
      </c>
      <c r="AN669" s="193">
        <f t="shared" si="168"/>
        <v>0</v>
      </c>
      <c r="AO669" s="270" t="str">
        <f t="shared" si="169"/>
        <v>-</v>
      </c>
      <c r="AP669" s="266"/>
      <c r="AQ669" s="26" t="str">
        <f t="shared" si="176"/>
        <v>LUCKY CREEKSockeye</v>
      </c>
      <c r="AR669" s="26">
        <f t="shared" si="170"/>
        <v>0</v>
      </c>
      <c r="AS669" s="33">
        <f t="shared" si="171"/>
        <v>0</v>
      </c>
      <c r="AX669" s="47" t="str">
        <f t="shared" si="172"/>
        <v>LUCKY CREEKSockeye</v>
      </c>
      <c r="AY669" s="49">
        <f t="shared" si="173"/>
        <v>0</v>
      </c>
      <c r="AZ669" s="49">
        <f t="shared" si="174"/>
        <v>0</v>
      </c>
      <c r="BA669" s="31">
        <v>0</v>
      </c>
      <c r="BB669" s="188">
        <f t="shared" si="177"/>
        <v>0</v>
      </c>
      <c r="BC669" s="188" t="str">
        <f t="shared" si="181"/>
        <v xml:space="preserve"> </v>
      </c>
      <c r="BD669" s="188" t="str">
        <f t="shared" si="182"/>
        <v xml:space="preserve"> </v>
      </c>
      <c r="BE669" s="188" t="str">
        <f t="shared" si="183"/>
        <v xml:space="preserve"> </v>
      </c>
      <c r="BF669" s="50" t="str">
        <f t="shared" si="175"/>
        <v>LUCKY CREEK_Sockeye</v>
      </c>
      <c r="BG669" s="50" t="str">
        <f>IFERROR(VLOOKUP(BF669,'[1]WCVI Esc'!$C$5:$W$514,18,FALSE),"-")</f>
        <v>-</v>
      </c>
      <c r="BH669" s="50" t="str">
        <f t="shared" si="178"/>
        <v>-</v>
      </c>
      <c r="BI669" s="50" t="str">
        <f>IFERROR(VLOOKUP(BF669,'[1]WCVI Esc'!$C$5:$W$514,19,FALSE),"-")</f>
        <v>-</v>
      </c>
      <c r="BJ669" s="50" t="str">
        <f t="shared" si="179"/>
        <v>-</v>
      </c>
    </row>
    <row r="670" spans="1:62" hidden="1" x14ac:dyDescent="0.2">
      <c r="A670" s="28">
        <v>4</v>
      </c>
      <c r="B670" s="28">
        <v>2</v>
      </c>
      <c r="C670" s="11">
        <v>23</v>
      </c>
      <c r="D670" s="13" t="s">
        <v>295</v>
      </c>
      <c r="E670" s="10" t="s">
        <v>180</v>
      </c>
      <c r="F670" s="10" t="s">
        <v>219</v>
      </c>
      <c r="G670" s="10"/>
      <c r="H670" s="152"/>
      <c r="I670" s="164"/>
      <c r="J670" s="62"/>
      <c r="K670" s="62"/>
      <c r="L670" s="177"/>
      <c r="M670" s="171"/>
      <c r="N670" s="62"/>
      <c r="O670" s="62"/>
      <c r="P670" s="62"/>
      <c r="Q670" s="64"/>
      <c r="R670" s="164"/>
      <c r="S670" s="62"/>
      <c r="T670" s="62"/>
      <c r="U670" s="62"/>
      <c r="V670" s="177"/>
      <c r="W670" s="171"/>
      <c r="X670" s="62"/>
      <c r="Y670" s="45"/>
      <c r="Z670" s="45"/>
      <c r="AA670" s="100"/>
      <c r="AB670" s="100"/>
      <c r="AC670" s="24"/>
      <c r="AD670" s="24"/>
      <c r="AE670" s="24"/>
      <c r="AF670" s="24"/>
      <c r="AG670" s="18">
        <v>23</v>
      </c>
      <c r="AH670" s="69" t="s">
        <v>295</v>
      </c>
      <c r="AI670" s="243" t="s">
        <v>180</v>
      </c>
      <c r="AJ670" s="243" t="s">
        <v>419</v>
      </c>
      <c r="AK670" s="246"/>
      <c r="AL670" s="43" t="str">
        <f t="shared" si="180"/>
        <v>-</v>
      </c>
      <c r="AM670" s="43">
        <f t="shared" si="168"/>
        <v>0</v>
      </c>
      <c r="AN670" s="193">
        <f t="shared" si="168"/>
        <v>0</v>
      </c>
      <c r="AO670" s="270" t="str">
        <f t="shared" si="169"/>
        <v>-</v>
      </c>
      <c r="AP670" s="266"/>
      <c r="AQ670" s="26" t="str">
        <f t="shared" si="176"/>
        <v>LUCKY CREEKCoho</v>
      </c>
      <c r="AR670" s="26">
        <f t="shared" si="170"/>
        <v>0</v>
      </c>
      <c r="AS670" s="33">
        <f t="shared" si="171"/>
        <v>0</v>
      </c>
      <c r="AX670" s="47" t="str">
        <f t="shared" si="172"/>
        <v>LUCKY CREEKCoho</v>
      </c>
      <c r="AY670" s="49">
        <f t="shared" si="173"/>
        <v>0</v>
      </c>
      <c r="AZ670" s="49">
        <f t="shared" si="174"/>
        <v>0</v>
      </c>
      <c r="BA670" s="31">
        <v>1991</v>
      </c>
      <c r="BB670" s="188">
        <f t="shared" si="177"/>
        <v>0</v>
      </c>
      <c r="BC670" s="188" t="str">
        <f t="shared" si="181"/>
        <v xml:space="preserve"> </v>
      </c>
      <c r="BD670" s="188" t="str">
        <f t="shared" si="182"/>
        <v xml:space="preserve"> </v>
      </c>
      <c r="BE670" s="188" t="str">
        <f t="shared" si="183"/>
        <v xml:space="preserve"> </v>
      </c>
      <c r="BF670" s="50" t="str">
        <f t="shared" si="175"/>
        <v>LUCKY CREEK_Coho</v>
      </c>
      <c r="BG670" s="50" t="str">
        <f>IFERROR(VLOOKUP(BF670,'[1]WCVI Esc'!$C$5:$W$514,18,FALSE),"-")</f>
        <v>-</v>
      </c>
      <c r="BH670" s="50" t="str">
        <f t="shared" si="178"/>
        <v>-</v>
      </c>
      <c r="BI670" s="50" t="str">
        <f>IFERROR(VLOOKUP(BF670,'[1]WCVI Esc'!$C$5:$W$514,19,FALSE),"-")</f>
        <v>-</v>
      </c>
      <c r="BJ670" s="50" t="str">
        <f t="shared" si="179"/>
        <v>-</v>
      </c>
    </row>
    <row r="671" spans="1:62" hidden="1" x14ac:dyDescent="0.2">
      <c r="A671" s="28">
        <v>4</v>
      </c>
      <c r="B671" s="28">
        <v>3</v>
      </c>
      <c r="C671" s="11">
        <v>23</v>
      </c>
      <c r="D671" s="13" t="s">
        <v>295</v>
      </c>
      <c r="E671" s="10" t="s">
        <v>180</v>
      </c>
      <c r="F671" s="10" t="s">
        <v>208</v>
      </c>
      <c r="G671" s="10"/>
      <c r="H671" s="152"/>
      <c r="I671" s="164"/>
      <c r="J671" s="62"/>
      <c r="K671" s="62"/>
      <c r="L671" s="177"/>
      <c r="M671" s="171"/>
      <c r="N671" s="62"/>
      <c r="O671" s="62"/>
      <c r="P671" s="62"/>
      <c r="Q671" s="64"/>
      <c r="R671" s="164"/>
      <c r="S671" s="62"/>
      <c r="T671" s="62"/>
      <c r="U671" s="62"/>
      <c r="V671" s="177"/>
      <c r="W671" s="171"/>
      <c r="X671" s="62"/>
      <c r="Y671" s="45"/>
      <c r="Z671" s="45"/>
      <c r="AA671" s="100"/>
      <c r="AB671" s="100"/>
      <c r="AC671" s="24"/>
      <c r="AD671" s="24"/>
      <c r="AE671" s="24"/>
      <c r="AF671" s="24"/>
      <c r="AG671" s="18">
        <v>23</v>
      </c>
      <c r="AH671" s="69" t="s">
        <v>295</v>
      </c>
      <c r="AI671" s="243" t="s">
        <v>180</v>
      </c>
      <c r="AJ671" s="243" t="s">
        <v>419</v>
      </c>
      <c r="AK671" s="246"/>
      <c r="AL671" s="43" t="str">
        <f t="shared" si="180"/>
        <v>-</v>
      </c>
      <c r="AM671" s="43">
        <f t="shared" si="168"/>
        <v>0</v>
      </c>
      <c r="AN671" s="193">
        <f t="shared" si="168"/>
        <v>0</v>
      </c>
      <c r="AO671" s="270" t="str">
        <f t="shared" si="169"/>
        <v>-</v>
      </c>
      <c r="AP671" s="266"/>
      <c r="AQ671" s="26" t="str">
        <f t="shared" si="176"/>
        <v>LUCKY CREEKPink</v>
      </c>
      <c r="AR671" s="26">
        <f t="shared" si="170"/>
        <v>0</v>
      </c>
      <c r="AS671" s="33">
        <f t="shared" si="171"/>
        <v>0</v>
      </c>
      <c r="AX671" s="47" t="str">
        <f t="shared" si="172"/>
        <v>LUCKY CREEKPink</v>
      </c>
      <c r="AY671" s="49">
        <f t="shared" si="173"/>
        <v>0</v>
      </c>
      <c r="AZ671" s="49">
        <f t="shared" si="174"/>
        <v>0</v>
      </c>
      <c r="BA671" s="31">
        <v>0</v>
      </c>
      <c r="BB671" s="188">
        <f t="shared" si="177"/>
        <v>0</v>
      </c>
      <c r="BC671" s="188" t="str">
        <f t="shared" si="181"/>
        <v xml:space="preserve"> </v>
      </c>
      <c r="BD671" s="188" t="str">
        <f t="shared" si="182"/>
        <v xml:space="preserve"> </v>
      </c>
      <c r="BE671" s="188" t="str">
        <f t="shared" si="183"/>
        <v xml:space="preserve"> </v>
      </c>
      <c r="BF671" s="50" t="str">
        <f t="shared" si="175"/>
        <v>LUCKY CREEK_Pink</v>
      </c>
      <c r="BG671" s="50" t="str">
        <f>IFERROR(VLOOKUP(BF671,'[1]WCVI Esc'!$C$5:$W$514,18,FALSE),"-")</f>
        <v>-</v>
      </c>
      <c r="BH671" s="50" t="str">
        <f t="shared" si="178"/>
        <v>-</v>
      </c>
      <c r="BI671" s="50" t="str">
        <f>IFERROR(VLOOKUP(BF671,'[1]WCVI Esc'!$C$5:$W$514,19,FALSE),"-")</f>
        <v>-</v>
      </c>
      <c r="BJ671" s="50" t="str">
        <f t="shared" si="179"/>
        <v>-</v>
      </c>
    </row>
    <row r="672" spans="1:62" hidden="1" x14ac:dyDescent="0.2">
      <c r="A672" s="28">
        <v>4</v>
      </c>
      <c r="B672" s="28">
        <v>4</v>
      </c>
      <c r="C672" s="11">
        <v>23</v>
      </c>
      <c r="D672" s="13" t="s">
        <v>295</v>
      </c>
      <c r="E672" s="10" t="s">
        <v>180</v>
      </c>
      <c r="F672" s="10" t="s">
        <v>209</v>
      </c>
      <c r="G672" s="10"/>
      <c r="H672" s="152"/>
      <c r="I672" s="164"/>
      <c r="J672" s="62"/>
      <c r="K672" s="62"/>
      <c r="L672" s="177"/>
      <c r="M672" s="171"/>
      <c r="N672" s="62"/>
      <c r="O672" s="62"/>
      <c r="P672" s="62"/>
      <c r="Q672" s="64"/>
      <c r="R672" s="164"/>
      <c r="S672" s="62"/>
      <c r="T672" s="62"/>
      <c r="U672" s="62"/>
      <c r="V672" s="177"/>
      <c r="W672" s="171"/>
      <c r="X672" s="62"/>
      <c r="Y672" s="45"/>
      <c r="Z672" s="45"/>
      <c r="AA672" s="100"/>
      <c r="AB672" s="100"/>
      <c r="AC672" s="24"/>
      <c r="AD672" s="24"/>
      <c r="AE672" s="24"/>
      <c r="AF672" s="24"/>
      <c r="AG672" s="18">
        <v>23</v>
      </c>
      <c r="AH672" s="69" t="s">
        <v>295</v>
      </c>
      <c r="AI672" s="243" t="s">
        <v>180</v>
      </c>
      <c r="AJ672" s="243" t="s">
        <v>419</v>
      </c>
      <c r="AK672" s="246"/>
      <c r="AL672" s="43" t="str">
        <f t="shared" si="180"/>
        <v>-</v>
      </c>
      <c r="AM672" s="43">
        <f t="shared" si="168"/>
        <v>0</v>
      </c>
      <c r="AN672" s="193">
        <f t="shared" si="168"/>
        <v>0</v>
      </c>
      <c r="AO672" s="270" t="str">
        <f t="shared" si="169"/>
        <v>-</v>
      </c>
      <c r="AP672" s="266"/>
      <c r="AQ672" s="26" t="str">
        <f t="shared" si="176"/>
        <v>LUCKY CREEKChum</v>
      </c>
      <c r="AR672" s="26">
        <f t="shared" si="170"/>
        <v>0</v>
      </c>
      <c r="AS672" s="33">
        <f t="shared" si="171"/>
        <v>0</v>
      </c>
      <c r="AX672" s="47" t="str">
        <f t="shared" si="172"/>
        <v>LUCKY CREEKChum</v>
      </c>
      <c r="AY672" s="49">
        <f t="shared" si="173"/>
        <v>0</v>
      </c>
      <c r="AZ672" s="49">
        <f t="shared" si="174"/>
        <v>0</v>
      </c>
      <c r="BA672" s="31">
        <v>1999</v>
      </c>
      <c r="BB672" s="188">
        <f t="shared" si="177"/>
        <v>0</v>
      </c>
      <c r="BC672" s="188" t="str">
        <f t="shared" si="181"/>
        <v xml:space="preserve"> </v>
      </c>
      <c r="BD672" s="188" t="str">
        <f t="shared" si="182"/>
        <v xml:space="preserve"> </v>
      </c>
      <c r="BE672" s="188" t="str">
        <f t="shared" si="183"/>
        <v xml:space="preserve"> </v>
      </c>
      <c r="BF672" s="50" t="str">
        <f t="shared" si="175"/>
        <v>LUCKY CREEK_Chum</v>
      </c>
      <c r="BG672" s="50" t="str">
        <f>IFERROR(VLOOKUP(BF672,'[1]WCVI Esc'!$C$5:$W$514,18,FALSE),"-")</f>
        <v>-</v>
      </c>
      <c r="BH672" s="50" t="str">
        <f t="shared" si="178"/>
        <v>-</v>
      </c>
      <c r="BI672" s="50" t="str">
        <f>IFERROR(VLOOKUP(BF672,'[1]WCVI Esc'!$C$5:$W$514,19,FALSE),"-")</f>
        <v>-</v>
      </c>
      <c r="BJ672" s="50" t="str">
        <f t="shared" si="179"/>
        <v>-</v>
      </c>
    </row>
    <row r="673" spans="1:66" hidden="1" x14ac:dyDescent="0.2">
      <c r="A673" s="28">
        <v>4</v>
      </c>
      <c r="B673" s="28">
        <v>5</v>
      </c>
      <c r="C673" s="11">
        <v>23</v>
      </c>
      <c r="D673" s="13" t="s">
        <v>295</v>
      </c>
      <c r="E673" s="10" t="s">
        <v>180</v>
      </c>
      <c r="F673" s="10" t="s">
        <v>210</v>
      </c>
      <c r="G673" s="10"/>
      <c r="H673" s="152"/>
      <c r="I673" s="164"/>
      <c r="J673" s="62"/>
      <c r="K673" s="62"/>
      <c r="L673" s="177"/>
      <c r="M673" s="171"/>
      <c r="N673" s="62"/>
      <c r="O673" s="62"/>
      <c r="P673" s="62"/>
      <c r="Q673" s="64"/>
      <c r="R673" s="164"/>
      <c r="S673" s="62"/>
      <c r="T673" s="62"/>
      <c r="U673" s="62"/>
      <c r="V673" s="177"/>
      <c r="W673" s="171"/>
      <c r="X673" s="62"/>
      <c r="Y673" s="45"/>
      <c r="Z673" s="45"/>
      <c r="AA673" s="100"/>
      <c r="AB673" s="100"/>
      <c r="AC673" s="24"/>
      <c r="AD673" s="24"/>
      <c r="AE673" s="24"/>
      <c r="AF673" s="24"/>
      <c r="AG673" s="18">
        <v>23</v>
      </c>
      <c r="AH673" s="69" t="s">
        <v>295</v>
      </c>
      <c r="AI673" s="243" t="s">
        <v>180</v>
      </c>
      <c r="AJ673" s="243" t="s">
        <v>419</v>
      </c>
      <c r="AK673" s="246"/>
      <c r="AL673" s="43" t="str">
        <f t="shared" si="180"/>
        <v>-</v>
      </c>
      <c r="AM673" s="43">
        <f t="shared" si="168"/>
        <v>0</v>
      </c>
      <c r="AN673" s="193">
        <f t="shared" si="168"/>
        <v>0</v>
      </c>
      <c r="AO673" s="270" t="str">
        <f t="shared" si="169"/>
        <v>-</v>
      </c>
      <c r="AP673" s="266"/>
      <c r="AQ673" s="26" t="str">
        <f t="shared" si="176"/>
        <v>LUCKY CREEKChinook</v>
      </c>
      <c r="AR673" s="26">
        <f t="shared" si="170"/>
        <v>0</v>
      </c>
      <c r="AS673" s="33">
        <f t="shared" si="171"/>
        <v>0</v>
      </c>
      <c r="AX673" s="47" t="str">
        <f t="shared" si="172"/>
        <v>LUCKY CREEKChinook</v>
      </c>
      <c r="AY673" s="49">
        <f t="shared" si="173"/>
        <v>0</v>
      </c>
      <c r="AZ673" s="49">
        <f t="shared" si="174"/>
        <v>0</v>
      </c>
      <c r="BA673" s="31">
        <v>0</v>
      </c>
      <c r="BB673" s="188">
        <f t="shared" si="177"/>
        <v>0</v>
      </c>
      <c r="BC673" s="188" t="str">
        <f t="shared" si="181"/>
        <v xml:space="preserve"> </v>
      </c>
      <c r="BD673" s="188" t="str">
        <f t="shared" si="182"/>
        <v xml:space="preserve"> </v>
      </c>
      <c r="BE673" s="188" t="str">
        <f t="shared" si="183"/>
        <v xml:space="preserve"> </v>
      </c>
      <c r="BF673" s="50" t="str">
        <f t="shared" si="175"/>
        <v>LUCKY CREEK_Chinook</v>
      </c>
      <c r="BG673" s="50" t="str">
        <f>IFERROR(VLOOKUP(BF673,'[1]WCVI Esc'!$C$5:$W$514,18,FALSE),"-")</f>
        <v>-</v>
      </c>
      <c r="BH673" s="50" t="str">
        <f t="shared" si="178"/>
        <v>-</v>
      </c>
      <c r="BI673" s="50" t="str">
        <f>IFERROR(VLOOKUP(BF673,'[1]WCVI Esc'!$C$5:$W$514,19,FALSE),"-")</f>
        <v>-</v>
      </c>
      <c r="BJ673" s="50" t="str">
        <f t="shared" si="179"/>
        <v>-</v>
      </c>
    </row>
    <row r="674" spans="1:66" hidden="1" x14ac:dyDescent="0.2">
      <c r="A674" s="28">
        <v>4</v>
      </c>
      <c r="B674" s="28">
        <v>6</v>
      </c>
      <c r="C674" s="11">
        <v>23</v>
      </c>
      <c r="D674" s="13" t="s">
        <v>295</v>
      </c>
      <c r="E674" s="10" t="s">
        <v>180</v>
      </c>
      <c r="F674" s="10" t="s">
        <v>211</v>
      </c>
      <c r="G674" s="10"/>
      <c r="H674" s="152"/>
      <c r="I674" s="164"/>
      <c r="J674" s="62"/>
      <c r="K674" s="62"/>
      <c r="L674" s="177"/>
      <c r="M674" s="171"/>
      <c r="N674" s="62"/>
      <c r="O674" s="62"/>
      <c r="P674" s="62"/>
      <c r="Q674" s="64"/>
      <c r="R674" s="164"/>
      <c r="S674" s="62"/>
      <c r="T674" s="62"/>
      <c r="U674" s="62"/>
      <c r="V674" s="177"/>
      <c r="W674" s="171"/>
      <c r="X674" s="62"/>
      <c r="Y674" s="45"/>
      <c r="Z674" s="45"/>
      <c r="AA674" s="100"/>
      <c r="AB674" s="100"/>
      <c r="AC674" s="24"/>
      <c r="AD674" s="24"/>
      <c r="AE674" s="24"/>
      <c r="AF674" s="24"/>
      <c r="AG674" s="18">
        <v>23</v>
      </c>
      <c r="AH674" s="69" t="s">
        <v>295</v>
      </c>
      <c r="AI674" s="243" t="s">
        <v>180</v>
      </c>
      <c r="AJ674" s="243" t="s">
        <v>419</v>
      </c>
      <c r="AK674" s="246"/>
      <c r="AL674" s="43" t="str">
        <f t="shared" si="180"/>
        <v>-</v>
      </c>
      <c r="AM674" s="43">
        <f t="shared" si="168"/>
        <v>0</v>
      </c>
      <c r="AN674" s="193">
        <f t="shared" si="168"/>
        <v>0</v>
      </c>
      <c r="AO674" s="270" t="str">
        <f t="shared" si="169"/>
        <v>-</v>
      </c>
      <c r="AP674" s="266"/>
      <c r="AQ674" s="26" t="str">
        <f t="shared" si="176"/>
        <v>LUCKY CREEKSteelhead</v>
      </c>
      <c r="AR674" s="26">
        <f t="shared" si="170"/>
        <v>0</v>
      </c>
      <c r="AS674" s="33">
        <f t="shared" si="171"/>
        <v>0</v>
      </c>
      <c r="AX674" s="47" t="str">
        <f t="shared" si="172"/>
        <v>LUCKY CREEKSteelhead</v>
      </c>
      <c r="AY674" s="49">
        <f t="shared" si="173"/>
        <v>0</v>
      </c>
      <c r="AZ674" s="49">
        <f t="shared" si="174"/>
        <v>0</v>
      </c>
      <c r="BA674" s="31">
        <v>0</v>
      </c>
      <c r="BB674" s="188">
        <f t="shared" si="177"/>
        <v>0</v>
      </c>
      <c r="BC674" s="188" t="str">
        <f t="shared" si="181"/>
        <v xml:space="preserve"> </v>
      </c>
      <c r="BD674" s="188" t="str">
        <f t="shared" si="182"/>
        <v xml:space="preserve"> </v>
      </c>
      <c r="BE674" s="188" t="str">
        <f t="shared" si="183"/>
        <v xml:space="preserve"> </v>
      </c>
      <c r="BF674" s="50" t="str">
        <f t="shared" si="175"/>
        <v>LUCKY CREEK_Steelhead</v>
      </c>
      <c r="BG674" s="50" t="str">
        <f>IFERROR(VLOOKUP(BF674,'[1]WCVI Esc'!$C$5:$W$514,18,FALSE),"-")</f>
        <v>-</v>
      </c>
      <c r="BH674" s="50" t="str">
        <f t="shared" si="178"/>
        <v>-</v>
      </c>
      <c r="BI674" s="50" t="str">
        <f>IFERROR(VLOOKUP(BF674,'[1]WCVI Esc'!$C$5:$W$514,19,FALSE),"-")</f>
        <v>-</v>
      </c>
      <c r="BJ674" s="50" t="str">
        <f t="shared" si="179"/>
        <v>-</v>
      </c>
    </row>
    <row r="675" spans="1:66" hidden="1" x14ac:dyDescent="0.2">
      <c r="A675" s="28">
        <v>4</v>
      </c>
      <c r="B675" s="28">
        <v>1</v>
      </c>
      <c r="C675" s="11">
        <v>23</v>
      </c>
      <c r="D675" s="13" t="s">
        <v>356</v>
      </c>
      <c r="E675" s="10" t="s">
        <v>99</v>
      </c>
      <c r="F675" s="10" t="s">
        <v>207</v>
      </c>
      <c r="G675" s="10"/>
      <c r="H675" s="152"/>
      <c r="I675" s="155"/>
      <c r="J675" s="106"/>
      <c r="K675" s="94"/>
      <c r="L675" s="180"/>
      <c r="M675" s="173"/>
      <c r="N675" s="106"/>
      <c r="O675" s="106"/>
      <c r="P675" s="63"/>
      <c r="Q675" s="162"/>
      <c r="R675" s="164"/>
      <c r="S675" s="62"/>
      <c r="T675" s="63"/>
      <c r="U675" s="62"/>
      <c r="V675" s="177"/>
      <c r="W675" s="171"/>
      <c r="X675" s="62"/>
      <c r="Y675" s="45"/>
      <c r="Z675" s="44"/>
      <c r="AA675" s="100"/>
      <c r="AB675" s="100"/>
      <c r="AG675" s="18">
        <v>23</v>
      </c>
      <c r="AH675" s="69" t="s">
        <v>356</v>
      </c>
      <c r="AI675" s="243" t="s">
        <v>99</v>
      </c>
      <c r="AJ675" s="243" t="s">
        <v>419</v>
      </c>
      <c r="AK675" s="246"/>
      <c r="AL675" s="43" t="str">
        <f t="shared" si="180"/>
        <v>-</v>
      </c>
      <c r="AM675" s="43">
        <f t="shared" si="168"/>
        <v>0</v>
      </c>
      <c r="AN675" s="193">
        <f t="shared" si="168"/>
        <v>0</v>
      </c>
      <c r="AO675" s="264" t="str">
        <f t="shared" si="169"/>
        <v>-</v>
      </c>
      <c r="AP675" s="268"/>
      <c r="AQ675" s="26" t="str">
        <f t="shared" si="176"/>
        <v>MACKTUSH CREEKSockeye</v>
      </c>
      <c r="AR675" s="26">
        <f t="shared" si="170"/>
        <v>0</v>
      </c>
      <c r="AS675" s="33">
        <f t="shared" si="171"/>
        <v>0</v>
      </c>
      <c r="AX675" s="47" t="str">
        <f t="shared" si="172"/>
        <v>MACKTUSH CREEKSockeye</v>
      </c>
      <c r="AY675" s="49">
        <f t="shared" si="173"/>
        <v>0</v>
      </c>
      <c r="AZ675" s="49">
        <f t="shared" si="174"/>
        <v>0</v>
      </c>
      <c r="BA675" s="31">
        <v>0</v>
      </c>
      <c r="BB675" s="188">
        <f t="shared" si="177"/>
        <v>0</v>
      </c>
      <c r="BC675" s="188" t="str">
        <f t="shared" si="181"/>
        <v xml:space="preserve"> </v>
      </c>
      <c r="BD675" s="188" t="str">
        <f t="shared" si="182"/>
        <v xml:space="preserve"> </v>
      </c>
      <c r="BE675" s="188" t="str">
        <f t="shared" si="183"/>
        <v xml:space="preserve"> </v>
      </c>
      <c r="BF675" s="50" t="str">
        <f t="shared" si="175"/>
        <v>MACKTUSH CREEK_Sockeye</v>
      </c>
      <c r="BG675" s="50" t="str">
        <f>IFERROR(VLOOKUP(BF675,'[1]WCVI Esc'!$C$5:$W$534,18,FALSE),"-")</f>
        <v>-</v>
      </c>
      <c r="BH675" s="50" t="str">
        <f t="shared" si="178"/>
        <v>-</v>
      </c>
      <c r="BI675" s="50" t="str">
        <f>IFERROR(VLOOKUP(BF675,'[1]WCVI Esc'!$C$5:$W$534,19,FALSE),"-")</f>
        <v>-</v>
      </c>
      <c r="BJ675" s="50" t="str">
        <f t="shared" si="179"/>
        <v>-</v>
      </c>
    </row>
    <row r="676" spans="1:66" hidden="1" x14ac:dyDescent="0.2">
      <c r="A676" s="28">
        <v>4</v>
      </c>
      <c r="B676" s="28">
        <v>2</v>
      </c>
      <c r="C676" s="11">
        <v>23</v>
      </c>
      <c r="D676" s="13" t="s">
        <v>356</v>
      </c>
      <c r="E676" s="10" t="s">
        <v>99</v>
      </c>
      <c r="F676" s="10" t="s">
        <v>219</v>
      </c>
      <c r="G676" s="10"/>
      <c r="H676" s="152"/>
      <c r="I676" s="155"/>
      <c r="J676" s="106"/>
      <c r="K676" s="94"/>
      <c r="L676" s="180"/>
      <c r="M676" s="173"/>
      <c r="N676" s="106"/>
      <c r="O676" s="106"/>
      <c r="P676" s="63"/>
      <c r="Q676" s="162"/>
      <c r="R676" s="164"/>
      <c r="S676" s="62"/>
      <c r="T676" s="63"/>
      <c r="U676" s="62"/>
      <c r="V676" s="177"/>
      <c r="W676" s="171"/>
      <c r="X676" s="62"/>
      <c r="Y676" s="45"/>
      <c r="Z676" s="44"/>
      <c r="AA676" s="100"/>
      <c r="AB676" s="100"/>
      <c r="AG676" s="18">
        <v>23</v>
      </c>
      <c r="AH676" s="69" t="s">
        <v>356</v>
      </c>
      <c r="AI676" s="243" t="s">
        <v>99</v>
      </c>
      <c r="AJ676" s="243" t="s">
        <v>419</v>
      </c>
      <c r="AK676" s="246"/>
      <c r="AL676" s="43" t="str">
        <f t="shared" si="180"/>
        <v>-</v>
      </c>
      <c r="AM676" s="43">
        <f t="shared" si="168"/>
        <v>0</v>
      </c>
      <c r="AN676" s="193">
        <f t="shared" si="168"/>
        <v>0</v>
      </c>
      <c r="AO676" s="264" t="str">
        <f t="shared" si="169"/>
        <v>-</v>
      </c>
      <c r="AP676" s="268"/>
      <c r="AQ676" s="26" t="str">
        <f t="shared" si="176"/>
        <v>MACKTUSH CREEKCoho</v>
      </c>
      <c r="AR676" s="26">
        <f t="shared" si="170"/>
        <v>0</v>
      </c>
      <c r="AS676" s="33">
        <f t="shared" si="171"/>
        <v>0</v>
      </c>
      <c r="AX676" s="47" t="str">
        <f t="shared" si="172"/>
        <v>MACKTUSH CREEKCoho</v>
      </c>
      <c r="AY676" s="49">
        <f t="shared" si="173"/>
        <v>0</v>
      </c>
      <c r="AZ676" s="49">
        <f t="shared" si="174"/>
        <v>0</v>
      </c>
      <c r="BA676" s="31">
        <v>2004</v>
      </c>
      <c r="BB676" s="188">
        <f t="shared" si="177"/>
        <v>0</v>
      </c>
      <c r="BC676" s="188" t="str">
        <f t="shared" si="181"/>
        <v xml:space="preserve"> </v>
      </c>
      <c r="BD676" s="188" t="str">
        <f t="shared" si="182"/>
        <v xml:space="preserve"> </v>
      </c>
      <c r="BE676" s="188" t="str">
        <f t="shared" si="183"/>
        <v xml:space="preserve"> </v>
      </c>
      <c r="BF676" s="50" t="str">
        <f t="shared" si="175"/>
        <v>MACKTUSH CREEK_Coho</v>
      </c>
      <c r="BG676" s="50" t="str">
        <f>IFERROR(VLOOKUP(BF676,'[1]WCVI Esc'!$C$5:$W$534,18,FALSE),"-")</f>
        <v>-</v>
      </c>
      <c r="BH676" s="50" t="str">
        <f t="shared" si="178"/>
        <v>-</v>
      </c>
      <c r="BI676" s="50" t="str">
        <f>IFERROR(VLOOKUP(BF676,'[1]WCVI Esc'!$C$5:$W$534,19,FALSE),"-")</f>
        <v>-</v>
      </c>
      <c r="BJ676" s="50" t="str">
        <f t="shared" si="179"/>
        <v>-</v>
      </c>
    </row>
    <row r="677" spans="1:66" hidden="1" x14ac:dyDescent="0.2">
      <c r="A677" s="28">
        <v>4</v>
      </c>
      <c r="B677" s="28">
        <v>3</v>
      </c>
      <c r="C677" s="11">
        <v>23</v>
      </c>
      <c r="D677" s="13" t="s">
        <v>356</v>
      </c>
      <c r="E677" s="10" t="s">
        <v>99</v>
      </c>
      <c r="F677" s="10" t="s">
        <v>208</v>
      </c>
      <c r="G677" s="10"/>
      <c r="H677" s="152"/>
      <c r="I677" s="155"/>
      <c r="J677" s="106"/>
      <c r="K677" s="94"/>
      <c r="L677" s="180"/>
      <c r="M677" s="173"/>
      <c r="N677" s="106"/>
      <c r="O677" s="106"/>
      <c r="P677" s="63"/>
      <c r="Q677" s="162"/>
      <c r="R677" s="164"/>
      <c r="S677" s="62"/>
      <c r="T677" s="63"/>
      <c r="U677" s="62"/>
      <c r="V677" s="177"/>
      <c r="W677" s="171"/>
      <c r="X677" s="62"/>
      <c r="Y677" s="45"/>
      <c r="Z677" s="44"/>
      <c r="AA677" s="100"/>
      <c r="AB677" s="100"/>
      <c r="AG677" s="18">
        <v>23</v>
      </c>
      <c r="AH677" s="69" t="s">
        <v>356</v>
      </c>
      <c r="AI677" s="243" t="s">
        <v>99</v>
      </c>
      <c r="AJ677" s="243" t="s">
        <v>419</v>
      </c>
      <c r="AK677" s="246"/>
      <c r="AL677" s="43" t="str">
        <f t="shared" si="180"/>
        <v>-</v>
      </c>
      <c r="AM677" s="43">
        <f t="shared" si="168"/>
        <v>0</v>
      </c>
      <c r="AN677" s="193">
        <f t="shared" si="168"/>
        <v>0</v>
      </c>
      <c r="AO677" s="264" t="str">
        <f t="shared" si="169"/>
        <v>-</v>
      </c>
      <c r="AP677" s="267"/>
      <c r="AQ677" s="26" t="str">
        <f t="shared" si="176"/>
        <v>MACKTUSH CREEKPink</v>
      </c>
      <c r="AR677" s="26">
        <f t="shared" si="170"/>
        <v>0</v>
      </c>
      <c r="AS677" s="33">
        <f t="shared" si="171"/>
        <v>0</v>
      </c>
      <c r="AX677" s="47" t="str">
        <f t="shared" si="172"/>
        <v>MACKTUSH CREEKPink</v>
      </c>
      <c r="AY677" s="49">
        <f t="shared" si="173"/>
        <v>0</v>
      </c>
      <c r="AZ677" s="49">
        <f t="shared" si="174"/>
        <v>0</v>
      </c>
      <c r="BA677" s="31">
        <v>0</v>
      </c>
      <c r="BB677" s="188">
        <f t="shared" si="177"/>
        <v>0</v>
      </c>
      <c r="BC677" s="188" t="str">
        <f t="shared" si="181"/>
        <v xml:space="preserve"> </v>
      </c>
      <c r="BD677" s="188" t="str">
        <f t="shared" si="182"/>
        <v xml:space="preserve"> </v>
      </c>
      <c r="BE677" s="188" t="str">
        <f t="shared" si="183"/>
        <v xml:space="preserve"> </v>
      </c>
      <c r="BF677" s="50" t="str">
        <f t="shared" si="175"/>
        <v>MACKTUSH CREEK_Pink</v>
      </c>
      <c r="BG677" s="50" t="str">
        <f>IFERROR(VLOOKUP(BF677,'[1]WCVI Esc'!$C$5:$W$534,18,FALSE),"-")</f>
        <v>-</v>
      </c>
      <c r="BH677" s="50" t="str">
        <f t="shared" si="178"/>
        <v>-</v>
      </c>
      <c r="BI677" s="50" t="str">
        <f>IFERROR(VLOOKUP(BF677,'[1]WCVI Esc'!$C$5:$W$534,19,FALSE),"-")</f>
        <v>-</v>
      </c>
      <c r="BJ677" s="50" t="str">
        <f t="shared" si="179"/>
        <v>-</v>
      </c>
    </row>
    <row r="678" spans="1:66" hidden="1" x14ac:dyDescent="0.2">
      <c r="A678" s="28">
        <v>4</v>
      </c>
      <c r="B678" s="28">
        <v>4</v>
      </c>
      <c r="C678" s="11">
        <v>23</v>
      </c>
      <c r="D678" s="13" t="s">
        <v>356</v>
      </c>
      <c r="E678" s="10" t="s">
        <v>99</v>
      </c>
      <c r="F678" s="10" t="s">
        <v>209</v>
      </c>
      <c r="G678" s="10"/>
      <c r="H678" s="152"/>
      <c r="I678" s="155"/>
      <c r="J678" s="106"/>
      <c r="K678" s="94"/>
      <c r="L678" s="180"/>
      <c r="M678" s="173"/>
      <c r="N678" s="106"/>
      <c r="O678" s="106"/>
      <c r="P678" s="63"/>
      <c r="Q678" s="162"/>
      <c r="R678" s="164"/>
      <c r="S678" s="62"/>
      <c r="T678" s="63"/>
      <c r="U678" s="62"/>
      <c r="V678" s="177"/>
      <c r="W678" s="171"/>
      <c r="X678" s="62"/>
      <c r="Y678" s="45"/>
      <c r="Z678" s="44"/>
      <c r="AA678" s="100">
        <f>Y678/AP678</f>
        <v>0</v>
      </c>
      <c r="AB678" s="100">
        <f>AS678/AP678</f>
        <v>0</v>
      </c>
      <c r="AC678" s="123"/>
      <c r="AD678" s="123"/>
      <c r="AE678" s="123"/>
      <c r="AF678" s="123"/>
      <c r="AG678" s="18">
        <v>23</v>
      </c>
      <c r="AH678" s="69" t="s">
        <v>356</v>
      </c>
      <c r="AI678" s="243" t="s">
        <v>99</v>
      </c>
      <c r="AJ678" s="243" t="s">
        <v>419</v>
      </c>
      <c r="AK678" s="246"/>
      <c r="AL678" s="43" t="str">
        <f t="shared" si="180"/>
        <v>-</v>
      </c>
      <c r="AM678" s="43">
        <f t="shared" si="168"/>
        <v>0</v>
      </c>
      <c r="AN678" s="193">
        <f t="shared" si="168"/>
        <v>0</v>
      </c>
      <c r="AO678" s="264" t="str">
        <f t="shared" si="169"/>
        <v>-</v>
      </c>
      <c r="AP678" s="265">
        <f>BJ678</f>
        <v>940</v>
      </c>
      <c r="AQ678" s="26" t="str">
        <f t="shared" si="176"/>
        <v>MACKTUSH CREEKChum</v>
      </c>
      <c r="AR678" s="26">
        <f t="shared" si="170"/>
        <v>0</v>
      </c>
      <c r="AS678" s="33">
        <f t="shared" si="171"/>
        <v>0</v>
      </c>
      <c r="AX678" s="47" t="str">
        <f t="shared" si="172"/>
        <v>MACKTUSH CREEKChum</v>
      </c>
      <c r="AY678" s="49">
        <f t="shared" si="173"/>
        <v>0</v>
      </c>
      <c r="AZ678" s="49">
        <f t="shared" si="174"/>
        <v>0</v>
      </c>
      <c r="BA678" s="31">
        <v>2012</v>
      </c>
      <c r="BB678" s="188">
        <f t="shared" si="177"/>
        <v>0</v>
      </c>
      <c r="BC678" s="188" t="str">
        <f t="shared" si="181"/>
        <v xml:space="preserve"> </v>
      </c>
      <c r="BD678" s="188" t="str">
        <f t="shared" si="182"/>
        <v xml:space="preserve"> </v>
      </c>
      <c r="BE678" s="188" t="str">
        <f t="shared" si="183"/>
        <v xml:space="preserve"> </v>
      </c>
      <c r="BF678" s="50" t="str">
        <f t="shared" si="175"/>
        <v>MACKTUSH CREEK_Chum</v>
      </c>
      <c r="BG678" s="50" t="str">
        <f>IFERROR(VLOOKUP(BF678,'[1]WCVI Esc'!$C$5:$W$534,18,FALSE),"-")</f>
        <v>-</v>
      </c>
      <c r="BH678" s="50" t="str">
        <f t="shared" si="178"/>
        <v>-</v>
      </c>
      <c r="BI678" s="50">
        <f>IFERROR(VLOOKUP(BF678,'[1]WCVI Esc'!$C$5:$W$534,19,FALSE),"-")</f>
        <v>935</v>
      </c>
      <c r="BJ678" s="50">
        <f t="shared" si="179"/>
        <v>940</v>
      </c>
    </row>
    <row r="679" spans="1:66" hidden="1" x14ac:dyDescent="0.2">
      <c r="A679" s="28">
        <v>4</v>
      </c>
      <c r="B679" s="28">
        <v>5</v>
      </c>
      <c r="C679" s="11">
        <v>23</v>
      </c>
      <c r="D679" s="13" t="s">
        <v>356</v>
      </c>
      <c r="E679" s="10" t="s">
        <v>99</v>
      </c>
      <c r="F679" s="10" t="s">
        <v>210</v>
      </c>
      <c r="G679" s="10"/>
      <c r="H679" s="152"/>
      <c r="I679" s="155"/>
      <c r="J679" s="106"/>
      <c r="K679" s="94"/>
      <c r="L679" s="180"/>
      <c r="M679" s="173"/>
      <c r="N679" s="106"/>
      <c r="O679" s="106"/>
      <c r="P679" s="63"/>
      <c r="Q679" s="162"/>
      <c r="R679" s="164"/>
      <c r="S679" s="62"/>
      <c r="T679" s="63"/>
      <c r="U679" s="62"/>
      <c r="V679" s="177"/>
      <c r="W679" s="171"/>
      <c r="X679" s="62"/>
      <c r="Y679" s="45"/>
      <c r="Z679" s="44"/>
      <c r="AA679" s="100"/>
      <c r="AB679" s="100"/>
      <c r="AF679" s="123">
        <f>Y679</f>
        <v>0</v>
      </c>
      <c r="AG679" s="18">
        <v>23</v>
      </c>
      <c r="AH679" s="69" t="s">
        <v>356</v>
      </c>
      <c r="AI679" s="243" t="s">
        <v>99</v>
      </c>
      <c r="AJ679" s="243" t="s">
        <v>419</v>
      </c>
      <c r="AK679" s="246"/>
      <c r="AL679" s="43" t="str">
        <f t="shared" si="180"/>
        <v>-</v>
      </c>
      <c r="AM679" s="43">
        <f t="shared" si="168"/>
        <v>0</v>
      </c>
      <c r="AN679" s="193">
        <f t="shared" si="168"/>
        <v>0</v>
      </c>
      <c r="AO679" s="264" t="str">
        <f t="shared" si="169"/>
        <v>-</v>
      </c>
      <c r="AP679" s="268"/>
      <c r="AQ679" s="26" t="str">
        <f t="shared" si="176"/>
        <v>MACKTUSH CREEKChinook</v>
      </c>
      <c r="AR679" s="26">
        <f t="shared" si="170"/>
        <v>0</v>
      </c>
      <c r="AS679" s="33">
        <f t="shared" si="171"/>
        <v>0</v>
      </c>
      <c r="AX679" s="47" t="str">
        <f t="shared" si="172"/>
        <v>MACKTUSH CREEKChinook</v>
      </c>
      <c r="AY679" s="49">
        <f t="shared" si="173"/>
        <v>0</v>
      </c>
      <c r="AZ679" s="49">
        <f t="shared" si="174"/>
        <v>0</v>
      </c>
      <c r="BA679" s="31">
        <v>1995</v>
      </c>
      <c r="BB679" s="188">
        <f t="shared" si="177"/>
        <v>0</v>
      </c>
      <c r="BC679" s="188" t="str">
        <f t="shared" si="181"/>
        <v xml:space="preserve"> </v>
      </c>
      <c r="BD679" s="188" t="str">
        <f t="shared" si="182"/>
        <v xml:space="preserve"> </v>
      </c>
      <c r="BE679" s="188" t="str">
        <f t="shared" si="183"/>
        <v xml:space="preserve"> </v>
      </c>
      <c r="BF679" s="50" t="str">
        <f t="shared" si="175"/>
        <v>MACKTUSH CREEK_Chinook</v>
      </c>
      <c r="BG679" s="50" t="str">
        <f>IFERROR(VLOOKUP(BF679,'[1]WCVI Esc'!$C$5:$W$534,18,FALSE),"-")</f>
        <v>-</v>
      </c>
      <c r="BH679" s="50" t="str">
        <f t="shared" si="178"/>
        <v>-</v>
      </c>
      <c r="BI679" s="50" t="str">
        <f>IFERROR(VLOOKUP(BF679,'[1]WCVI Esc'!$C$5:$W$534,19,FALSE),"-")</f>
        <v>-</v>
      </c>
      <c r="BJ679" s="50" t="str">
        <f t="shared" si="179"/>
        <v>-</v>
      </c>
      <c r="BK679">
        <v>4</v>
      </c>
      <c r="BL679" t="s">
        <v>354</v>
      </c>
      <c r="BN679" s="31">
        <v>1</v>
      </c>
    </row>
    <row r="680" spans="1:66" hidden="1" x14ac:dyDescent="0.2">
      <c r="A680" s="28">
        <v>4</v>
      </c>
      <c r="B680" s="28">
        <v>6</v>
      </c>
      <c r="C680" s="11">
        <v>23</v>
      </c>
      <c r="D680" s="13" t="s">
        <v>356</v>
      </c>
      <c r="E680" s="10" t="s">
        <v>99</v>
      </c>
      <c r="F680" s="10" t="s">
        <v>211</v>
      </c>
      <c r="G680" s="10"/>
      <c r="H680" s="152"/>
      <c r="I680" s="155"/>
      <c r="J680" s="106"/>
      <c r="K680" s="94"/>
      <c r="L680" s="180"/>
      <c r="M680" s="173"/>
      <c r="N680" s="106"/>
      <c r="O680" s="106"/>
      <c r="P680" s="63"/>
      <c r="Q680" s="162"/>
      <c r="R680" s="164"/>
      <c r="S680" s="62"/>
      <c r="T680" s="63"/>
      <c r="U680" s="62"/>
      <c r="V680" s="177"/>
      <c r="W680" s="171"/>
      <c r="X680" s="62"/>
      <c r="Y680" s="45"/>
      <c r="Z680" s="44"/>
      <c r="AA680" s="100"/>
      <c r="AB680" s="100"/>
      <c r="AG680" s="18">
        <v>23</v>
      </c>
      <c r="AH680" s="69" t="s">
        <v>356</v>
      </c>
      <c r="AI680" s="243" t="s">
        <v>99</v>
      </c>
      <c r="AJ680" s="243" t="s">
        <v>419</v>
      </c>
      <c r="AK680" s="246"/>
      <c r="AL680" s="43" t="str">
        <f t="shared" si="180"/>
        <v>-</v>
      </c>
      <c r="AM680" s="43">
        <f t="shared" si="168"/>
        <v>0</v>
      </c>
      <c r="AN680" s="193">
        <f t="shared" si="168"/>
        <v>0</v>
      </c>
      <c r="AO680" s="264" t="str">
        <f t="shared" si="169"/>
        <v>-</v>
      </c>
      <c r="AP680" s="267"/>
      <c r="AQ680" s="26" t="str">
        <f t="shared" si="176"/>
        <v>MACKTUSH CREEKSteelhead</v>
      </c>
      <c r="AR680" s="26">
        <f t="shared" si="170"/>
        <v>0</v>
      </c>
      <c r="AS680" s="33">
        <f t="shared" si="171"/>
        <v>0</v>
      </c>
      <c r="AX680" s="47" t="str">
        <f t="shared" si="172"/>
        <v>MACKTUSH CREEKSteelhead</v>
      </c>
      <c r="AY680" s="49">
        <f t="shared" si="173"/>
        <v>0</v>
      </c>
      <c r="AZ680" s="49">
        <f t="shared" si="174"/>
        <v>0</v>
      </c>
      <c r="BA680" s="31">
        <v>0</v>
      </c>
      <c r="BB680" s="188">
        <f t="shared" si="177"/>
        <v>0</v>
      </c>
      <c r="BC680" s="188" t="str">
        <f t="shared" si="181"/>
        <v xml:space="preserve"> </v>
      </c>
      <c r="BD680" s="188" t="str">
        <f t="shared" si="182"/>
        <v xml:space="preserve"> </v>
      </c>
      <c r="BE680" s="188" t="str">
        <f t="shared" si="183"/>
        <v xml:space="preserve"> </v>
      </c>
      <c r="BF680" s="50" t="str">
        <f t="shared" si="175"/>
        <v>MACKTUSH CREEK_Steelhead</v>
      </c>
      <c r="BG680" s="50" t="str">
        <f>IFERROR(VLOOKUP(BF680,'[1]WCVI Esc'!$C$5:$W$534,18,FALSE),"-")</f>
        <v>-</v>
      </c>
      <c r="BH680" s="50" t="str">
        <f t="shared" si="178"/>
        <v>-</v>
      </c>
      <c r="BI680" s="50" t="str">
        <f>IFERROR(VLOOKUP(BF680,'[1]WCVI Esc'!$C$5:$W$534,19,FALSE),"-")</f>
        <v>-</v>
      </c>
      <c r="BJ680" s="50" t="str">
        <f t="shared" si="179"/>
        <v>-</v>
      </c>
    </row>
    <row r="681" spans="1:66" hidden="1" x14ac:dyDescent="0.2">
      <c r="A681" s="28">
        <v>4</v>
      </c>
      <c r="B681" s="28">
        <v>1</v>
      </c>
      <c r="C681" s="11">
        <v>23</v>
      </c>
      <c r="D681" s="13" t="s">
        <v>295</v>
      </c>
      <c r="E681" s="10" t="s">
        <v>181</v>
      </c>
      <c r="F681" s="10" t="s">
        <v>207</v>
      </c>
      <c r="G681" s="10"/>
      <c r="H681" s="152"/>
      <c r="I681" s="181"/>
      <c r="J681" s="62"/>
      <c r="K681" s="94"/>
      <c r="L681" s="182"/>
      <c r="M681" s="173"/>
      <c r="N681" s="94"/>
      <c r="O681" s="94"/>
      <c r="P681" s="94"/>
      <c r="Q681" s="64"/>
      <c r="R681" s="164"/>
      <c r="S681" s="62"/>
      <c r="T681" s="63"/>
      <c r="U681" s="62"/>
      <c r="V681" s="177"/>
      <c r="W681" s="171"/>
      <c r="X681" s="62"/>
      <c r="Y681" s="45"/>
      <c r="Z681" s="45"/>
      <c r="AA681" s="100"/>
      <c r="AB681" s="100"/>
      <c r="AC681" s="24"/>
      <c r="AD681" s="24"/>
      <c r="AE681" s="24"/>
      <c r="AF681" s="24"/>
      <c r="AG681" s="18">
        <v>23</v>
      </c>
      <c r="AH681" s="69" t="s">
        <v>295</v>
      </c>
      <c r="AI681" s="243" t="s">
        <v>181</v>
      </c>
      <c r="AJ681" s="243" t="s">
        <v>419</v>
      </c>
      <c r="AK681" s="246"/>
      <c r="AL681" s="43" t="str">
        <f t="shared" si="180"/>
        <v>-</v>
      </c>
      <c r="AM681" s="43">
        <f t="shared" si="168"/>
        <v>0</v>
      </c>
      <c r="AN681" s="193">
        <f t="shared" si="168"/>
        <v>0</v>
      </c>
      <c r="AO681" s="270" t="str">
        <f t="shared" si="169"/>
        <v>-</v>
      </c>
      <c r="AP681" s="266"/>
      <c r="AQ681" s="26" t="str">
        <f t="shared" si="176"/>
        <v>MAGGIE RIVERSockeye</v>
      </c>
      <c r="AR681" s="26">
        <f t="shared" si="170"/>
        <v>0</v>
      </c>
      <c r="AS681" s="33">
        <f t="shared" si="171"/>
        <v>0</v>
      </c>
      <c r="AX681" s="47" t="str">
        <f t="shared" si="172"/>
        <v>MAGGIE RIVERSockeye</v>
      </c>
      <c r="AY681" s="49">
        <f t="shared" si="173"/>
        <v>0</v>
      </c>
      <c r="AZ681" s="49">
        <f t="shared" si="174"/>
        <v>0</v>
      </c>
      <c r="BA681" s="31">
        <v>0</v>
      </c>
      <c r="BB681" s="188">
        <f t="shared" si="177"/>
        <v>0</v>
      </c>
      <c r="BC681" s="188" t="str">
        <f t="shared" si="181"/>
        <v xml:space="preserve"> </v>
      </c>
      <c r="BD681" s="188" t="str">
        <f t="shared" si="182"/>
        <v xml:space="preserve"> </v>
      </c>
      <c r="BE681" s="188" t="str">
        <f t="shared" si="183"/>
        <v xml:space="preserve"> </v>
      </c>
      <c r="BF681" s="50" t="str">
        <f t="shared" si="175"/>
        <v>MAGGIE RIVER_Sockeye</v>
      </c>
      <c r="BG681" s="50" t="str">
        <f>IFERROR(VLOOKUP(BF681,'[1]WCVI Esc'!$C$5:$W$514,18,FALSE),"-")</f>
        <v>-</v>
      </c>
      <c r="BH681" s="50" t="str">
        <f t="shared" si="178"/>
        <v>-</v>
      </c>
      <c r="BI681" s="50" t="str">
        <f>IFERROR(VLOOKUP(BF681,'[1]WCVI Esc'!$C$5:$W$514,19,FALSE),"-")</f>
        <v>-</v>
      </c>
      <c r="BJ681" s="50" t="str">
        <f t="shared" si="179"/>
        <v>-</v>
      </c>
    </row>
    <row r="682" spans="1:66" hidden="1" x14ac:dyDescent="0.2">
      <c r="A682" s="28">
        <v>4</v>
      </c>
      <c r="B682" s="28">
        <v>2</v>
      </c>
      <c r="C682" s="11">
        <v>23</v>
      </c>
      <c r="D682" s="13" t="s">
        <v>295</v>
      </c>
      <c r="E682" s="10" t="s">
        <v>181</v>
      </c>
      <c r="F682" s="10" t="s">
        <v>219</v>
      </c>
      <c r="G682" s="10"/>
      <c r="H682" s="152"/>
      <c r="I682" s="181"/>
      <c r="J682" s="62"/>
      <c r="K682" s="94"/>
      <c r="L682" s="182"/>
      <c r="M682" s="173"/>
      <c r="N682" s="94"/>
      <c r="O682" s="94"/>
      <c r="P682" s="94"/>
      <c r="Q682" s="64"/>
      <c r="R682" s="164"/>
      <c r="S682" s="62"/>
      <c r="T682" s="63"/>
      <c r="U682" s="62"/>
      <c r="V682" s="177"/>
      <c r="W682" s="171"/>
      <c r="X682" s="62"/>
      <c r="Y682" s="45"/>
      <c r="Z682" s="45"/>
      <c r="AA682" s="100">
        <f>Y682/AP682</f>
        <v>0</v>
      </c>
      <c r="AB682" s="100">
        <f>AS682/AP682</f>
        <v>0</v>
      </c>
      <c r="AC682" s="24"/>
      <c r="AD682" s="24"/>
      <c r="AE682" s="24"/>
      <c r="AF682" s="24"/>
      <c r="AG682" s="18">
        <v>23</v>
      </c>
      <c r="AH682" s="69" t="s">
        <v>295</v>
      </c>
      <c r="AI682" s="243" t="s">
        <v>181</v>
      </c>
      <c r="AJ682" s="243" t="s">
        <v>419</v>
      </c>
      <c r="AK682" s="246"/>
      <c r="AL682" s="43" t="str">
        <f t="shared" si="180"/>
        <v>-</v>
      </c>
      <c r="AM682" s="43">
        <f t="shared" si="168"/>
        <v>0</v>
      </c>
      <c r="AN682" s="193">
        <f t="shared" si="168"/>
        <v>0</v>
      </c>
      <c r="AO682" s="270">
        <f t="shared" si="169"/>
        <v>230</v>
      </c>
      <c r="AP682" s="265">
        <f>BJ682</f>
        <v>370</v>
      </c>
      <c r="AQ682" s="26" t="str">
        <f t="shared" si="176"/>
        <v>MAGGIE RIVERCoho</v>
      </c>
      <c r="AR682" s="26">
        <f t="shared" si="170"/>
        <v>0</v>
      </c>
      <c r="AS682" s="33">
        <f t="shared" si="171"/>
        <v>0</v>
      </c>
      <c r="AX682" s="47" t="str">
        <f t="shared" si="172"/>
        <v>MAGGIE RIVERCoho</v>
      </c>
      <c r="AY682" s="49">
        <f t="shared" si="173"/>
        <v>0</v>
      </c>
      <c r="AZ682" s="49">
        <f t="shared" si="174"/>
        <v>0</v>
      </c>
      <c r="BA682" s="31">
        <v>2015</v>
      </c>
      <c r="BB682" s="188">
        <f t="shared" si="177"/>
        <v>0</v>
      </c>
      <c r="BC682" s="188" t="str">
        <f t="shared" si="181"/>
        <v xml:space="preserve"> </v>
      </c>
      <c r="BD682" s="188" t="str">
        <f t="shared" si="182"/>
        <v xml:space="preserve"> </v>
      </c>
      <c r="BE682" s="188" t="str">
        <f t="shared" si="183"/>
        <v xml:space="preserve"> </v>
      </c>
      <c r="BF682" s="50" t="str">
        <f t="shared" si="175"/>
        <v>MAGGIE RIVER_Coho</v>
      </c>
      <c r="BG682" s="50">
        <f>IFERROR(VLOOKUP(BF682,'[1]WCVI Esc'!$C$5:$W$514,18,FALSE),"-")</f>
        <v>225.25</v>
      </c>
      <c r="BH682" s="50">
        <f t="shared" si="178"/>
        <v>230</v>
      </c>
      <c r="BI682" s="50">
        <f>IFERROR(VLOOKUP(BF682,'[1]WCVI Esc'!$C$5:$W$514,19,FALSE),"-")</f>
        <v>373.83333333333331</v>
      </c>
      <c r="BJ682" s="50">
        <f t="shared" si="179"/>
        <v>370</v>
      </c>
    </row>
    <row r="683" spans="1:66" hidden="1" x14ac:dyDescent="0.2">
      <c r="A683" s="28">
        <v>4</v>
      </c>
      <c r="B683" s="28">
        <v>3</v>
      </c>
      <c r="C683" s="11">
        <v>23</v>
      </c>
      <c r="D683" s="13" t="s">
        <v>295</v>
      </c>
      <c r="E683" s="10" t="s">
        <v>181</v>
      </c>
      <c r="F683" s="10" t="s">
        <v>208</v>
      </c>
      <c r="G683" s="10"/>
      <c r="H683" s="152"/>
      <c r="I683" s="181"/>
      <c r="J683" s="62"/>
      <c r="K683" s="94"/>
      <c r="L683" s="182"/>
      <c r="M683" s="173"/>
      <c r="N683" s="94"/>
      <c r="O683" s="94"/>
      <c r="P683" s="94"/>
      <c r="Q683" s="64"/>
      <c r="R683" s="164"/>
      <c r="S683" s="62"/>
      <c r="T683" s="63"/>
      <c r="U683" s="62"/>
      <c r="V683" s="177"/>
      <c r="W683" s="171"/>
      <c r="X683" s="62"/>
      <c r="Y683" s="45"/>
      <c r="Z683" s="45"/>
      <c r="AA683" s="100"/>
      <c r="AB683" s="100"/>
      <c r="AC683" s="24"/>
      <c r="AD683" s="24"/>
      <c r="AE683" s="24"/>
      <c r="AF683" s="24"/>
      <c r="AG683" s="18">
        <v>23</v>
      </c>
      <c r="AH683" s="69" t="s">
        <v>295</v>
      </c>
      <c r="AI683" s="243" t="s">
        <v>181</v>
      </c>
      <c r="AJ683" s="243" t="s">
        <v>419</v>
      </c>
      <c r="AK683" s="246"/>
      <c r="AL683" s="43" t="str">
        <f t="shared" si="180"/>
        <v>-</v>
      </c>
      <c r="AM683" s="43">
        <f t="shared" si="168"/>
        <v>0</v>
      </c>
      <c r="AN683" s="193">
        <f t="shared" si="168"/>
        <v>0</v>
      </c>
      <c r="AO683" s="270" t="str">
        <f t="shared" si="169"/>
        <v>-</v>
      </c>
      <c r="AP683" s="266"/>
      <c r="AQ683" s="26" t="str">
        <f t="shared" si="176"/>
        <v>MAGGIE RIVERPink</v>
      </c>
      <c r="AR683" s="26">
        <f t="shared" si="170"/>
        <v>0</v>
      </c>
      <c r="AS683" s="33">
        <f t="shared" si="171"/>
        <v>0</v>
      </c>
      <c r="AX683" s="47" t="str">
        <f t="shared" si="172"/>
        <v>MAGGIE RIVERPink</v>
      </c>
      <c r="AY683" s="49">
        <f t="shared" si="173"/>
        <v>0</v>
      </c>
      <c r="AZ683" s="49">
        <f t="shared" si="174"/>
        <v>0</v>
      </c>
      <c r="BA683" s="31">
        <v>0</v>
      </c>
      <c r="BB683" s="188">
        <f t="shared" si="177"/>
        <v>0</v>
      </c>
      <c r="BC683" s="188" t="str">
        <f t="shared" si="181"/>
        <v xml:space="preserve"> </v>
      </c>
      <c r="BD683" s="188" t="str">
        <f t="shared" si="182"/>
        <v xml:space="preserve"> </v>
      </c>
      <c r="BE683" s="188" t="str">
        <f t="shared" si="183"/>
        <v xml:space="preserve"> </v>
      </c>
      <c r="BF683" s="50" t="str">
        <f t="shared" si="175"/>
        <v>MAGGIE RIVER_Pink</v>
      </c>
      <c r="BG683" s="50" t="str">
        <f>IFERROR(VLOOKUP(BF683,'[1]WCVI Esc'!$C$5:$W$514,18,FALSE),"-")</f>
        <v>-</v>
      </c>
      <c r="BH683" s="50" t="str">
        <f t="shared" si="178"/>
        <v>-</v>
      </c>
      <c r="BI683" s="50" t="str">
        <f>IFERROR(VLOOKUP(BF683,'[1]WCVI Esc'!$C$5:$W$514,19,FALSE),"-")</f>
        <v>-</v>
      </c>
      <c r="BJ683" s="50" t="str">
        <f t="shared" si="179"/>
        <v>-</v>
      </c>
    </row>
    <row r="684" spans="1:66" hidden="1" x14ac:dyDescent="0.2">
      <c r="A684" s="28">
        <v>4</v>
      </c>
      <c r="B684" s="28">
        <v>4</v>
      </c>
      <c r="C684" s="11">
        <v>23</v>
      </c>
      <c r="D684" s="13" t="s">
        <v>295</v>
      </c>
      <c r="E684" s="10" t="s">
        <v>181</v>
      </c>
      <c r="F684" s="10" t="s">
        <v>209</v>
      </c>
      <c r="G684" s="10"/>
      <c r="H684" s="152"/>
      <c r="I684" s="181"/>
      <c r="J684" s="62"/>
      <c r="K684" s="94"/>
      <c r="L684" s="182"/>
      <c r="M684" s="173"/>
      <c r="N684" s="94"/>
      <c r="O684" s="94"/>
      <c r="P684" s="94"/>
      <c r="Q684" s="64"/>
      <c r="R684" s="164"/>
      <c r="S684" s="62"/>
      <c r="T684" s="63"/>
      <c r="U684" s="62"/>
      <c r="V684" s="177"/>
      <c r="W684" s="171"/>
      <c r="X684" s="62"/>
      <c r="Y684" s="45"/>
      <c r="Z684" s="46"/>
      <c r="AA684" s="100">
        <f>Y684/AP684</f>
        <v>0</v>
      </c>
      <c r="AB684" s="100">
        <f>AS684/AP684</f>
        <v>0</v>
      </c>
      <c r="AC684" s="24"/>
      <c r="AD684" s="24"/>
      <c r="AE684" s="24"/>
      <c r="AF684" s="24"/>
      <c r="AG684" s="18">
        <v>23</v>
      </c>
      <c r="AH684" s="69" t="s">
        <v>295</v>
      </c>
      <c r="AI684" s="243" t="s">
        <v>181</v>
      </c>
      <c r="AJ684" s="243" t="s">
        <v>419</v>
      </c>
      <c r="AK684" s="246"/>
      <c r="AL684" s="43" t="str">
        <f t="shared" si="180"/>
        <v>-</v>
      </c>
      <c r="AM684" s="43">
        <f t="shared" si="168"/>
        <v>0</v>
      </c>
      <c r="AN684" s="193">
        <f t="shared" si="168"/>
        <v>0</v>
      </c>
      <c r="AO684" s="270">
        <f t="shared" si="169"/>
        <v>90</v>
      </c>
      <c r="AP684" s="265">
        <f>BJ684</f>
        <v>90</v>
      </c>
      <c r="AQ684" s="26" t="str">
        <f t="shared" si="176"/>
        <v>MAGGIE RIVERChum</v>
      </c>
      <c r="AR684" s="26">
        <f t="shared" si="170"/>
        <v>0</v>
      </c>
      <c r="AS684" s="33">
        <f t="shared" si="171"/>
        <v>0</v>
      </c>
      <c r="AX684" s="47" t="str">
        <f t="shared" si="172"/>
        <v>MAGGIE RIVERChum</v>
      </c>
      <c r="AY684" s="49">
        <f t="shared" si="173"/>
        <v>0</v>
      </c>
      <c r="AZ684" s="49">
        <f t="shared" si="174"/>
        <v>0</v>
      </c>
      <c r="BA684" s="31">
        <v>2007</v>
      </c>
      <c r="BB684" s="188">
        <f t="shared" si="177"/>
        <v>0</v>
      </c>
      <c r="BC684" s="188" t="str">
        <f t="shared" si="181"/>
        <v xml:space="preserve"> </v>
      </c>
      <c r="BD684" s="188" t="str">
        <f t="shared" si="182"/>
        <v xml:space="preserve"> </v>
      </c>
      <c r="BE684" s="188" t="str">
        <f t="shared" si="183"/>
        <v xml:space="preserve"> </v>
      </c>
      <c r="BF684" s="50" t="str">
        <f t="shared" si="175"/>
        <v>MAGGIE RIVER_Chum</v>
      </c>
      <c r="BG684" s="50">
        <f>IFERROR(VLOOKUP(BF684,'[1]WCVI Esc'!$C$5:$W$514,18,FALSE),"-")</f>
        <v>89</v>
      </c>
      <c r="BH684" s="50">
        <f t="shared" si="178"/>
        <v>90</v>
      </c>
      <c r="BI684" s="50">
        <f>IFERROR(VLOOKUP(BF684,'[1]WCVI Esc'!$C$5:$W$514,19,FALSE),"-")</f>
        <v>89</v>
      </c>
      <c r="BJ684" s="50">
        <f t="shared" si="179"/>
        <v>90</v>
      </c>
      <c r="BK684">
        <v>2</v>
      </c>
      <c r="BL684" s="17" t="s">
        <v>295</v>
      </c>
    </row>
    <row r="685" spans="1:66" hidden="1" x14ac:dyDescent="0.2">
      <c r="A685" s="28">
        <v>4</v>
      </c>
      <c r="B685" s="28">
        <v>5</v>
      </c>
      <c r="C685" s="11">
        <v>23</v>
      </c>
      <c r="D685" s="13" t="s">
        <v>295</v>
      </c>
      <c r="E685" s="10" t="s">
        <v>181</v>
      </c>
      <c r="F685" s="10" t="s">
        <v>210</v>
      </c>
      <c r="G685" s="10"/>
      <c r="H685" s="152"/>
      <c r="I685" s="181"/>
      <c r="J685" s="62"/>
      <c r="K685" s="94"/>
      <c r="L685" s="182"/>
      <c r="M685" s="173"/>
      <c r="N685" s="94"/>
      <c r="O685" s="94"/>
      <c r="P685" s="94"/>
      <c r="Q685" s="64"/>
      <c r="R685" s="164"/>
      <c r="S685" s="62"/>
      <c r="T685" s="63"/>
      <c r="U685" s="62"/>
      <c r="V685" s="177"/>
      <c r="W685" s="171"/>
      <c r="X685" s="62"/>
      <c r="Y685" s="45"/>
      <c r="Z685" s="45"/>
      <c r="AA685" s="100"/>
      <c r="AB685" s="100"/>
      <c r="AC685" s="24"/>
      <c r="AD685" s="24"/>
      <c r="AE685" s="24"/>
      <c r="AF685" s="24"/>
      <c r="AG685" s="18">
        <v>23</v>
      </c>
      <c r="AH685" s="69" t="s">
        <v>295</v>
      </c>
      <c r="AI685" s="243" t="s">
        <v>181</v>
      </c>
      <c r="AJ685" s="243" t="s">
        <v>419</v>
      </c>
      <c r="AK685" s="246"/>
      <c r="AL685" s="43" t="str">
        <f t="shared" si="180"/>
        <v>-</v>
      </c>
      <c r="AM685" s="43">
        <f t="shared" si="168"/>
        <v>0</v>
      </c>
      <c r="AN685" s="193">
        <f t="shared" si="168"/>
        <v>0</v>
      </c>
      <c r="AO685" s="270" t="str">
        <f t="shared" si="169"/>
        <v>-</v>
      </c>
      <c r="AP685" s="266"/>
      <c r="AQ685" s="26" t="str">
        <f t="shared" si="176"/>
        <v>MAGGIE RIVERChinook</v>
      </c>
      <c r="AR685" s="26">
        <f t="shared" si="170"/>
        <v>0</v>
      </c>
      <c r="AS685" s="33">
        <f t="shared" si="171"/>
        <v>0</v>
      </c>
      <c r="AX685" s="47" t="str">
        <f t="shared" si="172"/>
        <v>MAGGIE RIVERChinook</v>
      </c>
      <c r="AY685" s="49">
        <f t="shared" si="173"/>
        <v>0</v>
      </c>
      <c r="AZ685" s="49">
        <f t="shared" si="174"/>
        <v>0</v>
      </c>
      <c r="BA685" s="31">
        <v>0</v>
      </c>
      <c r="BB685" s="188">
        <f t="shared" si="177"/>
        <v>0</v>
      </c>
      <c r="BC685" s="188" t="str">
        <f t="shared" si="181"/>
        <v xml:space="preserve"> </v>
      </c>
      <c r="BD685" s="188" t="str">
        <f t="shared" si="182"/>
        <v xml:space="preserve"> </v>
      </c>
      <c r="BE685" s="188" t="str">
        <f t="shared" si="183"/>
        <v xml:space="preserve"> </v>
      </c>
      <c r="BF685" s="50" t="str">
        <f t="shared" si="175"/>
        <v>MAGGIE RIVER_Chinook</v>
      </c>
      <c r="BG685" s="50" t="str">
        <f>IFERROR(VLOOKUP(BF685,'[1]WCVI Esc'!$C$5:$W$514,18,FALSE),"-")</f>
        <v>-</v>
      </c>
      <c r="BH685" s="50" t="str">
        <f t="shared" si="178"/>
        <v>-</v>
      </c>
      <c r="BI685" s="50" t="str">
        <f>IFERROR(VLOOKUP(BF685,'[1]WCVI Esc'!$C$5:$W$514,19,FALSE),"-")</f>
        <v>-</v>
      </c>
      <c r="BJ685" s="50" t="str">
        <f t="shared" si="179"/>
        <v>-</v>
      </c>
    </row>
    <row r="686" spans="1:66" hidden="1" x14ac:dyDescent="0.2">
      <c r="A686" s="28">
        <v>4</v>
      </c>
      <c r="B686" s="28">
        <v>6</v>
      </c>
      <c r="C686" s="11">
        <v>23</v>
      </c>
      <c r="D686" s="13" t="s">
        <v>295</v>
      </c>
      <c r="E686" s="10" t="s">
        <v>181</v>
      </c>
      <c r="F686" s="10" t="s">
        <v>211</v>
      </c>
      <c r="G686" s="10"/>
      <c r="H686" s="152"/>
      <c r="I686" s="181"/>
      <c r="J686" s="62"/>
      <c r="K686" s="94"/>
      <c r="L686" s="182"/>
      <c r="M686" s="173"/>
      <c r="N686" s="94"/>
      <c r="O686" s="94"/>
      <c r="P686" s="94"/>
      <c r="Q686" s="64"/>
      <c r="R686" s="164"/>
      <c r="S686" s="62"/>
      <c r="T686" s="63"/>
      <c r="U686" s="62"/>
      <c r="V686" s="177"/>
      <c r="W686" s="171"/>
      <c r="X686" s="62"/>
      <c r="Y686" s="45"/>
      <c r="Z686" s="45"/>
      <c r="AA686" s="100"/>
      <c r="AB686" s="100"/>
      <c r="AC686" s="24"/>
      <c r="AD686" s="24"/>
      <c r="AE686" s="24"/>
      <c r="AF686" s="24"/>
      <c r="AG686" s="18">
        <v>23</v>
      </c>
      <c r="AH686" s="69" t="s">
        <v>295</v>
      </c>
      <c r="AI686" s="243" t="s">
        <v>181</v>
      </c>
      <c r="AJ686" s="243" t="s">
        <v>419</v>
      </c>
      <c r="AK686" s="246"/>
      <c r="AL686" s="43" t="str">
        <f t="shared" si="180"/>
        <v>-</v>
      </c>
      <c r="AM686" s="43">
        <f t="shared" si="168"/>
        <v>0</v>
      </c>
      <c r="AN686" s="193">
        <f t="shared" si="168"/>
        <v>0</v>
      </c>
      <c r="AO686" s="270" t="str">
        <f t="shared" si="169"/>
        <v>-</v>
      </c>
      <c r="AP686" s="266"/>
      <c r="AQ686" s="26" t="str">
        <f t="shared" si="176"/>
        <v>MAGGIE RIVERSteelhead</v>
      </c>
      <c r="AR686" s="26">
        <f t="shared" si="170"/>
        <v>0</v>
      </c>
      <c r="AS686" s="33">
        <f t="shared" si="171"/>
        <v>0</v>
      </c>
      <c r="AX686" s="47" t="str">
        <f t="shared" si="172"/>
        <v>MAGGIE RIVERSteelhead</v>
      </c>
      <c r="AY686" s="49">
        <f t="shared" si="173"/>
        <v>0</v>
      </c>
      <c r="AZ686" s="49">
        <f t="shared" si="174"/>
        <v>0</v>
      </c>
      <c r="BA686" s="31">
        <v>0</v>
      </c>
      <c r="BB686" s="188">
        <f t="shared" si="177"/>
        <v>0</v>
      </c>
      <c r="BC686" s="188" t="str">
        <f t="shared" si="181"/>
        <v xml:space="preserve"> </v>
      </c>
      <c r="BD686" s="188" t="str">
        <f t="shared" si="182"/>
        <v xml:space="preserve"> </v>
      </c>
      <c r="BE686" s="188" t="str">
        <f t="shared" si="183"/>
        <v xml:space="preserve"> </v>
      </c>
      <c r="BF686" s="50" t="str">
        <f t="shared" si="175"/>
        <v>MAGGIE RIVER_Steelhead</v>
      </c>
      <c r="BG686" s="50" t="str">
        <f>IFERROR(VLOOKUP(BF686,'[1]WCVI Esc'!$C$5:$W$514,18,FALSE),"-")</f>
        <v>-</v>
      </c>
      <c r="BH686" s="50" t="str">
        <f t="shared" si="178"/>
        <v>-</v>
      </c>
      <c r="BI686" s="50" t="str">
        <f>IFERROR(VLOOKUP(BF686,'[1]WCVI Esc'!$C$5:$W$514,19,FALSE),"-")</f>
        <v>-</v>
      </c>
      <c r="BJ686" s="50" t="str">
        <f t="shared" si="179"/>
        <v>-</v>
      </c>
    </row>
    <row r="687" spans="1:66" hidden="1" x14ac:dyDescent="0.2">
      <c r="A687" s="28">
        <v>4</v>
      </c>
      <c r="B687" s="28">
        <v>1</v>
      </c>
      <c r="C687" s="11">
        <v>23</v>
      </c>
      <c r="D687" s="13" t="s">
        <v>320</v>
      </c>
      <c r="E687" s="10" t="s">
        <v>100</v>
      </c>
      <c r="F687" s="10" t="s">
        <v>207</v>
      </c>
      <c r="G687" s="10"/>
      <c r="H687" s="152"/>
      <c r="I687" s="164"/>
      <c r="J687" s="62"/>
      <c r="K687" s="62"/>
      <c r="L687" s="177"/>
      <c r="M687" s="171"/>
      <c r="N687" s="62"/>
      <c r="O687" s="62"/>
      <c r="P687" s="62"/>
      <c r="Q687" s="64"/>
      <c r="R687" s="164"/>
      <c r="S687" s="62"/>
      <c r="T687" s="62"/>
      <c r="U687" s="62"/>
      <c r="V687" s="177"/>
      <c r="W687" s="171"/>
      <c r="X687" s="62"/>
      <c r="Y687" s="45"/>
      <c r="Z687" s="45"/>
      <c r="AA687" s="100"/>
      <c r="AB687" s="100"/>
      <c r="AC687" s="24"/>
      <c r="AD687" s="24"/>
      <c r="AE687" s="24"/>
      <c r="AF687" s="24"/>
      <c r="AG687" s="18">
        <v>23</v>
      </c>
      <c r="AH687" s="69" t="s">
        <v>320</v>
      </c>
      <c r="AI687" s="243" t="s">
        <v>100</v>
      </c>
      <c r="AJ687" s="243" t="s">
        <v>419</v>
      </c>
      <c r="AK687" s="246"/>
      <c r="AL687" s="43" t="str">
        <f t="shared" si="180"/>
        <v>-</v>
      </c>
      <c r="AM687" s="43">
        <f t="shared" si="168"/>
        <v>0</v>
      </c>
      <c r="AN687" s="193">
        <f t="shared" si="168"/>
        <v>0</v>
      </c>
      <c r="AO687" s="270" t="str">
        <f t="shared" si="169"/>
        <v>-</v>
      </c>
      <c r="AP687" s="266"/>
      <c r="AQ687" s="26" t="str">
        <f t="shared" si="176"/>
        <v>MCBRIDE CREEKSockeye</v>
      </c>
      <c r="AR687" s="26">
        <f t="shared" si="170"/>
        <v>0</v>
      </c>
      <c r="AS687" s="33">
        <f t="shared" si="171"/>
        <v>0</v>
      </c>
      <c r="AX687" s="47" t="str">
        <f t="shared" si="172"/>
        <v>MCBRIDE CREEKSockeye</v>
      </c>
      <c r="AY687" s="49">
        <f t="shared" si="173"/>
        <v>0</v>
      </c>
      <c r="AZ687" s="49">
        <f t="shared" si="174"/>
        <v>0</v>
      </c>
      <c r="BA687" s="31">
        <v>0</v>
      </c>
      <c r="BB687" s="188">
        <f t="shared" si="177"/>
        <v>0</v>
      </c>
      <c r="BC687" s="188" t="str">
        <f t="shared" si="181"/>
        <v xml:space="preserve"> </v>
      </c>
      <c r="BD687" s="188" t="str">
        <f t="shared" si="182"/>
        <v xml:space="preserve"> </v>
      </c>
      <c r="BE687" s="188" t="str">
        <f t="shared" si="183"/>
        <v xml:space="preserve"> </v>
      </c>
      <c r="BF687" s="50" t="str">
        <f t="shared" si="175"/>
        <v>MCBRIDE CREEK_Sockeye</v>
      </c>
      <c r="BG687" s="50" t="str">
        <f>IFERROR(VLOOKUP(BF687,'[1]WCVI Esc'!$C$5:$W$514,18,FALSE),"-")</f>
        <v>-</v>
      </c>
      <c r="BH687" s="50" t="str">
        <f t="shared" si="178"/>
        <v>-</v>
      </c>
      <c r="BI687" s="50" t="str">
        <f>IFERROR(VLOOKUP(BF687,'[1]WCVI Esc'!$C$5:$W$514,19,FALSE),"-")</f>
        <v>-</v>
      </c>
      <c r="BJ687" s="50" t="str">
        <f t="shared" si="179"/>
        <v>-</v>
      </c>
    </row>
    <row r="688" spans="1:66" hidden="1" x14ac:dyDescent="0.2">
      <c r="A688" s="28">
        <v>4</v>
      </c>
      <c r="B688" s="28">
        <v>2</v>
      </c>
      <c r="C688" s="11">
        <v>23</v>
      </c>
      <c r="D688" s="13" t="s">
        <v>320</v>
      </c>
      <c r="E688" s="10" t="s">
        <v>100</v>
      </c>
      <c r="F688" s="10" t="s">
        <v>219</v>
      </c>
      <c r="G688" s="10"/>
      <c r="H688" s="152"/>
      <c r="I688" s="164"/>
      <c r="J688" s="62"/>
      <c r="K688" s="62"/>
      <c r="L688" s="177"/>
      <c r="M688" s="171"/>
      <c r="N688" s="62"/>
      <c r="O688" s="62"/>
      <c r="P688" s="62"/>
      <c r="Q688" s="64"/>
      <c r="R688" s="164"/>
      <c r="S688" s="62"/>
      <c r="T688" s="62"/>
      <c r="U688" s="62"/>
      <c r="V688" s="177"/>
      <c r="W688" s="171"/>
      <c r="X688" s="62"/>
      <c r="Y688" s="45"/>
      <c r="Z688" s="45"/>
      <c r="AA688" s="100"/>
      <c r="AB688" s="100"/>
      <c r="AC688" s="24"/>
      <c r="AD688" s="24"/>
      <c r="AE688" s="24"/>
      <c r="AF688" s="24"/>
      <c r="AG688" s="18">
        <v>23</v>
      </c>
      <c r="AH688" s="69" t="s">
        <v>320</v>
      </c>
      <c r="AI688" s="243" t="s">
        <v>100</v>
      </c>
      <c r="AJ688" s="243" t="s">
        <v>419</v>
      </c>
      <c r="AK688" s="246"/>
      <c r="AL688" s="43" t="str">
        <f t="shared" si="180"/>
        <v>-</v>
      </c>
      <c r="AM688" s="43">
        <f t="shared" si="168"/>
        <v>0</v>
      </c>
      <c r="AN688" s="193">
        <f t="shared" si="168"/>
        <v>0</v>
      </c>
      <c r="AO688" s="270" t="str">
        <f t="shared" si="169"/>
        <v>-</v>
      </c>
      <c r="AP688" s="266"/>
      <c r="AQ688" s="26" t="str">
        <f t="shared" si="176"/>
        <v>MCBRIDE CREEKCoho</v>
      </c>
      <c r="AR688" s="26">
        <f t="shared" si="170"/>
        <v>0</v>
      </c>
      <c r="AS688" s="33">
        <f t="shared" si="171"/>
        <v>0</v>
      </c>
      <c r="AX688" s="47" t="str">
        <f t="shared" si="172"/>
        <v>MCBRIDE CREEKCoho</v>
      </c>
      <c r="AY688" s="49">
        <f t="shared" si="173"/>
        <v>0</v>
      </c>
      <c r="AZ688" s="49">
        <f t="shared" si="174"/>
        <v>0</v>
      </c>
      <c r="BA688" s="31">
        <v>0</v>
      </c>
      <c r="BB688" s="188">
        <f t="shared" si="177"/>
        <v>0</v>
      </c>
      <c r="BC688" s="188" t="str">
        <f t="shared" si="181"/>
        <v xml:space="preserve"> </v>
      </c>
      <c r="BD688" s="188" t="str">
        <f t="shared" si="182"/>
        <v xml:space="preserve"> </v>
      </c>
      <c r="BE688" s="188" t="str">
        <f t="shared" si="183"/>
        <v xml:space="preserve"> </v>
      </c>
      <c r="BF688" s="50" t="str">
        <f t="shared" si="175"/>
        <v>MCBRIDE CREEK_Coho</v>
      </c>
      <c r="BG688" s="50" t="str">
        <f>IFERROR(VLOOKUP(BF688,'[1]WCVI Esc'!$C$5:$W$514,18,FALSE),"-")</f>
        <v>-</v>
      </c>
      <c r="BH688" s="50" t="str">
        <f t="shared" si="178"/>
        <v>-</v>
      </c>
      <c r="BI688" s="50" t="str">
        <f>IFERROR(VLOOKUP(BF688,'[1]WCVI Esc'!$C$5:$W$514,19,FALSE),"-")</f>
        <v>-</v>
      </c>
      <c r="BJ688" s="50" t="str">
        <f t="shared" si="179"/>
        <v>-</v>
      </c>
    </row>
    <row r="689" spans="1:62" hidden="1" x14ac:dyDescent="0.2">
      <c r="A689" s="28">
        <v>4</v>
      </c>
      <c r="B689" s="28">
        <v>3</v>
      </c>
      <c r="C689" s="11">
        <v>23</v>
      </c>
      <c r="D689" s="13" t="s">
        <v>320</v>
      </c>
      <c r="E689" s="10" t="s">
        <v>100</v>
      </c>
      <c r="F689" s="10" t="s">
        <v>208</v>
      </c>
      <c r="G689" s="10"/>
      <c r="H689" s="152"/>
      <c r="I689" s="164"/>
      <c r="J689" s="62"/>
      <c r="K689" s="62"/>
      <c r="L689" s="177"/>
      <c r="M689" s="171"/>
      <c r="N689" s="62"/>
      <c r="O689" s="62"/>
      <c r="P689" s="62"/>
      <c r="Q689" s="64"/>
      <c r="R689" s="164"/>
      <c r="S689" s="62"/>
      <c r="T689" s="62"/>
      <c r="U689" s="62"/>
      <c r="V689" s="177"/>
      <c r="W689" s="171"/>
      <c r="X689" s="62"/>
      <c r="Y689" s="45"/>
      <c r="Z689" s="45"/>
      <c r="AA689" s="100"/>
      <c r="AB689" s="100"/>
      <c r="AC689" s="24"/>
      <c r="AD689" s="24"/>
      <c r="AE689" s="24"/>
      <c r="AF689" s="24"/>
      <c r="AG689" s="18">
        <v>23</v>
      </c>
      <c r="AH689" s="69" t="s">
        <v>320</v>
      </c>
      <c r="AI689" s="243" t="s">
        <v>100</v>
      </c>
      <c r="AJ689" s="243" t="s">
        <v>419</v>
      </c>
      <c r="AK689" s="246"/>
      <c r="AL689" s="43" t="str">
        <f t="shared" si="180"/>
        <v>-</v>
      </c>
      <c r="AM689" s="43">
        <f t="shared" si="168"/>
        <v>0</v>
      </c>
      <c r="AN689" s="193">
        <f t="shared" si="168"/>
        <v>0</v>
      </c>
      <c r="AO689" s="270" t="str">
        <f t="shared" si="169"/>
        <v>-</v>
      </c>
      <c r="AP689" s="266"/>
      <c r="AQ689" s="26" t="str">
        <f t="shared" si="176"/>
        <v>MCBRIDE CREEKPink</v>
      </c>
      <c r="AR689" s="26">
        <f t="shared" si="170"/>
        <v>0</v>
      </c>
      <c r="AS689" s="33">
        <f t="shared" si="171"/>
        <v>0</v>
      </c>
      <c r="AX689" s="47" t="str">
        <f t="shared" si="172"/>
        <v>MCBRIDE CREEKPink</v>
      </c>
      <c r="AY689" s="49">
        <f t="shared" si="173"/>
        <v>0</v>
      </c>
      <c r="AZ689" s="49">
        <f t="shared" si="174"/>
        <v>0</v>
      </c>
      <c r="BA689" s="31">
        <v>0</v>
      </c>
      <c r="BB689" s="188">
        <f t="shared" si="177"/>
        <v>0</v>
      </c>
      <c r="BC689" s="188" t="str">
        <f t="shared" si="181"/>
        <v xml:space="preserve"> </v>
      </c>
      <c r="BD689" s="188" t="str">
        <f t="shared" si="182"/>
        <v xml:space="preserve"> </v>
      </c>
      <c r="BE689" s="188" t="str">
        <f t="shared" si="183"/>
        <v xml:space="preserve"> </v>
      </c>
      <c r="BF689" s="50" t="str">
        <f t="shared" si="175"/>
        <v>MCBRIDE CREEK_Pink</v>
      </c>
      <c r="BG689" s="50" t="str">
        <f>IFERROR(VLOOKUP(BF689,'[1]WCVI Esc'!$C$5:$W$514,18,FALSE),"-")</f>
        <v>-</v>
      </c>
      <c r="BH689" s="50" t="str">
        <f t="shared" si="178"/>
        <v>-</v>
      </c>
      <c r="BI689" s="50" t="str">
        <f>IFERROR(VLOOKUP(BF689,'[1]WCVI Esc'!$C$5:$W$514,19,FALSE),"-")</f>
        <v>-</v>
      </c>
      <c r="BJ689" s="50" t="str">
        <f t="shared" si="179"/>
        <v>-</v>
      </c>
    </row>
    <row r="690" spans="1:62" hidden="1" x14ac:dyDescent="0.2">
      <c r="A690" s="28">
        <v>4</v>
      </c>
      <c r="B690" s="28">
        <v>4</v>
      </c>
      <c r="C690" s="11">
        <v>23</v>
      </c>
      <c r="D690" s="13" t="s">
        <v>320</v>
      </c>
      <c r="E690" s="10" t="s">
        <v>100</v>
      </c>
      <c r="F690" s="10" t="s">
        <v>209</v>
      </c>
      <c r="G690" s="10"/>
      <c r="H690" s="152"/>
      <c r="I690" s="164"/>
      <c r="J690" s="62"/>
      <c r="K690" s="62"/>
      <c r="L690" s="177"/>
      <c r="M690" s="171"/>
      <c r="N690" s="62"/>
      <c r="O690" s="62"/>
      <c r="P690" s="62"/>
      <c r="Q690" s="64"/>
      <c r="R690" s="164"/>
      <c r="S690" s="62"/>
      <c r="T690" s="62"/>
      <c r="U690" s="62"/>
      <c r="V690" s="177"/>
      <c r="W690" s="171"/>
      <c r="X690" s="62"/>
      <c r="Y690" s="45"/>
      <c r="Z690" s="45"/>
      <c r="AA690" s="100"/>
      <c r="AB690" s="100"/>
      <c r="AC690" s="24"/>
      <c r="AD690" s="24"/>
      <c r="AE690" s="24"/>
      <c r="AF690" s="24"/>
      <c r="AG690" s="18">
        <v>23</v>
      </c>
      <c r="AH690" s="69" t="s">
        <v>320</v>
      </c>
      <c r="AI690" s="243" t="s">
        <v>100</v>
      </c>
      <c r="AJ690" s="243" t="s">
        <v>419</v>
      </c>
      <c r="AK690" s="246"/>
      <c r="AL690" s="43" t="str">
        <f t="shared" si="180"/>
        <v>-</v>
      </c>
      <c r="AM690" s="43">
        <f t="shared" si="168"/>
        <v>0</v>
      </c>
      <c r="AN690" s="193">
        <f t="shared" si="168"/>
        <v>0</v>
      </c>
      <c r="AO690" s="270" t="str">
        <f t="shared" si="169"/>
        <v>-</v>
      </c>
      <c r="AP690" s="266"/>
      <c r="AQ690" s="26" t="str">
        <f t="shared" si="176"/>
        <v>MCBRIDE CREEKChum</v>
      </c>
      <c r="AR690" s="26">
        <f t="shared" si="170"/>
        <v>0</v>
      </c>
      <c r="AS690" s="33">
        <f t="shared" si="171"/>
        <v>0</v>
      </c>
      <c r="AX690" s="47" t="str">
        <f t="shared" si="172"/>
        <v>MCBRIDE CREEKChum</v>
      </c>
      <c r="AY690" s="49">
        <f t="shared" si="173"/>
        <v>0</v>
      </c>
      <c r="AZ690" s="49">
        <f t="shared" si="174"/>
        <v>0</v>
      </c>
      <c r="BA690" s="31">
        <v>0</v>
      </c>
      <c r="BB690" s="188">
        <f t="shared" si="177"/>
        <v>0</v>
      </c>
      <c r="BC690" s="188" t="str">
        <f t="shared" si="181"/>
        <v xml:space="preserve"> </v>
      </c>
      <c r="BD690" s="188" t="str">
        <f t="shared" si="182"/>
        <v xml:space="preserve"> </v>
      </c>
      <c r="BE690" s="188" t="str">
        <f t="shared" si="183"/>
        <v xml:space="preserve"> </v>
      </c>
      <c r="BF690" s="50" t="str">
        <f t="shared" si="175"/>
        <v>MCBRIDE CREEK_Chum</v>
      </c>
      <c r="BG690" s="50" t="str">
        <f>IFERROR(VLOOKUP(BF690,'[1]WCVI Esc'!$C$5:$W$514,18,FALSE),"-")</f>
        <v>-</v>
      </c>
      <c r="BH690" s="50" t="str">
        <f t="shared" si="178"/>
        <v>-</v>
      </c>
      <c r="BI690" s="50" t="str">
        <f>IFERROR(VLOOKUP(BF690,'[1]WCVI Esc'!$C$5:$W$514,19,FALSE),"-")</f>
        <v>-</v>
      </c>
      <c r="BJ690" s="50" t="str">
        <f t="shared" si="179"/>
        <v>-</v>
      </c>
    </row>
    <row r="691" spans="1:62" hidden="1" x14ac:dyDescent="0.2">
      <c r="A691" s="28">
        <v>4</v>
      </c>
      <c r="B691" s="28">
        <v>5</v>
      </c>
      <c r="C691" s="11">
        <v>23</v>
      </c>
      <c r="D691" s="13" t="s">
        <v>320</v>
      </c>
      <c r="E691" s="10" t="s">
        <v>100</v>
      </c>
      <c r="F691" s="10" t="s">
        <v>210</v>
      </c>
      <c r="G691" s="10"/>
      <c r="H691" s="152"/>
      <c r="I691" s="164"/>
      <c r="J691" s="62"/>
      <c r="K691" s="62"/>
      <c r="L691" s="177"/>
      <c r="M691" s="171"/>
      <c r="N691" s="62"/>
      <c r="O691" s="62"/>
      <c r="P691" s="62"/>
      <c r="Q691" s="64"/>
      <c r="R691" s="164"/>
      <c r="S691" s="62"/>
      <c r="T691" s="62"/>
      <c r="U691" s="62"/>
      <c r="V691" s="177"/>
      <c r="W691" s="171"/>
      <c r="X691" s="62"/>
      <c r="Y691" s="45"/>
      <c r="Z691" s="45"/>
      <c r="AA691" s="100"/>
      <c r="AB691" s="100"/>
      <c r="AC691" s="24"/>
      <c r="AD691" s="24"/>
      <c r="AE691" s="24"/>
      <c r="AF691" s="24"/>
      <c r="AG691" s="18">
        <v>23</v>
      </c>
      <c r="AH691" s="69" t="s">
        <v>320</v>
      </c>
      <c r="AI691" s="243" t="s">
        <v>100</v>
      </c>
      <c r="AJ691" s="243" t="s">
        <v>419</v>
      </c>
      <c r="AK691" s="246"/>
      <c r="AL691" s="43" t="str">
        <f t="shared" si="180"/>
        <v>-</v>
      </c>
      <c r="AM691" s="43">
        <f t="shared" si="168"/>
        <v>0</v>
      </c>
      <c r="AN691" s="193">
        <f t="shared" si="168"/>
        <v>0</v>
      </c>
      <c r="AO691" s="270" t="str">
        <f t="shared" si="169"/>
        <v>-</v>
      </c>
      <c r="AP691" s="266"/>
      <c r="AQ691" s="26" t="str">
        <f t="shared" si="176"/>
        <v>MCBRIDE CREEKChinook</v>
      </c>
      <c r="AR691" s="26">
        <f t="shared" si="170"/>
        <v>0</v>
      </c>
      <c r="AS691" s="33">
        <f t="shared" si="171"/>
        <v>0</v>
      </c>
      <c r="AX691" s="47" t="str">
        <f t="shared" si="172"/>
        <v>MCBRIDE CREEKChinook</v>
      </c>
      <c r="AY691" s="49">
        <f t="shared" si="173"/>
        <v>0</v>
      </c>
      <c r="AZ691" s="49">
        <f t="shared" si="174"/>
        <v>0</v>
      </c>
      <c r="BA691" s="31">
        <v>0</v>
      </c>
      <c r="BB691" s="188">
        <f t="shared" si="177"/>
        <v>0</v>
      </c>
      <c r="BC691" s="188" t="str">
        <f t="shared" si="181"/>
        <v xml:space="preserve"> </v>
      </c>
      <c r="BD691" s="188" t="str">
        <f t="shared" si="182"/>
        <v xml:space="preserve"> </v>
      </c>
      <c r="BE691" s="188" t="str">
        <f t="shared" si="183"/>
        <v xml:space="preserve"> </v>
      </c>
      <c r="BF691" s="50" t="str">
        <f t="shared" si="175"/>
        <v>MCBRIDE CREEK_Chinook</v>
      </c>
      <c r="BG691" s="50" t="str">
        <f>IFERROR(VLOOKUP(BF691,'[1]WCVI Esc'!$C$5:$W$514,18,FALSE),"-")</f>
        <v>-</v>
      </c>
      <c r="BH691" s="50" t="str">
        <f t="shared" si="178"/>
        <v>-</v>
      </c>
      <c r="BI691" s="50" t="str">
        <f>IFERROR(VLOOKUP(BF691,'[1]WCVI Esc'!$C$5:$W$514,19,FALSE),"-")</f>
        <v>-</v>
      </c>
      <c r="BJ691" s="50" t="str">
        <f t="shared" si="179"/>
        <v>-</v>
      </c>
    </row>
    <row r="692" spans="1:62" hidden="1" x14ac:dyDescent="0.2">
      <c r="A692" s="28">
        <v>4</v>
      </c>
      <c r="B692" s="28">
        <v>6</v>
      </c>
      <c r="C692" s="11">
        <v>23</v>
      </c>
      <c r="D692" s="13" t="s">
        <v>320</v>
      </c>
      <c r="E692" s="10" t="s">
        <v>100</v>
      </c>
      <c r="F692" s="10" t="s">
        <v>211</v>
      </c>
      <c r="G692" s="10"/>
      <c r="H692" s="152"/>
      <c r="I692" s="164"/>
      <c r="J692" s="62"/>
      <c r="K692" s="62"/>
      <c r="L692" s="177"/>
      <c r="M692" s="171"/>
      <c r="N692" s="62"/>
      <c r="O692" s="62"/>
      <c r="P692" s="62"/>
      <c r="Q692" s="64"/>
      <c r="R692" s="164"/>
      <c r="S692" s="62"/>
      <c r="T692" s="62"/>
      <c r="U692" s="62"/>
      <c r="V692" s="177"/>
      <c r="W692" s="171"/>
      <c r="X692" s="62"/>
      <c r="Y692" s="45"/>
      <c r="Z692" s="45"/>
      <c r="AA692" s="100"/>
      <c r="AB692" s="100"/>
      <c r="AC692" s="24"/>
      <c r="AD692" s="24"/>
      <c r="AE692" s="24"/>
      <c r="AF692" s="24"/>
      <c r="AG692" s="18">
        <v>23</v>
      </c>
      <c r="AH692" s="69" t="s">
        <v>320</v>
      </c>
      <c r="AI692" s="243" t="s">
        <v>100</v>
      </c>
      <c r="AJ692" s="243" t="s">
        <v>419</v>
      </c>
      <c r="AK692" s="246"/>
      <c r="AL692" s="43" t="str">
        <f t="shared" si="180"/>
        <v>-</v>
      </c>
      <c r="AM692" s="43">
        <f t="shared" si="168"/>
        <v>0</v>
      </c>
      <c r="AN692" s="193">
        <f t="shared" si="168"/>
        <v>0</v>
      </c>
      <c r="AO692" s="270" t="str">
        <f t="shared" si="169"/>
        <v>-</v>
      </c>
      <c r="AP692" s="266"/>
      <c r="AQ692" s="26" t="str">
        <f t="shared" si="176"/>
        <v>MCBRIDE CREEKSteelhead</v>
      </c>
      <c r="AR692" s="26">
        <f t="shared" si="170"/>
        <v>0</v>
      </c>
      <c r="AS692" s="33">
        <f t="shared" si="171"/>
        <v>0</v>
      </c>
      <c r="AX692" s="47" t="str">
        <f t="shared" si="172"/>
        <v>MCBRIDE CREEKSteelhead</v>
      </c>
      <c r="AY692" s="49">
        <f t="shared" si="173"/>
        <v>0</v>
      </c>
      <c r="AZ692" s="49">
        <f t="shared" si="174"/>
        <v>0</v>
      </c>
      <c r="BA692" s="31">
        <v>0</v>
      </c>
      <c r="BB692" s="188">
        <f t="shared" si="177"/>
        <v>0</v>
      </c>
      <c r="BC692" s="188" t="str">
        <f t="shared" si="181"/>
        <v xml:space="preserve"> </v>
      </c>
      <c r="BD692" s="188" t="str">
        <f t="shared" si="182"/>
        <v xml:space="preserve"> </v>
      </c>
      <c r="BE692" s="188" t="str">
        <f t="shared" si="183"/>
        <v xml:space="preserve"> </v>
      </c>
      <c r="BF692" s="50" t="str">
        <f t="shared" si="175"/>
        <v>MCBRIDE CREEK_Steelhead</v>
      </c>
      <c r="BG692" s="50" t="str">
        <f>IFERROR(VLOOKUP(BF692,'[1]WCVI Esc'!$C$5:$W$514,18,FALSE),"-")</f>
        <v>-</v>
      </c>
      <c r="BH692" s="50" t="str">
        <f t="shared" si="178"/>
        <v>-</v>
      </c>
      <c r="BI692" s="50" t="str">
        <f>IFERROR(VLOOKUP(BF692,'[1]WCVI Esc'!$C$5:$W$514,19,FALSE),"-")</f>
        <v>-</v>
      </c>
      <c r="BJ692" s="50" t="str">
        <f t="shared" si="179"/>
        <v>-</v>
      </c>
    </row>
    <row r="693" spans="1:62" hidden="1" x14ac:dyDescent="0.2">
      <c r="A693" s="28">
        <v>4</v>
      </c>
      <c r="B693" s="28">
        <v>1</v>
      </c>
      <c r="C693" s="11">
        <v>23</v>
      </c>
      <c r="D693" s="13" t="s">
        <v>305</v>
      </c>
      <c r="E693" s="10" t="s">
        <v>182</v>
      </c>
      <c r="F693" s="10" t="s">
        <v>207</v>
      </c>
      <c r="G693" s="10"/>
      <c r="H693" s="152"/>
      <c r="I693" s="164"/>
      <c r="J693" s="62"/>
      <c r="K693" s="62"/>
      <c r="L693" s="177"/>
      <c r="M693" s="171"/>
      <c r="N693" s="63"/>
      <c r="O693" s="62"/>
      <c r="P693" s="62"/>
      <c r="Q693" s="64"/>
      <c r="R693" s="169"/>
      <c r="S693" s="62"/>
      <c r="T693" s="62"/>
      <c r="U693" s="62"/>
      <c r="V693" s="177"/>
      <c r="W693" s="171"/>
      <c r="X693" s="62"/>
      <c r="Y693" s="45"/>
      <c r="Z693" s="45"/>
      <c r="AA693" s="100"/>
      <c r="AB693" s="100"/>
      <c r="AC693" s="24"/>
      <c r="AD693" s="24"/>
      <c r="AE693" s="24"/>
      <c r="AF693" s="24"/>
      <c r="AG693" s="18">
        <v>23</v>
      </c>
      <c r="AH693" s="69" t="s">
        <v>305</v>
      </c>
      <c r="AI693" s="243" t="s">
        <v>182</v>
      </c>
      <c r="AJ693" s="243" t="s">
        <v>419</v>
      </c>
      <c r="AK693" s="246"/>
      <c r="AL693" s="43" t="str">
        <f t="shared" si="180"/>
        <v>-</v>
      </c>
      <c r="AM693" s="43">
        <f t="shared" si="168"/>
        <v>0</v>
      </c>
      <c r="AN693" s="193">
        <f t="shared" si="168"/>
        <v>0</v>
      </c>
      <c r="AO693" s="270" t="str">
        <f t="shared" si="169"/>
        <v>-</v>
      </c>
      <c r="AP693" s="266"/>
      <c r="AQ693" s="26" t="str">
        <f t="shared" si="176"/>
        <v>MERCANTILE CREEKSockeye</v>
      </c>
      <c r="AR693" s="26">
        <f t="shared" si="170"/>
        <v>0</v>
      </c>
      <c r="AS693" s="33">
        <f t="shared" si="171"/>
        <v>0</v>
      </c>
      <c r="AX693" s="47" t="str">
        <f t="shared" si="172"/>
        <v>MERCANTILE CREEKSockeye</v>
      </c>
      <c r="AY693" s="49">
        <f t="shared" si="173"/>
        <v>0</v>
      </c>
      <c r="AZ693" s="49">
        <f t="shared" si="174"/>
        <v>0</v>
      </c>
      <c r="BA693" s="31">
        <v>0</v>
      </c>
      <c r="BB693" s="188">
        <f t="shared" si="177"/>
        <v>0</v>
      </c>
      <c r="BC693" s="188" t="str">
        <f t="shared" si="181"/>
        <v xml:space="preserve"> </v>
      </c>
      <c r="BD693" s="188" t="str">
        <f t="shared" si="182"/>
        <v xml:space="preserve"> </v>
      </c>
      <c r="BE693" s="188" t="str">
        <f t="shared" si="183"/>
        <v xml:space="preserve"> </v>
      </c>
      <c r="BF693" s="50" t="str">
        <f t="shared" si="175"/>
        <v>MERCANTILE CREEK_Sockeye</v>
      </c>
      <c r="BG693" s="50" t="str">
        <f>IFERROR(VLOOKUP(BF693,'[1]WCVI Esc'!$C$5:$W$514,18,FALSE),"-")</f>
        <v>-</v>
      </c>
      <c r="BH693" s="50" t="str">
        <f t="shared" si="178"/>
        <v>-</v>
      </c>
      <c r="BI693" s="50" t="str">
        <f>IFERROR(VLOOKUP(BF693,'[1]WCVI Esc'!$C$5:$W$514,19,FALSE),"-")</f>
        <v>-</v>
      </c>
      <c r="BJ693" s="50" t="str">
        <f t="shared" si="179"/>
        <v>-</v>
      </c>
    </row>
    <row r="694" spans="1:62" hidden="1" x14ac:dyDescent="0.2">
      <c r="A694" s="28">
        <v>4</v>
      </c>
      <c r="B694" s="28">
        <v>2</v>
      </c>
      <c r="C694" s="11">
        <v>23</v>
      </c>
      <c r="D694" s="13" t="s">
        <v>305</v>
      </c>
      <c r="E694" s="10" t="s">
        <v>182</v>
      </c>
      <c r="F694" s="10" t="s">
        <v>219</v>
      </c>
      <c r="G694" s="10"/>
      <c r="H694" s="152"/>
      <c r="I694" s="164"/>
      <c r="J694" s="62"/>
      <c r="K694" s="62"/>
      <c r="L694" s="177"/>
      <c r="M694" s="171"/>
      <c r="N694" s="63"/>
      <c r="O694" s="62"/>
      <c r="P694" s="62"/>
      <c r="Q694" s="64"/>
      <c r="R694" s="169"/>
      <c r="S694" s="62"/>
      <c r="T694" s="62"/>
      <c r="U694" s="62"/>
      <c r="V694" s="177"/>
      <c r="W694" s="171"/>
      <c r="X694" s="62"/>
      <c r="Y694" s="45"/>
      <c r="Z694" s="45"/>
      <c r="AA694" s="100" t="e">
        <f>Y694/AP694</f>
        <v>#VALUE!</v>
      </c>
      <c r="AB694" s="100" t="e">
        <f>AS694/AP694</f>
        <v>#VALUE!</v>
      </c>
      <c r="AC694" s="24"/>
      <c r="AD694" s="24"/>
      <c r="AE694" s="24"/>
      <c r="AF694" s="24"/>
      <c r="AG694" s="18">
        <v>23</v>
      </c>
      <c r="AH694" s="69" t="s">
        <v>305</v>
      </c>
      <c r="AI694" s="243" t="s">
        <v>182</v>
      </c>
      <c r="AJ694" s="243" t="s">
        <v>419</v>
      </c>
      <c r="AK694" s="246"/>
      <c r="AL694" s="43" t="str">
        <f t="shared" si="180"/>
        <v>-</v>
      </c>
      <c r="AM694" s="43">
        <f t="shared" si="168"/>
        <v>0</v>
      </c>
      <c r="AN694" s="193">
        <f t="shared" si="168"/>
        <v>0</v>
      </c>
      <c r="AO694" s="270" t="str">
        <f t="shared" si="169"/>
        <v>-</v>
      </c>
      <c r="AP694" s="265" t="str">
        <f>BJ694</f>
        <v>-</v>
      </c>
      <c r="AQ694" s="26" t="str">
        <f t="shared" si="176"/>
        <v>MERCANTILE CREEKCoho</v>
      </c>
      <c r="AR694" s="26">
        <f t="shared" si="170"/>
        <v>0</v>
      </c>
      <c r="AS694" s="33">
        <f t="shared" si="171"/>
        <v>0</v>
      </c>
      <c r="AX694" s="47" t="str">
        <f t="shared" si="172"/>
        <v>MERCANTILE CREEKCoho</v>
      </c>
      <c r="AY694" s="49">
        <f t="shared" si="173"/>
        <v>0</v>
      </c>
      <c r="AZ694" s="49">
        <f t="shared" si="174"/>
        <v>0</v>
      </c>
      <c r="BA694" s="31">
        <v>2007</v>
      </c>
      <c r="BB694" s="188">
        <f t="shared" si="177"/>
        <v>0</v>
      </c>
      <c r="BC694" s="188" t="str">
        <f t="shared" si="181"/>
        <v xml:space="preserve"> </v>
      </c>
      <c r="BD694" s="188" t="str">
        <f t="shared" si="182"/>
        <v xml:space="preserve"> </v>
      </c>
      <c r="BE694" s="188" t="str">
        <f t="shared" si="183"/>
        <v xml:space="preserve"> </v>
      </c>
      <c r="BF694" s="50" t="str">
        <f t="shared" si="175"/>
        <v>MERCANTILE CREEK_Coho</v>
      </c>
      <c r="BG694" s="50" t="str">
        <f>IFERROR(VLOOKUP(BF694,'[1]WCVI Esc'!$C$5:$W$514,18,FALSE),"-")</f>
        <v>-</v>
      </c>
      <c r="BH694" s="50" t="str">
        <f t="shared" si="178"/>
        <v>-</v>
      </c>
      <c r="BI694" s="50" t="str">
        <f>IFERROR(VLOOKUP(BF694,'[1]WCVI Esc'!$C$5:$W$514,19,FALSE),"-")</f>
        <v>-</v>
      </c>
      <c r="BJ694" s="50" t="str">
        <f t="shared" si="179"/>
        <v>-</v>
      </c>
    </row>
    <row r="695" spans="1:62" hidden="1" x14ac:dyDescent="0.2">
      <c r="A695" s="28">
        <v>4</v>
      </c>
      <c r="B695" s="28">
        <v>3</v>
      </c>
      <c r="C695" s="11">
        <v>23</v>
      </c>
      <c r="D695" s="13" t="s">
        <v>305</v>
      </c>
      <c r="E695" s="10" t="s">
        <v>182</v>
      </c>
      <c r="F695" s="10" t="s">
        <v>208</v>
      </c>
      <c r="G695" s="10"/>
      <c r="H695" s="152"/>
      <c r="I695" s="164"/>
      <c r="J695" s="62"/>
      <c r="K695" s="62"/>
      <c r="L695" s="177"/>
      <c r="M695" s="171"/>
      <c r="N695" s="63"/>
      <c r="O695" s="62"/>
      <c r="P695" s="62"/>
      <c r="Q695" s="64"/>
      <c r="R695" s="169"/>
      <c r="S695" s="62"/>
      <c r="T695" s="62"/>
      <c r="U695" s="62"/>
      <c r="V695" s="177"/>
      <c r="W695" s="171"/>
      <c r="X695" s="62"/>
      <c r="Y695" s="45"/>
      <c r="Z695" s="45"/>
      <c r="AA695" s="100"/>
      <c r="AB695" s="100"/>
      <c r="AC695" s="24"/>
      <c r="AD695" s="24"/>
      <c r="AE695" s="24"/>
      <c r="AF695" s="24"/>
      <c r="AG695" s="18">
        <v>23</v>
      </c>
      <c r="AH695" s="69" t="s">
        <v>305</v>
      </c>
      <c r="AI695" s="243" t="s">
        <v>182</v>
      </c>
      <c r="AJ695" s="243" t="s">
        <v>419</v>
      </c>
      <c r="AK695" s="246"/>
      <c r="AL695" s="43" t="str">
        <f t="shared" si="180"/>
        <v>-</v>
      </c>
      <c r="AM695" s="43">
        <f t="shared" si="168"/>
        <v>0</v>
      </c>
      <c r="AN695" s="193">
        <f t="shared" si="168"/>
        <v>0</v>
      </c>
      <c r="AO695" s="270" t="str">
        <f t="shared" si="169"/>
        <v>-</v>
      </c>
      <c r="AP695" s="266"/>
      <c r="AQ695" s="26" t="str">
        <f t="shared" si="176"/>
        <v>MERCANTILE CREEKPink</v>
      </c>
      <c r="AR695" s="26">
        <f t="shared" si="170"/>
        <v>0</v>
      </c>
      <c r="AS695" s="33">
        <f t="shared" si="171"/>
        <v>0</v>
      </c>
      <c r="AX695" s="47" t="str">
        <f t="shared" si="172"/>
        <v>MERCANTILE CREEKPink</v>
      </c>
      <c r="AY695" s="49">
        <f t="shared" si="173"/>
        <v>0</v>
      </c>
      <c r="AZ695" s="49">
        <f t="shared" si="174"/>
        <v>0</v>
      </c>
      <c r="BA695" s="31">
        <v>0</v>
      </c>
      <c r="BB695" s="188">
        <f t="shared" si="177"/>
        <v>0</v>
      </c>
      <c r="BC695" s="188" t="str">
        <f t="shared" si="181"/>
        <v xml:space="preserve"> </v>
      </c>
      <c r="BD695" s="188" t="str">
        <f t="shared" si="182"/>
        <v xml:space="preserve"> </v>
      </c>
      <c r="BE695" s="188" t="str">
        <f t="shared" si="183"/>
        <v xml:space="preserve"> </v>
      </c>
      <c r="BF695" s="50" t="str">
        <f t="shared" si="175"/>
        <v>MERCANTILE CREEK_Pink</v>
      </c>
      <c r="BG695" s="50" t="str">
        <f>IFERROR(VLOOKUP(BF695,'[1]WCVI Esc'!$C$5:$W$514,18,FALSE),"-")</f>
        <v>-</v>
      </c>
      <c r="BH695" s="50" t="str">
        <f t="shared" si="178"/>
        <v>-</v>
      </c>
      <c r="BI695" s="50" t="str">
        <f>IFERROR(VLOOKUP(BF695,'[1]WCVI Esc'!$C$5:$W$514,19,FALSE),"-")</f>
        <v>-</v>
      </c>
      <c r="BJ695" s="50" t="str">
        <f t="shared" si="179"/>
        <v>-</v>
      </c>
    </row>
    <row r="696" spans="1:62" hidden="1" x14ac:dyDescent="0.2">
      <c r="A696" s="28">
        <v>4</v>
      </c>
      <c r="B696" s="28">
        <v>4</v>
      </c>
      <c r="C696" s="11">
        <v>23</v>
      </c>
      <c r="D696" s="13" t="s">
        <v>305</v>
      </c>
      <c r="E696" s="10" t="s">
        <v>182</v>
      </c>
      <c r="F696" s="10" t="s">
        <v>209</v>
      </c>
      <c r="G696" s="10"/>
      <c r="H696" s="152"/>
      <c r="I696" s="164"/>
      <c r="J696" s="62"/>
      <c r="K696" s="62"/>
      <c r="L696" s="177"/>
      <c r="M696" s="171"/>
      <c r="N696" s="63"/>
      <c r="O696" s="62"/>
      <c r="P696" s="62"/>
      <c r="Q696" s="64"/>
      <c r="R696" s="169"/>
      <c r="S696" s="62"/>
      <c r="T696" s="62"/>
      <c r="U696" s="62"/>
      <c r="V696" s="177"/>
      <c r="W696" s="171"/>
      <c r="X696" s="62"/>
      <c r="Y696" s="45"/>
      <c r="Z696" s="45"/>
      <c r="AA696" s="100">
        <f>Y696/AP696</f>
        <v>0</v>
      </c>
      <c r="AB696" s="100">
        <f>AS696/AP696</f>
        <v>0</v>
      </c>
      <c r="AC696" s="24"/>
      <c r="AD696" s="24"/>
      <c r="AE696" s="24"/>
      <c r="AF696" s="24"/>
      <c r="AG696" s="18">
        <v>23</v>
      </c>
      <c r="AH696" s="69" t="s">
        <v>305</v>
      </c>
      <c r="AI696" s="243" t="s">
        <v>182</v>
      </c>
      <c r="AJ696" s="243" t="s">
        <v>419</v>
      </c>
      <c r="AK696" s="246"/>
      <c r="AL696" s="43" t="str">
        <f t="shared" si="180"/>
        <v>-</v>
      </c>
      <c r="AM696" s="43">
        <f t="shared" si="168"/>
        <v>0</v>
      </c>
      <c r="AN696" s="193">
        <f t="shared" si="168"/>
        <v>0</v>
      </c>
      <c r="AO696" s="270" t="str">
        <f t="shared" si="169"/>
        <v>-</v>
      </c>
      <c r="AP696" s="265">
        <f>BJ696</f>
        <v>60</v>
      </c>
      <c r="AQ696" s="26" t="str">
        <f t="shared" si="176"/>
        <v>MERCANTILE CREEKChum</v>
      </c>
      <c r="AR696" s="26">
        <f t="shared" si="170"/>
        <v>0</v>
      </c>
      <c r="AS696" s="33">
        <f t="shared" si="171"/>
        <v>0</v>
      </c>
      <c r="AX696" s="47" t="str">
        <f t="shared" si="172"/>
        <v>MERCANTILE CREEKChum</v>
      </c>
      <c r="AY696" s="49">
        <f t="shared" si="173"/>
        <v>0</v>
      </c>
      <c r="AZ696" s="49">
        <f t="shared" si="174"/>
        <v>0</v>
      </c>
      <c r="BA696" s="31">
        <v>2013</v>
      </c>
      <c r="BB696" s="188">
        <f t="shared" si="177"/>
        <v>0</v>
      </c>
      <c r="BC696" s="188" t="str">
        <f t="shared" si="181"/>
        <v xml:space="preserve"> </v>
      </c>
      <c r="BD696" s="188" t="str">
        <f t="shared" si="182"/>
        <v xml:space="preserve"> </v>
      </c>
      <c r="BE696" s="188" t="str">
        <f t="shared" si="183"/>
        <v xml:space="preserve"> </v>
      </c>
      <c r="BF696" s="50" t="str">
        <f t="shared" si="175"/>
        <v>MERCANTILE CREEK_Chum</v>
      </c>
      <c r="BG696" s="50" t="str">
        <f>IFERROR(VLOOKUP(BF696,'[1]WCVI Esc'!$C$5:$W$514,18,FALSE),"-")</f>
        <v>-</v>
      </c>
      <c r="BH696" s="50" t="str">
        <f t="shared" si="178"/>
        <v>-</v>
      </c>
      <c r="BI696" s="50">
        <f>IFERROR(VLOOKUP(BF696,'[1]WCVI Esc'!$C$5:$W$514,19,FALSE),"-")</f>
        <v>62</v>
      </c>
      <c r="BJ696" s="50">
        <f t="shared" si="179"/>
        <v>60</v>
      </c>
    </row>
    <row r="697" spans="1:62" hidden="1" x14ac:dyDescent="0.2">
      <c r="A697" s="28">
        <v>4</v>
      </c>
      <c r="B697" s="28">
        <v>5</v>
      </c>
      <c r="C697" s="11">
        <v>23</v>
      </c>
      <c r="D697" s="13" t="s">
        <v>305</v>
      </c>
      <c r="E697" s="10" t="s">
        <v>182</v>
      </c>
      <c r="F697" s="10" t="s">
        <v>210</v>
      </c>
      <c r="G697" s="10"/>
      <c r="H697" s="152"/>
      <c r="I697" s="164"/>
      <c r="J697" s="62"/>
      <c r="K697" s="62"/>
      <c r="L697" s="177"/>
      <c r="M697" s="171"/>
      <c r="N697" s="63"/>
      <c r="O697" s="62"/>
      <c r="P697" s="62"/>
      <c r="Q697" s="64"/>
      <c r="R697" s="169"/>
      <c r="S697" s="62"/>
      <c r="T697" s="62"/>
      <c r="U697" s="62"/>
      <c r="V697" s="177"/>
      <c r="W697" s="171"/>
      <c r="X697" s="62"/>
      <c r="Y697" s="45"/>
      <c r="Z697" s="45"/>
      <c r="AA697" s="100">
        <f>Y697/AP697</f>
        <v>0</v>
      </c>
      <c r="AB697" s="100">
        <f>AS697/AP697</f>
        <v>0</v>
      </c>
      <c r="AC697" s="24"/>
      <c r="AD697" s="24"/>
      <c r="AE697" s="24"/>
      <c r="AF697" s="24"/>
      <c r="AG697" s="18">
        <v>23</v>
      </c>
      <c r="AH697" s="69" t="s">
        <v>305</v>
      </c>
      <c r="AI697" s="243" t="s">
        <v>182</v>
      </c>
      <c r="AJ697" s="243" t="s">
        <v>419</v>
      </c>
      <c r="AK697" s="246"/>
      <c r="AL697" s="43" t="str">
        <f t="shared" si="180"/>
        <v>-</v>
      </c>
      <c r="AM697" s="43">
        <f t="shared" si="168"/>
        <v>0</v>
      </c>
      <c r="AN697" s="193">
        <f t="shared" si="168"/>
        <v>0</v>
      </c>
      <c r="AO697" s="270" t="str">
        <f t="shared" si="169"/>
        <v>-</v>
      </c>
      <c r="AP697" s="265">
        <f>BJ697</f>
        <v>30</v>
      </c>
      <c r="AQ697" s="26" t="str">
        <f t="shared" si="176"/>
        <v>MERCANTILE CREEKChinook</v>
      </c>
      <c r="AR697" s="26">
        <f t="shared" si="170"/>
        <v>0</v>
      </c>
      <c r="AS697" s="33">
        <f t="shared" si="171"/>
        <v>0</v>
      </c>
      <c r="AX697" s="47" t="str">
        <f t="shared" si="172"/>
        <v>MERCANTILE CREEKChinook</v>
      </c>
      <c r="AY697" s="49">
        <f t="shared" si="173"/>
        <v>0</v>
      </c>
      <c r="AZ697" s="49">
        <f t="shared" si="174"/>
        <v>0</v>
      </c>
      <c r="BA697" s="31">
        <v>2013</v>
      </c>
      <c r="BB697" s="188">
        <f t="shared" si="177"/>
        <v>0</v>
      </c>
      <c r="BC697" s="188" t="str">
        <f t="shared" si="181"/>
        <v xml:space="preserve"> </v>
      </c>
      <c r="BD697" s="188" t="str">
        <f t="shared" si="182"/>
        <v xml:space="preserve"> </v>
      </c>
      <c r="BE697" s="188" t="str">
        <f t="shared" si="183"/>
        <v xml:space="preserve"> </v>
      </c>
      <c r="BF697" s="50" t="str">
        <f t="shared" si="175"/>
        <v>MERCANTILE CREEK_Chinook</v>
      </c>
      <c r="BG697" s="50" t="str">
        <f>IFERROR(VLOOKUP(BF697,'[1]WCVI Esc'!$C$5:$W$514,18,FALSE),"-")</f>
        <v>-</v>
      </c>
      <c r="BH697" s="50" t="str">
        <f t="shared" si="178"/>
        <v>-</v>
      </c>
      <c r="BI697" s="50">
        <f>IFERROR(VLOOKUP(BF697,'[1]WCVI Esc'!$C$5:$W$514,19,FALSE),"-")</f>
        <v>25</v>
      </c>
      <c r="BJ697" s="50">
        <f t="shared" si="179"/>
        <v>30</v>
      </c>
    </row>
    <row r="698" spans="1:62" hidden="1" x14ac:dyDescent="0.2">
      <c r="A698" s="28">
        <v>4</v>
      </c>
      <c r="B698" s="28">
        <v>6</v>
      </c>
      <c r="C698" s="11">
        <v>23</v>
      </c>
      <c r="D698" s="13" t="s">
        <v>305</v>
      </c>
      <c r="E698" s="10" t="s">
        <v>182</v>
      </c>
      <c r="F698" s="10" t="s">
        <v>211</v>
      </c>
      <c r="G698" s="10"/>
      <c r="H698" s="152"/>
      <c r="I698" s="164"/>
      <c r="J698" s="62"/>
      <c r="K698" s="62"/>
      <c r="L698" s="177"/>
      <c r="M698" s="171"/>
      <c r="N698" s="63"/>
      <c r="O698" s="62"/>
      <c r="P698" s="62"/>
      <c r="Q698" s="64"/>
      <c r="R698" s="169"/>
      <c r="S698" s="62"/>
      <c r="T698" s="62"/>
      <c r="U698" s="62"/>
      <c r="V698" s="177"/>
      <c r="W698" s="171"/>
      <c r="X698" s="62"/>
      <c r="Y698" s="45"/>
      <c r="Z698" s="45"/>
      <c r="AA698" s="100"/>
      <c r="AB698" s="100"/>
      <c r="AC698" s="24"/>
      <c r="AD698" s="24"/>
      <c r="AE698" s="24"/>
      <c r="AF698" s="24"/>
      <c r="AG698" s="18">
        <v>23</v>
      </c>
      <c r="AH698" s="69" t="s">
        <v>305</v>
      </c>
      <c r="AI698" s="243" t="s">
        <v>182</v>
      </c>
      <c r="AJ698" s="243" t="s">
        <v>419</v>
      </c>
      <c r="AK698" s="246"/>
      <c r="AL698" s="43" t="str">
        <f t="shared" si="180"/>
        <v>-</v>
      </c>
      <c r="AM698" s="43">
        <f t="shared" si="168"/>
        <v>0</v>
      </c>
      <c r="AN698" s="193">
        <f t="shared" si="168"/>
        <v>0</v>
      </c>
      <c r="AO698" s="270" t="str">
        <f t="shared" si="169"/>
        <v>-</v>
      </c>
      <c r="AP698" s="266"/>
      <c r="AQ698" s="26" t="str">
        <f t="shared" si="176"/>
        <v>MERCANTILE CREEKSteelhead</v>
      </c>
      <c r="AR698" s="26">
        <f t="shared" si="170"/>
        <v>0</v>
      </c>
      <c r="AS698" s="33">
        <f t="shared" si="171"/>
        <v>0</v>
      </c>
      <c r="AX698" s="47" t="str">
        <f t="shared" si="172"/>
        <v>MERCANTILE CREEKSteelhead</v>
      </c>
      <c r="AY698" s="49">
        <f t="shared" si="173"/>
        <v>0</v>
      </c>
      <c r="AZ698" s="49">
        <f t="shared" si="174"/>
        <v>0</v>
      </c>
      <c r="BA698" s="31">
        <v>0</v>
      </c>
      <c r="BB698" s="188">
        <f t="shared" si="177"/>
        <v>0</v>
      </c>
      <c r="BC698" s="188" t="str">
        <f t="shared" si="181"/>
        <v xml:space="preserve"> </v>
      </c>
      <c r="BD698" s="188" t="str">
        <f t="shared" si="182"/>
        <v xml:space="preserve"> </v>
      </c>
      <c r="BE698" s="188" t="str">
        <f t="shared" si="183"/>
        <v xml:space="preserve"> </v>
      </c>
      <c r="BF698" s="50" t="str">
        <f t="shared" si="175"/>
        <v>MERCANTILE CREEK_Steelhead</v>
      </c>
      <c r="BG698" s="50" t="str">
        <f>IFERROR(VLOOKUP(BF698,'[1]WCVI Esc'!$C$5:$W$514,18,FALSE),"-")</f>
        <v>-</v>
      </c>
      <c r="BH698" s="50" t="str">
        <f t="shared" si="178"/>
        <v>-</v>
      </c>
      <c r="BI698" s="50" t="str">
        <f>IFERROR(VLOOKUP(BF698,'[1]WCVI Esc'!$C$5:$W$514,19,FALSE),"-")</f>
        <v>-</v>
      </c>
      <c r="BJ698" s="50" t="str">
        <f t="shared" si="179"/>
        <v>-</v>
      </c>
    </row>
    <row r="699" spans="1:62" hidden="1" x14ac:dyDescent="0.2">
      <c r="A699" s="28">
        <v>4</v>
      </c>
      <c r="B699" s="28">
        <v>1</v>
      </c>
      <c r="C699" s="11">
        <v>23</v>
      </c>
      <c r="D699" s="13" t="s">
        <v>356</v>
      </c>
      <c r="E699" s="10" t="s">
        <v>183</v>
      </c>
      <c r="F699" s="10" t="s">
        <v>207</v>
      </c>
      <c r="G699" s="10"/>
      <c r="H699" s="152"/>
      <c r="I699" s="164"/>
      <c r="J699" s="62"/>
      <c r="K699" s="62"/>
      <c r="L699" s="177"/>
      <c r="M699" s="171"/>
      <c r="N699" s="62"/>
      <c r="O699" s="62"/>
      <c r="P699" s="62"/>
      <c r="Q699" s="64"/>
      <c r="R699" s="164"/>
      <c r="S699" s="62"/>
      <c r="T699" s="62"/>
      <c r="U699" s="62"/>
      <c r="V699" s="177"/>
      <c r="W699" s="171"/>
      <c r="X699" s="62"/>
      <c r="Y699" s="45"/>
      <c r="Z699" s="45"/>
      <c r="AA699" s="100"/>
      <c r="AB699" s="100"/>
      <c r="AC699" s="24"/>
      <c r="AD699" s="24"/>
      <c r="AE699" s="24"/>
      <c r="AF699" s="24"/>
      <c r="AG699" s="18">
        <v>23</v>
      </c>
      <c r="AH699" s="69" t="s">
        <v>356</v>
      </c>
      <c r="AI699" s="243" t="s">
        <v>183</v>
      </c>
      <c r="AJ699" s="243" t="s">
        <v>419</v>
      </c>
      <c r="AK699" s="246"/>
      <c r="AL699" s="43" t="str">
        <f t="shared" si="180"/>
        <v>-</v>
      </c>
      <c r="AM699" s="43">
        <f t="shared" si="168"/>
        <v>0</v>
      </c>
      <c r="AN699" s="193">
        <f t="shared" si="168"/>
        <v>0</v>
      </c>
      <c r="AO699" s="270" t="str">
        <f t="shared" si="169"/>
        <v>-</v>
      </c>
      <c r="AP699" s="266"/>
      <c r="AQ699" s="26" t="str">
        <f t="shared" si="176"/>
        <v>OWATCHET CREEKSockeye</v>
      </c>
      <c r="AR699" s="26">
        <f t="shared" si="170"/>
        <v>0</v>
      </c>
      <c r="AS699" s="33">
        <f t="shared" si="171"/>
        <v>0</v>
      </c>
      <c r="AX699" s="47" t="str">
        <f t="shared" si="172"/>
        <v>OWATCHET CREEKSockeye</v>
      </c>
      <c r="AY699" s="49">
        <f t="shared" si="173"/>
        <v>0</v>
      </c>
      <c r="AZ699" s="49">
        <f t="shared" si="174"/>
        <v>0</v>
      </c>
      <c r="BA699" s="31">
        <v>0</v>
      </c>
      <c r="BB699" s="188">
        <f t="shared" si="177"/>
        <v>0</v>
      </c>
      <c r="BC699" s="188" t="str">
        <f t="shared" si="181"/>
        <v xml:space="preserve"> </v>
      </c>
      <c r="BD699" s="188" t="str">
        <f t="shared" si="182"/>
        <v xml:space="preserve"> </v>
      </c>
      <c r="BE699" s="188" t="str">
        <f t="shared" si="183"/>
        <v xml:space="preserve"> </v>
      </c>
      <c r="BF699" s="50" t="str">
        <f t="shared" si="175"/>
        <v>OWATCHET CREEK_Sockeye</v>
      </c>
      <c r="BG699" s="50" t="str">
        <f>IFERROR(VLOOKUP(BF699,'[1]WCVI Esc'!$C$5:$W$514,18,FALSE),"-")</f>
        <v>-</v>
      </c>
      <c r="BH699" s="50" t="str">
        <f t="shared" si="178"/>
        <v>-</v>
      </c>
      <c r="BI699" s="50" t="str">
        <f>IFERROR(VLOOKUP(BF699,'[1]WCVI Esc'!$C$5:$W$514,19,FALSE),"-")</f>
        <v>-</v>
      </c>
      <c r="BJ699" s="50" t="str">
        <f t="shared" si="179"/>
        <v>-</v>
      </c>
    </row>
    <row r="700" spans="1:62" hidden="1" x14ac:dyDescent="0.2">
      <c r="A700" s="28">
        <v>4</v>
      </c>
      <c r="B700" s="28">
        <v>2</v>
      </c>
      <c r="C700" s="11">
        <v>23</v>
      </c>
      <c r="D700" s="13" t="s">
        <v>356</v>
      </c>
      <c r="E700" s="10" t="s">
        <v>183</v>
      </c>
      <c r="F700" s="10" t="s">
        <v>219</v>
      </c>
      <c r="G700" s="10"/>
      <c r="H700" s="152"/>
      <c r="I700" s="164"/>
      <c r="J700" s="62"/>
      <c r="K700" s="62"/>
      <c r="L700" s="177"/>
      <c r="M700" s="171"/>
      <c r="N700" s="62"/>
      <c r="O700" s="62"/>
      <c r="P700" s="62"/>
      <c r="Q700" s="64"/>
      <c r="R700" s="164"/>
      <c r="S700" s="62"/>
      <c r="T700" s="62"/>
      <c r="U700" s="62"/>
      <c r="V700" s="177"/>
      <c r="W700" s="171"/>
      <c r="X700" s="62"/>
      <c r="Y700" s="45"/>
      <c r="Z700" s="45"/>
      <c r="AA700" s="100"/>
      <c r="AB700" s="100"/>
      <c r="AC700" s="24"/>
      <c r="AD700" s="24"/>
      <c r="AE700" s="24"/>
      <c r="AF700" s="24"/>
      <c r="AG700" s="18">
        <v>23</v>
      </c>
      <c r="AH700" s="69" t="s">
        <v>356</v>
      </c>
      <c r="AI700" s="243" t="s">
        <v>183</v>
      </c>
      <c r="AJ700" s="243" t="s">
        <v>419</v>
      </c>
      <c r="AK700" s="246"/>
      <c r="AL700" s="43" t="str">
        <f t="shared" si="180"/>
        <v>-</v>
      </c>
      <c r="AM700" s="43">
        <f t="shared" si="168"/>
        <v>0</v>
      </c>
      <c r="AN700" s="193">
        <f t="shared" si="168"/>
        <v>0</v>
      </c>
      <c r="AO700" s="270" t="str">
        <f t="shared" si="169"/>
        <v>-</v>
      </c>
      <c r="AP700" s="266"/>
      <c r="AQ700" s="26" t="str">
        <f t="shared" si="176"/>
        <v>OWATCHET CREEKCoho</v>
      </c>
      <c r="AR700" s="26">
        <f t="shared" si="170"/>
        <v>0</v>
      </c>
      <c r="AS700" s="33">
        <f t="shared" si="171"/>
        <v>0</v>
      </c>
      <c r="AX700" s="47" t="str">
        <f t="shared" si="172"/>
        <v>OWATCHET CREEKCoho</v>
      </c>
      <c r="AY700" s="49">
        <f t="shared" si="173"/>
        <v>0</v>
      </c>
      <c r="AZ700" s="49">
        <f t="shared" si="174"/>
        <v>0</v>
      </c>
      <c r="BA700" s="31">
        <v>0</v>
      </c>
      <c r="BB700" s="188">
        <f t="shared" si="177"/>
        <v>0</v>
      </c>
      <c r="BC700" s="188" t="str">
        <f t="shared" si="181"/>
        <v xml:space="preserve"> </v>
      </c>
      <c r="BD700" s="188" t="str">
        <f t="shared" si="182"/>
        <v xml:space="preserve"> </v>
      </c>
      <c r="BE700" s="188" t="str">
        <f t="shared" si="183"/>
        <v xml:space="preserve"> </v>
      </c>
      <c r="BF700" s="50" t="str">
        <f t="shared" si="175"/>
        <v>OWATCHET CREEK_Coho</v>
      </c>
      <c r="BG700" s="50" t="str">
        <f>IFERROR(VLOOKUP(BF700,'[1]WCVI Esc'!$C$5:$W$514,18,FALSE),"-")</f>
        <v>-</v>
      </c>
      <c r="BH700" s="50" t="str">
        <f t="shared" si="178"/>
        <v>-</v>
      </c>
      <c r="BI700" s="50" t="str">
        <f>IFERROR(VLOOKUP(BF700,'[1]WCVI Esc'!$C$5:$W$514,19,FALSE),"-")</f>
        <v>-</v>
      </c>
      <c r="BJ700" s="50" t="str">
        <f t="shared" si="179"/>
        <v>-</v>
      </c>
    </row>
    <row r="701" spans="1:62" hidden="1" x14ac:dyDescent="0.2">
      <c r="A701" s="28">
        <v>4</v>
      </c>
      <c r="B701" s="28">
        <v>3</v>
      </c>
      <c r="C701" s="11">
        <v>23</v>
      </c>
      <c r="D701" s="13" t="s">
        <v>356</v>
      </c>
      <c r="E701" s="10" t="s">
        <v>183</v>
      </c>
      <c r="F701" s="10" t="s">
        <v>208</v>
      </c>
      <c r="G701" s="10"/>
      <c r="H701" s="152"/>
      <c r="I701" s="164"/>
      <c r="J701" s="62"/>
      <c r="K701" s="62"/>
      <c r="L701" s="177"/>
      <c r="M701" s="171"/>
      <c r="N701" s="62"/>
      <c r="O701" s="62"/>
      <c r="P701" s="62"/>
      <c r="Q701" s="64"/>
      <c r="R701" s="164"/>
      <c r="S701" s="62"/>
      <c r="T701" s="62"/>
      <c r="U701" s="62"/>
      <c r="V701" s="177"/>
      <c r="W701" s="171"/>
      <c r="X701" s="62"/>
      <c r="Y701" s="45"/>
      <c r="Z701" s="45"/>
      <c r="AA701" s="100"/>
      <c r="AB701" s="100"/>
      <c r="AC701" s="24"/>
      <c r="AD701" s="24"/>
      <c r="AE701" s="24"/>
      <c r="AF701" s="24"/>
      <c r="AG701" s="18">
        <v>23</v>
      </c>
      <c r="AH701" s="69" t="s">
        <v>356</v>
      </c>
      <c r="AI701" s="243" t="s">
        <v>183</v>
      </c>
      <c r="AJ701" s="243" t="s">
        <v>419</v>
      </c>
      <c r="AK701" s="246"/>
      <c r="AL701" s="43" t="str">
        <f t="shared" si="180"/>
        <v>-</v>
      </c>
      <c r="AM701" s="43">
        <f t="shared" si="168"/>
        <v>0</v>
      </c>
      <c r="AN701" s="193">
        <f t="shared" si="168"/>
        <v>0</v>
      </c>
      <c r="AO701" s="270" t="str">
        <f t="shared" si="169"/>
        <v>-</v>
      </c>
      <c r="AP701" s="266"/>
      <c r="AQ701" s="26" t="str">
        <f t="shared" si="176"/>
        <v>OWATCHET CREEKPink</v>
      </c>
      <c r="AR701" s="26">
        <f t="shared" si="170"/>
        <v>0</v>
      </c>
      <c r="AS701" s="33">
        <f t="shared" si="171"/>
        <v>0</v>
      </c>
      <c r="AX701" s="47" t="str">
        <f t="shared" si="172"/>
        <v>OWATCHET CREEKPink</v>
      </c>
      <c r="AY701" s="49">
        <f t="shared" si="173"/>
        <v>0</v>
      </c>
      <c r="AZ701" s="49">
        <f t="shared" si="174"/>
        <v>0</v>
      </c>
      <c r="BA701" s="31">
        <v>0</v>
      </c>
      <c r="BB701" s="188">
        <f t="shared" si="177"/>
        <v>0</v>
      </c>
      <c r="BC701" s="188" t="str">
        <f t="shared" si="181"/>
        <v xml:space="preserve"> </v>
      </c>
      <c r="BD701" s="188" t="str">
        <f t="shared" si="182"/>
        <v xml:space="preserve"> </v>
      </c>
      <c r="BE701" s="188" t="str">
        <f t="shared" si="183"/>
        <v xml:space="preserve"> </v>
      </c>
      <c r="BF701" s="50" t="str">
        <f t="shared" si="175"/>
        <v>OWATCHET CREEK_Pink</v>
      </c>
      <c r="BG701" s="50" t="str">
        <f>IFERROR(VLOOKUP(BF701,'[1]WCVI Esc'!$C$5:$W$514,18,FALSE),"-")</f>
        <v>-</v>
      </c>
      <c r="BH701" s="50" t="str">
        <f t="shared" si="178"/>
        <v>-</v>
      </c>
      <c r="BI701" s="50" t="str">
        <f>IFERROR(VLOOKUP(BF701,'[1]WCVI Esc'!$C$5:$W$514,19,FALSE),"-")</f>
        <v>-</v>
      </c>
      <c r="BJ701" s="50" t="str">
        <f t="shared" si="179"/>
        <v>-</v>
      </c>
    </row>
    <row r="702" spans="1:62" hidden="1" x14ac:dyDescent="0.2">
      <c r="A702" s="28">
        <v>4</v>
      </c>
      <c r="B702" s="28">
        <v>4</v>
      </c>
      <c r="C702" s="11">
        <v>23</v>
      </c>
      <c r="D702" s="13" t="s">
        <v>356</v>
      </c>
      <c r="E702" s="10" t="s">
        <v>183</v>
      </c>
      <c r="F702" s="10" t="s">
        <v>209</v>
      </c>
      <c r="G702" s="10"/>
      <c r="H702" s="152"/>
      <c r="I702" s="164"/>
      <c r="J702" s="62"/>
      <c r="K702" s="62"/>
      <c r="L702" s="177"/>
      <c r="M702" s="171"/>
      <c r="N702" s="62"/>
      <c r="O702" s="62"/>
      <c r="P702" s="62"/>
      <c r="Q702" s="64"/>
      <c r="R702" s="164"/>
      <c r="S702" s="62"/>
      <c r="T702" s="62"/>
      <c r="U702" s="62"/>
      <c r="V702" s="177"/>
      <c r="W702" s="171"/>
      <c r="X702" s="62"/>
      <c r="Y702" s="45"/>
      <c r="Z702" s="45"/>
      <c r="AA702" s="100"/>
      <c r="AB702" s="100"/>
      <c r="AC702" s="24"/>
      <c r="AD702" s="24"/>
      <c r="AE702" s="24"/>
      <c r="AF702" s="24"/>
      <c r="AG702" s="18">
        <v>23</v>
      </c>
      <c r="AH702" s="69" t="s">
        <v>356</v>
      </c>
      <c r="AI702" s="243" t="s">
        <v>183</v>
      </c>
      <c r="AJ702" s="243" t="s">
        <v>419</v>
      </c>
      <c r="AK702" s="246"/>
      <c r="AL702" s="43" t="str">
        <f t="shared" si="180"/>
        <v>-</v>
      </c>
      <c r="AM702" s="43">
        <f t="shared" si="168"/>
        <v>0</v>
      </c>
      <c r="AN702" s="193">
        <f t="shared" si="168"/>
        <v>0</v>
      </c>
      <c r="AO702" s="270" t="str">
        <f t="shared" si="169"/>
        <v>-</v>
      </c>
      <c r="AP702" s="266"/>
      <c r="AQ702" s="26" t="str">
        <f t="shared" si="176"/>
        <v>OWATCHET CREEKChum</v>
      </c>
      <c r="AR702" s="26">
        <f t="shared" si="170"/>
        <v>0</v>
      </c>
      <c r="AS702" s="33">
        <f t="shared" si="171"/>
        <v>0</v>
      </c>
      <c r="AX702" s="47" t="str">
        <f t="shared" si="172"/>
        <v>OWATCHET CREEKChum</v>
      </c>
      <c r="AY702" s="49">
        <f t="shared" si="173"/>
        <v>0</v>
      </c>
      <c r="AZ702" s="49">
        <f t="shared" si="174"/>
        <v>0</v>
      </c>
      <c r="BA702" s="31">
        <v>0</v>
      </c>
      <c r="BB702" s="188">
        <f t="shared" si="177"/>
        <v>0</v>
      </c>
      <c r="BC702" s="188" t="str">
        <f t="shared" si="181"/>
        <v xml:space="preserve"> </v>
      </c>
      <c r="BD702" s="188" t="str">
        <f t="shared" si="182"/>
        <v xml:space="preserve"> </v>
      </c>
      <c r="BE702" s="188" t="str">
        <f t="shared" si="183"/>
        <v xml:space="preserve"> </v>
      </c>
      <c r="BF702" s="50" t="str">
        <f t="shared" si="175"/>
        <v>OWATCHET CREEK_Chum</v>
      </c>
      <c r="BG702" s="50" t="str">
        <f>IFERROR(VLOOKUP(BF702,'[1]WCVI Esc'!$C$5:$W$514,18,FALSE),"-")</f>
        <v>-</v>
      </c>
      <c r="BH702" s="50" t="str">
        <f t="shared" si="178"/>
        <v>-</v>
      </c>
      <c r="BI702" s="50" t="str">
        <f>IFERROR(VLOOKUP(BF702,'[1]WCVI Esc'!$C$5:$W$514,19,FALSE),"-")</f>
        <v>-</v>
      </c>
      <c r="BJ702" s="50" t="str">
        <f t="shared" si="179"/>
        <v>-</v>
      </c>
    </row>
    <row r="703" spans="1:62" hidden="1" x14ac:dyDescent="0.2">
      <c r="A703" s="28">
        <v>4</v>
      </c>
      <c r="B703" s="28">
        <v>5</v>
      </c>
      <c r="C703" s="11">
        <v>23</v>
      </c>
      <c r="D703" s="13" t="s">
        <v>356</v>
      </c>
      <c r="E703" s="10" t="s">
        <v>183</v>
      </c>
      <c r="F703" s="10" t="s">
        <v>210</v>
      </c>
      <c r="G703" s="10"/>
      <c r="H703" s="152"/>
      <c r="I703" s="164"/>
      <c r="J703" s="62"/>
      <c r="K703" s="62"/>
      <c r="L703" s="177"/>
      <c r="M703" s="171"/>
      <c r="N703" s="62"/>
      <c r="O703" s="62"/>
      <c r="P703" s="62"/>
      <c r="Q703" s="64"/>
      <c r="R703" s="164"/>
      <c r="S703" s="62"/>
      <c r="T703" s="62"/>
      <c r="U703" s="62"/>
      <c r="V703" s="177"/>
      <c r="W703" s="171"/>
      <c r="X703" s="62"/>
      <c r="Y703" s="45"/>
      <c r="Z703" s="45"/>
      <c r="AA703" s="100"/>
      <c r="AB703" s="100"/>
      <c r="AC703" s="24"/>
      <c r="AD703" s="24"/>
      <c r="AE703" s="24"/>
      <c r="AF703" s="24"/>
      <c r="AG703" s="18">
        <v>23</v>
      </c>
      <c r="AH703" s="69" t="s">
        <v>356</v>
      </c>
      <c r="AI703" s="243" t="s">
        <v>183</v>
      </c>
      <c r="AJ703" s="243" t="s">
        <v>419</v>
      </c>
      <c r="AK703" s="246"/>
      <c r="AL703" s="43" t="str">
        <f t="shared" si="180"/>
        <v>-</v>
      </c>
      <c r="AM703" s="43">
        <f t="shared" ref="AM703:AN766" si="184">AR703</f>
        <v>0</v>
      </c>
      <c r="AN703" s="193">
        <f t="shared" si="184"/>
        <v>0</v>
      </c>
      <c r="AO703" s="270" t="str">
        <f t="shared" ref="AO703:AO766" si="185">BH703</f>
        <v>-</v>
      </c>
      <c r="AP703" s="266"/>
      <c r="AQ703" s="26" t="str">
        <f t="shared" si="176"/>
        <v>OWATCHET CREEKChinook</v>
      </c>
      <c r="AR703" s="26">
        <f t="shared" ref="AR703:AR766" si="186">COUNT(G703:X703)</f>
        <v>0</v>
      </c>
      <c r="AS703" s="33">
        <f t="shared" ref="AS703:AS766" si="187">MAX(G703:X703)</f>
        <v>0</v>
      </c>
      <c r="AX703" s="47" t="str">
        <f t="shared" ref="AX703:AX766" si="188">CONCATENATE(E703,F703)</f>
        <v>OWATCHET CREEKChinook</v>
      </c>
      <c r="AY703" s="49">
        <f t="shared" ref="AY703:AY766" si="189">Z703</f>
        <v>0</v>
      </c>
      <c r="AZ703" s="49">
        <f t="shared" ref="AZ703:AZ766" si="190">Y703</f>
        <v>0</v>
      </c>
      <c r="BA703" s="31">
        <v>0</v>
      </c>
      <c r="BB703" s="188">
        <f t="shared" si="177"/>
        <v>0</v>
      </c>
      <c r="BC703" s="188" t="str">
        <f t="shared" si="181"/>
        <v xml:space="preserve"> </v>
      </c>
      <c r="BD703" s="188" t="str">
        <f t="shared" si="182"/>
        <v xml:space="preserve"> </v>
      </c>
      <c r="BE703" s="188" t="str">
        <f t="shared" si="183"/>
        <v xml:space="preserve"> </v>
      </c>
      <c r="BF703" s="50" t="str">
        <f t="shared" ref="BF703:BF766" si="191">CONCATENATE(E703,"_",F703)</f>
        <v>OWATCHET CREEK_Chinook</v>
      </c>
      <c r="BG703" s="50" t="str">
        <f>IFERROR(VLOOKUP(BF703,'[1]WCVI Esc'!$C$5:$W$514,18,FALSE),"-")</f>
        <v>-</v>
      </c>
      <c r="BH703" s="50" t="str">
        <f t="shared" si="178"/>
        <v>-</v>
      </c>
      <c r="BI703" s="50" t="str">
        <f>IFERROR(VLOOKUP(BF703,'[1]WCVI Esc'!$C$5:$W$514,19,FALSE),"-")</f>
        <v>-</v>
      </c>
      <c r="BJ703" s="50" t="str">
        <f t="shared" si="179"/>
        <v>-</v>
      </c>
    </row>
    <row r="704" spans="1:62" hidden="1" x14ac:dyDescent="0.2">
      <c r="A704" s="28">
        <v>4</v>
      </c>
      <c r="B704" s="28">
        <v>6</v>
      </c>
      <c r="C704" s="11">
        <v>23</v>
      </c>
      <c r="D704" s="13" t="s">
        <v>356</v>
      </c>
      <c r="E704" s="10" t="s">
        <v>183</v>
      </c>
      <c r="F704" s="10" t="s">
        <v>211</v>
      </c>
      <c r="G704" s="10"/>
      <c r="H704" s="152"/>
      <c r="I704" s="164"/>
      <c r="J704" s="62"/>
      <c r="K704" s="62"/>
      <c r="L704" s="177"/>
      <c r="M704" s="171"/>
      <c r="N704" s="62"/>
      <c r="O704" s="62"/>
      <c r="P704" s="62"/>
      <c r="Q704" s="64"/>
      <c r="R704" s="164"/>
      <c r="S704" s="62"/>
      <c r="T704" s="62"/>
      <c r="U704" s="62"/>
      <c r="V704" s="177"/>
      <c r="W704" s="171"/>
      <c r="X704" s="62"/>
      <c r="Y704" s="45"/>
      <c r="Z704" s="45"/>
      <c r="AA704" s="100"/>
      <c r="AB704" s="100"/>
      <c r="AC704" s="24"/>
      <c r="AD704" s="24"/>
      <c r="AE704" s="24"/>
      <c r="AF704" s="24"/>
      <c r="AG704" s="18">
        <v>23</v>
      </c>
      <c r="AH704" s="69" t="s">
        <v>356</v>
      </c>
      <c r="AI704" s="243" t="s">
        <v>183</v>
      </c>
      <c r="AJ704" s="243" t="s">
        <v>419</v>
      </c>
      <c r="AK704" s="246"/>
      <c r="AL704" s="43" t="str">
        <f t="shared" si="180"/>
        <v>-</v>
      </c>
      <c r="AM704" s="43">
        <f t="shared" si="184"/>
        <v>0</v>
      </c>
      <c r="AN704" s="193">
        <f t="shared" si="184"/>
        <v>0</v>
      </c>
      <c r="AO704" s="270" t="str">
        <f t="shared" si="185"/>
        <v>-</v>
      </c>
      <c r="AP704" s="266"/>
      <c r="AQ704" s="26" t="str">
        <f t="shared" si="176"/>
        <v>OWATCHET CREEKSteelhead</v>
      </c>
      <c r="AR704" s="26">
        <f t="shared" si="186"/>
        <v>0</v>
      </c>
      <c r="AS704" s="33">
        <f t="shared" si="187"/>
        <v>0</v>
      </c>
      <c r="AX704" s="47" t="str">
        <f t="shared" si="188"/>
        <v>OWATCHET CREEKSteelhead</v>
      </c>
      <c r="AY704" s="49">
        <f t="shared" si="189"/>
        <v>0</v>
      </c>
      <c r="AZ704" s="49">
        <f t="shared" si="190"/>
        <v>0</v>
      </c>
      <c r="BA704" s="31">
        <v>0</v>
      </c>
      <c r="BB704" s="188">
        <f t="shared" si="177"/>
        <v>0</v>
      </c>
      <c r="BC704" s="188" t="str">
        <f t="shared" si="181"/>
        <v xml:space="preserve"> </v>
      </c>
      <c r="BD704" s="188" t="str">
        <f t="shared" si="182"/>
        <v xml:space="preserve"> </v>
      </c>
      <c r="BE704" s="188" t="str">
        <f t="shared" si="183"/>
        <v xml:space="preserve"> </v>
      </c>
      <c r="BF704" s="50" t="str">
        <f t="shared" si="191"/>
        <v>OWATCHET CREEK_Steelhead</v>
      </c>
      <c r="BG704" s="50" t="str">
        <f>IFERROR(VLOOKUP(BF704,'[1]WCVI Esc'!$C$5:$W$514,18,FALSE),"-")</f>
        <v>-</v>
      </c>
      <c r="BH704" s="50" t="str">
        <f t="shared" si="178"/>
        <v>-</v>
      </c>
      <c r="BI704" s="50" t="str">
        <f>IFERROR(VLOOKUP(BF704,'[1]WCVI Esc'!$C$5:$W$514,19,FALSE),"-")</f>
        <v>-</v>
      </c>
      <c r="BJ704" s="50" t="str">
        <f t="shared" si="179"/>
        <v>-</v>
      </c>
    </row>
    <row r="705" spans="1:62" hidden="1" x14ac:dyDescent="0.2">
      <c r="A705" s="28">
        <v>4</v>
      </c>
      <c r="B705" s="28">
        <v>1</v>
      </c>
      <c r="C705" s="11">
        <v>23</v>
      </c>
      <c r="D705" s="13" t="s">
        <v>295</v>
      </c>
      <c r="E705" s="10" t="s">
        <v>184</v>
      </c>
      <c r="F705" s="10" t="s">
        <v>207</v>
      </c>
      <c r="G705" s="10"/>
      <c r="H705" s="152"/>
      <c r="I705" s="164"/>
      <c r="J705" s="62"/>
      <c r="K705" s="62"/>
      <c r="L705" s="177"/>
      <c r="M705" s="171"/>
      <c r="N705" s="62"/>
      <c r="O705" s="62"/>
      <c r="P705" s="62"/>
      <c r="Q705" s="64"/>
      <c r="R705" s="164"/>
      <c r="S705" s="62"/>
      <c r="T705" s="62"/>
      <c r="U705" s="62"/>
      <c r="V705" s="177"/>
      <c r="W705" s="171"/>
      <c r="X705" s="62"/>
      <c r="Y705" s="45"/>
      <c r="Z705" s="45"/>
      <c r="AA705" s="100"/>
      <c r="AB705" s="100"/>
      <c r="AC705" s="24"/>
      <c r="AD705" s="24"/>
      <c r="AE705" s="24"/>
      <c r="AF705" s="24"/>
      <c r="AG705" s="18">
        <v>23</v>
      </c>
      <c r="AH705" s="69" t="s">
        <v>295</v>
      </c>
      <c r="AI705" s="243" t="s">
        <v>184</v>
      </c>
      <c r="AJ705" s="243" t="s">
        <v>419</v>
      </c>
      <c r="AK705" s="246"/>
      <c r="AL705" s="43" t="str">
        <f t="shared" si="180"/>
        <v>-</v>
      </c>
      <c r="AM705" s="43">
        <f t="shared" si="184"/>
        <v>0</v>
      </c>
      <c r="AN705" s="193">
        <f t="shared" si="184"/>
        <v>0</v>
      </c>
      <c r="AO705" s="270" t="str">
        <f t="shared" si="185"/>
        <v>-</v>
      </c>
      <c r="AP705" s="266"/>
      <c r="AQ705" s="26" t="str">
        <f t="shared" si="176"/>
        <v>PIPESTEAM CREEKSockeye</v>
      </c>
      <c r="AR705" s="26">
        <f t="shared" si="186"/>
        <v>0</v>
      </c>
      <c r="AS705" s="33">
        <f t="shared" si="187"/>
        <v>0</v>
      </c>
      <c r="AX705" s="47" t="str">
        <f t="shared" si="188"/>
        <v>PIPESTEAM CREEKSockeye</v>
      </c>
      <c r="AY705" s="49">
        <f t="shared" si="189"/>
        <v>0</v>
      </c>
      <c r="AZ705" s="49">
        <f t="shared" si="190"/>
        <v>0</v>
      </c>
      <c r="BA705" s="31">
        <v>0</v>
      </c>
      <c r="BB705" s="188">
        <f t="shared" si="177"/>
        <v>0</v>
      </c>
      <c r="BC705" s="188" t="str">
        <f t="shared" si="181"/>
        <v xml:space="preserve"> </v>
      </c>
      <c r="BD705" s="188" t="str">
        <f t="shared" si="182"/>
        <v xml:space="preserve"> </v>
      </c>
      <c r="BE705" s="188" t="str">
        <f t="shared" si="183"/>
        <v xml:space="preserve"> </v>
      </c>
      <c r="BF705" s="50" t="str">
        <f t="shared" si="191"/>
        <v>PIPESTEAM CREEK_Sockeye</v>
      </c>
      <c r="BG705" s="50" t="str">
        <f>IFERROR(VLOOKUP(BF705,'[1]WCVI Esc'!$C$5:$W$514,18,FALSE),"-")</f>
        <v>-</v>
      </c>
      <c r="BH705" s="50" t="str">
        <f t="shared" si="178"/>
        <v>-</v>
      </c>
      <c r="BI705" s="50" t="str">
        <f>IFERROR(VLOOKUP(BF705,'[1]WCVI Esc'!$C$5:$W$514,19,FALSE),"-")</f>
        <v>-</v>
      </c>
      <c r="BJ705" s="50" t="str">
        <f t="shared" si="179"/>
        <v>-</v>
      </c>
    </row>
    <row r="706" spans="1:62" hidden="1" x14ac:dyDescent="0.2">
      <c r="A706" s="28">
        <v>4</v>
      </c>
      <c r="B706" s="28">
        <v>2</v>
      </c>
      <c r="C706" s="11">
        <v>23</v>
      </c>
      <c r="D706" s="13" t="s">
        <v>295</v>
      </c>
      <c r="E706" s="10" t="s">
        <v>184</v>
      </c>
      <c r="F706" s="10" t="s">
        <v>219</v>
      </c>
      <c r="G706" s="10"/>
      <c r="H706" s="152"/>
      <c r="I706" s="164"/>
      <c r="J706" s="62"/>
      <c r="K706" s="62"/>
      <c r="L706" s="177"/>
      <c r="M706" s="171"/>
      <c r="N706" s="62"/>
      <c r="O706" s="62"/>
      <c r="P706" s="62"/>
      <c r="Q706" s="64"/>
      <c r="R706" s="164"/>
      <c r="S706" s="62"/>
      <c r="T706" s="62"/>
      <c r="U706" s="62"/>
      <c r="V706" s="177"/>
      <c r="W706" s="171"/>
      <c r="X706" s="62"/>
      <c r="Y706" s="45"/>
      <c r="Z706" s="45"/>
      <c r="AA706" s="100"/>
      <c r="AB706" s="100"/>
      <c r="AC706" s="24"/>
      <c r="AD706" s="24"/>
      <c r="AE706" s="24"/>
      <c r="AF706" s="24"/>
      <c r="AG706" s="18">
        <v>23</v>
      </c>
      <c r="AH706" s="69" t="s">
        <v>295</v>
      </c>
      <c r="AI706" s="243" t="s">
        <v>184</v>
      </c>
      <c r="AJ706" s="243" t="s">
        <v>419</v>
      </c>
      <c r="AK706" s="246"/>
      <c r="AL706" s="43" t="str">
        <f t="shared" si="180"/>
        <v>-</v>
      </c>
      <c r="AM706" s="43">
        <f t="shared" si="184"/>
        <v>0</v>
      </c>
      <c r="AN706" s="193">
        <f t="shared" si="184"/>
        <v>0</v>
      </c>
      <c r="AO706" s="270" t="str">
        <f t="shared" si="185"/>
        <v>-</v>
      </c>
      <c r="AP706" s="266"/>
      <c r="AQ706" s="26" t="str">
        <f t="shared" si="176"/>
        <v>PIPESTEAM CREEKCoho</v>
      </c>
      <c r="AR706" s="26">
        <f t="shared" si="186"/>
        <v>0</v>
      </c>
      <c r="AS706" s="33">
        <f t="shared" si="187"/>
        <v>0</v>
      </c>
      <c r="AX706" s="47" t="str">
        <f t="shared" si="188"/>
        <v>PIPESTEAM CREEKCoho</v>
      </c>
      <c r="AY706" s="49">
        <f t="shared" si="189"/>
        <v>0</v>
      </c>
      <c r="AZ706" s="49">
        <f t="shared" si="190"/>
        <v>0</v>
      </c>
      <c r="BA706" s="31">
        <v>1998</v>
      </c>
      <c r="BB706" s="188">
        <f t="shared" si="177"/>
        <v>0</v>
      </c>
      <c r="BC706" s="188" t="str">
        <f t="shared" si="181"/>
        <v xml:space="preserve"> </v>
      </c>
      <c r="BD706" s="188" t="str">
        <f t="shared" si="182"/>
        <v xml:space="preserve"> </v>
      </c>
      <c r="BE706" s="188" t="str">
        <f t="shared" si="183"/>
        <v xml:space="preserve"> </v>
      </c>
      <c r="BF706" s="50" t="str">
        <f t="shared" si="191"/>
        <v>PIPESTEAM CREEK_Coho</v>
      </c>
      <c r="BG706" s="50" t="str">
        <f>IFERROR(VLOOKUP(BF706,'[1]WCVI Esc'!$C$5:$W$514,18,FALSE),"-")</f>
        <v>-</v>
      </c>
      <c r="BH706" s="50" t="str">
        <f t="shared" si="178"/>
        <v>-</v>
      </c>
      <c r="BI706" s="50" t="str">
        <f>IFERROR(VLOOKUP(BF706,'[1]WCVI Esc'!$C$5:$W$514,19,FALSE),"-")</f>
        <v>-</v>
      </c>
      <c r="BJ706" s="50" t="str">
        <f t="shared" si="179"/>
        <v>-</v>
      </c>
    </row>
    <row r="707" spans="1:62" hidden="1" x14ac:dyDescent="0.2">
      <c r="A707" s="28">
        <v>4</v>
      </c>
      <c r="B707" s="28">
        <v>3</v>
      </c>
      <c r="C707" s="11">
        <v>23</v>
      </c>
      <c r="D707" s="13" t="s">
        <v>295</v>
      </c>
      <c r="E707" s="10" t="s">
        <v>184</v>
      </c>
      <c r="F707" s="10" t="s">
        <v>208</v>
      </c>
      <c r="G707" s="10"/>
      <c r="H707" s="152"/>
      <c r="I707" s="164"/>
      <c r="J707" s="62"/>
      <c r="K707" s="62"/>
      <c r="L707" s="177"/>
      <c r="M707" s="171"/>
      <c r="N707" s="62"/>
      <c r="O707" s="62"/>
      <c r="P707" s="62"/>
      <c r="Q707" s="64"/>
      <c r="R707" s="164"/>
      <c r="S707" s="62"/>
      <c r="T707" s="62"/>
      <c r="U707" s="62"/>
      <c r="V707" s="177"/>
      <c r="W707" s="171"/>
      <c r="X707" s="62"/>
      <c r="Y707" s="45"/>
      <c r="Z707" s="45"/>
      <c r="AA707" s="100"/>
      <c r="AB707" s="100"/>
      <c r="AC707" s="24"/>
      <c r="AD707" s="24"/>
      <c r="AE707" s="24"/>
      <c r="AF707" s="24"/>
      <c r="AG707" s="18">
        <v>23</v>
      </c>
      <c r="AH707" s="69" t="s">
        <v>295</v>
      </c>
      <c r="AI707" s="243" t="s">
        <v>184</v>
      </c>
      <c r="AJ707" s="243" t="s">
        <v>419</v>
      </c>
      <c r="AK707" s="246"/>
      <c r="AL707" s="43" t="str">
        <f t="shared" si="180"/>
        <v>-</v>
      </c>
      <c r="AM707" s="43">
        <f t="shared" si="184"/>
        <v>0</v>
      </c>
      <c r="AN707" s="193">
        <f t="shared" si="184"/>
        <v>0</v>
      </c>
      <c r="AO707" s="270" t="str">
        <f t="shared" si="185"/>
        <v>-</v>
      </c>
      <c r="AP707" s="266"/>
      <c r="AQ707" s="26" t="str">
        <f t="shared" ref="AQ707:AQ770" si="192">CONCATENATE(E707,F707)</f>
        <v>PIPESTEAM CREEKPink</v>
      </c>
      <c r="AR707" s="26">
        <f t="shared" si="186"/>
        <v>0</v>
      </c>
      <c r="AS707" s="33">
        <f t="shared" si="187"/>
        <v>0</v>
      </c>
      <c r="AX707" s="47" t="str">
        <f t="shared" si="188"/>
        <v>PIPESTEAM CREEKPink</v>
      </c>
      <c r="AY707" s="49">
        <f t="shared" si="189"/>
        <v>0</v>
      </c>
      <c r="AZ707" s="49">
        <f t="shared" si="190"/>
        <v>0</v>
      </c>
      <c r="BA707" s="31">
        <v>0</v>
      </c>
      <c r="BB707" s="188">
        <f t="shared" si="177"/>
        <v>0</v>
      </c>
      <c r="BC707" s="188" t="str">
        <f t="shared" si="181"/>
        <v xml:space="preserve"> </v>
      </c>
      <c r="BD707" s="188" t="str">
        <f t="shared" si="182"/>
        <v xml:space="preserve"> </v>
      </c>
      <c r="BE707" s="188" t="str">
        <f t="shared" si="183"/>
        <v xml:space="preserve"> </v>
      </c>
      <c r="BF707" s="50" t="str">
        <f t="shared" si="191"/>
        <v>PIPESTEAM CREEK_Pink</v>
      </c>
      <c r="BG707" s="50" t="str">
        <f>IFERROR(VLOOKUP(BF707,'[1]WCVI Esc'!$C$5:$W$514,18,FALSE),"-")</f>
        <v>-</v>
      </c>
      <c r="BH707" s="50" t="str">
        <f t="shared" si="178"/>
        <v>-</v>
      </c>
      <c r="BI707" s="50" t="str">
        <f>IFERROR(VLOOKUP(BF707,'[1]WCVI Esc'!$C$5:$W$514,19,FALSE),"-")</f>
        <v>-</v>
      </c>
      <c r="BJ707" s="50" t="str">
        <f t="shared" si="179"/>
        <v>-</v>
      </c>
    </row>
    <row r="708" spans="1:62" hidden="1" x14ac:dyDescent="0.2">
      <c r="A708" s="28">
        <v>4</v>
      </c>
      <c r="B708" s="28">
        <v>4</v>
      </c>
      <c r="C708" s="11">
        <v>23</v>
      </c>
      <c r="D708" s="13" t="s">
        <v>295</v>
      </c>
      <c r="E708" s="10" t="s">
        <v>184</v>
      </c>
      <c r="F708" s="10" t="s">
        <v>209</v>
      </c>
      <c r="G708" s="10"/>
      <c r="H708" s="152"/>
      <c r="I708" s="164"/>
      <c r="J708" s="62"/>
      <c r="K708" s="62"/>
      <c r="L708" s="177"/>
      <c r="M708" s="171"/>
      <c r="N708" s="62"/>
      <c r="O708" s="64"/>
      <c r="P708" s="62"/>
      <c r="Q708" s="64"/>
      <c r="R708" s="164"/>
      <c r="S708" s="62"/>
      <c r="T708" s="62"/>
      <c r="U708" s="62"/>
      <c r="V708" s="177"/>
      <c r="W708" s="171"/>
      <c r="X708" s="62"/>
      <c r="Y708" s="45"/>
      <c r="Z708" s="45"/>
      <c r="AA708" s="100"/>
      <c r="AB708" s="100"/>
      <c r="AC708" s="24"/>
      <c r="AD708" s="24"/>
      <c r="AE708" s="24"/>
      <c r="AF708" s="24"/>
      <c r="AG708" s="18">
        <v>23</v>
      </c>
      <c r="AH708" s="69" t="s">
        <v>295</v>
      </c>
      <c r="AI708" s="243" t="s">
        <v>184</v>
      </c>
      <c r="AJ708" s="243" t="s">
        <v>419</v>
      </c>
      <c r="AK708" s="246"/>
      <c r="AL708" s="43" t="str">
        <f t="shared" si="180"/>
        <v>-</v>
      </c>
      <c r="AM708" s="43">
        <f t="shared" si="184"/>
        <v>0</v>
      </c>
      <c r="AN708" s="193">
        <f t="shared" si="184"/>
        <v>0</v>
      </c>
      <c r="AO708" s="270" t="str">
        <f t="shared" si="185"/>
        <v>-</v>
      </c>
      <c r="AP708" s="266"/>
      <c r="AQ708" s="26" t="str">
        <f t="shared" si="192"/>
        <v>PIPESTEAM CREEKChum</v>
      </c>
      <c r="AR708" s="26">
        <f t="shared" si="186"/>
        <v>0</v>
      </c>
      <c r="AS708" s="33">
        <f t="shared" si="187"/>
        <v>0</v>
      </c>
      <c r="AX708" s="47" t="str">
        <f t="shared" si="188"/>
        <v>PIPESTEAM CREEKChum</v>
      </c>
      <c r="AY708" s="49">
        <f t="shared" si="189"/>
        <v>0</v>
      </c>
      <c r="AZ708" s="49">
        <f t="shared" si="190"/>
        <v>0</v>
      </c>
      <c r="BA708" s="31">
        <v>1999</v>
      </c>
      <c r="BB708" s="188">
        <f t="shared" si="177"/>
        <v>0</v>
      </c>
      <c r="BC708" s="188" t="str">
        <f t="shared" si="181"/>
        <v xml:space="preserve"> </v>
      </c>
      <c r="BD708" s="188" t="str">
        <f t="shared" si="182"/>
        <v xml:space="preserve"> </v>
      </c>
      <c r="BE708" s="188" t="str">
        <f t="shared" si="183"/>
        <v xml:space="preserve"> </v>
      </c>
      <c r="BF708" s="50" t="str">
        <f t="shared" si="191"/>
        <v>PIPESTEAM CREEK_Chum</v>
      </c>
      <c r="BG708" s="50" t="str">
        <f>IFERROR(VLOOKUP(BF708,'[1]WCVI Esc'!$C$5:$W$514,18,FALSE),"-")</f>
        <v>-</v>
      </c>
      <c r="BH708" s="50" t="str">
        <f t="shared" si="178"/>
        <v>-</v>
      </c>
      <c r="BI708" s="50" t="str">
        <f>IFERROR(VLOOKUP(BF708,'[1]WCVI Esc'!$C$5:$W$514,19,FALSE),"-")</f>
        <v>-</v>
      </c>
      <c r="BJ708" s="50" t="str">
        <f t="shared" si="179"/>
        <v>-</v>
      </c>
    </row>
    <row r="709" spans="1:62" hidden="1" x14ac:dyDescent="0.2">
      <c r="A709" s="28">
        <v>4</v>
      </c>
      <c r="B709" s="28">
        <v>5</v>
      </c>
      <c r="C709" s="11">
        <v>23</v>
      </c>
      <c r="D709" s="13" t="s">
        <v>295</v>
      </c>
      <c r="E709" s="10" t="s">
        <v>184</v>
      </c>
      <c r="F709" s="10" t="s">
        <v>210</v>
      </c>
      <c r="G709" s="10"/>
      <c r="H709" s="152"/>
      <c r="I709" s="164"/>
      <c r="J709" s="62"/>
      <c r="K709" s="62"/>
      <c r="L709" s="177"/>
      <c r="M709" s="171"/>
      <c r="N709" s="62"/>
      <c r="O709" s="64"/>
      <c r="P709" s="62"/>
      <c r="Q709" s="64"/>
      <c r="R709" s="164"/>
      <c r="S709" s="62"/>
      <c r="T709" s="62"/>
      <c r="U709" s="62"/>
      <c r="V709" s="177"/>
      <c r="W709" s="171"/>
      <c r="X709" s="62"/>
      <c r="Y709" s="45"/>
      <c r="Z709" s="45"/>
      <c r="AA709" s="100"/>
      <c r="AB709" s="100"/>
      <c r="AC709" s="24"/>
      <c r="AD709" s="24"/>
      <c r="AE709" s="24"/>
      <c r="AF709" s="24"/>
      <c r="AG709" s="18">
        <v>23</v>
      </c>
      <c r="AH709" s="69" t="s">
        <v>295</v>
      </c>
      <c r="AI709" s="243" t="s">
        <v>184</v>
      </c>
      <c r="AJ709" s="243" t="s">
        <v>419</v>
      </c>
      <c r="AK709" s="246"/>
      <c r="AL709" s="43" t="str">
        <f t="shared" si="180"/>
        <v>-</v>
      </c>
      <c r="AM709" s="43">
        <f t="shared" si="184"/>
        <v>0</v>
      </c>
      <c r="AN709" s="193">
        <f t="shared" si="184"/>
        <v>0</v>
      </c>
      <c r="AO709" s="270" t="str">
        <f t="shared" si="185"/>
        <v>-</v>
      </c>
      <c r="AP709" s="266"/>
      <c r="AQ709" s="26" t="str">
        <f t="shared" si="192"/>
        <v>PIPESTEAM CREEKChinook</v>
      </c>
      <c r="AR709" s="26">
        <f t="shared" si="186"/>
        <v>0</v>
      </c>
      <c r="AS709" s="33">
        <f t="shared" si="187"/>
        <v>0</v>
      </c>
      <c r="AX709" s="47" t="str">
        <f t="shared" si="188"/>
        <v>PIPESTEAM CREEKChinook</v>
      </c>
      <c r="AY709" s="49">
        <f t="shared" si="189"/>
        <v>0</v>
      </c>
      <c r="AZ709" s="49">
        <f t="shared" si="190"/>
        <v>0</v>
      </c>
      <c r="BA709" s="31">
        <v>0</v>
      </c>
      <c r="BB709" s="188">
        <f t="shared" si="177"/>
        <v>0</v>
      </c>
      <c r="BC709" s="188" t="str">
        <f t="shared" si="181"/>
        <v xml:space="preserve"> </v>
      </c>
      <c r="BD709" s="188" t="str">
        <f t="shared" si="182"/>
        <v xml:space="preserve"> </v>
      </c>
      <c r="BE709" s="188" t="str">
        <f t="shared" si="183"/>
        <v xml:space="preserve"> </v>
      </c>
      <c r="BF709" s="50" t="str">
        <f t="shared" si="191"/>
        <v>PIPESTEAM CREEK_Chinook</v>
      </c>
      <c r="BG709" s="50" t="str">
        <f>IFERROR(VLOOKUP(BF709,'[1]WCVI Esc'!$C$5:$W$514,18,FALSE),"-")</f>
        <v>-</v>
      </c>
      <c r="BH709" s="50" t="str">
        <f t="shared" si="178"/>
        <v>-</v>
      </c>
      <c r="BI709" s="50" t="str">
        <f>IFERROR(VLOOKUP(BF709,'[1]WCVI Esc'!$C$5:$W$514,19,FALSE),"-")</f>
        <v>-</v>
      </c>
      <c r="BJ709" s="50" t="str">
        <f t="shared" si="179"/>
        <v>-</v>
      </c>
    </row>
    <row r="710" spans="1:62" hidden="1" x14ac:dyDescent="0.2">
      <c r="A710" s="28">
        <v>4</v>
      </c>
      <c r="B710" s="28">
        <v>6</v>
      </c>
      <c r="C710" s="11">
        <v>23</v>
      </c>
      <c r="D710" s="13" t="s">
        <v>295</v>
      </c>
      <c r="E710" s="10" t="s">
        <v>184</v>
      </c>
      <c r="F710" s="10" t="s">
        <v>211</v>
      </c>
      <c r="G710" s="10"/>
      <c r="H710" s="152"/>
      <c r="I710" s="164"/>
      <c r="J710" s="62"/>
      <c r="K710" s="62"/>
      <c r="L710" s="177"/>
      <c r="M710" s="171"/>
      <c r="N710" s="62"/>
      <c r="O710" s="64"/>
      <c r="P710" s="62"/>
      <c r="Q710" s="64"/>
      <c r="R710" s="164"/>
      <c r="S710" s="62"/>
      <c r="T710" s="62"/>
      <c r="U710" s="62"/>
      <c r="V710" s="177"/>
      <c r="W710" s="171"/>
      <c r="X710" s="62"/>
      <c r="Y710" s="45"/>
      <c r="Z710" s="45"/>
      <c r="AA710" s="100"/>
      <c r="AB710" s="100"/>
      <c r="AC710" s="24"/>
      <c r="AD710" s="24"/>
      <c r="AE710" s="24"/>
      <c r="AF710" s="24"/>
      <c r="AG710" s="18">
        <v>23</v>
      </c>
      <c r="AH710" s="69" t="s">
        <v>295</v>
      </c>
      <c r="AI710" s="243" t="s">
        <v>184</v>
      </c>
      <c r="AJ710" s="243" t="s">
        <v>419</v>
      </c>
      <c r="AK710" s="246"/>
      <c r="AL710" s="43" t="str">
        <f t="shared" si="180"/>
        <v>-</v>
      </c>
      <c r="AM710" s="43">
        <f t="shared" si="184"/>
        <v>0</v>
      </c>
      <c r="AN710" s="193">
        <f t="shared" si="184"/>
        <v>0</v>
      </c>
      <c r="AO710" s="270" t="str">
        <f t="shared" si="185"/>
        <v>-</v>
      </c>
      <c r="AP710" s="266"/>
      <c r="AQ710" s="26" t="str">
        <f t="shared" si="192"/>
        <v>PIPESTEAM CREEKSteelhead</v>
      </c>
      <c r="AR710" s="26">
        <f t="shared" si="186"/>
        <v>0</v>
      </c>
      <c r="AS710" s="33">
        <f t="shared" si="187"/>
        <v>0</v>
      </c>
      <c r="AX710" s="47" t="str">
        <f t="shared" si="188"/>
        <v>PIPESTEAM CREEKSteelhead</v>
      </c>
      <c r="AY710" s="49">
        <f t="shared" si="189"/>
        <v>0</v>
      </c>
      <c r="AZ710" s="49">
        <f t="shared" si="190"/>
        <v>0</v>
      </c>
      <c r="BA710" s="31">
        <v>0</v>
      </c>
      <c r="BB710" s="188">
        <f t="shared" si="177"/>
        <v>0</v>
      </c>
      <c r="BC710" s="188" t="str">
        <f t="shared" si="181"/>
        <v xml:space="preserve"> </v>
      </c>
      <c r="BD710" s="188" t="str">
        <f t="shared" si="182"/>
        <v xml:space="preserve"> </v>
      </c>
      <c r="BE710" s="188" t="str">
        <f t="shared" si="183"/>
        <v xml:space="preserve"> </v>
      </c>
      <c r="BF710" s="50" t="str">
        <f t="shared" si="191"/>
        <v>PIPESTEAM CREEK_Steelhead</v>
      </c>
      <c r="BG710" s="50" t="str">
        <f>IFERROR(VLOOKUP(BF710,'[1]WCVI Esc'!$C$5:$W$514,18,FALSE),"-")</f>
        <v>-</v>
      </c>
      <c r="BH710" s="50" t="str">
        <f t="shared" si="178"/>
        <v>-</v>
      </c>
      <c r="BI710" s="50" t="str">
        <f>IFERROR(VLOOKUP(BF710,'[1]WCVI Esc'!$C$5:$W$514,19,FALSE),"-")</f>
        <v>-</v>
      </c>
      <c r="BJ710" s="50" t="str">
        <f t="shared" si="179"/>
        <v>-</v>
      </c>
    </row>
    <row r="711" spans="1:62" hidden="1" x14ac:dyDescent="0.2">
      <c r="A711" s="28">
        <v>4</v>
      </c>
      <c r="B711" s="28">
        <v>1</v>
      </c>
      <c r="C711" s="11">
        <v>23</v>
      </c>
      <c r="D711" s="13" t="s">
        <v>319</v>
      </c>
      <c r="E711" s="10" t="s">
        <v>102</v>
      </c>
      <c r="F711" s="10" t="s">
        <v>207</v>
      </c>
      <c r="G711" s="10"/>
      <c r="H711" s="152"/>
      <c r="I711" s="164"/>
      <c r="J711" s="62"/>
      <c r="K711" s="62"/>
      <c r="L711" s="177"/>
      <c r="M711" s="171"/>
      <c r="N711" s="62"/>
      <c r="O711" s="64"/>
      <c r="P711" s="62"/>
      <c r="Q711" s="64"/>
      <c r="R711" s="164"/>
      <c r="S711" s="62"/>
      <c r="T711" s="62"/>
      <c r="U711" s="62"/>
      <c r="V711" s="177"/>
      <c r="W711" s="171"/>
      <c r="X711" s="62"/>
      <c r="Y711" s="45"/>
      <c r="Z711" s="45"/>
      <c r="AA711" s="100"/>
      <c r="AB711" s="100"/>
      <c r="AC711" s="24"/>
      <c r="AD711" s="24"/>
      <c r="AE711" s="24"/>
      <c r="AF711" s="24"/>
      <c r="AG711" s="18">
        <v>23</v>
      </c>
      <c r="AH711" s="69" t="s">
        <v>319</v>
      </c>
      <c r="AI711" s="243" t="s">
        <v>102</v>
      </c>
      <c r="AJ711" s="243" t="s">
        <v>419</v>
      </c>
      <c r="AK711" s="246"/>
      <c r="AL711" s="43" t="str">
        <f t="shared" si="180"/>
        <v>-</v>
      </c>
      <c r="AM711" s="43">
        <f t="shared" si="184"/>
        <v>0</v>
      </c>
      <c r="AN711" s="193">
        <f t="shared" si="184"/>
        <v>0</v>
      </c>
      <c r="AO711" s="270" t="str">
        <f t="shared" si="185"/>
        <v>-</v>
      </c>
      <c r="AP711" s="266"/>
      <c r="AQ711" s="26" t="str">
        <f t="shared" si="192"/>
        <v>POETT NOOK CREEKSockeye</v>
      </c>
      <c r="AR711" s="26">
        <f t="shared" si="186"/>
        <v>0</v>
      </c>
      <c r="AS711" s="33">
        <f t="shared" si="187"/>
        <v>0</v>
      </c>
      <c r="AX711" s="47" t="str">
        <f t="shared" si="188"/>
        <v>POETT NOOK CREEKSockeye</v>
      </c>
      <c r="AY711" s="49">
        <f t="shared" si="189"/>
        <v>0</v>
      </c>
      <c r="AZ711" s="49">
        <f t="shared" si="190"/>
        <v>0</v>
      </c>
      <c r="BA711" s="31">
        <v>0</v>
      </c>
      <c r="BB711" s="188">
        <f t="shared" si="177"/>
        <v>0</v>
      </c>
      <c r="BC711" s="188" t="str">
        <f t="shared" si="181"/>
        <v xml:space="preserve"> </v>
      </c>
      <c r="BD711" s="188" t="str">
        <f t="shared" si="182"/>
        <v xml:space="preserve"> </v>
      </c>
      <c r="BE711" s="188" t="str">
        <f t="shared" si="183"/>
        <v xml:space="preserve"> </v>
      </c>
      <c r="BF711" s="50" t="str">
        <f t="shared" si="191"/>
        <v>POETT NOOK CREEK_Sockeye</v>
      </c>
      <c r="BG711" s="50" t="str">
        <f>IFERROR(VLOOKUP(BF711,'[1]WCVI Esc'!$C$5:$W$514,18,FALSE),"-")</f>
        <v>-</v>
      </c>
      <c r="BH711" s="50" t="str">
        <f t="shared" si="178"/>
        <v>-</v>
      </c>
      <c r="BI711" s="50" t="str">
        <f>IFERROR(VLOOKUP(BF711,'[1]WCVI Esc'!$C$5:$W$514,19,FALSE),"-")</f>
        <v>-</v>
      </c>
      <c r="BJ711" s="50" t="str">
        <f t="shared" si="179"/>
        <v>-</v>
      </c>
    </row>
    <row r="712" spans="1:62" hidden="1" x14ac:dyDescent="0.2">
      <c r="A712" s="28">
        <v>4</v>
      </c>
      <c r="B712" s="28">
        <v>2</v>
      </c>
      <c r="C712" s="11">
        <v>23</v>
      </c>
      <c r="D712" s="13" t="s">
        <v>319</v>
      </c>
      <c r="E712" s="10" t="s">
        <v>102</v>
      </c>
      <c r="F712" s="10" t="s">
        <v>219</v>
      </c>
      <c r="G712" s="10"/>
      <c r="H712" s="152"/>
      <c r="I712" s="164"/>
      <c r="J712" s="62"/>
      <c r="K712" s="62"/>
      <c r="L712" s="177"/>
      <c r="M712" s="171"/>
      <c r="N712" s="62"/>
      <c r="O712" s="64"/>
      <c r="P712" s="62"/>
      <c r="Q712" s="64"/>
      <c r="R712" s="164"/>
      <c r="S712" s="62"/>
      <c r="T712" s="62"/>
      <c r="U712" s="62"/>
      <c r="V712" s="177"/>
      <c r="W712" s="171"/>
      <c r="X712" s="62"/>
      <c r="Y712" s="45"/>
      <c r="Z712" s="45"/>
      <c r="AA712" s="100" t="e">
        <f>Y712/AP712</f>
        <v>#DIV/0!</v>
      </c>
      <c r="AB712" s="100" t="e">
        <f>AS712/AP712</f>
        <v>#DIV/0!</v>
      </c>
      <c r="AC712" s="24"/>
      <c r="AD712" s="24"/>
      <c r="AE712" s="24"/>
      <c r="AF712" s="24"/>
      <c r="AG712" s="18">
        <v>23</v>
      </c>
      <c r="AH712" s="69" t="s">
        <v>319</v>
      </c>
      <c r="AI712" s="243" t="s">
        <v>102</v>
      </c>
      <c r="AJ712" s="243" t="s">
        <v>419</v>
      </c>
      <c r="AK712" s="246"/>
      <c r="AL712" s="43" t="str">
        <f t="shared" si="180"/>
        <v>-</v>
      </c>
      <c r="AM712" s="43">
        <f t="shared" si="184"/>
        <v>0</v>
      </c>
      <c r="AN712" s="193">
        <f t="shared" si="184"/>
        <v>0</v>
      </c>
      <c r="AO712" s="270" t="str">
        <f t="shared" si="185"/>
        <v>-</v>
      </c>
      <c r="AP712" s="265">
        <f>BJ712</f>
        <v>0</v>
      </c>
      <c r="AQ712" s="26" t="str">
        <f t="shared" si="192"/>
        <v>POETT NOOK CREEKCoho</v>
      </c>
      <c r="AR712" s="26">
        <f t="shared" si="186"/>
        <v>0</v>
      </c>
      <c r="AS712" s="33">
        <f t="shared" si="187"/>
        <v>0</v>
      </c>
      <c r="AX712" s="47" t="str">
        <f t="shared" si="188"/>
        <v>POETT NOOK CREEKCoho</v>
      </c>
      <c r="AY712" s="49">
        <f t="shared" si="189"/>
        <v>0</v>
      </c>
      <c r="AZ712" s="49">
        <f t="shared" si="190"/>
        <v>0</v>
      </c>
      <c r="BA712" s="31">
        <v>2011</v>
      </c>
      <c r="BB712" s="188">
        <f t="shared" si="177"/>
        <v>0</v>
      </c>
      <c r="BC712" s="188" t="str">
        <f t="shared" si="181"/>
        <v xml:space="preserve"> </v>
      </c>
      <c r="BD712" s="188" t="str">
        <f t="shared" si="182"/>
        <v xml:space="preserve"> </v>
      </c>
      <c r="BE712" s="188" t="str">
        <f t="shared" si="183"/>
        <v xml:space="preserve"> </v>
      </c>
      <c r="BF712" s="50" t="str">
        <f t="shared" si="191"/>
        <v>POETT NOOK CREEK_Coho</v>
      </c>
      <c r="BG712" s="50" t="str">
        <f>IFERROR(VLOOKUP(BF712,'[1]WCVI Esc'!$C$5:$W$514,18,FALSE),"-")</f>
        <v>-</v>
      </c>
      <c r="BH712" s="50" t="str">
        <f t="shared" si="178"/>
        <v>-</v>
      </c>
      <c r="BI712" s="50">
        <f>IFERROR(VLOOKUP(BF712,'[1]WCVI Esc'!$C$5:$W$514,19,FALSE),"-")</f>
        <v>2</v>
      </c>
      <c r="BJ712" s="50">
        <f t="shared" si="179"/>
        <v>0</v>
      </c>
    </row>
    <row r="713" spans="1:62" hidden="1" x14ac:dyDescent="0.2">
      <c r="A713" s="28">
        <v>4</v>
      </c>
      <c r="B713" s="28">
        <v>3</v>
      </c>
      <c r="C713" s="11">
        <v>23</v>
      </c>
      <c r="D713" s="13" t="s">
        <v>319</v>
      </c>
      <c r="E713" s="10" t="s">
        <v>102</v>
      </c>
      <c r="F713" s="10" t="s">
        <v>208</v>
      </c>
      <c r="G713" s="10"/>
      <c r="H713" s="152"/>
      <c r="I713" s="164"/>
      <c r="J713" s="62"/>
      <c r="K713" s="62"/>
      <c r="L713" s="177"/>
      <c r="M713" s="171"/>
      <c r="N713" s="62"/>
      <c r="O713" s="64"/>
      <c r="P713" s="62"/>
      <c r="Q713" s="64"/>
      <c r="R713" s="164"/>
      <c r="S713" s="62"/>
      <c r="T713" s="62"/>
      <c r="U713" s="62"/>
      <c r="V713" s="177"/>
      <c r="W713" s="171"/>
      <c r="X713" s="62"/>
      <c r="Y713" s="45"/>
      <c r="Z713" s="45"/>
      <c r="AA713" s="100"/>
      <c r="AB713" s="100"/>
      <c r="AC713" s="24"/>
      <c r="AD713" s="24"/>
      <c r="AE713" s="24"/>
      <c r="AF713" s="24"/>
      <c r="AG713" s="18">
        <v>23</v>
      </c>
      <c r="AH713" s="69" t="s">
        <v>319</v>
      </c>
      <c r="AI713" s="243" t="s">
        <v>102</v>
      </c>
      <c r="AJ713" s="243" t="s">
        <v>419</v>
      </c>
      <c r="AK713" s="246"/>
      <c r="AL713" s="43" t="str">
        <f t="shared" si="180"/>
        <v>-</v>
      </c>
      <c r="AM713" s="43">
        <f t="shared" si="184"/>
        <v>0</v>
      </c>
      <c r="AN713" s="193">
        <f t="shared" si="184"/>
        <v>0</v>
      </c>
      <c r="AO713" s="270" t="str">
        <f t="shared" si="185"/>
        <v>-</v>
      </c>
      <c r="AP713" s="266"/>
      <c r="AQ713" s="26" t="str">
        <f t="shared" si="192"/>
        <v>POETT NOOK CREEKPink</v>
      </c>
      <c r="AR713" s="26">
        <f t="shared" si="186"/>
        <v>0</v>
      </c>
      <c r="AS713" s="33">
        <f t="shared" si="187"/>
        <v>0</v>
      </c>
      <c r="AX713" s="47" t="str">
        <f t="shared" si="188"/>
        <v>POETT NOOK CREEKPink</v>
      </c>
      <c r="AY713" s="49">
        <f t="shared" si="189"/>
        <v>0</v>
      </c>
      <c r="AZ713" s="49">
        <f t="shared" si="190"/>
        <v>0</v>
      </c>
      <c r="BA713" s="31">
        <v>0</v>
      </c>
      <c r="BB713" s="188">
        <f t="shared" ref="BB713:BB776" si="193">AK713</f>
        <v>0</v>
      </c>
      <c r="BC713" s="188" t="str">
        <f t="shared" si="181"/>
        <v xml:space="preserve"> </v>
      </c>
      <c r="BD713" s="188" t="str">
        <f t="shared" si="182"/>
        <v xml:space="preserve"> </v>
      </c>
      <c r="BE713" s="188" t="str">
        <f t="shared" si="183"/>
        <v xml:space="preserve"> </v>
      </c>
      <c r="BF713" s="50" t="str">
        <f t="shared" si="191"/>
        <v>POETT NOOK CREEK_Pink</v>
      </c>
      <c r="BG713" s="50" t="str">
        <f>IFERROR(VLOOKUP(BF713,'[1]WCVI Esc'!$C$5:$W$514,18,FALSE),"-")</f>
        <v>-</v>
      </c>
      <c r="BH713" s="50" t="str">
        <f t="shared" ref="BH713:BH776" si="194">IFERROR(ROUND(BG713,-1),"-")</f>
        <v>-</v>
      </c>
      <c r="BI713" s="50" t="str">
        <f>IFERROR(VLOOKUP(BF713,'[1]WCVI Esc'!$C$5:$W$514,19,FALSE),"-")</f>
        <v>-</v>
      </c>
      <c r="BJ713" s="50" t="str">
        <f t="shared" ref="BJ713:BJ776" si="195">IFERROR(ROUND(BI713,-1),"-")</f>
        <v>-</v>
      </c>
    </row>
    <row r="714" spans="1:62" hidden="1" x14ac:dyDescent="0.2">
      <c r="A714" s="28">
        <v>4</v>
      </c>
      <c r="B714" s="28">
        <v>4</v>
      </c>
      <c r="C714" s="11">
        <v>23</v>
      </c>
      <c r="D714" s="13" t="s">
        <v>319</v>
      </c>
      <c r="E714" s="10" t="s">
        <v>102</v>
      </c>
      <c r="F714" s="10" t="s">
        <v>209</v>
      </c>
      <c r="G714" s="10"/>
      <c r="H714" s="152"/>
      <c r="I714" s="164"/>
      <c r="J714" s="62"/>
      <c r="K714" s="62"/>
      <c r="L714" s="177"/>
      <c r="M714" s="171"/>
      <c r="N714" s="62"/>
      <c r="O714" s="62"/>
      <c r="P714" s="62"/>
      <c r="Q714" s="64"/>
      <c r="R714" s="164"/>
      <c r="S714" s="62"/>
      <c r="T714" s="62"/>
      <c r="U714" s="62"/>
      <c r="V714" s="177"/>
      <c r="W714" s="171"/>
      <c r="X714" s="62"/>
      <c r="Y714" s="45"/>
      <c r="Z714" s="45"/>
      <c r="AA714" s="100">
        <f>Y714/AP714</f>
        <v>0</v>
      </c>
      <c r="AB714" s="100">
        <f>AS714/AP714</f>
        <v>0</v>
      </c>
      <c r="AC714" s="24"/>
      <c r="AD714" s="24"/>
      <c r="AE714" s="24"/>
      <c r="AF714" s="24"/>
      <c r="AG714" s="18">
        <v>23</v>
      </c>
      <c r="AH714" s="69" t="s">
        <v>319</v>
      </c>
      <c r="AI714" s="243" t="s">
        <v>102</v>
      </c>
      <c r="AJ714" s="243" t="s">
        <v>419</v>
      </c>
      <c r="AK714" s="246"/>
      <c r="AL714" s="43" t="str">
        <f t="shared" ref="AL714:AL777" si="196">IF(BE714=" ",IF(BD714=" ", IF(BC714=" ","-",BC714),BD714), BE714)</f>
        <v>-</v>
      </c>
      <c r="AM714" s="43">
        <f t="shared" si="184"/>
        <v>0</v>
      </c>
      <c r="AN714" s="193">
        <f t="shared" si="184"/>
        <v>0</v>
      </c>
      <c r="AO714" s="270" t="str">
        <f t="shared" si="185"/>
        <v>-</v>
      </c>
      <c r="AP714" s="265">
        <f>BJ714</f>
        <v>10</v>
      </c>
      <c r="AQ714" s="26" t="str">
        <f t="shared" si="192"/>
        <v>POETT NOOK CREEKChum</v>
      </c>
      <c r="AR714" s="26">
        <f t="shared" si="186"/>
        <v>0</v>
      </c>
      <c r="AS714" s="33">
        <f t="shared" si="187"/>
        <v>0</v>
      </c>
      <c r="AX714" s="47" t="str">
        <f t="shared" si="188"/>
        <v>POETT NOOK CREEKChum</v>
      </c>
      <c r="AY714" s="49">
        <f t="shared" si="189"/>
        <v>0</v>
      </c>
      <c r="AZ714" s="49">
        <f t="shared" si="190"/>
        <v>0</v>
      </c>
      <c r="BA714" s="31">
        <v>2011</v>
      </c>
      <c r="BB714" s="188">
        <f t="shared" si="193"/>
        <v>0</v>
      </c>
      <c r="BC714" s="188" t="str">
        <f t="shared" ref="BC714:BC777" si="197">IF(ISNUMBER(M714),M$8,IF(ISNUMBER(L714),L$8,IF(ISNUMBER(K714),K$8,IF(ISNUMBER(J714),J$8,IF(ISNUMBER(I714),I$8,IF(ISNUMBER(H714),H$8, IF(ISNUMBER(G714),G$8," ")))))))</f>
        <v xml:space="preserve"> </v>
      </c>
      <c r="BD714" s="188" t="str">
        <f t="shared" ref="BD714:BD777" si="198">IF(ISNUMBER(S714),S$8,IF(ISNUMBER(R714),R$8,IF(ISNUMBER(Q714),Q$8,IF(ISNUMBER(P714),P$8,IF(ISNUMBER(O714),O$8,IF(ISNUMBER(N714),N$8," "))))))</f>
        <v xml:space="preserve"> </v>
      </c>
      <c r="BE714" s="188" t="str">
        <f t="shared" ref="BE714:BE777" si="199">IF(ISNUMBER(X714),X$8,IF(ISNUMBER(W714),W$8,IF(ISNUMBER(V714),V$8,IF(ISNUMBER(U714),U$8,IF(ISNUMBER(T714),T$8," ")))))</f>
        <v xml:space="preserve"> </v>
      </c>
      <c r="BF714" s="50" t="str">
        <f t="shared" si="191"/>
        <v>POETT NOOK CREEK_Chum</v>
      </c>
      <c r="BG714" s="50" t="str">
        <f>IFERROR(VLOOKUP(BF714,'[1]WCVI Esc'!$C$5:$W$514,18,FALSE),"-")</f>
        <v>-</v>
      </c>
      <c r="BH714" s="50" t="str">
        <f t="shared" si="194"/>
        <v>-</v>
      </c>
      <c r="BI714" s="50">
        <f>IFERROR(VLOOKUP(BF714,'[1]WCVI Esc'!$C$5:$W$514,19,FALSE),"-")</f>
        <v>10</v>
      </c>
      <c r="BJ714" s="50">
        <f t="shared" si="195"/>
        <v>10</v>
      </c>
    </row>
    <row r="715" spans="1:62" hidden="1" x14ac:dyDescent="0.2">
      <c r="A715" s="28">
        <v>4</v>
      </c>
      <c r="B715" s="28">
        <v>5</v>
      </c>
      <c r="C715" s="11">
        <v>23</v>
      </c>
      <c r="D715" s="13" t="s">
        <v>319</v>
      </c>
      <c r="E715" s="10" t="s">
        <v>102</v>
      </c>
      <c r="F715" s="10" t="s">
        <v>210</v>
      </c>
      <c r="G715" s="10"/>
      <c r="H715" s="152"/>
      <c r="I715" s="164"/>
      <c r="J715" s="62"/>
      <c r="K715" s="62"/>
      <c r="L715" s="177"/>
      <c r="M715" s="171"/>
      <c r="N715" s="62"/>
      <c r="O715" s="62"/>
      <c r="P715" s="62"/>
      <c r="Q715" s="64"/>
      <c r="R715" s="164"/>
      <c r="S715" s="62"/>
      <c r="T715" s="62"/>
      <c r="U715" s="62"/>
      <c r="V715" s="177"/>
      <c r="W715" s="171"/>
      <c r="X715" s="62"/>
      <c r="Y715" s="45"/>
      <c r="Z715" s="45"/>
      <c r="AA715" s="100"/>
      <c r="AB715" s="100"/>
      <c r="AC715" s="24"/>
      <c r="AD715" s="24"/>
      <c r="AE715" s="24"/>
      <c r="AF715" s="24"/>
      <c r="AG715" s="18">
        <v>23</v>
      </c>
      <c r="AH715" s="69" t="s">
        <v>319</v>
      </c>
      <c r="AI715" s="243" t="s">
        <v>102</v>
      </c>
      <c r="AJ715" s="243" t="s">
        <v>419</v>
      </c>
      <c r="AK715" s="246"/>
      <c r="AL715" s="43" t="str">
        <f t="shared" si="196"/>
        <v>-</v>
      </c>
      <c r="AM715" s="43">
        <f t="shared" si="184"/>
        <v>0</v>
      </c>
      <c r="AN715" s="193">
        <f t="shared" si="184"/>
        <v>0</v>
      </c>
      <c r="AO715" s="270" t="str">
        <f t="shared" si="185"/>
        <v>-</v>
      </c>
      <c r="AP715" s="266"/>
      <c r="AQ715" s="26" t="str">
        <f t="shared" si="192"/>
        <v>POETT NOOK CREEKChinook</v>
      </c>
      <c r="AR715" s="26">
        <f t="shared" si="186"/>
        <v>0</v>
      </c>
      <c r="AS715" s="33">
        <f t="shared" si="187"/>
        <v>0</v>
      </c>
      <c r="AX715" s="47" t="str">
        <f t="shared" si="188"/>
        <v>POETT NOOK CREEKChinook</v>
      </c>
      <c r="AY715" s="49">
        <f t="shared" si="189"/>
        <v>0</v>
      </c>
      <c r="AZ715" s="49">
        <f t="shared" si="190"/>
        <v>0</v>
      </c>
      <c r="BA715" s="31">
        <v>0</v>
      </c>
      <c r="BB715" s="188">
        <f t="shared" si="193"/>
        <v>0</v>
      </c>
      <c r="BC715" s="188" t="str">
        <f t="shared" si="197"/>
        <v xml:space="preserve"> </v>
      </c>
      <c r="BD715" s="188" t="str">
        <f t="shared" si="198"/>
        <v xml:space="preserve"> </v>
      </c>
      <c r="BE715" s="188" t="str">
        <f t="shared" si="199"/>
        <v xml:space="preserve"> </v>
      </c>
      <c r="BF715" s="50" t="str">
        <f t="shared" si="191"/>
        <v>POETT NOOK CREEK_Chinook</v>
      </c>
      <c r="BG715" s="50" t="str">
        <f>IFERROR(VLOOKUP(BF715,'[1]WCVI Esc'!$C$5:$W$514,18,FALSE),"-")</f>
        <v>-</v>
      </c>
      <c r="BH715" s="50" t="str">
        <f t="shared" si="194"/>
        <v>-</v>
      </c>
      <c r="BI715" s="50" t="str">
        <f>IFERROR(VLOOKUP(BF715,'[1]WCVI Esc'!$C$5:$W$514,19,FALSE),"-")</f>
        <v>-</v>
      </c>
      <c r="BJ715" s="50" t="str">
        <f t="shared" si="195"/>
        <v>-</v>
      </c>
    </row>
    <row r="716" spans="1:62" hidden="1" x14ac:dyDescent="0.2">
      <c r="A716" s="28">
        <v>4</v>
      </c>
      <c r="B716" s="28">
        <v>6</v>
      </c>
      <c r="C716" s="11">
        <v>23</v>
      </c>
      <c r="D716" s="13" t="s">
        <v>319</v>
      </c>
      <c r="E716" s="10" t="s">
        <v>102</v>
      </c>
      <c r="F716" s="10" t="s">
        <v>211</v>
      </c>
      <c r="G716" s="10"/>
      <c r="H716" s="152"/>
      <c r="I716" s="164"/>
      <c r="J716" s="62"/>
      <c r="K716" s="62"/>
      <c r="L716" s="177"/>
      <c r="M716" s="171"/>
      <c r="N716" s="62"/>
      <c r="O716" s="62"/>
      <c r="P716" s="62"/>
      <c r="Q716" s="64"/>
      <c r="R716" s="164"/>
      <c r="S716" s="62"/>
      <c r="T716" s="62"/>
      <c r="U716" s="62"/>
      <c r="V716" s="177"/>
      <c r="W716" s="171"/>
      <c r="X716" s="62"/>
      <c r="Y716" s="45"/>
      <c r="Z716" s="45"/>
      <c r="AA716" s="100"/>
      <c r="AB716" s="100"/>
      <c r="AC716" s="24"/>
      <c r="AD716" s="24"/>
      <c r="AE716" s="24"/>
      <c r="AF716" s="24"/>
      <c r="AG716" s="18">
        <v>23</v>
      </c>
      <c r="AH716" s="69" t="s">
        <v>319</v>
      </c>
      <c r="AI716" s="243" t="s">
        <v>102</v>
      </c>
      <c r="AJ716" s="243" t="s">
        <v>419</v>
      </c>
      <c r="AK716" s="246"/>
      <c r="AL716" s="43" t="str">
        <f t="shared" si="196"/>
        <v>-</v>
      </c>
      <c r="AM716" s="43">
        <f t="shared" si="184"/>
        <v>0</v>
      </c>
      <c r="AN716" s="193">
        <f t="shared" si="184"/>
        <v>0</v>
      </c>
      <c r="AO716" s="270" t="str">
        <f t="shared" si="185"/>
        <v>-</v>
      </c>
      <c r="AP716" s="266"/>
      <c r="AQ716" s="26" t="str">
        <f t="shared" si="192"/>
        <v>POETT NOOK CREEKSteelhead</v>
      </c>
      <c r="AR716" s="26">
        <f t="shared" si="186"/>
        <v>0</v>
      </c>
      <c r="AS716" s="33">
        <f t="shared" si="187"/>
        <v>0</v>
      </c>
      <c r="AX716" s="47" t="str">
        <f t="shared" si="188"/>
        <v>POETT NOOK CREEKSteelhead</v>
      </c>
      <c r="AY716" s="49">
        <f t="shared" si="189"/>
        <v>0</v>
      </c>
      <c r="AZ716" s="49">
        <f t="shared" si="190"/>
        <v>0</v>
      </c>
      <c r="BA716" s="31">
        <v>0</v>
      </c>
      <c r="BB716" s="188">
        <f t="shared" si="193"/>
        <v>0</v>
      </c>
      <c r="BC716" s="188" t="str">
        <f t="shared" si="197"/>
        <v xml:space="preserve"> </v>
      </c>
      <c r="BD716" s="188" t="str">
        <f t="shared" si="198"/>
        <v xml:space="preserve"> </v>
      </c>
      <c r="BE716" s="188" t="str">
        <f t="shared" si="199"/>
        <v xml:space="preserve"> </v>
      </c>
      <c r="BF716" s="50" t="str">
        <f t="shared" si="191"/>
        <v>POETT NOOK CREEK_Steelhead</v>
      </c>
      <c r="BG716" s="50" t="str">
        <f>IFERROR(VLOOKUP(BF716,'[1]WCVI Esc'!$C$5:$W$514,18,FALSE),"-")</f>
        <v>-</v>
      </c>
      <c r="BH716" s="50" t="str">
        <f t="shared" si="194"/>
        <v>-</v>
      </c>
      <c r="BI716" s="50" t="str">
        <f>IFERROR(VLOOKUP(BF716,'[1]WCVI Esc'!$C$5:$W$514,19,FALSE),"-")</f>
        <v>-</v>
      </c>
      <c r="BJ716" s="50" t="str">
        <f t="shared" si="195"/>
        <v>-</v>
      </c>
    </row>
    <row r="717" spans="1:62" hidden="1" x14ac:dyDescent="0.2">
      <c r="A717" s="28">
        <v>4</v>
      </c>
      <c r="B717" s="28">
        <v>1</v>
      </c>
      <c r="C717" s="11">
        <v>23</v>
      </c>
      <c r="D717" s="13" t="s">
        <v>319</v>
      </c>
      <c r="E717" s="10" t="s">
        <v>103</v>
      </c>
      <c r="F717" s="10" t="s">
        <v>207</v>
      </c>
      <c r="G717" s="10"/>
      <c r="H717" s="152"/>
      <c r="I717" s="164"/>
      <c r="J717" s="62"/>
      <c r="K717" s="62"/>
      <c r="L717" s="177"/>
      <c r="M717" s="171"/>
      <c r="N717" s="62"/>
      <c r="O717" s="62"/>
      <c r="P717" s="62"/>
      <c r="Q717" s="64"/>
      <c r="R717" s="164"/>
      <c r="S717" s="62"/>
      <c r="T717" s="62"/>
      <c r="U717" s="62"/>
      <c r="V717" s="177"/>
      <c r="W717" s="171"/>
      <c r="X717" s="62"/>
      <c r="Y717" s="45"/>
      <c r="Z717" s="45"/>
      <c r="AA717" s="100"/>
      <c r="AB717" s="100"/>
      <c r="AC717" s="24"/>
      <c r="AD717" s="24"/>
      <c r="AE717" s="24"/>
      <c r="AF717" s="24"/>
      <c r="AG717" s="18">
        <v>23</v>
      </c>
      <c r="AH717" s="69" t="s">
        <v>319</v>
      </c>
      <c r="AI717" s="243" t="s">
        <v>103</v>
      </c>
      <c r="AJ717" s="243" t="s">
        <v>419</v>
      </c>
      <c r="AK717" s="246"/>
      <c r="AL717" s="43" t="str">
        <f t="shared" si="196"/>
        <v>-</v>
      </c>
      <c r="AM717" s="43">
        <f t="shared" si="184"/>
        <v>0</v>
      </c>
      <c r="AN717" s="193">
        <f t="shared" si="184"/>
        <v>0</v>
      </c>
      <c r="AO717" s="270" t="str">
        <f t="shared" si="185"/>
        <v>-</v>
      </c>
      <c r="AP717" s="266"/>
      <c r="AQ717" s="26" t="str">
        <f t="shared" si="192"/>
        <v>RITHERDON CREEKSockeye</v>
      </c>
      <c r="AR717" s="26">
        <f t="shared" si="186"/>
        <v>0</v>
      </c>
      <c r="AS717" s="33">
        <f t="shared" si="187"/>
        <v>0</v>
      </c>
      <c r="AX717" s="47" t="str">
        <f t="shared" si="188"/>
        <v>RITHERDON CREEKSockeye</v>
      </c>
      <c r="AY717" s="49">
        <f t="shared" si="189"/>
        <v>0</v>
      </c>
      <c r="AZ717" s="49">
        <f t="shared" si="190"/>
        <v>0</v>
      </c>
      <c r="BA717" s="31">
        <v>0</v>
      </c>
      <c r="BB717" s="188">
        <f t="shared" si="193"/>
        <v>0</v>
      </c>
      <c r="BC717" s="188" t="str">
        <f t="shared" si="197"/>
        <v xml:space="preserve"> </v>
      </c>
      <c r="BD717" s="188" t="str">
        <f t="shared" si="198"/>
        <v xml:space="preserve"> </v>
      </c>
      <c r="BE717" s="188" t="str">
        <f t="shared" si="199"/>
        <v xml:space="preserve"> </v>
      </c>
      <c r="BF717" s="50" t="str">
        <f t="shared" si="191"/>
        <v>RITHERDON CREEK_Sockeye</v>
      </c>
      <c r="BG717" s="50" t="str">
        <f>IFERROR(VLOOKUP(BF717,'[1]WCVI Esc'!$C$5:$W$514,18,FALSE),"-")</f>
        <v>-</v>
      </c>
      <c r="BH717" s="50" t="str">
        <f t="shared" si="194"/>
        <v>-</v>
      </c>
      <c r="BI717" s="50" t="str">
        <f>IFERROR(VLOOKUP(BF717,'[1]WCVI Esc'!$C$5:$W$514,19,FALSE),"-")</f>
        <v>-</v>
      </c>
      <c r="BJ717" s="50" t="str">
        <f t="shared" si="195"/>
        <v>-</v>
      </c>
    </row>
    <row r="718" spans="1:62" hidden="1" x14ac:dyDescent="0.2">
      <c r="A718" s="28">
        <v>4</v>
      </c>
      <c r="B718" s="28">
        <v>2</v>
      </c>
      <c r="C718" s="11">
        <v>23</v>
      </c>
      <c r="D718" s="13" t="s">
        <v>319</v>
      </c>
      <c r="E718" s="10" t="s">
        <v>103</v>
      </c>
      <c r="F718" s="10" t="s">
        <v>219</v>
      </c>
      <c r="G718" s="10"/>
      <c r="H718" s="152"/>
      <c r="I718" s="164"/>
      <c r="J718" s="62"/>
      <c r="K718" s="62"/>
      <c r="L718" s="177"/>
      <c r="M718" s="171"/>
      <c r="N718" s="62"/>
      <c r="O718" s="62"/>
      <c r="P718" s="62"/>
      <c r="Q718" s="64"/>
      <c r="R718" s="164"/>
      <c r="S718" s="62"/>
      <c r="T718" s="62"/>
      <c r="U718" s="62"/>
      <c r="V718" s="177"/>
      <c r="W718" s="171"/>
      <c r="X718" s="62"/>
      <c r="Y718" s="45"/>
      <c r="Z718" s="45"/>
      <c r="AA718" s="100"/>
      <c r="AB718" s="100"/>
      <c r="AC718" s="24"/>
      <c r="AD718" s="24"/>
      <c r="AE718" s="24"/>
      <c r="AF718" s="24"/>
      <c r="AG718" s="18">
        <v>23</v>
      </c>
      <c r="AH718" s="69" t="s">
        <v>319</v>
      </c>
      <c r="AI718" s="243" t="s">
        <v>103</v>
      </c>
      <c r="AJ718" s="243" t="s">
        <v>419</v>
      </c>
      <c r="AK718" s="246"/>
      <c r="AL718" s="43" t="str">
        <f t="shared" si="196"/>
        <v>-</v>
      </c>
      <c r="AM718" s="43">
        <f t="shared" si="184"/>
        <v>0</v>
      </c>
      <c r="AN718" s="193">
        <f t="shared" si="184"/>
        <v>0</v>
      </c>
      <c r="AO718" s="270">
        <f t="shared" si="185"/>
        <v>10</v>
      </c>
      <c r="AP718" s="266"/>
      <c r="AQ718" s="26" t="str">
        <f t="shared" si="192"/>
        <v>RITHERDON CREEKCoho</v>
      </c>
      <c r="AR718" s="26">
        <f t="shared" si="186"/>
        <v>0</v>
      </c>
      <c r="AS718" s="33">
        <f t="shared" si="187"/>
        <v>0</v>
      </c>
      <c r="AX718" s="47" t="str">
        <f t="shared" si="188"/>
        <v>RITHERDON CREEKCoho</v>
      </c>
      <c r="AY718" s="49">
        <f t="shared" si="189"/>
        <v>0</v>
      </c>
      <c r="AZ718" s="49">
        <f t="shared" si="190"/>
        <v>0</v>
      </c>
      <c r="BA718" s="31">
        <v>2001</v>
      </c>
      <c r="BB718" s="188">
        <f t="shared" si="193"/>
        <v>0</v>
      </c>
      <c r="BC718" s="188" t="str">
        <f t="shared" si="197"/>
        <v xml:space="preserve"> </v>
      </c>
      <c r="BD718" s="188" t="str">
        <f t="shared" si="198"/>
        <v xml:space="preserve"> </v>
      </c>
      <c r="BE718" s="188" t="str">
        <f t="shared" si="199"/>
        <v xml:space="preserve"> </v>
      </c>
      <c r="BF718" s="50" t="str">
        <f t="shared" si="191"/>
        <v>RITHERDON CREEK_Coho</v>
      </c>
      <c r="BG718" s="50">
        <f>IFERROR(VLOOKUP(BF718,'[1]WCVI Esc'!$C$5:$W$514,18,FALSE),"-")</f>
        <v>6</v>
      </c>
      <c r="BH718" s="50">
        <f t="shared" si="194"/>
        <v>10</v>
      </c>
      <c r="BI718" s="50">
        <f>IFERROR(VLOOKUP(BF718,'[1]WCVI Esc'!$C$5:$W$514,19,FALSE),"-")</f>
        <v>6</v>
      </c>
      <c r="BJ718" s="50">
        <f t="shared" si="195"/>
        <v>10</v>
      </c>
    </row>
    <row r="719" spans="1:62" hidden="1" x14ac:dyDescent="0.2">
      <c r="A719" s="28">
        <v>4</v>
      </c>
      <c r="B719" s="28">
        <v>3</v>
      </c>
      <c r="C719" s="11">
        <v>23</v>
      </c>
      <c r="D719" s="13" t="s">
        <v>319</v>
      </c>
      <c r="E719" s="10" t="s">
        <v>103</v>
      </c>
      <c r="F719" s="10" t="s">
        <v>208</v>
      </c>
      <c r="G719" s="10"/>
      <c r="H719" s="152"/>
      <c r="I719" s="164"/>
      <c r="J719" s="62"/>
      <c r="K719" s="62"/>
      <c r="L719" s="177"/>
      <c r="M719" s="171"/>
      <c r="N719" s="62"/>
      <c r="O719" s="62"/>
      <c r="P719" s="62"/>
      <c r="Q719" s="64"/>
      <c r="R719" s="164"/>
      <c r="S719" s="62"/>
      <c r="T719" s="62"/>
      <c r="U719" s="62"/>
      <c r="V719" s="177"/>
      <c r="W719" s="171"/>
      <c r="X719" s="62"/>
      <c r="Y719" s="45"/>
      <c r="Z719" s="45"/>
      <c r="AA719" s="100"/>
      <c r="AB719" s="100"/>
      <c r="AC719" s="24"/>
      <c r="AD719" s="24"/>
      <c r="AE719" s="24"/>
      <c r="AF719" s="24"/>
      <c r="AG719" s="18">
        <v>23</v>
      </c>
      <c r="AH719" s="69" t="s">
        <v>319</v>
      </c>
      <c r="AI719" s="243" t="s">
        <v>103</v>
      </c>
      <c r="AJ719" s="243" t="s">
        <v>419</v>
      </c>
      <c r="AK719" s="246"/>
      <c r="AL719" s="43" t="str">
        <f t="shared" si="196"/>
        <v>-</v>
      </c>
      <c r="AM719" s="43">
        <f t="shared" si="184"/>
        <v>0</v>
      </c>
      <c r="AN719" s="193">
        <f t="shared" si="184"/>
        <v>0</v>
      </c>
      <c r="AO719" s="270" t="str">
        <f t="shared" si="185"/>
        <v>-</v>
      </c>
      <c r="AP719" s="266"/>
      <c r="AQ719" s="26" t="str">
        <f t="shared" si="192"/>
        <v>RITHERDON CREEKPink</v>
      </c>
      <c r="AR719" s="26">
        <f t="shared" si="186"/>
        <v>0</v>
      </c>
      <c r="AS719" s="33">
        <f t="shared" si="187"/>
        <v>0</v>
      </c>
      <c r="AX719" s="47" t="str">
        <f t="shared" si="188"/>
        <v>RITHERDON CREEKPink</v>
      </c>
      <c r="AY719" s="49">
        <f t="shared" si="189"/>
        <v>0</v>
      </c>
      <c r="AZ719" s="49">
        <f t="shared" si="190"/>
        <v>0</v>
      </c>
      <c r="BA719" s="31">
        <v>0</v>
      </c>
      <c r="BB719" s="188">
        <f t="shared" si="193"/>
        <v>0</v>
      </c>
      <c r="BC719" s="188" t="str">
        <f t="shared" si="197"/>
        <v xml:space="preserve"> </v>
      </c>
      <c r="BD719" s="188" t="str">
        <f t="shared" si="198"/>
        <v xml:space="preserve"> </v>
      </c>
      <c r="BE719" s="188" t="str">
        <f t="shared" si="199"/>
        <v xml:space="preserve"> </v>
      </c>
      <c r="BF719" s="50" t="str">
        <f t="shared" si="191"/>
        <v>RITHERDON CREEK_Pink</v>
      </c>
      <c r="BG719" s="50" t="str">
        <f>IFERROR(VLOOKUP(BF719,'[1]WCVI Esc'!$C$5:$W$514,18,FALSE),"-")</f>
        <v>-</v>
      </c>
      <c r="BH719" s="50" t="str">
        <f t="shared" si="194"/>
        <v>-</v>
      </c>
      <c r="BI719" s="50" t="str">
        <f>IFERROR(VLOOKUP(BF719,'[1]WCVI Esc'!$C$5:$W$514,19,FALSE),"-")</f>
        <v>-</v>
      </c>
      <c r="BJ719" s="50" t="str">
        <f t="shared" si="195"/>
        <v>-</v>
      </c>
    </row>
    <row r="720" spans="1:62" hidden="1" x14ac:dyDescent="0.2">
      <c r="A720" s="28">
        <v>4</v>
      </c>
      <c r="B720" s="28">
        <v>4</v>
      </c>
      <c r="C720" s="11">
        <v>23</v>
      </c>
      <c r="D720" s="13" t="s">
        <v>319</v>
      </c>
      <c r="E720" s="10" t="s">
        <v>103</v>
      </c>
      <c r="F720" s="10" t="s">
        <v>209</v>
      </c>
      <c r="G720" s="10"/>
      <c r="H720" s="152"/>
      <c r="I720" s="164"/>
      <c r="J720" s="62"/>
      <c r="K720" s="62"/>
      <c r="L720" s="177"/>
      <c r="M720" s="171"/>
      <c r="N720" s="62"/>
      <c r="O720" s="62"/>
      <c r="P720" s="62"/>
      <c r="Q720" s="64"/>
      <c r="R720" s="164"/>
      <c r="S720" s="62"/>
      <c r="T720" s="62"/>
      <c r="U720" s="62"/>
      <c r="V720" s="177"/>
      <c r="W720" s="171"/>
      <c r="X720" s="62"/>
      <c r="Y720" s="45"/>
      <c r="Z720" s="45"/>
      <c r="AA720" s="100">
        <f>Y720/AP720</f>
        <v>0</v>
      </c>
      <c r="AB720" s="100">
        <f>AS720/AP720</f>
        <v>0</v>
      </c>
      <c r="AC720" s="24"/>
      <c r="AD720" s="24"/>
      <c r="AE720" s="24"/>
      <c r="AF720" s="24"/>
      <c r="AG720" s="18">
        <v>23</v>
      </c>
      <c r="AH720" s="69" t="s">
        <v>319</v>
      </c>
      <c r="AI720" s="243" t="s">
        <v>103</v>
      </c>
      <c r="AJ720" s="243" t="s">
        <v>419</v>
      </c>
      <c r="AK720" s="246"/>
      <c r="AL720" s="43" t="str">
        <f t="shared" si="196"/>
        <v>-</v>
      </c>
      <c r="AM720" s="43">
        <f t="shared" si="184"/>
        <v>0</v>
      </c>
      <c r="AN720" s="193">
        <f t="shared" si="184"/>
        <v>0</v>
      </c>
      <c r="AO720" s="270" t="str">
        <f t="shared" si="185"/>
        <v>-</v>
      </c>
      <c r="AP720" s="265">
        <f>BJ720</f>
        <v>10</v>
      </c>
      <c r="AQ720" s="26" t="str">
        <f t="shared" si="192"/>
        <v>RITHERDON CREEKChum</v>
      </c>
      <c r="AR720" s="26">
        <f t="shared" si="186"/>
        <v>0</v>
      </c>
      <c r="AS720" s="33">
        <f t="shared" si="187"/>
        <v>0</v>
      </c>
      <c r="AX720" s="47" t="str">
        <f t="shared" si="188"/>
        <v>RITHERDON CREEKChum</v>
      </c>
      <c r="AY720" s="49">
        <f t="shared" si="189"/>
        <v>0</v>
      </c>
      <c r="AZ720" s="49">
        <f t="shared" si="190"/>
        <v>0</v>
      </c>
      <c r="BA720" s="31">
        <v>2011</v>
      </c>
      <c r="BB720" s="188">
        <f t="shared" si="193"/>
        <v>0</v>
      </c>
      <c r="BC720" s="188" t="str">
        <f t="shared" si="197"/>
        <v xml:space="preserve"> </v>
      </c>
      <c r="BD720" s="188" t="str">
        <f t="shared" si="198"/>
        <v xml:space="preserve"> </v>
      </c>
      <c r="BE720" s="188" t="str">
        <f t="shared" si="199"/>
        <v xml:space="preserve"> </v>
      </c>
      <c r="BF720" s="50" t="str">
        <f t="shared" si="191"/>
        <v>RITHERDON CREEK_Chum</v>
      </c>
      <c r="BG720" s="50" t="str">
        <f>IFERROR(VLOOKUP(BF720,'[1]WCVI Esc'!$C$5:$W$514,18,FALSE),"-")</f>
        <v>-</v>
      </c>
      <c r="BH720" s="50" t="str">
        <f t="shared" si="194"/>
        <v>-</v>
      </c>
      <c r="BI720" s="50">
        <f>IFERROR(VLOOKUP(BF720,'[1]WCVI Esc'!$C$5:$W$514,19,FALSE),"-")</f>
        <v>6</v>
      </c>
      <c r="BJ720" s="50">
        <f t="shared" si="195"/>
        <v>10</v>
      </c>
    </row>
    <row r="721" spans="1:62" hidden="1" x14ac:dyDescent="0.2">
      <c r="A721" s="28">
        <v>4</v>
      </c>
      <c r="B721" s="28">
        <v>5</v>
      </c>
      <c r="C721" s="11">
        <v>23</v>
      </c>
      <c r="D721" s="13" t="s">
        <v>319</v>
      </c>
      <c r="E721" s="10" t="s">
        <v>103</v>
      </c>
      <c r="F721" s="10" t="s">
        <v>210</v>
      </c>
      <c r="G721" s="10"/>
      <c r="H721" s="152"/>
      <c r="I721" s="164"/>
      <c r="J721" s="62"/>
      <c r="K721" s="62"/>
      <c r="L721" s="177"/>
      <c r="M721" s="171"/>
      <c r="N721" s="62"/>
      <c r="O721" s="62"/>
      <c r="P721" s="62"/>
      <c r="Q721" s="64"/>
      <c r="R721" s="164"/>
      <c r="S721" s="62"/>
      <c r="T721" s="62"/>
      <c r="U721" s="62"/>
      <c r="V721" s="177"/>
      <c r="W721" s="171"/>
      <c r="X721" s="62"/>
      <c r="Y721" s="45"/>
      <c r="Z721" s="45"/>
      <c r="AA721" s="100"/>
      <c r="AB721" s="100"/>
      <c r="AC721" s="24"/>
      <c r="AD721" s="24"/>
      <c r="AE721" s="24"/>
      <c r="AF721" s="24"/>
      <c r="AG721" s="18">
        <v>23</v>
      </c>
      <c r="AH721" s="69" t="s">
        <v>319</v>
      </c>
      <c r="AI721" s="243" t="s">
        <v>103</v>
      </c>
      <c r="AJ721" s="243" t="s">
        <v>419</v>
      </c>
      <c r="AK721" s="246"/>
      <c r="AL721" s="43" t="str">
        <f t="shared" si="196"/>
        <v>-</v>
      </c>
      <c r="AM721" s="43">
        <f t="shared" si="184"/>
        <v>0</v>
      </c>
      <c r="AN721" s="193">
        <f t="shared" si="184"/>
        <v>0</v>
      </c>
      <c r="AO721" s="270" t="str">
        <f t="shared" si="185"/>
        <v>-</v>
      </c>
      <c r="AP721" s="266"/>
      <c r="AQ721" s="26" t="str">
        <f t="shared" si="192"/>
        <v>RITHERDON CREEKChinook</v>
      </c>
      <c r="AR721" s="26">
        <f t="shared" si="186"/>
        <v>0</v>
      </c>
      <c r="AS721" s="33">
        <f t="shared" si="187"/>
        <v>0</v>
      </c>
      <c r="AX721" s="47" t="str">
        <f t="shared" si="188"/>
        <v>RITHERDON CREEKChinook</v>
      </c>
      <c r="AY721" s="49">
        <f t="shared" si="189"/>
        <v>0</v>
      </c>
      <c r="AZ721" s="49">
        <f t="shared" si="190"/>
        <v>0</v>
      </c>
      <c r="BA721" s="31">
        <v>0</v>
      </c>
      <c r="BB721" s="188">
        <f t="shared" si="193"/>
        <v>0</v>
      </c>
      <c r="BC721" s="188" t="str">
        <f t="shared" si="197"/>
        <v xml:space="preserve"> </v>
      </c>
      <c r="BD721" s="188" t="str">
        <f t="shared" si="198"/>
        <v xml:space="preserve"> </v>
      </c>
      <c r="BE721" s="188" t="str">
        <f t="shared" si="199"/>
        <v xml:space="preserve"> </v>
      </c>
      <c r="BF721" s="50" t="str">
        <f t="shared" si="191"/>
        <v>RITHERDON CREEK_Chinook</v>
      </c>
      <c r="BG721" s="50" t="str">
        <f>IFERROR(VLOOKUP(BF721,'[1]WCVI Esc'!$C$5:$W$514,18,FALSE),"-")</f>
        <v>-</v>
      </c>
      <c r="BH721" s="50" t="str">
        <f t="shared" si="194"/>
        <v>-</v>
      </c>
      <c r="BI721" s="50" t="str">
        <f>IFERROR(VLOOKUP(BF721,'[1]WCVI Esc'!$C$5:$W$514,19,FALSE),"-")</f>
        <v>-</v>
      </c>
      <c r="BJ721" s="50" t="str">
        <f t="shared" si="195"/>
        <v>-</v>
      </c>
    </row>
    <row r="722" spans="1:62" hidden="1" x14ac:dyDescent="0.2">
      <c r="A722" s="28">
        <v>4</v>
      </c>
      <c r="B722" s="28">
        <v>6</v>
      </c>
      <c r="C722" s="11">
        <v>23</v>
      </c>
      <c r="D722" s="13" t="s">
        <v>319</v>
      </c>
      <c r="E722" s="10" t="s">
        <v>103</v>
      </c>
      <c r="F722" s="10" t="s">
        <v>211</v>
      </c>
      <c r="G722" s="10"/>
      <c r="H722" s="152"/>
      <c r="I722" s="164"/>
      <c r="J722" s="62"/>
      <c r="K722" s="62"/>
      <c r="L722" s="177"/>
      <c r="M722" s="171"/>
      <c r="N722" s="62"/>
      <c r="O722" s="62"/>
      <c r="P722" s="62"/>
      <c r="Q722" s="64"/>
      <c r="R722" s="164"/>
      <c r="S722" s="62"/>
      <c r="T722" s="62"/>
      <c r="U722" s="62"/>
      <c r="V722" s="177"/>
      <c r="W722" s="171"/>
      <c r="X722" s="62"/>
      <c r="Y722" s="45"/>
      <c r="Z722" s="45"/>
      <c r="AA722" s="100"/>
      <c r="AB722" s="100"/>
      <c r="AC722" s="24"/>
      <c r="AD722" s="24"/>
      <c r="AE722" s="24"/>
      <c r="AF722" s="24"/>
      <c r="AG722" s="18">
        <v>23</v>
      </c>
      <c r="AH722" s="69" t="s">
        <v>319</v>
      </c>
      <c r="AI722" s="243" t="s">
        <v>103</v>
      </c>
      <c r="AJ722" s="243" t="s">
        <v>419</v>
      </c>
      <c r="AK722" s="246"/>
      <c r="AL722" s="43" t="str">
        <f t="shared" si="196"/>
        <v>-</v>
      </c>
      <c r="AM722" s="43">
        <f t="shared" si="184"/>
        <v>0</v>
      </c>
      <c r="AN722" s="193">
        <f t="shared" si="184"/>
        <v>0</v>
      </c>
      <c r="AO722" s="270" t="str">
        <f t="shared" si="185"/>
        <v>-</v>
      </c>
      <c r="AP722" s="266"/>
      <c r="AQ722" s="26" t="str">
        <f t="shared" si="192"/>
        <v>RITHERDON CREEKSteelhead</v>
      </c>
      <c r="AR722" s="26">
        <f t="shared" si="186"/>
        <v>0</v>
      </c>
      <c r="AS722" s="33">
        <f t="shared" si="187"/>
        <v>0</v>
      </c>
      <c r="AX722" s="47" t="str">
        <f t="shared" si="188"/>
        <v>RITHERDON CREEKSteelhead</v>
      </c>
      <c r="AY722" s="49">
        <f t="shared" si="189"/>
        <v>0</v>
      </c>
      <c r="AZ722" s="49">
        <f t="shared" si="190"/>
        <v>0</v>
      </c>
      <c r="BA722" s="31">
        <v>0</v>
      </c>
      <c r="BB722" s="188">
        <f t="shared" si="193"/>
        <v>0</v>
      </c>
      <c r="BC722" s="188" t="str">
        <f t="shared" si="197"/>
        <v xml:space="preserve"> </v>
      </c>
      <c r="BD722" s="188" t="str">
        <f t="shared" si="198"/>
        <v xml:space="preserve"> </v>
      </c>
      <c r="BE722" s="188" t="str">
        <f t="shared" si="199"/>
        <v xml:space="preserve"> </v>
      </c>
      <c r="BF722" s="50" t="str">
        <f t="shared" si="191"/>
        <v>RITHERDON CREEK_Steelhead</v>
      </c>
      <c r="BG722" s="50" t="str">
        <f>IFERROR(VLOOKUP(BF722,'[1]WCVI Esc'!$C$5:$W$514,18,FALSE),"-")</f>
        <v>-</v>
      </c>
      <c r="BH722" s="50" t="str">
        <f t="shared" si="194"/>
        <v>-</v>
      </c>
      <c r="BI722" s="50" t="str">
        <f>IFERROR(VLOOKUP(BF722,'[1]WCVI Esc'!$C$5:$W$514,19,FALSE),"-")</f>
        <v>-</v>
      </c>
      <c r="BJ722" s="50" t="str">
        <f t="shared" si="195"/>
        <v>-</v>
      </c>
    </row>
    <row r="723" spans="1:62" hidden="1" x14ac:dyDescent="0.2">
      <c r="A723" s="28">
        <v>4</v>
      </c>
      <c r="B723" s="28">
        <v>1</v>
      </c>
      <c r="C723" s="11">
        <v>23</v>
      </c>
      <c r="D723" s="13" t="s">
        <v>295</v>
      </c>
      <c r="E723" s="10" t="s">
        <v>185</v>
      </c>
      <c r="F723" s="10" t="s">
        <v>207</v>
      </c>
      <c r="G723" s="10"/>
      <c r="H723" s="152"/>
      <c r="I723" s="164"/>
      <c r="J723" s="62"/>
      <c r="K723" s="62"/>
      <c r="L723" s="177"/>
      <c r="M723" s="171"/>
      <c r="N723" s="62"/>
      <c r="O723" s="62"/>
      <c r="P723" s="62"/>
      <c r="Q723" s="64"/>
      <c r="R723" s="164"/>
      <c r="S723" s="62"/>
      <c r="T723" s="62"/>
      <c r="U723" s="62"/>
      <c r="V723" s="177"/>
      <c r="W723" s="171"/>
      <c r="X723" s="62"/>
      <c r="Y723" s="45"/>
      <c r="Z723" s="45"/>
      <c r="AA723" s="100"/>
      <c r="AB723" s="100"/>
      <c r="AC723" s="24"/>
      <c r="AD723" s="24"/>
      <c r="AE723" s="24"/>
      <c r="AF723" s="24"/>
      <c r="AG723" s="18">
        <v>23</v>
      </c>
      <c r="AH723" s="69" t="s">
        <v>295</v>
      </c>
      <c r="AI723" s="243" t="s">
        <v>185</v>
      </c>
      <c r="AJ723" s="243" t="s">
        <v>419</v>
      </c>
      <c r="AK723" s="246"/>
      <c r="AL723" s="43" t="str">
        <f t="shared" si="196"/>
        <v>-</v>
      </c>
      <c r="AM723" s="43">
        <f t="shared" si="184"/>
        <v>0</v>
      </c>
      <c r="AN723" s="193">
        <f t="shared" si="184"/>
        <v>0</v>
      </c>
      <c r="AO723" s="270" t="str">
        <f t="shared" si="185"/>
        <v>-</v>
      </c>
      <c r="AP723" s="266"/>
      <c r="AQ723" s="26" t="str">
        <f t="shared" si="192"/>
        <v>SECHART CREEKSockeye</v>
      </c>
      <c r="AR723" s="26">
        <f t="shared" si="186"/>
        <v>0</v>
      </c>
      <c r="AS723" s="33">
        <f t="shared" si="187"/>
        <v>0</v>
      </c>
      <c r="AX723" s="47" t="str">
        <f t="shared" si="188"/>
        <v>SECHART CREEKSockeye</v>
      </c>
      <c r="AY723" s="49">
        <f t="shared" si="189"/>
        <v>0</v>
      </c>
      <c r="AZ723" s="49">
        <f t="shared" si="190"/>
        <v>0</v>
      </c>
      <c r="BA723" s="31">
        <v>0</v>
      </c>
      <c r="BB723" s="188">
        <f t="shared" si="193"/>
        <v>0</v>
      </c>
      <c r="BC723" s="188" t="str">
        <f t="shared" si="197"/>
        <v xml:space="preserve"> </v>
      </c>
      <c r="BD723" s="188" t="str">
        <f t="shared" si="198"/>
        <v xml:space="preserve"> </v>
      </c>
      <c r="BE723" s="188" t="str">
        <f t="shared" si="199"/>
        <v xml:space="preserve"> </v>
      </c>
      <c r="BF723" s="50" t="str">
        <f t="shared" si="191"/>
        <v>SECHART CREEK_Sockeye</v>
      </c>
      <c r="BG723" s="50" t="str">
        <f>IFERROR(VLOOKUP(BF723,'[1]WCVI Esc'!$C$5:$W$514,18,FALSE),"-")</f>
        <v>-</v>
      </c>
      <c r="BH723" s="50" t="str">
        <f t="shared" si="194"/>
        <v>-</v>
      </c>
      <c r="BI723" s="50" t="str">
        <f>IFERROR(VLOOKUP(BF723,'[1]WCVI Esc'!$C$5:$W$514,19,FALSE),"-")</f>
        <v>-</v>
      </c>
      <c r="BJ723" s="50" t="str">
        <f t="shared" si="195"/>
        <v>-</v>
      </c>
    </row>
    <row r="724" spans="1:62" hidden="1" x14ac:dyDescent="0.2">
      <c r="A724" s="28">
        <v>4</v>
      </c>
      <c r="B724" s="28">
        <v>2</v>
      </c>
      <c r="C724" s="11">
        <v>23</v>
      </c>
      <c r="D724" s="13" t="s">
        <v>295</v>
      </c>
      <c r="E724" s="10" t="s">
        <v>185</v>
      </c>
      <c r="F724" s="10" t="s">
        <v>219</v>
      </c>
      <c r="G724" s="10"/>
      <c r="H724" s="152"/>
      <c r="I724" s="164"/>
      <c r="J724" s="62"/>
      <c r="K724" s="62"/>
      <c r="L724" s="177"/>
      <c r="M724" s="171"/>
      <c r="N724" s="62"/>
      <c r="O724" s="62"/>
      <c r="P724" s="62"/>
      <c r="Q724" s="64"/>
      <c r="R724" s="164"/>
      <c r="S724" s="62"/>
      <c r="T724" s="62"/>
      <c r="U724" s="62"/>
      <c r="V724" s="177"/>
      <c r="W724" s="171"/>
      <c r="X724" s="62"/>
      <c r="Y724" s="45"/>
      <c r="Z724" s="45"/>
      <c r="AA724" s="100"/>
      <c r="AB724" s="100"/>
      <c r="AC724" s="24"/>
      <c r="AD724" s="24"/>
      <c r="AE724" s="24"/>
      <c r="AF724" s="24"/>
      <c r="AG724" s="18">
        <v>23</v>
      </c>
      <c r="AH724" s="69" t="s">
        <v>295</v>
      </c>
      <c r="AI724" s="243" t="s">
        <v>185</v>
      </c>
      <c r="AJ724" s="243" t="s">
        <v>419</v>
      </c>
      <c r="AK724" s="246"/>
      <c r="AL724" s="43" t="str">
        <f t="shared" si="196"/>
        <v>-</v>
      </c>
      <c r="AM724" s="43">
        <f t="shared" si="184"/>
        <v>0</v>
      </c>
      <c r="AN724" s="193">
        <f t="shared" si="184"/>
        <v>0</v>
      </c>
      <c r="AO724" s="270" t="str">
        <f t="shared" si="185"/>
        <v>-</v>
      </c>
      <c r="AP724" s="266"/>
      <c r="AQ724" s="26" t="str">
        <f t="shared" si="192"/>
        <v>SECHART CREEKCoho</v>
      </c>
      <c r="AR724" s="26">
        <f t="shared" si="186"/>
        <v>0</v>
      </c>
      <c r="AS724" s="33">
        <f t="shared" si="187"/>
        <v>0</v>
      </c>
      <c r="AX724" s="47" t="str">
        <f t="shared" si="188"/>
        <v>SECHART CREEKCoho</v>
      </c>
      <c r="AY724" s="49">
        <f t="shared" si="189"/>
        <v>0</v>
      </c>
      <c r="AZ724" s="49">
        <f t="shared" si="190"/>
        <v>0</v>
      </c>
      <c r="BA724" s="31">
        <v>1998</v>
      </c>
      <c r="BB724" s="188">
        <f t="shared" si="193"/>
        <v>0</v>
      </c>
      <c r="BC724" s="188" t="str">
        <f t="shared" si="197"/>
        <v xml:space="preserve"> </v>
      </c>
      <c r="BD724" s="188" t="str">
        <f t="shared" si="198"/>
        <v xml:space="preserve"> </v>
      </c>
      <c r="BE724" s="188" t="str">
        <f t="shared" si="199"/>
        <v xml:space="preserve"> </v>
      </c>
      <c r="BF724" s="50" t="str">
        <f t="shared" si="191"/>
        <v>SECHART CREEK_Coho</v>
      </c>
      <c r="BG724" s="50" t="str">
        <f>IFERROR(VLOOKUP(BF724,'[1]WCVI Esc'!$C$5:$W$514,18,FALSE),"-")</f>
        <v>-</v>
      </c>
      <c r="BH724" s="50" t="str">
        <f t="shared" si="194"/>
        <v>-</v>
      </c>
      <c r="BI724" s="50" t="str">
        <f>IFERROR(VLOOKUP(BF724,'[1]WCVI Esc'!$C$5:$W$514,19,FALSE),"-")</f>
        <v>-</v>
      </c>
      <c r="BJ724" s="50" t="str">
        <f t="shared" si="195"/>
        <v>-</v>
      </c>
    </row>
    <row r="725" spans="1:62" hidden="1" x14ac:dyDescent="0.2">
      <c r="A725" s="28">
        <v>4</v>
      </c>
      <c r="B725" s="28">
        <v>3</v>
      </c>
      <c r="C725" s="11">
        <v>23</v>
      </c>
      <c r="D725" s="13" t="s">
        <v>295</v>
      </c>
      <c r="E725" s="10" t="s">
        <v>185</v>
      </c>
      <c r="F725" s="10" t="s">
        <v>208</v>
      </c>
      <c r="G725" s="10"/>
      <c r="H725" s="152"/>
      <c r="I725" s="164"/>
      <c r="J725" s="62"/>
      <c r="K725" s="62"/>
      <c r="L725" s="177"/>
      <c r="M725" s="171"/>
      <c r="N725" s="62"/>
      <c r="O725" s="62"/>
      <c r="P725" s="62"/>
      <c r="Q725" s="64"/>
      <c r="R725" s="164"/>
      <c r="S725" s="62"/>
      <c r="T725" s="62"/>
      <c r="U725" s="62"/>
      <c r="V725" s="177"/>
      <c r="W725" s="171"/>
      <c r="X725" s="62"/>
      <c r="Y725" s="45"/>
      <c r="Z725" s="45"/>
      <c r="AA725" s="100"/>
      <c r="AB725" s="100"/>
      <c r="AC725" s="24"/>
      <c r="AD725" s="24"/>
      <c r="AE725" s="24"/>
      <c r="AF725" s="24"/>
      <c r="AG725" s="18">
        <v>23</v>
      </c>
      <c r="AH725" s="69" t="s">
        <v>295</v>
      </c>
      <c r="AI725" s="243" t="s">
        <v>185</v>
      </c>
      <c r="AJ725" s="243" t="s">
        <v>419</v>
      </c>
      <c r="AK725" s="246"/>
      <c r="AL725" s="43" t="str">
        <f t="shared" si="196"/>
        <v>-</v>
      </c>
      <c r="AM725" s="43">
        <f t="shared" si="184"/>
        <v>0</v>
      </c>
      <c r="AN725" s="193">
        <f t="shared" si="184"/>
        <v>0</v>
      </c>
      <c r="AO725" s="270" t="str">
        <f t="shared" si="185"/>
        <v>-</v>
      </c>
      <c r="AP725" s="266"/>
      <c r="AQ725" s="26" t="str">
        <f t="shared" si="192"/>
        <v>SECHART CREEKPink</v>
      </c>
      <c r="AR725" s="26">
        <f t="shared" si="186"/>
        <v>0</v>
      </c>
      <c r="AS725" s="33">
        <f t="shared" si="187"/>
        <v>0</v>
      </c>
      <c r="AX725" s="47" t="str">
        <f t="shared" si="188"/>
        <v>SECHART CREEKPink</v>
      </c>
      <c r="AY725" s="49">
        <f t="shared" si="189"/>
        <v>0</v>
      </c>
      <c r="AZ725" s="49">
        <f t="shared" si="190"/>
        <v>0</v>
      </c>
      <c r="BA725" s="31">
        <v>0</v>
      </c>
      <c r="BB725" s="188">
        <f t="shared" si="193"/>
        <v>0</v>
      </c>
      <c r="BC725" s="188" t="str">
        <f t="shared" si="197"/>
        <v xml:space="preserve"> </v>
      </c>
      <c r="BD725" s="188" t="str">
        <f t="shared" si="198"/>
        <v xml:space="preserve"> </v>
      </c>
      <c r="BE725" s="188" t="str">
        <f t="shared" si="199"/>
        <v xml:space="preserve"> </v>
      </c>
      <c r="BF725" s="50" t="str">
        <f t="shared" si="191"/>
        <v>SECHART CREEK_Pink</v>
      </c>
      <c r="BG725" s="50" t="str">
        <f>IFERROR(VLOOKUP(BF725,'[1]WCVI Esc'!$C$5:$W$514,18,FALSE),"-")</f>
        <v>-</v>
      </c>
      <c r="BH725" s="50" t="str">
        <f t="shared" si="194"/>
        <v>-</v>
      </c>
      <c r="BI725" s="50" t="str">
        <f>IFERROR(VLOOKUP(BF725,'[1]WCVI Esc'!$C$5:$W$514,19,FALSE),"-")</f>
        <v>-</v>
      </c>
      <c r="BJ725" s="50" t="str">
        <f t="shared" si="195"/>
        <v>-</v>
      </c>
    </row>
    <row r="726" spans="1:62" hidden="1" x14ac:dyDescent="0.2">
      <c r="A726" s="28">
        <v>4</v>
      </c>
      <c r="B726" s="28">
        <v>4</v>
      </c>
      <c r="C726" s="11">
        <v>23</v>
      </c>
      <c r="D726" s="13" t="s">
        <v>295</v>
      </c>
      <c r="E726" s="10" t="s">
        <v>185</v>
      </c>
      <c r="F726" s="10" t="s">
        <v>209</v>
      </c>
      <c r="G726" s="10"/>
      <c r="H726" s="152"/>
      <c r="I726" s="164"/>
      <c r="J726" s="62"/>
      <c r="K726" s="62"/>
      <c r="L726" s="177"/>
      <c r="M726" s="171"/>
      <c r="N726" s="62"/>
      <c r="O726" s="62"/>
      <c r="P726" s="62"/>
      <c r="Q726" s="64"/>
      <c r="R726" s="164"/>
      <c r="S726" s="62"/>
      <c r="T726" s="62"/>
      <c r="U726" s="62"/>
      <c r="V726" s="177"/>
      <c r="W726" s="171"/>
      <c r="X726" s="62"/>
      <c r="Y726" s="45"/>
      <c r="Z726" s="45"/>
      <c r="AA726" s="100"/>
      <c r="AB726" s="100"/>
      <c r="AC726" s="24"/>
      <c r="AD726" s="24"/>
      <c r="AE726" s="24"/>
      <c r="AF726" s="24"/>
      <c r="AG726" s="18">
        <v>23</v>
      </c>
      <c r="AH726" s="69" t="s">
        <v>295</v>
      </c>
      <c r="AI726" s="243" t="s">
        <v>185</v>
      </c>
      <c r="AJ726" s="243" t="s">
        <v>419</v>
      </c>
      <c r="AK726" s="246"/>
      <c r="AL726" s="43" t="str">
        <f t="shared" si="196"/>
        <v>-</v>
      </c>
      <c r="AM726" s="43">
        <f t="shared" si="184"/>
        <v>0</v>
      </c>
      <c r="AN726" s="193">
        <f t="shared" si="184"/>
        <v>0</v>
      </c>
      <c r="AO726" s="270" t="str">
        <f t="shared" si="185"/>
        <v>-</v>
      </c>
      <c r="AP726" s="266"/>
      <c r="AQ726" s="26" t="str">
        <f t="shared" si="192"/>
        <v>SECHART CREEKChum</v>
      </c>
      <c r="AR726" s="26">
        <f t="shared" si="186"/>
        <v>0</v>
      </c>
      <c r="AS726" s="33">
        <f t="shared" si="187"/>
        <v>0</v>
      </c>
      <c r="AX726" s="47" t="str">
        <f t="shared" si="188"/>
        <v>SECHART CREEKChum</v>
      </c>
      <c r="AY726" s="49">
        <f t="shared" si="189"/>
        <v>0</v>
      </c>
      <c r="AZ726" s="49">
        <f t="shared" si="190"/>
        <v>0</v>
      </c>
      <c r="BA726" s="31">
        <v>1998</v>
      </c>
      <c r="BB726" s="188">
        <f t="shared" si="193"/>
        <v>0</v>
      </c>
      <c r="BC726" s="188" t="str">
        <f t="shared" si="197"/>
        <v xml:space="preserve"> </v>
      </c>
      <c r="BD726" s="188" t="str">
        <f t="shared" si="198"/>
        <v xml:space="preserve"> </v>
      </c>
      <c r="BE726" s="188" t="str">
        <f t="shared" si="199"/>
        <v xml:space="preserve"> </v>
      </c>
      <c r="BF726" s="50" t="str">
        <f t="shared" si="191"/>
        <v>SECHART CREEK_Chum</v>
      </c>
      <c r="BG726" s="50" t="str">
        <f>IFERROR(VLOOKUP(BF726,'[1]WCVI Esc'!$C$5:$W$514,18,FALSE),"-")</f>
        <v>-</v>
      </c>
      <c r="BH726" s="50" t="str">
        <f t="shared" si="194"/>
        <v>-</v>
      </c>
      <c r="BI726" s="50" t="str">
        <f>IFERROR(VLOOKUP(BF726,'[1]WCVI Esc'!$C$5:$W$514,19,FALSE),"-")</f>
        <v>-</v>
      </c>
      <c r="BJ726" s="50" t="str">
        <f t="shared" si="195"/>
        <v>-</v>
      </c>
    </row>
    <row r="727" spans="1:62" hidden="1" x14ac:dyDescent="0.2">
      <c r="A727" s="28">
        <v>4</v>
      </c>
      <c r="B727" s="28">
        <v>5</v>
      </c>
      <c r="C727" s="11">
        <v>23</v>
      </c>
      <c r="D727" s="13" t="s">
        <v>295</v>
      </c>
      <c r="E727" s="10" t="s">
        <v>185</v>
      </c>
      <c r="F727" s="10" t="s">
        <v>210</v>
      </c>
      <c r="G727" s="10"/>
      <c r="H727" s="152"/>
      <c r="I727" s="164"/>
      <c r="J727" s="62"/>
      <c r="K727" s="62"/>
      <c r="L727" s="177"/>
      <c r="M727" s="171"/>
      <c r="N727" s="62"/>
      <c r="O727" s="62"/>
      <c r="P727" s="62"/>
      <c r="Q727" s="64"/>
      <c r="R727" s="164"/>
      <c r="S727" s="62"/>
      <c r="T727" s="62"/>
      <c r="U727" s="62"/>
      <c r="V727" s="177"/>
      <c r="W727" s="171"/>
      <c r="X727" s="62"/>
      <c r="Y727" s="45"/>
      <c r="Z727" s="45"/>
      <c r="AA727" s="100"/>
      <c r="AB727" s="100"/>
      <c r="AC727" s="24"/>
      <c r="AD727" s="24"/>
      <c r="AE727" s="24"/>
      <c r="AF727" s="24"/>
      <c r="AG727" s="18">
        <v>23</v>
      </c>
      <c r="AH727" s="69" t="s">
        <v>295</v>
      </c>
      <c r="AI727" s="243" t="s">
        <v>185</v>
      </c>
      <c r="AJ727" s="243" t="s">
        <v>419</v>
      </c>
      <c r="AK727" s="246"/>
      <c r="AL727" s="43" t="str">
        <f t="shared" si="196"/>
        <v>-</v>
      </c>
      <c r="AM727" s="43">
        <f t="shared" si="184"/>
        <v>0</v>
      </c>
      <c r="AN727" s="193">
        <f t="shared" si="184"/>
        <v>0</v>
      </c>
      <c r="AO727" s="270" t="str">
        <f t="shared" si="185"/>
        <v>-</v>
      </c>
      <c r="AP727" s="266"/>
      <c r="AQ727" s="26" t="str">
        <f t="shared" si="192"/>
        <v>SECHART CREEKChinook</v>
      </c>
      <c r="AR727" s="26">
        <f t="shared" si="186"/>
        <v>0</v>
      </c>
      <c r="AS727" s="33">
        <f t="shared" si="187"/>
        <v>0</v>
      </c>
      <c r="AX727" s="47" t="str">
        <f t="shared" si="188"/>
        <v>SECHART CREEKChinook</v>
      </c>
      <c r="AY727" s="49">
        <f t="shared" si="189"/>
        <v>0</v>
      </c>
      <c r="AZ727" s="49">
        <f t="shared" si="190"/>
        <v>0</v>
      </c>
      <c r="BA727" s="31">
        <v>0</v>
      </c>
      <c r="BB727" s="188">
        <f t="shared" si="193"/>
        <v>0</v>
      </c>
      <c r="BC727" s="188" t="str">
        <f t="shared" si="197"/>
        <v xml:space="preserve"> </v>
      </c>
      <c r="BD727" s="188" t="str">
        <f t="shared" si="198"/>
        <v xml:space="preserve"> </v>
      </c>
      <c r="BE727" s="188" t="str">
        <f t="shared" si="199"/>
        <v xml:space="preserve"> </v>
      </c>
      <c r="BF727" s="50" t="str">
        <f t="shared" si="191"/>
        <v>SECHART CREEK_Chinook</v>
      </c>
      <c r="BG727" s="50" t="str">
        <f>IFERROR(VLOOKUP(BF727,'[1]WCVI Esc'!$C$5:$W$514,18,FALSE),"-")</f>
        <v>-</v>
      </c>
      <c r="BH727" s="50" t="str">
        <f t="shared" si="194"/>
        <v>-</v>
      </c>
      <c r="BI727" s="50" t="str">
        <f>IFERROR(VLOOKUP(BF727,'[1]WCVI Esc'!$C$5:$W$514,19,FALSE),"-")</f>
        <v>-</v>
      </c>
      <c r="BJ727" s="50" t="str">
        <f t="shared" si="195"/>
        <v>-</v>
      </c>
    </row>
    <row r="728" spans="1:62" hidden="1" x14ac:dyDescent="0.2">
      <c r="A728" s="28">
        <v>4</v>
      </c>
      <c r="B728" s="28">
        <v>6</v>
      </c>
      <c r="C728" s="11">
        <v>23</v>
      </c>
      <c r="D728" s="13" t="s">
        <v>295</v>
      </c>
      <c r="E728" s="10" t="s">
        <v>185</v>
      </c>
      <c r="F728" s="10" t="s">
        <v>211</v>
      </c>
      <c r="G728" s="10"/>
      <c r="H728" s="152"/>
      <c r="I728" s="164"/>
      <c r="J728" s="62"/>
      <c r="K728" s="62"/>
      <c r="L728" s="177"/>
      <c r="M728" s="171"/>
      <c r="N728" s="62"/>
      <c r="O728" s="62"/>
      <c r="P728" s="62"/>
      <c r="Q728" s="64"/>
      <c r="R728" s="164"/>
      <c r="S728" s="62"/>
      <c r="T728" s="62"/>
      <c r="U728" s="62"/>
      <c r="V728" s="177"/>
      <c r="W728" s="171"/>
      <c r="X728" s="62"/>
      <c r="Y728" s="45"/>
      <c r="Z728" s="45"/>
      <c r="AA728" s="100"/>
      <c r="AB728" s="100"/>
      <c r="AC728" s="24"/>
      <c r="AD728" s="24"/>
      <c r="AE728" s="24"/>
      <c r="AF728" s="24"/>
      <c r="AG728" s="18">
        <v>23</v>
      </c>
      <c r="AH728" s="69" t="s">
        <v>295</v>
      </c>
      <c r="AI728" s="243" t="s">
        <v>185</v>
      </c>
      <c r="AJ728" s="243" t="s">
        <v>419</v>
      </c>
      <c r="AK728" s="246"/>
      <c r="AL728" s="43" t="str">
        <f t="shared" si="196"/>
        <v>-</v>
      </c>
      <c r="AM728" s="43">
        <f t="shared" si="184"/>
        <v>0</v>
      </c>
      <c r="AN728" s="193">
        <f t="shared" si="184"/>
        <v>0</v>
      </c>
      <c r="AO728" s="270" t="str">
        <f t="shared" si="185"/>
        <v>-</v>
      </c>
      <c r="AP728" s="266"/>
      <c r="AQ728" s="26" t="str">
        <f t="shared" si="192"/>
        <v>SECHART CREEKSteelhead</v>
      </c>
      <c r="AR728" s="26">
        <f t="shared" si="186"/>
        <v>0</v>
      </c>
      <c r="AS728" s="33">
        <f t="shared" si="187"/>
        <v>0</v>
      </c>
      <c r="AX728" s="47" t="str">
        <f t="shared" si="188"/>
        <v>SECHART CREEKSteelhead</v>
      </c>
      <c r="AY728" s="49">
        <f t="shared" si="189"/>
        <v>0</v>
      </c>
      <c r="AZ728" s="49">
        <f t="shared" si="190"/>
        <v>0</v>
      </c>
      <c r="BA728" s="31">
        <v>0</v>
      </c>
      <c r="BB728" s="188">
        <f t="shared" si="193"/>
        <v>0</v>
      </c>
      <c r="BC728" s="188" t="str">
        <f t="shared" si="197"/>
        <v xml:space="preserve"> </v>
      </c>
      <c r="BD728" s="188" t="str">
        <f t="shared" si="198"/>
        <v xml:space="preserve"> </v>
      </c>
      <c r="BE728" s="188" t="str">
        <f t="shared" si="199"/>
        <v xml:space="preserve"> </v>
      </c>
      <c r="BF728" s="50" t="str">
        <f t="shared" si="191"/>
        <v>SECHART CREEK_Steelhead</v>
      </c>
      <c r="BG728" s="50" t="str">
        <f>IFERROR(VLOOKUP(BF728,'[1]WCVI Esc'!$C$5:$W$514,18,FALSE),"-")</f>
        <v>-</v>
      </c>
      <c r="BH728" s="50" t="str">
        <f t="shared" si="194"/>
        <v>-</v>
      </c>
      <c r="BI728" s="50" t="str">
        <f>IFERROR(VLOOKUP(BF728,'[1]WCVI Esc'!$C$5:$W$514,19,FALSE),"-")</f>
        <v>-</v>
      </c>
      <c r="BJ728" s="50" t="str">
        <f t="shared" si="195"/>
        <v>-</v>
      </c>
    </row>
    <row r="729" spans="1:62" hidden="1" x14ac:dyDescent="0.2">
      <c r="A729" s="28">
        <v>4</v>
      </c>
      <c r="B729" s="28">
        <v>1</v>
      </c>
      <c r="C729" s="11">
        <v>23</v>
      </c>
      <c r="D729" s="13" t="s">
        <v>305</v>
      </c>
      <c r="E729" s="10" t="s">
        <v>186</v>
      </c>
      <c r="F729" s="10" t="s">
        <v>207</v>
      </c>
      <c r="G729" s="10"/>
      <c r="H729" s="152"/>
      <c r="I729" s="164"/>
      <c r="J729" s="62"/>
      <c r="K729" s="62"/>
      <c r="L729" s="177"/>
      <c r="M729" s="171"/>
      <c r="N729" s="62"/>
      <c r="O729" s="62"/>
      <c r="P729" s="62"/>
      <c r="Q729" s="64"/>
      <c r="R729" s="169"/>
      <c r="S729" s="62"/>
      <c r="T729" s="62"/>
      <c r="U729" s="62"/>
      <c r="V729" s="177"/>
      <c r="W729" s="171"/>
      <c r="X729" s="62"/>
      <c r="Y729" s="45"/>
      <c r="Z729" s="45"/>
      <c r="AA729" s="100"/>
      <c r="AB729" s="100"/>
      <c r="AC729" s="24"/>
      <c r="AD729" s="24"/>
      <c r="AE729" s="24"/>
      <c r="AF729" s="24"/>
      <c r="AG729" s="18">
        <v>23</v>
      </c>
      <c r="AH729" s="69" t="s">
        <v>305</v>
      </c>
      <c r="AI729" s="243" t="s">
        <v>186</v>
      </c>
      <c r="AJ729" s="243" t="s">
        <v>419</v>
      </c>
      <c r="AK729" s="246"/>
      <c r="AL729" s="43" t="str">
        <f t="shared" si="196"/>
        <v>-</v>
      </c>
      <c r="AM729" s="43">
        <f t="shared" si="184"/>
        <v>0</v>
      </c>
      <c r="AN729" s="193">
        <f t="shared" si="184"/>
        <v>0</v>
      </c>
      <c r="AO729" s="270" t="str">
        <f t="shared" si="185"/>
        <v>-</v>
      </c>
      <c r="AP729" s="266"/>
      <c r="AQ729" s="26" t="str">
        <f t="shared" si="192"/>
        <v>SMITH CREEKSockeye</v>
      </c>
      <c r="AR729" s="26">
        <f t="shared" si="186"/>
        <v>0</v>
      </c>
      <c r="AS729" s="33">
        <f t="shared" si="187"/>
        <v>0</v>
      </c>
      <c r="AX729" s="47" t="str">
        <f t="shared" si="188"/>
        <v>SMITH CREEKSockeye</v>
      </c>
      <c r="AY729" s="49">
        <f t="shared" si="189"/>
        <v>0</v>
      </c>
      <c r="AZ729" s="49">
        <f t="shared" si="190"/>
        <v>0</v>
      </c>
      <c r="BA729" s="31">
        <v>0</v>
      </c>
      <c r="BB729" s="188">
        <f t="shared" si="193"/>
        <v>0</v>
      </c>
      <c r="BC729" s="188" t="str">
        <f t="shared" si="197"/>
        <v xml:space="preserve"> </v>
      </c>
      <c r="BD729" s="188" t="str">
        <f t="shared" si="198"/>
        <v xml:space="preserve"> </v>
      </c>
      <c r="BE729" s="188" t="str">
        <f t="shared" si="199"/>
        <v xml:space="preserve"> </v>
      </c>
      <c r="BF729" s="50" t="str">
        <f t="shared" si="191"/>
        <v>SMITH CREEK_Sockeye</v>
      </c>
      <c r="BG729" s="50" t="str">
        <f>IFERROR(VLOOKUP(BF729,'[1]WCVI Esc'!$C$5:$W$514,18,FALSE),"-")</f>
        <v>-</v>
      </c>
      <c r="BH729" s="50" t="str">
        <f t="shared" si="194"/>
        <v>-</v>
      </c>
      <c r="BI729" s="50" t="str">
        <f>IFERROR(VLOOKUP(BF729,'[1]WCVI Esc'!$C$5:$W$514,19,FALSE),"-")</f>
        <v>-</v>
      </c>
      <c r="BJ729" s="50" t="str">
        <f t="shared" si="195"/>
        <v>-</v>
      </c>
    </row>
    <row r="730" spans="1:62" hidden="1" x14ac:dyDescent="0.2">
      <c r="A730" s="28">
        <v>4</v>
      </c>
      <c r="B730" s="28">
        <v>2</v>
      </c>
      <c r="C730" s="11">
        <v>23</v>
      </c>
      <c r="D730" s="13" t="s">
        <v>305</v>
      </c>
      <c r="E730" s="10" t="s">
        <v>186</v>
      </c>
      <c r="F730" s="10" t="s">
        <v>219</v>
      </c>
      <c r="G730" s="10"/>
      <c r="H730" s="152"/>
      <c r="I730" s="164"/>
      <c r="J730" s="62"/>
      <c r="K730" s="62"/>
      <c r="L730" s="177"/>
      <c r="M730" s="171"/>
      <c r="N730" s="62"/>
      <c r="O730" s="62"/>
      <c r="P730" s="62"/>
      <c r="Q730" s="64"/>
      <c r="R730" s="169"/>
      <c r="S730" s="62"/>
      <c r="T730" s="62"/>
      <c r="U730" s="62"/>
      <c r="V730" s="177"/>
      <c r="W730" s="171"/>
      <c r="X730" s="62"/>
      <c r="Y730" s="45"/>
      <c r="Z730" s="45"/>
      <c r="AA730" s="100">
        <f>Y730/AP730</f>
        <v>0</v>
      </c>
      <c r="AB730" s="100">
        <f>AS730/AP730</f>
        <v>0</v>
      </c>
      <c r="AC730" s="24"/>
      <c r="AD730" s="24"/>
      <c r="AE730" s="24"/>
      <c r="AF730" s="24"/>
      <c r="AG730" s="18">
        <v>23</v>
      </c>
      <c r="AH730" s="69" t="s">
        <v>305</v>
      </c>
      <c r="AI730" s="243" t="s">
        <v>186</v>
      </c>
      <c r="AJ730" s="243" t="s">
        <v>419</v>
      </c>
      <c r="AK730" s="246"/>
      <c r="AL730" s="43" t="str">
        <f t="shared" si="196"/>
        <v>-</v>
      </c>
      <c r="AM730" s="43">
        <f t="shared" si="184"/>
        <v>0</v>
      </c>
      <c r="AN730" s="193">
        <f t="shared" si="184"/>
        <v>0</v>
      </c>
      <c r="AO730" s="270">
        <f t="shared" si="185"/>
        <v>20</v>
      </c>
      <c r="AP730" s="265">
        <f>BJ730</f>
        <v>70</v>
      </c>
      <c r="AQ730" s="26" t="str">
        <f t="shared" si="192"/>
        <v>SMITH CREEKCoho</v>
      </c>
      <c r="AR730" s="26">
        <f t="shared" si="186"/>
        <v>0</v>
      </c>
      <c r="AS730" s="33">
        <f t="shared" si="187"/>
        <v>0</v>
      </c>
      <c r="AX730" s="47" t="str">
        <f t="shared" si="188"/>
        <v>SMITH CREEKCoho</v>
      </c>
      <c r="AY730" s="49">
        <f t="shared" si="189"/>
        <v>0</v>
      </c>
      <c r="AZ730" s="49">
        <f t="shared" si="190"/>
        <v>0</v>
      </c>
      <c r="BA730" s="31">
        <v>2013</v>
      </c>
      <c r="BB730" s="188">
        <f t="shared" si="193"/>
        <v>0</v>
      </c>
      <c r="BC730" s="188" t="str">
        <f t="shared" si="197"/>
        <v xml:space="preserve"> </v>
      </c>
      <c r="BD730" s="188" t="str">
        <f t="shared" si="198"/>
        <v xml:space="preserve"> </v>
      </c>
      <c r="BE730" s="188" t="str">
        <f t="shared" si="199"/>
        <v xml:space="preserve"> </v>
      </c>
      <c r="BF730" s="50" t="str">
        <f t="shared" si="191"/>
        <v>SMITH CREEK_Coho</v>
      </c>
      <c r="BG730" s="50">
        <f>IFERROR(VLOOKUP(BF730,'[1]WCVI Esc'!$C$5:$W$514,18,FALSE),"-")</f>
        <v>15</v>
      </c>
      <c r="BH730" s="50">
        <f t="shared" si="194"/>
        <v>20</v>
      </c>
      <c r="BI730" s="50">
        <f>IFERROR(VLOOKUP(BF730,'[1]WCVI Esc'!$C$5:$W$514,19,FALSE),"-")</f>
        <v>72.5</v>
      </c>
      <c r="BJ730" s="50">
        <f t="shared" si="195"/>
        <v>70</v>
      </c>
    </row>
    <row r="731" spans="1:62" hidden="1" x14ac:dyDescent="0.2">
      <c r="A731" s="28">
        <v>4</v>
      </c>
      <c r="B731" s="28">
        <v>3</v>
      </c>
      <c r="C731" s="11">
        <v>23</v>
      </c>
      <c r="D731" s="13" t="s">
        <v>305</v>
      </c>
      <c r="E731" s="10" t="s">
        <v>186</v>
      </c>
      <c r="F731" s="10" t="s">
        <v>208</v>
      </c>
      <c r="G731" s="10"/>
      <c r="H731" s="152"/>
      <c r="I731" s="164"/>
      <c r="J731" s="62"/>
      <c r="K731" s="62"/>
      <c r="L731" s="177"/>
      <c r="M731" s="171"/>
      <c r="N731" s="62"/>
      <c r="O731" s="62"/>
      <c r="P731" s="62"/>
      <c r="Q731" s="64"/>
      <c r="R731" s="169"/>
      <c r="S731" s="62"/>
      <c r="T731" s="62"/>
      <c r="U731" s="62"/>
      <c r="V731" s="177"/>
      <c r="W731" s="171"/>
      <c r="X731" s="62"/>
      <c r="Y731" s="45"/>
      <c r="Z731" s="45"/>
      <c r="AA731" s="100"/>
      <c r="AB731" s="100"/>
      <c r="AC731" s="24"/>
      <c r="AD731" s="24"/>
      <c r="AE731" s="24"/>
      <c r="AF731" s="24"/>
      <c r="AG731" s="18">
        <v>23</v>
      </c>
      <c r="AH731" s="69" t="s">
        <v>305</v>
      </c>
      <c r="AI731" s="243" t="s">
        <v>186</v>
      </c>
      <c r="AJ731" s="243" t="s">
        <v>419</v>
      </c>
      <c r="AK731" s="246"/>
      <c r="AL731" s="43" t="str">
        <f t="shared" si="196"/>
        <v>-</v>
      </c>
      <c r="AM731" s="43">
        <f t="shared" si="184"/>
        <v>0</v>
      </c>
      <c r="AN731" s="193">
        <f t="shared" si="184"/>
        <v>0</v>
      </c>
      <c r="AO731" s="270" t="str">
        <f t="shared" si="185"/>
        <v>-</v>
      </c>
      <c r="AP731" s="266"/>
      <c r="AQ731" s="26" t="str">
        <f t="shared" si="192"/>
        <v>SMITH CREEKPink</v>
      </c>
      <c r="AR731" s="26">
        <f t="shared" si="186"/>
        <v>0</v>
      </c>
      <c r="AS731" s="33">
        <f t="shared" si="187"/>
        <v>0</v>
      </c>
      <c r="AX731" s="47" t="str">
        <f t="shared" si="188"/>
        <v>SMITH CREEKPink</v>
      </c>
      <c r="AY731" s="49">
        <f t="shared" si="189"/>
        <v>0</v>
      </c>
      <c r="AZ731" s="49">
        <f t="shared" si="190"/>
        <v>0</v>
      </c>
      <c r="BA731" s="31">
        <v>0</v>
      </c>
      <c r="BB731" s="188">
        <f t="shared" si="193"/>
        <v>0</v>
      </c>
      <c r="BC731" s="188" t="str">
        <f t="shared" si="197"/>
        <v xml:space="preserve"> </v>
      </c>
      <c r="BD731" s="188" t="str">
        <f t="shared" si="198"/>
        <v xml:space="preserve"> </v>
      </c>
      <c r="BE731" s="188" t="str">
        <f t="shared" si="199"/>
        <v xml:space="preserve"> </v>
      </c>
      <c r="BF731" s="50" t="str">
        <f t="shared" si="191"/>
        <v>SMITH CREEK_Pink</v>
      </c>
      <c r="BG731" s="50" t="str">
        <f>IFERROR(VLOOKUP(BF731,'[1]WCVI Esc'!$C$5:$W$514,18,FALSE),"-")</f>
        <v>-</v>
      </c>
      <c r="BH731" s="50" t="str">
        <f t="shared" si="194"/>
        <v>-</v>
      </c>
      <c r="BI731" s="50" t="str">
        <f>IFERROR(VLOOKUP(BF731,'[1]WCVI Esc'!$C$5:$W$514,19,FALSE),"-")</f>
        <v>-</v>
      </c>
      <c r="BJ731" s="50" t="str">
        <f t="shared" si="195"/>
        <v>-</v>
      </c>
    </row>
    <row r="732" spans="1:62" hidden="1" x14ac:dyDescent="0.2">
      <c r="A732" s="28">
        <v>4</v>
      </c>
      <c r="B732" s="28">
        <v>4</v>
      </c>
      <c r="C732" s="11">
        <v>23</v>
      </c>
      <c r="D732" s="13" t="s">
        <v>305</v>
      </c>
      <c r="E732" s="10" t="s">
        <v>186</v>
      </c>
      <c r="F732" s="10" t="s">
        <v>209</v>
      </c>
      <c r="G732" s="10"/>
      <c r="H732" s="152"/>
      <c r="I732" s="164"/>
      <c r="J732" s="62"/>
      <c r="K732" s="62"/>
      <c r="L732" s="177"/>
      <c r="M732" s="171"/>
      <c r="N732" s="62"/>
      <c r="O732" s="62"/>
      <c r="P732" s="62"/>
      <c r="Q732" s="64"/>
      <c r="R732" s="169"/>
      <c r="S732" s="62"/>
      <c r="T732" s="62"/>
      <c r="U732" s="62"/>
      <c r="V732" s="177"/>
      <c r="W732" s="171"/>
      <c r="X732" s="62"/>
      <c r="Y732" s="45"/>
      <c r="Z732" s="45"/>
      <c r="AA732" s="100">
        <f>Y732/AP732</f>
        <v>0</v>
      </c>
      <c r="AB732" s="100">
        <f>AS732/AP732</f>
        <v>0</v>
      </c>
      <c r="AC732" s="24"/>
      <c r="AD732" s="24"/>
      <c r="AE732" s="24"/>
      <c r="AF732" s="24"/>
      <c r="AG732" s="18">
        <v>23</v>
      </c>
      <c r="AH732" s="69" t="s">
        <v>305</v>
      </c>
      <c r="AI732" s="243" t="s">
        <v>186</v>
      </c>
      <c r="AJ732" s="243" t="s">
        <v>419</v>
      </c>
      <c r="AK732" s="246"/>
      <c r="AL732" s="43" t="str">
        <f t="shared" si="196"/>
        <v>-</v>
      </c>
      <c r="AM732" s="43">
        <f t="shared" si="184"/>
        <v>0</v>
      </c>
      <c r="AN732" s="193">
        <f t="shared" si="184"/>
        <v>0</v>
      </c>
      <c r="AO732" s="270">
        <f t="shared" si="185"/>
        <v>1230</v>
      </c>
      <c r="AP732" s="265">
        <f>BJ732</f>
        <v>1640</v>
      </c>
      <c r="AQ732" s="26" t="str">
        <f t="shared" si="192"/>
        <v>SMITH CREEKChum</v>
      </c>
      <c r="AR732" s="26">
        <f t="shared" si="186"/>
        <v>0</v>
      </c>
      <c r="AS732" s="33">
        <f t="shared" si="187"/>
        <v>0</v>
      </c>
      <c r="AX732" s="47" t="str">
        <f t="shared" si="188"/>
        <v>SMITH CREEKChum</v>
      </c>
      <c r="AY732" s="49">
        <f t="shared" si="189"/>
        <v>0</v>
      </c>
      <c r="AZ732" s="49">
        <f t="shared" si="190"/>
        <v>0</v>
      </c>
      <c r="BA732" s="31">
        <v>2013</v>
      </c>
      <c r="BB732" s="188">
        <f t="shared" si="193"/>
        <v>0</v>
      </c>
      <c r="BC732" s="188" t="str">
        <f t="shared" si="197"/>
        <v xml:space="preserve"> </v>
      </c>
      <c r="BD732" s="188" t="str">
        <f t="shared" si="198"/>
        <v xml:space="preserve"> </v>
      </c>
      <c r="BE732" s="188" t="str">
        <f t="shared" si="199"/>
        <v xml:space="preserve"> </v>
      </c>
      <c r="BF732" s="50" t="str">
        <f t="shared" si="191"/>
        <v>SMITH CREEK_Chum</v>
      </c>
      <c r="BG732" s="50">
        <f>IFERROR(VLOOKUP(BF732,'[1]WCVI Esc'!$C$5:$W$514,18,FALSE),"-")</f>
        <v>1234.75</v>
      </c>
      <c r="BH732" s="50">
        <f t="shared" si="194"/>
        <v>1230</v>
      </c>
      <c r="BI732" s="50">
        <f>IFERROR(VLOOKUP(BF732,'[1]WCVI Esc'!$C$5:$W$514,19,FALSE),"-")</f>
        <v>1641.6</v>
      </c>
      <c r="BJ732" s="50">
        <f t="shared" si="195"/>
        <v>1640</v>
      </c>
    </row>
    <row r="733" spans="1:62" hidden="1" x14ac:dyDescent="0.2">
      <c r="A733" s="28">
        <v>4</v>
      </c>
      <c r="B733" s="28">
        <v>5</v>
      </c>
      <c r="C733" s="11">
        <v>23</v>
      </c>
      <c r="D733" s="13" t="s">
        <v>305</v>
      </c>
      <c r="E733" s="10" t="s">
        <v>186</v>
      </c>
      <c r="F733" s="10" t="s">
        <v>210</v>
      </c>
      <c r="G733" s="10"/>
      <c r="H733" s="152"/>
      <c r="I733" s="164"/>
      <c r="J733" s="62"/>
      <c r="K733" s="62"/>
      <c r="L733" s="177"/>
      <c r="M733" s="171"/>
      <c r="N733" s="62"/>
      <c r="O733" s="62"/>
      <c r="P733" s="62"/>
      <c r="Q733" s="64"/>
      <c r="R733" s="169"/>
      <c r="S733" s="62"/>
      <c r="T733" s="62"/>
      <c r="U733" s="62"/>
      <c r="V733" s="177"/>
      <c r="W733" s="171"/>
      <c r="X733" s="62"/>
      <c r="Y733" s="45"/>
      <c r="Z733" s="45"/>
      <c r="AA733" s="100"/>
      <c r="AB733" s="100"/>
      <c r="AC733" s="24"/>
      <c r="AD733" s="24"/>
      <c r="AE733" s="24"/>
      <c r="AF733" s="24"/>
      <c r="AG733" s="18">
        <v>23</v>
      </c>
      <c r="AH733" s="69" t="s">
        <v>305</v>
      </c>
      <c r="AI733" s="243" t="s">
        <v>186</v>
      </c>
      <c r="AJ733" s="243" t="s">
        <v>419</v>
      </c>
      <c r="AK733" s="246"/>
      <c r="AL733" s="43" t="str">
        <f t="shared" si="196"/>
        <v>-</v>
      </c>
      <c r="AM733" s="43">
        <f t="shared" si="184"/>
        <v>0</v>
      </c>
      <c r="AN733" s="193">
        <f t="shared" si="184"/>
        <v>0</v>
      </c>
      <c r="AO733" s="270" t="str">
        <f t="shared" si="185"/>
        <v>-</v>
      </c>
      <c r="AP733" s="266"/>
      <c r="AQ733" s="26" t="str">
        <f t="shared" si="192"/>
        <v>SMITH CREEKChinook</v>
      </c>
      <c r="AR733" s="26">
        <f t="shared" si="186"/>
        <v>0</v>
      </c>
      <c r="AS733" s="33">
        <f t="shared" si="187"/>
        <v>0</v>
      </c>
      <c r="AX733" s="47" t="str">
        <f t="shared" si="188"/>
        <v>SMITH CREEKChinook</v>
      </c>
      <c r="AY733" s="49">
        <f t="shared" si="189"/>
        <v>0</v>
      </c>
      <c r="AZ733" s="49">
        <f t="shared" si="190"/>
        <v>0</v>
      </c>
      <c r="BA733" s="31">
        <v>0</v>
      </c>
      <c r="BB733" s="188">
        <f t="shared" si="193"/>
        <v>0</v>
      </c>
      <c r="BC733" s="188" t="str">
        <f t="shared" si="197"/>
        <v xml:space="preserve"> </v>
      </c>
      <c r="BD733" s="188" t="str">
        <f t="shared" si="198"/>
        <v xml:space="preserve"> </v>
      </c>
      <c r="BE733" s="188" t="str">
        <f t="shared" si="199"/>
        <v xml:space="preserve"> </v>
      </c>
      <c r="BF733" s="50" t="str">
        <f t="shared" si="191"/>
        <v>SMITH CREEK_Chinook</v>
      </c>
      <c r="BG733" s="50" t="str">
        <f>IFERROR(VLOOKUP(BF733,'[1]WCVI Esc'!$C$5:$W$514,18,FALSE),"-")</f>
        <v>-</v>
      </c>
      <c r="BH733" s="50" t="str">
        <f t="shared" si="194"/>
        <v>-</v>
      </c>
      <c r="BI733" s="50" t="str">
        <f>IFERROR(VLOOKUP(BF733,'[1]WCVI Esc'!$C$5:$W$514,19,FALSE),"-")</f>
        <v>-</v>
      </c>
      <c r="BJ733" s="50" t="str">
        <f t="shared" si="195"/>
        <v>-</v>
      </c>
    </row>
    <row r="734" spans="1:62" hidden="1" x14ac:dyDescent="0.2">
      <c r="A734" s="28">
        <v>4</v>
      </c>
      <c r="B734" s="28">
        <v>6</v>
      </c>
      <c r="C734" s="11">
        <v>23</v>
      </c>
      <c r="D734" s="13" t="s">
        <v>305</v>
      </c>
      <c r="E734" s="10" t="s">
        <v>186</v>
      </c>
      <c r="F734" s="10" t="s">
        <v>211</v>
      </c>
      <c r="G734" s="10"/>
      <c r="H734" s="152"/>
      <c r="I734" s="164"/>
      <c r="J734" s="62"/>
      <c r="K734" s="62"/>
      <c r="L734" s="177"/>
      <c r="M734" s="171"/>
      <c r="N734" s="62"/>
      <c r="O734" s="62"/>
      <c r="P734" s="62"/>
      <c r="Q734" s="64"/>
      <c r="R734" s="169"/>
      <c r="S734" s="62"/>
      <c r="T734" s="62"/>
      <c r="U734" s="62"/>
      <c r="V734" s="177"/>
      <c r="W734" s="171"/>
      <c r="X734" s="62"/>
      <c r="Y734" s="45"/>
      <c r="Z734" s="45"/>
      <c r="AA734" s="100"/>
      <c r="AB734" s="100"/>
      <c r="AC734" s="24"/>
      <c r="AD734" s="24"/>
      <c r="AE734" s="24"/>
      <c r="AF734" s="24"/>
      <c r="AG734" s="18">
        <v>23</v>
      </c>
      <c r="AH734" s="69" t="s">
        <v>305</v>
      </c>
      <c r="AI734" s="243" t="s">
        <v>186</v>
      </c>
      <c r="AJ734" s="243" t="s">
        <v>419</v>
      </c>
      <c r="AK734" s="246"/>
      <c r="AL734" s="43" t="str">
        <f t="shared" si="196"/>
        <v>-</v>
      </c>
      <c r="AM734" s="43">
        <f t="shared" si="184"/>
        <v>0</v>
      </c>
      <c r="AN734" s="193">
        <f t="shared" si="184"/>
        <v>0</v>
      </c>
      <c r="AO734" s="270" t="str">
        <f t="shared" si="185"/>
        <v>-</v>
      </c>
      <c r="AP734" s="266"/>
      <c r="AQ734" s="26" t="str">
        <f t="shared" si="192"/>
        <v>SMITH CREEKSteelhead</v>
      </c>
      <c r="AR734" s="26">
        <f t="shared" si="186"/>
        <v>0</v>
      </c>
      <c r="AS734" s="33">
        <f t="shared" si="187"/>
        <v>0</v>
      </c>
      <c r="AX734" s="47" t="str">
        <f t="shared" si="188"/>
        <v>SMITH CREEKSteelhead</v>
      </c>
      <c r="AY734" s="49">
        <f t="shared" si="189"/>
        <v>0</v>
      </c>
      <c r="AZ734" s="49">
        <f t="shared" si="190"/>
        <v>0</v>
      </c>
      <c r="BA734" s="31">
        <v>0</v>
      </c>
      <c r="BB734" s="188">
        <f t="shared" si="193"/>
        <v>0</v>
      </c>
      <c r="BC734" s="188" t="str">
        <f t="shared" si="197"/>
        <v xml:space="preserve"> </v>
      </c>
      <c r="BD734" s="188" t="str">
        <f t="shared" si="198"/>
        <v xml:space="preserve"> </v>
      </c>
      <c r="BE734" s="188" t="str">
        <f t="shared" si="199"/>
        <v xml:space="preserve"> </v>
      </c>
      <c r="BF734" s="50" t="str">
        <f t="shared" si="191"/>
        <v>SMITH CREEK_Steelhead</v>
      </c>
      <c r="BG734" s="50" t="str">
        <f>IFERROR(VLOOKUP(BF734,'[1]WCVI Esc'!$C$5:$W$514,18,FALSE),"-")</f>
        <v>-</v>
      </c>
      <c r="BH734" s="50" t="str">
        <f t="shared" si="194"/>
        <v>-</v>
      </c>
      <c r="BI734" s="50" t="str">
        <f>IFERROR(VLOOKUP(BF734,'[1]WCVI Esc'!$C$5:$W$514,19,FALSE),"-")</f>
        <v>-</v>
      </c>
      <c r="BJ734" s="50" t="str">
        <f t="shared" si="195"/>
        <v>-</v>
      </c>
    </row>
    <row r="735" spans="1:62" hidden="1" x14ac:dyDescent="0.2">
      <c r="A735" s="28">
        <v>4</v>
      </c>
      <c r="B735" s="28">
        <v>1</v>
      </c>
      <c r="C735" s="11">
        <v>23</v>
      </c>
      <c r="D735" s="13" t="s">
        <v>294</v>
      </c>
      <c r="E735" s="10" t="s">
        <v>104</v>
      </c>
      <c r="F735" s="10" t="s">
        <v>207</v>
      </c>
      <c r="G735" s="10"/>
      <c r="H735" s="152"/>
      <c r="I735" s="164"/>
      <c r="J735" s="62"/>
      <c r="K735" s="62"/>
      <c r="L735" s="177"/>
      <c r="M735" s="171"/>
      <c r="N735" s="62"/>
      <c r="O735" s="62"/>
      <c r="P735" s="63"/>
      <c r="Q735" s="64"/>
      <c r="R735" s="164"/>
      <c r="S735" s="62"/>
      <c r="T735" s="62"/>
      <c r="U735" s="63"/>
      <c r="V735" s="177"/>
      <c r="W735" s="171"/>
      <c r="X735" s="62"/>
      <c r="Y735" s="45"/>
      <c r="Z735" s="45"/>
      <c r="AA735" s="100"/>
      <c r="AB735" s="100"/>
      <c r="AC735" s="24"/>
      <c r="AD735" s="24"/>
      <c r="AE735" s="24"/>
      <c r="AF735" s="24"/>
      <c r="AG735" s="18">
        <v>23</v>
      </c>
      <c r="AH735" s="69" t="s">
        <v>294</v>
      </c>
      <c r="AI735" s="243" t="s">
        <v>104</v>
      </c>
      <c r="AJ735" s="243" t="s">
        <v>419</v>
      </c>
      <c r="AK735" s="246"/>
      <c r="AL735" s="43" t="str">
        <f t="shared" si="196"/>
        <v>-</v>
      </c>
      <c r="AM735" s="43">
        <f t="shared" si="184"/>
        <v>0</v>
      </c>
      <c r="AN735" s="193">
        <f t="shared" si="184"/>
        <v>0</v>
      </c>
      <c r="AO735" s="270" t="str">
        <f t="shared" si="185"/>
        <v>-</v>
      </c>
      <c r="AP735" s="266"/>
      <c r="AQ735" s="26" t="str">
        <f t="shared" si="192"/>
        <v>SNUG BASIN CREEKSockeye</v>
      </c>
      <c r="AR735" s="26">
        <f t="shared" si="186"/>
        <v>0</v>
      </c>
      <c r="AS735" s="33">
        <f t="shared" si="187"/>
        <v>0</v>
      </c>
      <c r="AX735" s="47" t="str">
        <f t="shared" si="188"/>
        <v>SNUG BASIN CREEKSockeye</v>
      </c>
      <c r="AY735" s="49">
        <f t="shared" si="189"/>
        <v>0</v>
      </c>
      <c r="AZ735" s="49">
        <f t="shared" si="190"/>
        <v>0</v>
      </c>
      <c r="BA735" s="31">
        <v>0</v>
      </c>
      <c r="BB735" s="188">
        <f t="shared" si="193"/>
        <v>0</v>
      </c>
      <c r="BC735" s="188" t="str">
        <f t="shared" si="197"/>
        <v xml:space="preserve"> </v>
      </c>
      <c r="BD735" s="188" t="str">
        <f t="shared" si="198"/>
        <v xml:space="preserve"> </v>
      </c>
      <c r="BE735" s="188" t="str">
        <f t="shared" si="199"/>
        <v xml:space="preserve"> </v>
      </c>
      <c r="BF735" s="50" t="str">
        <f t="shared" si="191"/>
        <v>SNUG BASIN CREEK_Sockeye</v>
      </c>
      <c r="BG735" s="50" t="str">
        <f>IFERROR(VLOOKUP(BF735,'[1]WCVI Esc'!$C$5:$W$514,18,FALSE),"-")</f>
        <v>-</v>
      </c>
      <c r="BH735" s="50" t="str">
        <f t="shared" si="194"/>
        <v>-</v>
      </c>
      <c r="BI735" s="50" t="str">
        <f>IFERROR(VLOOKUP(BF735,'[1]WCVI Esc'!$C$5:$W$514,19,FALSE),"-")</f>
        <v>-</v>
      </c>
      <c r="BJ735" s="50" t="str">
        <f t="shared" si="195"/>
        <v>-</v>
      </c>
    </row>
    <row r="736" spans="1:62" hidden="1" x14ac:dyDescent="0.2">
      <c r="A736" s="28">
        <v>4</v>
      </c>
      <c r="B736" s="28">
        <v>2</v>
      </c>
      <c r="C736" s="11">
        <v>23</v>
      </c>
      <c r="D736" s="13" t="s">
        <v>294</v>
      </c>
      <c r="E736" s="10" t="s">
        <v>104</v>
      </c>
      <c r="F736" s="10" t="s">
        <v>219</v>
      </c>
      <c r="G736" s="10"/>
      <c r="H736" s="152"/>
      <c r="I736" s="164"/>
      <c r="J736" s="62"/>
      <c r="K736" s="62"/>
      <c r="L736" s="177"/>
      <c r="M736" s="171"/>
      <c r="N736" s="62"/>
      <c r="O736" s="62"/>
      <c r="P736" s="63"/>
      <c r="Q736" s="64"/>
      <c r="R736" s="164"/>
      <c r="S736" s="62"/>
      <c r="T736" s="62"/>
      <c r="U736" s="63"/>
      <c r="V736" s="177"/>
      <c r="W736" s="171"/>
      <c r="X736" s="62"/>
      <c r="Y736" s="45"/>
      <c r="Z736" s="45"/>
      <c r="AA736" s="100"/>
      <c r="AB736" s="100"/>
      <c r="AC736" s="24"/>
      <c r="AD736" s="24"/>
      <c r="AE736" s="24"/>
      <c r="AF736" s="24"/>
      <c r="AG736" s="18">
        <v>23</v>
      </c>
      <c r="AH736" s="69" t="s">
        <v>294</v>
      </c>
      <c r="AI736" s="243" t="s">
        <v>104</v>
      </c>
      <c r="AJ736" s="243" t="s">
        <v>419</v>
      </c>
      <c r="AK736" s="246"/>
      <c r="AL736" s="43" t="str">
        <f t="shared" si="196"/>
        <v>-</v>
      </c>
      <c r="AM736" s="43">
        <f t="shared" si="184"/>
        <v>0</v>
      </c>
      <c r="AN736" s="193">
        <f t="shared" si="184"/>
        <v>0</v>
      </c>
      <c r="AO736" s="270" t="str">
        <f t="shared" si="185"/>
        <v>-</v>
      </c>
      <c r="AP736" s="266"/>
      <c r="AQ736" s="26" t="str">
        <f t="shared" si="192"/>
        <v>SNUG BASIN CREEKCoho</v>
      </c>
      <c r="AR736" s="26">
        <f t="shared" si="186"/>
        <v>0</v>
      </c>
      <c r="AS736" s="33">
        <f t="shared" si="187"/>
        <v>0</v>
      </c>
      <c r="AX736" s="47" t="str">
        <f t="shared" si="188"/>
        <v>SNUG BASIN CREEKCoho</v>
      </c>
      <c r="AY736" s="49">
        <f t="shared" si="189"/>
        <v>0</v>
      </c>
      <c r="AZ736" s="49">
        <f t="shared" si="190"/>
        <v>0</v>
      </c>
      <c r="BA736" s="31">
        <v>2004</v>
      </c>
      <c r="BB736" s="188">
        <f t="shared" si="193"/>
        <v>0</v>
      </c>
      <c r="BC736" s="188" t="str">
        <f t="shared" si="197"/>
        <v xml:space="preserve"> </v>
      </c>
      <c r="BD736" s="188" t="str">
        <f t="shared" si="198"/>
        <v xml:space="preserve"> </v>
      </c>
      <c r="BE736" s="188" t="str">
        <f t="shared" si="199"/>
        <v xml:space="preserve"> </v>
      </c>
      <c r="BF736" s="50" t="str">
        <f t="shared" si="191"/>
        <v>SNUG BASIN CREEK_Coho</v>
      </c>
      <c r="BG736" s="50" t="str">
        <f>IFERROR(VLOOKUP(BF736,'[1]WCVI Esc'!$C$5:$W$514,18,FALSE),"-")</f>
        <v>-</v>
      </c>
      <c r="BH736" s="50" t="str">
        <f t="shared" si="194"/>
        <v>-</v>
      </c>
      <c r="BI736" s="50" t="str">
        <f>IFERROR(VLOOKUP(BF736,'[1]WCVI Esc'!$C$5:$W$514,19,FALSE),"-")</f>
        <v>-</v>
      </c>
      <c r="BJ736" s="50" t="str">
        <f t="shared" si="195"/>
        <v>-</v>
      </c>
    </row>
    <row r="737" spans="1:67" hidden="1" x14ac:dyDescent="0.2">
      <c r="A737" s="28">
        <v>4</v>
      </c>
      <c r="B737" s="28">
        <v>3</v>
      </c>
      <c r="C737" s="11">
        <v>23</v>
      </c>
      <c r="D737" s="13" t="s">
        <v>294</v>
      </c>
      <c r="E737" s="10" t="s">
        <v>104</v>
      </c>
      <c r="F737" s="10" t="s">
        <v>208</v>
      </c>
      <c r="G737" s="10"/>
      <c r="H737" s="152"/>
      <c r="I737" s="164"/>
      <c r="J737" s="62"/>
      <c r="K737" s="62"/>
      <c r="L737" s="177"/>
      <c r="M737" s="171"/>
      <c r="N737" s="62"/>
      <c r="O737" s="62"/>
      <c r="P737" s="63"/>
      <c r="Q737" s="64"/>
      <c r="R737" s="164"/>
      <c r="S737" s="62"/>
      <c r="T737" s="62"/>
      <c r="U737" s="63"/>
      <c r="V737" s="177"/>
      <c r="W737" s="171"/>
      <c r="X737" s="62"/>
      <c r="Y737" s="45"/>
      <c r="Z737" s="45"/>
      <c r="AA737" s="100"/>
      <c r="AB737" s="100"/>
      <c r="AC737" s="24"/>
      <c r="AD737" s="24"/>
      <c r="AE737" s="24"/>
      <c r="AF737" s="24"/>
      <c r="AG737" s="18">
        <v>23</v>
      </c>
      <c r="AH737" s="69" t="s">
        <v>294</v>
      </c>
      <c r="AI737" s="243" t="s">
        <v>104</v>
      </c>
      <c r="AJ737" s="243" t="s">
        <v>419</v>
      </c>
      <c r="AK737" s="246"/>
      <c r="AL737" s="43" t="str">
        <f t="shared" si="196"/>
        <v>-</v>
      </c>
      <c r="AM737" s="43">
        <f t="shared" si="184"/>
        <v>0</v>
      </c>
      <c r="AN737" s="193">
        <f t="shared" si="184"/>
        <v>0</v>
      </c>
      <c r="AO737" s="270" t="str">
        <f t="shared" si="185"/>
        <v>-</v>
      </c>
      <c r="AP737" s="266"/>
      <c r="AQ737" s="26" t="str">
        <f t="shared" si="192"/>
        <v>SNUG BASIN CREEKPink</v>
      </c>
      <c r="AR737" s="26">
        <f t="shared" si="186"/>
        <v>0</v>
      </c>
      <c r="AS737" s="33">
        <f t="shared" si="187"/>
        <v>0</v>
      </c>
      <c r="AX737" s="47" t="str">
        <f t="shared" si="188"/>
        <v>SNUG BASIN CREEKPink</v>
      </c>
      <c r="AY737" s="49">
        <f t="shared" si="189"/>
        <v>0</v>
      </c>
      <c r="AZ737" s="49">
        <f t="shared" si="190"/>
        <v>0</v>
      </c>
      <c r="BA737" s="31">
        <v>0</v>
      </c>
      <c r="BB737" s="188">
        <f t="shared" si="193"/>
        <v>0</v>
      </c>
      <c r="BC737" s="188" t="str">
        <f t="shared" si="197"/>
        <v xml:space="preserve"> </v>
      </c>
      <c r="BD737" s="188" t="str">
        <f t="shared" si="198"/>
        <v xml:space="preserve"> </v>
      </c>
      <c r="BE737" s="188" t="str">
        <f t="shared" si="199"/>
        <v xml:space="preserve"> </v>
      </c>
      <c r="BF737" s="50" t="str">
        <f t="shared" si="191"/>
        <v>SNUG BASIN CREEK_Pink</v>
      </c>
      <c r="BG737" s="50" t="str">
        <f>IFERROR(VLOOKUP(BF737,'[1]WCVI Esc'!$C$5:$W$514,18,FALSE),"-")</f>
        <v>-</v>
      </c>
      <c r="BH737" s="50" t="str">
        <f t="shared" si="194"/>
        <v>-</v>
      </c>
      <c r="BI737" s="50" t="str">
        <f>IFERROR(VLOOKUP(BF737,'[1]WCVI Esc'!$C$5:$W$514,19,FALSE),"-")</f>
        <v>-</v>
      </c>
      <c r="BJ737" s="50" t="str">
        <f t="shared" si="195"/>
        <v>-</v>
      </c>
    </row>
    <row r="738" spans="1:67" hidden="1" x14ac:dyDescent="0.2">
      <c r="A738" s="28">
        <v>4</v>
      </c>
      <c r="B738" s="28">
        <v>4</v>
      </c>
      <c r="C738" s="11">
        <v>23</v>
      </c>
      <c r="D738" s="13" t="s">
        <v>294</v>
      </c>
      <c r="E738" s="10" t="s">
        <v>104</v>
      </c>
      <c r="F738" s="10" t="s">
        <v>209</v>
      </c>
      <c r="G738" s="10"/>
      <c r="H738" s="152"/>
      <c r="I738" s="164"/>
      <c r="J738" s="62"/>
      <c r="K738" s="62"/>
      <c r="L738" s="177"/>
      <c r="M738" s="171"/>
      <c r="N738" s="62"/>
      <c r="O738" s="62"/>
      <c r="P738" s="63"/>
      <c r="Q738" s="64"/>
      <c r="R738" s="164"/>
      <c r="S738" s="62"/>
      <c r="T738" s="62"/>
      <c r="U738" s="63"/>
      <c r="V738" s="177"/>
      <c r="W738" s="171"/>
      <c r="X738" s="62"/>
      <c r="Y738" s="45"/>
      <c r="Z738" s="45"/>
      <c r="AA738" s="100"/>
      <c r="AB738" s="100"/>
      <c r="AC738" s="24"/>
      <c r="AD738" s="24"/>
      <c r="AE738" s="24"/>
      <c r="AF738" s="24"/>
      <c r="AG738" s="18">
        <v>23</v>
      </c>
      <c r="AH738" s="69" t="s">
        <v>294</v>
      </c>
      <c r="AI738" s="243" t="s">
        <v>104</v>
      </c>
      <c r="AJ738" s="243" t="s">
        <v>419</v>
      </c>
      <c r="AK738" s="246"/>
      <c r="AL738" s="43" t="str">
        <f t="shared" si="196"/>
        <v>-</v>
      </c>
      <c r="AM738" s="43">
        <f t="shared" si="184"/>
        <v>0</v>
      </c>
      <c r="AN738" s="193">
        <f t="shared" si="184"/>
        <v>0</v>
      </c>
      <c r="AO738" s="270" t="str">
        <f t="shared" si="185"/>
        <v>-</v>
      </c>
      <c r="AP738" s="266"/>
      <c r="AQ738" s="26" t="str">
        <f t="shared" si="192"/>
        <v>SNUG BASIN CREEKChum</v>
      </c>
      <c r="AR738" s="26">
        <f t="shared" si="186"/>
        <v>0</v>
      </c>
      <c r="AS738" s="33">
        <f t="shared" si="187"/>
        <v>0</v>
      </c>
      <c r="AX738" s="47" t="str">
        <f t="shared" si="188"/>
        <v>SNUG BASIN CREEKChum</v>
      </c>
      <c r="AY738" s="49">
        <f t="shared" si="189"/>
        <v>0</v>
      </c>
      <c r="AZ738" s="49">
        <f t="shared" si="190"/>
        <v>0</v>
      </c>
      <c r="BA738" s="31">
        <v>2004</v>
      </c>
      <c r="BB738" s="188">
        <f t="shared" si="193"/>
        <v>0</v>
      </c>
      <c r="BC738" s="188" t="str">
        <f t="shared" si="197"/>
        <v xml:space="preserve"> </v>
      </c>
      <c r="BD738" s="188" t="str">
        <f t="shared" si="198"/>
        <v xml:space="preserve"> </v>
      </c>
      <c r="BE738" s="188" t="str">
        <f t="shared" si="199"/>
        <v xml:space="preserve"> </v>
      </c>
      <c r="BF738" s="50" t="str">
        <f t="shared" si="191"/>
        <v>SNUG BASIN CREEK_Chum</v>
      </c>
      <c r="BG738" s="50" t="str">
        <f>IFERROR(VLOOKUP(BF738,'[1]WCVI Esc'!$C$5:$W$514,18,FALSE),"-")</f>
        <v>-</v>
      </c>
      <c r="BH738" s="50" t="str">
        <f t="shared" si="194"/>
        <v>-</v>
      </c>
      <c r="BI738" s="50" t="str">
        <f>IFERROR(VLOOKUP(BF738,'[1]WCVI Esc'!$C$5:$W$514,19,FALSE),"-")</f>
        <v>-</v>
      </c>
      <c r="BJ738" s="50" t="str">
        <f t="shared" si="195"/>
        <v>-</v>
      </c>
    </row>
    <row r="739" spans="1:67" hidden="1" x14ac:dyDescent="0.2">
      <c r="A739" s="28">
        <v>4</v>
      </c>
      <c r="B739" s="28">
        <v>5</v>
      </c>
      <c r="C739" s="11">
        <v>23</v>
      </c>
      <c r="D739" s="13" t="s">
        <v>294</v>
      </c>
      <c r="E739" s="10" t="s">
        <v>104</v>
      </c>
      <c r="F739" s="10" t="s">
        <v>210</v>
      </c>
      <c r="G739" s="10"/>
      <c r="H739" s="152"/>
      <c r="I739" s="164"/>
      <c r="J739" s="62"/>
      <c r="K739" s="62"/>
      <c r="L739" s="177"/>
      <c r="M739" s="171"/>
      <c r="N739" s="62"/>
      <c r="O739" s="62"/>
      <c r="P739" s="63"/>
      <c r="Q739" s="64"/>
      <c r="R739" s="164"/>
      <c r="S739" s="62"/>
      <c r="T739" s="62"/>
      <c r="U739" s="63"/>
      <c r="V739" s="177"/>
      <c r="W739" s="171"/>
      <c r="X739" s="62"/>
      <c r="Y739" s="45"/>
      <c r="Z739" s="45"/>
      <c r="AA739" s="100"/>
      <c r="AB739" s="100"/>
      <c r="AC739" s="24"/>
      <c r="AD739" s="24"/>
      <c r="AE739" s="24"/>
      <c r="AF739" s="24"/>
      <c r="AG739" s="18">
        <v>23</v>
      </c>
      <c r="AH739" s="69" t="s">
        <v>294</v>
      </c>
      <c r="AI739" s="243" t="s">
        <v>104</v>
      </c>
      <c r="AJ739" s="243" t="s">
        <v>419</v>
      </c>
      <c r="AK739" s="246"/>
      <c r="AL739" s="43" t="str">
        <f t="shared" si="196"/>
        <v>-</v>
      </c>
      <c r="AM739" s="43">
        <f t="shared" si="184"/>
        <v>0</v>
      </c>
      <c r="AN739" s="193">
        <f t="shared" si="184"/>
        <v>0</v>
      </c>
      <c r="AO739" s="270" t="str">
        <f t="shared" si="185"/>
        <v>-</v>
      </c>
      <c r="AP739" s="266"/>
      <c r="AQ739" s="26" t="str">
        <f t="shared" si="192"/>
        <v>SNUG BASIN CREEKChinook</v>
      </c>
      <c r="AR739" s="26">
        <f t="shared" si="186"/>
        <v>0</v>
      </c>
      <c r="AS739" s="33">
        <f t="shared" si="187"/>
        <v>0</v>
      </c>
      <c r="AX739" s="47" t="str">
        <f t="shared" si="188"/>
        <v>SNUG BASIN CREEKChinook</v>
      </c>
      <c r="AY739" s="49">
        <f t="shared" si="189"/>
        <v>0</v>
      </c>
      <c r="AZ739" s="49">
        <f t="shared" si="190"/>
        <v>0</v>
      </c>
      <c r="BA739" s="31">
        <v>0</v>
      </c>
      <c r="BB739" s="188">
        <f t="shared" si="193"/>
        <v>0</v>
      </c>
      <c r="BC739" s="188" t="str">
        <f t="shared" si="197"/>
        <v xml:space="preserve"> </v>
      </c>
      <c r="BD739" s="188" t="str">
        <f t="shared" si="198"/>
        <v xml:space="preserve"> </v>
      </c>
      <c r="BE739" s="188" t="str">
        <f t="shared" si="199"/>
        <v xml:space="preserve"> </v>
      </c>
      <c r="BF739" s="50" t="str">
        <f t="shared" si="191"/>
        <v>SNUG BASIN CREEK_Chinook</v>
      </c>
      <c r="BG739" s="50" t="str">
        <f>IFERROR(VLOOKUP(BF739,'[1]WCVI Esc'!$C$5:$W$514,18,FALSE),"-")</f>
        <v>-</v>
      </c>
      <c r="BH739" s="50" t="str">
        <f t="shared" si="194"/>
        <v>-</v>
      </c>
      <c r="BI739" s="50" t="str">
        <f>IFERROR(VLOOKUP(BF739,'[1]WCVI Esc'!$C$5:$W$514,19,FALSE),"-")</f>
        <v>-</v>
      </c>
      <c r="BJ739" s="50" t="str">
        <f t="shared" si="195"/>
        <v>-</v>
      </c>
    </row>
    <row r="740" spans="1:67" hidden="1" x14ac:dyDescent="0.2">
      <c r="A740" s="28">
        <v>4</v>
      </c>
      <c r="B740" s="28">
        <v>6</v>
      </c>
      <c r="C740" s="11">
        <v>23</v>
      </c>
      <c r="D740" s="13" t="s">
        <v>294</v>
      </c>
      <c r="E740" s="10" t="s">
        <v>104</v>
      </c>
      <c r="F740" s="10" t="s">
        <v>211</v>
      </c>
      <c r="G740" s="10"/>
      <c r="H740" s="152"/>
      <c r="I740" s="164"/>
      <c r="J740" s="62"/>
      <c r="K740" s="62"/>
      <c r="L740" s="177"/>
      <c r="M740" s="171"/>
      <c r="N740" s="62"/>
      <c r="O740" s="62"/>
      <c r="P740" s="63"/>
      <c r="Q740" s="64"/>
      <c r="R740" s="164"/>
      <c r="S740" s="62"/>
      <c r="T740" s="62"/>
      <c r="U740" s="63"/>
      <c r="V740" s="177"/>
      <c r="W740" s="171"/>
      <c r="X740" s="62"/>
      <c r="Y740" s="45"/>
      <c r="Z740" s="45"/>
      <c r="AA740" s="100"/>
      <c r="AB740" s="100"/>
      <c r="AC740" s="24"/>
      <c r="AD740" s="24"/>
      <c r="AE740" s="24"/>
      <c r="AF740" s="24"/>
      <c r="AG740" s="18">
        <v>23</v>
      </c>
      <c r="AH740" s="69" t="s">
        <v>294</v>
      </c>
      <c r="AI740" s="243" t="s">
        <v>104</v>
      </c>
      <c r="AJ740" s="243" t="s">
        <v>419</v>
      </c>
      <c r="AK740" s="246"/>
      <c r="AL740" s="43" t="str">
        <f t="shared" si="196"/>
        <v>-</v>
      </c>
      <c r="AM740" s="43">
        <f t="shared" si="184"/>
        <v>0</v>
      </c>
      <c r="AN740" s="193">
        <f t="shared" si="184"/>
        <v>0</v>
      </c>
      <c r="AO740" s="270" t="str">
        <f t="shared" si="185"/>
        <v>-</v>
      </c>
      <c r="AP740" s="266"/>
      <c r="AQ740" s="26" t="str">
        <f t="shared" si="192"/>
        <v>SNUG BASIN CREEKSteelhead</v>
      </c>
      <c r="AR740" s="26">
        <f t="shared" si="186"/>
        <v>0</v>
      </c>
      <c r="AS740" s="33">
        <f t="shared" si="187"/>
        <v>0</v>
      </c>
      <c r="AX740" s="47" t="str">
        <f t="shared" si="188"/>
        <v>SNUG BASIN CREEKSteelhead</v>
      </c>
      <c r="AY740" s="49">
        <f t="shared" si="189"/>
        <v>0</v>
      </c>
      <c r="AZ740" s="49">
        <f t="shared" si="190"/>
        <v>0</v>
      </c>
      <c r="BA740" s="31">
        <v>0</v>
      </c>
      <c r="BB740" s="188">
        <f t="shared" si="193"/>
        <v>0</v>
      </c>
      <c r="BC740" s="188" t="str">
        <f t="shared" si="197"/>
        <v xml:space="preserve"> </v>
      </c>
      <c r="BD740" s="188" t="str">
        <f t="shared" si="198"/>
        <v xml:space="preserve"> </v>
      </c>
      <c r="BE740" s="188" t="str">
        <f t="shared" si="199"/>
        <v xml:space="preserve"> </v>
      </c>
      <c r="BF740" s="50" t="str">
        <f t="shared" si="191"/>
        <v>SNUG BASIN CREEK_Steelhead</v>
      </c>
      <c r="BG740" s="50" t="str">
        <f>IFERROR(VLOOKUP(BF740,'[1]WCVI Esc'!$C$5:$W$514,18,FALSE),"-")</f>
        <v>-</v>
      </c>
      <c r="BH740" s="50" t="str">
        <f t="shared" si="194"/>
        <v>-</v>
      </c>
      <c r="BI740" s="50" t="str">
        <f>IFERROR(VLOOKUP(BF740,'[1]WCVI Esc'!$C$5:$W$514,19,FALSE),"-")</f>
        <v>-</v>
      </c>
      <c r="BJ740" s="50" t="str">
        <f t="shared" si="195"/>
        <v>-</v>
      </c>
    </row>
    <row r="741" spans="1:67" hidden="1" x14ac:dyDescent="0.2">
      <c r="A741" s="28">
        <v>4</v>
      </c>
      <c r="B741" s="28">
        <v>1</v>
      </c>
      <c r="C741" s="11">
        <v>23</v>
      </c>
      <c r="D741" s="13" t="s">
        <v>319</v>
      </c>
      <c r="E741" s="10" t="s">
        <v>105</v>
      </c>
      <c r="F741" s="10" t="s">
        <v>207</v>
      </c>
      <c r="G741" s="10"/>
      <c r="H741" s="152"/>
      <c r="I741" s="164"/>
      <c r="J741" s="62"/>
      <c r="K741" s="62"/>
      <c r="L741" s="177"/>
      <c r="M741" s="171"/>
      <c r="N741" s="62"/>
      <c r="O741" s="62"/>
      <c r="P741" s="62"/>
      <c r="Q741" s="64"/>
      <c r="R741" s="169"/>
      <c r="S741" s="62"/>
      <c r="T741" s="62"/>
      <c r="U741" s="62"/>
      <c r="V741" s="177"/>
      <c r="W741" s="171"/>
      <c r="X741" s="62"/>
      <c r="Y741" s="45"/>
      <c r="Z741" s="45"/>
      <c r="AA741" s="100"/>
      <c r="AB741" s="100"/>
      <c r="AC741" s="24"/>
      <c r="AD741" s="24"/>
      <c r="AE741" s="24"/>
      <c r="AF741" s="24"/>
      <c r="AG741" s="18">
        <v>23</v>
      </c>
      <c r="AH741" s="69" t="s">
        <v>319</v>
      </c>
      <c r="AI741" s="243" t="s">
        <v>105</v>
      </c>
      <c r="AJ741" s="243" t="s">
        <v>419</v>
      </c>
      <c r="AK741" s="246"/>
      <c r="AL741" s="43" t="str">
        <f t="shared" si="196"/>
        <v>-</v>
      </c>
      <c r="AM741" s="43">
        <f t="shared" si="184"/>
        <v>0</v>
      </c>
      <c r="AN741" s="193">
        <f t="shared" si="184"/>
        <v>0</v>
      </c>
      <c r="AO741" s="270" t="str">
        <f t="shared" si="185"/>
        <v>-</v>
      </c>
      <c r="AP741" s="266"/>
      <c r="AQ741" s="26" t="str">
        <f t="shared" si="192"/>
        <v>SUGSAW CREEKSockeye</v>
      </c>
      <c r="AR741" s="26">
        <f t="shared" si="186"/>
        <v>0</v>
      </c>
      <c r="AS741" s="33">
        <f t="shared" si="187"/>
        <v>0</v>
      </c>
      <c r="AX741" s="47" t="str">
        <f t="shared" si="188"/>
        <v>SUGSAW CREEKSockeye</v>
      </c>
      <c r="AY741" s="49">
        <f t="shared" si="189"/>
        <v>0</v>
      </c>
      <c r="AZ741" s="49">
        <f t="shared" si="190"/>
        <v>0</v>
      </c>
      <c r="BA741" s="31">
        <v>0</v>
      </c>
      <c r="BB741" s="188">
        <f t="shared" si="193"/>
        <v>0</v>
      </c>
      <c r="BC741" s="188" t="str">
        <f t="shared" si="197"/>
        <v xml:space="preserve"> </v>
      </c>
      <c r="BD741" s="188" t="str">
        <f t="shared" si="198"/>
        <v xml:space="preserve"> </v>
      </c>
      <c r="BE741" s="188" t="str">
        <f t="shared" si="199"/>
        <v xml:space="preserve"> </v>
      </c>
      <c r="BF741" s="50" t="str">
        <f t="shared" si="191"/>
        <v>SUGSAW CREEK_Sockeye</v>
      </c>
      <c r="BG741" s="50" t="str">
        <f>IFERROR(VLOOKUP(BF741,'[1]WCVI Esc'!$C$5:$W$514,18,FALSE),"-")</f>
        <v>-</v>
      </c>
      <c r="BH741" s="50" t="str">
        <f t="shared" si="194"/>
        <v>-</v>
      </c>
      <c r="BI741" s="50" t="str">
        <f>IFERROR(VLOOKUP(BF741,'[1]WCVI Esc'!$C$5:$W$514,19,FALSE),"-")</f>
        <v>-</v>
      </c>
      <c r="BJ741" s="50" t="str">
        <f t="shared" si="195"/>
        <v>-</v>
      </c>
    </row>
    <row r="742" spans="1:67" hidden="1" x14ac:dyDescent="0.2">
      <c r="A742" s="28">
        <v>4</v>
      </c>
      <c r="B742" s="28">
        <v>2</v>
      </c>
      <c r="C742" s="11">
        <v>23</v>
      </c>
      <c r="D742" s="13" t="s">
        <v>319</v>
      </c>
      <c r="E742" s="10" t="s">
        <v>105</v>
      </c>
      <c r="F742" s="10" t="s">
        <v>219</v>
      </c>
      <c r="G742" s="10"/>
      <c r="H742" s="152"/>
      <c r="I742" s="164"/>
      <c r="J742" s="62"/>
      <c r="K742" s="62"/>
      <c r="L742" s="177"/>
      <c r="M742" s="171"/>
      <c r="N742" s="62"/>
      <c r="O742" s="62"/>
      <c r="P742" s="62"/>
      <c r="Q742" s="64"/>
      <c r="R742" s="169"/>
      <c r="S742" s="62"/>
      <c r="T742" s="62"/>
      <c r="U742" s="62"/>
      <c r="V742" s="177"/>
      <c r="W742" s="171"/>
      <c r="X742" s="62"/>
      <c r="Y742" s="45"/>
      <c r="Z742" s="45"/>
      <c r="AA742" s="100"/>
      <c r="AB742" s="100"/>
      <c r="AC742" s="24"/>
      <c r="AD742" s="24"/>
      <c r="AE742" s="24"/>
      <c r="AF742" s="24"/>
      <c r="AG742" s="18">
        <v>23</v>
      </c>
      <c r="AH742" s="69" t="s">
        <v>319</v>
      </c>
      <c r="AI742" s="243" t="s">
        <v>105</v>
      </c>
      <c r="AJ742" s="243" t="s">
        <v>419</v>
      </c>
      <c r="AK742" s="246"/>
      <c r="AL742" s="43" t="str">
        <f t="shared" si="196"/>
        <v>-</v>
      </c>
      <c r="AM742" s="43">
        <f t="shared" si="184"/>
        <v>0</v>
      </c>
      <c r="AN742" s="193">
        <f t="shared" si="184"/>
        <v>0</v>
      </c>
      <c r="AO742" s="270" t="str">
        <f t="shared" si="185"/>
        <v>-</v>
      </c>
      <c r="AP742" s="266"/>
      <c r="AQ742" s="26" t="str">
        <f t="shared" si="192"/>
        <v>SUGSAW CREEKCoho</v>
      </c>
      <c r="AR742" s="26">
        <f t="shared" si="186"/>
        <v>0</v>
      </c>
      <c r="AS742" s="33">
        <f t="shared" si="187"/>
        <v>0</v>
      </c>
      <c r="AX742" s="47" t="str">
        <f t="shared" si="188"/>
        <v>SUGSAW CREEKCoho</v>
      </c>
      <c r="AY742" s="49">
        <f t="shared" si="189"/>
        <v>0</v>
      </c>
      <c r="AZ742" s="49">
        <f t="shared" si="190"/>
        <v>0</v>
      </c>
      <c r="BA742" s="31">
        <v>2001</v>
      </c>
      <c r="BB742" s="188">
        <f t="shared" si="193"/>
        <v>0</v>
      </c>
      <c r="BC742" s="188" t="str">
        <f t="shared" si="197"/>
        <v xml:space="preserve"> </v>
      </c>
      <c r="BD742" s="188" t="str">
        <f t="shared" si="198"/>
        <v xml:space="preserve"> </v>
      </c>
      <c r="BE742" s="188" t="str">
        <f t="shared" si="199"/>
        <v xml:space="preserve"> </v>
      </c>
      <c r="BF742" s="50" t="str">
        <f t="shared" si="191"/>
        <v>SUGSAW CREEK_Coho</v>
      </c>
      <c r="BG742" s="50" t="str">
        <f>IFERROR(VLOOKUP(BF742,'[1]WCVI Esc'!$C$5:$W$514,18,FALSE),"-")</f>
        <v>-</v>
      </c>
      <c r="BH742" s="50" t="str">
        <f t="shared" si="194"/>
        <v>-</v>
      </c>
      <c r="BI742" s="50" t="str">
        <f>IFERROR(VLOOKUP(BF742,'[1]WCVI Esc'!$C$5:$W$514,19,FALSE),"-")</f>
        <v>-</v>
      </c>
      <c r="BJ742" s="50" t="str">
        <f t="shared" si="195"/>
        <v>-</v>
      </c>
    </row>
    <row r="743" spans="1:67" hidden="1" x14ac:dyDescent="0.2">
      <c r="A743" s="28">
        <v>4</v>
      </c>
      <c r="B743" s="28">
        <v>3</v>
      </c>
      <c r="C743" s="11">
        <v>23</v>
      </c>
      <c r="D743" s="13" t="s">
        <v>319</v>
      </c>
      <c r="E743" s="10" t="s">
        <v>105</v>
      </c>
      <c r="F743" s="10" t="s">
        <v>208</v>
      </c>
      <c r="G743" s="10"/>
      <c r="H743" s="152"/>
      <c r="I743" s="164"/>
      <c r="J743" s="62"/>
      <c r="K743" s="62"/>
      <c r="L743" s="177"/>
      <c r="M743" s="171"/>
      <c r="N743" s="62"/>
      <c r="O743" s="62"/>
      <c r="P743" s="62"/>
      <c r="Q743" s="64"/>
      <c r="R743" s="169"/>
      <c r="S743" s="62"/>
      <c r="T743" s="62"/>
      <c r="U743" s="62"/>
      <c r="V743" s="177"/>
      <c r="W743" s="171"/>
      <c r="X743" s="62"/>
      <c r="Y743" s="45"/>
      <c r="Z743" s="45"/>
      <c r="AA743" s="100"/>
      <c r="AB743" s="100"/>
      <c r="AC743" s="24"/>
      <c r="AD743" s="24"/>
      <c r="AE743" s="24"/>
      <c r="AF743" s="24"/>
      <c r="AG743" s="18">
        <v>23</v>
      </c>
      <c r="AH743" s="69" t="s">
        <v>319</v>
      </c>
      <c r="AI743" s="243" t="s">
        <v>105</v>
      </c>
      <c r="AJ743" s="243" t="s">
        <v>419</v>
      </c>
      <c r="AK743" s="246"/>
      <c r="AL743" s="43" t="str">
        <f t="shared" si="196"/>
        <v>-</v>
      </c>
      <c r="AM743" s="43">
        <f t="shared" si="184"/>
        <v>0</v>
      </c>
      <c r="AN743" s="193">
        <f t="shared" si="184"/>
        <v>0</v>
      </c>
      <c r="AO743" s="270" t="str">
        <f t="shared" si="185"/>
        <v>-</v>
      </c>
      <c r="AP743" s="266"/>
      <c r="AQ743" s="26" t="str">
        <f t="shared" si="192"/>
        <v>SUGSAW CREEKPink</v>
      </c>
      <c r="AR743" s="26">
        <f t="shared" si="186"/>
        <v>0</v>
      </c>
      <c r="AS743" s="33">
        <f t="shared" si="187"/>
        <v>0</v>
      </c>
      <c r="AX743" s="47" t="str">
        <f t="shared" si="188"/>
        <v>SUGSAW CREEKPink</v>
      </c>
      <c r="AY743" s="49">
        <f t="shared" si="189"/>
        <v>0</v>
      </c>
      <c r="AZ743" s="49">
        <f t="shared" si="190"/>
        <v>0</v>
      </c>
      <c r="BA743" s="31">
        <v>0</v>
      </c>
      <c r="BB743" s="188">
        <f t="shared" si="193"/>
        <v>0</v>
      </c>
      <c r="BC743" s="188" t="str">
        <f t="shared" si="197"/>
        <v xml:space="preserve"> </v>
      </c>
      <c r="BD743" s="188" t="str">
        <f t="shared" si="198"/>
        <v xml:space="preserve"> </v>
      </c>
      <c r="BE743" s="188" t="str">
        <f t="shared" si="199"/>
        <v xml:space="preserve"> </v>
      </c>
      <c r="BF743" s="50" t="str">
        <f t="shared" si="191"/>
        <v>SUGSAW CREEK_Pink</v>
      </c>
      <c r="BG743" s="50" t="str">
        <f>IFERROR(VLOOKUP(BF743,'[1]WCVI Esc'!$C$5:$W$514,18,FALSE),"-")</f>
        <v>-</v>
      </c>
      <c r="BH743" s="50" t="str">
        <f t="shared" si="194"/>
        <v>-</v>
      </c>
      <c r="BI743" s="50" t="str">
        <f>IFERROR(VLOOKUP(BF743,'[1]WCVI Esc'!$C$5:$W$514,19,FALSE),"-")</f>
        <v>-</v>
      </c>
      <c r="BJ743" s="50" t="str">
        <f t="shared" si="195"/>
        <v>-</v>
      </c>
    </row>
    <row r="744" spans="1:67" hidden="1" x14ac:dyDescent="0.2">
      <c r="A744" s="28">
        <v>4</v>
      </c>
      <c r="B744" s="28">
        <v>4</v>
      </c>
      <c r="C744" s="11">
        <v>23</v>
      </c>
      <c r="D744" s="13" t="s">
        <v>319</v>
      </c>
      <c r="E744" s="10" t="s">
        <v>105</v>
      </c>
      <c r="F744" s="10" t="s">
        <v>209</v>
      </c>
      <c r="G744" s="10"/>
      <c r="H744" s="152"/>
      <c r="I744" s="164"/>
      <c r="J744" s="62"/>
      <c r="K744" s="62"/>
      <c r="L744" s="177"/>
      <c r="M744" s="171"/>
      <c r="N744" s="62"/>
      <c r="O744" s="62"/>
      <c r="P744" s="64"/>
      <c r="Q744" s="64"/>
      <c r="R744" s="169"/>
      <c r="S744" s="62"/>
      <c r="T744" s="62"/>
      <c r="U744" s="62"/>
      <c r="V744" s="177"/>
      <c r="W744" s="171"/>
      <c r="X744" s="62"/>
      <c r="Y744" s="45"/>
      <c r="Z744" s="45"/>
      <c r="AA744" s="100">
        <f>Y744/AP744</f>
        <v>0</v>
      </c>
      <c r="AB744" s="100">
        <f>AS744/AP744</f>
        <v>0</v>
      </c>
      <c r="AC744" s="24"/>
      <c r="AD744" s="24"/>
      <c r="AE744" s="24"/>
      <c r="AF744" s="24"/>
      <c r="AG744" s="18">
        <v>23</v>
      </c>
      <c r="AH744" s="69" t="s">
        <v>319</v>
      </c>
      <c r="AI744" s="243" t="s">
        <v>105</v>
      </c>
      <c r="AJ744" s="243" t="s">
        <v>419</v>
      </c>
      <c r="AK744" s="246"/>
      <c r="AL744" s="43" t="str">
        <f t="shared" si="196"/>
        <v>-</v>
      </c>
      <c r="AM744" s="43">
        <f t="shared" si="184"/>
        <v>0</v>
      </c>
      <c r="AN744" s="193">
        <f t="shared" si="184"/>
        <v>0</v>
      </c>
      <c r="AO744" s="270">
        <f t="shared" si="185"/>
        <v>350</v>
      </c>
      <c r="AP744" s="265">
        <f>BJ744</f>
        <v>510</v>
      </c>
      <c r="AQ744" s="26" t="str">
        <f t="shared" si="192"/>
        <v>SUGSAW CREEKChum</v>
      </c>
      <c r="AR744" s="26">
        <f t="shared" si="186"/>
        <v>0</v>
      </c>
      <c r="AS744" s="33">
        <f t="shared" si="187"/>
        <v>0</v>
      </c>
      <c r="AX744" s="47" t="str">
        <f t="shared" si="188"/>
        <v>SUGSAW CREEKChum</v>
      </c>
      <c r="AY744" s="49">
        <f t="shared" si="189"/>
        <v>0</v>
      </c>
      <c r="AZ744" s="49">
        <f t="shared" si="190"/>
        <v>0</v>
      </c>
      <c r="BA744" s="31">
        <v>2012</v>
      </c>
      <c r="BB744" s="188">
        <f t="shared" si="193"/>
        <v>0</v>
      </c>
      <c r="BC744" s="188" t="str">
        <f t="shared" si="197"/>
        <v xml:space="preserve"> </v>
      </c>
      <c r="BD744" s="188" t="str">
        <f t="shared" si="198"/>
        <v xml:space="preserve"> </v>
      </c>
      <c r="BE744" s="188" t="str">
        <f t="shared" si="199"/>
        <v xml:space="preserve"> </v>
      </c>
      <c r="BF744" s="50" t="str">
        <f t="shared" si="191"/>
        <v>SUGSAW CREEK_Chum</v>
      </c>
      <c r="BG744" s="50">
        <f>IFERROR(VLOOKUP(BF744,'[1]WCVI Esc'!$C$5:$W$514,18,FALSE),"-")</f>
        <v>353</v>
      </c>
      <c r="BH744" s="50">
        <f t="shared" si="194"/>
        <v>350</v>
      </c>
      <c r="BI744" s="50">
        <f>IFERROR(VLOOKUP(BF744,'[1]WCVI Esc'!$C$5:$W$514,19,FALSE),"-")</f>
        <v>514.75</v>
      </c>
      <c r="BJ744" s="50">
        <f t="shared" si="195"/>
        <v>510</v>
      </c>
    </row>
    <row r="745" spans="1:67" hidden="1" x14ac:dyDescent="0.2">
      <c r="A745" s="28">
        <v>4</v>
      </c>
      <c r="B745" s="28">
        <v>5</v>
      </c>
      <c r="C745" s="11">
        <v>23</v>
      </c>
      <c r="D745" s="13" t="s">
        <v>319</v>
      </c>
      <c r="E745" s="10" t="s">
        <v>105</v>
      </c>
      <c r="F745" s="10" t="s">
        <v>210</v>
      </c>
      <c r="G745" s="10"/>
      <c r="H745" s="152"/>
      <c r="I745" s="164"/>
      <c r="J745" s="62"/>
      <c r="K745" s="62"/>
      <c r="L745" s="177"/>
      <c r="M745" s="171"/>
      <c r="N745" s="62"/>
      <c r="O745" s="62"/>
      <c r="P745" s="64"/>
      <c r="Q745" s="64"/>
      <c r="R745" s="169"/>
      <c r="S745" s="62"/>
      <c r="T745" s="62"/>
      <c r="U745" s="62"/>
      <c r="V745" s="177"/>
      <c r="W745" s="171"/>
      <c r="X745" s="62"/>
      <c r="Y745" s="45"/>
      <c r="Z745" s="45"/>
      <c r="AA745" s="100"/>
      <c r="AB745" s="100"/>
      <c r="AC745" s="24"/>
      <c r="AD745" s="24"/>
      <c r="AE745" s="24"/>
      <c r="AF745" s="24"/>
      <c r="AG745" s="18">
        <v>23</v>
      </c>
      <c r="AH745" s="69" t="s">
        <v>319</v>
      </c>
      <c r="AI745" s="243" t="s">
        <v>105</v>
      </c>
      <c r="AJ745" s="243" t="s">
        <v>419</v>
      </c>
      <c r="AK745" s="246"/>
      <c r="AL745" s="43" t="str">
        <f t="shared" si="196"/>
        <v>-</v>
      </c>
      <c r="AM745" s="43">
        <f t="shared" si="184"/>
        <v>0</v>
      </c>
      <c r="AN745" s="193">
        <f t="shared" si="184"/>
        <v>0</v>
      </c>
      <c r="AO745" s="270" t="str">
        <f t="shared" si="185"/>
        <v>-</v>
      </c>
      <c r="AP745" s="266"/>
      <c r="AQ745" s="26" t="str">
        <f t="shared" si="192"/>
        <v>SUGSAW CREEKChinook</v>
      </c>
      <c r="AR745" s="26">
        <f t="shared" si="186"/>
        <v>0</v>
      </c>
      <c r="AS745" s="33">
        <f t="shared" si="187"/>
        <v>0</v>
      </c>
      <c r="AX745" s="47" t="str">
        <f t="shared" si="188"/>
        <v>SUGSAW CREEKChinook</v>
      </c>
      <c r="AY745" s="49">
        <f t="shared" si="189"/>
        <v>0</v>
      </c>
      <c r="AZ745" s="49">
        <f t="shared" si="190"/>
        <v>0</v>
      </c>
      <c r="BA745" s="31">
        <v>2001</v>
      </c>
      <c r="BB745" s="188">
        <f t="shared" si="193"/>
        <v>0</v>
      </c>
      <c r="BC745" s="188" t="str">
        <f t="shared" si="197"/>
        <v xml:space="preserve"> </v>
      </c>
      <c r="BD745" s="188" t="str">
        <f t="shared" si="198"/>
        <v xml:space="preserve"> </v>
      </c>
      <c r="BE745" s="188" t="str">
        <f t="shared" si="199"/>
        <v xml:space="preserve"> </v>
      </c>
      <c r="BF745" s="50" t="str">
        <f t="shared" si="191"/>
        <v>SUGSAW CREEK_Chinook</v>
      </c>
      <c r="BG745" s="50" t="str">
        <f>IFERROR(VLOOKUP(BF745,'[1]WCVI Esc'!$C$5:$W$514,18,FALSE),"-")</f>
        <v>-</v>
      </c>
      <c r="BH745" s="50" t="str">
        <f t="shared" si="194"/>
        <v>-</v>
      </c>
      <c r="BI745" s="50" t="str">
        <f>IFERROR(VLOOKUP(BF745,'[1]WCVI Esc'!$C$5:$W$514,19,FALSE),"-")</f>
        <v>-</v>
      </c>
      <c r="BJ745" s="50" t="str">
        <f t="shared" si="195"/>
        <v>-</v>
      </c>
      <c r="BK745">
        <v>3</v>
      </c>
      <c r="BL745" s="17" t="s">
        <v>319</v>
      </c>
      <c r="BO745" s="31">
        <v>1</v>
      </c>
    </row>
    <row r="746" spans="1:67" hidden="1" x14ac:dyDescent="0.2">
      <c r="A746" s="28">
        <v>4</v>
      </c>
      <c r="B746" s="28">
        <v>6</v>
      </c>
      <c r="C746" s="11">
        <v>23</v>
      </c>
      <c r="D746" s="13" t="s">
        <v>319</v>
      </c>
      <c r="E746" s="10" t="s">
        <v>105</v>
      </c>
      <c r="F746" s="10" t="s">
        <v>211</v>
      </c>
      <c r="G746" s="10"/>
      <c r="H746" s="152"/>
      <c r="I746" s="164"/>
      <c r="J746" s="62"/>
      <c r="K746" s="62"/>
      <c r="L746" s="177"/>
      <c r="M746" s="171"/>
      <c r="N746" s="62"/>
      <c r="O746" s="62"/>
      <c r="P746" s="64"/>
      <c r="Q746" s="64"/>
      <c r="R746" s="169"/>
      <c r="S746" s="62"/>
      <c r="T746" s="62"/>
      <c r="U746" s="62"/>
      <c r="V746" s="177"/>
      <c r="W746" s="171"/>
      <c r="X746" s="62"/>
      <c r="Y746" s="45"/>
      <c r="Z746" s="45"/>
      <c r="AA746" s="100"/>
      <c r="AB746" s="100"/>
      <c r="AC746" s="24"/>
      <c r="AD746" s="24"/>
      <c r="AE746" s="24"/>
      <c r="AF746" s="24"/>
      <c r="AG746" s="18">
        <v>23</v>
      </c>
      <c r="AH746" s="69" t="s">
        <v>319</v>
      </c>
      <c r="AI746" s="243" t="s">
        <v>105</v>
      </c>
      <c r="AJ746" s="243" t="s">
        <v>419</v>
      </c>
      <c r="AK746" s="246"/>
      <c r="AL746" s="43" t="str">
        <f t="shared" si="196"/>
        <v>-</v>
      </c>
      <c r="AM746" s="43">
        <f t="shared" si="184"/>
        <v>0</v>
      </c>
      <c r="AN746" s="193">
        <f t="shared" si="184"/>
        <v>0</v>
      </c>
      <c r="AO746" s="270" t="str">
        <f t="shared" si="185"/>
        <v>-</v>
      </c>
      <c r="AP746" s="266"/>
      <c r="AQ746" s="26" t="str">
        <f t="shared" si="192"/>
        <v>SUGSAW CREEKSteelhead</v>
      </c>
      <c r="AR746" s="26">
        <f t="shared" si="186"/>
        <v>0</v>
      </c>
      <c r="AS746" s="33">
        <f t="shared" si="187"/>
        <v>0</v>
      </c>
      <c r="AX746" s="47" t="str">
        <f t="shared" si="188"/>
        <v>SUGSAW CREEKSteelhead</v>
      </c>
      <c r="AY746" s="49">
        <f t="shared" si="189"/>
        <v>0</v>
      </c>
      <c r="AZ746" s="49">
        <f t="shared" si="190"/>
        <v>0</v>
      </c>
      <c r="BA746" s="31">
        <v>0</v>
      </c>
      <c r="BB746" s="188">
        <f t="shared" si="193"/>
        <v>0</v>
      </c>
      <c r="BC746" s="188" t="str">
        <f t="shared" si="197"/>
        <v xml:space="preserve"> </v>
      </c>
      <c r="BD746" s="188" t="str">
        <f t="shared" si="198"/>
        <v xml:space="preserve"> </v>
      </c>
      <c r="BE746" s="188" t="str">
        <f t="shared" si="199"/>
        <v xml:space="preserve"> </v>
      </c>
      <c r="BF746" s="50" t="str">
        <f t="shared" si="191"/>
        <v>SUGSAW CREEK_Steelhead</v>
      </c>
      <c r="BG746" s="50" t="str">
        <f>IFERROR(VLOOKUP(BF746,'[1]WCVI Esc'!$C$5:$W$514,18,FALSE),"-")</f>
        <v>-</v>
      </c>
      <c r="BH746" s="50" t="str">
        <f t="shared" si="194"/>
        <v>-</v>
      </c>
      <c r="BI746" s="50" t="str">
        <f>IFERROR(VLOOKUP(BF746,'[1]WCVI Esc'!$C$5:$W$514,19,FALSE),"-")</f>
        <v>-</v>
      </c>
      <c r="BJ746" s="50" t="str">
        <f t="shared" si="195"/>
        <v>-</v>
      </c>
    </row>
    <row r="747" spans="1:67" hidden="1" x14ac:dyDescent="0.2">
      <c r="A747" s="28">
        <v>4</v>
      </c>
      <c r="B747" s="28">
        <v>1</v>
      </c>
      <c r="C747" s="11">
        <v>23</v>
      </c>
      <c r="D747" s="13" t="s">
        <v>320</v>
      </c>
      <c r="E747" s="10" t="s">
        <v>106</v>
      </c>
      <c r="F747" s="10" t="s">
        <v>207</v>
      </c>
      <c r="G747" s="10"/>
      <c r="H747" s="152"/>
      <c r="I747" s="164"/>
      <c r="J747" s="62"/>
      <c r="K747" s="62"/>
      <c r="L747" s="177"/>
      <c r="M747" s="171"/>
      <c r="N747" s="62"/>
      <c r="O747" s="62"/>
      <c r="P747" s="64"/>
      <c r="Q747" s="64"/>
      <c r="R747" s="164"/>
      <c r="S747" s="62"/>
      <c r="T747" s="62"/>
      <c r="U747" s="62"/>
      <c r="V747" s="177"/>
      <c r="W747" s="171"/>
      <c r="X747" s="62"/>
      <c r="Y747" s="45"/>
      <c r="Z747" s="45"/>
      <c r="AA747" s="100"/>
      <c r="AB747" s="100"/>
      <c r="AC747" s="24"/>
      <c r="AD747" s="24"/>
      <c r="AE747" s="24"/>
      <c r="AF747" s="24"/>
      <c r="AG747" s="18">
        <v>23</v>
      </c>
      <c r="AH747" s="69" t="s">
        <v>320</v>
      </c>
      <c r="AI747" s="243" t="s">
        <v>106</v>
      </c>
      <c r="AJ747" s="243" t="s">
        <v>419</v>
      </c>
      <c r="AK747" s="246"/>
      <c r="AL747" s="43" t="str">
        <f t="shared" si="196"/>
        <v>-</v>
      </c>
      <c r="AM747" s="43">
        <f t="shared" si="184"/>
        <v>0</v>
      </c>
      <c r="AN747" s="193">
        <f t="shared" si="184"/>
        <v>0</v>
      </c>
      <c r="AO747" s="270" t="str">
        <f t="shared" si="185"/>
        <v>-</v>
      </c>
      <c r="AP747" s="266"/>
      <c r="AQ747" s="26" t="str">
        <f t="shared" si="192"/>
        <v>TAYLOR RIVERSockeye</v>
      </c>
      <c r="AR747" s="26">
        <f t="shared" si="186"/>
        <v>0</v>
      </c>
      <c r="AS747" s="33">
        <f t="shared" si="187"/>
        <v>0</v>
      </c>
      <c r="AX747" s="47" t="str">
        <f t="shared" si="188"/>
        <v>TAYLOR RIVERSockeye</v>
      </c>
      <c r="AY747" s="49">
        <f t="shared" si="189"/>
        <v>0</v>
      </c>
      <c r="AZ747" s="49">
        <f t="shared" si="190"/>
        <v>0</v>
      </c>
      <c r="BA747" s="31">
        <v>0</v>
      </c>
      <c r="BB747" s="188">
        <f t="shared" si="193"/>
        <v>0</v>
      </c>
      <c r="BC747" s="188" t="str">
        <f t="shared" si="197"/>
        <v xml:space="preserve"> </v>
      </c>
      <c r="BD747" s="188" t="str">
        <f t="shared" si="198"/>
        <v xml:space="preserve"> </v>
      </c>
      <c r="BE747" s="188" t="str">
        <f t="shared" si="199"/>
        <v xml:space="preserve"> </v>
      </c>
      <c r="BF747" s="50" t="str">
        <f t="shared" si="191"/>
        <v>TAYLOR RIVER_Sockeye</v>
      </c>
      <c r="BG747" s="50" t="str">
        <f>IFERROR(VLOOKUP(BF747,'[1]WCVI Esc'!$C$5:$W$514,18,FALSE),"-")</f>
        <v>-</v>
      </c>
      <c r="BH747" s="50" t="str">
        <f t="shared" si="194"/>
        <v>-</v>
      </c>
      <c r="BI747" s="50" t="str">
        <f>IFERROR(VLOOKUP(BF747,'[1]WCVI Esc'!$C$5:$W$514,19,FALSE),"-")</f>
        <v>-</v>
      </c>
      <c r="BJ747" s="50" t="str">
        <f t="shared" si="195"/>
        <v>-</v>
      </c>
    </row>
    <row r="748" spans="1:67" hidden="1" x14ac:dyDescent="0.2">
      <c r="A748" s="28">
        <v>4</v>
      </c>
      <c r="B748" s="28">
        <v>2</v>
      </c>
      <c r="C748" s="11">
        <v>23</v>
      </c>
      <c r="D748" s="13" t="s">
        <v>320</v>
      </c>
      <c r="E748" s="10" t="s">
        <v>106</v>
      </c>
      <c r="F748" s="10" t="s">
        <v>219</v>
      </c>
      <c r="G748" s="10"/>
      <c r="H748" s="152"/>
      <c r="I748" s="164"/>
      <c r="J748" s="62"/>
      <c r="K748" s="62"/>
      <c r="L748" s="177"/>
      <c r="M748" s="171"/>
      <c r="N748" s="62"/>
      <c r="O748" s="62"/>
      <c r="P748" s="64"/>
      <c r="Q748" s="64"/>
      <c r="R748" s="164"/>
      <c r="S748" s="62"/>
      <c r="T748" s="62"/>
      <c r="U748" s="62"/>
      <c r="V748" s="177"/>
      <c r="W748" s="171"/>
      <c r="X748" s="62"/>
      <c r="Y748" s="45"/>
      <c r="Z748" s="45"/>
      <c r="AA748" s="100"/>
      <c r="AB748" s="100"/>
      <c r="AC748" s="24"/>
      <c r="AD748" s="24"/>
      <c r="AE748" s="24"/>
      <c r="AF748" s="24"/>
      <c r="AG748" s="18">
        <v>23</v>
      </c>
      <c r="AH748" s="69" t="s">
        <v>320</v>
      </c>
      <c r="AI748" s="243" t="s">
        <v>106</v>
      </c>
      <c r="AJ748" s="243" t="s">
        <v>419</v>
      </c>
      <c r="AK748" s="246"/>
      <c r="AL748" s="43" t="str">
        <f t="shared" si="196"/>
        <v>-</v>
      </c>
      <c r="AM748" s="43">
        <f t="shared" si="184"/>
        <v>0</v>
      </c>
      <c r="AN748" s="193">
        <f t="shared" si="184"/>
        <v>0</v>
      </c>
      <c r="AO748" s="270" t="str">
        <f t="shared" si="185"/>
        <v>-</v>
      </c>
      <c r="AP748" s="266"/>
      <c r="AQ748" s="26" t="str">
        <f t="shared" si="192"/>
        <v>TAYLOR RIVERCoho</v>
      </c>
      <c r="AR748" s="26">
        <f t="shared" si="186"/>
        <v>0</v>
      </c>
      <c r="AS748" s="33">
        <f t="shared" si="187"/>
        <v>0</v>
      </c>
      <c r="AX748" s="47" t="str">
        <f t="shared" si="188"/>
        <v>TAYLOR RIVERCoho</v>
      </c>
      <c r="AY748" s="49">
        <f t="shared" si="189"/>
        <v>0</v>
      </c>
      <c r="AZ748" s="49">
        <f t="shared" si="190"/>
        <v>0</v>
      </c>
      <c r="BA748" s="31">
        <v>0</v>
      </c>
      <c r="BB748" s="188">
        <f t="shared" si="193"/>
        <v>0</v>
      </c>
      <c r="BC748" s="188" t="str">
        <f t="shared" si="197"/>
        <v xml:space="preserve"> </v>
      </c>
      <c r="BD748" s="188" t="str">
        <f t="shared" si="198"/>
        <v xml:space="preserve"> </v>
      </c>
      <c r="BE748" s="188" t="str">
        <f t="shared" si="199"/>
        <v xml:space="preserve"> </v>
      </c>
      <c r="BF748" s="50" t="str">
        <f t="shared" si="191"/>
        <v>TAYLOR RIVER_Coho</v>
      </c>
      <c r="BG748" s="50" t="str">
        <f>IFERROR(VLOOKUP(BF748,'[1]WCVI Esc'!$C$5:$W$514,18,FALSE),"-")</f>
        <v>-</v>
      </c>
      <c r="BH748" s="50" t="str">
        <f t="shared" si="194"/>
        <v>-</v>
      </c>
      <c r="BI748" s="50" t="str">
        <f>IFERROR(VLOOKUP(BF748,'[1]WCVI Esc'!$C$5:$W$514,19,FALSE),"-")</f>
        <v>-</v>
      </c>
      <c r="BJ748" s="50" t="str">
        <f t="shared" si="195"/>
        <v>-</v>
      </c>
    </row>
    <row r="749" spans="1:67" hidden="1" x14ac:dyDescent="0.2">
      <c r="A749" s="28">
        <v>4</v>
      </c>
      <c r="B749" s="28">
        <v>3</v>
      </c>
      <c r="C749" s="11">
        <v>23</v>
      </c>
      <c r="D749" s="13" t="s">
        <v>320</v>
      </c>
      <c r="E749" s="10" t="s">
        <v>106</v>
      </c>
      <c r="F749" s="10" t="s">
        <v>208</v>
      </c>
      <c r="G749" s="10"/>
      <c r="H749" s="152"/>
      <c r="I749" s="164"/>
      <c r="J749" s="62"/>
      <c r="K749" s="62"/>
      <c r="L749" s="177"/>
      <c r="M749" s="171"/>
      <c r="N749" s="62"/>
      <c r="O749" s="62"/>
      <c r="P749" s="64"/>
      <c r="Q749" s="64"/>
      <c r="R749" s="164"/>
      <c r="S749" s="62"/>
      <c r="T749" s="62"/>
      <c r="U749" s="62"/>
      <c r="V749" s="177"/>
      <c r="W749" s="171"/>
      <c r="X749" s="62"/>
      <c r="Y749" s="45"/>
      <c r="Z749" s="45"/>
      <c r="AA749" s="100"/>
      <c r="AB749" s="100"/>
      <c r="AC749" s="24"/>
      <c r="AD749" s="24"/>
      <c r="AE749" s="24"/>
      <c r="AF749" s="24"/>
      <c r="AG749" s="18">
        <v>23</v>
      </c>
      <c r="AH749" s="69" t="s">
        <v>320</v>
      </c>
      <c r="AI749" s="243" t="s">
        <v>106</v>
      </c>
      <c r="AJ749" s="243" t="s">
        <v>419</v>
      </c>
      <c r="AK749" s="246"/>
      <c r="AL749" s="43" t="str">
        <f t="shared" si="196"/>
        <v>-</v>
      </c>
      <c r="AM749" s="43">
        <f t="shared" si="184"/>
        <v>0</v>
      </c>
      <c r="AN749" s="193">
        <f t="shared" si="184"/>
        <v>0</v>
      </c>
      <c r="AO749" s="270" t="str">
        <f t="shared" si="185"/>
        <v>-</v>
      </c>
      <c r="AP749" s="266"/>
      <c r="AQ749" s="26" t="str">
        <f t="shared" si="192"/>
        <v>TAYLOR RIVERPink</v>
      </c>
      <c r="AR749" s="26">
        <f t="shared" si="186"/>
        <v>0</v>
      </c>
      <c r="AS749" s="33">
        <f t="shared" si="187"/>
        <v>0</v>
      </c>
      <c r="AX749" s="47" t="str">
        <f t="shared" si="188"/>
        <v>TAYLOR RIVERPink</v>
      </c>
      <c r="AY749" s="49">
        <f t="shared" si="189"/>
        <v>0</v>
      </c>
      <c r="AZ749" s="49">
        <f t="shared" si="190"/>
        <v>0</v>
      </c>
      <c r="BA749" s="31">
        <v>0</v>
      </c>
      <c r="BB749" s="188">
        <f t="shared" si="193"/>
        <v>0</v>
      </c>
      <c r="BC749" s="188" t="str">
        <f t="shared" si="197"/>
        <v xml:space="preserve"> </v>
      </c>
      <c r="BD749" s="188" t="str">
        <f t="shared" si="198"/>
        <v xml:space="preserve"> </v>
      </c>
      <c r="BE749" s="188" t="str">
        <f t="shared" si="199"/>
        <v xml:space="preserve"> </v>
      </c>
      <c r="BF749" s="50" t="str">
        <f t="shared" si="191"/>
        <v>TAYLOR RIVER_Pink</v>
      </c>
      <c r="BG749" s="50" t="str">
        <f>IFERROR(VLOOKUP(BF749,'[1]WCVI Esc'!$C$5:$W$514,18,FALSE),"-")</f>
        <v>-</v>
      </c>
      <c r="BH749" s="50" t="str">
        <f t="shared" si="194"/>
        <v>-</v>
      </c>
      <c r="BI749" s="50" t="str">
        <f>IFERROR(VLOOKUP(BF749,'[1]WCVI Esc'!$C$5:$W$514,19,FALSE),"-")</f>
        <v>-</v>
      </c>
      <c r="BJ749" s="50" t="str">
        <f t="shared" si="195"/>
        <v>-</v>
      </c>
    </row>
    <row r="750" spans="1:67" hidden="1" x14ac:dyDescent="0.2">
      <c r="A750" s="28">
        <v>4</v>
      </c>
      <c r="B750" s="28">
        <v>4</v>
      </c>
      <c r="C750" s="11">
        <v>23</v>
      </c>
      <c r="D750" s="13" t="s">
        <v>320</v>
      </c>
      <c r="E750" s="10" t="s">
        <v>106</v>
      </c>
      <c r="F750" s="10" t="s">
        <v>209</v>
      </c>
      <c r="G750" s="10"/>
      <c r="H750" s="152"/>
      <c r="I750" s="164"/>
      <c r="J750" s="62"/>
      <c r="K750" s="62"/>
      <c r="L750" s="177"/>
      <c r="M750" s="171"/>
      <c r="N750" s="62"/>
      <c r="O750" s="62"/>
      <c r="P750" s="62"/>
      <c r="Q750" s="64"/>
      <c r="R750" s="164"/>
      <c r="S750" s="62"/>
      <c r="T750" s="62"/>
      <c r="U750" s="62"/>
      <c r="V750" s="177"/>
      <c r="W750" s="171"/>
      <c r="X750" s="62"/>
      <c r="Y750" s="45"/>
      <c r="Z750" s="45"/>
      <c r="AA750" s="100"/>
      <c r="AB750" s="100"/>
      <c r="AC750" s="24"/>
      <c r="AD750" s="24"/>
      <c r="AE750" s="24"/>
      <c r="AF750" s="24"/>
      <c r="AG750" s="18">
        <v>23</v>
      </c>
      <c r="AH750" s="69" t="s">
        <v>320</v>
      </c>
      <c r="AI750" s="243" t="s">
        <v>106</v>
      </c>
      <c r="AJ750" s="243" t="s">
        <v>419</v>
      </c>
      <c r="AK750" s="246"/>
      <c r="AL750" s="43" t="str">
        <f t="shared" si="196"/>
        <v>-</v>
      </c>
      <c r="AM750" s="43">
        <f t="shared" si="184"/>
        <v>0</v>
      </c>
      <c r="AN750" s="193">
        <f t="shared" si="184"/>
        <v>0</v>
      </c>
      <c r="AO750" s="270" t="str">
        <f t="shared" si="185"/>
        <v>-</v>
      </c>
      <c r="AP750" s="266"/>
      <c r="AQ750" s="26" t="str">
        <f t="shared" si="192"/>
        <v>TAYLOR RIVERChum</v>
      </c>
      <c r="AR750" s="26">
        <f t="shared" si="186"/>
        <v>0</v>
      </c>
      <c r="AS750" s="33">
        <f t="shared" si="187"/>
        <v>0</v>
      </c>
      <c r="AX750" s="47" t="str">
        <f t="shared" si="188"/>
        <v>TAYLOR RIVERChum</v>
      </c>
      <c r="AY750" s="49">
        <f t="shared" si="189"/>
        <v>0</v>
      </c>
      <c r="AZ750" s="49">
        <f t="shared" si="190"/>
        <v>0</v>
      </c>
      <c r="BA750" s="31">
        <v>0</v>
      </c>
      <c r="BB750" s="188">
        <f t="shared" si="193"/>
        <v>0</v>
      </c>
      <c r="BC750" s="188" t="str">
        <f t="shared" si="197"/>
        <v xml:space="preserve"> </v>
      </c>
      <c r="BD750" s="188" t="str">
        <f t="shared" si="198"/>
        <v xml:space="preserve"> </v>
      </c>
      <c r="BE750" s="188" t="str">
        <f t="shared" si="199"/>
        <v xml:space="preserve"> </v>
      </c>
      <c r="BF750" s="50" t="str">
        <f t="shared" si="191"/>
        <v>TAYLOR RIVER_Chum</v>
      </c>
      <c r="BG750" s="50" t="str">
        <f>IFERROR(VLOOKUP(BF750,'[1]WCVI Esc'!$C$5:$W$514,18,FALSE),"-")</f>
        <v>-</v>
      </c>
      <c r="BH750" s="50" t="str">
        <f t="shared" si="194"/>
        <v>-</v>
      </c>
      <c r="BI750" s="50" t="str">
        <f>IFERROR(VLOOKUP(BF750,'[1]WCVI Esc'!$C$5:$W$514,19,FALSE),"-")</f>
        <v>-</v>
      </c>
      <c r="BJ750" s="50" t="str">
        <f t="shared" si="195"/>
        <v>-</v>
      </c>
    </row>
    <row r="751" spans="1:67" hidden="1" x14ac:dyDescent="0.2">
      <c r="A751" s="28">
        <v>4</v>
      </c>
      <c r="B751" s="28">
        <v>5</v>
      </c>
      <c r="C751" s="11">
        <v>23</v>
      </c>
      <c r="D751" s="13" t="s">
        <v>320</v>
      </c>
      <c r="E751" s="10" t="s">
        <v>106</v>
      </c>
      <c r="F751" s="10" t="s">
        <v>210</v>
      </c>
      <c r="G751" s="10"/>
      <c r="H751" s="152"/>
      <c r="I751" s="164"/>
      <c r="J751" s="62"/>
      <c r="K751" s="62"/>
      <c r="L751" s="177"/>
      <c r="M751" s="171"/>
      <c r="N751" s="62"/>
      <c r="O751" s="62"/>
      <c r="P751" s="62"/>
      <c r="Q751" s="64"/>
      <c r="R751" s="164"/>
      <c r="S751" s="62"/>
      <c r="T751" s="62"/>
      <c r="U751" s="62"/>
      <c r="V751" s="177"/>
      <c r="W751" s="171"/>
      <c r="X751" s="62"/>
      <c r="Y751" s="45"/>
      <c r="Z751" s="45"/>
      <c r="AA751" s="100"/>
      <c r="AB751" s="100"/>
      <c r="AC751" s="24"/>
      <c r="AD751" s="24"/>
      <c r="AE751" s="24"/>
      <c r="AF751" s="24"/>
      <c r="AG751" s="18">
        <v>23</v>
      </c>
      <c r="AH751" s="69" t="s">
        <v>320</v>
      </c>
      <c r="AI751" s="243" t="s">
        <v>106</v>
      </c>
      <c r="AJ751" s="243" t="s">
        <v>419</v>
      </c>
      <c r="AK751" s="246"/>
      <c r="AL751" s="43" t="str">
        <f t="shared" si="196"/>
        <v>-</v>
      </c>
      <c r="AM751" s="43">
        <f t="shared" si="184"/>
        <v>0</v>
      </c>
      <c r="AN751" s="193">
        <f t="shared" si="184"/>
        <v>0</v>
      </c>
      <c r="AO751" s="270" t="str">
        <f t="shared" si="185"/>
        <v>-</v>
      </c>
      <c r="AP751" s="266"/>
      <c r="AQ751" s="26" t="str">
        <f t="shared" si="192"/>
        <v>TAYLOR RIVERChinook</v>
      </c>
      <c r="AR751" s="26">
        <f t="shared" si="186"/>
        <v>0</v>
      </c>
      <c r="AS751" s="33">
        <f t="shared" si="187"/>
        <v>0</v>
      </c>
      <c r="AX751" s="47" t="str">
        <f t="shared" si="188"/>
        <v>TAYLOR RIVERChinook</v>
      </c>
      <c r="AY751" s="49">
        <f t="shared" si="189"/>
        <v>0</v>
      </c>
      <c r="AZ751" s="49">
        <f t="shared" si="190"/>
        <v>0</v>
      </c>
      <c r="BA751" s="31">
        <v>0</v>
      </c>
      <c r="BB751" s="188">
        <f t="shared" si="193"/>
        <v>0</v>
      </c>
      <c r="BC751" s="188" t="str">
        <f t="shared" si="197"/>
        <v xml:space="preserve"> </v>
      </c>
      <c r="BD751" s="188" t="str">
        <f t="shared" si="198"/>
        <v xml:space="preserve"> </v>
      </c>
      <c r="BE751" s="188" t="str">
        <f t="shared" si="199"/>
        <v xml:space="preserve"> </v>
      </c>
      <c r="BF751" s="50" t="str">
        <f t="shared" si="191"/>
        <v>TAYLOR RIVER_Chinook</v>
      </c>
      <c r="BG751" s="50" t="str">
        <f>IFERROR(VLOOKUP(BF751,'[1]WCVI Esc'!$C$5:$W$514,18,FALSE),"-")</f>
        <v>-</v>
      </c>
      <c r="BH751" s="50" t="str">
        <f t="shared" si="194"/>
        <v>-</v>
      </c>
      <c r="BI751" s="50" t="str">
        <f>IFERROR(VLOOKUP(BF751,'[1]WCVI Esc'!$C$5:$W$514,19,FALSE),"-")</f>
        <v>-</v>
      </c>
      <c r="BJ751" s="50" t="str">
        <f t="shared" si="195"/>
        <v>-</v>
      </c>
    </row>
    <row r="752" spans="1:67" hidden="1" x14ac:dyDescent="0.2">
      <c r="A752" s="28">
        <v>4</v>
      </c>
      <c r="B752" s="28">
        <v>6</v>
      </c>
      <c r="C752" s="11">
        <v>23</v>
      </c>
      <c r="D752" s="13" t="s">
        <v>320</v>
      </c>
      <c r="E752" s="10" t="s">
        <v>106</v>
      </c>
      <c r="F752" s="10" t="s">
        <v>211</v>
      </c>
      <c r="G752" s="10"/>
      <c r="H752" s="152"/>
      <c r="I752" s="164"/>
      <c r="J752" s="62"/>
      <c r="K752" s="62"/>
      <c r="L752" s="177"/>
      <c r="M752" s="171"/>
      <c r="N752" s="62"/>
      <c r="O752" s="62"/>
      <c r="P752" s="62"/>
      <c r="Q752" s="64"/>
      <c r="R752" s="164"/>
      <c r="S752" s="62"/>
      <c r="T752" s="62"/>
      <c r="U752" s="62"/>
      <c r="V752" s="177"/>
      <c r="W752" s="171"/>
      <c r="X752" s="62"/>
      <c r="Y752" s="45"/>
      <c r="Z752" s="45"/>
      <c r="AA752" s="100"/>
      <c r="AB752" s="100"/>
      <c r="AC752" s="24"/>
      <c r="AD752" s="24"/>
      <c r="AE752" s="24"/>
      <c r="AF752" s="24"/>
      <c r="AG752" s="18">
        <v>23</v>
      </c>
      <c r="AH752" s="69" t="s">
        <v>320</v>
      </c>
      <c r="AI752" s="243" t="s">
        <v>106</v>
      </c>
      <c r="AJ752" s="243" t="s">
        <v>419</v>
      </c>
      <c r="AK752" s="246"/>
      <c r="AL752" s="43" t="str">
        <f t="shared" si="196"/>
        <v>-</v>
      </c>
      <c r="AM752" s="43">
        <f t="shared" si="184"/>
        <v>0</v>
      </c>
      <c r="AN752" s="193">
        <f t="shared" si="184"/>
        <v>0</v>
      </c>
      <c r="AO752" s="270" t="str">
        <f t="shared" si="185"/>
        <v>-</v>
      </c>
      <c r="AP752" s="266"/>
      <c r="AQ752" s="26" t="str">
        <f t="shared" si="192"/>
        <v>TAYLOR RIVERSteelhead</v>
      </c>
      <c r="AR752" s="26">
        <f t="shared" si="186"/>
        <v>0</v>
      </c>
      <c r="AS752" s="33">
        <f t="shared" si="187"/>
        <v>0</v>
      </c>
      <c r="AX752" s="47" t="str">
        <f t="shared" si="188"/>
        <v>TAYLOR RIVERSteelhead</v>
      </c>
      <c r="AY752" s="49">
        <f t="shared" si="189"/>
        <v>0</v>
      </c>
      <c r="AZ752" s="49">
        <f t="shared" si="190"/>
        <v>0</v>
      </c>
      <c r="BA752" s="31">
        <v>0</v>
      </c>
      <c r="BB752" s="188">
        <f t="shared" si="193"/>
        <v>0</v>
      </c>
      <c r="BC752" s="188" t="str">
        <f t="shared" si="197"/>
        <v xml:space="preserve"> </v>
      </c>
      <c r="BD752" s="188" t="str">
        <f t="shared" si="198"/>
        <v xml:space="preserve"> </v>
      </c>
      <c r="BE752" s="188" t="str">
        <f t="shared" si="199"/>
        <v xml:space="preserve"> </v>
      </c>
      <c r="BF752" s="50" t="str">
        <f t="shared" si="191"/>
        <v>TAYLOR RIVER_Steelhead</v>
      </c>
      <c r="BG752" s="50" t="str">
        <f>IFERROR(VLOOKUP(BF752,'[1]WCVI Esc'!$C$5:$W$514,18,FALSE),"-")</f>
        <v>-</v>
      </c>
      <c r="BH752" s="50" t="str">
        <f t="shared" si="194"/>
        <v>-</v>
      </c>
      <c r="BI752" s="50" t="str">
        <f>IFERROR(VLOOKUP(BF752,'[1]WCVI Esc'!$C$5:$W$514,19,FALSE),"-")</f>
        <v>-</v>
      </c>
      <c r="BJ752" s="50" t="str">
        <f t="shared" si="195"/>
        <v>-</v>
      </c>
    </row>
    <row r="753" spans="1:62" hidden="1" x14ac:dyDescent="0.2">
      <c r="A753" s="28">
        <v>4</v>
      </c>
      <c r="B753" s="28">
        <v>1</v>
      </c>
      <c r="C753" s="11">
        <v>23</v>
      </c>
      <c r="D753" s="13" t="s">
        <v>305</v>
      </c>
      <c r="E753" s="10" t="s">
        <v>107</v>
      </c>
      <c r="F753" s="10" t="s">
        <v>207</v>
      </c>
      <c r="G753" s="10"/>
      <c r="H753" s="152"/>
      <c r="I753" s="164"/>
      <c r="J753" s="62"/>
      <c r="K753" s="62"/>
      <c r="L753" s="177"/>
      <c r="M753" s="171"/>
      <c r="N753" s="63"/>
      <c r="O753" s="62"/>
      <c r="P753" s="62"/>
      <c r="Q753" s="64"/>
      <c r="R753" s="164"/>
      <c r="S753" s="62"/>
      <c r="T753" s="62"/>
      <c r="U753" s="62"/>
      <c r="V753" s="177"/>
      <c r="W753" s="171"/>
      <c r="X753" s="62"/>
      <c r="Y753" s="45"/>
      <c r="Z753" s="45"/>
      <c r="AA753" s="100"/>
      <c r="AB753" s="100"/>
      <c r="AC753" s="24"/>
      <c r="AD753" s="24"/>
      <c r="AE753" s="24"/>
      <c r="AF753" s="24"/>
      <c r="AG753" s="18">
        <v>23</v>
      </c>
      <c r="AH753" s="69" t="s">
        <v>305</v>
      </c>
      <c r="AI753" s="243" t="s">
        <v>107</v>
      </c>
      <c r="AJ753" s="243" t="s">
        <v>419</v>
      </c>
      <c r="AK753" s="246"/>
      <c r="AL753" s="43" t="str">
        <f t="shared" si="196"/>
        <v>-</v>
      </c>
      <c r="AM753" s="43">
        <f t="shared" si="184"/>
        <v>0</v>
      </c>
      <c r="AN753" s="193">
        <f t="shared" si="184"/>
        <v>0</v>
      </c>
      <c r="AO753" s="270" t="str">
        <f t="shared" si="185"/>
        <v>-</v>
      </c>
      <c r="AP753" s="266"/>
      <c r="AQ753" s="26" t="str">
        <f t="shared" si="192"/>
        <v>THORNTON CREEKSockeye</v>
      </c>
      <c r="AR753" s="26">
        <f t="shared" si="186"/>
        <v>0</v>
      </c>
      <c r="AS753" s="33">
        <f t="shared" si="187"/>
        <v>0</v>
      </c>
      <c r="AX753" s="47" t="str">
        <f t="shared" si="188"/>
        <v>THORNTON CREEKSockeye</v>
      </c>
      <c r="AY753" s="49">
        <f t="shared" si="189"/>
        <v>0</v>
      </c>
      <c r="AZ753" s="49">
        <f t="shared" si="190"/>
        <v>0</v>
      </c>
      <c r="BA753" s="31">
        <v>0</v>
      </c>
      <c r="BB753" s="188">
        <f t="shared" si="193"/>
        <v>0</v>
      </c>
      <c r="BC753" s="188" t="str">
        <f t="shared" si="197"/>
        <v xml:space="preserve"> </v>
      </c>
      <c r="BD753" s="188" t="str">
        <f t="shared" si="198"/>
        <v xml:space="preserve"> </v>
      </c>
      <c r="BE753" s="188" t="str">
        <f t="shared" si="199"/>
        <v xml:space="preserve"> </v>
      </c>
      <c r="BF753" s="50" t="str">
        <f t="shared" si="191"/>
        <v>THORNTON CREEK_Sockeye</v>
      </c>
      <c r="BG753" s="50" t="str">
        <f>IFERROR(VLOOKUP(BF753,'[1]WCVI Esc'!$C$5:$W$514,18,FALSE),"-")</f>
        <v>-</v>
      </c>
      <c r="BH753" s="50" t="str">
        <f t="shared" si="194"/>
        <v>-</v>
      </c>
      <c r="BI753" s="50" t="str">
        <f>IFERROR(VLOOKUP(BF753,'[1]WCVI Esc'!$C$5:$W$514,19,FALSE),"-")</f>
        <v>-</v>
      </c>
      <c r="BJ753" s="50" t="str">
        <f t="shared" si="195"/>
        <v>-</v>
      </c>
    </row>
    <row r="754" spans="1:62" hidden="1" x14ac:dyDescent="0.2">
      <c r="A754" s="28">
        <v>4</v>
      </c>
      <c r="B754" s="28">
        <v>2</v>
      </c>
      <c r="C754" s="11">
        <v>23</v>
      </c>
      <c r="D754" s="13" t="s">
        <v>305</v>
      </c>
      <c r="E754" s="10" t="s">
        <v>107</v>
      </c>
      <c r="F754" s="10" t="s">
        <v>219</v>
      </c>
      <c r="G754" s="10"/>
      <c r="H754" s="152"/>
      <c r="I754" s="164"/>
      <c r="J754" s="62"/>
      <c r="K754" s="62"/>
      <c r="L754" s="177"/>
      <c r="M754" s="171"/>
      <c r="N754" s="63"/>
      <c r="O754" s="62"/>
      <c r="P754" s="62"/>
      <c r="Q754" s="64"/>
      <c r="R754" s="164"/>
      <c r="S754" s="62"/>
      <c r="T754" s="62"/>
      <c r="U754" s="62"/>
      <c r="V754" s="177"/>
      <c r="W754" s="171"/>
      <c r="X754" s="62"/>
      <c r="Y754" s="45"/>
      <c r="Z754" s="45"/>
      <c r="AA754" s="100">
        <f>Y754/AP754</f>
        <v>0</v>
      </c>
      <c r="AB754" s="100">
        <f>AS754/AP754</f>
        <v>0</v>
      </c>
      <c r="AC754" s="24"/>
      <c r="AD754" s="24"/>
      <c r="AE754" s="24"/>
      <c r="AF754" s="24"/>
      <c r="AG754" s="18">
        <v>23</v>
      </c>
      <c r="AH754" s="69" t="s">
        <v>305</v>
      </c>
      <c r="AI754" s="243" t="s">
        <v>107</v>
      </c>
      <c r="AJ754" s="243" t="s">
        <v>419</v>
      </c>
      <c r="AK754" s="246"/>
      <c r="AL754" s="43" t="str">
        <f t="shared" si="196"/>
        <v>-</v>
      </c>
      <c r="AM754" s="43">
        <f t="shared" si="184"/>
        <v>0</v>
      </c>
      <c r="AN754" s="193">
        <f t="shared" si="184"/>
        <v>0</v>
      </c>
      <c r="AO754" s="270" t="str">
        <f t="shared" si="185"/>
        <v>-</v>
      </c>
      <c r="AP754" s="265">
        <f>BJ754</f>
        <v>390</v>
      </c>
      <c r="AQ754" s="26" t="str">
        <f t="shared" si="192"/>
        <v>THORNTON CREEKCoho</v>
      </c>
      <c r="AR754" s="26">
        <f t="shared" si="186"/>
        <v>0</v>
      </c>
      <c r="AS754" s="33">
        <f t="shared" si="187"/>
        <v>0</v>
      </c>
      <c r="AX754" s="47" t="str">
        <f t="shared" si="188"/>
        <v>THORNTON CREEKCoho</v>
      </c>
      <c r="AY754" s="49">
        <f t="shared" si="189"/>
        <v>0</v>
      </c>
      <c r="AZ754" s="49">
        <f t="shared" si="190"/>
        <v>0</v>
      </c>
      <c r="BA754" s="31">
        <v>2013</v>
      </c>
      <c r="BB754" s="188">
        <f t="shared" si="193"/>
        <v>0</v>
      </c>
      <c r="BC754" s="188" t="str">
        <f t="shared" si="197"/>
        <v xml:space="preserve"> </v>
      </c>
      <c r="BD754" s="188" t="str">
        <f t="shared" si="198"/>
        <v xml:space="preserve"> </v>
      </c>
      <c r="BE754" s="188" t="str">
        <f t="shared" si="199"/>
        <v xml:space="preserve"> </v>
      </c>
      <c r="BF754" s="50" t="str">
        <f t="shared" si="191"/>
        <v>THORNTON CREEK_Coho</v>
      </c>
      <c r="BG754" s="50" t="str">
        <f>IFERROR(VLOOKUP(BF754,'[1]WCVI Esc'!$C$5:$W$514,18,FALSE),"-")</f>
        <v>-</v>
      </c>
      <c r="BH754" s="50" t="str">
        <f t="shared" si="194"/>
        <v>-</v>
      </c>
      <c r="BI754" s="50">
        <f>IFERROR(VLOOKUP(BF754,'[1]WCVI Esc'!$C$5:$W$514,19,FALSE),"-")</f>
        <v>389</v>
      </c>
      <c r="BJ754" s="50">
        <f t="shared" si="195"/>
        <v>390</v>
      </c>
    </row>
    <row r="755" spans="1:62" hidden="1" x14ac:dyDescent="0.2">
      <c r="A755" s="28">
        <v>4</v>
      </c>
      <c r="B755" s="28">
        <v>3</v>
      </c>
      <c r="C755" s="11">
        <v>23</v>
      </c>
      <c r="D755" s="13" t="s">
        <v>305</v>
      </c>
      <c r="E755" s="10" t="s">
        <v>107</v>
      </c>
      <c r="F755" s="10" t="s">
        <v>208</v>
      </c>
      <c r="G755" s="10"/>
      <c r="H755" s="152"/>
      <c r="I755" s="164"/>
      <c r="J755" s="62"/>
      <c r="K755" s="62"/>
      <c r="L755" s="177"/>
      <c r="M755" s="171"/>
      <c r="N755" s="63"/>
      <c r="O755" s="62"/>
      <c r="P755" s="62"/>
      <c r="Q755" s="64"/>
      <c r="R755" s="164"/>
      <c r="S755" s="62"/>
      <c r="T755" s="62"/>
      <c r="U755" s="62"/>
      <c r="V755" s="177"/>
      <c r="W755" s="171"/>
      <c r="X755" s="62"/>
      <c r="Y755" s="45"/>
      <c r="Z755" s="45"/>
      <c r="AA755" s="100"/>
      <c r="AB755" s="100"/>
      <c r="AC755" s="24"/>
      <c r="AD755" s="24"/>
      <c r="AE755" s="24"/>
      <c r="AF755" s="24"/>
      <c r="AG755" s="18">
        <v>23</v>
      </c>
      <c r="AH755" s="69" t="s">
        <v>305</v>
      </c>
      <c r="AI755" s="243" t="s">
        <v>107</v>
      </c>
      <c r="AJ755" s="243" t="s">
        <v>419</v>
      </c>
      <c r="AK755" s="246"/>
      <c r="AL755" s="43" t="str">
        <f t="shared" si="196"/>
        <v>-</v>
      </c>
      <c r="AM755" s="43">
        <f t="shared" si="184"/>
        <v>0</v>
      </c>
      <c r="AN755" s="193">
        <f t="shared" si="184"/>
        <v>0</v>
      </c>
      <c r="AO755" s="270" t="str">
        <f t="shared" si="185"/>
        <v>-</v>
      </c>
      <c r="AP755" s="266"/>
      <c r="AQ755" s="26" t="str">
        <f t="shared" si="192"/>
        <v>THORNTON CREEKPink</v>
      </c>
      <c r="AR755" s="26">
        <f t="shared" si="186"/>
        <v>0</v>
      </c>
      <c r="AS755" s="33">
        <f t="shared" si="187"/>
        <v>0</v>
      </c>
      <c r="AX755" s="47" t="str">
        <f t="shared" si="188"/>
        <v>THORNTON CREEKPink</v>
      </c>
      <c r="AY755" s="49">
        <f t="shared" si="189"/>
        <v>0</v>
      </c>
      <c r="AZ755" s="49">
        <f t="shared" si="190"/>
        <v>0</v>
      </c>
      <c r="BA755" s="31">
        <v>1999</v>
      </c>
      <c r="BB755" s="188">
        <f t="shared" si="193"/>
        <v>0</v>
      </c>
      <c r="BC755" s="188" t="str">
        <f t="shared" si="197"/>
        <v xml:space="preserve"> </v>
      </c>
      <c r="BD755" s="188" t="str">
        <f t="shared" si="198"/>
        <v xml:space="preserve"> </v>
      </c>
      <c r="BE755" s="188" t="str">
        <f t="shared" si="199"/>
        <v xml:space="preserve"> </v>
      </c>
      <c r="BF755" s="50" t="str">
        <f t="shared" si="191"/>
        <v>THORNTON CREEK_Pink</v>
      </c>
      <c r="BG755" s="50" t="str">
        <f>IFERROR(VLOOKUP(BF755,'[1]WCVI Esc'!$C$5:$W$514,18,FALSE),"-")</f>
        <v>-</v>
      </c>
      <c r="BH755" s="50" t="str">
        <f t="shared" si="194"/>
        <v>-</v>
      </c>
      <c r="BI755" s="50" t="str">
        <f>IFERROR(VLOOKUP(BF755,'[1]WCVI Esc'!$C$5:$W$514,19,FALSE),"-")</f>
        <v>-</v>
      </c>
      <c r="BJ755" s="50" t="str">
        <f t="shared" si="195"/>
        <v>-</v>
      </c>
    </row>
    <row r="756" spans="1:62" hidden="1" x14ac:dyDescent="0.2">
      <c r="A756" s="28">
        <v>4</v>
      </c>
      <c r="B756" s="28">
        <v>4</v>
      </c>
      <c r="C756" s="11">
        <v>23</v>
      </c>
      <c r="D756" s="13" t="s">
        <v>305</v>
      </c>
      <c r="E756" s="10" t="s">
        <v>107</v>
      </c>
      <c r="F756" s="10" t="s">
        <v>209</v>
      </c>
      <c r="G756" s="10"/>
      <c r="H756" s="152"/>
      <c r="I756" s="164"/>
      <c r="J756" s="62"/>
      <c r="K756" s="62"/>
      <c r="L756" s="177"/>
      <c r="M756" s="171"/>
      <c r="N756" s="63"/>
      <c r="O756" s="62"/>
      <c r="P756" s="62"/>
      <c r="Q756" s="64"/>
      <c r="R756" s="164"/>
      <c r="S756" s="62"/>
      <c r="T756" s="62"/>
      <c r="U756" s="62"/>
      <c r="V756" s="177"/>
      <c r="W756" s="171"/>
      <c r="X756" s="62"/>
      <c r="Y756" s="45"/>
      <c r="Z756" s="45"/>
      <c r="AA756" s="100">
        <f>Y756/AP756</f>
        <v>0</v>
      </c>
      <c r="AB756" s="100">
        <f>AS756/AP756</f>
        <v>0</v>
      </c>
      <c r="AC756" s="24"/>
      <c r="AD756" s="24"/>
      <c r="AE756" s="24"/>
      <c r="AF756" s="24"/>
      <c r="AG756" s="18">
        <v>23</v>
      </c>
      <c r="AH756" s="69" t="s">
        <v>305</v>
      </c>
      <c r="AI756" s="243" t="s">
        <v>107</v>
      </c>
      <c r="AJ756" s="243" t="s">
        <v>419</v>
      </c>
      <c r="AK756" s="246"/>
      <c r="AL756" s="43" t="str">
        <f t="shared" si="196"/>
        <v>-</v>
      </c>
      <c r="AM756" s="43">
        <f t="shared" si="184"/>
        <v>0</v>
      </c>
      <c r="AN756" s="193">
        <f t="shared" si="184"/>
        <v>0</v>
      </c>
      <c r="AO756" s="270">
        <f t="shared" si="185"/>
        <v>40</v>
      </c>
      <c r="AP756" s="265">
        <f>BJ756</f>
        <v>30</v>
      </c>
      <c r="AQ756" s="26" t="str">
        <f t="shared" si="192"/>
        <v>THORNTON CREEKChum</v>
      </c>
      <c r="AR756" s="26">
        <f t="shared" si="186"/>
        <v>0</v>
      </c>
      <c r="AS756" s="33">
        <f t="shared" si="187"/>
        <v>0</v>
      </c>
      <c r="AX756" s="47" t="str">
        <f t="shared" si="188"/>
        <v>THORNTON CREEKChum</v>
      </c>
      <c r="AY756" s="49">
        <f t="shared" si="189"/>
        <v>0</v>
      </c>
      <c r="AZ756" s="49">
        <f t="shared" si="190"/>
        <v>0</v>
      </c>
      <c r="BA756" s="31">
        <v>2013</v>
      </c>
      <c r="BB756" s="188">
        <f t="shared" si="193"/>
        <v>0</v>
      </c>
      <c r="BC756" s="188" t="str">
        <f t="shared" si="197"/>
        <v xml:space="preserve"> </v>
      </c>
      <c r="BD756" s="188" t="str">
        <f t="shared" si="198"/>
        <v xml:space="preserve"> </v>
      </c>
      <c r="BE756" s="188" t="str">
        <f t="shared" si="199"/>
        <v xml:space="preserve"> </v>
      </c>
      <c r="BF756" s="50" t="str">
        <f t="shared" si="191"/>
        <v>THORNTON CREEK_Chum</v>
      </c>
      <c r="BG756" s="50">
        <f>IFERROR(VLOOKUP(BF756,'[1]WCVI Esc'!$C$5:$W$514,18,FALSE),"-")</f>
        <v>43</v>
      </c>
      <c r="BH756" s="50">
        <f t="shared" si="194"/>
        <v>40</v>
      </c>
      <c r="BI756" s="50">
        <f>IFERROR(VLOOKUP(BF756,'[1]WCVI Esc'!$C$5:$W$514,19,FALSE),"-")</f>
        <v>31.5</v>
      </c>
      <c r="BJ756" s="50">
        <f t="shared" si="195"/>
        <v>30</v>
      </c>
    </row>
    <row r="757" spans="1:62" hidden="1" x14ac:dyDescent="0.2">
      <c r="A757" s="28">
        <v>4</v>
      </c>
      <c r="B757" s="28">
        <v>5</v>
      </c>
      <c r="C757" s="11">
        <v>23</v>
      </c>
      <c r="D757" s="13" t="s">
        <v>305</v>
      </c>
      <c r="E757" s="10" t="s">
        <v>107</v>
      </c>
      <c r="F757" s="10" t="s">
        <v>210</v>
      </c>
      <c r="G757" s="10"/>
      <c r="H757" s="152"/>
      <c r="I757" s="164"/>
      <c r="J757" s="62"/>
      <c r="K757" s="62"/>
      <c r="L757" s="177"/>
      <c r="M757" s="171"/>
      <c r="N757" s="63"/>
      <c r="O757" s="62"/>
      <c r="P757" s="62"/>
      <c r="Q757" s="64"/>
      <c r="R757" s="164"/>
      <c r="S757" s="62"/>
      <c r="T757" s="62"/>
      <c r="U757" s="62"/>
      <c r="V757" s="177"/>
      <c r="W757" s="171"/>
      <c r="X757" s="62"/>
      <c r="Y757" s="45"/>
      <c r="Z757" s="45"/>
      <c r="AA757" s="100">
        <f>Y757/AP757</f>
        <v>0</v>
      </c>
      <c r="AB757" s="100">
        <f>AS757/AP757</f>
        <v>0</v>
      </c>
      <c r="AC757" s="24"/>
      <c r="AD757" s="24"/>
      <c r="AE757" s="24"/>
      <c r="AF757" s="24"/>
      <c r="AG757" s="18">
        <v>23</v>
      </c>
      <c r="AH757" s="69" t="s">
        <v>305</v>
      </c>
      <c r="AI757" s="243" t="s">
        <v>107</v>
      </c>
      <c r="AJ757" s="243" t="s">
        <v>419</v>
      </c>
      <c r="AK757" s="246"/>
      <c r="AL757" s="43" t="str">
        <f t="shared" si="196"/>
        <v>-</v>
      </c>
      <c r="AM757" s="43">
        <f t="shared" si="184"/>
        <v>0</v>
      </c>
      <c r="AN757" s="193">
        <f t="shared" si="184"/>
        <v>0</v>
      </c>
      <c r="AO757" s="270">
        <f t="shared" si="185"/>
        <v>40</v>
      </c>
      <c r="AP757" s="265">
        <f>BJ757</f>
        <v>910</v>
      </c>
      <c r="AQ757" s="26" t="str">
        <f t="shared" si="192"/>
        <v>THORNTON CREEKChinook</v>
      </c>
      <c r="AR757" s="26">
        <f t="shared" si="186"/>
        <v>0</v>
      </c>
      <c r="AS757" s="33">
        <f t="shared" si="187"/>
        <v>0</v>
      </c>
      <c r="AX757" s="47" t="str">
        <f t="shared" si="188"/>
        <v>THORNTON CREEKChinook</v>
      </c>
      <c r="AY757" s="49">
        <f t="shared" si="189"/>
        <v>0</v>
      </c>
      <c r="AZ757" s="49">
        <f t="shared" si="190"/>
        <v>0</v>
      </c>
      <c r="BA757" s="31">
        <v>2013</v>
      </c>
      <c r="BB757" s="188">
        <f t="shared" si="193"/>
        <v>0</v>
      </c>
      <c r="BC757" s="188" t="str">
        <f t="shared" si="197"/>
        <v xml:space="preserve"> </v>
      </c>
      <c r="BD757" s="188" t="str">
        <f t="shared" si="198"/>
        <v xml:space="preserve"> </v>
      </c>
      <c r="BE757" s="188" t="str">
        <f t="shared" si="199"/>
        <v xml:space="preserve"> </v>
      </c>
      <c r="BF757" s="50" t="str">
        <f t="shared" si="191"/>
        <v>THORNTON CREEK_Chinook</v>
      </c>
      <c r="BG757" s="50">
        <f>IFERROR(VLOOKUP(BF757,'[1]WCVI Esc'!$C$5:$W$514,18,FALSE),"-")</f>
        <v>43</v>
      </c>
      <c r="BH757" s="50">
        <f t="shared" si="194"/>
        <v>40</v>
      </c>
      <c r="BI757" s="50">
        <f>IFERROR(VLOOKUP(BF757,'[1]WCVI Esc'!$C$5:$W$514,19,FALSE),"-")</f>
        <v>910</v>
      </c>
      <c r="BJ757" s="50">
        <f t="shared" si="195"/>
        <v>910</v>
      </c>
    </row>
    <row r="758" spans="1:62" hidden="1" x14ac:dyDescent="0.2">
      <c r="A758" s="28">
        <v>4</v>
      </c>
      <c r="B758" s="28">
        <v>6</v>
      </c>
      <c r="C758" s="11">
        <v>23</v>
      </c>
      <c r="D758" s="13" t="s">
        <v>305</v>
      </c>
      <c r="E758" s="10" t="s">
        <v>107</v>
      </c>
      <c r="F758" s="10" t="s">
        <v>211</v>
      </c>
      <c r="G758" s="10"/>
      <c r="H758" s="152"/>
      <c r="I758" s="164"/>
      <c r="J758" s="62"/>
      <c r="K758" s="62"/>
      <c r="L758" s="177"/>
      <c r="M758" s="171"/>
      <c r="N758" s="63"/>
      <c r="O758" s="62"/>
      <c r="P758" s="62"/>
      <c r="Q758" s="64"/>
      <c r="R758" s="164"/>
      <c r="S758" s="62"/>
      <c r="T758" s="62"/>
      <c r="U758" s="62"/>
      <c r="V758" s="177"/>
      <c r="W758" s="171"/>
      <c r="X758" s="62"/>
      <c r="Y758" s="45"/>
      <c r="Z758" s="45"/>
      <c r="AA758" s="100"/>
      <c r="AB758" s="100"/>
      <c r="AC758" s="24"/>
      <c r="AD758" s="24"/>
      <c r="AE758" s="24"/>
      <c r="AF758" s="24"/>
      <c r="AG758" s="18">
        <v>23</v>
      </c>
      <c r="AH758" s="69" t="s">
        <v>305</v>
      </c>
      <c r="AI758" s="243" t="s">
        <v>107</v>
      </c>
      <c r="AJ758" s="243" t="s">
        <v>419</v>
      </c>
      <c r="AK758" s="246"/>
      <c r="AL758" s="43" t="str">
        <f t="shared" si="196"/>
        <v>-</v>
      </c>
      <c r="AM758" s="43">
        <f t="shared" si="184"/>
        <v>0</v>
      </c>
      <c r="AN758" s="193">
        <f t="shared" si="184"/>
        <v>0</v>
      </c>
      <c r="AO758" s="270" t="str">
        <f t="shared" si="185"/>
        <v>-</v>
      </c>
      <c r="AP758" s="266"/>
      <c r="AQ758" s="26" t="str">
        <f t="shared" si="192"/>
        <v>THORNTON CREEKSteelhead</v>
      </c>
      <c r="AR758" s="26">
        <f t="shared" si="186"/>
        <v>0</v>
      </c>
      <c r="AS758" s="33">
        <f t="shared" si="187"/>
        <v>0</v>
      </c>
      <c r="AX758" s="47" t="str">
        <f t="shared" si="188"/>
        <v>THORNTON CREEKSteelhead</v>
      </c>
      <c r="AY758" s="49">
        <f t="shared" si="189"/>
        <v>0</v>
      </c>
      <c r="AZ758" s="49">
        <f t="shared" si="190"/>
        <v>0</v>
      </c>
      <c r="BA758" s="31">
        <v>0</v>
      </c>
      <c r="BB758" s="188">
        <f t="shared" si="193"/>
        <v>0</v>
      </c>
      <c r="BC758" s="188" t="str">
        <f t="shared" si="197"/>
        <v xml:space="preserve"> </v>
      </c>
      <c r="BD758" s="188" t="str">
        <f t="shared" si="198"/>
        <v xml:space="preserve"> </v>
      </c>
      <c r="BE758" s="188" t="str">
        <f t="shared" si="199"/>
        <v xml:space="preserve"> </v>
      </c>
      <c r="BF758" s="50" t="str">
        <f t="shared" si="191"/>
        <v>THORNTON CREEK_Steelhead</v>
      </c>
      <c r="BG758" s="50" t="str">
        <f>IFERROR(VLOOKUP(BF758,'[1]WCVI Esc'!$C$5:$W$514,18,FALSE),"-")</f>
        <v>-</v>
      </c>
      <c r="BH758" s="50" t="str">
        <f t="shared" si="194"/>
        <v>-</v>
      </c>
      <c r="BI758" s="50" t="str">
        <f>IFERROR(VLOOKUP(BF758,'[1]WCVI Esc'!$C$5:$W$514,19,FALSE),"-")</f>
        <v>-</v>
      </c>
      <c r="BJ758" s="50" t="str">
        <f t="shared" si="195"/>
        <v>-</v>
      </c>
    </row>
    <row r="759" spans="1:62" hidden="1" x14ac:dyDescent="0.2">
      <c r="A759" s="28">
        <v>4</v>
      </c>
      <c r="B759" s="28">
        <v>1</v>
      </c>
      <c r="C759" s="11">
        <v>23</v>
      </c>
      <c r="D759" s="13" t="s">
        <v>295</v>
      </c>
      <c r="E759" s="10" t="s">
        <v>108</v>
      </c>
      <c r="F759" s="10" t="s">
        <v>207</v>
      </c>
      <c r="G759" s="10"/>
      <c r="H759" s="152"/>
      <c r="I759" s="164"/>
      <c r="J759" s="62"/>
      <c r="K759" s="62"/>
      <c r="L759" s="177"/>
      <c r="M759" s="171"/>
      <c r="N759" s="62"/>
      <c r="O759" s="62"/>
      <c r="P759" s="66"/>
      <c r="Q759" s="64"/>
      <c r="R759" s="169"/>
      <c r="S759" s="62"/>
      <c r="T759" s="62"/>
      <c r="U759" s="62"/>
      <c r="V759" s="177"/>
      <c r="W759" s="171"/>
      <c r="X759" s="62"/>
      <c r="Y759" s="45"/>
      <c r="Z759" s="45"/>
      <c r="AA759" s="100"/>
      <c r="AB759" s="100"/>
      <c r="AC759" s="24"/>
      <c r="AD759" s="24"/>
      <c r="AE759" s="24"/>
      <c r="AF759" s="24"/>
      <c r="AG759" s="18">
        <v>23</v>
      </c>
      <c r="AH759" s="69" t="s">
        <v>295</v>
      </c>
      <c r="AI759" s="243" t="s">
        <v>108</v>
      </c>
      <c r="AJ759" s="243" t="s">
        <v>419</v>
      </c>
      <c r="AK759" s="246"/>
      <c r="AL759" s="43" t="str">
        <f t="shared" si="196"/>
        <v>-</v>
      </c>
      <c r="AM759" s="43">
        <f t="shared" si="184"/>
        <v>0</v>
      </c>
      <c r="AN759" s="193">
        <f t="shared" si="184"/>
        <v>0</v>
      </c>
      <c r="AO759" s="270" t="str">
        <f t="shared" si="185"/>
        <v>-</v>
      </c>
      <c r="AP759" s="266"/>
      <c r="AQ759" s="26" t="str">
        <f t="shared" si="192"/>
        <v>TWIN RIVERS EAST CREEKSockeye</v>
      </c>
      <c r="AR759" s="26">
        <f t="shared" si="186"/>
        <v>0</v>
      </c>
      <c r="AS759" s="33">
        <f t="shared" si="187"/>
        <v>0</v>
      </c>
      <c r="AX759" s="47" t="str">
        <f t="shared" si="188"/>
        <v>TWIN RIVERS EAST CREEKSockeye</v>
      </c>
      <c r="AY759" s="49">
        <f t="shared" si="189"/>
        <v>0</v>
      </c>
      <c r="AZ759" s="49">
        <f t="shared" si="190"/>
        <v>0</v>
      </c>
      <c r="BA759" s="31">
        <v>0</v>
      </c>
      <c r="BB759" s="188">
        <f t="shared" si="193"/>
        <v>0</v>
      </c>
      <c r="BC759" s="188" t="str">
        <f t="shared" si="197"/>
        <v xml:space="preserve"> </v>
      </c>
      <c r="BD759" s="188" t="str">
        <f t="shared" si="198"/>
        <v xml:space="preserve"> </v>
      </c>
      <c r="BE759" s="188" t="str">
        <f t="shared" si="199"/>
        <v xml:space="preserve"> </v>
      </c>
      <c r="BF759" s="50" t="str">
        <f t="shared" si="191"/>
        <v>TWIN RIVERS EAST CREEK_Sockeye</v>
      </c>
      <c r="BG759" s="50" t="str">
        <f>IFERROR(VLOOKUP(BF759,'[1]WCVI Esc'!$C$5:$W$514,18,FALSE),"-")</f>
        <v>-</v>
      </c>
      <c r="BH759" s="50" t="str">
        <f t="shared" si="194"/>
        <v>-</v>
      </c>
      <c r="BI759" s="50" t="str">
        <f>IFERROR(VLOOKUP(BF759,'[1]WCVI Esc'!$C$5:$W$514,19,FALSE),"-")</f>
        <v>-</v>
      </c>
      <c r="BJ759" s="50" t="str">
        <f t="shared" si="195"/>
        <v>-</v>
      </c>
    </row>
    <row r="760" spans="1:62" hidden="1" x14ac:dyDescent="0.2">
      <c r="A760" s="28">
        <v>4</v>
      </c>
      <c r="B760" s="28">
        <v>2</v>
      </c>
      <c r="C760" s="11">
        <v>23</v>
      </c>
      <c r="D760" s="13" t="s">
        <v>295</v>
      </c>
      <c r="E760" s="10" t="s">
        <v>108</v>
      </c>
      <c r="F760" s="10" t="s">
        <v>219</v>
      </c>
      <c r="G760" s="10"/>
      <c r="H760" s="152"/>
      <c r="I760" s="164"/>
      <c r="J760" s="62"/>
      <c r="K760" s="62"/>
      <c r="L760" s="177"/>
      <c r="M760" s="171"/>
      <c r="N760" s="62"/>
      <c r="O760" s="62"/>
      <c r="P760" s="66"/>
      <c r="Q760" s="64"/>
      <c r="R760" s="169"/>
      <c r="S760" s="62"/>
      <c r="T760" s="62"/>
      <c r="U760" s="62"/>
      <c r="V760" s="177"/>
      <c r="W760" s="171"/>
      <c r="X760" s="62"/>
      <c r="Y760" s="45"/>
      <c r="Z760" s="46"/>
      <c r="AA760" s="100">
        <f>Y760/AP760</f>
        <v>0</v>
      </c>
      <c r="AB760" s="100">
        <f>AS760/AP760</f>
        <v>0</v>
      </c>
      <c r="AC760" s="24"/>
      <c r="AD760" s="24"/>
      <c r="AE760" s="24"/>
      <c r="AF760" s="24"/>
      <c r="AG760" s="18">
        <v>23</v>
      </c>
      <c r="AH760" s="69" t="s">
        <v>295</v>
      </c>
      <c r="AI760" s="243" t="s">
        <v>108</v>
      </c>
      <c r="AJ760" s="243" t="s">
        <v>419</v>
      </c>
      <c r="AK760" s="246"/>
      <c r="AL760" s="43" t="str">
        <f t="shared" si="196"/>
        <v>-</v>
      </c>
      <c r="AM760" s="43">
        <f t="shared" si="184"/>
        <v>0</v>
      </c>
      <c r="AN760" s="193">
        <f t="shared" si="184"/>
        <v>0</v>
      </c>
      <c r="AO760" s="270">
        <f t="shared" si="185"/>
        <v>30</v>
      </c>
      <c r="AP760" s="265">
        <f>BJ760</f>
        <v>40</v>
      </c>
      <c r="AQ760" s="26" t="str">
        <f t="shared" si="192"/>
        <v>TWIN RIVERS EAST CREEKCoho</v>
      </c>
      <c r="AR760" s="26">
        <f t="shared" si="186"/>
        <v>0</v>
      </c>
      <c r="AS760" s="33">
        <f t="shared" si="187"/>
        <v>0</v>
      </c>
      <c r="AX760" s="47" t="str">
        <f t="shared" si="188"/>
        <v>TWIN RIVERS EAST CREEKCoho</v>
      </c>
      <c r="AY760" s="49">
        <f t="shared" si="189"/>
        <v>0</v>
      </c>
      <c r="AZ760" s="49">
        <f t="shared" si="190"/>
        <v>0</v>
      </c>
      <c r="BA760" s="31">
        <v>2006</v>
      </c>
      <c r="BB760" s="188">
        <f t="shared" si="193"/>
        <v>0</v>
      </c>
      <c r="BC760" s="188" t="str">
        <f t="shared" si="197"/>
        <v xml:space="preserve"> </v>
      </c>
      <c r="BD760" s="188" t="str">
        <f t="shared" si="198"/>
        <v xml:space="preserve"> </v>
      </c>
      <c r="BE760" s="188" t="str">
        <f t="shared" si="199"/>
        <v xml:space="preserve"> </v>
      </c>
      <c r="BF760" s="50" t="str">
        <f t="shared" si="191"/>
        <v>TWIN RIVERS EAST CREEK_Coho</v>
      </c>
      <c r="BG760" s="50">
        <f>IFERROR(VLOOKUP(BF760,'[1]WCVI Esc'!$C$5:$W$514,18,FALSE),"-")</f>
        <v>30.666666666666668</v>
      </c>
      <c r="BH760" s="50">
        <f t="shared" si="194"/>
        <v>30</v>
      </c>
      <c r="BI760" s="50">
        <f>IFERROR(VLOOKUP(BF760,'[1]WCVI Esc'!$C$5:$W$514,19,FALSE),"-")</f>
        <v>40.4</v>
      </c>
      <c r="BJ760" s="50">
        <f t="shared" si="195"/>
        <v>40</v>
      </c>
    </row>
    <row r="761" spans="1:62" hidden="1" x14ac:dyDescent="0.2">
      <c r="A761" s="28">
        <v>4</v>
      </c>
      <c r="B761" s="28">
        <v>3</v>
      </c>
      <c r="C761" s="11">
        <v>23</v>
      </c>
      <c r="D761" s="13" t="s">
        <v>295</v>
      </c>
      <c r="E761" s="10" t="s">
        <v>108</v>
      </c>
      <c r="F761" s="10" t="s">
        <v>208</v>
      </c>
      <c r="G761" s="10"/>
      <c r="H761" s="152"/>
      <c r="I761" s="164"/>
      <c r="J761" s="62"/>
      <c r="K761" s="62"/>
      <c r="L761" s="177"/>
      <c r="M761" s="171"/>
      <c r="N761" s="62"/>
      <c r="O761" s="62"/>
      <c r="P761" s="66"/>
      <c r="Q761" s="64"/>
      <c r="R761" s="169"/>
      <c r="S761" s="62"/>
      <c r="T761" s="62"/>
      <c r="U761" s="62"/>
      <c r="V761" s="177"/>
      <c r="W761" s="171"/>
      <c r="X761" s="62"/>
      <c r="Y761" s="45"/>
      <c r="Z761" s="45"/>
      <c r="AA761" s="100"/>
      <c r="AB761" s="100"/>
      <c r="AC761" s="24"/>
      <c r="AD761" s="24"/>
      <c r="AE761" s="24"/>
      <c r="AF761" s="24"/>
      <c r="AG761" s="18">
        <v>23</v>
      </c>
      <c r="AH761" s="69" t="s">
        <v>295</v>
      </c>
      <c r="AI761" s="243" t="s">
        <v>108</v>
      </c>
      <c r="AJ761" s="243" t="s">
        <v>419</v>
      </c>
      <c r="AK761" s="246"/>
      <c r="AL761" s="43" t="str">
        <f t="shared" si="196"/>
        <v>-</v>
      </c>
      <c r="AM761" s="43">
        <f t="shared" si="184"/>
        <v>0</v>
      </c>
      <c r="AN761" s="193">
        <f t="shared" si="184"/>
        <v>0</v>
      </c>
      <c r="AO761" s="270" t="str">
        <f t="shared" si="185"/>
        <v>-</v>
      </c>
      <c r="AP761" s="266"/>
      <c r="AQ761" s="26" t="str">
        <f t="shared" si="192"/>
        <v>TWIN RIVERS EAST CREEKPink</v>
      </c>
      <c r="AR761" s="26">
        <f t="shared" si="186"/>
        <v>0</v>
      </c>
      <c r="AS761" s="33">
        <f t="shared" si="187"/>
        <v>0</v>
      </c>
      <c r="AX761" s="47" t="str">
        <f t="shared" si="188"/>
        <v>TWIN RIVERS EAST CREEKPink</v>
      </c>
      <c r="AY761" s="49">
        <f t="shared" si="189"/>
        <v>0</v>
      </c>
      <c r="AZ761" s="49">
        <f t="shared" si="190"/>
        <v>0</v>
      </c>
      <c r="BA761" s="31">
        <v>0</v>
      </c>
      <c r="BB761" s="188">
        <f t="shared" si="193"/>
        <v>0</v>
      </c>
      <c r="BC761" s="188" t="str">
        <f t="shared" si="197"/>
        <v xml:space="preserve"> </v>
      </c>
      <c r="BD761" s="188" t="str">
        <f t="shared" si="198"/>
        <v xml:space="preserve"> </v>
      </c>
      <c r="BE761" s="188" t="str">
        <f t="shared" si="199"/>
        <v xml:space="preserve"> </v>
      </c>
      <c r="BF761" s="50" t="str">
        <f t="shared" si="191"/>
        <v>TWIN RIVERS EAST CREEK_Pink</v>
      </c>
      <c r="BG761" s="50" t="str">
        <f>IFERROR(VLOOKUP(BF761,'[1]WCVI Esc'!$C$5:$W$514,18,FALSE),"-")</f>
        <v>-</v>
      </c>
      <c r="BH761" s="50" t="str">
        <f t="shared" si="194"/>
        <v>-</v>
      </c>
      <c r="BI761" s="50" t="str">
        <f>IFERROR(VLOOKUP(BF761,'[1]WCVI Esc'!$C$5:$W$514,19,FALSE),"-")</f>
        <v>-</v>
      </c>
      <c r="BJ761" s="50" t="str">
        <f t="shared" si="195"/>
        <v>-</v>
      </c>
    </row>
    <row r="762" spans="1:62" hidden="1" x14ac:dyDescent="0.2">
      <c r="A762" s="28">
        <v>4</v>
      </c>
      <c r="B762" s="28">
        <v>4</v>
      </c>
      <c r="C762" s="11">
        <v>23</v>
      </c>
      <c r="D762" s="13" t="s">
        <v>295</v>
      </c>
      <c r="E762" s="10" t="s">
        <v>108</v>
      </c>
      <c r="F762" s="10" t="s">
        <v>209</v>
      </c>
      <c r="G762" s="10"/>
      <c r="H762" s="152"/>
      <c r="I762" s="164"/>
      <c r="J762" s="62"/>
      <c r="K762" s="62"/>
      <c r="L762" s="177"/>
      <c r="M762" s="171"/>
      <c r="N762" s="62"/>
      <c r="O762" s="62"/>
      <c r="P762" s="66"/>
      <c r="Q762" s="64"/>
      <c r="R762" s="169"/>
      <c r="S762" s="62"/>
      <c r="T762" s="62"/>
      <c r="U762" s="62"/>
      <c r="V762" s="177"/>
      <c r="W762" s="171"/>
      <c r="X762" s="62"/>
      <c r="Y762" s="45"/>
      <c r="Z762" s="45"/>
      <c r="AA762" s="100">
        <f>Y762/AP762</f>
        <v>0</v>
      </c>
      <c r="AB762" s="100">
        <f>AS762/AP762</f>
        <v>0</v>
      </c>
      <c r="AC762" s="24"/>
      <c r="AD762" s="24"/>
      <c r="AE762" s="24"/>
      <c r="AF762" s="24"/>
      <c r="AG762" s="18">
        <v>23</v>
      </c>
      <c r="AH762" s="69" t="s">
        <v>295</v>
      </c>
      <c r="AI762" s="243" t="s">
        <v>108</v>
      </c>
      <c r="AJ762" s="243" t="s">
        <v>419</v>
      </c>
      <c r="AK762" s="246"/>
      <c r="AL762" s="43" t="str">
        <f t="shared" si="196"/>
        <v>-</v>
      </c>
      <c r="AM762" s="43">
        <f t="shared" si="184"/>
        <v>0</v>
      </c>
      <c r="AN762" s="193">
        <f t="shared" si="184"/>
        <v>0</v>
      </c>
      <c r="AO762" s="270">
        <f t="shared" si="185"/>
        <v>220</v>
      </c>
      <c r="AP762" s="265">
        <f>BJ762</f>
        <v>170</v>
      </c>
      <c r="AQ762" s="26" t="str">
        <f t="shared" si="192"/>
        <v>TWIN RIVERS EAST CREEKChum</v>
      </c>
      <c r="AR762" s="26">
        <f t="shared" si="186"/>
        <v>0</v>
      </c>
      <c r="AS762" s="33">
        <f t="shared" si="187"/>
        <v>0</v>
      </c>
      <c r="AX762" s="47" t="str">
        <f t="shared" si="188"/>
        <v>TWIN RIVERS EAST CREEKChum</v>
      </c>
      <c r="AY762" s="49">
        <f t="shared" si="189"/>
        <v>0</v>
      </c>
      <c r="AZ762" s="49">
        <f t="shared" si="190"/>
        <v>0</v>
      </c>
      <c r="BA762" s="31">
        <v>2014</v>
      </c>
      <c r="BB762" s="188">
        <f t="shared" si="193"/>
        <v>0</v>
      </c>
      <c r="BC762" s="188" t="str">
        <f t="shared" si="197"/>
        <v xml:space="preserve"> </v>
      </c>
      <c r="BD762" s="188" t="str">
        <f t="shared" si="198"/>
        <v xml:space="preserve"> </v>
      </c>
      <c r="BE762" s="188" t="str">
        <f t="shared" si="199"/>
        <v xml:space="preserve"> </v>
      </c>
      <c r="BF762" s="50" t="str">
        <f t="shared" si="191"/>
        <v>TWIN RIVERS EAST CREEK_Chum</v>
      </c>
      <c r="BG762" s="50">
        <f>IFERROR(VLOOKUP(BF762,'[1]WCVI Esc'!$C$5:$W$514,18,FALSE),"-")</f>
        <v>215.5</v>
      </c>
      <c r="BH762" s="50">
        <f t="shared" si="194"/>
        <v>220</v>
      </c>
      <c r="BI762" s="50">
        <f>IFERROR(VLOOKUP(BF762,'[1]WCVI Esc'!$C$5:$W$514,19,FALSE),"-")</f>
        <v>173.71428571428572</v>
      </c>
      <c r="BJ762" s="50">
        <f t="shared" si="195"/>
        <v>170</v>
      </c>
    </row>
    <row r="763" spans="1:62" hidden="1" x14ac:dyDescent="0.2">
      <c r="A763" s="28">
        <v>4</v>
      </c>
      <c r="B763" s="28">
        <v>5</v>
      </c>
      <c r="C763" s="11">
        <v>23</v>
      </c>
      <c r="D763" s="13" t="s">
        <v>295</v>
      </c>
      <c r="E763" s="10" t="s">
        <v>108</v>
      </c>
      <c r="F763" s="10" t="s">
        <v>210</v>
      </c>
      <c r="G763" s="10"/>
      <c r="H763" s="152"/>
      <c r="I763" s="164"/>
      <c r="J763" s="62"/>
      <c r="K763" s="62"/>
      <c r="L763" s="177"/>
      <c r="M763" s="171"/>
      <c r="N763" s="62"/>
      <c r="O763" s="62"/>
      <c r="P763" s="66"/>
      <c r="Q763" s="64"/>
      <c r="R763" s="169"/>
      <c r="S763" s="62"/>
      <c r="T763" s="62"/>
      <c r="U763" s="62"/>
      <c r="V763" s="177"/>
      <c r="W763" s="171"/>
      <c r="X763" s="62"/>
      <c r="Y763" s="45"/>
      <c r="Z763" s="45"/>
      <c r="AA763" s="100"/>
      <c r="AB763" s="100"/>
      <c r="AC763" s="24"/>
      <c r="AD763" s="24"/>
      <c r="AE763" s="24"/>
      <c r="AF763" s="24"/>
      <c r="AG763" s="18">
        <v>23</v>
      </c>
      <c r="AH763" s="69" t="s">
        <v>295</v>
      </c>
      <c r="AI763" s="243" t="s">
        <v>108</v>
      </c>
      <c r="AJ763" s="243" t="s">
        <v>419</v>
      </c>
      <c r="AK763" s="246"/>
      <c r="AL763" s="43" t="str">
        <f t="shared" si="196"/>
        <v>-</v>
      </c>
      <c r="AM763" s="43">
        <f t="shared" si="184"/>
        <v>0</v>
      </c>
      <c r="AN763" s="193">
        <f t="shared" si="184"/>
        <v>0</v>
      </c>
      <c r="AO763" s="270" t="str">
        <f t="shared" si="185"/>
        <v>-</v>
      </c>
      <c r="AP763" s="266"/>
      <c r="AQ763" s="26" t="str">
        <f t="shared" si="192"/>
        <v>TWIN RIVERS EAST CREEKChinook</v>
      </c>
      <c r="AR763" s="26">
        <f t="shared" si="186"/>
        <v>0</v>
      </c>
      <c r="AS763" s="33">
        <f t="shared" si="187"/>
        <v>0</v>
      </c>
      <c r="AX763" s="47" t="str">
        <f t="shared" si="188"/>
        <v>TWIN RIVERS EAST CREEKChinook</v>
      </c>
      <c r="AY763" s="49">
        <f t="shared" si="189"/>
        <v>0</v>
      </c>
      <c r="AZ763" s="49">
        <f t="shared" si="190"/>
        <v>0</v>
      </c>
      <c r="BA763" s="31">
        <v>0</v>
      </c>
      <c r="BB763" s="188">
        <f t="shared" si="193"/>
        <v>0</v>
      </c>
      <c r="BC763" s="188" t="str">
        <f t="shared" si="197"/>
        <v xml:space="preserve"> </v>
      </c>
      <c r="BD763" s="188" t="str">
        <f t="shared" si="198"/>
        <v xml:space="preserve"> </v>
      </c>
      <c r="BE763" s="188" t="str">
        <f t="shared" si="199"/>
        <v xml:space="preserve"> </v>
      </c>
      <c r="BF763" s="50" t="str">
        <f t="shared" si="191"/>
        <v>TWIN RIVERS EAST CREEK_Chinook</v>
      </c>
      <c r="BG763" s="50" t="str">
        <f>IFERROR(VLOOKUP(BF763,'[1]WCVI Esc'!$C$5:$W$514,18,FALSE),"-")</f>
        <v>-</v>
      </c>
      <c r="BH763" s="50" t="str">
        <f t="shared" si="194"/>
        <v>-</v>
      </c>
      <c r="BI763" s="50" t="str">
        <f>IFERROR(VLOOKUP(BF763,'[1]WCVI Esc'!$C$5:$W$514,19,FALSE),"-")</f>
        <v>-</v>
      </c>
      <c r="BJ763" s="50" t="str">
        <f t="shared" si="195"/>
        <v>-</v>
      </c>
    </row>
    <row r="764" spans="1:62" hidden="1" x14ac:dyDescent="0.2">
      <c r="A764" s="28">
        <v>4</v>
      </c>
      <c r="B764" s="28">
        <v>6</v>
      </c>
      <c r="C764" s="11">
        <v>23</v>
      </c>
      <c r="D764" s="13" t="s">
        <v>295</v>
      </c>
      <c r="E764" s="10" t="s">
        <v>108</v>
      </c>
      <c r="F764" s="10" t="s">
        <v>211</v>
      </c>
      <c r="G764" s="10"/>
      <c r="H764" s="152"/>
      <c r="I764" s="164"/>
      <c r="J764" s="62"/>
      <c r="K764" s="62"/>
      <c r="L764" s="177"/>
      <c r="M764" s="171"/>
      <c r="N764" s="62"/>
      <c r="O764" s="62"/>
      <c r="P764" s="66"/>
      <c r="Q764" s="64"/>
      <c r="R764" s="169"/>
      <c r="S764" s="62"/>
      <c r="T764" s="62"/>
      <c r="U764" s="62"/>
      <c r="V764" s="177"/>
      <c r="W764" s="171"/>
      <c r="X764" s="62"/>
      <c r="Y764" s="45"/>
      <c r="Z764" s="45"/>
      <c r="AA764" s="100"/>
      <c r="AB764" s="100"/>
      <c r="AC764" s="24"/>
      <c r="AD764" s="24"/>
      <c r="AE764" s="24"/>
      <c r="AF764" s="24"/>
      <c r="AG764" s="18">
        <v>23</v>
      </c>
      <c r="AH764" s="69" t="s">
        <v>295</v>
      </c>
      <c r="AI764" s="243" t="s">
        <v>108</v>
      </c>
      <c r="AJ764" s="243" t="s">
        <v>419</v>
      </c>
      <c r="AK764" s="246"/>
      <c r="AL764" s="43" t="str">
        <f t="shared" si="196"/>
        <v>-</v>
      </c>
      <c r="AM764" s="43">
        <f t="shared" si="184"/>
        <v>0</v>
      </c>
      <c r="AN764" s="193">
        <f t="shared" si="184"/>
        <v>0</v>
      </c>
      <c r="AO764" s="270" t="str">
        <f t="shared" si="185"/>
        <v>-</v>
      </c>
      <c r="AP764" s="266"/>
      <c r="AQ764" s="26" t="str">
        <f t="shared" si="192"/>
        <v>TWIN RIVERS EAST CREEKSteelhead</v>
      </c>
      <c r="AR764" s="26">
        <f t="shared" si="186"/>
        <v>0</v>
      </c>
      <c r="AS764" s="33">
        <f t="shared" si="187"/>
        <v>0</v>
      </c>
      <c r="AX764" s="47" t="str">
        <f t="shared" si="188"/>
        <v>TWIN RIVERS EAST CREEKSteelhead</v>
      </c>
      <c r="AY764" s="49">
        <f t="shared" si="189"/>
        <v>0</v>
      </c>
      <c r="AZ764" s="49">
        <f t="shared" si="190"/>
        <v>0</v>
      </c>
      <c r="BA764" s="31">
        <v>0</v>
      </c>
      <c r="BB764" s="188">
        <f t="shared" si="193"/>
        <v>0</v>
      </c>
      <c r="BC764" s="188" t="str">
        <f t="shared" si="197"/>
        <v xml:space="preserve"> </v>
      </c>
      <c r="BD764" s="188" t="str">
        <f t="shared" si="198"/>
        <v xml:space="preserve"> </v>
      </c>
      <c r="BE764" s="188" t="str">
        <f t="shared" si="199"/>
        <v xml:space="preserve"> </v>
      </c>
      <c r="BF764" s="50" t="str">
        <f t="shared" si="191"/>
        <v>TWIN RIVERS EAST CREEK_Steelhead</v>
      </c>
      <c r="BG764" s="50" t="str">
        <f>IFERROR(VLOOKUP(BF764,'[1]WCVI Esc'!$C$5:$W$514,18,FALSE),"-")</f>
        <v>-</v>
      </c>
      <c r="BH764" s="50" t="str">
        <f t="shared" si="194"/>
        <v>-</v>
      </c>
      <c r="BI764" s="50" t="str">
        <f>IFERROR(VLOOKUP(BF764,'[1]WCVI Esc'!$C$5:$W$514,19,FALSE),"-")</f>
        <v>-</v>
      </c>
      <c r="BJ764" s="50" t="str">
        <f t="shared" si="195"/>
        <v>-</v>
      </c>
    </row>
    <row r="765" spans="1:62" hidden="1" x14ac:dyDescent="0.2">
      <c r="A765" s="28">
        <v>4</v>
      </c>
      <c r="B765" s="28">
        <v>1</v>
      </c>
      <c r="C765" s="11">
        <v>23</v>
      </c>
      <c r="D765" s="13" t="s">
        <v>295</v>
      </c>
      <c r="E765" s="10" t="s">
        <v>109</v>
      </c>
      <c r="F765" s="10" t="s">
        <v>207</v>
      </c>
      <c r="G765" s="10"/>
      <c r="H765" s="152"/>
      <c r="I765" s="164"/>
      <c r="J765" s="62"/>
      <c r="K765" s="62"/>
      <c r="L765" s="177"/>
      <c r="M765" s="171"/>
      <c r="N765" s="62"/>
      <c r="O765" s="62"/>
      <c r="P765" s="62"/>
      <c r="Q765" s="64"/>
      <c r="R765" s="169"/>
      <c r="S765" s="62"/>
      <c r="T765" s="62"/>
      <c r="U765" s="62"/>
      <c r="V765" s="177"/>
      <c r="W765" s="171"/>
      <c r="X765" s="62"/>
      <c r="Y765" s="45"/>
      <c r="Z765" s="45"/>
      <c r="AA765" s="100"/>
      <c r="AB765" s="100"/>
      <c r="AC765" s="24"/>
      <c r="AD765" s="24"/>
      <c r="AE765" s="24"/>
      <c r="AF765" s="24"/>
      <c r="AG765" s="18">
        <v>23</v>
      </c>
      <c r="AH765" s="69" t="s">
        <v>295</v>
      </c>
      <c r="AI765" s="243" t="s">
        <v>109</v>
      </c>
      <c r="AJ765" s="243" t="s">
        <v>419</v>
      </c>
      <c r="AK765" s="246"/>
      <c r="AL765" s="43" t="str">
        <f t="shared" si="196"/>
        <v>-</v>
      </c>
      <c r="AM765" s="43">
        <f t="shared" si="184"/>
        <v>0</v>
      </c>
      <c r="AN765" s="193">
        <f t="shared" si="184"/>
        <v>0</v>
      </c>
      <c r="AO765" s="270" t="str">
        <f t="shared" si="185"/>
        <v>-</v>
      </c>
      <c r="AP765" s="266"/>
      <c r="AQ765" s="26" t="str">
        <f t="shared" si="192"/>
        <v>TWIN RIVERS WEST CREEKSockeye</v>
      </c>
      <c r="AR765" s="26">
        <f t="shared" si="186"/>
        <v>0</v>
      </c>
      <c r="AS765" s="33">
        <f t="shared" si="187"/>
        <v>0</v>
      </c>
      <c r="AX765" s="47" t="str">
        <f t="shared" si="188"/>
        <v>TWIN RIVERS WEST CREEKSockeye</v>
      </c>
      <c r="AY765" s="49">
        <f t="shared" si="189"/>
        <v>0</v>
      </c>
      <c r="AZ765" s="49">
        <f t="shared" si="190"/>
        <v>0</v>
      </c>
      <c r="BA765" s="31">
        <v>0</v>
      </c>
      <c r="BB765" s="188">
        <f t="shared" si="193"/>
        <v>0</v>
      </c>
      <c r="BC765" s="188" t="str">
        <f t="shared" si="197"/>
        <v xml:space="preserve"> </v>
      </c>
      <c r="BD765" s="188" t="str">
        <f t="shared" si="198"/>
        <v xml:space="preserve"> </v>
      </c>
      <c r="BE765" s="188" t="str">
        <f t="shared" si="199"/>
        <v xml:space="preserve"> </v>
      </c>
      <c r="BF765" s="50" t="str">
        <f t="shared" si="191"/>
        <v>TWIN RIVERS WEST CREEK_Sockeye</v>
      </c>
      <c r="BG765" s="50" t="str">
        <f>IFERROR(VLOOKUP(BF765,'[1]WCVI Esc'!$C$5:$W$514,18,FALSE),"-")</f>
        <v>-</v>
      </c>
      <c r="BH765" s="50" t="str">
        <f t="shared" si="194"/>
        <v>-</v>
      </c>
      <c r="BI765" s="50" t="str">
        <f>IFERROR(VLOOKUP(BF765,'[1]WCVI Esc'!$C$5:$W$514,19,FALSE),"-")</f>
        <v>-</v>
      </c>
      <c r="BJ765" s="50" t="str">
        <f t="shared" si="195"/>
        <v>-</v>
      </c>
    </row>
    <row r="766" spans="1:62" hidden="1" x14ac:dyDescent="0.2">
      <c r="A766" s="28">
        <v>4</v>
      </c>
      <c r="B766" s="28">
        <v>2</v>
      </c>
      <c r="C766" s="11">
        <v>23</v>
      </c>
      <c r="D766" s="13" t="s">
        <v>295</v>
      </c>
      <c r="E766" s="10" t="s">
        <v>109</v>
      </c>
      <c r="F766" s="10" t="s">
        <v>219</v>
      </c>
      <c r="G766" s="10"/>
      <c r="H766" s="152"/>
      <c r="I766" s="164"/>
      <c r="J766" s="62"/>
      <c r="K766" s="62"/>
      <c r="L766" s="177"/>
      <c r="M766" s="171"/>
      <c r="N766" s="62"/>
      <c r="O766" s="62"/>
      <c r="P766" s="62"/>
      <c r="Q766" s="64"/>
      <c r="R766" s="169"/>
      <c r="S766" s="62"/>
      <c r="T766" s="62"/>
      <c r="U766" s="62"/>
      <c r="V766" s="177"/>
      <c r="W766" s="171"/>
      <c r="X766" s="62"/>
      <c r="Y766" s="45"/>
      <c r="Z766" s="45"/>
      <c r="AA766" s="100"/>
      <c r="AB766" s="100"/>
      <c r="AC766" s="24"/>
      <c r="AD766" s="24"/>
      <c r="AE766" s="24"/>
      <c r="AF766" s="24"/>
      <c r="AG766" s="18">
        <v>23</v>
      </c>
      <c r="AH766" s="69" t="s">
        <v>295</v>
      </c>
      <c r="AI766" s="243" t="s">
        <v>109</v>
      </c>
      <c r="AJ766" s="243" t="s">
        <v>419</v>
      </c>
      <c r="AK766" s="246"/>
      <c r="AL766" s="43" t="str">
        <f t="shared" si="196"/>
        <v>-</v>
      </c>
      <c r="AM766" s="43">
        <f t="shared" si="184"/>
        <v>0</v>
      </c>
      <c r="AN766" s="193">
        <f t="shared" si="184"/>
        <v>0</v>
      </c>
      <c r="AO766" s="270" t="str">
        <f t="shared" si="185"/>
        <v>-</v>
      </c>
      <c r="AP766" s="266"/>
      <c r="AQ766" s="26" t="str">
        <f t="shared" si="192"/>
        <v>TWIN RIVERS WEST CREEKCoho</v>
      </c>
      <c r="AR766" s="26">
        <f t="shared" si="186"/>
        <v>0</v>
      </c>
      <c r="AS766" s="33">
        <f t="shared" si="187"/>
        <v>0</v>
      </c>
      <c r="AX766" s="47" t="str">
        <f t="shared" si="188"/>
        <v>TWIN RIVERS WEST CREEKCoho</v>
      </c>
      <c r="AY766" s="49">
        <f t="shared" si="189"/>
        <v>0</v>
      </c>
      <c r="AZ766" s="49">
        <f t="shared" si="190"/>
        <v>0</v>
      </c>
      <c r="BA766" s="31">
        <v>1999</v>
      </c>
      <c r="BB766" s="188">
        <f t="shared" si="193"/>
        <v>0</v>
      </c>
      <c r="BC766" s="188" t="str">
        <f t="shared" si="197"/>
        <v xml:space="preserve"> </v>
      </c>
      <c r="BD766" s="188" t="str">
        <f t="shared" si="198"/>
        <v xml:space="preserve"> </v>
      </c>
      <c r="BE766" s="188" t="str">
        <f t="shared" si="199"/>
        <v xml:space="preserve"> </v>
      </c>
      <c r="BF766" s="50" t="str">
        <f t="shared" si="191"/>
        <v>TWIN RIVERS WEST CREEK_Coho</v>
      </c>
      <c r="BG766" s="50" t="str">
        <f>IFERROR(VLOOKUP(BF766,'[1]WCVI Esc'!$C$5:$W$514,18,FALSE),"-")</f>
        <v>-</v>
      </c>
      <c r="BH766" s="50" t="str">
        <f t="shared" si="194"/>
        <v>-</v>
      </c>
      <c r="BI766" s="50" t="str">
        <f>IFERROR(VLOOKUP(BF766,'[1]WCVI Esc'!$C$5:$W$514,19,FALSE),"-")</f>
        <v>-</v>
      </c>
      <c r="BJ766" s="50" t="str">
        <f t="shared" si="195"/>
        <v>-</v>
      </c>
    </row>
    <row r="767" spans="1:62" hidden="1" x14ac:dyDescent="0.2">
      <c r="A767" s="28">
        <v>4</v>
      </c>
      <c r="B767" s="28">
        <v>3</v>
      </c>
      <c r="C767" s="11">
        <v>23</v>
      </c>
      <c r="D767" s="13" t="s">
        <v>295</v>
      </c>
      <c r="E767" s="10" t="s">
        <v>109</v>
      </c>
      <c r="F767" s="10" t="s">
        <v>208</v>
      </c>
      <c r="G767" s="10"/>
      <c r="H767" s="152"/>
      <c r="I767" s="164"/>
      <c r="J767" s="62"/>
      <c r="K767" s="62"/>
      <c r="L767" s="177"/>
      <c r="M767" s="171"/>
      <c r="N767" s="62"/>
      <c r="O767" s="62"/>
      <c r="P767" s="62"/>
      <c r="Q767" s="64"/>
      <c r="R767" s="169"/>
      <c r="S767" s="62"/>
      <c r="T767" s="62"/>
      <c r="U767" s="62"/>
      <c r="V767" s="177"/>
      <c r="W767" s="171"/>
      <c r="X767" s="62"/>
      <c r="Y767" s="45"/>
      <c r="Z767" s="45"/>
      <c r="AA767" s="100"/>
      <c r="AB767" s="100"/>
      <c r="AC767" s="24"/>
      <c r="AD767" s="24"/>
      <c r="AE767" s="24"/>
      <c r="AF767" s="24"/>
      <c r="AG767" s="18">
        <v>23</v>
      </c>
      <c r="AH767" s="69" t="s">
        <v>295</v>
      </c>
      <c r="AI767" s="243" t="s">
        <v>109</v>
      </c>
      <c r="AJ767" s="243" t="s">
        <v>419</v>
      </c>
      <c r="AK767" s="246"/>
      <c r="AL767" s="43" t="str">
        <f t="shared" si="196"/>
        <v>-</v>
      </c>
      <c r="AM767" s="43">
        <f t="shared" ref="AM767:AN830" si="200">AR767</f>
        <v>0</v>
      </c>
      <c r="AN767" s="193">
        <f t="shared" si="200"/>
        <v>0</v>
      </c>
      <c r="AO767" s="270" t="str">
        <f t="shared" ref="AO767:AO830" si="201">BH767</f>
        <v>-</v>
      </c>
      <c r="AP767" s="266"/>
      <c r="AQ767" s="26" t="str">
        <f t="shared" si="192"/>
        <v>TWIN RIVERS WEST CREEKPink</v>
      </c>
      <c r="AR767" s="26">
        <f t="shared" ref="AR767:AR830" si="202">COUNT(G767:X767)</f>
        <v>0</v>
      </c>
      <c r="AS767" s="33">
        <f t="shared" ref="AS767:AS830" si="203">MAX(G767:X767)</f>
        <v>0</v>
      </c>
      <c r="AX767" s="47" t="str">
        <f t="shared" ref="AX767:AX830" si="204">CONCATENATE(E767,F767)</f>
        <v>TWIN RIVERS WEST CREEKPink</v>
      </c>
      <c r="AY767" s="49">
        <f t="shared" ref="AY767:AY830" si="205">Z767</f>
        <v>0</v>
      </c>
      <c r="AZ767" s="49">
        <f t="shared" ref="AZ767:AZ830" si="206">Y767</f>
        <v>0</v>
      </c>
      <c r="BA767" s="31">
        <v>0</v>
      </c>
      <c r="BB767" s="188">
        <f t="shared" si="193"/>
        <v>0</v>
      </c>
      <c r="BC767" s="188" t="str">
        <f t="shared" si="197"/>
        <v xml:space="preserve"> </v>
      </c>
      <c r="BD767" s="188" t="str">
        <f t="shared" si="198"/>
        <v xml:space="preserve"> </v>
      </c>
      <c r="BE767" s="188" t="str">
        <f t="shared" si="199"/>
        <v xml:space="preserve"> </v>
      </c>
      <c r="BF767" s="50" t="str">
        <f t="shared" ref="BF767:BF830" si="207">CONCATENATE(E767,"_",F767)</f>
        <v>TWIN RIVERS WEST CREEK_Pink</v>
      </c>
      <c r="BG767" s="50" t="str">
        <f>IFERROR(VLOOKUP(BF767,'[1]WCVI Esc'!$C$5:$W$514,18,FALSE),"-")</f>
        <v>-</v>
      </c>
      <c r="BH767" s="50" t="str">
        <f t="shared" si="194"/>
        <v>-</v>
      </c>
      <c r="BI767" s="50" t="str">
        <f>IFERROR(VLOOKUP(BF767,'[1]WCVI Esc'!$C$5:$W$514,19,FALSE),"-")</f>
        <v>-</v>
      </c>
      <c r="BJ767" s="50" t="str">
        <f t="shared" si="195"/>
        <v>-</v>
      </c>
    </row>
    <row r="768" spans="1:62" hidden="1" x14ac:dyDescent="0.2">
      <c r="A768" s="28">
        <v>4</v>
      </c>
      <c r="B768" s="28">
        <v>4</v>
      </c>
      <c r="C768" s="11">
        <v>23</v>
      </c>
      <c r="D768" s="13" t="s">
        <v>295</v>
      </c>
      <c r="E768" s="10" t="s">
        <v>109</v>
      </c>
      <c r="F768" s="10" t="s">
        <v>209</v>
      </c>
      <c r="G768" s="10"/>
      <c r="H768" s="152"/>
      <c r="I768" s="164"/>
      <c r="J768" s="62"/>
      <c r="K768" s="62"/>
      <c r="L768" s="177"/>
      <c r="M768" s="171"/>
      <c r="N768" s="62"/>
      <c r="O768" s="62"/>
      <c r="P768" s="62"/>
      <c r="Q768" s="64"/>
      <c r="R768" s="169"/>
      <c r="S768" s="62"/>
      <c r="T768" s="62"/>
      <c r="U768" s="62"/>
      <c r="V768" s="177"/>
      <c r="W768" s="171"/>
      <c r="X768" s="62"/>
      <c r="Y768" s="45"/>
      <c r="Z768" s="45"/>
      <c r="AA768" s="100">
        <f>Y768/AP768</f>
        <v>0</v>
      </c>
      <c r="AB768" s="100">
        <f>AS768/AP768</f>
        <v>0</v>
      </c>
      <c r="AC768" s="24"/>
      <c r="AD768" s="24"/>
      <c r="AE768" s="24"/>
      <c r="AF768" s="24"/>
      <c r="AG768" s="18">
        <v>23</v>
      </c>
      <c r="AH768" s="69" t="s">
        <v>295</v>
      </c>
      <c r="AI768" s="243" t="s">
        <v>109</v>
      </c>
      <c r="AJ768" s="243" t="s">
        <v>419</v>
      </c>
      <c r="AK768" s="246"/>
      <c r="AL768" s="43" t="str">
        <f t="shared" si="196"/>
        <v>-</v>
      </c>
      <c r="AM768" s="43">
        <f t="shared" si="200"/>
        <v>0</v>
      </c>
      <c r="AN768" s="193">
        <f t="shared" si="200"/>
        <v>0</v>
      </c>
      <c r="AO768" s="270" t="str">
        <f t="shared" si="201"/>
        <v>-</v>
      </c>
      <c r="AP768" s="265">
        <f>BJ768</f>
        <v>110</v>
      </c>
      <c r="AQ768" s="26" t="str">
        <f t="shared" si="192"/>
        <v>TWIN RIVERS WEST CREEKChum</v>
      </c>
      <c r="AR768" s="26">
        <f t="shared" si="202"/>
        <v>0</v>
      </c>
      <c r="AS768" s="33">
        <f t="shared" si="203"/>
        <v>0</v>
      </c>
      <c r="AX768" s="47" t="str">
        <f t="shared" si="204"/>
        <v>TWIN RIVERS WEST CREEKChum</v>
      </c>
      <c r="AY768" s="49">
        <f t="shared" si="205"/>
        <v>0</v>
      </c>
      <c r="AZ768" s="49">
        <f t="shared" si="206"/>
        <v>0</v>
      </c>
      <c r="BA768" s="31">
        <v>2007</v>
      </c>
      <c r="BB768" s="188">
        <f t="shared" si="193"/>
        <v>0</v>
      </c>
      <c r="BC768" s="188" t="str">
        <f t="shared" si="197"/>
        <v xml:space="preserve"> </v>
      </c>
      <c r="BD768" s="188" t="str">
        <f t="shared" si="198"/>
        <v xml:space="preserve"> </v>
      </c>
      <c r="BE768" s="188" t="str">
        <f t="shared" si="199"/>
        <v xml:space="preserve"> </v>
      </c>
      <c r="BF768" s="50" t="str">
        <f t="shared" si="207"/>
        <v>TWIN RIVERS WEST CREEK_Chum</v>
      </c>
      <c r="BG768" s="50" t="str">
        <f>IFERROR(VLOOKUP(BF768,'[1]WCVI Esc'!$C$5:$W$514,18,FALSE),"-")</f>
        <v>-</v>
      </c>
      <c r="BH768" s="50" t="str">
        <f t="shared" si="194"/>
        <v>-</v>
      </c>
      <c r="BI768" s="50">
        <f>IFERROR(VLOOKUP(BF768,'[1]WCVI Esc'!$C$5:$W$514,19,FALSE),"-")</f>
        <v>109</v>
      </c>
      <c r="BJ768" s="50">
        <f t="shared" si="195"/>
        <v>110</v>
      </c>
    </row>
    <row r="769" spans="1:62" hidden="1" x14ac:dyDescent="0.2">
      <c r="A769" s="28">
        <v>4</v>
      </c>
      <c r="B769" s="28">
        <v>5</v>
      </c>
      <c r="C769" s="11">
        <v>23</v>
      </c>
      <c r="D769" s="13" t="s">
        <v>295</v>
      </c>
      <c r="E769" s="10" t="s">
        <v>109</v>
      </c>
      <c r="F769" s="10" t="s">
        <v>210</v>
      </c>
      <c r="G769" s="10"/>
      <c r="H769" s="152"/>
      <c r="I769" s="164"/>
      <c r="J769" s="62"/>
      <c r="K769" s="62"/>
      <c r="L769" s="177"/>
      <c r="M769" s="171"/>
      <c r="N769" s="62"/>
      <c r="O769" s="62"/>
      <c r="P769" s="62"/>
      <c r="Q769" s="64"/>
      <c r="R769" s="169"/>
      <c r="S769" s="62"/>
      <c r="T769" s="62"/>
      <c r="U769" s="62"/>
      <c r="V769" s="177"/>
      <c r="W769" s="171"/>
      <c r="X769" s="62"/>
      <c r="Y769" s="45"/>
      <c r="Z769" s="45"/>
      <c r="AA769" s="100"/>
      <c r="AB769" s="100"/>
      <c r="AC769" s="24"/>
      <c r="AD769" s="24"/>
      <c r="AE769" s="24"/>
      <c r="AF769" s="24"/>
      <c r="AG769" s="18">
        <v>23</v>
      </c>
      <c r="AH769" s="69" t="s">
        <v>295</v>
      </c>
      <c r="AI769" s="243" t="s">
        <v>109</v>
      </c>
      <c r="AJ769" s="243" t="s">
        <v>419</v>
      </c>
      <c r="AK769" s="246"/>
      <c r="AL769" s="43" t="str">
        <f t="shared" si="196"/>
        <v>-</v>
      </c>
      <c r="AM769" s="43">
        <f t="shared" si="200"/>
        <v>0</v>
      </c>
      <c r="AN769" s="193">
        <f t="shared" si="200"/>
        <v>0</v>
      </c>
      <c r="AO769" s="270" t="str">
        <f t="shared" si="201"/>
        <v>-</v>
      </c>
      <c r="AP769" s="266"/>
      <c r="AQ769" s="26" t="str">
        <f t="shared" si="192"/>
        <v>TWIN RIVERS WEST CREEKChinook</v>
      </c>
      <c r="AR769" s="26">
        <f t="shared" si="202"/>
        <v>0</v>
      </c>
      <c r="AS769" s="33">
        <f t="shared" si="203"/>
        <v>0</v>
      </c>
      <c r="AX769" s="47" t="str">
        <f t="shared" si="204"/>
        <v>TWIN RIVERS WEST CREEKChinook</v>
      </c>
      <c r="AY769" s="49">
        <f t="shared" si="205"/>
        <v>0</v>
      </c>
      <c r="AZ769" s="49">
        <f t="shared" si="206"/>
        <v>0</v>
      </c>
      <c r="BA769" s="31">
        <v>0</v>
      </c>
      <c r="BB769" s="188">
        <f t="shared" si="193"/>
        <v>0</v>
      </c>
      <c r="BC769" s="188" t="str">
        <f t="shared" si="197"/>
        <v xml:space="preserve"> </v>
      </c>
      <c r="BD769" s="188" t="str">
        <f t="shared" si="198"/>
        <v xml:space="preserve"> </v>
      </c>
      <c r="BE769" s="188" t="str">
        <f t="shared" si="199"/>
        <v xml:space="preserve"> </v>
      </c>
      <c r="BF769" s="50" t="str">
        <f t="shared" si="207"/>
        <v>TWIN RIVERS WEST CREEK_Chinook</v>
      </c>
      <c r="BG769" s="50" t="str">
        <f>IFERROR(VLOOKUP(BF769,'[1]WCVI Esc'!$C$5:$W$514,18,FALSE),"-")</f>
        <v>-</v>
      </c>
      <c r="BH769" s="50" t="str">
        <f t="shared" si="194"/>
        <v>-</v>
      </c>
      <c r="BI769" s="50" t="str">
        <f>IFERROR(VLOOKUP(BF769,'[1]WCVI Esc'!$C$5:$W$514,19,FALSE),"-")</f>
        <v>-</v>
      </c>
      <c r="BJ769" s="50" t="str">
        <f t="shared" si="195"/>
        <v>-</v>
      </c>
    </row>
    <row r="770" spans="1:62" hidden="1" x14ac:dyDescent="0.2">
      <c r="A770" s="28">
        <v>4</v>
      </c>
      <c r="B770" s="28">
        <v>6</v>
      </c>
      <c r="C770" s="11">
        <v>23</v>
      </c>
      <c r="D770" s="13" t="s">
        <v>295</v>
      </c>
      <c r="E770" s="10" t="s">
        <v>109</v>
      </c>
      <c r="F770" s="10" t="s">
        <v>211</v>
      </c>
      <c r="G770" s="10"/>
      <c r="H770" s="152"/>
      <c r="I770" s="164"/>
      <c r="J770" s="62"/>
      <c r="K770" s="62"/>
      <c r="L770" s="177"/>
      <c r="M770" s="171"/>
      <c r="N770" s="62"/>
      <c r="O770" s="62"/>
      <c r="P770" s="62"/>
      <c r="Q770" s="64"/>
      <c r="R770" s="169"/>
      <c r="S770" s="62"/>
      <c r="T770" s="62"/>
      <c r="U770" s="62"/>
      <c r="V770" s="177"/>
      <c r="W770" s="171"/>
      <c r="X770" s="62"/>
      <c r="Y770" s="45"/>
      <c r="Z770" s="45"/>
      <c r="AA770" s="100"/>
      <c r="AB770" s="100"/>
      <c r="AC770" s="24"/>
      <c r="AD770" s="24"/>
      <c r="AE770" s="24"/>
      <c r="AF770" s="24"/>
      <c r="AG770" s="18">
        <v>23</v>
      </c>
      <c r="AH770" s="69" t="s">
        <v>295</v>
      </c>
      <c r="AI770" s="243" t="s">
        <v>109</v>
      </c>
      <c r="AJ770" s="243" t="s">
        <v>419</v>
      </c>
      <c r="AK770" s="246"/>
      <c r="AL770" s="43" t="str">
        <f t="shared" si="196"/>
        <v>-</v>
      </c>
      <c r="AM770" s="43">
        <f t="shared" si="200"/>
        <v>0</v>
      </c>
      <c r="AN770" s="193">
        <f t="shared" si="200"/>
        <v>0</v>
      </c>
      <c r="AO770" s="270" t="str">
        <f t="shared" si="201"/>
        <v>-</v>
      </c>
      <c r="AP770" s="266"/>
      <c r="AQ770" s="26" t="str">
        <f t="shared" si="192"/>
        <v>TWIN RIVERS WEST CREEKSteelhead</v>
      </c>
      <c r="AR770" s="26">
        <f t="shared" si="202"/>
        <v>0</v>
      </c>
      <c r="AS770" s="33">
        <f t="shared" si="203"/>
        <v>0</v>
      </c>
      <c r="AX770" s="47" t="str">
        <f t="shared" si="204"/>
        <v>TWIN RIVERS WEST CREEKSteelhead</v>
      </c>
      <c r="AY770" s="49">
        <f t="shared" si="205"/>
        <v>0</v>
      </c>
      <c r="AZ770" s="49">
        <f t="shared" si="206"/>
        <v>0</v>
      </c>
      <c r="BA770" s="31">
        <v>0</v>
      </c>
      <c r="BB770" s="188">
        <f t="shared" si="193"/>
        <v>0</v>
      </c>
      <c r="BC770" s="188" t="str">
        <f t="shared" si="197"/>
        <v xml:space="preserve"> </v>
      </c>
      <c r="BD770" s="188" t="str">
        <f t="shared" si="198"/>
        <v xml:space="preserve"> </v>
      </c>
      <c r="BE770" s="188" t="str">
        <f t="shared" si="199"/>
        <v xml:space="preserve"> </v>
      </c>
      <c r="BF770" s="50" t="str">
        <f t="shared" si="207"/>
        <v>TWIN RIVERS WEST CREEK_Steelhead</v>
      </c>
      <c r="BG770" s="50" t="str">
        <f>IFERROR(VLOOKUP(BF770,'[1]WCVI Esc'!$C$5:$W$514,18,FALSE),"-")</f>
        <v>-</v>
      </c>
      <c r="BH770" s="50" t="str">
        <f t="shared" si="194"/>
        <v>-</v>
      </c>
      <c r="BI770" s="50" t="str">
        <f>IFERROR(VLOOKUP(BF770,'[1]WCVI Esc'!$C$5:$W$514,19,FALSE),"-")</f>
        <v>-</v>
      </c>
      <c r="BJ770" s="50" t="str">
        <f t="shared" si="195"/>
        <v>-</v>
      </c>
    </row>
    <row r="771" spans="1:62" hidden="1" x14ac:dyDescent="0.2">
      <c r="A771" s="28">
        <v>4</v>
      </c>
      <c r="B771" s="28">
        <v>1</v>
      </c>
      <c r="C771" s="11">
        <v>23</v>
      </c>
      <c r="D771" s="13" t="s">
        <v>294</v>
      </c>
      <c r="E771" s="10" t="s">
        <v>110</v>
      </c>
      <c r="F771" s="10" t="s">
        <v>207</v>
      </c>
      <c r="G771" s="10"/>
      <c r="H771" s="152"/>
      <c r="I771" s="164"/>
      <c r="J771" s="62"/>
      <c r="K771" s="62"/>
      <c r="L771" s="177"/>
      <c r="M771" s="171"/>
      <c r="N771" s="62"/>
      <c r="O771" s="62"/>
      <c r="P771" s="62"/>
      <c r="Q771" s="64"/>
      <c r="R771" s="164"/>
      <c r="S771" s="62"/>
      <c r="T771" s="62"/>
      <c r="U771" s="62"/>
      <c r="V771" s="177"/>
      <c r="W771" s="171"/>
      <c r="X771" s="62"/>
      <c r="Y771" s="45"/>
      <c r="Z771" s="45"/>
      <c r="AA771" s="100"/>
      <c r="AB771" s="100"/>
      <c r="AC771" s="24"/>
      <c r="AD771" s="24"/>
      <c r="AE771" s="24"/>
      <c r="AF771" s="24"/>
      <c r="AG771" s="18">
        <v>23</v>
      </c>
      <c r="AH771" s="69" t="s">
        <v>294</v>
      </c>
      <c r="AI771" s="243" t="s">
        <v>110</v>
      </c>
      <c r="AJ771" s="243" t="s">
        <v>419</v>
      </c>
      <c r="AK771" s="246"/>
      <c r="AL771" s="43" t="str">
        <f t="shared" si="196"/>
        <v>-</v>
      </c>
      <c r="AM771" s="43">
        <f t="shared" si="200"/>
        <v>0</v>
      </c>
      <c r="AN771" s="193">
        <f t="shared" si="200"/>
        <v>0</v>
      </c>
      <c r="AO771" s="270" t="str">
        <f t="shared" si="201"/>
        <v>-</v>
      </c>
      <c r="AP771" s="266"/>
      <c r="AQ771" s="26" t="str">
        <f t="shared" ref="AQ771:AQ834" si="208">CONCATENATE(E771,F771)</f>
        <v>UCHUCK CREEKSockeye</v>
      </c>
      <c r="AR771" s="26">
        <f t="shared" si="202"/>
        <v>0</v>
      </c>
      <c r="AS771" s="33">
        <f t="shared" si="203"/>
        <v>0</v>
      </c>
      <c r="AX771" s="47" t="str">
        <f t="shared" si="204"/>
        <v>UCHUCK CREEKSockeye</v>
      </c>
      <c r="AY771" s="49">
        <f t="shared" si="205"/>
        <v>0</v>
      </c>
      <c r="AZ771" s="49">
        <f t="shared" si="206"/>
        <v>0</v>
      </c>
      <c r="BA771" s="31">
        <v>0</v>
      </c>
      <c r="BB771" s="188">
        <f t="shared" si="193"/>
        <v>0</v>
      </c>
      <c r="BC771" s="188" t="str">
        <f t="shared" si="197"/>
        <v xml:space="preserve"> </v>
      </c>
      <c r="BD771" s="188" t="str">
        <f t="shared" si="198"/>
        <v xml:space="preserve"> </v>
      </c>
      <c r="BE771" s="188" t="str">
        <f t="shared" si="199"/>
        <v xml:space="preserve"> </v>
      </c>
      <c r="BF771" s="50" t="str">
        <f t="shared" si="207"/>
        <v>UCHUCK CREEK_Sockeye</v>
      </c>
      <c r="BG771" s="50" t="str">
        <f>IFERROR(VLOOKUP(BF771,'[1]WCVI Esc'!$C$5:$W$514,18,FALSE),"-")</f>
        <v>-</v>
      </c>
      <c r="BH771" s="50" t="str">
        <f t="shared" si="194"/>
        <v>-</v>
      </c>
      <c r="BI771" s="50" t="str">
        <f>IFERROR(VLOOKUP(BF771,'[1]WCVI Esc'!$C$5:$W$514,19,FALSE),"-")</f>
        <v>-</v>
      </c>
      <c r="BJ771" s="50" t="str">
        <f t="shared" si="195"/>
        <v>-</v>
      </c>
    </row>
    <row r="772" spans="1:62" hidden="1" x14ac:dyDescent="0.2">
      <c r="A772" s="28">
        <v>4</v>
      </c>
      <c r="B772" s="28">
        <v>2</v>
      </c>
      <c r="C772" s="11">
        <v>23</v>
      </c>
      <c r="D772" s="13" t="s">
        <v>294</v>
      </c>
      <c r="E772" s="10" t="s">
        <v>110</v>
      </c>
      <c r="F772" s="10" t="s">
        <v>219</v>
      </c>
      <c r="G772" s="10"/>
      <c r="H772" s="152"/>
      <c r="I772" s="164"/>
      <c r="J772" s="62"/>
      <c r="K772" s="62"/>
      <c r="L772" s="177"/>
      <c r="M772" s="171"/>
      <c r="N772" s="62"/>
      <c r="O772" s="62"/>
      <c r="P772" s="62"/>
      <c r="Q772" s="64"/>
      <c r="R772" s="164"/>
      <c r="S772" s="62"/>
      <c r="T772" s="62"/>
      <c r="U772" s="62"/>
      <c r="V772" s="177"/>
      <c r="W772" s="171"/>
      <c r="X772" s="62"/>
      <c r="Y772" s="45"/>
      <c r="Z772" s="45"/>
      <c r="AA772" s="100">
        <f>Y772/AP772</f>
        <v>0</v>
      </c>
      <c r="AB772" s="100">
        <f>AS772/AP772</f>
        <v>0</v>
      </c>
      <c r="AC772" s="24"/>
      <c r="AD772" s="24"/>
      <c r="AE772" s="24"/>
      <c r="AF772" s="24"/>
      <c r="AG772" s="18">
        <v>23</v>
      </c>
      <c r="AH772" s="69" t="s">
        <v>294</v>
      </c>
      <c r="AI772" s="243" t="s">
        <v>110</v>
      </c>
      <c r="AJ772" s="243" t="s">
        <v>419</v>
      </c>
      <c r="AK772" s="246"/>
      <c r="AL772" s="43" t="str">
        <f t="shared" si="196"/>
        <v>-</v>
      </c>
      <c r="AM772" s="43">
        <f t="shared" si="200"/>
        <v>0</v>
      </c>
      <c r="AN772" s="193">
        <f t="shared" si="200"/>
        <v>0</v>
      </c>
      <c r="AO772" s="270">
        <f t="shared" si="201"/>
        <v>0</v>
      </c>
      <c r="AP772" s="265">
        <f>BJ772</f>
        <v>20</v>
      </c>
      <c r="AQ772" s="26" t="str">
        <f t="shared" si="208"/>
        <v>UCHUCK CREEKCoho</v>
      </c>
      <c r="AR772" s="26">
        <f t="shared" si="202"/>
        <v>0</v>
      </c>
      <c r="AS772" s="33">
        <f t="shared" si="203"/>
        <v>0</v>
      </c>
      <c r="AX772" s="47" t="str">
        <f t="shared" si="204"/>
        <v>UCHUCK CREEKCoho</v>
      </c>
      <c r="AY772" s="49">
        <f t="shared" si="205"/>
        <v>0</v>
      </c>
      <c r="AZ772" s="49">
        <f t="shared" si="206"/>
        <v>0</v>
      </c>
      <c r="BA772" s="31">
        <v>2013</v>
      </c>
      <c r="BB772" s="188">
        <f t="shared" si="193"/>
        <v>0</v>
      </c>
      <c r="BC772" s="188" t="str">
        <f t="shared" si="197"/>
        <v xml:space="preserve"> </v>
      </c>
      <c r="BD772" s="188" t="str">
        <f t="shared" si="198"/>
        <v xml:space="preserve"> </v>
      </c>
      <c r="BE772" s="188" t="str">
        <f t="shared" si="199"/>
        <v xml:space="preserve"> </v>
      </c>
      <c r="BF772" s="50" t="str">
        <f t="shared" si="207"/>
        <v>UCHUCK CREEK_Coho</v>
      </c>
      <c r="BG772" s="50">
        <f>IFERROR(VLOOKUP(BF772,'[1]WCVI Esc'!$C$5:$W$514,18,FALSE),"-")</f>
        <v>4</v>
      </c>
      <c r="BH772" s="50">
        <f t="shared" si="194"/>
        <v>0</v>
      </c>
      <c r="BI772" s="50">
        <f>IFERROR(VLOOKUP(BF772,'[1]WCVI Esc'!$C$5:$W$514,19,FALSE),"-")</f>
        <v>20</v>
      </c>
      <c r="BJ772" s="50">
        <f t="shared" si="195"/>
        <v>20</v>
      </c>
    </row>
    <row r="773" spans="1:62" hidden="1" x14ac:dyDescent="0.2">
      <c r="A773" s="28">
        <v>4</v>
      </c>
      <c r="B773" s="28">
        <v>3</v>
      </c>
      <c r="C773" s="11">
        <v>23</v>
      </c>
      <c r="D773" s="13" t="s">
        <v>294</v>
      </c>
      <c r="E773" s="10" t="s">
        <v>110</v>
      </c>
      <c r="F773" s="10" t="s">
        <v>208</v>
      </c>
      <c r="G773" s="10"/>
      <c r="H773" s="152"/>
      <c r="I773" s="164"/>
      <c r="J773" s="62"/>
      <c r="K773" s="62"/>
      <c r="L773" s="177"/>
      <c r="M773" s="171"/>
      <c r="N773" s="62"/>
      <c r="O773" s="62"/>
      <c r="P773" s="62"/>
      <c r="Q773" s="64"/>
      <c r="R773" s="164"/>
      <c r="S773" s="62"/>
      <c r="T773" s="62"/>
      <c r="U773" s="62"/>
      <c r="V773" s="177"/>
      <c r="W773" s="171"/>
      <c r="X773" s="62"/>
      <c r="Y773" s="45"/>
      <c r="Z773" s="45"/>
      <c r="AA773" s="100"/>
      <c r="AB773" s="100"/>
      <c r="AC773" s="24"/>
      <c r="AD773" s="24"/>
      <c r="AE773" s="24"/>
      <c r="AF773" s="24"/>
      <c r="AG773" s="18">
        <v>23</v>
      </c>
      <c r="AH773" s="69" t="s">
        <v>294</v>
      </c>
      <c r="AI773" s="243" t="s">
        <v>110</v>
      </c>
      <c r="AJ773" s="243" t="s">
        <v>419</v>
      </c>
      <c r="AK773" s="246"/>
      <c r="AL773" s="43" t="str">
        <f t="shared" si="196"/>
        <v>-</v>
      </c>
      <c r="AM773" s="43">
        <f t="shared" si="200"/>
        <v>0</v>
      </c>
      <c r="AN773" s="193">
        <f t="shared" si="200"/>
        <v>0</v>
      </c>
      <c r="AO773" s="270" t="str">
        <f t="shared" si="201"/>
        <v>-</v>
      </c>
      <c r="AP773" s="266"/>
      <c r="AQ773" s="26" t="str">
        <f t="shared" si="208"/>
        <v>UCHUCK CREEKPink</v>
      </c>
      <c r="AR773" s="26">
        <f t="shared" si="202"/>
        <v>0</v>
      </c>
      <c r="AS773" s="33">
        <f t="shared" si="203"/>
        <v>0</v>
      </c>
      <c r="AX773" s="47" t="str">
        <f t="shared" si="204"/>
        <v>UCHUCK CREEKPink</v>
      </c>
      <c r="AY773" s="49">
        <f t="shared" si="205"/>
        <v>0</v>
      </c>
      <c r="AZ773" s="49">
        <f t="shared" si="206"/>
        <v>0</v>
      </c>
      <c r="BA773" s="31">
        <v>0</v>
      </c>
      <c r="BB773" s="188">
        <f t="shared" si="193"/>
        <v>0</v>
      </c>
      <c r="BC773" s="188" t="str">
        <f t="shared" si="197"/>
        <v xml:space="preserve"> </v>
      </c>
      <c r="BD773" s="188" t="str">
        <f t="shared" si="198"/>
        <v xml:space="preserve"> </v>
      </c>
      <c r="BE773" s="188" t="str">
        <f t="shared" si="199"/>
        <v xml:space="preserve"> </v>
      </c>
      <c r="BF773" s="50" t="str">
        <f t="shared" si="207"/>
        <v>UCHUCK CREEK_Pink</v>
      </c>
      <c r="BG773" s="50" t="str">
        <f>IFERROR(VLOOKUP(BF773,'[1]WCVI Esc'!$C$5:$W$514,18,FALSE),"-")</f>
        <v>-</v>
      </c>
      <c r="BH773" s="50" t="str">
        <f t="shared" si="194"/>
        <v>-</v>
      </c>
      <c r="BI773" s="50" t="str">
        <f>IFERROR(VLOOKUP(BF773,'[1]WCVI Esc'!$C$5:$W$514,19,FALSE),"-")</f>
        <v>-</v>
      </c>
      <c r="BJ773" s="50" t="str">
        <f t="shared" si="195"/>
        <v>-</v>
      </c>
    </row>
    <row r="774" spans="1:62" hidden="1" x14ac:dyDescent="0.2">
      <c r="A774" s="28">
        <v>4</v>
      </c>
      <c r="B774" s="28">
        <v>4</v>
      </c>
      <c r="C774" s="11">
        <v>23</v>
      </c>
      <c r="D774" s="13" t="s">
        <v>294</v>
      </c>
      <c r="E774" s="10" t="s">
        <v>110</v>
      </c>
      <c r="F774" s="10" t="s">
        <v>209</v>
      </c>
      <c r="G774" s="10"/>
      <c r="H774" s="152"/>
      <c r="I774" s="164"/>
      <c r="J774" s="62"/>
      <c r="K774" s="62"/>
      <c r="L774" s="177"/>
      <c r="M774" s="171"/>
      <c r="N774" s="62"/>
      <c r="O774" s="62"/>
      <c r="P774" s="62"/>
      <c r="Q774" s="64"/>
      <c r="R774" s="164"/>
      <c r="S774" s="62"/>
      <c r="T774" s="62"/>
      <c r="U774" s="62"/>
      <c r="V774" s="177"/>
      <c r="W774" s="171"/>
      <c r="X774" s="62"/>
      <c r="Y774" s="45"/>
      <c r="Z774" s="45"/>
      <c r="AA774" s="100">
        <f>Y774/AP774</f>
        <v>0</v>
      </c>
      <c r="AB774" s="100">
        <f>AS774/AP774</f>
        <v>0</v>
      </c>
      <c r="AC774" s="24"/>
      <c r="AD774" s="24"/>
      <c r="AE774" s="24"/>
      <c r="AF774" s="24"/>
      <c r="AG774" s="18">
        <v>23</v>
      </c>
      <c r="AH774" s="69" t="s">
        <v>294</v>
      </c>
      <c r="AI774" s="243" t="s">
        <v>110</v>
      </c>
      <c r="AJ774" s="243" t="s">
        <v>419</v>
      </c>
      <c r="AK774" s="246"/>
      <c r="AL774" s="43" t="str">
        <f t="shared" si="196"/>
        <v>-</v>
      </c>
      <c r="AM774" s="43">
        <f t="shared" si="200"/>
        <v>0</v>
      </c>
      <c r="AN774" s="193">
        <f t="shared" si="200"/>
        <v>0</v>
      </c>
      <c r="AO774" s="270">
        <f t="shared" si="201"/>
        <v>20</v>
      </c>
      <c r="AP774" s="265">
        <f>BJ774</f>
        <v>110</v>
      </c>
      <c r="AQ774" s="26" t="str">
        <f t="shared" si="208"/>
        <v>UCHUCK CREEKChum</v>
      </c>
      <c r="AR774" s="26">
        <f t="shared" si="202"/>
        <v>0</v>
      </c>
      <c r="AS774" s="33">
        <f t="shared" si="203"/>
        <v>0</v>
      </c>
      <c r="AX774" s="47" t="str">
        <f t="shared" si="204"/>
        <v>UCHUCK CREEKChum</v>
      </c>
      <c r="AY774" s="49">
        <f t="shared" si="205"/>
        <v>0</v>
      </c>
      <c r="AZ774" s="49">
        <f t="shared" si="206"/>
        <v>0</v>
      </c>
      <c r="BA774" s="31">
        <v>2013</v>
      </c>
      <c r="BB774" s="188">
        <f t="shared" si="193"/>
        <v>0</v>
      </c>
      <c r="BC774" s="188" t="str">
        <f t="shared" si="197"/>
        <v xml:space="preserve"> </v>
      </c>
      <c r="BD774" s="188" t="str">
        <f t="shared" si="198"/>
        <v xml:space="preserve"> </v>
      </c>
      <c r="BE774" s="188" t="str">
        <f t="shared" si="199"/>
        <v xml:space="preserve"> </v>
      </c>
      <c r="BF774" s="50" t="str">
        <f t="shared" si="207"/>
        <v>UCHUCK CREEK_Chum</v>
      </c>
      <c r="BG774" s="50">
        <f>IFERROR(VLOOKUP(BF774,'[1]WCVI Esc'!$C$5:$W$514,18,FALSE),"-")</f>
        <v>19</v>
      </c>
      <c r="BH774" s="50">
        <f t="shared" si="194"/>
        <v>20</v>
      </c>
      <c r="BI774" s="50">
        <f>IFERROR(VLOOKUP(BF774,'[1]WCVI Esc'!$C$5:$W$514,19,FALSE),"-")</f>
        <v>111.5</v>
      </c>
      <c r="BJ774" s="50">
        <f t="shared" si="195"/>
        <v>110</v>
      </c>
    </row>
    <row r="775" spans="1:62" hidden="1" x14ac:dyDescent="0.2">
      <c r="A775" s="28">
        <v>4</v>
      </c>
      <c r="B775" s="28">
        <v>5</v>
      </c>
      <c r="C775" s="11">
        <v>23</v>
      </c>
      <c r="D775" s="13" t="s">
        <v>294</v>
      </c>
      <c r="E775" s="10" t="s">
        <v>110</v>
      </c>
      <c r="F775" s="10" t="s">
        <v>210</v>
      </c>
      <c r="G775" s="10"/>
      <c r="H775" s="152"/>
      <c r="I775" s="164"/>
      <c r="J775" s="62"/>
      <c r="K775" s="62"/>
      <c r="L775" s="177"/>
      <c r="M775" s="171"/>
      <c r="N775" s="62"/>
      <c r="O775" s="62"/>
      <c r="P775" s="62"/>
      <c r="Q775" s="64"/>
      <c r="R775" s="164"/>
      <c r="S775" s="62"/>
      <c r="T775" s="62"/>
      <c r="U775" s="62"/>
      <c r="V775" s="177"/>
      <c r="W775" s="171"/>
      <c r="X775" s="62"/>
      <c r="Y775" s="45"/>
      <c r="Z775" s="45"/>
      <c r="AA775" s="100"/>
      <c r="AB775" s="100"/>
      <c r="AC775" s="24"/>
      <c r="AD775" s="24"/>
      <c r="AE775" s="24"/>
      <c r="AF775" s="24"/>
      <c r="AG775" s="18">
        <v>23</v>
      </c>
      <c r="AH775" s="69" t="s">
        <v>294</v>
      </c>
      <c r="AI775" s="243" t="s">
        <v>110</v>
      </c>
      <c r="AJ775" s="243" t="s">
        <v>419</v>
      </c>
      <c r="AK775" s="246"/>
      <c r="AL775" s="43" t="str">
        <f t="shared" si="196"/>
        <v>-</v>
      </c>
      <c r="AM775" s="43">
        <f t="shared" si="200"/>
        <v>0</v>
      </c>
      <c r="AN775" s="193">
        <f t="shared" si="200"/>
        <v>0</v>
      </c>
      <c r="AO775" s="270" t="str">
        <f t="shared" si="201"/>
        <v>-</v>
      </c>
      <c r="AP775" s="266"/>
      <c r="AQ775" s="26" t="str">
        <f t="shared" si="208"/>
        <v>UCHUCK CREEKChinook</v>
      </c>
      <c r="AR775" s="26">
        <f t="shared" si="202"/>
        <v>0</v>
      </c>
      <c r="AS775" s="33">
        <f t="shared" si="203"/>
        <v>0</v>
      </c>
      <c r="AX775" s="47" t="str">
        <f t="shared" si="204"/>
        <v>UCHUCK CREEKChinook</v>
      </c>
      <c r="AY775" s="49">
        <f t="shared" si="205"/>
        <v>0</v>
      </c>
      <c r="AZ775" s="49">
        <f t="shared" si="206"/>
        <v>0</v>
      </c>
      <c r="BA775" s="31">
        <v>0</v>
      </c>
      <c r="BB775" s="188">
        <f t="shared" si="193"/>
        <v>0</v>
      </c>
      <c r="BC775" s="188" t="str">
        <f t="shared" si="197"/>
        <v xml:space="preserve"> </v>
      </c>
      <c r="BD775" s="188" t="str">
        <f t="shared" si="198"/>
        <v xml:space="preserve"> </v>
      </c>
      <c r="BE775" s="188" t="str">
        <f t="shared" si="199"/>
        <v xml:space="preserve"> </v>
      </c>
      <c r="BF775" s="50" t="str">
        <f t="shared" si="207"/>
        <v>UCHUCK CREEK_Chinook</v>
      </c>
      <c r="BG775" s="50" t="str">
        <f>IFERROR(VLOOKUP(BF775,'[1]WCVI Esc'!$C$5:$W$514,18,FALSE),"-")</f>
        <v>-</v>
      </c>
      <c r="BH775" s="50" t="str">
        <f t="shared" si="194"/>
        <v>-</v>
      </c>
      <c r="BI775" s="50" t="str">
        <f>IFERROR(VLOOKUP(BF775,'[1]WCVI Esc'!$C$5:$W$514,19,FALSE),"-")</f>
        <v>-</v>
      </c>
      <c r="BJ775" s="50" t="str">
        <f t="shared" si="195"/>
        <v>-</v>
      </c>
    </row>
    <row r="776" spans="1:62" hidden="1" x14ac:dyDescent="0.2">
      <c r="A776" s="28">
        <v>4</v>
      </c>
      <c r="B776" s="28">
        <v>6</v>
      </c>
      <c r="C776" s="11">
        <v>23</v>
      </c>
      <c r="D776" s="13" t="s">
        <v>294</v>
      </c>
      <c r="E776" s="10" t="s">
        <v>110</v>
      </c>
      <c r="F776" s="10" t="s">
        <v>211</v>
      </c>
      <c r="G776" s="10"/>
      <c r="H776" s="152"/>
      <c r="I776" s="164"/>
      <c r="J776" s="62"/>
      <c r="K776" s="62"/>
      <c r="L776" s="177"/>
      <c r="M776" s="171"/>
      <c r="N776" s="62"/>
      <c r="O776" s="62"/>
      <c r="P776" s="62"/>
      <c r="Q776" s="64"/>
      <c r="R776" s="164"/>
      <c r="S776" s="62"/>
      <c r="T776" s="62"/>
      <c r="U776" s="62"/>
      <c r="V776" s="177"/>
      <c r="W776" s="171"/>
      <c r="X776" s="62"/>
      <c r="Y776" s="45"/>
      <c r="Z776" s="45"/>
      <c r="AA776" s="100"/>
      <c r="AB776" s="100"/>
      <c r="AC776" s="24"/>
      <c r="AD776" s="24"/>
      <c r="AE776" s="24"/>
      <c r="AF776" s="24"/>
      <c r="AG776" s="18">
        <v>23</v>
      </c>
      <c r="AH776" s="69" t="s">
        <v>294</v>
      </c>
      <c r="AI776" s="243" t="s">
        <v>110</v>
      </c>
      <c r="AJ776" s="243" t="s">
        <v>419</v>
      </c>
      <c r="AK776" s="246"/>
      <c r="AL776" s="43" t="str">
        <f t="shared" si="196"/>
        <v>-</v>
      </c>
      <c r="AM776" s="43">
        <f t="shared" si="200"/>
        <v>0</v>
      </c>
      <c r="AN776" s="193">
        <f t="shared" si="200"/>
        <v>0</v>
      </c>
      <c r="AO776" s="270" t="str">
        <f t="shared" si="201"/>
        <v>-</v>
      </c>
      <c r="AP776" s="266"/>
      <c r="AQ776" s="26" t="str">
        <f t="shared" si="208"/>
        <v>UCHUCK CREEKSteelhead</v>
      </c>
      <c r="AR776" s="26">
        <f t="shared" si="202"/>
        <v>0</v>
      </c>
      <c r="AS776" s="33">
        <f t="shared" si="203"/>
        <v>0</v>
      </c>
      <c r="AX776" s="47" t="str">
        <f t="shared" si="204"/>
        <v>UCHUCK CREEKSteelhead</v>
      </c>
      <c r="AY776" s="49">
        <f t="shared" si="205"/>
        <v>0</v>
      </c>
      <c r="AZ776" s="49">
        <f t="shared" si="206"/>
        <v>0</v>
      </c>
      <c r="BA776" s="31">
        <v>0</v>
      </c>
      <c r="BB776" s="188">
        <f t="shared" si="193"/>
        <v>0</v>
      </c>
      <c r="BC776" s="188" t="str">
        <f t="shared" si="197"/>
        <v xml:space="preserve"> </v>
      </c>
      <c r="BD776" s="188" t="str">
        <f t="shared" si="198"/>
        <v xml:space="preserve"> </v>
      </c>
      <c r="BE776" s="188" t="str">
        <f t="shared" si="199"/>
        <v xml:space="preserve"> </v>
      </c>
      <c r="BF776" s="50" t="str">
        <f t="shared" si="207"/>
        <v>UCHUCK CREEK_Steelhead</v>
      </c>
      <c r="BG776" s="50" t="str">
        <f>IFERROR(VLOOKUP(BF776,'[1]WCVI Esc'!$C$5:$W$514,18,FALSE),"-")</f>
        <v>-</v>
      </c>
      <c r="BH776" s="50" t="str">
        <f t="shared" si="194"/>
        <v>-</v>
      </c>
      <c r="BI776" s="50" t="str">
        <f>IFERROR(VLOOKUP(BF776,'[1]WCVI Esc'!$C$5:$W$514,19,FALSE),"-")</f>
        <v>-</v>
      </c>
      <c r="BJ776" s="50" t="str">
        <f t="shared" si="195"/>
        <v>-</v>
      </c>
    </row>
    <row r="777" spans="1:62" hidden="1" x14ac:dyDescent="0.2">
      <c r="A777" s="28">
        <v>4</v>
      </c>
      <c r="B777" s="28">
        <v>1</v>
      </c>
      <c r="C777" s="11">
        <v>23</v>
      </c>
      <c r="D777" s="13" t="s">
        <v>294</v>
      </c>
      <c r="E777" s="10" t="s">
        <v>111</v>
      </c>
      <c r="F777" s="10" t="s">
        <v>207</v>
      </c>
      <c r="G777" s="10"/>
      <c r="H777" s="152"/>
      <c r="I777" s="164"/>
      <c r="J777" s="62"/>
      <c r="K777" s="62"/>
      <c r="L777" s="177"/>
      <c r="M777" s="171"/>
      <c r="N777" s="62"/>
      <c r="O777" s="62"/>
      <c r="P777" s="62"/>
      <c r="Q777" s="64"/>
      <c r="R777" s="164"/>
      <c r="S777" s="62"/>
      <c r="T777" s="62"/>
      <c r="U777" s="62"/>
      <c r="V777" s="177"/>
      <c r="W777" s="171"/>
      <c r="X777" s="62"/>
      <c r="Y777" s="45"/>
      <c r="Z777" s="45"/>
      <c r="AA777" s="100"/>
      <c r="AB777" s="100"/>
      <c r="AC777" s="24"/>
      <c r="AD777" s="24"/>
      <c r="AE777" s="24"/>
      <c r="AF777" s="24"/>
      <c r="AG777" s="18">
        <v>23</v>
      </c>
      <c r="AH777" s="69" t="s">
        <v>294</v>
      </c>
      <c r="AI777" s="243" t="s">
        <v>111</v>
      </c>
      <c r="AJ777" s="243" t="s">
        <v>419</v>
      </c>
      <c r="AK777" s="246"/>
      <c r="AL777" s="43" t="str">
        <f t="shared" si="196"/>
        <v>-</v>
      </c>
      <c r="AM777" s="43">
        <f t="shared" si="200"/>
        <v>0</v>
      </c>
      <c r="AN777" s="193">
        <f t="shared" si="200"/>
        <v>0</v>
      </c>
      <c r="AO777" s="270" t="str">
        <f t="shared" si="201"/>
        <v>-</v>
      </c>
      <c r="AP777" s="266"/>
      <c r="AQ777" s="26" t="str">
        <f t="shared" si="208"/>
        <v>USELESS CREEKSockeye</v>
      </c>
      <c r="AR777" s="26">
        <f t="shared" si="202"/>
        <v>0</v>
      </c>
      <c r="AS777" s="33">
        <f t="shared" si="203"/>
        <v>0</v>
      </c>
      <c r="AX777" s="47" t="str">
        <f t="shared" si="204"/>
        <v>USELESS CREEKSockeye</v>
      </c>
      <c r="AY777" s="49">
        <f t="shared" si="205"/>
        <v>0</v>
      </c>
      <c r="AZ777" s="49">
        <f t="shared" si="206"/>
        <v>0</v>
      </c>
      <c r="BA777" s="31">
        <v>0</v>
      </c>
      <c r="BB777" s="188">
        <f t="shared" ref="BB777:BB840" si="209">AK777</f>
        <v>0</v>
      </c>
      <c r="BC777" s="188" t="str">
        <f t="shared" si="197"/>
        <v xml:space="preserve"> </v>
      </c>
      <c r="BD777" s="188" t="str">
        <f t="shared" si="198"/>
        <v xml:space="preserve"> </v>
      </c>
      <c r="BE777" s="188" t="str">
        <f t="shared" si="199"/>
        <v xml:space="preserve"> </v>
      </c>
      <c r="BF777" s="50" t="str">
        <f t="shared" si="207"/>
        <v>USELESS CREEK_Sockeye</v>
      </c>
      <c r="BG777" s="50" t="str">
        <f>IFERROR(VLOOKUP(BF777,'[1]WCVI Esc'!$C$5:$W$514,18,FALSE),"-")</f>
        <v>-</v>
      </c>
      <c r="BH777" s="50" t="str">
        <f t="shared" ref="BH777:BH840" si="210">IFERROR(ROUND(BG777,-1),"-")</f>
        <v>-</v>
      </c>
      <c r="BI777" s="50" t="str">
        <f>IFERROR(VLOOKUP(BF777,'[1]WCVI Esc'!$C$5:$W$514,19,FALSE),"-")</f>
        <v>-</v>
      </c>
      <c r="BJ777" s="50" t="str">
        <f t="shared" ref="BJ777:BJ840" si="211">IFERROR(ROUND(BI777,-1),"-")</f>
        <v>-</v>
      </c>
    </row>
    <row r="778" spans="1:62" hidden="1" x14ac:dyDescent="0.2">
      <c r="A778" s="28">
        <v>4</v>
      </c>
      <c r="B778" s="28">
        <v>2</v>
      </c>
      <c r="C778" s="11">
        <v>23</v>
      </c>
      <c r="D778" s="13" t="s">
        <v>294</v>
      </c>
      <c r="E778" s="10" t="s">
        <v>111</v>
      </c>
      <c r="F778" s="10" t="s">
        <v>219</v>
      </c>
      <c r="G778" s="10"/>
      <c r="H778" s="152"/>
      <c r="I778" s="164"/>
      <c r="J778" s="62"/>
      <c r="K778" s="62"/>
      <c r="L778" s="177"/>
      <c r="M778" s="171"/>
      <c r="N778" s="62"/>
      <c r="O778" s="62"/>
      <c r="P778" s="62"/>
      <c r="Q778" s="64"/>
      <c r="R778" s="164"/>
      <c r="S778" s="62"/>
      <c r="T778" s="62"/>
      <c r="U778" s="62"/>
      <c r="V778" s="177"/>
      <c r="W778" s="171"/>
      <c r="X778" s="62"/>
      <c r="Y778" s="45"/>
      <c r="Z778" s="45"/>
      <c r="AA778" s="100"/>
      <c r="AB778" s="100"/>
      <c r="AC778" s="24"/>
      <c r="AD778" s="24"/>
      <c r="AE778" s="24"/>
      <c r="AF778" s="24"/>
      <c r="AG778" s="18">
        <v>23</v>
      </c>
      <c r="AH778" s="69" t="s">
        <v>294</v>
      </c>
      <c r="AI778" s="243" t="s">
        <v>111</v>
      </c>
      <c r="AJ778" s="243" t="s">
        <v>419</v>
      </c>
      <c r="AK778" s="246"/>
      <c r="AL778" s="43" t="str">
        <f t="shared" ref="AL778:AL841" si="212">IF(BE778=" ",IF(BD778=" ", IF(BC778=" ","-",BC778),BD778), BE778)</f>
        <v>-</v>
      </c>
      <c r="AM778" s="43">
        <f t="shared" si="200"/>
        <v>0</v>
      </c>
      <c r="AN778" s="193">
        <f t="shared" si="200"/>
        <v>0</v>
      </c>
      <c r="AO778" s="270" t="str">
        <f t="shared" si="201"/>
        <v>-</v>
      </c>
      <c r="AP778" s="266"/>
      <c r="AQ778" s="26" t="str">
        <f t="shared" si="208"/>
        <v>USELESS CREEKCoho</v>
      </c>
      <c r="AR778" s="26">
        <f t="shared" si="202"/>
        <v>0</v>
      </c>
      <c r="AS778" s="33">
        <f t="shared" si="203"/>
        <v>0</v>
      </c>
      <c r="AX778" s="47" t="str">
        <f t="shared" si="204"/>
        <v>USELESS CREEKCoho</v>
      </c>
      <c r="AY778" s="49">
        <f t="shared" si="205"/>
        <v>0</v>
      </c>
      <c r="AZ778" s="49">
        <f t="shared" si="206"/>
        <v>0</v>
      </c>
      <c r="BA778" s="31">
        <v>1979</v>
      </c>
      <c r="BB778" s="188">
        <f t="shared" si="209"/>
        <v>0</v>
      </c>
      <c r="BC778" s="188" t="str">
        <f t="shared" ref="BC778:BC841" si="213">IF(ISNUMBER(M778),M$8,IF(ISNUMBER(L778),L$8,IF(ISNUMBER(K778),K$8,IF(ISNUMBER(J778),J$8,IF(ISNUMBER(I778),I$8,IF(ISNUMBER(H778),H$8, IF(ISNUMBER(G778),G$8," ")))))))</f>
        <v xml:space="preserve"> </v>
      </c>
      <c r="BD778" s="188" t="str">
        <f t="shared" ref="BD778:BD841" si="214">IF(ISNUMBER(S778),S$8,IF(ISNUMBER(R778),R$8,IF(ISNUMBER(Q778),Q$8,IF(ISNUMBER(P778),P$8,IF(ISNUMBER(O778),O$8,IF(ISNUMBER(N778),N$8," "))))))</f>
        <v xml:space="preserve"> </v>
      </c>
      <c r="BE778" s="188" t="str">
        <f t="shared" ref="BE778:BE841" si="215">IF(ISNUMBER(X778),X$8,IF(ISNUMBER(W778),W$8,IF(ISNUMBER(V778),V$8,IF(ISNUMBER(U778),U$8,IF(ISNUMBER(T778),T$8," ")))))</f>
        <v xml:space="preserve"> </v>
      </c>
      <c r="BF778" s="50" t="str">
        <f t="shared" si="207"/>
        <v>USELESS CREEK_Coho</v>
      </c>
      <c r="BG778" s="50" t="str">
        <f>IFERROR(VLOOKUP(BF778,'[1]WCVI Esc'!$C$5:$W$514,18,FALSE),"-")</f>
        <v>-</v>
      </c>
      <c r="BH778" s="50" t="str">
        <f t="shared" si="210"/>
        <v>-</v>
      </c>
      <c r="BI778" s="50" t="str">
        <f>IFERROR(VLOOKUP(BF778,'[1]WCVI Esc'!$C$5:$W$514,19,FALSE),"-")</f>
        <v>-</v>
      </c>
      <c r="BJ778" s="50" t="str">
        <f t="shared" si="211"/>
        <v>-</v>
      </c>
    </row>
    <row r="779" spans="1:62" hidden="1" x14ac:dyDescent="0.2">
      <c r="A779" s="28">
        <v>4</v>
      </c>
      <c r="B779" s="28">
        <v>3</v>
      </c>
      <c r="C779" s="11">
        <v>23</v>
      </c>
      <c r="D779" s="13" t="s">
        <v>294</v>
      </c>
      <c r="E779" s="10" t="s">
        <v>111</v>
      </c>
      <c r="F779" s="10" t="s">
        <v>208</v>
      </c>
      <c r="G779" s="10"/>
      <c r="H779" s="152"/>
      <c r="I779" s="164"/>
      <c r="J779" s="62"/>
      <c r="K779" s="62"/>
      <c r="L779" s="177"/>
      <c r="M779" s="171"/>
      <c r="N779" s="62"/>
      <c r="O779" s="62"/>
      <c r="P779" s="62"/>
      <c r="Q779" s="64"/>
      <c r="R779" s="164"/>
      <c r="S779" s="62"/>
      <c r="T779" s="62"/>
      <c r="U779" s="62"/>
      <c r="V779" s="177"/>
      <c r="W779" s="171"/>
      <c r="X779" s="62"/>
      <c r="Y779" s="45"/>
      <c r="Z779" s="45"/>
      <c r="AA779" s="100"/>
      <c r="AB779" s="100"/>
      <c r="AC779" s="24"/>
      <c r="AD779" s="24"/>
      <c r="AE779" s="24"/>
      <c r="AF779" s="24"/>
      <c r="AG779" s="18">
        <v>23</v>
      </c>
      <c r="AH779" s="69" t="s">
        <v>294</v>
      </c>
      <c r="AI779" s="243" t="s">
        <v>111</v>
      </c>
      <c r="AJ779" s="243" t="s">
        <v>419</v>
      </c>
      <c r="AK779" s="246"/>
      <c r="AL779" s="43" t="str">
        <f t="shared" si="212"/>
        <v>-</v>
      </c>
      <c r="AM779" s="43">
        <f t="shared" si="200"/>
        <v>0</v>
      </c>
      <c r="AN779" s="193">
        <f t="shared" si="200"/>
        <v>0</v>
      </c>
      <c r="AO779" s="270" t="str">
        <f t="shared" si="201"/>
        <v>-</v>
      </c>
      <c r="AP779" s="266"/>
      <c r="AQ779" s="26" t="str">
        <f t="shared" si="208"/>
        <v>USELESS CREEKPink</v>
      </c>
      <c r="AR779" s="26">
        <f t="shared" si="202"/>
        <v>0</v>
      </c>
      <c r="AS779" s="33">
        <f t="shared" si="203"/>
        <v>0</v>
      </c>
      <c r="AX779" s="47" t="str">
        <f t="shared" si="204"/>
        <v>USELESS CREEKPink</v>
      </c>
      <c r="AY779" s="49">
        <f t="shared" si="205"/>
        <v>0</v>
      </c>
      <c r="AZ779" s="49">
        <f t="shared" si="206"/>
        <v>0</v>
      </c>
      <c r="BA779" s="31">
        <v>0</v>
      </c>
      <c r="BB779" s="188">
        <f t="shared" si="209"/>
        <v>0</v>
      </c>
      <c r="BC779" s="188" t="str">
        <f t="shared" si="213"/>
        <v xml:space="preserve"> </v>
      </c>
      <c r="BD779" s="188" t="str">
        <f t="shared" si="214"/>
        <v xml:space="preserve"> </v>
      </c>
      <c r="BE779" s="188" t="str">
        <f t="shared" si="215"/>
        <v xml:space="preserve"> </v>
      </c>
      <c r="BF779" s="50" t="str">
        <f t="shared" si="207"/>
        <v>USELESS CREEK_Pink</v>
      </c>
      <c r="BG779" s="50" t="str">
        <f>IFERROR(VLOOKUP(BF779,'[1]WCVI Esc'!$C$5:$W$514,18,FALSE),"-")</f>
        <v>-</v>
      </c>
      <c r="BH779" s="50" t="str">
        <f t="shared" si="210"/>
        <v>-</v>
      </c>
      <c r="BI779" s="50" t="str">
        <f>IFERROR(VLOOKUP(BF779,'[1]WCVI Esc'!$C$5:$W$514,19,FALSE),"-")</f>
        <v>-</v>
      </c>
      <c r="BJ779" s="50" t="str">
        <f t="shared" si="211"/>
        <v>-</v>
      </c>
    </row>
    <row r="780" spans="1:62" hidden="1" x14ac:dyDescent="0.2">
      <c r="A780" s="28">
        <v>4</v>
      </c>
      <c r="B780" s="28">
        <v>4</v>
      </c>
      <c r="C780" s="11">
        <v>23</v>
      </c>
      <c r="D780" s="13" t="s">
        <v>294</v>
      </c>
      <c r="E780" s="10" t="s">
        <v>111</v>
      </c>
      <c r="F780" s="10" t="s">
        <v>209</v>
      </c>
      <c r="G780" s="10"/>
      <c r="H780" s="152"/>
      <c r="I780" s="164"/>
      <c r="J780" s="62"/>
      <c r="K780" s="62"/>
      <c r="L780" s="177"/>
      <c r="M780" s="171"/>
      <c r="N780" s="62"/>
      <c r="O780" s="62"/>
      <c r="P780" s="62"/>
      <c r="Q780" s="64"/>
      <c r="R780" s="164"/>
      <c r="S780" s="62"/>
      <c r="T780" s="62"/>
      <c r="U780" s="62"/>
      <c r="V780" s="177"/>
      <c r="W780" s="171"/>
      <c r="X780" s="62"/>
      <c r="Y780" s="45"/>
      <c r="Z780" s="45"/>
      <c r="AA780" s="100"/>
      <c r="AB780" s="100"/>
      <c r="AC780" s="24"/>
      <c r="AD780" s="24"/>
      <c r="AE780" s="24"/>
      <c r="AF780" s="24"/>
      <c r="AG780" s="18">
        <v>23</v>
      </c>
      <c r="AH780" s="69" t="s">
        <v>294</v>
      </c>
      <c r="AI780" s="243" t="s">
        <v>111</v>
      </c>
      <c r="AJ780" s="243" t="s">
        <v>419</v>
      </c>
      <c r="AK780" s="246"/>
      <c r="AL780" s="43" t="str">
        <f t="shared" si="212"/>
        <v>-</v>
      </c>
      <c r="AM780" s="43">
        <f t="shared" si="200"/>
        <v>0</v>
      </c>
      <c r="AN780" s="193">
        <f t="shared" si="200"/>
        <v>0</v>
      </c>
      <c r="AO780" s="270" t="str">
        <f t="shared" si="201"/>
        <v>-</v>
      </c>
      <c r="AP780" s="266"/>
      <c r="AQ780" s="26" t="str">
        <f t="shared" si="208"/>
        <v>USELESS CREEKChum</v>
      </c>
      <c r="AR780" s="26">
        <f t="shared" si="202"/>
        <v>0</v>
      </c>
      <c r="AS780" s="33">
        <f t="shared" si="203"/>
        <v>0</v>
      </c>
      <c r="AX780" s="47" t="str">
        <f t="shared" si="204"/>
        <v>USELESS CREEKChum</v>
      </c>
      <c r="AY780" s="49">
        <f t="shared" si="205"/>
        <v>0</v>
      </c>
      <c r="AZ780" s="49">
        <f t="shared" si="206"/>
        <v>0</v>
      </c>
      <c r="BA780" s="31">
        <v>1998</v>
      </c>
      <c r="BB780" s="188">
        <f t="shared" si="209"/>
        <v>0</v>
      </c>
      <c r="BC780" s="188" t="str">
        <f t="shared" si="213"/>
        <v xml:space="preserve"> </v>
      </c>
      <c r="BD780" s="188" t="str">
        <f t="shared" si="214"/>
        <v xml:space="preserve"> </v>
      </c>
      <c r="BE780" s="188" t="str">
        <f t="shared" si="215"/>
        <v xml:space="preserve"> </v>
      </c>
      <c r="BF780" s="50" t="str">
        <f t="shared" si="207"/>
        <v>USELESS CREEK_Chum</v>
      </c>
      <c r="BG780" s="50" t="str">
        <f>IFERROR(VLOOKUP(BF780,'[1]WCVI Esc'!$C$5:$W$514,18,FALSE),"-")</f>
        <v>-</v>
      </c>
      <c r="BH780" s="50" t="str">
        <f t="shared" si="210"/>
        <v>-</v>
      </c>
      <c r="BI780" s="50" t="str">
        <f>IFERROR(VLOOKUP(BF780,'[1]WCVI Esc'!$C$5:$W$514,19,FALSE),"-")</f>
        <v>-</v>
      </c>
      <c r="BJ780" s="50" t="str">
        <f t="shared" si="211"/>
        <v>-</v>
      </c>
    </row>
    <row r="781" spans="1:62" hidden="1" x14ac:dyDescent="0.2">
      <c r="A781" s="28">
        <v>4</v>
      </c>
      <c r="B781" s="28">
        <v>5</v>
      </c>
      <c r="C781" s="11">
        <v>23</v>
      </c>
      <c r="D781" s="13" t="s">
        <v>294</v>
      </c>
      <c r="E781" s="10" t="s">
        <v>111</v>
      </c>
      <c r="F781" s="10" t="s">
        <v>210</v>
      </c>
      <c r="G781" s="10"/>
      <c r="H781" s="152"/>
      <c r="I781" s="164"/>
      <c r="J781" s="62"/>
      <c r="K781" s="62"/>
      <c r="L781" s="177"/>
      <c r="M781" s="171"/>
      <c r="N781" s="62"/>
      <c r="O781" s="62"/>
      <c r="P781" s="62"/>
      <c r="Q781" s="64"/>
      <c r="R781" s="164"/>
      <c r="S781" s="62"/>
      <c r="T781" s="62"/>
      <c r="U781" s="62"/>
      <c r="V781" s="177"/>
      <c r="W781" s="171"/>
      <c r="X781" s="62"/>
      <c r="Y781" s="45"/>
      <c r="Z781" s="45"/>
      <c r="AA781" s="100"/>
      <c r="AB781" s="100"/>
      <c r="AC781" s="24"/>
      <c r="AD781" s="24"/>
      <c r="AE781" s="24"/>
      <c r="AF781" s="24"/>
      <c r="AG781" s="18">
        <v>23</v>
      </c>
      <c r="AH781" s="69" t="s">
        <v>294</v>
      </c>
      <c r="AI781" s="243" t="s">
        <v>111</v>
      </c>
      <c r="AJ781" s="243" t="s">
        <v>419</v>
      </c>
      <c r="AK781" s="246"/>
      <c r="AL781" s="43" t="str">
        <f t="shared" si="212"/>
        <v>-</v>
      </c>
      <c r="AM781" s="43">
        <f t="shared" si="200"/>
        <v>0</v>
      </c>
      <c r="AN781" s="193">
        <f t="shared" si="200"/>
        <v>0</v>
      </c>
      <c r="AO781" s="270" t="str">
        <f t="shared" si="201"/>
        <v>-</v>
      </c>
      <c r="AP781" s="266"/>
      <c r="AQ781" s="26" t="str">
        <f t="shared" si="208"/>
        <v>USELESS CREEKChinook</v>
      </c>
      <c r="AR781" s="26">
        <f t="shared" si="202"/>
        <v>0</v>
      </c>
      <c r="AS781" s="33">
        <f t="shared" si="203"/>
        <v>0</v>
      </c>
      <c r="AX781" s="47" t="str">
        <f t="shared" si="204"/>
        <v>USELESS CREEKChinook</v>
      </c>
      <c r="AY781" s="49">
        <f t="shared" si="205"/>
        <v>0</v>
      </c>
      <c r="AZ781" s="49">
        <f t="shared" si="206"/>
        <v>0</v>
      </c>
      <c r="BA781" s="31">
        <v>0</v>
      </c>
      <c r="BB781" s="188">
        <f t="shared" si="209"/>
        <v>0</v>
      </c>
      <c r="BC781" s="188" t="str">
        <f t="shared" si="213"/>
        <v xml:space="preserve"> </v>
      </c>
      <c r="BD781" s="188" t="str">
        <f t="shared" si="214"/>
        <v xml:space="preserve"> </v>
      </c>
      <c r="BE781" s="188" t="str">
        <f t="shared" si="215"/>
        <v xml:space="preserve"> </v>
      </c>
      <c r="BF781" s="50" t="str">
        <f t="shared" si="207"/>
        <v>USELESS CREEK_Chinook</v>
      </c>
      <c r="BG781" s="50" t="str">
        <f>IFERROR(VLOOKUP(BF781,'[1]WCVI Esc'!$C$5:$W$514,18,FALSE),"-")</f>
        <v>-</v>
      </c>
      <c r="BH781" s="50" t="str">
        <f t="shared" si="210"/>
        <v>-</v>
      </c>
      <c r="BI781" s="50" t="str">
        <f>IFERROR(VLOOKUP(BF781,'[1]WCVI Esc'!$C$5:$W$514,19,FALSE),"-")</f>
        <v>-</v>
      </c>
      <c r="BJ781" s="50" t="str">
        <f t="shared" si="211"/>
        <v>-</v>
      </c>
    </row>
    <row r="782" spans="1:62" hidden="1" x14ac:dyDescent="0.2">
      <c r="A782" s="28">
        <v>4</v>
      </c>
      <c r="B782" s="28">
        <v>6</v>
      </c>
      <c r="C782" s="11">
        <v>23</v>
      </c>
      <c r="D782" s="13" t="s">
        <v>294</v>
      </c>
      <c r="E782" s="10" t="s">
        <v>111</v>
      </c>
      <c r="F782" s="10" t="s">
        <v>211</v>
      </c>
      <c r="G782" s="10"/>
      <c r="H782" s="152"/>
      <c r="I782" s="164"/>
      <c r="J782" s="62"/>
      <c r="K782" s="62"/>
      <c r="L782" s="177"/>
      <c r="M782" s="171"/>
      <c r="N782" s="62"/>
      <c r="O782" s="62"/>
      <c r="P782" s="62"/>
      <c r="Q782" s="64"/>
      <c r="R782" s="164"/>
      <c r="S782" s="62"/>
      <c r="T782" s="62"/>
      <c r="U782" s="62"/>
      <c r="V782" s="177"/>
      <c r="W782" s="171"/>
      <c r="X782" s="62"/>
      <c r="Y782" s="45"/>
      <c r="Z782" s="45"/>
      <c r="AA782" s="100"/>
      <c r="AB782" s="100"/>
      <c r="AC782" s="24"/>
      <c r="AD782" s="24"/>
      <c r="AE782" s="24"/>
      <c r="AF782" s="24"/>
      <c r="AG782" s="18">
        <v>23</v>
      </c>
      <c r="AH782" s="69" t="s">
        <v>294</v>
      </c>
      <c r="AI782" s="243" t="s">
        <v>111</v>
      </c>
      <c r="AJ782" s="243" t="s">
        <v>419</v>
      </c>
      <c r="AK782" s="246"/>
      <c r="AL782" s="43" t="str">
        <f t="shared" si="212"/>
        <v>-</v>
      </c>
      <c r="AM782" s="43">
        <f t="shared" si="200"/>
        <v>0</v>
      </c>
      <c r="AN782" s="193">
        <f t="shared" si="200"/>
        <v>0</v>
      </c>
      <c r="AO782" s="270" t="str">
        <f t="shared" si="201"/>
        <v>-</v>
      </c>
      <c r="AP782" s="266"/>
      <c r="AQ782" s="26" t="str">
        <f t="shared" si="208"/>
        <v>USELESS CREEKSteelhead</v>
      </c>
      <c r="AR782" s="26">
        <f t="shared" si="202"/>
        <v>0</v>
      </c>
      <c r="AS782" s="33">
        <f t="shared" si="203"/>
        <v>0</v>
      </c>
      <c r="AX782" s="47" t="str">
        <f t="shared" si="204"/>
        <v>USELESS CREEKSteelhead</v>
      </c>
      <c r="AY782" s="49">
        <f t="shared" si="205"/>
        <v>0</v>
      </c>
      <c r="AZ782" s="49">
        <f t="shared" si="206"/>
        <v>0</v>
      </c>
      <c r="BA782" s="31">
        <v>0</v>
      </c>
      <c r="BB782" s="188">
        <f t="shared" si="209"/>
        <v>0</v>
      </c>
      <c r="BC782" s="188" t="str">
        <f t="shared" si="213"/>
        <v xml:space="preserve"> </v>
      </c>
      <c r="BD782" s="188" t="str">
        <f t="shared" si="214"/>
        <v xml:space="preserve"> </v>
      </c>
      <c r="BE782" s="188" t="str">
        <f t="shared" si="215"/>
        <v xml:space="preserve"> </v>
      </c>
      <c r="BF782" s="50" t="str">
        <f t="shared" si="207"/>
        <v>USELESS CREEK_Steelhead</v>
      </c>
      <c r="BG782" s="50" t="str">
        <f>IFERROR(VLOOKUP(BF782,'[1]WCVI Esc'!$C$5:$W$514,18,FALSE),"-")</f>
        <v>-</v>
      </c>
      <c r="BH782" s="50" t="str">
        <f t="shared" si="210"/>
        <v>-</v>
      </c>
      <c r="BI782" s="50" t="str">
        <f>IFERROR(VLOOKUP(BF782,'[1]WCVI Esc'!$C$5:$W$514,19,FALSE),"-")</f>
        <v>-</v>
      </c>
      <c r="BJ782" s="50" t="str">
        <f t="shared" si="211"/>
        <v>-</v>
      </c>
    </row>
    <row r="783" spans="1:62" hidden="1" x14ac:dyDescent="0.2">
      <c r="A783" s="28">
        <v>4</v>
      </c>
      <c r="B783" s="28">
        <v>1</v>
      </c>
      <c r="C783" s="11">
        <v>23</v>
      </c>
      <c r="D783" s="13" t="s">
        <v>358</v>
      </c>
      <c r="E783" s="10" t="s">
        <v>112</v>
      </c>
      <c r="F783" s="10" t="s">
        <v>207</v>
      </c>
      <c r="G783" s="10"/>
      <c r="H783" s="152"/>
      <c r="I783" s="164"/>
      <c r="J783" s="62"/>
      <c r="K783" s="62"/>
      <c r="L783" s="177"/>
      <c r="M783" s="171"/>
      <c r="N783" s="62"/>
      <c r="O783" s="62"/>
      <c r="P783" s="62"/>
      <c r="Q783" s="64"/>
      <c r="R783" s="164"/>
      <c r="S783" s="62"/>
      <c r="T783" s="62"/>
      <c r="U783" s="62"/>
      <c r="V783" s="177"/>
      <c r="W783" s="171"/>
      <c r="X783" s="62"/>
      <c r="Y783" s="45"/>
      <c r="Z783" s="45"/>
      <c r="AA783" s="100"/>
      <c r="AB783" s="100"/>
      <c r="AC783" s="24"/>
      <c r="AD783" s="24"/>
      <c r="AE783" s="24"/>
      <c r="AF783" s="24"/>
      <c r="AG783" s="18">
        <v>23</v>
      </c>
      <c r="AH783" s="69" t="s">
        <v>358</v>
      </c>
      <c r="AI783" s="243" t="s">
        <v>112</v>
      </c>
      <c r="AJ783" s="243" t="s">
        <v>419</v>
      </c>
      <c r="AK783" s="246"/>
      <c r="AL783" s="43" t="str">
        <f t="shared" si="212"/>
        <v>-</v>
      </c>
      <c r="AM783" s="43">
        <f t="shared" si="200"/>
        <v>0</v>
      </c>
      <c r="AN783" s="193">
        <f t="shared" si="200"/>
        <v>0</v>
      </c>
      <c r="AO783" s="270" t="str">
        <f t="shared" si="201"/>
        <v>-</v>
      </c>
      <c r="AP783" s="268"/>
      <c r="AQ783" s="26" t="str">
        <f t="shared" si="208"/>
        <v>VERNON BAY CREEKSockeye</v>
      </c>
      <c r="AR783" s="26">
        <f t="shared" si="202"/>
        <v>0</v>
      </c>
      <c r="AS783" s="33">
        <f t="shared" si="203"/>
        <v>0</v>
      </c>
      <c r="AX783" s="47" t="str">
        <f t="shared" si="204"/>
        <v>VERNON BAY CREEKSockeye</v>
      </c>
      <c r="AY783" s="49">
        <f t="shared" si="205"/>
        <v>0</v>
      </c>
      <c r="AZ783" s="49">
        <f t="shared" si="206"/>
        <v>0</v>
      </c>
      <c r="BA783" s="31">
        <v>0</v>
      </c>
      <c r="BB783" s="188">
        <f t="shared" si="209"/>
        <v>0</v>
      </c>
      <c r="BC783" s="188" t="str">
        <f t="shared" si="213"/>
        <v xml:space="preserve"> </v>
      </c>
      <c r="BD783" s="188" t="str">
        <f t="shared" si="214"/>
        <v xml:space="preserve"> </v>
      </c>
      <c r="BE783" s="188" t="str">
        <f t="shared" si="215"/>
        <v xml:space="preserve"> </v>
      </c>
      <c r="BF783" s="50" t="str">
        <f t="shared" si="207"/>
        <v>VERNON BAY CREEK_Sockeye</v>
      </c>
      <c r="BG783" s="50" t="str">
        <f>IFERROR(VLOOKUP(BF783,'[1]WCVI Esc'!$C$5:$W$514,18,FALSE),"-")</f>
        <v>-</v>
      </c>
      <c r="BH783" s="50" t="str">
        <f t="shared" si="210"/>
        <v>-</v>
      </c>
      <c r="BI783" s="50" t="str">
        <f>IFERROR(VLOOKUP(BF783,'[1]WCVI Esc'!$C$5:$W$514,19,FALSE),"-")</f>
        <v>-</v>
      </c>
      <c r="BJ783" s="50" t="str">
        <f t="shared" si="211"/>
        <v>-</v>
      </c>
    </row>
    <row r="784" spans="1:62" hidden="1" x14ac:dyDescent="0.2">
      <c r="A784" s="28">
        <v>4</v>
      </c>
      <c r="B784" s="28">
        <v>2</v>
      </c>
      <c r="C784" s="11">
        <v>23</v>
      </c>
      <c r="D784" s="13" t="s">
        <v>358</v>
      </c>
      <c r="E784" s="10" t="s">
        <v>112</v>
      </c>
      <c r="F784" s="10" t="s">
        <v>219</v>
      </c>
      <c r="G784" s="10"/>
      <c r="H784" s="152"/>
      <c r="I784" s="164"/>
      <c r="J784" s="62"/>
      <c r="K784" s="62"/>
      <c r="L784" s="177"/>
      <c r="M784" s="171"/>
      <c r="N784" s="62"/>
      <c r="O784" s="62"/>
      <c r="P784" s="62"/>
      <c r="Q784" s="64"/>
      <c r="R784" s="164"/>
      <c r="S784" s="62"/>
      <c r="T784" s="62"/>
      <c r="U784" s="62"/>
      <c r="V784" s="177"/>
      <c r="W784" s="171"/>
      <c r="X784" s="62"/>
      <c r="Y784" s="45"/>
      <c r="Z784" s="45"/>
      <c r="AA784" s="100"/>
      <c r="AB784" s="100"/>
      <c r="AC784" s="24"/>
      <c r="AD784" s="24"/>
      <c r="AE784" s="24"/>
      <c r="AF784" s="24"/>
      <c r="AG784" s="18">
        <v>23</v>
      </c>
      <c r="AH784" s="69" t="s">
        <v>358</v>
      </c>
      <c r="AI784" s="243" t="s">
        <v>112</v>
      </c>
      <c r="AJ784" s="243" t="s">
        <v>419</v>
      </c>
      <c r="AK784" s="246"/>
      <c r="AL784" s="43" t="str">
        <f t="shared" si="212"/>
        <v>-</v>
      </c>
      <c r="AM784" s="43">
        <f t="shared" si="200"/>
        <v>0</v>
      </c>
      <c r="AN784" s="193">
        <f t="shared" si="200"/>
        <v>0</v>
      </c>
      <c r="AO784" s="270" t="str">
        <f t="shared" si="201"/>
        <v>-</v>
      </c>
      <c r="AP784" s="268"/>
      <c r="AQ784" s="26" t="str">
        <f t="shared" si="208"/>
        <v>VERNON BAY CREEKCoho</v>
      </c>
      <c r="AR784" s="26">
        <f t="shared" si="202"/>
        <v>0</v>
      </c>
      <c r="AS784" s="33">
        <f t="shared" si="203"/>
        <v>0</v>
      </c>
      <c r="AX784" s="47" t="str">
        <f t="shared" si="204"/>
        <v>VERNON BAY CREEKCoho</v>
      </c>
      <c r="AY784" s="49">
        <f t="shared" si="205"/>
        <v>0</v>
      </c>
      <c r="AZ784" s="49">
        <f t="shared" si="206"/>
        <v>0</v>
      </c>
      <c r="BA784" s="31">
        <v>2004</v>
      </c>
      <c r="BB784" s="188">
        <f t="shared" si="209"/>
        <v>0</v>
      </c>
      <c r="BC784" s="188" t="str">
        <f t="shared" si="213"/>
        <v xml:space="preserve"> </v>
      </c>
      <c r="BD784" s="188" t="str">
        <f t="shared" si="214"/>
        <v xml:space="preserve"> </v>
      </c>
      <c r="BE784" s="188" t="str">
        <f t="shared" si="215"/>
        <v xml:space="preserve"> </v>
      </c>
      <c r="BF784" s="50" t="str">
        <f t="shared" si="207"/>
        <v>VERNON BAY CREEK_Coho</v>
      </c>
      <c r="BG784" s="50" t="str">
        <f>IFERROR(VLOOKUP(BF784,'[1]WCVI Esc'!$C$5:$W$514,18,FALSE),"-")</f>
        <v>-</v>
      </c>
      <c r="BH784" s="50" t="str">
        <f t="shared" si="210"/>
        <v>-</v>
      </c>
      <c r="BI784" s="50" t="str">
        <f>IFERROR(VLOOKUP(BF784,'[1]WCVI Esc'!$C$5:$W$514,19,FALSE),"-")</f>
        <v>-</v>
      </c>
      <c r="BJ784" s="50" t="str">
        <f t="shared" si="211"/>
        <v>-</v>
      </c>
    </row>
    <row r="785" spans="1:62" hidden="1" x14ac:dyDescent="0.2">
      <c r="A785" s="28">
        <v>4</v>
      </c>
      <c r="B785" s="28">
        <v>3</v>
      </c>
      <c r="C785" s="11">
        <v>23</v>
      </c>
      <c r="D785" s="13" t="s">
        <v>358</v>
      </c>
      <c r="E785" s="10" t="s">
        <v>112</v>
      </c>
      <c r="F785" s="10" t="s">
        <v>208</v>
      </c>
      <c r="G785" s="10"/>
      <c r="H785" s="152"/>
      <c r="I785" s="164"/>
      <c r="J785" s="62"/>
      <c r="K785" s="62"/>
      <c r="L785" s="177"/>
      <c r="M785" s="171"/>
      <c r="N785" s="62"/>
      <c r="O785" s="62"/>
      <c r="P785" s="62"/>
      <c r="Q785" s="64"/>
      <c r="R785" s="164"/>
      <c r="S785" s="62"/>
      <c r="T785" s="62"/>
      <c r="U785" s="62"/>
      <c r="V785" s="177"/>
      <c r="W785" s="171"/>
      <c r="X785" s="62"/>
      <c r="Y785" s="45"/>
      <c r="Z785" s="45"/>
      <c r="AA785" s="100"/>
      <c r="AB785" s="100"/>
      <c r="AC785" s="24"/>
      <c r="AD785" s="24"/>
      <c r="AE785" s="24"/>
      <c r="AF785" s="24"/>
      <c r="AG785" s="18">
        <v>23</v>
      </c>
      <c r="AH785" s="69" t="s">
        <v>358</v>
      </c>
      <c r="AI785" s="243" t="s">
        <v>112</v>
      </c>
      <c r="AJ785" s="243" t="s">
        <v>419</v>
      </c>
      <c r="AK785" s="246"/>
      <c r="AL785" s="43" t="str">
        <f t="shared" si="212"/>
        <v>-</v>
      </c>
      <c r="AM785" s="43">
        <f t="shared" si="200"/>
        <v>0</v>
      </c>
      <c r="AN785" s="193">
        <f t="shared" si="200"/>
        <v>0</v>
      </c>
      <c r="AO785" s="270" t="str">
        <f t="shared" si="201"/>
        <v>-</v>
      </c>
      <c r="AP785" s="267"/>
      <c r="AQ785" s="26" t="str">
        <f t="shared" si="208"/>
        <v>VERNON BAY CREEKPink</v>
      </c>
      <c r="AR785" s="26">
        <f t="shared" si="202"/>
        <v>0</v>
      </c>
      <c r="AS785" s="33">
        <f t="shared" si="203"/>
        <v>0</v>
      </c>
      <c r="AX785" s="47" t="str">
        <f t="shared" si="204"/>
        <v>VERNON BAY CREEKPink</v>
      </c>
      <c r="AY785" s="49">
        <f t="shared" si="205"/>
        <v>0</v>
      </c>
      <c r="AZ785" s="49">
        <f t="shared" si="206"/>
        <v>0</v>
      </c>
      <c r="BA785" s="31">
        <v>0</v>
      </c>
      <c r="BB785" s="188">
        <f t="shared" si="209"/>
        <v>0</v>
      </c>
      <c r="BC785" s="188" t="str">
        <f t="shared" si="213"/>
        <v xml:space="preserve"> </v>
      </c>
      <c r="BD785" s="188" t="str">
        <f t="shared" si="214"/>
        <v xml:space="preserve"> </v>
      </c>
      <c r="BE785" s="188" t="str">
        <f t="shared" si="215"/>
        <v xml:space="preserve"> </v>
      </c>
      <c r="BF785" s="50" t="str">
        <f t="shared" si="207"/>
        <v>VERNON BAY CREEK_Pink</v>
      </c>
      <c r="BG785" s="50" t="str">
        <f>IFERROR(VLOOKUP(BF785,'[1]WCVI Esc'!$C$5:$W$514,18,FALSE),"-")</f>
        <v>-</v>
      </c>
      <c r="BH785" s="50" t="str">
        <f t="shared" si="210"/>
        <v>-</v>
      </c>
      <c r="BI785" s="50" t="str">
        <f>IFERROR(VLOOKUP(BF785,'[1]WCVI Esc'!$C$5:$W$514,19,FALSE),"-")</f>
        <v>-</v>
      </c>
      <c r="BJ785" s="50" t="str">
        <f t="shared" si="211"/>
        <v>-</v>
      </c>
    </row>
    <row r="786" spans="1:62" hidden="1" x14ac:dyDescent="0.2">
      <c r="A786" s="28">
        <v>4</v>
      </c>
      <c r="B786" s="28">
        <v>4</v>
      </c>
      <c r="C786" s="11">
        <v>23</v>
      </c>
      <c r="D786" s="13" t="s">
        <v>358</v>
      </c>
      <c r="E786" s="10" t="s">
        <v>112</v>
      </c>
      <c r="F786" s="10" t="s">
        <v>209</v>
      </c>
      <c r="G786" s="10"/>
      <c r="H786" s="152"/>
      <c r="I786" s="164"/>
      <c r="J786" s="62"/>
      <c r="K786" s="62"/>
      <c r="L786" s="177"/>
      <c r="M786" s="171"/>
      <c r="N786" s="62"/>
      <c r="O786" s="62"/>
      <c r="P786" s="62"/>
      <c r="Q786" s="64"/>
      <c r="R786" s="164"/>
      <c r="S786" s="62"/>
      <c r="T786" s="62"/>
      <c r="U786" s="62"/>
      <c r="V786" s="177"/>
      <c r="W786" s="171"/>
      <c r="X786" s="62"/>
      <c r="Y786" s="45"/>
      <c r="Z786" s="45"/>
      <c r="AA786" s="100"/>
      <c r="AB786" s="100"/>
      <c r="AC786" s="24"/>
      <c r="AD786" s="24"/>
      <c r="AE786" s="24"/>
      <c r="AF786" s="24"/>
      <c r="AG786" s="18">
        <v>23</v>
      </c>
      <c r="AH786" s="69" t="s">
        <v>358</v>
      </c>
      <c r="AI786" s="243" t="s">
        <v>112</v>
      </c>
      <c r="AJ786" s="243" t="s">
        <v>419</v>
      </c>
      <c r="AK786" s="246"/>
      <c r="AL786" s="43" t="str">
        <f t="shared" si="212"/>
        <v>-</v>
      </c>
      <c r="AM786" s="43">
        <f t="shared" si="200"/>
        <v>0</v>
      </c>
      <c r="AN786" s="193">
        <f t="shared" si="200"/>
        <v>0</v>
      </c>
      <c r="AO786" s="270" t="str">
        <f t="shared" si="201"/>
        <v>-</v>
      </c>
      <c r="AP786" s="268"/>
      <c r="AQ786" s="26" t="str">
        <f t="shared" si="208"/>
        <v>VERNON BAY CREEKChum</v>
      </c>
      <c r="AR786" s="26">
        <f t="shared" si="202"/>
        <v>0</v>
      </c>
      <c r="AS786" s="33">
        <f t="shared" si="203"/>
        <v>0</v>
      </c>
      <c r="AX786" s="47" t="str">
        <f t="shared" si="204"/>
        <v>VERNON BAY CREEKChum</v>
      </c>
      <c r="AY786" s="49">
        <f t="shared" si="205"/>
        <v>0</v>
      </c>
      <c r="AZ786" s="49">
        <f t="shared" si="206"/>
        <v>0</v>
      </c>
      <c r="BA786" s="31">
        <v>2004</v>
      </c>
      <c r="BB786" s="188">
        <f t="shared" si="209"/>
        <v>0</v>
      </c>
      <c r="BC786" s="188" t="str">
        <f t="shared" si="213"/>
        <v xml:space="preserve"> </v>
      </c>
      <c r="BD786" s="188" t="str">
        <f t="shared" si="214"/>
        <v xml:space="preserve"> </v>
      </c>
      <c r="BE786" s="188" t="str">
        <f t="shared" si="215"/>
        <v xml:space="preserve"> </v>
      </c>
      <c r="BF786" s="50" t="str">
        <f t="shared" si="207"/>
        <v>VERNON BAY CREEK_Chum</v>
      </c>
      <c r="BG786" s="50" t="str">
        <f>IFERROR(VLOOKUP(BF786,'[1]WCVI Esc'!$C$5:$W$514,18,FALSE),"-")</f>
        <v>-</v>
      </c>
      <c r="BH786" s="50" t="str">
        <f t="shared" si="210"/>
        <v>-</v>
      </c>
      <c r="BI786" s="50" t="str">
        <f>IFERROR(VLOOKUP(BF786,'[1]WCVI Esc'!$C$5:$W$514,19,FALSE),"-")</f>
        <v>-</v>
      </c>
      <c r="BJ786" s="50" t="str">
        <f t="shared" si="211"/>
        <v>-</v>
      </c>
    </row>
    <row r="787" spans="1:62" hidden="1" x14ac:dyDescent="0.2">
      <c r="A787" s="28">
        <v>4</v>
      </c>
      <c r="B787" s="28">
        <v>5</v>
      </c>
      <c r="C787" s="11">
        <v>23</v>
      </c>
      <c r="D787" s="13" t="s">
        <v>358</v>
      </c>
      <c r="E787" s="10" t="s">
        <v>112</v>
      </c>
      <c r="F787" s="10" t="s">
        <v>210</v>
      </c>
      <c r="G787" s="10"/>
      <c r="H787" s="152"/>
      <c r="I787" s="164"/>
      <c r="J787" s="62"/>
      <c r="K787" s="62"/>
      <c r="L787" s="177"/>
      <c r="M787" s="171"/>
      <c r="N787" s="62"/>
      <c r="O787" s="62"/>
      <c r="P787" s="62"/>
      <c r="Q787" s="64"/>
      <c r="R787" s="164"/>
      <c r="S787" s="62"/>
      <c r="T787" s="62"/>
      <c r="U787" s="62"/>
      <c r="V787" s="177"/>
      <c r="W787" s="171"/>
      <c r="X787" s="62"/>
      <c r="Y787" s="45"/>
      <c r="Z787" s="45"/>
      <c r="AA787" s="100"/>
      <c r="AB787" s="100"/>
      <c r="AC787" s="24"/>
      <c r="AD787" s="24"/>
      <c r="AE787" s="24"/>
      <c r="AF787" s="24"/>
      <c r="AG787" s="18">
        <v>23</v>
      </c>
      <c r="AH787" s="69" t="s">
        <v>358</v>
      </c>
      <c r="AI787" s="243" t="s">
        <v>112</v>
      </c>
      <c r="AJ787" s="243" t="s">
        <v>419</v>
      </c>
      <c r="AK787" s="246"/>
      <c r="AL787" s="43" t="str">
        <f t="shared" si="212"/>
        <v>-</v>
      </c>
      <c r="AM787" s="43">
        <f t="shared" si="200"/>
        <v>0</v>
      </c>
      <c r="AN787" s="193">
        <f t="shared" si="200"/>
        <v>0</v>
      </c>
      <c r="AO787" s="270" t="str">
        <f t="shared" si="201"/>
        <v>-</v>
      </c>
      <c r="AP787" s="268"/>
      <c r="AQ787" s="26" t="str">
        <f t="shared" si="208"/>
        <v>VERNON BAY CREEKChinook</v>
      </c>
      <c r="AR787" s="26">
        <f t="shared" si="202"/>
        <v>0</v>
      </c>
      <c r="AS787" s="33">
        <f t="shared" si="203"/>
        <v>0</v>
      </c>
      <c r="AX787" s="47" t="str">
        <f t="shared" si="204"/>
        <v>VERNON BAY CREEKChinook</v>
      </c>
      <c r="AY787" s="49">
        <f t="shared" si="205"/>
        <v>0</v>
      </c>
      <c r="AZ787" s="49">
        <f t="shared" si="206"/>
        <v>0</v>
      </c>
      <c r="BA787" s="31">
        <v>0</v>
      </c>
      <c r="BB787" s="188">
        <f t="shared" si="209"/>
        <v>0</v>
      </c>
      <c r="BC787" s="188" t="str">
        <f t="shared" si="213"/>
        <v xml:space="preserve"> </v>
      </c>
      <c r="BD787" s="188" t="str">
        <f t="shared" si="214"/>
        <v xml:space="preserve"> </v>
      </c>
      <c r="BE787" s="188" t="str">
        <f t="shared" si="215"/>
        <v xml:space="preserve"> </v>
      </c>
      <c r="BF787" s="50" t="str">
        <f t="shared" si="207"/>
        <v>VERNON BAY CREEK_Chinook</v>
      </c>
      <c r="BG787" s="50" t="str">
        <f>IFERROR(VLOOKUP(BF787,'[1]WCVI Esc'!$C$5:$W$514,18,FALSE),"-")</f>
        <v>-</v>
      </c>
      <c r="BH787" s="50" t="str">
        <f t="shared" si="210"/>
        <v>-</v>
      </c>
      <c r="BI787" s="50" t="str">
        <f>IFERROR(VLOOKUP(BF787,'[1]WCVI Esc'!$C$5:$W$514,19,FALSE),"-")</f>
        <v>-</v>
      </c>
      <c r="BJ787" s="50" t="str">
        <f t="shared" si="211"/>
        <v>-</v>
      </c>
    </row>
    <row r="788" spans="1:62" hidden="1" x14ac:dyDescent="0.2">
      <c r="A788" s="28">
        <v>4</v>
      </c>
      <c r="B788" s="28">
        <v>6</v>
      </c>
      <c r="C788" s="11">
        <v>23</v>
      </c>
      <c r="D788" s="13" t="s">
        <v>358</v>
      </c>
      <c r="E788" s="10" t="s">
        <v>112</v>
      </c>
      <c r="F788" s="10" t="s">
        <v>211</v>
      </c>
      <c r="G788" s="10"/>
      <c r="H788" s="152"/>
      <c r="I788" s="164"/>
      <c r="J788" s="62"/>
      <c r="K788" s="62"/>
      <c r="L788" s="177"/>
      <c r="M788" s="171"/>
      <c r="N788" s="62"/>
      <c r="O788" s="62"/>
      <c r="P788" s="62"/>
      <c r="Q788" s="64"/>
      <c r="R788" s="164"/>
      <c r="S788" s="62"/>
      <c r="T788" s="62"/>
      <c r="U788" s="62"/>
      <c r="V788" s="177"/>
      <c r="W788" s="171"/>
      <c r="X788" s="62"/>
      <c r="Y788" s="45"/>
      <c r="Z788" s="45"/>
      <c r="AA788" s="100"/>
      <c r="AB788" s="100"/>
      <c r="AC788" s="24"/>
      <c r="AD788" s="24"/>
      <c r="AE788" s="24"/>
      <c r="AF788" s="24"/>
      <c r="AG788" s="18">
        <v>23</v>
      </c>
      <c r="AH788" s="69" t="s">
        <v>358</v>
      </c>
      <c r="AI788" s="243" t="s">
        <v>112</v>
      </c>
      <c r="AJ788" s="243" t="s">
        <v>419</v>
      </c>
      <c r="AK788" s="246"/>
      <c r="AL788" s="43" t="str">
        <f t="shared" si="212"/>
        <v>-</v>
      </c>
      <c r="AM788" s="43">
        <f t="shared" si="200"/>
        <v>0</v>
      </c>
      <c r="AN788" s="193">
        <f t="shared" si="200"/>
        <v>0</v>
      </c>
      <c r="AO788" s="270" t="str">
        <f t="shared" si="201"/>
        <v>-</v>
      </c>
      <c r="AP788" s="267"/>
      <c r="AQ788" s="26" t="str">
        <f t="shared" si="208"/>
        <v>VERNON BAY CREEKSteelhead</v>
      </c>
      <c r="AR788" s="26">
        <f t="shared" si="202"/>
        <v>0</v>
      </c>
      <c r="AS788" s="33">
        <f t="shared" si="203"/>
        <v>0</v>
      </c>
      <c r="AX788" s="47" t="str">
        <f t="shared" si="204"/>
        <v>VERNON BAY CREEKSteelhead</v>
      </c>
      <c r="AY788" s="49">
        <f t="shared" si="205"/>
        <v>0</v>
      </c>
      <c r="AZ788" s="49">
        <f t="shared" si="206"/>
        <v>0</v>
      </c>
      <c r="BA788" s="31">
        <v>0</v>
      </c>
      <c r="BB788" s="188">
        <f t="shared" si="209"/>
        <v>0</v>
      </c>
      <c r="BC788" s="188" t="str">
        <f t="shared" si="213"/>
        <v xml:space="preserve"> </v>
      </c>
      <c r="BD788" s="188" t="str">
        <f t="shared" si="214"/>
        <v xml:space="preserve"> </v>
      </c>
      <c r="BE788" s="188" t="str">
        <f t="shared" si="215"/>
        <v xml:space="preserve"> </v>
      </c>
      <c r="BF788" s="50" t="str">
        <f t="shared" si="207"/>
        <v>VERNON BAY CREEK_Steelhead</v>
      </c>
      <c r="BG788" s="50" t="str">
        <f>IFERROR(VLOOKUP(BF788,'[1]WCVI Esc'!$C$5:$W$514,18,FALSE),"-")</f>
        <v>-</v>
      </c>
      <c r="BH788" s="50" t="str">
        <f t="shared" si="210"/>
        <v>-</v>
      </c>
      <c r="BI788" s="50" t="str">
        <f>IFERROR(VLOOKUP(BF788,'[1]WCVI Esc'!$C$5:$W$514,19,FALSE),"-")</f>
        <v>-</v>
      </c>
      <c r="BJ788" s="50" t="str">
        <f t="shared" si="211"/>
        <v>-</v>
      </c>
    </row>
    <row r="789" spans="1:62" hidden="1" x14ac:dyDescent="0.2">
      <c r="A789" s="28">
        <v>4</v>
      </c>
      <c r="B789" s="28">
        <v>1</v>
      </c>
      <c r="C789" s="11">
        <v>23</v>
      </c>
      <c r="D789" s="13" t="s">
        <v>305</v>
      </c>
      <c r="E789" s="10" t="s">
        <v>113</v>
      </c>
      <c r="F789" s="10" t="s">
        <v>207</v>
      </c>
      <c r="G789" s="10"/>
      <c r="H789" s="152"/>
      <c r="I789" s="164"/>
      <c r="J789" s="62"/>
      <c r="K789" s="62"/>
      <c r="L789" s="177"/>
      <c r="M789" s="171"/>
      <c r="N789" s="62"/>
      <c r="O789" s="62"/>
      <c r="P789" s="62"/>
      <c r="Q789" s="64"/>
      <c r="R789" s="164"/>
      <c r="S789" s="62"/>
      <c r="T789" s="62"/>
      <c r="U789" s="62"/>
      <c r="V789" s="177"/>
      <c r="W789" s="171"/>
      <c r="X789" s="62"/>
      <c r="Y789" s="45"/>
      <c r="Z789" s="45"/>
      <c r="AA789" s="100"/>
      <c r="AB789" s="100"/>
      <c r="AC789" s="24"/>
      <c r="AD789" s="24"/>
      <c r="AE789" s="24"/>
      <c r="AF789" s="24"/>
      <c r="AG789" s="18">
        <v>23</v>
      </c>
      <c r="AH789" s="69" t="s">
        <v>305</v>
      </c>
      <c r="AI789" s="243" t="s">
        <v>113</v>
      </c>
      <c r="AJ789" s="243" t="s">
        <v>419</v>
      </c>
      <c r="AK789" s="246"/>
      <c r="AL789" s="43" t="str">
        <f t="shared" si="212"/>
        <v>-</v>
      </c>
      <c r="AM789" s="43">
        <f t="shared" si="200"/>
        <v>0</v>
      </c>
      <c r="AN789" s="193">
        <f t="shared" si="200"/>
        <v>0</v>
      </c>
      <c r="AO789" s="270" t="str">
        <f t="shared" si="201"/>
        <v>-</v>
      </c>
      <c r="AP789" s="266"/>
      <c r="AQ789" s="26" t="str">
        <f t="shared" si="208"/>
        <v>WALLACE CREEKSockeye</v>
      </c>
      <c r="AR789" s="26">
        <f t="shared" si="202"/>
        <v>0</v>
      </c>
      <c r="AS789" s="33">
        <f t="shared" si="203"/>
        <v>0</v>
      </c>
      <c r="AX789" s="47" t="str">
        <f t="shared" si="204"/>
        <v>WALLACE CREEKSockeye</v>
      </c>
      <c r="AY789" s="49">
        <f t="shared" si="205"/>
        <v>0</v>
      </c>
      <c r="AZ789" s="49">
        <f t="shared" si="206"/>
        <v>0</v>
      </c>
      <c r="BA789" s="31">
        <v>0</v>
      </c>
      <c r="BB789" s="188">
        <f t="shared" si="209"/>
        <v>0</v>
      </c>
      <c r="BC789" s="188" t="str">
        <f t="shared" si="213"/>
        <v xml:space="preserve"> </v>
      </c>
      <c r="BD789" s="188" t="str">
        <f t="shared" si="214"/>
        <v xml:space="preserve"> </v>
      </c>
      <c r="BE789" s="188" t="str">
        <f t="shared" si="215"/>
        <v xml:space="preserve"> </v>
      </c>
      <c r="BF789" s="50" t="str">
        <f t="shared" si="207"/>
        <v>WALLACE CREEK_Sockeye</v>
      </c>
      <c r="BG789" s="50" t="str">
        <f>IFERROR(VLOOKUP(BF789,'[1]WCVI Esc'!$C$5:$W$514,18,FALSE),"-")</f>
        <v>-</v>
      </c>
      <c r="BH789" s="50" t="str">
        <f t="shared" si="210"/>
        <v>-</v>
      </c>
      <c r="BI789" s="50" t="str">
        <f>IFERROR(VLOOKUP(BF789,'[1]WCVI Esc'!$C$5:$W$514,19,FALSE),"-")</f>
        <v>-</v>
      </c>
      <c r="BJ789" s="50" t="str">
        <f t="shared" si="211"/>
        <v>-</v>
      </c>
    </row>
    <row r="790" spans="1:62" hidden="1" x14ac:dyDescent="0.2">
      <c r="A790" s="28">
        <v>4</v>
      </c>
      <c r="B790" s="28">
        <v>2</v>
      </c>
      <c r="C790" s="11">
        <v>23</v>
      </c>
      <c r="D790" s="13" t="s">
        <v>305</v>
      </c>
      <c r="E790" s="10" t="s">
        <v>113</v>
      </c>
      <c r="F790" s="10" t="s">
        <v>219</v>
      </c>
      <c r="G790" s="10"/>
      <c r="H790" s="152"/>
      <c r="I790" s="164"/>
      <c r="J790" s="62"/>
      <c r="K790" s="62"/>
      <c r="L790" s="177"/>
      <c r="M790" s="171"/>
      <c r="N790" s="62"/>
      <c r="O790" s="62"/>
      <c r="P790" s="62"/>
      <c r="Q790" s="64"/>
      <c r="R790" s="164"/>
      <c r="S790" s="62"/>
      <c r="T790" s="62"/>
      <c r="U790" s="62"/>
      <c r="V790" s="177"/>
      <c r="W790" s="171"/>
      <c r="X790" s="62"/>
      <c r="Y790" s="45"/>
      <c r="Z790" s="45"/>
      <c r="AA790" s="100"/>
      <c r="AB790" s="100"/>
      <c r="AC790" s="24"/>
      <c r="AD790" s="24"/>
      <c r="AE790" s="24"/>
      <c r="AF790" s="24"/>
      <c r="AG790" s="18">
        <v>23</v>
      </c>
      <c r="AH790" s="69" t="s">
        <v>305</v>
      </c>
      <c r="AI790" s="243" t="s">
        <v>113</v>
      </c>
      <c r="AJ790" s="243" t="s">
        <v>419</v>
      </c>
      <c r="AK790" s="246"/>
      <c r="AL790" s="43" t="str">
        <f t="shared" si="212"/>
        <v>-</v>
      </c>
      <c r="AM790" s="43">
        <f t="shared" si="200"/>
        <v>0</v>
      </c>
      <c r="AN790" s="193">
        <f t="shared" si="200"/>
        <v>0</v>
      </c>
      <c r="AO790" s="270" t="str">
        <f t="shared" si="201"/>
        <v>-</v>
      </c>
      <c r="AP790" s="266"/>
      <c r="AQ790" s="26" t="str">
        <f t="shared" si="208"/>
        <v>WALLACE CREEKCoho</v>
      </c>
      <c r="AR790" s="26">
        <f t="shared" si="202"/>
        <v>0</v>
      </c>
      <c r="AS790" s="33">
        <f t="shared" si="203"/>
        <v>0</v>
      </c>
      <c r="AX790" s="47" t="str">
        <f t="shared" si="204"/>
        <v>WALLACE CREEKCoho</v>
      </c>
      <c r="AY790" s="49">
        <f t="shared" si="205"/>
        <v>0</v>
      </c>
      <c r="AZ790" s="49">
        <f t="shared" si="206"/>
        <v>0</v>
      </c>
      <c r="BA790" s="31">
        <v>1999</v>
      </c>
      <c r="BB790" s="188">
        <f t="shared" si="209"/>
        <v>0</v>
      </c>
      <c r="BC790" s="188" t="str">
        <f t="shared" si="213"/>
        <v xml:space="preserve"> </v>
      </c>
      <c r="BD790" s="188" t="str">
        <f t="shared" si="214"/>
        <v xml:space="preserve"> </v>
      </c>
      <c r="BE790" s="188" t="str">
        <f t="shared" si="215"/>
        <v xml:space="preserve"> </v>
      </c>
      <c r="BF790" s="50" t="str">
        <f t="shared" si="207"/>
        <v>WALLACE CREEK_Coho</v>
      </c>
      <c r="BG790" s="50" t="str">
        <f>IFERROR(VLOOKUP(BF790,'[1]WCVI Esc'!$C$5:$W$514,18,FALSE),"-")</f>
        <v>-</v>
      </c>
      <c r="BH790" s="50" t="str">
        <f t="shared" si="210"/>
        <v>-</v>
      </c>
      <c r="BI790" s="50" t="str">
        <f>IFERROR(VLOOKUP(BF790,'[1]WCVI Esc'!$C$5:$W$514,19,FALSE),"-")</f>
        <v>-</v>
      </c>
      <c r="BJ790" s="50" t="str">
        <f t="shared" si="211"/>
        <v>-</v>
      </c>
    </row>
    <row r="791" spans="1:62" hidden="1" x14ac:dyDescent="0.2">
      <c r="A791" s="28">
        <v>4</v>
      </c>
      <c r="B791" s="28">
        <v>3</v>
      </c>
      <c r="C791" s="11">
        <v>23</v>
      </c>
      <c r="D791" s="13" t="s">
        <v>305</v>
      </c>
      <c r="E791" s="10" t="s">
        <v>113</v>
      </c>
      <c r="F791" s="10" t="s">
        <v>208</v>
      </c>
      <c r="G791" s="10"/>
      <c r="H791" s="152"/>
      <c r="I791" s="164"/>
      <c r="J791" s="62"/>
      <c r="K791" s="62"/>
      <c r="L791" s="177"/>
      <c r="M791" s="171"/>
      <c r="N791" s="62"/>
      <c r="O791" s="62"/>
      <c r="P791" s="62"/>
      <c r="Q791" s="64"/>
      <c r="R791" s="164"/>
      <c r="S791" s="62"/>
      <c r="T791" s="62"/>
      <c r="U791" s="62"/>
      <c r="V791" s="177"/>
      <c r="W791" s="171"/>
      <c r="X791" s="62"/>
      <c r="Y791" s="45"/>
      <c r="Z791" s="45"/>
      <c r="AA791" s="100"/>
      <c r="AB791" s="100"/>
      <c r="AC791" s="24"/>
      <c r="AD791" s="24"/>
      <c r="AE791" s="24"/>
      <c r="AF791" s="24"/>
      <c r="AG791" s="18">
        <v>23</v>
      </c>
      <c r="AH791" s="69" t="s">
        <v>305</v>
      </c>
      <c r="AI791" s="243" t="s">
        <v>113</v>
      </c>
      <c r="AJ791" s="243" t="s">
        <v>419</v>
      </c>
      <c r="AK791" s="246"/>
      <c r="AL791" s="43" t="str">
        <f t="shared" si="212"/>
        <v>-</v>
      </c>
      <c r="AM791" s="43">
        <f t="shared" si="200"/>
        <v>0</v>
      </c>
      <c r="AN791" s="193">
        <f t="shared" si="200"/>
        <v>0</v>
      </c>
      <c r="AO791" s="270" t="str">
        <f t="shared" si="201"/>
        <v>-</v>
      </c>
      <c r="AP791" s="266"/>
      <c r="AQ791" s="26" t="str">
        <f t="shared" si="208"/>
        <v>WALLACE CREEKPink</v>
      </c>
      <c r="AR791" s="26">
        <f t="shared" si="202"/>
        <v>0</v>
      </c>
      <c r="AS791" s="33">
        <f t="shared" si="203"/>
        <v>0</v>
      </c>
      <c r="AX791" s="47" t="str">
        <f t="shared" si="204"/>
        <v>WALLACE CREEKPink</v>
      </c>
      <c r="AY791" s="49">
        <f t="shared" si="205"/>
        <v>0</v>
      </c>
      <c r="AZ791" s="49">
        <f t="shared" si="206"/>
        <v>0</v>
      </c>
      <c r="BA791" s="31">
        <v>0</v>
      </c>
      <c r="BB791" s="188">
        <f t="shared" si="209"/>
        <v>0</v>
      </c>
      <c r="BC791" s="188" t="str">
        <f t="shared" si="213"/>
        <v xml:space="preserve"> </v>
      </c>
      <c r="BD791" s="188" t="str">
        <f t="shared" si="214"/>
        <v xml:space="preserve"> </v>
      </c>
      <c r="BE791" s="188" t="str">
        <f t="shared" si="215"/>
        <v xml:space="preserve"> </v>
      </c>
      <c r="BF791" s="50" t="str">
        <f t="shared" si="207"/>
        <v>WALLACE CREEK_Pink</v>
      </c>
      <c r="BG791" s="50" t="str">
        <f>IFERROR(VLOOKUP(BF791,'[1]WCVI Esc'!$C$5:$W$514,18,FALSE),"-")</f>
        <v>-</v>
      </c>
      <c r="BH791" s="50" t="str">
        <f t="shared" si="210"/>
        <v>-</v>
      </c>
      <c r="BI791" s="50" t="str">
        <f>IFERROR(VLOOKUP(BF791,'[1]WCVI Esc'!$C$5:$W$514,19,FALSE),"-")</f>
        <v>-</v>
      </c>
      <c r="BJ791" s="50" t="str">
        <f t="shared" si="211"/>
        <v>-</v>
      </c>
    </row>
    <row r="792" spans="1:62" hidden="1" x14ac:dyDescent="0.2">
      <c r="A792" s="28">
        <v>4</v>
      </c>
      <c r="B792" s="28">
        <v>4</v>
      </c>
      <c r="C792" s="11">
        <v>23</v>
      </c>
      <c r="D792" s="13" t="s">
        <v>305</v>
      </c>
      <c r="E792" s="10" t="s">
        <v>113</v>
      </c>
      <c r="F792" s="10" t="s">
        <v>209</v>
      </c>
      <c r="G792" s="10"/>
      <c r="H792" s="152"/>
      <c r="I792" s="164"/>
      <c r="J792" s="62"/>
      <c r="K792" s="62"/>
      <c r="L792" s="177"/>
      <c r="M792" s="171"/>
      <c r="N792" s="62"/>
      <c r="O792" s="62"/>
      <c r="P792" s="62"/>
      <c r="Q792" s="64"/>
      <c r="R792" s="164"/>
      <c r="S792" s="62"/>
      <c r="T792" s="62"/>
      <c r="U792" s="62"/>
      <c r="V792" s="177"/>
      <c r="W792" s="171"/>
      <c r="X792" s="62"/>
      <c r="Y792" s="45"/>
      <c r="Z792" s="45"/>
      <c r="AA792" s="100"/>
      <c r="AB792" s="100"/>
      <c r="AC792" s="24"/>
      <c r="AD792" s="24"/>
      <c r="AE792" s="24"/>
      <c r="AF792" s="24"/>
      <c r="AG792" s="18">
        <v>23</v>
      </c>
      <c r="AH792" s="69" t="s">
        <v>305</v>
      </c>
      <c r="AI792" s="243" t="s">
        <v>113</v>
      </c>
      <c r="AJ792" s="243" t="s">
        <v>419</v>
      </c>
      <c r="AK792" s="246"/>
      <c r="AL792" s="43" t="str">
        <f t="shared" si="212"/>
        <v>-</v>
      </c>
      <c r="AM792" s="43">
        <f t="shared" si="200"/>
        <v>0</v>
      </c>
      <c r="AN792" s="193">
        <f t="shared" si="200"/>
        <v>0</v>
      </c>
      <c r="AO792" s="270" t="str">
        <f t="shared" si="201"/>
        <v>-</v>
      </c>
      <c r="AP792" s="266"/>
      <c r="AQ792" s="26" t="str">
        <f t="shared" si="208"/>
        <v>WALLACE CREEKChum</v>
      </c>
      <c r="AR792" s="26">
        <f t="shared" si="202"/>
        <v>0</v>
      </c>
      <c r="AS792" s="33">
        <f t="shared" si="203"/>
        <v>0</v>
      </c>
      <c r="AX792" s="47" t="str">
        <f t="shared" si="204"/>
        <v>WALLACE CREEKChum</v>
      </c>
      <c r="AY792" s="49">
        <f t="shared" si="205"/>
        <v>0</v>
      </c>
      <c r="AZ792" s="49">
        <f t="shared" si="206"/>
        <v>0</v>
      </c>
      <c r="BA792" s="31">
        <v>2004</v>
      </c>
      <c r="BB792" s="188">
        <f t="shared" si="209"/>
        <v>0</v>
      </c>
      <c r="BC792" s="188" t="str">
        <f t="shared" si="213"/>
        <v xml:space="preserve"> </v>
      </c>
      <c r="BD792" s="188" t="str">
        <f t="shared" si="214"/>
        <v xml:space="preserve"> </v>
      </c>
      <c r="BE792" s="188" t="str">
        <f t="shared" si="215"/>
        <v xml:space="preserve"> </v>
      </c>
      <c r="BF792" s="50" t="str">
        <f t="shared" si="207"/>
        <v>WALLACE CREEK_Chum</v>
      </c>
      <c r="BG792" s="50" t="str">
        <f>IFERROR(VLOOKUP(BF792,'[1]WCVI Esc'!$C$5:$W$514,18,FALSE),"-")</f>
        <v>-</v>
      </c>
      <c r="BH792" s="50" t="str">
        <f t="shared" si="210"/>
        <v>-</v>
      </c>
      <c r="BI792" s="50" t="str">
        <f>IFERROR(VLOOKUP(BF792,'[1]WCVI Esc'!$C$5:$W$514,19,FALSE),"-")</f>
        <v>-</v>
      </c>
      <c r="BJ792" s="50" t="str">
        <f t="shared" si="211"/>
        <v>-</v>
      </c>
    </row>
    <row r="793" spans="1:62" hidden="1" x14ac:dyDescent="0.2">
      <c r="A793" s="28">
        <v>4</v>
      </c>
      <c r="B793" s="28">
        <v>5</v>
      </c>
      <c r="C793" s="11">
        <v>23</v>
      </c>
      <c r="D793" s="13" t="s">
        <v>305</v>
      </c>
      <c r="E793" s="10" t="s">
        <v>113</v>
      </c>
      <c r="F793" s="10" t="s">
        <v>210</v>
      </c>
      <c r="G793" s="10"/>
      <c r="H793" s="152"/>
      <c r="I793" s="164"/>
      <c r="J793" s="62"/>
      <c r="K793" s="62"/>
      <c r="L793" s="177"/>
      <c r="M793" s="171"/>
      <c r="N793" s="62"/>
      <c r="O793" s="62"/>
      <c r="P793" s="62"/>
      <c r="Q793" s="64"/>
      <c r="R793" s="164"/>
      <c r="S793" s="62"/>
      <c r="T793" s="62"/>
      <c r="U793" s="62"/>
      <c r="V793" s="177"/>
      <c r="W793" s="171"/>
      <c r="X793" s="62"/>
      <c r="Y793" s="45"/>
      <c r="Z793" s="45"/>
      <c r="AA793" s="100"/>
      <c r="AB793" s="100"/>
      <c r="AC793" s="24"/>
      <c r="AD793" s="24"/>
      <c r="AE793" s="24"/>
      <c r="AF793" s="24"/>
      <c r="AG793" s="18">
        <v>23</v>
      </c>
      <c r="AH793" s="69" t="s">
        <v>305</v>
      </c>
      <c r="AI793" s="243" t="s">
        <v>113</v>
      </c>
      <c r="AJ793" s="243" t="s">
        <v>419</v>
      </c>
      <c r="AK793" s="246"/>
      <c r="AL793" s="43" t="str">
        <f t="shared" si="212"/>
        <v>-</v>
      </c>
      <c r="AM793" s="43">
        <f t="shared" si="200"/>
        <v>0</v>
      </c>
      <c r="AN793" s="193">
        <f t="shared" si="200"/>
        <v>0</v>
      </c>
      <c r="AO793" s="270" t="str">
        <f t="shared" si="201"/>
        <v>-</v>
      </c>
      <c r="AP793" s="266"/>
      <c r="AQ793" s="26" t="str">
        <f t="shared" si="208"/>
        <v>WALLACE CREEKChinook</v>
      </c>
      <c r="AR793" s="26">
        <f t="shared" si="202"/>
        <v>0</v>
      </c>
      <c r="AS793" s="33">
        <f t="shared" si="203"/>
        <v>0</v>
      </c>
      <c r="AX793" s="47" t="str">
        <f t="shared" si="204"/>
        <v>WALLACE CREEKChinook</v>
      </c>
      <c r="AY793" s="49">
        <f t="shared" si="205"/>
        <v>0</v>
      </c>
      <c r="AZ793" s="49">
        <f t="shared" si="206"/>
        <v>0</v>
      </c>
      <c r="BA793" s="31">
        <v>1971</v>
      </c>
      <c r="BB793" s="188">
        <f t="shared" si="209"/>
        <v>0</v>
      </c>
      <c r="BC793" s="188" t="str">
        <f t="shared" si="213"/>
        <v xml:space="preserve"> </v>
      </c>
      <c r="BD793" s="188" t="str">
        <f t="shared" si="214"/>
        <v xml:space="preserve"> </v>
      </c>
      <c r="BE793" s="188" t="str">
        <f t="shared" si="215"/>
        <v xml:space="preserve"> </v>
      </c>
      <c r="BF793" s="50" t="str">
        <f t="shared" si="207"/>
        <v>WALLACE CREEK_Chinook</v>
      </c>
      <c r="BG793" s="50" t="str">
        <f>IFERROR(VLOOKUP(BF793,'[1]WCVI Esc'!$C$5:$W$514,18,FALSE),"-")</f>
        <v>-</v>
      </c>
      <c r="BH793" s="50" t="str">
        <f t="shared" si="210"/>
        <v>-</v>
      </c>
      <c r="BI793" s="50" t="str">
        <f>IFERROR(VLOOKUP(BF793,'[1]WCVI Esc'!$C$5:$W$514,19,FALSE),"-")</f>
        <v>-</v>
      </c>
      <c r="BJ793" s="50" t="str">
        <f t="shared" si="211"/>
        <v>-</v>
      </c>
    </row>
    <row r="794" spans="1:62" hidden="1" x14ac:dyDescent="0.2">
      <c r="A794" s="28">
        <v>4</v>
      </c>
      <c r="B794" s="28">
        <v>6</v>
      </c>
      <c r="C794" s="11">
        <v>23</v>
      </c>
      <c r="D794" s="13" t="s">
        <v>305</v>
      </c>
      <c r="E794" s="10" t="s">
        <v>113</v>
      </c>
      <c r="F794" s="10" t="s">
        <v>211</v>
      </c>
      <c r="G794" s="10"/>
      <c r="H794" s="152"/>
      <c r="I794" s="164"/>
      <c r="J794" s="62"/>
      <c r="K794" s="62"/>
      <c r="L794" s="177"/>
      <c r="M794" s="171"/>
      <c r="N794" s="62"/>
      <c r="O794" s="62"/>
      <c r="P794" s="62"/>
      <c r="Q794" s="64"/>
      <c r="R794" s="164"/>
      <c r="S794" s="62"/>
      <c r="T794" s="62"/>
      <c r="U794" s="62"/>
      <c r="V794" s="177"/>
      <c r="W794" s="171"/>
      <c r="X794" s="62"/>
      <c r="Y794" s="45"/>
      <c r="Z794" s="45"/>
      <c r="AA794" s="100"/>
      <c r="AB794" s="100"/>
      <c r="AC794" s="24"/>
      <c r="AD794" s="24"/>
      <c r="AE794" s="24"/>
      <c r="AF794" s="24"/>
      <c r="AG794" s="18">
        <v>23</v>
      </c>
      <c r="AH794" s="69" t="s">
        <v>305</v>
      </c>
      <c r="AI794" s="243" t="s">
        <v>113</v>
      </c>
      <c r="AJ794" s="243" t="s">
        <v>419</v>
      </c>
      <c r="AK794" s="246"/>
      <c r="AL794" s="43" t="str">
        <f t="shared" si="212"/>
        <v>-</v>
      </c>
      <c r="AM794" s="43">
        <f t="shared" si="200"/>
        <v>0</v>
      </c>
      <c r="AN794" s="193">
        <f t="shared" si="200"/>
        <v>0</v>
      </c>
      <c r="AO794" s="270" t="str">
        <f t="shared" si="201"/>
        <v>-</v>
      </c>
      <c r="AP794" s="266"/>
      <c r="AQ794" s="26" t="str">
        <f t="shared" si="208"/>
        <v>WALLACE CREEKSteelhead</v>
      </c>
      <c r="AR794" s="26">
        <f t="shared" si="202"/>
        <v>0</v>
      </c>
      <c r="AS794" s="33">
        <f t="shared" si="203"/>
        <v>0</v>
      </c>
      <c r="AX794" s="47" t="str">
        <f t="shared" si="204"/>
        <v>WALLACE CREEKSteelhead</v>
      </c>
      <c r="AY794" s="49">
        <f t="shared" si="205"/>
        <v>0</v>
      </c>
      <c r="AZ794" s="49">
        <f t="shared" si="206"/>
        <v>0</v>
      </c>
      <c r="BA794" s="31">
        <v>0</v>
      </c>
      <c r="BB794" s="188">
        <f t="shared" si="209"/>
        <v>0</v>
      </c>
      <c r="BC794" s="188" t="str">
        <f t="shared" si="213"/>
        <v xml:space="preserve"> </v>
      </c>
      <c r="BD794" s="188" t="str">
        <f t="shared" si="214"/>
        <v xml:space="preserve"> </v>
      </c>
      <c r="BE794" s="188" t="str">
        <f t="shared" si="215"/>
        <v xml:space="preserve"> </v>
      </c>
      <c r="BF794" s="50" t="str">
        <f t="shared" si="207"/>
        <v>WALLACE CREEK_Steelhead</v>
      </c>
      <c r="BG794" s="50" t="str">
        <f>IFERROR(VLOOKUP(BF794,'[1]WCVI Esc'!$C$5:$W$514,18,FALSE),"-")</f>
        <v>-</v>
      </c>
      <c r="BH794" s="50" t="str">
        <f t="shared" si="210"/>
        <v>-</v>
      </c>
      <c r="BI794" s="50" t="str">
        <f>IFERROR(VLOOKUP(BF794,'[1]WCVI Esc'!$C$5:$W$514,19,FALSE),"-")</f>
        <v>-</v>
      </c>
      <c r="BJ794" s="50" t="str">
        <f t="shared" si="211"/>
        <v>-</v>
      </c>
    </row>
    <row r="795" spans="1:62" hidden="1" x14ac:dyDescent="0.2">
      <c r="A795" s="28">
        <v>4</v>
      </c>
      <c r="B795" s="28">
        <v>1</v>
      </c>
      <c r="C795" s="11">
        <v>24</v>
      </c>
      <c r="D795" s="13" t="s">
        <v>296</v>
      </c>
      <c r="E795" s="10" t="s">
        <v>187</v>
      </c>
      <c r="F795" s="10" t="s">
        <v>207</v>
      </c>
      <c r="G795" s="10"/>
      <c r="H795" s="152"/>
      <c r="I795" s="164"/>
      <c r="J795" s="62"/>
      <c r="K795" s="62"/>
      <c r="L795" s="177"/>
      <c r="M795" s="171"/>
      <c r="N795" s="62"/>
      <c r="O795" s="62"/>
      <c r="P795" s="62"/>
      <c r="Q795" s="185"/>
      <c r="R795" s="169"/>
      <c r="S795" s="62"/>
      <c r="T795" s="62"/>
      <c r="U795" s="62"/>
      <c r="V795" s="177"/>
      <c r="W795" s="171"/>
      <c r="X795" s="62"/>
      <c r="Y795" s="45"/>
      <c r="Z795" s="45"/>
      <c r="AA795" s="100"/>
      <c r="AB795" s="100"/>
      <c r="AC795" s="24"/>
      <c r="AD795" s="24"/>
      <c r="AE795" s="24"/>
      <c r="AF795" s="24"/>
      <c r="AG795" s="18">
        <v>24</v>
      </c>
      <c r="AH795" s="69" t="s">
        <v>296</v>
      </c>
      <c r="AI795" s="243" t="s">
        <v>187</v>
      </c>
      <c r="AJ795" s="243" t="s">
        <v>419</v>
      </c>
      <c r="AK795" s="246"/>
      <c r="AL795" s="43" t="str">
        <f t="shared" si="212"/>
        <v>-</v>
      </c>
      <c r="AM795" s="43">
        <f t="shared" si="200"/>
        <v>0</v>
      </c>
      <c r="AN795" s="193">
        <f t="shared" si="200"/>
        <v>0</v>
      </c>
      <c r="AO795" s="270" t="str">
        <f t="shared" si="201"/>
        <v>-</v>
      </c>
      <c r="AP795" s="266"/>
      <c r="AQ795" s="26" t="str">
        <f t="shared" si="208"/>
        <v>ANGORA CREEKSockeye</v>
      </c>
      <c r="AR795" s="26">
        <f t="shared" si="202"/>
        <v>0</v>
      </c>
      <c r="AS795" s="33">
        <f t="shared" si="203"/>
        <v>0</v>
      </c>
      <c r="AX795" s="47" t="str">
        <f t="shared" si="204"/>
        <v>ANGORA CREEKSockeye</v>
      </c>
      <c r="AY795" s="49">
        <f t="shared" si="205"/>
        <v>0</v>
      </c>
      <c r="AZ795" s="49">
        <f t="shared" si="206"/>
        <v>0</v>
      </c>
      <c r="BA795" s="31">
        <v>0</v>
      </c>
      <c r="BB795" s="188">
        <f t="shared" si="209"/>
        <v>0</v>
      </c>
      <c r="BC795" s="188" t="str">
        <f t="shared" si="213"/>
        <v xml:space="preserve"> </v>
      </c>
      <c r="BD795" s="188" t="str">
        <f t="shared" si="214"/>
        <v xml:space="preserve"> </v>
      </c>
      <c r="BE795" s="188" t="str">
        <f t="shared" si="215"/>
        <v xml:space="preserve"> </v>
      </c>
      <c r="BF795" s="50" t="str">
        <f t="shared" si="207"/>
        <v>ANGORA CREEK_Sockeye</v>
      </c>
      <c r="BG795" s="50" t="str">
        <f>IFERROR(VLOOKUP(BF795,'[1]WCVI Esc'!$C$5:$W$514,18,FALSE),"-")</f>
        <v>-</v>
      </c>
      <c r="BH795" s="50" t="str">
        <f t="shared" si="210"/>
        <v>-</v>
      </c>
      <c r="BI795" s="50" t="str">
        <f>IFERROR(VLOOKUP(BF795,'[1]WCVI Esc'!$C$5:$W$514,19,FALSE),"-")</f>
        <v>-</v>
      </c>
      <c r="BJ795" s="50" t="str">
        <f t="shared" si="211"/>
        <v>-</v>
      </c>
    </row>
    <row r="796" spans="1:62" hidden="1" x14ac:dyDescent="0.2">
      <c r="A796" s="28">
        <v>4</v>
      </c>
      <c r="B796" s="28">
        <v>2</v>
      </c>
      <c r="C796" s="11">
        <v>24</v>
      </c>
      <c r="D796" s="13" t="s">
        <v>296</v>
      </c>
      <c r="E796" s="10" t="s">
        <v>187</v>
      </c>
      <c r="F796" s="10" t="s">
        <v>219</v>
      </c>
      <c r="G796" s="10"/>
      <c r="H796" s="152"/>
      <c r="I796" s="164"/>
      <c r="J796" s="62"/>
      <c r="K796" s="62"/>
      <c r="L796" s="177"/>
      <c r="M796" s="171"/>
      <c r="N796" s="62"/>
      <c r="O796" s="62"/>
      <c r="P796" s="62"/>
      <c r="Q796" s="185"/>
      <c r="R796" s="169"/>
      <c r="S796" s="62"/>
      <c r="T796" s="62"/>
      <c r="U796" s="62"/>
      <c r="V796" s="177"/>
      <c r="W796" s="171"/>
      <c r="X796" s="62"/>
      <c r="Y796" s="45"/>
      <c r="Z796" s="45"/>
      <c r="AA796" s="100">
        <f>Y796/AP796</f>
        <v>0</v>
      </c>
      <c r="AB796" s="100">
        <f>AS796/AP796</f>
        <v>0</v>
      </c>
      <c r="AC796" s="24"/>
      <c r="AD796" s="24"/>
      <c r="AE796" s="24"/>
      <c r="AF796" s="24"/>
      <c r="AG796" s="18">
        <v>24</v>
      </c>
      <c r="AH796" s="69" t="s">
        <v>296</v>
      </c>
      <c r="AI796" s="243" t="s">
        <v>187</v>
      </c>
      <c r="AJ796" s="243" t="s">
        <v>419</v>
      </c>
      <c r="AK796" s="246"/>
      <c r="AL796" s="43" t="str">
        <f t="shared" si="212"/>
        <v>-</v>
      </c>
      <c r="AM796" s="43">
        <f t="shared" si="200"/>
        <v>0</v>
      </c>
      <c r="AN796" s="193">
        <f t="shared" si="200"/>
        <v>0</v>
      </c>
      <c r="AO796" s="270" t="str">
        <f t="shared" si="201"/>
        <v>-</v>
      </c>
      <c r="AP796" s="265">
        <f>BJ796</f>
        <v>390</v>
      </c>
      <c r="AQ796" s="26" t="str">
        <f t="shared" si="208"/>
        <v>ANGORA CREEKCoho</v>
      </c>
      <c r="AR796" s="26">
        <f t="shared" si="202"/>
        <v>0</v>
      </c>
      <c r="AS796" s="33">
        <f t="shared" si="203"/>
        <v>0</v>
      </c>
      <c r="AX796" s="47" t="str">
        <f t="shared" si="204"/>
        <v>ANGORA CREEKCoho</v>
      </c>
      <c r="AY796" s="49">
        <f t="shared" si="205"/>
        <v>0</v>
      </c>
      <c r="AZ796" s="49">
        <f t="shared" si="206"/>
        <v>0</v>
      </c>
      <c r="BA796" s="31">
        <v>2014</v>
      </c>
      <c r="BB796" s="188">
        <f t="shared" si="209"/>
        <v>0</v>
      </c>
      <c r="BC796" s="188" t="str">
        <f t="shared" si="213"/>
        <v xml:space="preserve"> </v>
      </c>
      <c r="BD796" s="188" t="str">
        <f t="shared" si="214"/>
        <v xml:space="preserve"> </v>
      </c>
      <c r="BE796" s="188" t="str">
        <f t="shared" si="215"/>
        <v xml:space="preserve"> </v>
      </c>
      <c r="BF796" s="50" t="str">
        <f t="shared" si="207"/>
        <v>ANGORA CREEK_Coho</v>
      </c>
      <c r="BG796" s="50" t="str">
        <f>IFERROR(VLOOKUP(BF796,'[1]WCVI Esc'!$C$5:$W$514,18,FALSE),"-")</f>
        <v>-</v>
      </c>
      <c r="BH796" s="50" t="str">
        <f t="shared" si="210"/>
        <v>-</v>
      </c>
      <c r="BI796" s="50">
        <f>IFERROR(VLOOKUP(BF796,'[1]WCVI Esc'!$C$5:$W$514,19,FALSE),"-")</f>
        <v>388.5</v>
      </c>
      <c r="BJ796" s="50">
        <f t="shared" si="211"/>
        <v>390</v>
      </c>
    </row>
    <row r="797" spans="1:62" hidden="1" x14ac:dyDescent="0.2">
      <c r="A797" s="28">
        <v>4</v>
      </c>
      <c r="B797" s="28">
        <v>3</v>
      </c>
      <c r="C797" s="11">
        <v>24</v>
      </c>
      <c r="D797" s="13" t="s">
        <v>296</v>
      </c>
      <c r="E797" s="10" t="s">
        <v>187</v>
      </c>
      <c r="F797" s="10" t="s">
        <v>208</v>
      </c>
      <c r="G797" s="10"/>
      <c r="H797" s="152"/>
      <c r="I797" s="164"/>
      <c r="J797" s="62"/>
      <c r="K797" s="62"/>
      <c r="L797" s="177"/>
      <c r="M797" s="171"/>
      <c r="N797" s="62"/>
      <c r="O797" s="62"/>
      <c r="P797" s="62"/>
      <c r="Q797" s="185"/>
      <c r="R797" s="169"/>
      <c r="S797" s="62"/>
      <c r="T797" s="62"/>
      <c r="U797" s="62"/>
      <c r="V797" s="177"/>
      <c r="W797" s="171"/>
      <c r="X797" s="62"/>
      <c r="Y797" s="45"/>
      <c r="Z797" s="45"/>
      <c r="AA797" s="100"/>
      <c r="AB797" s="100"/>
      <c r="AC797" s="24"/>
      <c r="AD797" s="24"/>
      <c r="AE797" s="24"/>
      <c r="AF797" s="24"/>
      <c r="AG797" s="18">
        <v>24</v>
      </c>
      <c r="AH797" s="69" t="s">
        <v>296</v>
      </c>
      <c r="AI797" s="243" t="s">
        <v>187</v>
      </c>
      <c r="AJ797" s="243" t="s">
        <v>419</v>
      </c>
      <c r="AK797" s="246"/>
      <c r="AL797" s="43" t="str">
        <f t="shared" si="212"/>
        <v>-</v>
      </c>
      <c r="AM797" s="43">
        <f t="shared" si="200"/>
        <v>0</v>
      </c>
      <c r="AN797" s="193">
        <f t="shared" si="200"/>
        <v>0</v>
      </c>
      <c r="AO797" s="270" t="str">
        <f t="shared" si="201"/>
        <v>-</v>
      </c>
      <c r="AP797" s="266"/>
      <c r="AQ797" s="26" t="str">
        <f t="shared" si="208"/>
        <v>ANGORA CREEKPink</v>
      </c>
      <c r="AR797" s="26">
        <f t="shared" si="202"/>
        <v>0</v>
      </c>
      <c r="AS797" s="33">
        <f t="shared" si="203"/>
        <v>0</v>
      </c>
      <c r="AX797" s="47" t="str">
        <f t="shared" si="204"/>
        <v>ANGORA CREEKPink</v>
      </c>
      <c r="AY797" s="49">
        <f t="shared" si="205"/>
        <v>0</v>
      </c>
      <c r="AZ797" s="49">
        <f t="shared" si="206"/>
        <v>0</v>
      </c>
      <c r="BA797" s="31">
        <v>0</v>
      </c>
      <c r="BB797" s="188">
        <f t="shared" si="209"/>
        <v>0</v>
      </c>
      <c r="BC797" s="188" t="str">
        <f t="shared" si="213"/>
        <v xml:space="preserve"> </v>
      </c>
      <c r="BD797" s="188" t="str">
        <f t="shared" si="214"/>
        <v xml:space="preserve"> </v>
      </c>
      <c r="BE797" s="188" t="str">
        <f t="shared" si="215"/>
        <v xml:space="preserve"> </v>
      </c>
      <c r="BF797" s="50" t="str">
        <f t="shared" si="207"/>
        <v>ANGORA CREEK_Pink</v>
      </c>
      <c r="BG797" s="50" t="str">
        <f>IFERROR(VLOOKUP(BF797,'[1]WCVI Esc'!$C$5:$W$514,18,FALSE),"-")</f>
        <v>-</v>
      </c>
      <c r="BH797" s="50" t="str">
        <f t="shared" si="210"/>
        <v>-</v>
      </c>
      <c r="BI797" s="50" t="str">
        <f>IFERROR(VLOOKUP(BF797,'[1]WCVI Esc'!$C$5:$W$514,19,FALSE),"-")</f>
        <v>-</v>
      </c>
      <c r="BJ797" s="50" t="str">
        <f t="shared" si="211"/>
        <v>-</v>
      </c>
    </row>
    <row r="798" spans="1:62" hidden="1" x14ac:dyDescent="0.2">
      <c r="A798" s="28">
        <v>4</v>
      </c>
      <c r="B798" s="28">
        <v>4</v>
      </c>
      <c r="C798" s="11">
        <v>24</v>
      </c>
      <c r="D798" s="13" t="s">
        <v>296</v>
      </c>
      <c r="E798" s="10" t="s">
        <v>187</v>
      </c>
      <c r="F798" s="10" t="s">
        <v>209</v>
      </c>
      <c r="G798" s="10"/>
      <c r="H798" s="152"/>
      <c r="I798" s="164"/>
      <c r="J798" s="62"/>
      <c r="K798" s="62"/>
      <c r="L798" s="177"/>
      <c r="M798" s="171"/>
      <c r="N798" s="62"/>
      <c r="O798" s="62"/>
      <c r="P798" s="62"/>
      <c r="Q798" s="185"/>
      <c r="R798" s="169"/>
      <c r="S798" s="62"/>
      <c r="T798" s="62"/>
      <c r="U798" s="62"/>
      <c r="V798" s="177"/>
      <c r="W798" s="171"/>
      <c r="X798" s="62"/>
      <c r="Y798" s="45"/>
      <c r="Z798" s="45"/>
      <c r="AA798" s="100"/>
      <c r="AB798" s="100"/>
      <c r="AC798" s="24"/>
      <c r="AD798" s="24"/>
      <c r="AE798" s="24"/>
      <c r="AF798" s="24"/>
      <c r="AG798" s="18">
        <v>24</v>
      </c>
      <c r="AH798" s="69" t="s">
        <v>296</v>
      </c>
      <c r="AI798" s="243" t="s">
        <v>187</v>
      </c>
      <c r="AJ798" s="243" t="s">
        <v>419</v>
      </c>
      <c r="AK798" s="246"/>
      <c r="AL798" s="43" t="str">
        <f t="shared" si="212"/>
        <v>-</v>
      </c>
      <c r="AM798" s="43">
        <f t="shared" si="200"/>
        <v>0</v>
      </c>
      <c r="AN798" s="193">
        <f t="shared" si="200"/>
        <v>0</v>
      </c>
      <c r="AO798" s="270" t="str">
        <f t="shared" si="201"/>
        <v>-</v>
      </c>
      <c r="AP798" s="266"/>
      <c r="AQ798" s="26" t="str">
        <f t="shared" si="208"/>
        <v>ANGORA CREEKChum</v>
      </c>
      <c r="AR798" s="26">
        <f t="shared" si="202"/>
        <v>0</v>
      </c>
      <c r="AS798" s="33">
        <f t="shared" si="203"/>
        <v>0</v>
      </c>
      <c r="AX798" s="47" t="str">
        <f t="shared" si="204"/>
        <v>ANGORA CREEKChum</v>
      </c>
      <c r="AY798" s="49">
        <f t="shared" si="205"/>
        <v>0</v>
      </c>
      <c r="AZ798" s="49">
        <f t="shared" si="206"/>
        <v>0</v>
      </c>
      <c r="BA798" s="31">
        <v>0</v>
      </c>
      <c r="BB798" s="188">
        <f t="shared" si="209"/>
        <v>0</v>
      </c>
      <c r="BC798" s="188" t="str">
        <f t="shared" si="213"/>
        <v xml:space="preserve"> </v>
      </c>
      <c r="BD798" s="188" t="str">
        <f t="shared" si="214"/>
        <v xml:space="preserve"> </v>
      </c>
      <c r="BE798" s="188" t="str">
        <f t="shared" si="215"/>
        <v xml:space="preserve"> </v>
      </c>
      <c r="BF798" s="50" t="str">
        <f t="shared" si="207"/>
        <v>ANGORA CREEK_Chum</v>
      </c>
      <c r="BG798" s="50" t="str">
        <f>IFERROR(VLOOKUP(BF798,'[1]WCVI Esc'!$C$5:$W$514,18,FALSE),"-")</f>
        <v>-</v>
      </c>
      <c r="BH798" s="50" t="str">
        <f t="shared" si="210"/>
        <v>-</v>
      </c>
      <c r="BI798" s="50" t="str">
        <f>IFERROR(VLOOKUP(BF798,'[1]WCVI Esc'!$C$5:$W$514,19,FALSE),"-")</f>
        <v>-</v>
      </c>
      <c r="BJ798" s="50" t="str">
        <f t="shared" si="211"/>
        <v>-</v>
      </c>
    </row>
    <row r="799" spans="1:62" hidden="1" x14ac:dyDescent="0.2">
      <c r="A799" s="28">
        <v>4</v>
      </c>
      <c r="B799" s="28">
        <v>5</v>
      </c>
      <c r="C799" s="11">
        <v>24</v>
      </c>
      <c r="D799" s="13" t="s">
        <v>296</v>
      </c>
      <c r="E799" s="10" t="s">
        <v>187</v>
      </c>
      <c r="F799" s="10" t="s">
        <v>210</v>
      </c>
      <c r="G799" s="10"/>
      <c r="H799" s="152"/>
      <c r="I799" s="164"/>
      <c r="J799" s="62"/>
      <c r="K799" s="62"/>
      <c r="L799" s="177"/>
      <c r="M799" s="171"/>
      <c r="N799" s="62"/>
      <c r="O799" s="62"/>
      <c r="P799" s="62"/>
      <c r="Q799" s="185"/>
      <c r="R799" s="169"/>
      <c r="S799" s="62"/>
      <c r="T799" s="62"/>
      <c r="U799" s="62"/>
      <c r="V799" s="177"/>
      <c r="W799" s="171"/>
      <c r="X799" s="62"/>
      <c r="Y799" s="45"/>
      <c r="Z799" s="45"/>
      <c r="AA799" s="100"/>
      <c r="AB799" s="100"/>
      <c r="AC799" s="24"/>
      <c r="AD799" s="24"/>
      <c r="AE799" s="24"/>
      <c r="AF799" s="24"/>
      <c r="AG799" s="18">
        <v>24</v>
      </c>
      <c r="AH799" s="69" t="s">
        <v>296</v>
      </c>
      <c r="AI799" s="243" t="s">
        <v>187</v>
      </c>
      <c r="AJ799" s="243" t="s">
        <v>419</v>
      </c>
      <c r="AK799" s="246"/>
      <c r="AL799" s="43" t="str">
        <f t="shared" si="212"/>
        <v>-</v>
      </c>
      <c r="AM799" s="43">
        <f t="shared" si="200"/>
        <v>0</v>
      </c>
      <c r="AN799" s="193">
        <f t="shared" si="200"/>
        <v>0</v>
      </c>
      <c r="AO799" s="270" t="str">
        <f t="shared" si="201"/>
        <v>-</v>
      </c>
      <c r="AP799" s="266"/>
      <c r="AQ799" s="26" t="str">
        <f t="shared" si="208"/>
        <v>ANGORA CREEKChinook</v>
      </c>
      <c r="AR799" s="26">
        <f t="shared" si="202"/>
        <v>0</v>
      </c>
      <c r="AS799" s="33">
        <f t="shared" si="203"/>
        <v>0</v>
      </c>
      <c r="AX799" s="47" t="str">
        <f t="shared" si="204"/>
        <v>ANGORA CREEKChinook</v>
      </c>
      <c r="AY799" s="49">
        <f t="shared" si="205"/>
        <v>0</v>
      </c>
      <c r="AZ799" s="49">
        <f t="shared" si="206"/>
        <v>0</v>
      </c>
      <c r="BA799" s="31">
        <v>0</v>
      </c>
      <c r="BB799" s="188">
        <f t="shared" si="209"/>
        <v>0</v>
      </c>
      <c r="BC799" s="188" t="str">
        <f t="shared" si="213"/>
        <v xml:space="preserve"> </v>
      </c>
      <c r="BD799" s="188" t="str">
        <f t="shared" si="214"/>
        <v xml:space="preserve"> </v>
      </c>
      <c r="BE799" s="188" t="str">
        <f t="shared" si="215"/>
        <v xml:space="preserve"> </v>
      </c>
      <c r="BF799" s="50" t="str">
        <f t="shared" si="207"/>
        <v>ANGORA CREEK_Chinook</v>
      </c>
      <c r="BG799" s="50" t="str">
        <f>IFERROR(VLOOKUP(BF799,'[1]WCVI Esc'!$C$5:$W$514,18,FALSE),"-")</f>
        <v>-</v>
      </c>
      <c r="BH799" s="50" t="str">
        <f t="shared" si="210"/>
        <v>-</v>
      </c>
      <c r="BI799" s="50" t="str">
        <f>IFERROR(VLOOKUP(BF799,'[1]WCVI Esc'!$C$5:$W$514,19,FALSE),"-")</f>
        <v>-</v>
      </c>
      <c r="BJ799" s="50" t="str">
        <f t="shared" si="211"/>
        <v>-</v>
      </c>
    </row>
    <row r="800" spans="1:62" hidden="1" x14ac:dyDescent="0.2">
      <c r="A800" s="28">
        <v>4</v>
      </c>
      <c r="B800" s="28">
        <v>6</v>
      </c>
      <c r="C800" s="11">
        <v>24</v>
      </c>
      <c r="D800" s="13" t="s">
        <v>296</v>
      </c>
      <c r="E800" s="10" t="s">
        <v>187</v>
      </c>
      <c r="F800" s="10" t="s">
        <v>211</v>
      </c>
      <c r="G800" s="10"/>
      <c r="H800" s="152"/>
      <c r="I800" s="164"/>
      <c r="J800" s="62"/>
      <c r="K800" s="62"/>
      <c r="L800" s="177"/>
      <c r="M800" s="171"/>
      <c r="N800" s="62"/>
      <c r="O800" s="62"/>
      <c r="P800" s="62"/>
      <c r="Q800" s="185"/>
      <c r="R800" s="169"/>
      <c r="S800" s="62"/>
      <c r="T800" s="62"/>
      <c r="U800" s="62"/>
      <c r="V800" s="177"/>
      <c r="W800" s="171"/>
      <c r="X800" s="62"/>
      <c r="Y800" s="45"/>
      <c r="Z800" s="45"/>
      <c r="AA800" s="100"/>
      <c r="AB800" s="100"/>
      <c r="AC800" s="24"/>
      <c r="AD800" s="24"/>
      <c r="AE800" s="24"/>
      <c r="AF800" s="24"/>
      <c r="AG800" s="18">
        <v>24</v>
      </c>
      <c r="AH800" s="69" t="s">
        <v>296</v>
      </c>
      <c r="AI800" s="243" t="s">
        <v>187</v>
      </c>
      <c r="AJ800" s="243" t="s">
        <v>419</v>
      </c>
      <c r="AK800" s="246"/>
      <c r="AL800" s="43" t="str">
        <f t="shared" si="212"/>
        <v>-</v>
      </c>
      <c r="AM800" s="43">
        <f t="shared" si="200"/>
        <v>0</v>
      </c>
      <c r="AN800" s="193">
        <f t="shared" si="200"/>
        <v>0</v>
      </c>
      <c r="AO800" s="270" t="str">
        <f t="shared" si="201"/>
        <v>-</v>
      </c>
      <c r="AP800" s="266"/>
      <c r="AQ800" s="26" t="str">
        <f t="shared" si="208"/>
        <v>ANGORA CREEKSteelhead</v>
      </c>
      <c r="AR800" s="26">
        <f t="shared" si="202"/>
        <v>0</v>
      </c>
      <c r="AS800" s="33">
        <f t="shared" si="203"/>
        <v>0</v>
      </c>
      <c r="AX800" s="47" t="str">
        <f t="shared" si="204"/>
        <v>ANGORA CREEKSteelhead</v>
      </c>
      <c r="AY800" s="49">
        <f t="shared" si="205"/>
        <v>0</v>
      </c>
      <c r="AZ800" s="49">
        <f t="shared" si="206"/>
        <v>0</v>
      </c>
      <c r="BA800" s="31">
        <v>0</v>
      </c>
      <c r="BB800" s="188">
        <f t="shared" si="209"/>
        <v>0</v>
      </c>
      <c r="BC800" s="188" t="str">
        <f t="shared" si="213"/>
        <v xml:space="preserve"> </v>
      </c>
      <c r="BD800" s="188" t="str">
        <f t="shared" si="214"/>
        <v xml:space="preserve"> </v>
      </c>
      <c r="BE800" s="188" t="str">
        <f t="shared" si="215"/>
        <v xml:space="preserve"> </v>
      </c>
      <c r="BF800" s="50" t="str">
        <f t="shared" si="207"/>
        <v>ANGORA CREEK_Steelhead</v>
      </c>
      <c r="BG800" s="50" t="str">
        <f>IFERROR(VLOOKUP(BF800,'[1]WCVI Esc'!$C$5:$W$514,18,FALSE),"-")</f>
        <v>-</v>
      </c>
      <c r="BH800" s="50" t="str">
        <f t="shared" si="210"/>
        <v>-</v>
      </c>
      <c r="BI800" s="50" t="str">
        <f>IFERROR(VLOOKUP(BF800,'[1]WCVI Esc'!$C$5:$W$514,19,FALSE),"-")</f>
        <v>-</v>
      </c>
      <c r="BJ800" s="50" t="str">
        <f t="shared" si="211"/>
        <v>-</v>
      </c>
    </row>
    <row r="801" spans="1:62" hidden="1" x14ac:dyDescent="0.2">
      <c r="A801" s="28">
        <v>4</v>
      </c>
      <c r="B801" s="28">
        <v>1</v>
      </c>
      <c r="C801" s="11">
        <v>24</v>
      </c>
      <c r="D801" s="13" t="s">
        <v>297</v>
      </c>
      <c r="E801" s="10" t="s">
        <v>114</v>
      </c>
      <c r="F801" s="10" t="s">
        <v>207</v>
      </c>
      <c r="G801" s="10"/>
      <c r="H801" s="152"/>
      <c r="I801" s="164"/>
      <c r="J801" s="62"/>
      <c r="K801" s="62"/>
      <c r="L801" s="177"/>
      <c r="M801" s="171"/>
      <c r="N801" s="62"/>
      <c r="O801" s="62"/>
      <c r="P801" s="63"/>
      <c r="Q801" s="162"/>
      <c r="R801" s="164"/>
      <c r="S801" s="62"/>
      <c r="T801" s="62"/>
      <c r="U801" s="62"/>
      <c r="V801" s="177"/>
      <c r="W801" s="171"/>
      <c r="X801" s="62"/>
      <c r="Y801" s="45"/>
      <c r="Z801" s="45"/>
      <c r="AA801" s="100"/>
      <c r="AB801" s="100"/>
      <c r="AC801" s="24"/>
      <c r="AD801" s="24"/>
      <c r="AE801" s="24"/>
      <c r="AF801" s="24"/>
      <c r="AG801" s="18">
        <v>24</v>
      </c>
      <c r="AH801" s="69" t="s">
        <v>297</v>
      </c>
      <c r="AI801" s="243" t="s">
        <v>114</v>
      </c>
      <c r="AJ801" s="243" t="s">
        <v>419</v>
      </c>
      <c r="AK801" s="246"/>
      <c r="AL801" s="43" t="str">
        <f t="shared" si="212"/>
        <v>-</v>
      </c>
      <c r="AM801" s="43">
        <f t="shared" si="200"/>
        <v>0</v>
      </c>
      <c r="AN801" s="193">
        <f t="shared" si="200"/>
        <v>0</v>
      </c>
      <c r="AO801" s="270" t="str">
        <f t="shared" si="201"/>
        <v>-</v>
      </c>
      <c r="AP801" s="266"/>
      <c r="AQ801" s="26" t="str">
        <f t="shared" si="208"/>
        <v>ATLEO RIVERSockeye</v>
      </c>
      <c r="AR801" s="26">
        <f t="shared" si="202"/>
        <v>0</v>
      </c>
      <c r="AS801" s="33">
        <f t="shared" si="203"/>
        <v>0</v>
      </c>
      <c r="AX801" s="47" t="str">
        <f t="shared" si="204"/>
        <v>ATLEO RIVERSockeye</v>
      </c>
      <c r="AY801" s="49">
        <f t="shared" si="205"/>
        <v>0</v>
      </c>
      <c r="AZ801" s="49">
        <f t="shared" si="206"/>
        <v>0</v>
      </c>
      <c r="BA801" s="31">
        <v>0</v>
      </c>
      <c r="BB801" s="188">
        <f t="shared" si="209"/>
        <v>0</v>
      </c>
      <c r="BC801" s="188" t="str">
        <f t="shared" si="213"/>
        <v xml:space="preserve"> </v>
      </c>
      <c r="BD801" s="188" t="str">
        <f t="shared" si="214"/>
        <v xml:space="preserve"> </v>
      </c>
      <c r="BE801" s="188" t="str">
        <f t="shared" si="215"/>
        <v xml:space="preserve"> </v>
      </c>
      <c r="BF801" s="50" t="str">
        <f t="shared" si="207"/>
        <v>ATLEO RIVER_Sockeye</v>
      </c>
      <c r="BG801" s="50" t="str">
        <f>IFERROR(VLOOKUP(BF801,'[1]WCVI Esc'!$C$5:$W$514,18,FALSE),"-")</f>
        <v>-</v>
      </c>
      <c r="BH801" s="50" t="str">
        <f t="shared" si="210"/>
        <v>-</v>
      </c>
      <c r="BI801" s="50" t="str">
        <f>IFERROR(VLOOKUP(BF801,'[1]WCVI Esc'!$C$5:$W$514,19,FALSE),"-")</f>
        <v>-</v>
      </c>
      <c r="BJ801" s="50" t="str">
        <f t="shared" si="211"/>
        <v>-</v>
      </c>
    </row>
    <row r="802" spans="1:62" hidden="1" x14ac:dyDescent="0.2">
      <c r="A802" s="28">
        <v>4</v>
      </c>
      <c r="B802" s="28">
        <v>2</v>
      </c>
      <c r="C802" s="11">
        <v>24</v>
      </c>
      <c r="D802" s="13" t="s">
        <v>297</v>
      </c>
      <c r="E802" s="10" t="s">
        <v>114</v>
      </c>
      <c r="F802" s="10" t="s">
        <v>219</v>
      </c>
      <c r="G802" s="10"/>
      <c r="H802" s="152"/>
      <c r="I802" s="164"/>
      <c r="J802" s="62"/>
      <c r="K802" s="62"/>
      <c r="L802" s="177"/>
      <c r="M802" s="171"/>
      <c r="N802" s="62"/>
      <c r="O802" s="62"/>
      <c r="P802" s="63"/>
      <c r="Q802" s="162"/>
      <c r="R802" s="164"/>
      <c r="S802" s="62"/>
      <c r="T802" s="62"/>
      <c r="U802" s="62"/>
      <c r="V802" s="177"/>
      <c r="W802" s="171"/>
      <c r="X802" s="62"/>
      <c r="Y802" s="45"/>
      <c r="Z802" s="45"/>
      <c r="AA802" s="100">
        <f>Y802/AP802</f>
        <v>0</v>
      </c>
      <c r="AB802" s="100">
        <f>AS802/AP802</f>
        <v>0</v>
      </c>
      <c r="AC802" s="24"/>
      <c r="AD802" s="24"/>
      <c r="AE802" s="24"/>
      <c r="AF802" s="24"/>
      <c r="AG802" s="18">
        <v>24</v>
      </c>
      <c r="AH802" s="69" t="s">
        <v>297</v>
      </c>
      <c r="AI802" s="243" t="s">
        <v>114</v>
      </c>
      <c r="AJ802" s="243" t="s">
        <v>419</v>
      </c>
      <c r="AK802" s="246"/>
      <c r="AL802" s="43" t="str">
        <f t="shared" si="212"/>
        <v>-</v>
      </c>
      <c r="AM802" s="43">
        <f t="shared" si="200"/>
        <v>0</v>
      </c>
      <c r="AN802" s="193">
        <f t="shared" si="200"/>
        <v>0</v>
      </c>
      <c r="AO802" s="270">
        <f t="shared" si="201"/>
        <v>160</v>
      </c>
      <c r="AP802" s="265">
        <f>BJ802</f>
        <v>260</v>
      </c>
      <c r="AQ802" s="26" t="str">
        <f t="shared" si="208"/>
        <v>ATLEO RIVERCoho</v>
      </c>
      <c r="AR802" s="26">
        <f t="shared" si="202"/>
        <v>0</v>
      </c>
      <c r="AS802" s="33">
        <f t="shared" si="203"/>
        <v>0</v>
      </c>
      <c r="AX802" s="47" t="str">
        <f t="shared" si="204"/>
        <v>ATLEO RIVERCoho</v>
      </c>
      <c r="AY802" s="49">
        <f t="shared" si="205"/>
        <v>0</v>
      </c>
      <c r="AZ802" s="49">
        <f t="shared" si="206"/>
        <v>0</v>
      </c>
      <c r="BA802" s="31">
        <v>2014</v>
      </c>
      <c r="BB802" s="188">
        <f t="shared" si="209"/>
        <v>0</v>
      </c>
      <c r="BC802" s="188" t="str">
        <f t="shared" si="213"/>
        <v xml:space="preserve"> </v>
      </c>
      <c r="BD802" s="188" t="str">
        <f t="shared" si="214"/>
        <v xml:space="preserve"> </v>
      </c>
      <c r="BE802" s="188" t="str">
        <f t="shared" si="215"/>
        <v xml:space="preserve"> </v>
      </c>
      <c r="BF802" s="50" t="str">
        <f t="shared" si="207"/>
        <v>ATLEO RIVER_Coho</v>
      </c>
      <c r="BG802" s="50">
        <f>IFERROR(VLOOKUP(BF802,'[1]WCVI Esc'!$C$5:$W$514,18,FALSE),"-")</f>
        <v>163</v>
      </c>
      <c r="BH802" s="50">
        <f t="shared" si="210"/>
        <v>160</v>
      </c>
      <c r="BI802" s="50">
        <f>IFERROR(VLOOKUP(BF802,'[1]WCVI Esc'!$C$5:$W$514,19,FALSE),"-")</f>
        <v>255.8</v>
      </c>
      <c r="BJ802" s="50">
        <f t="shared" si="211"/>
        <v>260</v>
      </c>
    </row>
    <row r="803" spans="1:62" hidden="1" x14ac:dyDescent="0.2">
      <c r="A803" s="28">
        <v>4</v>
      </c>
      <c r="B803" s="28">
        <v>3</v>
      </c>
      <c r="C803" s="11">
        <v>24</v>
      </c>
      <c r="D803" s="13" t="s">
        <v>297</v>
      </c>
      <c r="E803" s="10" t="s">
        <v>114</v>
      </c>
      <c r="F803" s="10" t="s">
        <v>208</v>
      </c>
      <c r="G803" s="10"/>
      <c r="H803" s="152"/>
      <c r="I803" s="164"/>
      <c r="J803" s="62"/>
      <c r="K803" s="62"/>
      <c r="L803" s="177"/>
      <c r="M803" s="171"/>
      <c r="N803" s="62"/>
      <c r="O803" s="62"/>
      <c r="P803" s="63"/>
      <c r="Q803" s="162"/>
      <c r="R803" s="164"/>
      <c r="S803" s="62"/>
      <c r="T803" s="62"/>
      <c r="U803" s="62"/>
      <c r="V803" s="177"/>
      <c r="W803" s="171"/>
      <c r="X803" s="62"/>
      <c r="Y803" s="45"/>
      <c r="Z803" s="45"/>
      <c r="AA803" s="100"/>
      <c r="AB803" s="100"/>
      <c r="AC803" s="24"/>
      <c r="AD803" s="24"/>
      <c r="AE803" s="24"/>
      <c r="AF803" s="24"/>
      <c r="AG803" s="18">
        <v>24</v>
      </c>
      <c r="AH803" s="69" t="s">
        <v>297</v>
      </c>
      <c r="AI803" s="243" t="s">
        <v>114</v>
      </c>
      <c r="AJ803" s="243" t="s">
        <v>419</v>
      </c>
      <c r="AK803" s="246"/>
      <c r="AL803" s="43" t="str">
        <f t="shared" si="212"/>
        <v>-</v>
      </c>
      <c r="AM803" s="43">
        <f t="shared" si="200"/>
        <v>0</v>
      </c>
      <c r="AN803" s="193">
        <f t="shared" si="200"/>
        <v>0</v>
      </c>
      <c r="AO803" s="270" t="str">
        <f t="shared" si="201"/>
        <v>-</v>
      </c>
      <c r="AP803" s="266"/>
      <c r="AQ803" s="26" t="str">
        <f t="shared" si="208"/>
        <v>ATLEO RIVERPink</v>
      </c>
      <c r="AR803" s="26">
        <f t="shared" si="202"/>
        <v>0</v>
      </c>
      <c r="AS803" s="33">
        <f t="shared" si="203"/>
        <v>0</v>
      </c>
      <c r="AX803" s="47" t="str">
        <f t="shared" si="204"/>
        <v>ATLEO RIVERPink</v>
      </c>
      <c r="AY803" s="49">
        <f t="shared" si="205"/>
        <v>0</v>
      </c>
      <c r="AZ803" s="49">
        <f t="shared" si="206"/>
        <v>0</v>
      </c>
      <c r="BA803" s="31">
        <v>0</v>
      </c>
      <c r="BB803" s="188">
        <f t="shared" si="209"/>
        <v>0</v>
      </c>
      <c r="BC803" s="188" t="str">
        <f t="shared" si="213"/>
        <v xml:space="preserve"> </v>
      </c>
      <c r="BD803" s="188" t="str">
        <f t="shared" si="214"/>
        <v xml:space="preserve"> </v>
      </c>
      <c r="BE803" s="188" t="str">
        <f t="shared" si="215"/>
        <v xml:space="preserve"> </v>
      </c>
      <c r="BF803" s="50" t="str">
        <f t="shared" si="207"/>
        <v>ATLEO RIVER_Pink</v>
      </c>
      <c r="BG803" s="50" t="str">
        <f>IFERROR(VLOOKUP(BF803,'[1]WCVI Esc'!$C$5:$W$514,18,FALSE),"-")</f>
        <v>-</v>
      </c>
      <c r="BH803" s="50" t="str">
        <f t="shared" si="210"/>
        <v>-</v>
      </c>
      <c r="BI803" s="50" t="str">
        <f>IFERROR(VLOOKUP(BF803,'[1]WCVI Esc'!$C$5:$W$514,19,FALSE),"-")</f>
        <v>-</v>
      </c>
      <c r="BJ803" s="50" t="str">
        <f t="shared" si="211"/>
        <v>-</v>
      </c>
    </row>
    <row r="804" spans="1:62" hidden="1" x14ac:dyDescent="0.2">
      <c r="A804" s="28">
        <v>4</v>
      </c>
      <c r="B804" s="28">
        <v>4</v>
      </c>
      <c r="C804" s="11">
        <v>24</v>
      </c>
      <c r="D804" s="13" t="s">
        <v>297</v>
      </c>
      <c r="E804" s="10" t="s">
        <v>114</v>
      </c>
      <c r="F804" s="10" t="s">
        <v>209</v>
      </c>
      <c r="G804" s="10"/>
      <c r="H804" s="152"/>
      <c r="I804" s="164"/>
      <c r="J804" s="62"/>
      <c r="K804" s="62"/>
      <c r="L804" s="177"/>
      <c r="M804" s="171"/>
      <c r="N804" s="62"/>
      <c r="O804" s="62"/>
      <c r="P804" s="63"/>
      <c r="Q804" s="162"/>
      <c r="R804" s="164"/>
      <c r="S804" s="62"/>
      <c r="T804" s="62"/>
      <c r="U804" s="62"/>
      <c r="V804" s="177"/>
      <c r="W804" s="171"/>
      <c r="X804" s="62"/>
      <c r="Y804" s="45"/>
      <c r="Z804" s="45"/>
      <c r="AA804" s="100">
        <f>Y804/AP804</f>
        <v>0</v>
      </c>
      <c r="AB804" s="100">
        <f>AS804/AP804</f>
        <v>0</v>
      </c>
      <c r="AC804" s="24"/>
      <c r="AD804" s="24"/>
      <c r="AE804" s="24"/>
      <c r="AF804" s="24"/>
      <c r="AG804" s="18">
        <v>24</v>
      </c>
      <c r="AH804" s="69" t="s">
        <v>297</v>
      </c>
      <c r="AI804" s="243" t="s">
        <v>114</v>
      </c>
      <c r="AJ804" s="243" t="s">
        <v>419</v>
      </c>
      <c r="AK804" s="246"/>
      <c r="AL804" s="43" t="str">
        <f t="shared" si="212"/>
        <v>-</v>
      </c>
      <c r="AM804" s="43">
        <f t="shared" si="200"/>
        <v>0</v>
      </c>
      <c r="AN804" s="193">
        <f t="shared" si="200"/>
        <v>0</v>
      </c>
      <c r="AO804" s="270">
        <f t="shared" si="201"/>
        <v>110</v>
      </c>
      <c r="AP804" s="265">
        <f>BJ804</f>
        <v>120</v>
      </c>
      <c r="AQ804" s="26" t="str">
        <f t="shared" si="208"/>
        <v>ATLEO RIVERChum</v>
      </c>
      <c r="AR804" s="26">
        <f t="shared" si="202"/>
        <v>0</v>
      </c>
      <c r="AS804" s="33">
        <f t="shared" si="203"/>
        <v>0</v>
      </c>
      <c r="AX804" s="47" t="str">
        <f t="shared" si="204"/>
        <v>ATLEO RIVERChum</v>
      </c>
      <c r="AY804" s="49">
        <f t="shared" si="205"/>
        <v>0</v>
      </c>
      <c r="AZ804" s="49">
        <f t="shared" si="206"/>
        <v>0</v>
      </c>
      <c r="BA804" s="31">
        <v>2014</v>
      </c>
      <c r="BB804" s="188">
        <f t="shared" si="209"/>
        <v>0</v>
      </c>
      <c r="BC804" s="188" t="str">
        <f t="shared" si="213"/>
        <v xml:space="preserve"> </v>
      </c>
      <c r="BD804" s="188" t="str">
        <f t="shared" si="214"/>
        <v xml:space="preserve"> </v>
      </c>
      <c r="BE804" s="188" t="str">
        <f t="shared" si="215"/>
        <v xml:space="preserve"> </v>
      </c>
      <c r="BF804" s="50" t="str">
        <f t="shared" si="207"/>
        <v>ATLEO RIVER_Chum</v>
      </c>
      <c r="BG804" s="50">
        <f>IFERROR(VLOOKUP(BF804,'[1]WCVI Esc'!$C$5:$W$514,18,FALSE),"-")</f>
        <v>110.5</v>
      </c>
      <c r="BH804" s="50">
        <f t="shared" si="210"/>
        <v>110</v>
      </c>
      <c r="BI804" s="50">
        <f>IFERROR(VLOOKUP(BF804,'[1]WCVI Esc'!$C$5:$W$514,19,FALSE),"-")</f>
        <v>118.8</v>
      </c>
      <c r="BJ804" s="50">
        <f t="shared" si="211"/>
        <v>120</v>
      </c>
    </row>
    <row r="805" spans="1:62" hidden="1" x14ac:dyDescent="0.2">
      <c r="A805" s="28">
        <v>4</v>
      </c>
      <c r="B805" s="28">
        <v>5</v>
      </c>
      <c r="C805" s="11">
        <v>24</v>
      </c>
      <c r="D805" s="13" t="s">
        <v>297</v>
      </c>
      <c r="E805" s="10" t="s">
        <v>114</v>
      </c>
      <c r="F805" s="10" t="s">
        <v>210</v>
      </c>
      <c r="G805" s="10"/>
      <c r="H805" s="152"/>
      <c r="I805" s="164"/>
      <c r="J805" s="62"/>
      <c r="K805" s="62"/>
      <c r="L805" s="177"/>
      <c r="M805" s="171"/>
      <c r="N805" s="62"/>
      <c r="O805" s="62"/>
      <c r="P805" s="63"/>
      <c r="Q805" s="162"/>
      <c r="R805" s="164"/>
      <c r="S805" s="62"/>
      <c r="T805" s="62"/>
      <c r="U805" s="62"/>
      <c r="V805" s="177"/>
      <c r="W805" s="171"/>
      <c r="X805" s="62"/>
      <c r="Y805" s="45"/>
      <c r="Z805" s="45"/>
      <c r="AA805" s="100"/>
      <c r="AB805" s="100"/>
      <c r="AC805" s="24"/>
      <c r="AD805" s="24"/>
      <c r="AE805" s="24"/>
      <c r="AF805" s="24"/>
      <c r="AG805" s="18">
        <v>24</v>
      </c>
      <c r="AH805" s="69" t="s">
        <v>297</v>
      </c>
      <c r="AI805" s="243" t="s">
        <v>114</v>
      </c>
      <c r="AJ805" s="243" t="s">
        <v>419</v>
      </c>
      <c r="AK805" s="246"/>
      <c r="AL805" s="43" t="str">
        <f t="shared" si="212"/>
        <v>-</v>
      </c>
      <c r="AM805" s="43">
        <f t="shared" si="200"/>
        <v>0</v>
      </c>
      <c r="AN805" s="193">
        <f t="shared" si="200"/>
        <v>0</v>
      </c>
      <c r="AO805" s="270" t="str">
        <f t="shared" si="201"/>
        <v>-</v>
      </c>
      <c r="AP805" s="266"/>
      <c r="AQ805" s="26" t="str">
        <f t="shared" si="208"/>
        <v>ATLEO RIVERChinook</v>
      </c>
      <c r="AR805" s="26">
        <f t="shared" si="202"/>
        <v>0</v>
      </c>
      <c r="AS805" s="33">
        <f t="shared" si="203"/>
        <v>0</v>
      </c>
      <c r="AX805" s="47" t="str">
        <f t="shared" si="204"/>
        <v>ATLEO RIVERChinook</v>
      </c>
      <c r="AY805" s="49">
        <f t="shared" si="205"/>
        <v>0</v>
      </c>
      <c r="AZ805" s="49">
        <f t="shared" si="206"/>
        <v>0</v>
      </c>
      <c r="BA805" s="31">
        <v>0</v>
      </c>
      <c r="BB805" s="188">
        <f t="shared" si="209"/>
        <v>0</v>
      </c>
      <c r="BC805" s="188" t="str">
        <f t="shared" si="213"/>
        <v xml:space="preserve"> </v>
      </c>
      <c r="BD805" s="188" t="str">
        <f t="shared" si="214"/>
        <v xml:space="preserve"> </v>
      </c>
      <c r="BE805" s="188" t="str">
        <f t="shared" si="215"/>
        <v xml:space="preserve"> </v>
      </c>
      <c r="BF805" s="50" t="str">
        <f t="shared" si="207"/>
        <v>ATLEO RIVER_Chinook</v>
      </c>
      <c r="BG805" s="50" t="str">
        <f>IFERROR(VLOOKUP(BF805,'[1]WCVI Esc'!$C$5:$W$514,18,FALSE),"-")</f>
        <v>-</v>
      </c>
      <c r="BH805" s="50" t="str">
        <f t="shared" si="210"/>
        <v>-</v>
      </c>
      <c r="BI805" s="50" t="str">
        <f>IFERROR(VLOOKUP(BF805,'[1]WCVI Esc'!$C$5:$W$514,19,FALSE),"-")</f>
        <v>-</v>
      </c>
      <c r="BJ805" s="50" t="str">
        <f t="shared" si="211"/>
        <v>-</v>
      </c>
    </row>
    <row r="806" spans="1:62" hidden="1" x14ac:dyDescent="0.2">
      <c r="A806" s="28">
        <v>4</v>
      </c>
      <c r="B806" s="28">
        <v>6</v>
      </c>
      <c r="C806" s="11">
        <v>24</v>
      </c>
      <c r="D806" s="13" t="s">
        <v>297</v>
      </c>
      <c r="E806" s="10" t="s">
        <v>114</v>
      </c>
      <c r="F806" s="10" t="s">
        <v>211</v>
      </c>
      <c r="G806" s="10"/>
      <c r="H806" s="152"/>
      <c r="I806" s="164"/>
      <c r="J806" s="62"/>
      <c r="K806" s="62"/>
      <c r="L806" s="177"/>
      <c r="M806" s="171"/>
      <c r="N806" s="62"/>
      <c r="O806" s="62"/>
      <c r="P806" s="63"/>
      <c r="Q806" s="162"/>
      <c r="R806" s="164"/>
      <c r="S806" s="62"/>
      <c r="T806" s="62"/>
      <c r="U806" s="62"/>
      <c r="V806" s="177"/>
      <c r="W806" s="171"/>
      <c r="X806" s="62"/>
      <c r="Y806" s="45"/>
      <c r="Z806" s="45"/>
      <c r="AA806" s="100"/>
      <c r="AB806" s="100"/>
      <c r="AC806" s="24"/>
      <c r="AD806" s="24"/>
      <c r="AE806" s="24"/>
      <c r="AF806" s="24"/>
      <c r="AG806" s="18">
        <v>24</v>
      </c>
      <c r="AH806" s="69" t="s">
        <v>297</v>
      </c>
      <c r="AI806" s="243" t="s">
        <v>114</v>
      </c>
      <c r="AJ806" s="243" t="s">
        <v>419</v>
      </c>
      <c r="AK806" s="246"/>
      <c r="AL806" s="43" t="str">
        <f t="shared" si="212"/>
        <v>-</v>
      </c>
      <c r="AM806" s="43">
        <f t="shared" si="200"/>
        <v>0</v>
      </c>
      <c r="AN806" s="193">
        <f t="shared" si="200"/>
        <v>0</v>
      </c>
      <c r="AO806" s="270" t="str">
        <f t="shared" si="201"/>
        <v>-</v>
      </c>
      <c r="AP806" s="266"/>
      <c r="AQ806" s="26" t="str">
        <f t="shared" si="208"/>
        <v>ATLEO RIVERSteelhead</v>
      </c>
      <c r="AR806" s="26">
        <f t="shared" si="202"/>
        <v>0</v>
      </c>
      <c r="AS806" s="33">
        <f t="shared" si="203"/>
        <v>0</v>
      </c>
      <c r="AX806" s="47" t="str">
        <f t="shared" si="204"/>
        <v>ATLEO RIVERSteelhead</v>
      </c>
      <c r="AY806" s="49">
        <f t="shared" si="205"/>
        <v>0</v>
      </c>
      <c r="AZ806" s="49">
        <f t="shared" si="206"/>
        <v>0</v>
      </c>
      <c r="BA806" s="31">
        <v>0</v>
      </c>
      <c r="BB806" s="188">
        <f t="shared" si="209"/>
        <v>0</v>
      </c>
      <c r="BC806" s="188" t="str">
        <f t="shared" si="213"/>
        <v xml:space="preserve"> </v>
      </c>
      <c r="BD806" s="188" t="str">
        <f t="shared" si="214"/>
        <v xml:space="preserve"> </v>
      </c>
      <c r="BE806" s="188" t="str">
        <f t="shared" si="215"/>
        <v xml:space="preserve"> </v>
      </c>
      <c r="BF806" s="50" t="str">
        <f t="shared" si="207"/>
        <v>ATLEO RIVER_Steelhead</v>
      </c>
      <c r="BG806" s="50" t="str">
        <f>IFERROR(VLOOKUP(BF806,'[1]WCVI Esc'!$C$5:$W$514,18,FALSE),"-")</f>
        <v>-</v>
      </c>
      <c r="BH806" s="50" t="str">
        <f t="shared" si="210"/>
        <v>-</v>
      </c>
      <c r="BI806" s="50" t="str">
        <f>IFERROR(VLOOKUP(BF806,'[1]WCVI Esc'!$C$5:$W$514,19,FALSE),"-")</f>
        <v>-</v>
      </c>
      <c r="BJ806" s="50" t="str">
        <f t="shared" si="211"/>
        <v>-</v>
      </c>
    </row>
    <row r="807" spans="1:62" hidden="1" x14ac:dyDescent="0.2">
      <c r="A807" s="28">
        <v>4</v>
      </c>
      <c r="B807" s="28">
        <v>1</v>
      </c>
      <c r="C807" s="11">
        <v>24</v>
      </c>
      <c r="D807" s="13" t="s">
        <v>297</v>
      </c>
      <c r="E807" s="10" t="s">
        <v>115</v>
      </c>
      <c r="F807" s="10" t="s">
        <v>207</v>
      </c>
      <c r="G807" s="10"/>
      <c r="H807" s="152"/>
      <c r="I807" s="164"/>
      <c r="J807" s="62"/>
      <c r="K807" s="62"/>
      <c r="L807" s="177"/>
      <c r="M807" s="171"/>
      <c r="N807" s="62"/>
      <c r="O807" s="62"/>
      <c r="P807" s="62"/>
      <c r="Q807" s="162"/>
      <c r="R807" s="169"/>
      <c r="S807" s="62"/>
      <c r="T807" s="62"/>
      <c r="U807" s="62"/>
      <c r="V807" s="177"/>
      <c r="W807" s="171"/>
      <c r="X807" s="62"/>
      <c r="Y807" s="45"/>
      <c r="Z807" s="45"/>
      <c r="AA807" s="100"/>
      <c r="AB807" s="100"/>
      <c r="AC807" s="24"/>
      <c r="AD807" s="24"/>
      <c r="AE807" s="24"/>
      <c r="AF807" s="24"/>
      <c r="AG807" s="18">
        <v>24</v>
      </c>
      <c r="AH807" s="69" t="s">
        <v>297</v>
      </c>
      <c r="AI807" s="243" t="s">
        <v>115</v>
      </c>
      <c r="AJ807" s="243" t="s">
        <v>419</v>
      </c>
      <c r="AK807" s="246"/>
      <c r="AL807" s="43" t="str">
        <f t="shared" si="212"/>
        <v>-</v>
      </c>
      <c r="AM807" s="43">
        <f t="shared" si="200"/>
        <v>0</v>
      </c>
      <c r="AN807" s="193">
        <f t="shared" si="200"/>
        <v>0</v>
      </c>
      <c r="AO807" s="270" t="str">
        <f t="shared" si="201"/>
        <v>-</v>
      </c>
      <c r="AP807" s="266"/>
      <c r="AQ807" s="26" t="str">
        <f t="shared" si="208"/>
        <v>BAWDEN CREEKSockeye</v>
      </c>
      <c r="AR807" s="26">
        <f t="shared" si="202"/>
        <v>0</v>
      </c>
      <c r="AS807" s="33">
        <f t="shared" si="203"/>
        <v>0</v>
      </c>
      <c r="AX807" s="47" t="str">
        <f t="shared" si="204"/>
        <v>BAWDEN CREEKSockeye</v>
      </c>
      <c r="AY807" s="49">
        <f t="shared" si="205"/>
        <v>0</v>
      </c>
      <c r="AZ807" s="49">
        <f t="shared" si="206"/>
        <v>0</v>
      </c>
      <c r="BA807" s="31">
        <v>0</v>
      </c>
      <c r="BB807" s="188">
        <f t="shared" si="209"/>
        <v>0</v>
      </c>
      <c r="BC807" s="188" t="str">
        <f t="shared" si="213"/>
        <v xml:space="preserve"> </v>
      </c>
      <c r="BD807" s="188" t="str">
        <f t="shared" si="214"/>
        <v xml:space="preserve"> </v>
      </c>
      <c r="BE807" s="188" t="str">
        <f t="shared" si="215"/>
        <v xml:space="preserve"> </v>
      </c>
      <c r="BF807" s="50" t="str">
        <f t="shared" si="207"/>
        <v>BAWDEN CREEK_Sockeye</v>
      </c>
      <c r="BG807" s="50" t="str">
        <f>IFERROR(VLOOKUP(BF807,'[1]WCVI Esc'!$C$5:$W$514,18,FALSE),"-")</f>
        <v>-</v>
      </c>
      <c r="BH807" s="50" t="str">
        <f t="shared" si="210"/>
        <v>-</v>
      </c>
      <c r="BI807" s="50" t="str">
        <f>IFERROR(VLOOKUP(BF807,'[1]WCVI Esc'!$C$5:$W$514,19,FALSE),"-")</f>
        <v>-</v>
      </c>
      <c r="BJ807" s="50" t="str">
        <f t="shared" si="211"/>
        <v>-</v>
      </c>
    </row>
    <row r="808" spans="1:62" hidden="1" x14ac:dyDescent="0.2">
      <c r="A808" s="28">
        <v>4</v>
      </c>
      <c r="B808" s="28">
        <v>2</v>
      </c>
      <c r="C808" s="11">
        <v>24</v>
      </c>
      <c r="D808" s="13" t="s">
        <v>297</v>
      </c>
      <c r="E808" s="10" t="s">
        <v>115</v>
      </c>
      <c r="F808" s="10" t="s">
        <v>219</v>
      </c>
      <c r="G808" s="10"/>
      <c r="H808" s="152"/>
      <c r="I808" s="164"/>
      <c r="J808" s="62"/>
      <c r="K808" s="62"/>
      <c r="L808" s="177"/>
      <c r="M808" s="171"/>
      <c r="N808" s="62"/>
      <c r="O808" s="62"/>
      <c r="P808" s="62"/>
      <c r="Q808" s="162"/>
      <c r="R808" s="169"/>
      <c r="S808" s="62"/>
      <c r="T808" s="62"/>
      <c r="U808" s="62"/>
      <c r="V808" s="177"/>
      <c r="W808" s="171"/>
      <c r="X808" s="62"/>
      <c r="Y808" s="45"/>
      <c r="Z808" s="45"/>
      <c r="AA808" s="100"/>
      <c r="AB808" s="100"/>
      <c r="AC808" s="24"/>
      <c r="AD808" s="24"/>
      <c r="AE808" s="24"/>
      <c r="AF808" s="24"/>
      <c r="AG808" s="18">
        <v>24</v>
      </c>
      <c r="AH808" s="69" t="s">
        <v>297</v>
      </c>
      <c r="AI808" s="243" t="s">
        <v>115</v>
      </c>
      <c r="AJ808" s="243" t="s">
        <v>419</v>
      </c>
      <c r="AK808" s="246"/>
      <c r="AL808" s="43" t="str">
        <f t="shared" si="212"/>
        <v>-</v>
      </c>
      <c r="AM808" s="43">
        <f t="shared" si="200"/>
        <v>0</v>
      </c>
      <c r="AN808" s="193">
        <f t="shared" si="200"/>
        <v>0</v>
      </c>
      <c r="AO808" s="270" t="str">
        <f t="shared" si="201"/>
        <v>-</v>
      </c>
      <c r="AP808" s="266"/>
      <c r="AQ808" s="26" t="str">
        <f t="shared" si="208"/>
        <v>BAWDEN CREEKCoho</v>
      </c>
      <c r="AR808" s="26">
        <f t="shared" si="202"/>
        <v>0</v>
      </c>
      <c r="AS808" s="33">
        <f t="shared" si="203"/>
        <v>0</v>
      </c>
      <c r="AX808" s="47" t="str">
        <f t="shared" si="204"/>
        <v>BAWDEN CREEKCoho</v>
      </c>
      <c r="AY808" s="49">
        <f t="shared" si="205"/>
        <v>0</v>
      </c>
      <c r="AZ808" s="49">
        <f t="shared" si="206"/>
        <v>0</v>
      </c>
      <c r="BA808" s="31">
        <v>1996</v>
      </c>
      <c r="BB808" s="188">
        <f t="shared" si="209"/>
        <v>0</v>
      </c>
      <c r="BC808" s="188" t="str">
        <f t="shared" si="213"/>
        <v xml:space="preserve"> </v>
      </c>
      <c r="BD808" s="188" t="str">
        <f t="shared" si="214"/>
        <v xml:space="preserve"> </v>
      </c>
      <c r="BE808" s="188" t="str">
        <f t="shared" si="215"/>
        <v xml:space="preserve"> </v>
      </c>
      <c r="BF808" s="50" t="str">
        <f t="shared" si="207"/>
        <v>BAWDEN CREEK_Coho</v>
      </c>
      <c r="BG808" s="50" t="str">
        <f>IFERROR(VLOOKUP(BF808,'[1]WCVI Esc'!$C$5:$W$514,18,FALSE),"-")</f>
        <v>-</v>
      </c>
      <c r="BH808" s="50" t="str">
        <f t="shared" si="210"/>
        <v>-</v>
      </c>
      <c r="BI808" s="50" t="str">
        <f>IFERROR(VLOOKUP(BF808,'[1]WCVI Esc'!$C$5:$W$514,19,FALSE),"-")</f>
        <v>-</v>
      </c>
      <c r="BJ808" s="50" t="str">
        <f t="shared" si="211"/>
        <v>-</v>
      </c>
    </row>
    <row r="809" spans="1:62" hidden="1" x14ac:dyDescent="0.2">
      <c r="A809" s="28">
        <v>4</v>
      </c>
      <c r="B809" s="28">
        <v>3</v>
      </c>
      <c r="C809" s="11">
        <v>24</v>
      </c>
      <c r="D809" s="13" t="s">
        <v>297</v>
      </c>
      <c r="E809" s="10" t="s">
        <v>115</v>
      </c>
      <c r="F809" s="10" t="s">
        <v>208</v>
      </c>
      <c r="G809" s="10"/>
      <c r="H809" s="152"/>
      <c r="I809" s="164"/>
      <c r="J809" s="62"/>
      <c r="K809" s="62"/>
      <c r="L809" s="177"/>
      <c r="M809" s="171"/>
      <c r="N809" s="62"/>
      <c r="O809" s="62"/>
      <c r="P809" s="62"/>
      <c r="Q809" s="162"/>
      <c r="R809" s="169"/>
      <c r="S809" s="62"/>
      <c r="T809" s="62"/>
      <c r="U809" s="62"/>
      <c r="V809" s="177"/>
      <c r="W809" s="171"/>
      <c r="X809" s="62"/>
      <c r="Y809" s="45"/>
      <c r="Z809" s="45"/>
      <c r="AA809" s="100"/>
      <c r="AB809" s="100"/>
      <c r="AC809" s="24"/>
      <c r="AD809" s="24"/>
      <c r="AE809" s="24"/>
      <c r="AF809" s="24"/>
      <c r="AG809" s="18">
        <v>24</v>
      </c>
      <c r="AH809" s="69" t="s">
        <v>297</v>
      </c>
      <c r="AI809" s="243" t="s">
        <v>115</v>
      </c>
      <c r="AJ809" s="243" t="s">
        <v>419</v>
      </c>
      <c r="AK809" s="246"/>
      <c r="AL809" s="43" t="str">
        <f t="shared" si="212"/>
        <v>-</v>
      </c>
      <c r="AM809" s="43">
        <f t="shared" si="200"/>
        <v>0</v>
      </c>
      <c r="AN809" s="193">
        <f t="shared" si="200"/>
        <v>0</v>
      </c>
      <c r="AO809" s="270" t="str">
        <f t="shared" si="201"/>
        <v>-</v>
      </c>
      <c r="AP809" s="266"/>
      <c r="AQ809" s="26" t="str">
        <f t="shared" si="208"/>
        <v>BAWDEN CREEKPink</v>
      </c>
      <c r="AR809" s="26">
        <f t="shared" si="202"/>
        <v>0</v>
      </c>
      <c r="AS809" s="33">
        <f t="shared" si="203"/>
        <v>0</v>
      </c>
      <c r="AX809" s="47" t="str">
        <f t="shared" si="204"/>
        <v>BAWDEN CREEKPink</v>
      </c>
      <c r="AY809" s="49">
        <f t="shared" si="205"/>
        <v>0</v>
      </c>
      <c r="AZ809" s="49">
        <f t="shared" si="206"/>
        <v>0</v>
      </c>
      <c r="BA809" s="31">
        <v>0</v>
      </c>
      <c r="BB809" s="188">
        <f t="shared" si="209"/>
        <v>0</v>
      </c>
      <c r="BC809" s="188" t="str">
        <f t="shared" si="213"/>
        <v xml:space="preserve"> </v>
      </c>
      <c r="BD809" s="188" t="str">
        <f t="shared" si="214"/>
        <v xml:space="preserve"> </v>
      </c>
      <c r="BE809" s="188" t="str">
        <f t="shared" si="215"/>
        <v xml:space="preserve"> </v>
      </c>
      <c r="BF809" s="50" t="str">
        <f t="shared" si="207"/>
        <v>BAWDEN CREEK_Pink</v>
      </c>
      <c r="BG809" s="50" t="str">
        <f>IFERROR(VLOOKUP(BF809,'[1]WCVI Esc'!$C$5:$W$514,18,FALSE),"-")</f>
        <v>-</v>
      </c>
      <c r="BH809" s="50" t="str">
        <f t="shared" si="210"/>
        <v>-</v>
      </c>
      <c r="BI809" s="50" t="str">
        <f>IFERROR(VLOOKUP(BF809,'[1]WCVI Esc'!$C$5:$W$514,19,FALSE),"-")</f>
        <v>-</v>
      </c>
      <c r="BJ809" s="50" t="str">
        <f t="shared" si="211"/>
        <v>-</v>
      </c>
    </row>
    <row r="810" spans="1:62" hidden="1" x14ac:dyDescent="0.2">
      <c r="A810" s="28">
        <v>4</v>
      </c>
      <c r="B810" s="28">
        <v>4</v>
      </c>
      <c r="C810" s="11">
        <v>24</v>
      </c>
      <c r="D810" s="13" t="s">
        <v>297</v>
      </c>
      <c r="E810" s="10" t="s">
        <v>115</v>
      </c>
      <c r="F810" s="10" t="s">
        <v>209</v>
      </c>
      <c r="G810" s="10"/>
      <c r="H810" s="152"/>
      <c r="I810" s="164"/>
      <c r="J810" s="62"/>
      <c r="K810" s="62"/>
      <c r="L810" s="177"/>
      <c r="M810" s="171"/>
      <c r="N810" s="62"/>
      <c r="O810" s="62"/>
      <c r="P810" s="62"/>
      <c r="Q810" s="162"/>
      <c r="R810" s="169"/>
      <c r="S810" s="62"/>
      <c r="T810" s="62"/>
      <c r="U810" s="62"/>
      <c r="V810" s="177"/>
      <c r="W810" s="171"/>
      <c r="X810" s="62"/>
      <c r="Y810" s="45"/>
      <c r="Z810" s="45"/>
      <c r="AA810" s="100"/>
      <c r="AB810" s="100"/>
      <c r="AC810" s="24"/>
      <c r="AD810" s="24"/>
      <c r="AE810" s="24"/>
      <c r="AF810" s="24"/>
      <c r="AG810" s="18">
        <v>24</v>
      </c>
      <c r="AH810" s="69" t="s">
        <v>297</v>
      </c>
      <c r="AI810" s="243" t="s">
        <v>115</v>
      </c>
      <c r="AJ810" s="243" t="s">
        <v>419</v>
      </c>
      <c r="AK810" s="246"/>
      <c r="AL810" s="43" t="str">
        <f t="shared" si="212"/>
        <v>-</v>
      </c>
      <c r="AM810" s="43">
        <f t="shared" si="200"/>
        <v>0</v>
      </c>
      <c r="AN810" s="193">
        <f t="shared" si="200"/>
        <v>0</v>
      </c>
      <c r="AO810" s="270">
        <f t="shared" si="201"/>
        <v>0</v>
      </c>
      <c r="AP810" s="266"/>
      <c r="AQ810" s="26" t="str">
        <f t="shared" si="208"/>
        <v>BAWDEN CREEKChum</v>
      </c>
      <c r="AR810" s="26">
        <f t="shared" si="202"/>
        <v>0</v>
      </c>
      <c r="AS810" s="33">
        <f t="shared" si="203"/>
        <v>0</v>
      </c>
      <c r="AX810" s="47" t="str">
        <f t="shared" si="204"/>
        <v>BAWDEN CREEKChum</v>
      </c>
      <c r="AY810" s="49">
        <f t="shared" si="205"/>
        <v>0</v>
      </c>
      <c r="AZ810" s="49">
        <f t="shared" si="206"/>
        <v>0</v>
      </c>
      <c r="BA810" s="31">
        <v>2002</v>
      </c>
      <c r="BB810" s="188">
        <f t="shared" si="209"/>
        <v>0</v>
      </c>
      <c r="BC810" s="188" t="str">
        <f t="shared" si="213"/>
        <v xml:space="preserve"> </v>
      </c>
      <c r="BD810" s="188" t="str">
        <f t="shared" si="214"/>
        <v xml:space="preserve"> </v>
      </c>
      <c r="BE810" s="188" t="str">
        <f t="shared" si="215"/>
        <v xml:space="preserve"> </v>
      </c>
      <c r="BF810" s="50" t="str">
        <f t="shared" si="207"/>
        <v>BAWDEN CREEK_Chum</v>
      </c>
      <c r="BG810" s="50">
        <f>IFERROR(VLOOKUP(BF810,'[1]WCVI Esc'!$C$5:$W$514,18,FALSE),"-")</f>
        <v>2</v>
      </c>
      <c r="BH810" s="50">
        <f t="shared" si="210"/>
        <v>0</v>
      </c>
      <c r="BI810" s="50">
        <f>IFERROR(VLOOKUP(BF810,'[1]WCVI Esc'!$C$5:$W$514,19,FALSE),"-")</f>
        <v>2</v>
      </c>
      <c r="BJ810" s="50">
        <f t="shared" si="211"/>
        <v>0</v>
      </c>
    </row>
    <row r="811" spans="1:62" hidden="1" x14ac:dyDescent="0.2">
      <c r="A811" s="28">
        <v>4</v>
      </c>
      <c r="B811" s="28">
        <v>5</v>
      </c>
      <c r="C811" s="11">
        <v>24</v>
      </c>
      <c r="D811" s="13" t="s">
        <v>297</v>
      </c>
      <c r="E811" s="10" t="s">
        <v>115</v>
      </c>
      <c r="F811" s="10" t="s">
        <v>210</v>
      </c>
      <c r="G811" s="10"/>
      <c r="H811" s="152"/>
      <c r="I811" s="164"/>
      <c r="J811" s="62"/>
      <c r="K811" s="62"/>
      <c r="L811" s="177"/>
      <c r="M811" s="171"/>
      <c r="N811" s="62"/>
      <c r="O811" s="62"/>
      <c r="P811" s="62"/>
      <c r="Q811" s="162"/>
      <c r="R811" s="169"/>
      <c r="S811" s="62"/>
      <c r="T811" s="62"/>
      <c r="U811" s="62"/>
      <c r="V811" s="177"/>
      <c r="W811" s="171"/>
      <c r="X811" s="62"/>
      <c r="Y811" s="45"/>
      <c r="Z811" s="45"/>
      <c r="AA811" s="100"/>
      <c r="AB811" s="100"/>
      <c r="AC811" s="24"/>
      <c r="AD811" s="24"/>
      <c r="AE811" s="24"/>
      <c r="AF811" s="24"/>
      <c r="AG811" s="18">
        <v>24</v>
      </c>
      <c r="AH811" s="69" t="s">
        <v>297</v>
      </c>
      <c r="AI811" s="243" t="s">
        <v>115</v>
      </c>
      <c r="AJ811" s="243" t="s">
        <v>419</v>
      </c>
      <c r="AK811" s="246"/>
      <c r="AL811" s="43" t="str">
        <f t="shared" si="212"/>
        <v>-</v>
      </c>
      <c r="AM811" s="43">
        <f t="shared" si="200"/>
        <v>0</v>
      </c>
      <c r="AN811" s="193">
        <f t="shared" si="200"/>
        <v>0</v>
      </c>
      <c r="AO811" s="270" t="str">
        <f t="shared" si="201"/>
        <v>-</v>
      </c>
      <c r="AP811" s="266"/>
      <c r="AQ811" s="26" t="str">
        <f t="shared" si="208"/>
        <v>BAWDEN CREEKChinook</v>
      </c>
      <c r="AR811" s="26">
        <f t="shared" si="202"/>
        <v>0</v>
      </c>
      <c r="AS811" s="33">
        <f t="shared" si="203"/>
        <v>0</v>
      </c>
      <c r="AX811" s="47" t="str">
        <f t="shared" si="204"/>
        <v>BAWDEN CREEKChinook</v>
      </c>
      <c r="AY811" s="49">
        <f t="shared" si="205"/>
        <v>0</v>
      </c>
      <c r="AZ811" s="49">
        <f t="shared" si="206"/>
        <v>0</v>
      </c>
      <c r="BA811" s="31">
        <v>0</v>
      </c>
      <c r="BB811" s="188">
        <f t="shared" si="209"/>
        <v>0</v>
      </c>
      <c r="BC811" s="188" t="str">
        <f t="shared" si="213"/>
        <v xml:space="preserve"> </v>
      </c>
      <c r="BD811" s="188" t="str">
        <f t="shared" si="214"/>
        <v xml:space="preserve"> </v>
      </c>
      <c r="BE811" s="188" t="str">
        <f t="shared" si="215"/>
        <v xml:space="preserve"> </v>
      </c>
      <c r="BF811" s="50" t="str">
        <f t="shared" si="207"/>
        <v>BAWDEN CREEK_Chinook</v>
      </c>
      <c r="BG811" s="50" t="str">
        <f>IFERROR(VLOOKUP(BF811,'[1]WCVI Esc'!$C$5:$W$514,18,FALSE),"-")</f>
        <v>-</v>
      </c>
      <c r="BH811" s="50" t="str">
        <f t="shared" si="210"/>
        <v>-</v>
      </c>
      <c r="BI811" s="50" t="str">
        <f>IFERROR(VLOOKUP(BF811,'[1]WCVI Esc'!$C$5:$W$514,19,FALSE),"-")</f>
        <v>-</v>
      </c>
      <c r="BJ811" s="50" t="str">
        <f t="shared" si="211"/>
        <v>-</v>
      </c>
    </row>
    <row r="812" spans="1:62" hidden="1" x14ac:dyDescent="0.2">
      <c r="A812" s="28">
        <v>4</v>
      </c>
      <c r="B812" s="28">
        <v>6</v>
      </c>
      <c r="C812" s="11">
        <v>24</v>
      </c>
      <c r="D812" s="13" t="s">
        <v>297</v>
      </c>
      <c r="E812" s="10" t="s">
        <v>115</v>
      </c>
      <c r="F812" s="10" t="s">
        <v>211</v>
      </c>
      <c r="G812" s="10"/>
      <c r="H812" s="152"/>
      <c r="I812" s="164"/>
      <c r="J812" s="62"/>
      <c r="K812" s="62"/>
      <c r="L812" s="177"/>
      <c r="M812" s="171"/>
      <c r="N812" s="62"/>
      <c r="O812" s="62"/>
      <c r="P812" s="62"/>
      <c r="Q812" s="162"/>
      <c r="R812" s="169"/>
      <c r="S812" s="62"/>
      <c r="T812" s="62"/>
      <c r="U812" s="62"/>
      <c r="V812" s="177"/>
      <c r="W812" s="171"/>
      <c r="X812" s="62"/>
      <c r="Y812" s="45"/>
      <c r="Z812" s="45"/>
      <c r="AA812" s="100"/>
      <c r="AB812" s="100"/>
      <c r="AC812" s="24"/>
      <c r="AD812" s="24"/>
      <c r="AE812" s="24"/>
      <c r="AF812" s="24"/>
      <c r="AG812" s="18">
        <v>24</v>
      </c>
      <c r="AH812" s="69" t="s">
        <v>297</v>
      </c>
      <c r="AI812" s="243" t="s">
        <v>115</v>
      </c>
      <c r="AJ812" s="243" t="s">
        <v>419</v>
      </c>
      <c r="AK812" s="246"/>
      <c r="AL812" s="43" t="str">
        <f t="shared" si="212"/>
        <v>-</v>
      </c>
      <c r="AM812" s="43">
        <f t="shared" si="200"/>
        <v>0</v>
      </c>
      <c r="AN812" s="193">
        <f t="shared" si="200"/>
        <v>0</v>
      </c>
      <c r="AO812" s="270" t="str">
        <f t="shared" si="201"/>
        <v>-</v>
      </c>
      <c r="AP812" s="266"/>
      <c r="AQ812" s="26" t="str">
        <f t="shared" si="208"/>
        <v>BAWDEN CREEKSteelhead</v>
      </c>
      <c r="AR812" s="26">
        <f t="shared" si="202"/>
        <v>0</v>
      </c>
      <c r="AS812" s="33">
        <f t="shared" si="203"/>
        <v>0</v>
      </c>
      <c r="AX812" s="47" t="str">
        <f t="shared" si="204"/>
        <v>BAWDEN CREEKSteelhead</v>
      </c>
      <c r="AY812" s="49">
        <f t="shared" si="205"/>
        <v>0</v>
      </c>
      <c r="AZ812" s="49">
        <f t="shared" si="206"/>
        <v>0</v>
      </c>
      <c r="BA812" s="31">
        <v>0</v>
      </c>
      <c r="BB812" s="188">
        <f t="shared" si="209"/>
        <v>0</v>
      </c>
      <c r="BC812" s="188" t="str">
        <f t="shared" si="213"/>
        <v xml:space="preserve"> </v>
      </c>
      <c r="BD812" s="188" t="str">
        <f t="shared" si="214"/>
        <v xml:space="preserve"> </v>
      </c>
      <c r="BE812" s="188" t="str">
        <f t="shared" si="215"/>
        <v xml:space="preserve"> </v>
      </c>
      <c r="BF812" s="50" t="str">
        <f t="shared" si="207"/>
        <v>BAWDEN CREEK_Steelhead</v>
      </c>
      <c r="BG812" s="50" t="str">
        <f>IFERROR(VLOOKUP(BF812,'[1]WCVI Esc'!$C$5:$W$514,18,FALSE),"-")</f>
        <v>-</v>
      </c>
      <c r="BH812" s="50" t="str">
        <f t="shared" si="210"/>
        <v>-</v>
      </c>
      <c r="BI812" s="50" t="str">
        <f>IFERROR(VLOOKUP(BF812,'[1]WCVI Esc'!$C$5:$W$514,19,FALSE),"-")</f>
        <v>-</v>
      </c>
      <c r="BJ812" s="50" t="str">
        <f t="shared" si="211"/>
        <v>-</v>
      </c>
    </row>
    <row r="813" spans="1:62" hidden="1" x14ac:dyDescent="0.2">
      <c r="A813" s="28">
        <v>4</v>
      </c>
      <c r="B813" s="28">
        <v>1</v>
      </c>
      <c r="C813" s="11">
        <v>24</v>
      </c>
      <c r="D813" s="13" t="s">
        <v>297</v>
      </c>
      <c r="E813" s="10" t="s">
        <v>188</v>
      </c>
      <c r="F813" s="10" t="s">
        <v>207</v>
      </c>
      <c r="G813" s="10"/>
      <c r="H813" s="152"/>
      <c r="I813" s="164"/>
      <c r="J813" s="62"/>
      <c r="K813" s="62"/>
      <c r="L813" s="177"/>
      <c r="M813" s="171"/>
      <c r="N813" s="62"/>
      <c r="O813" s="62"/>
      <c r="P813" s="62"/>
      <c r="Q813" s="64"/>
      <c r="R813" s="164"/>
      <c r="S813" s="62"/>
      <c r="T813" s="62"/>
      <c r="U813" s="62"/>
      <c r="V813" s="177"/>
      <c r="W813" s="171"/>
      <c r="X813" s="62"/>
      <c r="Y813" s="45"/>
      <c r="Z813" s="45"/>
      <c r="AA813" s="100"/>
      <c r="AB813" s="100"/>
      <c r="AC813" s="24"/>
      <c r="AD813" s="24"/>
      <c r="AE813" s="24"/>
      <c r="AF813" s="24"/>
      <c r="AG813" s="18">
        <v>24</v>
      </c>
      <c r="AH813" s="69" t="s">
        <v>297</v>
      </c>
      <c r="AI813" s="243" t="s">
        <v>188</v>
      </c>
      <c r="AJ813" s="243" t="s">
        <v>419</v>
      </c>
      <c r="AK813" s="246"/>
      <c r="AL813" s="43" t="str">
        <f t="shared" si="212"/>
        <v>-</v>
      </c>
      <c r="AM813" s="43">
        <f t="shared" si="200"/>
        <v>0</v>
      </c>
      <c r="AN813" s="193">
        <f t="shared" si="200"/>
        <v>0</v>
      </c>
      <c r="AO813" s="270" t="str">
        <f t="shared" si="201"/>
        <v>-</v>
      </c>
      <c r="AP813" s="266"/>
      <c r="AQ813" s="26" t="str">
        <f t="shared" si="208"/>
        <v>BEDINGFIELD BAY CREEKSockeye</v>
      </c>
      <c r="AR813" s="26">
        <f t="shared" si="202"/>
        <v>0</v>
      </c>
      <c r="AS813" s="33">
        <f t="shared" si="203"/>
        <v>0</v>
      </c>
      <c r="AX813" s="47" t="str">
        <f t="shared" si="204"/>
        <v>BEDINGFIELD BAY CREEKSockeye</v>
      </c>
      <c r="AY813" s="49">
        <f t="shared" si="205"/>
        <v>0</v>
      </c>
      <c r="AZ813" s="49">
        <f t="shared" si="206"/>
        <v>0</v>
      </c>
      <c r="BA813" s="31">
        <v>0</v>
      </c>
      <c r="BB813" s="188">
        <f t="shared" si="209"/>
        <v>0</v>
      </c>
      <c r="BC813" s="188" t="str">
        <f t="shared" si="213"/>
        <v xml:space="preserve"> </v>
      </c>
      <c r="BD813" s="188" t="str">
        <f t="shared" si="214"/>
        <v xml:space="preserve"> </v>
      </c>
      <c r="BE813" s="188" t="str">
        <f t="shared" si="215"/>
        <v xml:space="preserve"> </v>
      </c>
      <c r="BF813" s="50" t="str">
        <f t="shared" si="207"/>
        <v>BEDINGFIELD BAY CREEK_Sockeye</v>
      </c>
      <c r="BG813" s="50" t="str">
        <f>IFERROR(VLOOKUP(BF813,'[1]WCVI Esc'!$C$5:$W$514,18,FALSE),"-")</f>
        <v>-</v>
      </c>
      <c r="BH813" s="50" t="str">
        <f t="shared" si="210"/>
        <v>-</v>
      </c>
      <c r="BI813" s="50" t="str">
        <f>IFERROR(VLOOKUP(BF813,'[1]WCVI Esc'!$C$5:$W$514,19,FALSE),"-")</f>
        <v>-</v>
      </c>
      <c r="BJ813" s="50" t="str">
        <f t="shared" si="211"/>
        <v>-</v>
      </c>
    </row>
    <row r="814" spans="1:62" hidden="1" x14ac:dyDescent="0.2">
      <c r="A814" s="28">
        <v>4</v>
      </c>
      <c r="B814" s="28">
        <v>2</v>
      </c>
      <c r="C814" s="11">
        <v>24</v>
      </c>
      <c r="D814" s="13" t="s">
        <v>297</v>
      </c>
      <c r="E814" s="10" t="s">
        <v>188</v>
      </c>
      <c r="F814" s="10" t="s">
        <v>219</v>
      </c>
      <c r="G814" s="10"/>
      <c r="H814" s="152"/>
      <c r="I814" s="164"/>
      <c r="J814" s="62"/>
      <c r="K814" s="62"/>
      <c r="L814" s="177"/>
      <c r="M814" s="171"/>
      <c r="N814" s="62"/>
      <c r="O814" s="62"/>
      <c r="P814" s="62"/>
      <c r="Q814" s="64"/>
      <c r="R814" s="164"/>
      <c r="S814" s="62"/>
      <c r="T814" s="62"/>
      <c r="U814" s="62"/>
      <c r="V814" s="177"/>
      <c r="W814" s="171"/>
      <c r="X814" s="62"/>
      <c r="Y814" s="45"/>
      <c r="Z814" s="45"/>
      <c r="AA814" s="100"/>
      <c r="AB814" s="100"/>
      <c r="AC814" s="24"/>
      <c r="AD814" s="24"/>
      <c r="AE814" s="24"/>
      <c r="AF814" s="24"/>
      <c r="AG814" s="18">
        <v>24</v>
      </c>
      <c r="AH814" s="69" t="s">
        <v>297</v>
      </c>
      <c r="AI814" s="243" t="s">
        <v>188</v>
      </c>
      <c r="AJ814" s="243" t="s">
        <v>419</v>
      </c>
      <c r="AK814" s="246"/>
      <c r="AL814" s="43" t="str">
        <f t="shared" si="212"/>
        <v>-</v>
      </c>
      <c r="AM814" s="43">
        <f t="shared" si="200"/>
        <v>0</v>
      </c>
      <c r="AN814" s="193">
        <f t="shared" si="200"/>
        <v>0</v>
      </c>
      <c r="AO814" s="270" t="str">
        <f t="shared" si="201"/>
        <v>-</v>
      </c>
      <c r="AP814" s="266"/>
      <c r="AQ814" s="26" t="str">
        <f t="shared" si="208"/>
        <v>BEDINGFIELD BAY CREEKCoho</v>
      </c>
      <c r="AR814" s="26">
        <f t="shared" si="202"/>
        <v>0</v>
      </c>
      <c r="AS814" s="33">
        <f t="shared" si="203"/>
        <v>0</v>
      </c>
      <c r="AX814" s="47" t="str">
        <f t="shared" si="204"/>
        <v>BEDINGFIELD BAY CREEKCoho</v>
      </c>
      <c r="AY814" s="49">
        <f t="shared" si="205"/>
        <v>0</v>
      </c>
      <c r="AZ814" s="49">
        <f t="shared" si="206"/>
        <v>0</v>
      </c>
      <c r="BA814" s="31">
        <v>0</v>
      </c>
      <c r="BB814" s="188">
        <f t="shared" si="209"/>
        <v>0</v>
      </c>
      <c r="BC814" s="188" t="str">
        <f t="shared" si="213"/>
        <v xml:space="preserve"> </v>
      </c>
      <c r="BD814" s="188" t="str">
        <f t="shared" si="214"/>
        <v xml:space="preserve"> </v>
      </c>
      <c r="BE814" s="188" t="str">
        <f t="shared" si="215"/>
        <v xml:space="preserve"> </v>
      </c>
      <c r="BF814" s="50" t="str">
        <f t="shared" si="207"/>
        <v>BEDINGFIELD BAY CREEK_Coho</v>
      </c>
      <c r="BG814" s="50" t="str">
        <f>IFERROR(VLOOKUP(BF814,'[1]WCVI Esc'!$C$5:$W$514,18,FALSE),"-")</f>
        <v>-</v>
      </c>
      <c r="BH814" s="50" t="str">
        <f t="shared" si="210"/>
        <v>-</v>
      </c>
      <c r="BI814" s="50" t="str">
        <f>IFERROR(VLOOKUP(BF814,'[1]WCVI Esc'!$C$5:$W$514,19,FALSE),"-")</f>
        <v>-</v>
      </c>
      <c r="BJ814" s="50" t="str">
        <f t="shared" si="211"/>
        <v>-</v>
      </c>
    </row>
    <row r="815" spans="1:62" hidden="1" x14ac:dyDescent="0.2">
      <c r="A815" s="28">
        <v>4</v>
      </c>
      <c r="B815" s="28">
        <v>3</v>
      </c>
      <c r="C815" s="11">
        <v>24</v>
      </c>
      <c r="D815" s="13" t="s">
        <v>297</v>
      </c>
      <c r="E815" s="10" t="s">
        <v>188</v>
      </c>
      <c r="F815" s="10" t="s">
        <v>208</v>
      </c>
      <c r="G815" s="10"/>
      <c r="H815" s="152"/>
      <c r="I815" s="164"/>
      <c r="J815" s="62"/>
      <c r="K815" s="62"/>
      <c r="L815" s="177"/>
      <c r="M815" s="171"/>
      <c r="N815" s="62"/>
      <c r="O815" s="62"/>
      <c r="P815" s="62"/>
      <c r="Q815" s="64"/>
      <c r="R815" s="164"/>
      <c r="S815" s="62"/>
      <c r="T815" s="62"/>
      <c r="U815" s="62"/>
      <c r="V815" s="177"/>
      <c r="W815" s="171"/>
      <c r="X815" s="62"/>
      <c r="Y815" s="45"/>
      <c r="Z815" s="45"/>
      <c r="AA815" s="100"/>
      <c r="AB815" s="100"/>
      <c r="AC815" s="24"/>
      <c r="AD815" s="24"/>
      <c r="AE815" s="24"/>
      <c r="AF815" s="24"/>
      <c r="AG815" s="18">
        <v>24</v>
      </c>
      <c r="AH815" s="69" t="s">
        <v>297</v>
      </c>
      <c r="AI815" s="243" t="s">
        <v>188</v>
      </c>
      <c r="AJ815" s="243" t="s">
        <v>419</v>
      </c>
      <c r="AK815" s="246"/>
      <c r="AL815" s="43" t="str">
        <f t="shared" si="212"/>
        <v>-</v>
      </c>
      <c r="AM815" s="43">
        <f t="shared" si="200"/>
        <v>0</v>
      </c>
      <c r="AN815" s="193">
        <f t="shared" si="200"/>
        <v>0</v>
      </c>
      <c r="AO815" s="270" t="str">
        <f t="shared" si="201"/>
        <v>-</v>
      </c>
      <c r="AP815" s="266"/>
      <c r="AQ815" s="26" t="str">
        <f t="shared" si="208"/>
        <v>BEDINGFIELD BAY CREEKPink</v>
      </c>
      <c r="AR815" s="26">
        <f t="shared" si="202"/>
        <v>0</v>
      </c>
      <c r="AS815" s="33">
        <f t="shared" si="203"/>
        <v>0</v>
      </c>
      <c r="AX815" s="47" t="str">
        <f t="shared" si="204"/>
        <v>BEDINGFIELD BAY CREEKPink</v>
      </c>
      <c r="AY815" s="49">
        <f t="shared" si="205"/>
        <v>0</v>
      </c>
      <c r="AZ815" s="49">
        <f t="shared" si="206"/>
        <v>0</v>
      </c>
      <c r="BA815" s="31">
        <v>0</v>
      </c>
      <c r="BB815" s="188">
        <f t="shared" si="209"/>
        <v>0</v>
      </c>
      <c r="BC815" s="188" t="str">
        <f t="shared" si="213"/>
        <v xml:space="preserve"> </v>
      </c>
      <c r="BD815" s="188" t="str">
        <f t="shared" si="214"/>
        <v xml:space="preserve"> </v>
      </c>
      <c r="BE815" s="188" t="str">
        <f t="shared" si="215"/>
        <v xml:space="preserve"> </v>
      </c>
      <c r="BF815" s="50" t="str">
        <f t="shared" si="207"/>
        <v>BEDINGFIELD BAY CREEK_Pink</v>
      </c>
      <c r="BG815" s="50" t="str">
        <f>IFERROR(VLOOKUP(BF815,'[1]WCVI Esc'!$C$5:$W$514,18,FALSE),"-")</f>
        <v>-</v>
      </c>
      <c r="BH815" s="50" t="str">
        <f t="shared" si="210"/>
        <v>-</v>
      </c>
      <c r="BI815" s="50" t="str">
        <f>IFERROR(VLOOKUP(BF815,'[1]WCVI Esc'!$C$5:$W$514,19,FALSE),"-")</f>
        <v>-</v>
      </c>
      <c r="BJ815" s="50" t="str">
        <f t="shared" si="211"/>
        <v>-</v>
      </c>
    </row>
    <row r="816" spans="1:62" hidden="1" x14ac:dyDescent="0.2">
      <c r="A816" s="28">
        <v>4</v>
      </c>
      <c r="B816" s="28">
        <v>4</v>
      </c>
      <c r="C816" s="11">
        <v>24</v>
      </c>
      <c r="D816" s="13" t="s">
        <v>297</v>
      </c>
      <c r="E816" s="10" t="s">
        <v>188</v>
      </c>
      <c r="F816" s="10" t="s">
        <v>209</v>
      </c>
      <c r="G816" s="10"/>
      <c r="H816" s="152"/>
      <c r="I816" s="164"/>
      <c r="J816" s="62"/>
      <c r="K816" s="62"/>
      <c r="L816" s="177"/>
      <c r="M816" s="171"/>
      <c r="N816" s="62"/>
      <c r="O816" s="62"/>
      <c r="P816" s="62"/>
      <c r="Q816" s="64"/>
      <c r="R816" s="164"/>
      <c r="S816" s="62"/>
      <c r="T816" s="62"/>
      <c r="U816" s="62"/>
      <c r="V816" s="177"/>
      <c r="W816" s="171"/>
      <c r="X816" s="62"/>
      <c r="Y816" s="45"/>
      <c r="Z816" s="45"/>
      <c r="AA816" s="100"/>
      <c r="AB816" s="100"/>
      <c r="AC816" s="24"/>
      <c r="AD816" s="24"/>
      <c r="AE816" s="24"/>
      <c r="AF816" s="24"/>
      <c r="AG816" s="18">
        <v>24</v>
      </c>
      <c r="AH816" s="69" t="s">
        <v>297</v>
      </c>
      <c r="AI816" s="243" t="s">
        <v>188</v>
      </c>
      <c r="AJ816" s="243" t="s">
        <v>419</v>
      </c>
      <c r="AK816" s="246"/>
      <c r="AL816" s="43" t="str">
        <f t="shared" si="212"/>
        <v>-</v>
      </c>
      <c r="AM816" s="43">
        <f t="shared" si="200"/>
        <v>0</v>
      </c>
      <c r="AN816" s="193">
        <f t="shared" si="200"/>
        <v>0</v>
      </c>
      <c r="AO816" s="270" t="str">
        <f t="shared" si="201"/>
        <v>-</v>
      </c>
      <c r="AP816" s="266"/>
      <c r="AQ816" s="26" t="str">
        <f t="shared" si="208"/>
        <v>BEDINGFIELD BAY CREEKChum</v>
      </c>
      <c r="AR816" s="26">
        <f t="shared" si="202"/>
        <v>0</v>
      </c>
      <c r="AS816" s="33">
        <f t="shared" si="203"/>
        <v>0</v>
      </c>
      <c r="AX816" s="47" t="str">
        <f t="shared" si="204"/>
        <v>BEDINGFIELD BAY CREEKChum</v>
      </c>
      <c r="AY816" s="49">
        <f t="shared" si="205"/>
        <v>0</v>
      </c>
      <c r="AZ816" s="49">
        <f t="shared" si="206"/>
        <v>0</v>
      </c>
      <c r="BA816" s="31">
        <v>1986</v>
      </c>
      <c r="BB816" s="188">
        <f t="shared" si="209"/>
        <v>0</v>
      </c>
      <c r="BC816" s="188" t="str">
        <f t="shared" si="213"/>
        <v xml:space="preserve"> </v>
      </c>
      <c r="BD816" s="188" t="str">
        <f t="shared" si="214"/>
        <v xml:space="preserve"> </v>
      </c>
      <c r="BE816" s="188" t="str">
        <f t="shared" si="215"/>
        <v xml:space="preserve"> </v>
      </c>
      <c r="BF816" s="50" t="str">
        <f t="shared" si="207"/>
        <v>BEDINGFIELD BAY CREEK_Chum</v>
      </c>
      <c r="BG816" s="50" t="str">
        <f>IFERROR(VLOOKUP(BF816,'[1]WCVI Esc'!$C$5:$W$514,18,FALSE),"-")</f>
        <v>-</v>
      </c>
      <c r="BH816" s="50" t="str">
        <f t="shared" si="210"/>
        <v>-</v>
      </c>
      <c r="BI816" s="50" t="str">
        <f>IFERROR(VLOOKUP(BF816,'[1]WCVI Esc'!$C$5:$W$514,19,FALSE),"-")</f>
        <v>-</v>
      </c>
      <c r="BJ816" s="50" t="str">
        <f t="shared" si="211"/>
        <v>-</v>
      </c>
    </row>
    <row r="817" spans="1:62" hidden="1" x14ac:dyDescent="0.2">
      <c r="A817" s="28">
        <v>4</v>
      </c>
      <c r="B817" s="28">
        <v>5</v>
      </c>
      <c r="C817" s="11">
        <v>24</v>
      </c>
      <c r="D817" s="13" t="s">
        <v>297</v>
      </c>
      <c r="E817" s="10" t="s">
        <v>188</v>
      </c>
      <c r="F817" s="10" t="s">
        <v>210</v>
      </c>
      <c r="G817" s="10"/>
      <c r="H817" s="152"/>
      <c r="I817" s="164"/>
      <c r="J817" s="62"/>
      <c r="K817" s="62"/>
      <c r="L817" s="177"/>
      <c r="M817" s="171"/>
      <c r="N817" s="62"/>
      <c r="O817" s="62"/>
      <c r="P817" s="62"/>
      <c r="Q817" s="64"/>
      <c r="R817" s="164"/>
      <c r="S817" s="62"/>
      <c r="T817" s="62"/>
      <c r="U817" s="62"/>
      <c r="V817" s="177"/>
      <c r="W817" s="171"/>
      <c r="X817" s="62"/>
      <c r="Y817" s="45"/>
      <c r="Z817" s="45"/>
      <c r="AA817" s="100"/>
      <c r="AB817" s="100"/>
      <c r="AC817" s="24"/>
      <c r="AD817" s="24"/>
      <c r="AE817" s="24"/>
      <c r="AF817" s="24"/>
      <c r="AG817" s="18">
        <v>24</v>
      </c>
      <c r="AH817" s="69" t="s">
        <v>297</v>
      </c>
      <c r="AI817" s="243" t="s">
        <v>188</v>
      </c>
      <c r="AJ817" s="243" t="s">
        <v>419</v>
      </c>
      <c r="AK817" s="246"/>
      <c r="AL817" s="43" t="str">
        <f t="shared" si="212"/>
        <v>-</v>
      </c>
      <c r="AM817" s="43">
        <f t="shared" si="200"/>
        <v>0</v>
      </c>
      <c r="AN817" s="193">
        <f t="shared" si="200"/>
        <v>0</v>
      </c>
      <c r="AO817" s="270" t="str">
        <f t="shared" si="201"/>
        <v>-</v>
      </c>
      <c r="AP817" s="266"/>
      <c r="AQ817" s="26" t="str">
        <f t="shared" si="208"/>
        <v>BEDINGFIELD BAY CREEKChinook</v>
      </c>
      <c r="AR817" s="26">
        <f t="shared" si="202"/>
        <v>0</v>
      </c>
      <c r="AS817" s="33">
        <f t="shared" si="203"/>
        <v>0</v>
      </c>
      <c r="AX817" s="47" t="str">
        <f t="shared" si="204"/>
        <v>BEDINGFIELD BAY CREEKChinook</v>
      </c>
      <c r="AY817" s="49">
        <f t="shared" si="205"/>
        <v>0</v>
      </c>
      <c r="AZ817" s="49">
        <f t="shared" si="206"/>
        <v>0</v>
      </c>
      <c r="BA817" s="31">
        <v>0</v>
      </c>
      <c r="BB817" s="188">
        <f t="shared" si="209"/>
        <v>0</v>
      </c>
      <c r="BC817" s="188" t="str">
        <f t="shared" si="213"/>
        <v xml:space="preserve"> </v>
      </c>
      <c r="BD817" s="188" t="str">
        <f t="shared" si="214"/>
        <v xml:space="preserve"> </v>
      </c>
      <c r="BE817" s="188" t="str">
        <f t="shared" si="215"/>
        <v xml:space="preserve"> </v>
      </c>
      <c r="BF817" s="50" t="str">
        <f t="shared" si="207"/>
        <v>BEDINGFIELD BAY CREEK_Chinook</v>
      </c>
      <c r="BG817" s="50" t="str">
        <f>IFERROR(VLOOKUP(BF817,'[1]WCVI Esc'!$C$5:$W$514,18,FALSE),"-")</f>
        <v>-</v>
      </c>
      <c r="BH817" s="50" t="str">
        <f t="shared" si="210"/>
        <v>-</v>
      </c>
      <c r="BI817" s="50" t="str">
        <f>IFERROR(VLOOKUP(BF817,'[1]WCVI Esc'!$C$5:$W$514,19,FALSE),"-")</f>
        <v>-</v>
      </c>
      <c r="BJ817" s="50" t="str">
        <f t="shared" si="211"/>
        <v>-</v>
      </c>
    </row>
    <row r="818" spans="1:62" hidden="1" x14ac:dyDescent="0.2">
      <c r="A818" s="28">
        <v>4</v>
      </c>
      <c r="B818" s="28">
        <v>6</v>
      </c>
      <c r="C818" s="11">
        <v>24</v>
      </c>
      <c r="D818" s="13" t="s">
        <v>297</v>
      </c>
      <c r="E818" s="10" t="s">
        <v>188</v>
      </c>
      <c r="F818" s="10" t="s">
        <v>211</v>
      </c>
      <c r="G818" s="10"/>
      <c r="H818" s="152"/>
      <c r="I818" s="164"/>
      <c r="J818" s="62"/>
      <c r="K818" s="62"/>
      <c r="L818" s="177"/>
      <c r="M818" s="171"/>
      <c r="N818" s="62"/>
      <c r="O818" s="62"/>
      <c r="P818" s="62"/>
      <c r="Q818" s="64"/>
      <c r="R818" s="164"/>
      <c r="S818" s="62"/>
      <c r="T818" s="62"/>
      <c r="U818" s="62"/>
      <c r="V818" s="177"/>
      <c r="W818" s="171"/>
      <c r="X818" s="62"/>
      <c r="Y818" s="45"/>
      <c r="Z818" s="45"/>
      <c r="AA818" s="100"/>
      <c r="AB818" s="100"/>
      <c r="AC818" s="24"/>
      <c r="AD818" s="24"/>
      <c r="AE818" s="24"/>
      <c r="AF818" s="24"/>
      <c r="AG818" s="18">
        <v>24</v>
      </c>
      <c r="AH818" s="69" t="s">
        <v>297</v>
      </c>
      <c r="AI818" s="243" t="s">
        <v>188</v>
      </c>
      <c r="AJ818" s="243" t="s">
        <v>419</v>
      </c>
      <c r="AK818" s="246"/>
      <c r="AL818" s="43" t="str">
        <f t="shared" si="212"/>
        <v>-</v>
      </c>
      <c r="AM818" s="43">
        <f t="shared" si="200"/>
        <v>0</v>
      </c>
      <c r="AN818" s="193">
        <f t="shared" si="200"/>
        <v>0</v>
      </c>
      <c r="AO818" s="270" t="str">
        <f t="shared" si="201"/>
        <v>-</v>
      </c>
      <c r="AP818" s="266"/>
      <c r="AQ818" s="26" t="str">
        <f t="shared" si="208"/>
        <v>BEDINGFIELD BAY CREEKSteelhead</v>
      </c>
      <c r="AR818" s="26">
        <f t="shared" si="202"/>
        <v>0</v>
      </c>
      <c r="AS818" s="33">
        <f t="shared" si="203"/>
        <v>0</v>
      </c>
      <c r="AX818" s="47" t="str">
        <f t="shared" si="204"/>
        <v>BEDINGFIELD BAY CREEKSteelhead</v>
      </c>
      <c r="AY818" s="49">
        <f t="shared" si="205"/>
        <v>0</v>
      </c>
      <c r="AZ818" s="49">
        <f t="shared" si="206"/>
        <v>0</v>
      </c>
      <c r="BA818" s="31">
        <v>0</v>
      </c>
      <c r="BB818" s="188">
        <f t="shared" si="209"/>
        <v>0</v>
      </c>
      <c r="BC818" s="188" t="str">
        <f t="shared" si="213"/>
        <v xml:space="preserve"> </v>
      </c>
      <c r="BD818" s="188" t="str">
        <f t="shared" si="214"/>
        <v xml:space="preserve"> </v>
      </c>
      <c r="BE818" s="188" t="str">
        <f t="shared" si="215"/>
        <v xml:space="preserve"> </v>
      </c>
      <c r="BF818" s="50" t="str">
        <f t="shared" si="207"/>
        <v>BEDINGFIELD BAY CREEK_Steelhead</v>
      </c>
      <c r="BG818" s="50" t="str">
        <f>IFERROR(VLOOKUP(BF818,'[1]WCVI Esc'!$C$5:$W$514,18,FALSE),"-")</f>
        <v>-</v>
      </c>
      <c r="BH818" s="50" t="str">
        <f t="shared" si="210"/>
        <v>-</v>
      </c>
      <c r="BI818" s="50" t="str">
        <f>IFERROR(VLOOKUP(BF818,'[1]WCVI Esc'!$C$5:$W$514,19,FALSE),"-")</f>
        <v>-</v>
      </c>
      <c r="BJ818" s="50" t="str">
        <f t="shared" si="211"/>
        <v>-</v>
      </c>
    </row>
    <row r="819" spans="1:62" hidden="1" x14ac:dyDescent="0.2">
      <c r="A819" s="28">
        <v>4</v>
      </c>
      <c r="B819" s="28">
        <v>1</v>
      </c>
      <c r="C819" s="11">
        <v>24</v>
      </c>
      <c r="D819" s="13" t="s">
        <v>297</v>
      </c>
      <c r="E819" s="10" t="s">
        <v>116</v>
      </c>
      <c r="F819" s="10" t="s">
        <v>207</v>
      </c>
      <c r="G819" s="10"/>
      <c r="H819" s="152"/>
      <c r="I819" s="164"/>
      <c r="J819" s="62"/>
      <c r="K819" s="62"/>
      <c r="L819" s="177"/>
      <c r="M819" s="171"/>
      <c r="N819" s="62"/>
      <c r="O819" s="62"/>
      <c r="P819" s="62"/>
      <c r="Q819" s="64"/>
      <c r="R819" s="164"/>
      <c r="S819" s="62"/>
      <c r="T819" s="62"/>
      <c r="U819" s="62"/>
      <c r="V819" s="177"/>
      <c r="W819" s="171"/>
      <c r="X819" s="62"/>
      <c r="Y819" s="45"/>
      <c r="Z819" s="45"/>
      <c r="AA819" s="100"/>
      <c r="AB819" s="100"/>
      <c r="AC819" s="24"/>
      <c r="AD819" s="24"/>
      <c r="AE819" s="24"/>
      <c r="AF819" s="24"/>
      <c r="AG819" s="18">
        <v>24</v>
      </c>
      <c r="AH819" s="69" t="s">
        <v>297</v>
      </c>
      <c r="AI819" s="243" t="s">
        <v>116</v>
      </c>
      <c r="AJ819" s="243" t="s">
        <v>419</v>
      </c>
      <c r="AK819" s="246"/>
      <c r="AL819" s="43" t="str">
        <f t="shared" si="212"/>
        <v>-</v>
      </c>
      <c r="AM819" s="43">
        <f t="shared" si="200"/>
        <v>0</v>
      </c>
      <c r="AN819" s="193">
        <f t="shared" si="200"/>
        <v>0</v>
      </c>
      <c r="AO819" s="270" t="str">
        <f t="shared" si="201"/>
        <v>-</v>
      </c>
      <c r="AP819" s="266"/>
      <c r="AQ819" s="26" t="str">
        <f t="shared" si="208"/>
        <v>BULSON CREEKSockeye</v>
      </c>
      <c r="AR819" s="26">
        <f t="shared" si="202"/>
        <v>0</v>
      </c>
      <c r="AS819" s="33">
        <f t="shared" si="203"/>
        <v>0</v>
      </c>
      <c r="AX819" s="47" t="str">
        <f t="shared" si="204"/>
        <v>BULSON CREEKSockeye</v>
      </c>
      <c r="AY819" s="49">
        <f t="shared" si="205"/>
        <v>0</v>
      </c>
      <c r="AZ819" s="49">
        <f t="shared" si="206"/>
        <v>0</v>
      </c>
      <c r="BA819" s="31">
        <v>0</v>
      </c>
      <c r="BB819" s="188">
        <f t="shared" si="209"/>
        <v>0</v>
      </c>
      <c r="BC819" s="188" t="str">
        <f t="shared" si="213"/>
        <v xml:space="preserve"> </v>
      </c>
      <c r="BD819" s="188" t="str">
        <f t="shared" si="214"/>
        <v xml:space="preserve"> </v>
      </c>
      <c r="BE819" s="188" t="str">
        <f t="shared" si="215"/>
        <v xml:space="preserve"> </v>
      </c>
      <c r="BF819" s="50" t="str">
        <f t="shared" si="207"/>
        <v>BULSON CREEK_Sockeye</v>
      </c>
      <c r="BG819" s="50" t="str">
        <f>IFERROR(VLOOKUP(BF819,'[1]WCVI Esc'!$C$5:$W$514,18,FALSE),"-")</f>
        <v>-</v>
      </c>
      <c r="BH819" s="50" t="str">
        <f t="shared" si="210"/>
        <v>-</v>
      </c>
      <c r="BI819" s="50" t="str">
        <f>IFERROR(VLOOKUP(BF819,'[1]WCVI Esc'!$C$5:$W$514,19,FALSE),"-")</f>
        <v>-</v>
      </c>
      <c r="BJ819" s="50" t="str">
        <f t="shared" si="211"/>
        <v>-</v>
      </c>
    </row>
    <row r="820" spans="1:62" hidden="1" x14ac:dyDescent="0.2">
      <c r="A820" s="28">
        <v>4</v>
      </c>
      <c r="B820" s="28">
        <v>2</v>
      </c>
      <c r="C820" s="11">
        <v>24</v>
      </c>
      <c r="D820" s="13" t="s">
        <v>297</v>
      </c>
      <c r="E820" s="10" t="s">
        <v>116</v>
      </c>
      <c r="F820" s="10" t="s">
        <v>219</v>
      </c>
      <c r="G820" s="10"/>
      <c r="H820" s="152"/>
      <c r="I820" s="164"/>
      <c r="J820" s="62"/>
      <c r="K820" s="62"/>
      <c r="L820" s="177"/>
      <c r="M820" s="171"/>
      <c r="N820" s="62"/>
      <c r="O820" s="62"/>
      <c r="P820" s="62"/>
      <c r="Q820" s="64"/>
      <c r="R820" s="164"/>
      <c r="S820" s="62"/>
      <c r="T820" s="62"/>
      <c r="U820" s="62"/>
      <c r="V820" s="177"/>
      <c r="W820" s="171"/>
      <c r="X820" s="62"/>
      <c r="Y820" s="45"/>
      <c r="Z820" s="45"/>
      <c r="AA820" s="100"/>
      <c r="AB820" s="100"/>
      <c r="AC820" s="24"/>
      <c r="AD820" s="24"/>
      <c r="AE820" s="24"/>
      <c r="AF820" s="24"/>
      <c r="AG820" s="18">
        <v>24</v>
      </c>
      <c r="AH820" s="69" t="s">
        <v>297</v>
      </c>
      <c r="AI820" s="243" t="s">
        <v>116</v>
      </c>
      <c r="AJ820" s="243" t="s">
        <v>419</v>
      </c>
      <c r="AK820" s="246"/>
      <c r="AL820" s="43" t="str">
        <f t="shared" si="212"/>
        <v>-</v>
      </c>
      <c r="AM820" s="43">
        <f t="shared" si="200"/>
        <v>0</v>
      </c>
      <c r="AN820" s="193">
        <f t="shared" si="200"/>
        <v>0</v>
      </c>
      <c r="AO820" s="270" t="str">
        <f t="shared" si="201"/>
        <v>-</v>
      </c>
      <c r="AP820" s="266"/>
      <c r="AQ820" s="26" t="str">
        <f t="shared" si="208"/>
        <v>BULSON CREEKCoho</v>
      </c>
      <c r="AR820" s="26">
        <f t="shared" si="202"/>
        <v>0</v>
      </c>
      <c r="AS820" s="33">
        <f t="shared" si="203"/>
        <v>0</v>
      </c>
      <c r="AX820" s="47" t="str">
        <f t="shared" si="204"/>
        <v>BULSON CREEKCoho</v>
      </c>
      <c r="AY820" s="49">
        <f t="shared" si="205"/>
        <v>0</v>
      </c>
      <c r="AZ820" s="49">
        <f t="shared" si="206"/>
        <v>0</v>
      </c>
      <c r="BA820" s="31">
        <v>1965</v>
      </c>
      <c r="BB820" s="188">
        <f t="shared" si="209"/>
        <v>0</v>
      </c>
      <c r="BC820" s="188" t="str">
        <f t="shared" si="213"/>
        <v xml:space="preserve"> </v>
      </c>
      <c r="BD820" s="188" t="str">
        <f t="shared" si="214"/>
        <v xml:space="preserve"> </v>
      </c>
      <c r="BE820" s="188" t="str">
        <f t="shared" si="215"/>
        <v xml:space="preserve"> </v>
      </c>
      <c r="BF820" s="50" t="str">
        <f t="shared" si="207"/>
        <v>BULSON CREEK_Coho</v>
      </c>
      <c r="BG820" s="50" t="str">
        <f>IFERROR(VLOOKUP(BF820,'[1]WCVI Esc'!$C$5:$W$514,18,FALSE),"-")</f>
        <v>-</v>
      </c>
      <c r="BH820" s="50" t="str">
        <f t="shared" si="210"/>
        <v>-</v>
      </c>
      <c r="BI820" s="50" t="str">
        <f>IFERROR(VLOOKUP(BF820,'[1]WCVI Esc'!$C$5:$W$514,19,FALSE),"-")</f>
        <v>-</v>
      </c>
      <c r="BJ820" s="50" t="str">
        <f t="shared" si="211"/>
        <v>-</v>
      </c>
    </row>
    <row r="821" spans="1:62" hidden="1" x14ac:dyDescent="0.2">
      <c r="A821" s="28">
        <v>4</v>
      </c>
      <c r="B821" s="28">
        <v>3</v>
      </c>
      <c r="C821" s="11">
        <v>24</v>
      </c>
      <c r="D821" s="13" t="s">
        <v>297</v>
      </c>
      <c r="E821" s="10" t="s">
        <v>116</v>
      </c>
      <c r="F821" s="10" t="s">
        <v>208</v>
      </c>
      <c r="G821" s="10"/>
      <c r="H821" s="152"/>
      <c r="I821" s="164"/>
      <c r="J821" s="62"/>
      <c r="K821" s="62"/>
      <c r="L821" s="177"/>
      <c r="M821" s="171"/>
      <c r="N821" s="62"/>
      <c r="O821" s="62"/>
      <c r="P821" s="62"/>
      <c r="Q821" s="64"/>
      <c r="R821" s="164"/>
      <c r="S821" s="62"/>
      <c r="T821" s="62"/>
      <c r="U821" s="62"/>
      <c r="V821" s="177"/>
      <c r="W821" s="171"/>
      <c r="X821" s="62"/>
      <c r="Y821" s="45"/>
      <c r="Z821" s="45"/>
      <c r="AA821" s="100"/>
      <c r="AB821" s="100"/>
      <c r="AC821" s="24"/>
      <c r="AD821" s="24"/>
      <c r="AE821" s="24"/>
      <c r="AF821" s="24"/>
      <c r="AG821" s="18">
        <v>24</v>
      </c>
      <c r="AH821" s="69" t="s">
        <v>297</v>
      </c>
      <c r="AI821" s="243" t="s">
        <v>116</v>
      </c>
      <c r="AJ821" s="243" t="s">
        <v>419</v>
      </c>
      <c r="AK821" s="246"/>
      <c r="AL821" s="43" t="str">
        <f t="shared" si="212"/>
        <v>-</v>
      </c>
      <c r="AM821" s="43">
        <f t="shared" si="200"/>
        <v>0</v>
      </c>
      <c r="AN821" s="193">
        <f t="shared" si="200"/>
        <v>0</v>
      </c>
      <c r="AO821" s="270" t="str">
        <f t="shared" si="201"/>
        <v>-</v>
      </c>
      <c r="AP821" s="266"/>
      <c r="AQ821" s="26" t="str">
        <f t="shared" si="208"/>
        <v>BULSON CREEKPink</v>
      </c>
      <c r="AR821" s="26">
        <f t="shared" si="202"/>
        <v>0</v>
      </c>
      <c r="AS821" s="33">
        <f t="shared" si="203"/>
        <v>0</v>
      </c>
      <c r="AX821" s="47" t="str">
        <f t="shared" si="204"/>
        <v>BULSON CREEKPink</v>
      </c>
      <c r="AY821" s="49">
        <f t="shared" si="205"/>
        <v>0</v>
      </c>
      <c r="AZ821" s="49">
        <f t="shared" si="206"/>
        <v>0</v>
      </c>
      <c r="BA821" s="31">
        <v>0</v>
      </c>
      <c r="BB821" s="188">
        <f t="shared" si="209"/>
        <v>0</v>
      </c>
      <c r="BC821" s="188" t="str">
        <f t="shared" si="213"/>
        <v xml:space="preserve"> </v>
      </c>
      <c r="BD821" s="188" t="str">
        <f t="shared" si="214"/>
        <v xml:space="preserve"> </v>
      </c>
      <c r="BE821" s="188" t="str">
        <f t="shared" si="215"/>
        <v xml:space="preserve"> </v>
      </c>
      <c r="BF821" s="50" t="str">
        <f t="shared" si="207"/>
        <v>BULSON CREEK_Pink</v>
      </c>
      <c r="BG821" s="50" t="str">
        <f>IFERROR(VLOOKUP(BF821,'[1]WCVI Esc'!$C$5:$W$514,18,FALSE),"-")</f>
        <v>-</v>
      </c>
      <c r="BH821" s="50" t="str">
        <f t="shared" si="210"/>
        <v>-</v>
      </c>
      <c r="BI821" s="50" t="str">
        <f>IFERROR(VLOOKUP(BF821,'[1]WCVI Esc'!$C$5:$W$514,19,FALSE),"-")</f>
        <v>-</v>
      </c>
      <c r="BJ821" s="50" t="str">
        <f t="shared" si="211"/>
        <v>-</v>
      </c>
    </row>
    <row r="822" spans="1:62" hidden="1" x14ac:dyDescent="0.2">
      <c r="A822" s="28">
        <v>4</v>
      </c>
      <c r="B822" s="28">
        <v>4</v>
      </c>
      <c r="C822" s="11">
        <v>24</v>
      </c>
      <c r="D822" s="13" t="s">
        <v>297</v>
      </c>
      <c r="E822" s="10" t="s">
        <v>116</v>
      </c>
      <c r="F822" s="10" t="s">
        <v>209</v>
      </c>
      <c r="G822" s="10"/>
      <c r="H822" s="152"/>
      <c r="I822" s="164"/>
      <c r="J822" s="62"/>
      <c r="K822" s="62"/>
      <c r="L822" s="177"/>
      <c r="M822" s="171"/>
      <c r="N822" s="62"/>
      <c r="O822" s="62"/>
      <c r="P822" s="62"/>
      <c r="Q822" s="64"/>
      <c r="R822" s="164"/>
      <c r="S822" s="62"/>
      <c r="T822" s="62"/>
      <c r="U822" s="62"/>
      <c r="V822" s="177"/>
      <c r="W822" s="171"/>
      <c r="X822" s="62"/>
      <c r="Y822" s="45"/>
      <c r="Z822" s="45"/>
      <c r="AA822" s="100"/>
      <c r="AB822" s="100"/>
      <c r="AC822" s="24"/>
      <c r="AD822" s="24"/>
      <c r="AE822" s="24"/>
      <c r="AF822" s="24"/>
      <c r="AG822" s="18">
        <v>24</v>
      </c>
      <c r="AH822" s="69" t="s">
        <v>297</v>
      </c>
      <c r="AI822" s="243" t="s">
        <v>116</v>
      </c>
      <c r="AJ822" s="243" t="s">
        <v>419</v>
      </c>
      <c r="AK822" s="246"/>
      <c r="AL822" s="43" t="str">
        <f t="shared" si="212"/>
        <v>-</v>
      </c>
      <c r="AM822" s="43">
        <f t="shared" si="200"/>
        <v>0</v>
      </c>
      <c r="AN822" s="193">
        <f t="shared" si="200"/>
        <v>0</v>
      </c>
      <c r="AO822" s="270" t="str">
        <f t="shared" si="201"/>
        <v>-</v>
      </c>
      <c r="AP822" s="266"/>
      <c r="AQ822" s="26" t="str">
        <f t="shared" si="208"/>
        <v>BULSON CREEKChum</v>
      </c>
      <c r="AR822" s="26">
        <f t="shared" si="202"/>
        <v>0</v>
      </c>
      <c r="AS822" s="33">
        <f t="shared" si="203"/>
        <v>0</v>
      </c>
      <c r="AX822" s="47" t="str">
        <f t="shared" si="204"/>
        <v>BULSON CREEKChum</v>
      </c>
      <c r="AY822" s="49">
        <f t="shared" si="205"/>
        <v>0</v>
      </c>
      <c r="AZ822" s="49">
        <f t="shared" si="206"/>
        <v>0</v>
      </c>
      <c r="BA822" s="31">
        <v>2000</v>
      </c>
      <c r="BB822" s="188">
        <f t="shared" si="209"/>
        <v>0</v>
      </c>
      <c r="BC822" s="188" t="str">
        <f t="shared" si="213"/>
        <v xml:space="preserve"> </v>
      </c>
      <c r="BD822" s="188" t="str">
        <f t="shared" si="214"/>
        <v xml:space="preserve"> </v>
      </c>
      <c r="BE822" s="188" t="str">
        <f t="shared" si="215"/>
        <v xml:space="preserve"> </v>
      </c>
      <c r="BF822" s="50" t="str">
        <f t="shared" si="207"/>
        <v>BULSON CREEK_Chum</v>
      </c>
      <c r="BG822" s="50" t="str">
        <f>IFERROR(VLOOKUP(BF822,'[1]WCVI Esc'!$C$5:$W$514,18,FALSE),"-")</f>
        <v>-</v>
      </c>
      <c r="BH822" s="50" t="str">
        <f t="shared" si="210"/>
        <v>-</v>
      </c>
      <c r="BI822" s="50" t="str">
        <f>IFERROR(VLOOKUP(BF822,'[1]WCVI Esc'!$C$5:$W$514,19,FALSE),"-")</f>
        <v>-</v>
      </c>
      <c r="BJ822" s="50" t="str">
        <f t="shared" si="211"/>
        <v>-</v>
      </c>
    </row>
    <row r="823" spans="1:62" hidden="1" x14ac:dyDescent="0.2">
      <c r="A823" s="28">
        <v>4</v>
      </c>
      <c r="B823" s="28">
        <v>5</v>
      </c>
      <c r="C823" s="11">
        <v>24</v>
      </c>
      <c r="D823" s="13" t="s">
        <v>297</v>
      </c>
      <c r="E823" s="10" t="s">
        <v>116</v>
      </c>
      <c r="F823" s="10" t="s">
        <v>210</v>
      </c>
      <c r="G823" s="10"/>
      <c r="H823" s="152"/>
      <c r="I823" s="164"/>
      <c r="J823" s="62"/>
      <c r="K823" s="62"/>
      <c r="L823" s="177"/>
      <c r="M823" s="171"/>
      <c r="N823" s="62"/>
      <c r="O823" s="62"/>
      <c r="P823" s="62"/>
      <c r="Q823" s="64"/>
      <c r="R823" s="164"/>
      <c r="S823" s="62"/>
      <c r="T823" s="62"/>
      <c r="U823" s="62"/>
      <c r="V823" s="177"/>
      <c r="W823" s="171"/>
      <c r="X823" s="62"/>
      <c r="Y823" s="45"/>
      <c r="Z823" s="45"/>
      <c r="AA823" s="100"/>
      <c r="AB823" s="100"/>
      <c r="AC823" s="24"/>
      <c r="AD823" s="24"/>
      <c r="AE823" s="24"/>
      <c r="AF823" s="24"/>
      <c r="AG823" s="18">
        <v>24</v>
      </c>
      <c r="AH823" s="69" t="s">
        <v>297</v>
      </c>
      <c r="AI823" s="243" t="s">
        <v>116</v>
      </c>
      <c r="AJ823" s="243" t="s">
        <v>419</v>
      </c>
      <c r="AK823" s="246"/>
      <c r="AL823" s="43" t="str">
        <f t="shared" si="212"/>
        <v>-</v>
      </c>
      <c r="AM823" s="43">
        <f t="shared" si="200"/>
        <v>0</v>
      </c>
      <c r="AN823" s="193">
        <f t="shared" si="200"/>
        <v>0</v>
      </c>
      <c r="AO823" s="270" t="str">
        <f t="shared" si="201"/>
        <v>-</v>
      </c>
      <c r="AP823" s="266"/>
      <c r="AQ823" s="26" t="str">
        <f t="shared" si="208"/>
        <v>BULSON CREEKChinook</v>
      </c>
      <c r="AR823" s="26">
        <f t="shared" si="202"/>
        <v>0</v>
      </c>
      <c r="AS823" s="33">
        <f t="shared" si="203"/>
        <v>0</v>
      </c>
      <c r="AX823" s="47" t="str">
        <f t="shared" si="204"/>
        <v>BULSON CREEKChinook</v>
      </c>
      <c r="AY823" s="49">
        <f t="shared" si="205"/>
        <v>0</v>
      </c>
      <c r="AZ823" s="49">
        <f t="shared" si="206"/>
        <v>0</v>
      </c>
      <c r="BA823" s="31">
        <v>0</v>
      </c>
      <c r="BB823" s="188">
        <f t="shared" si="209"/>
        <v>0</v>
      </c>
      <c r="BC823" s="188" t="str">
        <f t="shared" si="213"/>
        <v xml:space="preserve"> </v>
      </c>
      <c r="BD823" s="188" t="str">
        <f t="shared" si="214"/>
        <v xml:space="preserve"> </v>
      </c>
      <c r="BE823" s="188" t="str">
        <f t="shared" si="215"/>
        <v xml:space="preserve"> </v>
      </c>
      <c r="BF823" s="50" t="str">
        <f t="shared" si="207"/>
        <v>BULSON CREEK_Chinook</v>
      </c>
      <c r="BG823" s="50" t="str">
        <f>IFERROR(VLOOKUP(BF823,'[1]WCVI Esc'!$C$5:$W$514,18,FALSE),"-")</f>
        <v>-</v>
      </c>
      <c r="BH823" s="50" t="str">
        <f t="shared" si="210"/>
        <v>-</v>
      </c>
      <c r="BI823" s="50" t="str">
        <f>IFERROR(VLOOKUP(BF823,'[1]WCVI Esc'!$C$5:$W$514,19,FALSE),"-")</f>
        <v>-</v>
      </c>
      <c r="BJ823" s="50" t="str">
        <f t="shared" si="211"/>
        <v>-</v>
      </c>
    </row>
    <row r="824" spans="1:62" hidden="1" x14ac:dyDescent="0.2">
      <c r="A824" s="28">
        <v>4</v>
      </c>
      <c r="B824" s="28">
        <v>6</v>
      </c>
      <c r="C824" s="11">
        <v>24</v>
      </c>
      <c r="D824" s="13" t="s">
        <v>297</v>
      </c>
      <c r="E824" s="10" t="s">
        <v>116</v>
      </c>
      <c r="F824" s="10" t="s">
        <v>211</v>
      </c>
      <c r="G824" s="10"/>
      <c r="H824" s="152"/>
      <c r="I824" s="164"/>
      <c r="J824" s="62"/>
      <c r="K824" s="62"/>
      <c r="L824" s="177"/>
      <c r="M824" s="171"/>
      <c r="N824" s="62"/>
      <c r="O824" s="62"/>
      <c r="P824" s="62"/>
      <c r="Q824" s="64"/>
      <c r="R824" s="164"/>
      <c r="S824" s="62"/>
      <c r="T824" s="62"/>
      <c r="U824" s="62"/>
      <c r="V824" s="177"/>
      <c r="W824" s="171"/>
      <c r="X824" s="62"/>
      <c r="Y824" s="45"/>
      <c r="Z824" s="45"/>
      <c r="AA824" s="100"/>
      <c r="AB824" s="100"/>
      <c r="AC824" s="24"/>
      <c r="AD824" s="24"/>
      <c r="AE824" s="24"/>
      <c r="AF824" s="24"/>
      <c r="AG824" s="18">
        <v>24</v>
      </c>
      <c r="AH824" s="69" t="s">
        <v>297</v>
      </c>
      <c r="AI824" s="243" t="s">
        <v>116</v>
      </c>
      <c r="AJ824" s="243" t="s">
        <v>419</v>
      </c>
      <c r="AK824" s="246"/>
      <c r="AL824" s="43" t="str">
        <f t="shared" si="212"/>
        <v>-</v>
      </c>
      <c r="AM824" s="43">
        <f t="shared" si="200"/>
        <v>0</v>
      </c>
      <c r="AN824" s="193">
        <f t="shared" si="200"/>
        <v>0</v>
      </c>
      <c r="AO824" s="270" t="str">
        <f t="shared" si="201"/>
        <v>-</v>
      </c>
      <c r="AP824" s="266"/>
      <c r="AQ824" s="26" t="str">
        <f t="shared" si="208"/>
        <v>BULSON CREEKSteelhead</v>
      </c>
      <c r="AR824" s="26">
        <f t="shared" si="202"/>
        <v>0</v>
      </c>
      <c r="AS824" s="33">
        <f t="shared" si="203"/>
        <v>0</v>
      </c>
      <c r="AX824" s="47" t="str">
        <f t="shared" si="204"/>
        <v>BULSON CREEKSteelhead</v>
      </c>
      <c r="AY824" s="49">
        <f t="shared" si="205"/>
        <v>0</v>
      </c>
      <c r="AZ824" s="49">
        <f t="shared" si="206"/>
        <v>0</v>
      </c>
      <c r="BA824" s="31">
        <v>0</v>
      </c>
      <c r="BB824" s="188">
        <f t="shared" si="209"/>
        <v>0</v>
      </c>
      <c r="BC824" s="188" t="str">
        <f t="shared" si="213"/>
        <v xml:space="preserve"> </v>
      </c>
      <c r="BD824" s="188" t="str">
        <f t="shared" si="214"/>
        <v xml:space="preserve"> </v>
      </c>
      <c r="BE824" s="188" t="str">
        <f t="shared" si="215"/>
        <v xml:space="preserve"> </v>
      </c>
      <c r="BF824" s="50" t="str">
        <f t="shared" si="207"/>
        <v>BULSON CREEK_Steelhead</v>
      </c>
      <c r="BG824" s="50" t="str">
        <f>IFERROR(VLOOKUP(BF824,'[1]WCVI Esc'!$C$5:$W$514,18,FALSE),"-")</f>
        <v>-</v>
      </c>
      <c r="BH824" s="50" t="str">
        <f t="shared" si="210"/>
        <v>-</v>
      </c>
      <c r="BI824" s="50" t="str">
        <f>IFERROR(VLOOKUP(BF824,'[1]WCVI Esc'!$C$5:$W$514,19,FALSE),"-")</f>
        <v>-</v>
      </c>
      <c r="BJ824" s="50" t="str">
        <f t="shared" si="211"/>
        <v>-</v>
      </c>
    </row>
    <row r="825" spans="1:62" hidden="1" x14ac:dyDescent="0.2">
      <c r="A825" s="28">
        <v>4</v>
      </c>
      <c r="B825" s="28">
        <v>1</v>
      </c>
      <c r="C825" s="11">
        <v>24</v>
      </c>
      <c r="D825" s="13" t="s">
        <v>297</v>
      </c>
      <c r="E825" s="10" t="s">
        <v>117</v>
      </c>
      <c r="F825" s="10" t="s">
        <v>207</v>
      </c>
      <c r="G825" s="10"/>
      <c r="H825" s="152"/>
      <c r="I825" s="164"/>
      <c r="J825" s="62"/>
      <c r="K825" s="62"/>
      <c r="L825" s="177"/>
      <c r="M825" s="171"/>
      <c r="N825" s="62"/>
      <c r="O825" s="62"/>
      <c r="P825" s="62"/>
      <c r="Q825" s="64"/>
      <c r="R825" s="164"/>
      <c r="S825" s="62"/>
      <c r="T825" s="62"/>
      <c r="U825" s="62"/>
      <c r="V825" s="177"/>
      <c r="W825" s="171"/>
      <c r="X825" s="62"/>
      <c r="Y825" s="45"/>
      <c r="Z825" s="45"/>
      <c r="AA825" s="100"/>
      <c r="AB825" s="100"/>
      <c r="AC825" s="24"/>
      <c r="AD825" s="24"/>
      <c r="AE825" s="24"/>
      <c r="AF825" s="24"/>
      <c r="AG825" s="18">
        <v>24</v>
      </c>
      <c r="AH825" s="69" t="s">
        <v>297</v>
      </c>
      <c r="AI825" s="243" t="s">
        <v>117</v>
      </c>
      <c r="AJ825" s="243" t="s">
        <v>419</v>
      </c>
      <c r="AK825" s="246"/>
      <c r="AL825" s="43" t="str">
        <f t="shared" si="212"/>
        <v>-</v>
      </c>
      <c r="AM825" s="43">
        <f t="shared" si="200"/>
        <v>0</v>
      </c>
      <c r="AN825" s="193">
        <f t="shared" si="200"/>
        <v>0</v>
      </c>
      <c r="AO825" s="270" t="str">
        <f t="shared" si="201"/>
        <v>-</v>
      </c>
      <c r="AP825" s="266"/>
      <c r="AQ825" s="26" t="str">
        <f t="shared" si="208"/>
        <v>CECILIA CREEKSockeye</v>
      </c>
      <c r="AR825" s="26">
        <f t="shared" si="202"/>
        <v>0</v>
      </c>
      <c r="AS825" s="33">
        <f t="shared" si="203"/>
        <v>0</v>
      </c>
      <c r="AX825" s="47" t="str">
        <f t="shared" si="204"/>
        <v>CECILIA CREEKSockeye</v>
      </c>
      <c r="AY825" s="49">
        <f t="shared" si="205"/>
        <v>0</v>
      </c>
      <c r="AZ825" s="49">
        <f t="shared" si="206"/>
        <v>0</v>
      </c>
      <c r="BA825" s="31">
        <v>0</v>
      </c>
      <c r="BB825" s="188">
        <f t="shared" si="209"/>
        <v>0</v>
      </c>
      <c r="BC825" s="188" t="str">
        <f t="shared" si="213"/>
        <v xml:space="preserve"> </v>
      </c>
      <c r="BD825" s="188" t="str">
        <f t="shared" si="214"/>
        <v xml:space="preserve"> </v>
      </c>
      <c r="BE825" s="188" t="str">
        <f t="shared" si="215"/>
        <v xml:space="preserve"> </v>
      </c>
      <c r="BF825" s="50" t="str">
        <f t="shared" si="207"/>
        <v>CECILIA CREEK_Sockeye</v>
      </c>
      <c r="BG825" s="50" t="str">
        <f>IFERROR(VLOOKUP(BF825,'[1]WCVI Esc'!$C$5:$W$514,18,FALSE),"-")</f>
        <v>-</v>
      </c>
      <c r="BH825" s="50" t="str">
        <f t="shared" si="210"/>
        <v>-</v>
      </c>
      <c r="BI825" s="50" t="str">
        <f>IFERROR(VLOOKUP(BF825,'[1]WCVI Esc'!$C$5:$W$514,19,FALSE),"-")</f>
        <v>-</v>
      </c>
      <c r="BJ825" s="50" t="str">
        <f t="shared" si="211"/>
        <v>-</v>
      </c>
    </row>
    <row r="826" spans="1:62" hidden="1" x14ac:dyDescent="0.2">
      <c r="A826" s="28">
        <v>4</v>
      </c>
      <c r="B826" s="28">
        <v>2</v>
      </c>
      <c r="C826" s="11">
        <v>24</v>
      </c>
      <c r="D826" s="13" t="s">
        <v>297</v>
      </c>
      <c r="E826" s="10" t="s">
        <v>117</v>
      </c>
      <c r="F826" s="10" t="s">
        <v>219</v>
      </c>
      <c r="G826" s="10"/>
      <c r="H826" s="152"/>
      <c r="I826" s="164"/>
      <c r="J826" s="62"/>
      <c r="K826" s="62"/>
      <c r="L826" s="177"/>
      <c r="M826" s="171"/>
      <c r="N826" s="62"/>
      <c r="O826" s="62"/>
      <c r="P826" s="62"/>
      <c r="Q826" s="64"/>
      <c r="R826" s="164"/>
      <c r="S826" s="62"/>
      <c r="T826" s="62"/>
      <c r="U826" s="62"/>
      <c r="V826" s="177"/>
      <c r="W826" s="171"/>
      <c r="X826" s="62"/>
      <c r="Y826" s="45"/>
      <c r="Z826" s="45"/>
      <c r="AA826" s="100"/>
      <c r="AB826" s="100"/>
      <c r="AC826" s="24"/>
      <c r="AD826" s="24"/>
      <c r="AE826" s="24"/>
      <c r="AF826" s="24"/>
      <c r="AG826" s="18">
        <v>24</v>
      </c>
      <c r="AH826" s="69" t="s">
        <v>297</v>
      </c>
      <c r="AI826" s="243" t="s">
        <v>117</v>
      </c>
      <c r="AJ826" s="243" t="s">
        <v>419</v>
      </c>
      <c r="AK826" s="246"/>
      <c r="AL826" s="43" t="str">
        <f t="shared" si="212"/>
        <v>-</v>
      </c>
      <c r="AM826" s="43">
        <f t="shared" si="200"/>
        <v>0</v>
      </c>
      <c r="AN826" s="193">
        <f t="shared" si="200"/>
        <v>0</v>
      </c>
      <c r="AO826" s="270" t="str">
        <f t="shared" si="201"/>
        <v>-</v>
      </c>
      <c r="AP826" s="266"/>
      <c r="AQ826" s="26" t="str">
        <f t="shared" si="208"/>
        <v>CECILIA CREEKCoho</v>
      </c>
      <c r="AR826" s="26">
        <f t="shared" si="202"/>
        <v>0</v>
      </c>
      <c r="AS826" s="33">
        <f t="shared" si="203"/>
        <v>0</v>
      </c>
      <c r="AX826" s="47" t="str">
        <f t="shared" si="204"/>
        <v>CECILIA CREEKCoho</v>
      </c>
      <c r="AY826" s="49">
        <f t="shared" si="205"/>
        <v>0</v>
      </c>
      <c r="AZ826" s="49">
        <f t="shared" si="206"/>
        <v>0</v>
      </c>
      <c r="BA826" s="31">
        <v>1996</v>
      </c>
      <c r="BB826" s="188">
        <f t="shared" si="209"/>
        <v>0</v>
      </c>
      <c r="BC826" s="188" t="str">
        <f t="shared" si="213"/>
        <v xml:space="preserve"> </v>
      </c>
      <c r="BD826" s="188" t="str">
        <f t="shared" si="214"/>
        <v xml:space="preserve"> </v>
      </c>
      <c r="BE826" s="188" t="str">
        <f t="shared" si="215"/>
        <v xml:space="preserve"> </v>
      </c>
      <c r="BF826" s="50" t="str">
        <f t="shared" si="207"/>
        <v>CECILIA CREEK_Coho</v>
      </c>
      <c r="BG826" s="50" t="str">
        <f>IFERROR(VLOOKUP(BF826,'[1]WCVI Esc'!$C$5:$W$514,18,FALSE),"-")</f>
        <v>-</v>
      </c>
      <c r="BH826" s="50" t="str">
        <f t="shared" si="210"/>
        <v>-</v>
      </c>
      <c r="BI826" s="50" t="str">
        <f>IFERROR(VLOOKUP(BF826,'[1]WCVI Esc'!$C$5:$W$514,19,FALSE),"-")</f>
        <v>-</v>
      </c>
      <c r="BJ826" s="50" t="str">
        <f t="shared" si="211"/>
        <v>-</v>
      </c>
    </row>
    <row r="827" spans="1:62" hidden="1" x14ac:dyDescent="0.2">
      <c r="A827" s="28">
        <v>4</v>
      </c>
      <c r="B827" s="28">
        <v>3</v>
      </c>
      <c r="C827" s="11">
        <v>24</v>
      </c>
      <c r="D827" s="13" t="s">
        <v>297</v>
      </c>
      <c r="E827" s="10" t="s">
        <v>117</v>
      </c>
      <c r="F827" s="10" t="s">
        <v>208</v>
      </c>
      <c r="G827" s="10"/>
      <c r="H827" s="152"/>
      <c r="I827" s="164"/>
      <c r="J827" s="62"/>
      <c r="K827" s="62"/>
      <c r="L827" s="177"/>
      <c r="M827" s="171"/>
      <c r="N827" s="62"/>
      <c r="O827" s="62"/>
      <c r="P827" s="62"/>
      <c r="Q827" s="64"/>
      <c r="R827" s="164"/>
      <c r="S827" s="62"/>
      <c r="T827" s="62"/>
      <c r="U827" s="62"/>
      <c r="V827" s="177"/>
      <c r="W827" s="171"/>
      <c r="X827" s="62"/>
      <c r="Y827" s="45"/>
      <c r="Z827" s="45"/>
      <c r="AA827" s="100"/>
      <c r="AB827" s="100"/>
      <c r="AC827" s="24"/>
      <c r="AD827" s="24"/>
      <c r="AE827" s="24"/>
      <c r="AF827" s="24"/>
      <c r="AG827" s="18">
        <v>24</v>
      </c>
      <c r="AH827" s="69" t="s">
        <v>297</v>
      </c>
      <c r="AI827" s="243" t="s">
        <v>117</v>
      </c>
      <c r="AJ827" s="243" t="s">
        <v>419</v>
      </c>
      <c r="AK827" s="246"/>
      <c r="AL827" s="43" t="str">
        <f t="shared" si="212"/>
        <v>-</v>
      </c>
      <c r="AM827" s="43">
        <f t="shared" si="200"/>
        <v>0</v>
      </c>
      <c r="AN827" s="193">
        <f t="shared" si="200"/>
        <v>0</v>
      </c>
      <c r="AO827" s="270" t="str">
        <f t="shared" si="201"/>
        <v>-</v>
      </c>
      <c r="AP827" s="266"/>
      <c r="AQ827" s="26" t="str">
        <f t="shared" si="208"/>
        <v>CECILIA CREEKPink</v>
      </c>
      <c r="AR827" s="26">
        <f t="shared" si="202"/>
        <v>0</v>
      </c>
      <c r="AS827" s="33">
        <f t="shared" si="203"/>
        <v>0</v>
      </c>
      <c r="AX827" s="47" t="str">
        <f t="shared" si="204"/>
        <v>CECILIA CREEKPink</v>
      </c>
      <c r="AY827" s="49">
        <f t="shared" si="205"/>
        <v>0</v>
      </c>
      <c r="AZ827" s="49">
        <f t="shared" si="206"/>
        <v>0</v>
      </c>
      <c r="BA827" s="31">
        <v>0</v>
      </c>
      <c r="BB827" s="188">
        <f t="shared" si="209"/>
        <v>0</v>
      </c>
      <c r="BC827" s="188" t="str">
        <f t="shared" si="213"/>
        <v xml:space="preserve"> </v>
      </c>
      <c r="BD827" s="188" t="str">
        <f t="shared" si="214"/>
        <v xml:space="preserve"> </v>
      </c>
      <c r="BE827" s="188" t="str">
        <f t="shared" si="215"/>
        <v xml:space="preserve"> </v>
      </c>
      <c r="BF827" s="50" t="str">
        <f t="shared" si="207"/>
        <v>CECILIA CREEK_Pink</v>
      </c>
      <c r="BG827" s="50" t="str">
        <f>IFERROR(VLOOKUP(BF827,'[1]WCVI Esc'!$C$5:$W$514,18,FALSE),"-")</f>
        <v>-</v>
      </c>
      <c r="BH827" s="50" t="str">
        <f t="shared" si="210"/>
        <v>-</v>
      </c>
      <c r="BI827" s="50" t="str">
        <f>IFERROR(VLOOKUP(BF827,'[1]WCVI Esc'!$C$5:$W$514,19,FALSE),"-")</f>
        <v>-</v>
      </c>
      <c r="BJ827" s="50" t="str">
        <f t="shared" si="211"/>
        <v>-</v>
      </c>
    </row>
    <row r="828" spans="1:62" hidden="1" x14ac:dyDescent="0.2">
      <c r="A828" s="28">
        <v>4</v>
      </c>
      <c r="B828" s="28">
        <v>4</v>
      </c>
      <c r="C828" s="11">
        <v>24</v>
      </c>
      <c r="D828" s="13" t="s">
        <v>297</v>
      </c>
      <c r="E828" s="10" t="s">
        <v>117</v>
      </c>
      <c r="F828" s="10" t="s">
        <v>209</v>
      </c>
      <c r="G828" s="10"/>
      <c r="H828" s="152"/>
      <c r="I828" s="164"/>
      <c r="J828" s="62"/>
      <c r="K828" s="62"/>
      <c r="L828" s="177"/>
      <c r="M828" s="171"/>
      <c r="N828" s="62"/>
      <c r="O828" s="62"/>
      <c r="P828" s="62"/>
      <c r="Q828" s="64"/>
      <c r="R828" s="164"/>
      <c r="S828" s="62"/>
      <c r="T828" s="62"/>
      <c r="U828" s="62"/>
      <c r="V828" s="177"/>
      <c r="W828" s="171"/>
      <c r="X828" s="62"/>
      <c r="Y828" s="45"/>
      <c r="Z828" s="45"/>
      <c r="AA828" s="100"/>
      <c r="AB828" s="100"/>
      <c r="AC828" s="24"/>
      <c r="AD828" s="24"/>
      <c r="AE828" s="24"/>
      <c r="AF828" s="24"/>
      <c r="AG828" s="18">
        <v>24</v>
      </c>
      <c r="AH828" s="69" t="s">
        <v>297</v>
      </c>
      <c r="AI828" s="243" t="s">
        <v>117</v>
      </c>
      <c r="AJ828" s="243" t="s">
        <v>419</v>
      </c>
      <c r="AK828" s="246"/>
      <c r="AL828" s="43" t="str">
        <f t="shared" si="212"/>
        <v>-</v>
      </c>
      <c r="AM828" s="43">
        <f t="shared" si="200"/>
        <v>0</v>
      </c>
      <c r="AN828" s="193">
        <f t="shared" si="200"/>
        <v>0</v>
      </c>
      <c r="AO828" s="270" t="str">
        <f t="shared" si="201"/>
        <v>-</v>
      </c>
      <c r="AP828" s="266"/>
      <c r="AQ828" s="26" t="str">
        <f t="shared" si="208"/>
        <v>CECILIA CREEKChum</v>
      </c>
      <c r="AR828" s="26">
        <f t="shared" si="202"/>
        <v>0</v>
      </c>
      <c r="AS828" s="33">
        <f t="shared" si="203"/>
        <v>0</v>
      </c>
      <c r="AX828" s="47" t="str">
        <f t="shared" si="204"/>
        <v>CECILIA CREEKChum</v>
      </c>
      <c r="AY828" s="49">
        <f t="shared" si="205"/>
        <v>0</v>
      </c>
      <c r="AZ828" s="49">
        <f t="shared" si="206"/>
        <v>0</v>
      </c>
      <c r="BA828" s="31">
        <v>2001</v>
      </c>
      <c r="BB828" s="188">
        <f t="shared" si="209"/>
        <v>0</v>
      </c>
      <c r="BC828" s="188" t="str">
        <f t="shared" si="213"/>
        <v xml:space="preserve"> </v>
      </c>
      <c r="BD828" s="188" t="str">
        <f t="shared" si="214"/>
        <v xml:space="preserve"> </v>
      </c>
      <c r="BE828" s="188" t="str">
        <f t="shared" si="215"/>
        <v xml:space="preserve"> </v>
      </c>
      <c r="BF828" s="50" t="str">
        <f t="shared" si="207"/>
        <v>CECILIA CREEK_Chum</v>
      </c>
      <c r="BG828" s="50" t="str">
        <f>IFERROR(VLOOKUP(BF828,'[1]WCVI Esc'!$C$5:$W$514,18,FALSE),"-")</f>
        <v>-</v>
      </c>
      <c r="BH828" s="50" t="str">
        <f t="shared" si="210"/>
        <v>-</v>
      </c>
      <c r="BI828" s="50" t="str">
        <f>IFERROR(VLOOKUP(BF828,'[1]WCVI Esc'!$C$5:$W$514,19,FALSE),"-")</f>
        <v>-</v>
      </c>
      <c r="BJ828" s="50" t="str">
        <f t="shared" si="211"/>
        <v>-</v>
      </c>
    </row>
    <row r="829" spans="1:62" hidden="1" x14ac:dyDescent="0.2">
      <c r="A829" s="28">
        <v>4</v>
      </c>
      <c r="B829" s="28">
        <v>5</v>
      </c>
      <c r="C829" s="11">
        <v>24</v>
      </c>
      <c r="D829" s="13" t="s">
        <v>297</v>
      </c>
      <c r="E829" s="10" t="s">
        <v>117</v>
      </c>
      <c r="F829" s="10" t="s">
        <v>210</v>
      </c>
      <c r="G829" s="10"/>
      <c r="H829" s="152"/>
      <c r="I829" s="164"/>
      <c r="J829" s="62"/>
      <c r="K829" s="62"/>
      <c r="L829" s="177"/>
      <c r="M829" s="171"/>
      <c r="N829" s="62"/>
      <c r="O829" s="62"/>
      <c r="P829" s="62"/>
      <c r="Q829" s="64"/>
      <c r="R829" s="164"/>
      <c r="S829" s="62"/>
      <c r="T829" s="62"/>
      <c r="U829" s="62"/>
      <c r="V829" s="177"/>
      <c r="W829" s="171"/>
      <c r="X829" s="62"/>
      <c r="Y829" s="45"/>
      <c r="Z829" s="45"/>
      <c r="AA829" s="100"/>
      <c r="AB829" s="100"/>
      <c r="AC829" s="24"/>
      <c r="AD829" s="24"/>
      <c r="AE829" s="24"/>
      <c r="AF829" s="24"/>
      <c r="AG829" s="18">
        <v>24</v>
      </c>
      <c r="AH829" s="69" t="s">
        <v>297</v>
      </c>
      <c r="AI829" s="243" t="s">
        <v>117</v>
      </c>
      <c r="AJ829" s="243" t="s">
        <v>419</v>
      </c>
      <c r="AK829" s="246"/>
      <c r="AL829" s="43" t="str">
        <f t="shared" si="212"/>
        <v>-</v>
      </c>
      <c r="AM829" s="43">
        <f t="shared" si="200"/>
        <v>0</v>
      </c>
      <c r="AN829" s="193">
        <f t="shared" si="200"/>
        <v>0</v>
      </c>
      <c r="AO829" s="270" t="str">
        <f t="shared" si="201"/>
        <v>-</v>
      </c>
      <c r="AP829" s="266"/>
      <c r="AQ829" s="26" t="str">
        <f t="shared" si="208"/>
        <v>CECILIA CREEKChinook</v>
      </c>
      <c r="AR829" s="26">
        <f t="shared" si="202"/>
        <v>0</v>
      </c>
      <c r="AS829" s="33">
        <f t="shared" si="203"/>
        <v>0</v>
      </c>
      <c r="AX829" s="47" t="str">
        <f t="shared" si="204"/>
        <v>CECILIA CREEKChinook</v>
      </c>
      <c r="AY829" s="49">
        <f t="shared" si="205"/>
        <v>0</v>
      </c>
      <c r="AZ829" s="49">
        <f t="shared" si="206"/>
        <v>0</v>
      </c>
      <c r="BA829" s="31">
        <v>0</v>
      </c>
      <c r="BB829" s="188">
        <f t="shared" si="209"/>
        <v>0</v>
      </c>
      <c r="BC829" s="188" t="str">
        <f t="shared" si="213"/>
        <v xml:space="preserve"> </v>
      </c>
      <c r="BD829" s="188" t="str">
        <f t="shared" si="214"/>
        <v xml:space="preserve"> </v>
      </c>
      <c r="BE829" s="188" t="str">
        <f t="shared" si="215"/>
        <v xml:space="preserve"> </v>
      </c>
      <c r="BF829" s="50" t="str">
        <f t="shared" si="207"/>
        <v>CECILIA CREEK_Chinook</v>
      </c>
      <c r="BG829" s="50" t="str">
        <f>IFERROR(VLOOKUP(BF829,'[1]WCVI Esc'!$C$5:$W$514,18,FALSE),"-")</f>
        <v>-</v>
      </c>
      <c r="BH829" s="50" t="str">
        <f t="shared" si="210"/>
        <v>-</v>
      </c>
      <c r="BI829" s="50" t="str">
        <f>IFERROR(VLOOKUP(BF829,'[1]WCVI Esc'!$C$5:$W$514,19,FALSE),"-")</f>
        <v>-</v>
      </c>
      <c r="BJ829" s="50" t="str">
        <f t="shared" si="211"/>
        <v>-</v>
      </c>
    </row>
    <row r="830" spans="1:62" hidden="1" x14ac:dyDescent="0.2">
      <c r="A830" s="28">
        <v>4</v>
      </c>
      <c r="B830" s="28">
        <v>6</v>
      </c>
      <c r="C830" s="11">
        <v>24</v>
      </c>
      <c r="D830" s="13" t="s">
        <v>297</v>
      </c>
      <c r="E830" s="10" t="s">
        <v>117</v>
      </c>
      <c r="F830" s="10" t="s">
        <v>211</v>
      </c>
      <c r="G830" s="10"/>
      <c r="H830" s="152"/>
      <c r="I830" s="164"/>
      <c r="J830" s="62"/>
      <c r="K830" s="62"/>
      <c r="L830" s="177"/>
      <c r="M830" s="171"/>
      <c r="N830" s="62"/>
      <c r="O830" s="62"/>
      <c r="P830" s="62"/>
      <c r="Q830" s="64"/>
      <c r="R830" s="164"/>
      <c r="S830" s="62"/>
      <c r="T830" s="62"/>
      <c r="U830" s="62"/>
      <c r="V830" s="177"/>
      <c r="W830" s="171"/>
      <c r="X830" s="62"/>
      <c r="Y830" s="45"/>
      <c r="Z830" s="45"/>
      <c r="AA830" s="100"/>
      <c r="AB830" s="100"/>
      <c r="AC830" s="24"/>
      <c r="AD830" s="24"/>
      <c r="AE830" s="24"/>
      <c r="AF830" s="24"/>
      <c r="AG830" s="18">
        <v>24</v>
      </c>
      <c r="AH830" s="69" t="s">
        <v>297</v>
      </c>
      <c r="AI830" s="243" t="s">
        <v>117</v>
      </c>
      <c r="AJ830" s="243" t="s">
        <v>419</v>
      </c>
      <c r="AK830" s="246"/>
      <c r="AL830" s="43" t="str">
        <f t="shared" si="212"/>
        <v>-</v>
      </c>
      <c r="AM830" s="43">
        <f t="shared" si="200"/>
        <v>0</v>
      </c>
      <c r="AN830" s="193">
        <f t="shared" si="200"/>
        <v>0</v>
      </c>
      <c r="AO830" s="270" t="str">
        <f t="shared" si="201"/>
        <v>-</v>
      </c>
      <c r="AP830" s="266"/>
      <c r="AQ830" s="26" t="str">
        <f t="shared" si="208"/>
        <v>CECILIA CREEKSteelhead</v>
      </c>
      <c r="AR830" s="26">
        <f t="shared" si="202"/>
        <v>0</v>
      </c>
      <c r="AS830" s="33">
        <f t="shared" si="203"/>
        <v>0</v>
      </c>
      <c r="AX830" s="47" t="str">
        <f t="shared" si="204"/>
        <v>CECILIA CREEKSteelhead</v>
      </c>
      <c r="AY830" s="49">
        <f t="shared" si="205"/>
        <v>0</v>
      </c>
      <c r="AZ830" s="49">
        <f t="shared" si="206"/>
        <v>0</v>
      </c>
      <c r="BA830" s="31">
        <v>0</v>
      </c>
      <c r="BB830" s="188">
        <f t="shared" si="209"/>
        <v>0</v>
      </c>
      <c r="BC830" s="188" t="str">
        <f t="shared" si="213"/>
        <v xml:space="preserve"> </v>
      </c>
      <c r="BD830" s="188" t="str">
        <f t="shared" si="214"/>
        <v xml:space="preserve"> </v>
      </c>
      <c r="BE830" s="188" t="str">
        <f t="shared" si="215"/>
        <v xml:space="preserve"> </v>
      </c>
      <c r="BF830" s="50" t="str">
        <f t="shared" si="207"/>
        <v>CECILIA CREEK_Steelhead</v>
      </c>
      <c r="BG830" s="50" t="str">
        <f>IFERROR(VLOOKUP(BF830,'[1]WCVI Esc'!$C$5:$W$514,18,FALSE),"-")</f>
        <v>-</v>
      </c>
      <c r="BH830" s="50" t="str">
        <f t="shared" si="210"/>
        <v>-</v>
      </c>
      <c r="BI830" s="50" t="str">
        <f>IFERROR(VLOOKUP(BF830,'[1]WCVI Esc'!$C$5:$W$514,19,FALSE),"-")</f>
        <v>-</v>
      </c>
      <c r="BJ830" s="50" t="str">
        <f t="shared" si="211"/>
        <v>-</v>
      </c>
    </row>
    <row r="831" spans="1:62" hidden="1" x14ac:dyDescent="0.2">
      <c r="A831" s="28">
        <v>4</v>
      </c>
      <c r="B831" s="28">
        <v>1</v>
      </c>
      <c r="C831" s="11">
        <v>24</v>
      </c>
      <c r="D831" s="13" t="s">
        <v>296</v>
      </c>
      <c r="E831" s="10" t="s">
        <v>118</v>
      </c>
      <c r="F831" s="10" t="s">
        <v>207</v>
      </c>
      <c r="G831" s="10"/>
      <c r="H831" s="152"/>
      <c r="I831" s="164"/>
      <c r="J831" s="62"/>
      <c r="K831" s="62"/>
      <c r="L831" s="177"/>
      <c r="M831" s="171"/>
      <c r="N831" s="62"/>
      <c r="O831" s="62"/>
      <c r="P831" s="62"/>
      <c r="Q831" s="64"/>
      <c r="R831" s="161"/>
      <c r="S831" s="62"/>
      <c r="T831" s="62"/>
      <c r="U831" s="62"/>
      <c r="V831" s="177"/>
      <c r="W831" s="171"/>
      <c r="X831" s="62"/>
      <c r="Y831" s="45"/>
      <c r="Z831" s="45"/>
      <c r="AA831" s="100"/>
      <c r="AB831" s="100"/>
      <c r="AC831" s="24"/>
      <c r="AD831" s="24"/>
      <c r="AE831" s="24"/>
      <c r="AF831" s="24"/>
      <c r="AG831" s="18">
        <v>24</v>
      </c>
      <c r="AH831" s="69" t="s">
        <v>296</v>
      </c>
      <c r="AI831" s="243" t="s">
        <v>118</v>
      </c>
      <c r="AJ831" s="243" t="s">
        <v>419</v>
      </c>
      <c r="AK831" s="246"/>
      <c r="AL831" s="43" t="str">
        <f t="shared" si="212"/>
        <v>-</v>
      </c>
      <c r="AM831" s="43">
        <f t="shared" ref="AM831:AN894" si="216">AR831</f>
        <v>0</v>
      </c>
      <c r="AN831" s="193">
        <f t="shared" si="216"/>
        <v>0</v>
      </c>
      <c r="AO831" s="270" t="str">
        <f t="shared" ref="AO831:AO894" si="217">BH831</f>
        <v>-</v>
      </c>
      <c r="AP831" s="266"/>
      <c r="AQ831" s="26" t="str">
        <f t="shared" si="208"/>
        <v>CLAYOQUOT ARM BEACHESSockeye</v>
      </c>
      <c r="AR831" s="26">
        <f t="shared" ref="AR831:AR894" si="218">COUNT(G831:X831)</f>
        <v>0</v>
      </c>
      <c r="AS831" s="33">
        <f t="shared" ref="AS831:AS894" si="219">MAX(G831:X831)</f>
        <v>0</v>
      </c>
      <c r="AX831" s="47" t="str">
        <f t="shared" ref="AX831:AX894" si="220">CONCATENATE(E831,F831)</f>
        <v>CLAYOQUOT ARM BEACHESSockeye</v>
      </c>
      <c r="AY831" s="49">
        <f t="shared" ref="AY831:AY894" si="221">Z831</f>
        <v>0</v>
      </c>
      <c r="AZ831" s="49">
        <f t="shared" ref="AZ831:AZ894" si="222">Y831</f>
        <v>0</v>
      </c>
      <c r="BA831" s="31">
        <v>2010</v>
      </c>
      <c r="BB831" s="188">
        <f t="shared" si="209"/>
        <v>0</v>
      </c>
      <c r="BC831" s="188" t="str">
        <f t="shared" si="213"/>
        <v xml:space="preserve"> </v>
      </c>
      <c r="BD831" s="188" t="str">
        <f t="shared" si="214"/>
        <v xml:space="preserve"> </v>
      </c>
      <c r="BE831" s="188" t="str">
        <f t="shared" si="215"/>
        <v xml:space="preserve"> </v>
      </c>
      <c r="BF831" s="50" t="str">
        <f t="shared" ref="BF831:BF894" si="223">CONCATENATE(E831,"_",F831)</f>
        <v>CLAYOQUOT ARM BEACHES_Sockeye</v>
      </c>
      <c r="BG831" s="50" t="str">
        <f>IFERROR(VLOOKUP(BF831,'[1]WCVI Esc'!$C$5:$W$514,18,FALSE),"-")</f>
        <v>-</v>
      </c>
      <c r="BH831" s="50" t="str">
        <f t="shared" si="210"/>
        <v>-</v>
      </c>
      <c r="BI831" s="50" t="str">
        <f>IFERROR(VLOOKUP(BF831,'[1]WCVI Esc'!$C$5:$W$514,19,FALSE),"-")</f>
        <v>-</v>
      </c>
      <c r="BJ831" s="50" t="str">
        <f t="shared" si="211"/>
        <v>-</v>
      </c>
    </row>
    <row r="832" spans="1:62" hidden="1" x14ac:dyDescent="0.2">
      <c r="A832" s="28">
        <v>4</v>
      </c>
      <c r="B832" s="28">
        <v>2</v>
      </c>
      <c r="C832" s="11">
        <v>24</v>
      </c>
      <c r="D832" s="13" t="s">
        <v>296</v>
      </c>
      <c r="E832" s="10" t="s">
        <v>118</v>
      </c>
      <c r="F832" s="10" t="s">
        <v>219</v>
      </c>
      <c r="G832" s="10"/>
      <c r="H832" s="152"/>
      <c r="I832" s="164"/>
      <c r="J832" s="62"/>
      <c r="K832" s="62"/>
      <c r="L832" s="177"/>
      <c r="M832" s="171"/>
      <c r="N832" s="62"/>
      <c r="O832" s="62"/>
      <c r="P832" s="62"/>
      <c r="Q832" s="64"/>
      <c r="R832" s="161"/>
      <c r="S832" s="62"/>
      <c r="T832" s="62"/>
      <c r="U832" s="62"/>
      <c r="V832" s="177"/>
      <c r="W832" s="171"/>
      <c r="X832" s="62"/>
      <c r="Y832" s="45"/>
      <c r="Z832" s="45"/>
      <c r="AA832" s="100"/>
      <c r="AB832" s="100"/>
      <c r="AC832" s="24"/>
      <c r="AD832" s="24"/>
      <c r="AE832" s="24"/>
      <c r="AF832" s="24"/>
      <c r="AG832" s="18">
        <v>24</v>
      </c>
      <c r="AH832" s="69" t="s">
        <v>296</v>
      </c>
      <c r="AI832" s="243" t="s">
        <v>118</v>
      </c>
      <c r="AJ832" s="243" t="s">
        <v>419</v>
      </c>
      <c r="AK832" s="246"/>
      <c r="AL832" s="43" t="str">
        <f t="shared" si="212"/>
        <v>-</v>
      </c>
      <c r="AM832" s="43">
        <f t="shared" si="216"/>
        <v>0</v>
      </c>
      <c r="AN832" s="193">
        <f t="shared" si="216"/>
        <v>0</v>
      </c>
      <c r="AO832" s="270" t="str">
        <f t="shared" si="217"/>
        <v>-</v>
      </c>
      <c r="AP832" s="266"/>
      <c r="AQ832" s="26" t="str">
        <f t="shared" si="208"/>
        <v>CLAYOQUOT ARM BEACHESCoho</v>
      </c>
      <c r="AR832" s="26">
        <f t="shared" si="218"/>
        <v>0</v>
      </c>
      <c r="AS832" s="33">
        <f t="shared" si="219"/>
        <v>0</v>
      </c>
      <c r="AX832" s="47" t="str">
        <f t="shared" si="220"/>
        <v>CLAYOQUOT ARM BEACHESCoho</v>
      </c>
      <c r="AY832" s="49">
        <f t="shared" si="221"/>
        <v>0</v>
      </c>
      <c r="AZ832" s="49">
        <f t="shared" si="222"/>
        <v>0</v>
      </c>
      <c r="BA832" s="31">
        <v>2002</v>
      </c>
      <c r="BB832" s="188">
        <f t="shared" si="209"/>
        <v>0</v>
      </c>
      <c r="BC832" s="188" t="str">
        <f t="shared" si="213"/>
        <v xml:space="preserve"> </v>
      </c>
      <c r="BD832" s="188" t="str">
        <f t="shared" si="214"/>
        <v xml:space="preserve"> </v>
      </c>
      <c r="BE832" s="188" t="str">
        <f t="shared" si="215"/>
        <v xml:space="preserve"> </v>
      </c>
      <c r="BF832" s="50" t="str">
        <f t="shared" si="223"/>
        <v>CLAYOQUOT ARM BEACHES_Coho</v>
      </c>
      <c r="BG832" s="50" t="str">
        <f>IFERROR(VLOOKUP(BF832,'[1]WCVI Esc'!$C$5:$W$514,18,FALSE),"-")</f>
        <v>-</v>
      </c>
      <c r="BH832" s="50" t="str">
        <f t="shared" si="210"/>
        <v>-</v>
      </c>
      <c r="BI832" s="50" t="str">
        <f>IFERROR(VLOOKUP(BF832,'[1]WCVI Esc'!$C$5:$W$514,19,FALSE),"-")</f>
        <v>-</v>
      </c>
      <c r="BJ832" s="50" t="str">
        <f t="shared" si="211"/>
        <v>-</v>
      </c>
    </row>
    <row r="833" spans="1:62" hidden="1" x14ac:dyDescent="0.2">
      <c r="A833" s="28">
        <v>4</v>
      </c>
      <c r="B833" s="28">
        <v>3</v>
      </c>
      <c r="C833" s="11">
        <v>24</v>
      </c>
      <c r="D833" s="13" t="s">
        <v>296</v>
      </c>
      <c r="E833" s="10" t="s">
        <v>118</v>
      </c>
      <c r="F833" s="10" t="s">
        <v>208</v>
      </c>
      <c r="G833" s="10"/>
      <c r="H833" s="152"/>
      <c r="I833" s="164"/>
      <c r="J833" s="62"/>
      <c r="K833" s="62"/>
      <c r="L833" s="177"/>
      <c r="M833" s="171"/>
      <c r="N833" s="62"/>
      <c r="O833" s="62"/>
      <c r="P833" s="62"/>
      <c r="Q833" s="64"/>
      <c r="R833" s="161"/>
      <c r="S833" s="62"/>
      <c r="T833" s="62"/>
      <c r="U833" s="62"/>
      <c r="V833" s="177"/>
      <c r="W833" s="171"/>
      <c r="X833" s="62"/>
      <c r="Y833" s="45"/>
      <c r="Z833" s="45"/>
      <c r="AA833" s="100"/>
      <c r="AB833" s="100"/>
      <c r="AC833" s="24"/>
      <c r="AD833" s="24"/>
      <c r="AE833" s="24"/>
      <c r="AF833" s="24"/>
      <c r="AG833" s="18">
        <v>24</v>
      </c>
      <c r="AH833" s="69" t="s">
        <v>296</v>
      </c>
      <c r="AI833" s="243" t="s">
        <v>118</v>
      </c>
      <c r="AJ833" s="243" t="s">
        <v>419</v>
      </c>
      <c r="AK833" s="246"/>
      <c r="AL833" s="43" t="str">
        <f t="shared" si="212"/>
        <v>-</v>
      </c>
      <c r="AM833" s="43">
        <f t="shared" si="216"/>
        <v>0</v>
      </c>
      <c r="AN833" s="193">
        <f t="shared" si="216"/>
        <v>0</v>
      </c>
      <c r="AO833" s="270" t="str">
        <f t="shared" si="217"/>
        <v>-</v>
      </c>
      <c r="AP833" s="266"/>
      <c r="AQ833" s="26" t="str">
        <f t="shared" si="208"/>
        <v>CLAYOQUOT ARM BEACHESPink</v>
      </c>
      <c r="AR833" s="26">
        <f t="shared" si="218"/>
        <v>0</v>
      </c>
      <c r="AS833" s="33">
        <f t="shared" si="219"/>
        <v>0</v>
      </c>
      <c r="AX833" s="47" t="str">
        <f t="shared" si="220"/>
        <v>CLAYOQUOT ARM BEACHESPink</v>
      </c>
      <c r="AY833" s="49">
        <f t="shared" si="221"/>
        <v>0</v>
      </c>
      <c r="AZ833" s="49">
        <f t="shared" si="222"/>
        <v>0</v>
      </c>
      <c r="BA833" s="31">
        <v>0</v>
      </c>
      <c r="BB833" s="188">
        <f t="shared" si="209"/>
        <v>0</v>
      </c>
      <c r="BC833" s="188" t="str">
        <f t="shared" si="213"/>
        <v xml:space="preserve"> </v>
      </c>
      <c r="BD833" s="188" t="str">
        <f t="shared" si="214"/>
        <v xml:space="preserve"> </v>
      </c>
      <c r="BE833" s="188" t="str">
        <f t="shared" si="215"/>
        <v xml:space="preserve"> </v>
      </c>
      <c r="BF833" s="50" t="str">
        <f t="shared" si="223"/>
        <v>CLAYOQUOT ARM BEACHES_Pink</v>
      </c>
      <c r="BG833" s="50" t="str">
        <f>IFERROR(VLOOKUP(BF833,'[1]WCVI Esc'!$C$5:$W$514,18,FALSE),"-")</f>
        <v>-</v>
      </c>
      <c r="BH833" s="50" t="str">
        <f t="shared" si="210"/>
        <v>-</v>
      </c>
      <c r="BI833" s="50" t="str">
        <f>IFERROR(VLOOKUP(BF833,'[1]WCVI Esc'!$C$5:$W$514,19,FALSE),"-")</f>
        <v>-</v>
      </c>
      <c r="BJ833" s="50" t="str">
        <f t="shared" si="211"/>
        <v>-</v>
      </c>
    </row>
    <row r="834" spans="1:62" hidden="1" x14ac:dyDescent="0.2">
      <c r="A834" s="28">
        <v>4</v>
      </c>
      <c r="B834" s="28">
        <v>4</v>
      </c>
      <c r="C834" s="11">
        <v>24</v>
      </c>
      <c r="D834" s="13" t="s">
        <v>296</v>
      </c>
      <c r="E834" s="10" t="s">
        <v>118</v>
      </c>
      <c r="F834" s="10" t="s">
        <v>209</v>
      </c>
      <c r="G834" s="10"/>
      <c r="H834" s="152"/>
      <c r="I834" s="164"/>
      <c r="J834" s="62"/>
      <c r="K834" s="62"/>
      <c r="L834" s="177"/>
      <c r="M834" s="171"/>
      <c r="N834" s="62"/>
      <c r="O834" s="62"/>
      <c r="P834" s="62"/>
      <c r="Q834" s="64"/>
      <c r="R834" s="161"/>
      <c r="S834" s="62"/>
      <c r="T834" s="62"/>
      <c r="U834" s="62"/>
      <c r="V834" s="177"/>
      <c r="W834" s="171"/>
      <c r="X834" s="62"/>
      <c r="Y834" s="45"/>
      <c r="Z834" s="45"/>
      <c r="AA834" s="100"/>
      <c r="AB834" s="100"/>
      <c r="AC834" s="24"/>
      <c r="AD834" s="24"/>
      <c r="AE834" s="24"/>
      <c r="AF834" s="24"/>
      <c r="AG834" s="18">
        <v>24</v>
      </c>
      <c r="AH834" s="69" t="s">
        <v>296</v>
      </c>
      <c r="AI834" s="243" t="s">
        <v>118</v>
      </c>
      <c r="AJ834" s="243" t="s">
        <v>419</v>
      </c>
      <c r="AK834" s="246"/>
      <c r="AL834" s="43" t="str">
        <f t="shared" si="212"/>
        <v>-</v>
      </c>
      <c r="AM834" s="43">
        <f t="shared" si="216"/>
        <v>0</v>
      </c>
      <c r="AN834" s="193">
        <f t="shared" si="216"/>
        <v>0</v>
      </c>
      <c r="AO834" s="270" t="str">
        <f t="shared" si="217"/>
        <v>-</v>
      </c>
      <c r="AP834" s="266"/>
      <c r="AQ834" s="26" t="str">
        <f t="shared" si="208"/>
        <v>CLAYOQUOT ARM BEACHESChum</v>
      </c>
      <c r="AR834" s="26">
        <f t="shared" si="218"/>
        <v>0</v>
      </c>
      <c r="AS834" s="33">
        <f t="shared" si="219"/>
        <v>0</v>
      </c>
      <c r="AX834" s="47" t="str">
        <f t="shared" si="220"/>
        <v>CLAYOQUOT ARM BEACHESChum</v>
      </c>
      <c r="AY834" s="49">
        <f t="shared" si="221"/>
        <v>0</v>
      </c>
      <c r="AZ834" s="49">
        <f t="shared" si="222"/>
        <v>0</v>
      </c>
      <c r="BA834" s="31">
        <v>2002</v>
      </c>
      <c r="BB834" s="188">
        <f t="shared" si="209"/>
        <v>0</v>
      </c>
      <c r="BC834" s="188" t="str">
        <f t="shared" si="213"/>
        <v xml:space="preserve"> </v>
      </c>
      <c r="BD834" s="188" t="str">
        <f t="shared" si="214"/>
        <v xml:space="preserve"> </v>
      </c>
      <c r="BE834" s="188" t="str">
        <f t="shared" si="215"/>
        <v xml:space="preserve"> </v>
      </c>
      <c r="BF834" s="50" t="str">
        <f t="shared" si="223"/>
        <v>CLAYOQUOT ARM BEACHES_Chum</v>
      </c>
      <c r="BG834" s="50" t="str">
        <f>IFERROR(VLOOKUP(BF834,'[1]WCVI Esc'!$C$5:$W$514,18,FALSE),"-")</f>
        <v>-</v>
      </c>
      <c r="BH834" s="50" t="str">
        <f t="shared" si="210"/>
        <v>-</v>
      </c>
      <c r="BI834" s="50" t="str">
        <f>IFERROR(VLOOKUP(BF834,'[1]WCVI Esc'!$C$5:$W$514,19,FALSE),"-")</f>
        <v>-</v>
      </c>
      <c r="BJ834" s="50" t="str">
        <f t="shared" si="211"/>
        <v>-</v>
      </c>
    </row>
    <row r="835" spans="1:62" hidden="1" x14ac:dyDescent="0.2">
      <c r="A835" s="28">
        <v>4</v>
      </c>
      <c r="B835" s="28">
        <v>5</v>
      </c>
      <c r="C835" s="11">
        <v>24</v>
      </c>
      <c r="D835" s="13" t="s">
        <v>296</v>
      </c>
      <c r="E835" s="10" t="s">
        <v>118</v>
      </c>
      <c r="F835" s="10" t="s">
        <v>210</v>
      </c>
      <c r="G835" s="10"/>
      <c r="H835" s="152"/>
      <c r="I835" s="164"/>
      <c r="J835" s="62"/>
      <c r="K835" s="62"/>
      <c r="L835" s="177"/>
      <c r="M835" s="171"/>
      <c r="N835" s="62"/>
      <c r="O835" s="62"/>
      <c r="P835" s="62"/>
      <c r="Q835" s="64"/>
      <c r="R835" s="161"/>
      <c r="S835" s="62"/>
      <c r="T835" s="62"/>
      <c r="U835" s="62"/>
      <c r="V835" s="177"/>
      <c r="W835" s="171"/>
      <c r="X835" s="62"/>
      <c r="Y835" s="45"/>
      <c r="Z835" s="45"/>
      <c r="AA835" s="100"/>
      <c r="AB835" s="100"/>
      <c r="AC835" s="24"/>
      <c r="AD835" s="24"/>
      <c r="AE835" s="24"/>
      <c r="AF835" s="24"/>
      <c r="AG835" s="18">
        <v>24</v>
      </c>
      <c r="AH835" s="69" t="s">
        <v>296</v>
      </c>
      <c r="AI835" s="243" t="s">
        <v>118</v>
      </c>
      <c r="AJ835" s="243" t="s">
        <v>419</v>
      </c>
      <c r="AK835" s="246"/>
      <c r="AL835" s="43" t="str">
        <f t="shared" si="212"/>
        <v>-</v>
      </c>
      <c r="AM835" s="43">
        <f t="shared" si="216"/>
        <v>0</v>
      </c>
      <c r="AN835" s="193">
        <f t="shared" si="216"/>
        <v>0</v>
      </c>
      <c r="AO835" s="270" t="str">
        <f t="shared" si="217"/>
        <v>-</v>
      </c>
      <c r="AP835" s="266"/>
      <c r="AQ835" s="26" t="str">
        <f t="shared" ref="AQ835:AQ898" si="224">CONCATENATE(E835,F835)</f>
        <v>CLAYOQUOT ARM BEACHESChinook</v>
      </c>
      <c r="AR835" s="26">
        <f t="shared" si="218"/>
        <v>0</v>
      </c>
      <c r="AS835" s="33">
        <f t="shared" si="219"/>
        <v>0</v>
      </c>
      <c r="AX835" s="47" t="str">
        <f t="shared" si="220"/>
        <v>CLAYOQUOT ARM BEACHESChinook</v>
      </c>
      <c r="AY835" s="49">
        <f t="shared" si="221"/>
        <v>0</v>
      </c>
      <c r="AZ835" s="49">
        <f t="shared" si="222"/>
        <v>0</v>
      </c>
      <c r="BA835" s="31">
        <v>2002</v>
      </c>
      <c r="BB835" s="188">
        <f t="shared" si="209"/>
        <v>0</v>
      </c>
      <c r="BC835" s="188" t="str">
        <f t="shared" si="213"/>
        <v xml:space="preserve"> </v>
      </c>
      <c r="BD835" s="188" t="str">
        <f t="shared" si="214"/>
        <v xml:space="preserve"> </v>
      </c>
      <c r="BE835" s="188" t="str">
        <f t="shared" si="215"/>
        <v xml:space="preserve"> </v>
      </c>
      <c r="BF835" s="50" t="str">
        <f t="shared" si="223"/>
        <v>CLAYOQUOT ARM BEACHES_Chinook</v>
      </c>
      <c r="BG835" s="50" t="str">
        <f>IFERROR(VLOOKUP(BF835,'[1]WCVI Esc'!$C$5:$W$514,18,FALSE),"-")</f>
        <v>-</v>
      </c>
      <c r="BH835" s="50" t="str">
        <f t="shared" si="210"/>
        <v>-</v>
      </c>
      <c r="BI835" s="50" t="str">
        <f>IFERROR(VLOOKUP(BF835,'[1]WCVI Esc'!$C$5:$W$514,19,FALSE),"-")</f>
        <v>-</v>
      </c>
      <c r="BJ835" s="50" t="str">
        <f t="shared" si="211"/>
        <v>-</v>
      </c>
    </row>
    <row r="836" spans="1:62" hidden="1" x14ac:dyDescent="0.2">
      <c r="A836" s="28">
        <v>4</v>
      </c>
      <c r="B836" s="28">
        <v>6</v>
      </c>
      <c r="C836" s="11">
        <v>24</v>
      </c>
      <c r="D836" s="13" t="s">
        <v>296</v>
      </c>
      <c r="E836" s="10" t="s">
        <v>118</v>
      </c>
      <c r="F836" s="10" t="s">
        <v>211</v>
      </c>
      <c r="G836" s="10"/>
      <c r="H836" s="152"/>
      <c r="I836" s="164"/>
      <c r="J836" s="62"/>
      <c r="K836" s="62"/>
      <c r="L836" s="177"/>
      <c r="M836" s="171"/>
      <c r="N836" s="62"/>
      <c r="O836" s="62"/>
      <c r="P836" s="62"/>
      <c r="Q836" s="64"/>
      <c r="R836" s="161"/>
      <c r="S836" s="62"/>
      <c r="T836" s="62"/>
      <c r="U836" s="62"/>
      <c r="V836" s="177"/>
      <c r="W836" s="171"/>
      <c r="X836" s="62"/>
      <c r="Y836" s="45"/>
      <c r="Z836" s="45"/>
      <c r="AA836" s="100"/>
      <c r="AB836" s="100"/>
      <c r="AC836" s="24"/>
      <c r="AD836" s="24"/>
      <c r="AE836" s="24"/>
      <c r="AF836" s="24"/>
      <c r="AG836" s="18">
        <v>24</v>
      </c>
      <c r="AH836" s="69" t="s">
        <v>296</v>
      </c>
      <c r="AI836" s="243" t="s">
        <v>118</v>
      </c>
      <c r="AJ836" s="243" t="s">
        <v>419</v>
      </c>
      <c r="AK836" s="246"/>
      <c r="AL836" s="43" t="str">
        <f t="shared" si="212"/>
        <v>-</v>
      </c>
      <c r="AM836" s="43">
        <f t="shared" si="216"/>
        <v>0</v>
      </c>
      <c r="AN836" s="193">
        <f t="shared" si="216"/>
        <v>0</v>
      </c>
      <c r="AO836" s="270" t="str">
        <f t="shared" si="217"/>
        <v>-</v>
      </c>
      <c r="AP836" s="266"/>
      <c r="AQ836" s="26" t="str">
        <f t="shared" si="224"/>
        <v>CLAYOQUOT ARM BEACHESSteelhead</v>
      </c>
      <c r="AR836" s="26">
        <f t="shared" si="218"/>
        <v>0</v>
      </c>
      <c r="AS836" s="33">
        <f t="shared" si="219"/>
        <v>0</v>
      </c>
      <c r="AX836" s="47" t="str">
        <f t="shared" si="220"/>
        <v>CLAYOQUOT ARM BEACHESSteelhead</v>
      </c>
      <c r="AY836" s="49">
        <f t="shared" si="221"/>
        <v>0</v>
      </c>
      <c r="AZ836" s="49">
        <f t="shared" si="222"/>
        <v>0</v>
      </c>
      <c r="BA836" s="31">
        <v>0</v>
      </c>
      <c r="BB836" s="188">
        <f t="shared" si="209"/>
        <v>0</v>
      </c>
      <c r="BC836" s="188" t="str">
        <f t="shared" si="213"/>
        <v xml:space="preserve"> </v>
      </c>
      <c r="BD836" s="188" t="str">
        <f t="shared" si="214"/>
        <v xml:space="preserve"> </v>
      </c>
      <c r="BE836" s="188" t="str">
        <f t="shared" si="215"/>
        <v xml:space="preserve"> </v>
      </c>
      <c r="BF836" s="50" t="str">
        <f t="shared" si="223"/>
        <v>CLAYOQUOT ARM BEACHES_Steelhead</v>
      </c>
      <c r="BG836" s="50" t="str">
        <f>IFERROR(VLOOKUP(BF836,'[1]WCVI Esc'!$C$5:$W$514,18,FALSE),"-")</f>
        <v>-</v>
      </c>
      <c r="BH836" s="50" t="str">
        <f t="shared" si="210"/>
        <v>-</v>
      </c>
      <c r="BI836" s="50" t="str">
        <f>IFERROR(VLOOKUP(BF836,'[1]WCVI Esc'!$C$5:$W$514,19,FALSE),"-")</f>
        <v>-</v>
      </c>
      <c r="BJ836" s="50" t="str">
        <f t="shared" si="211"/>
        <v>-</v>
      </c>
    </row>
    <row r="837" spans="1:62" hidden="1" x14ac:dyDescent="0.2">
      <c r="A837" s="28">
        <v>4</v>
      </c>
      <c r="B837" s="28">
        <v>1</v>
      </c>
      <c r="C837" s="11">
        <v>24</v>
      </c>
      <c r="D837" s="13" t="s">
        <v>296</v>
      </c>
      <c r="E837" s="10" t="s">
        <v>36</v>
      </c>
      <c r="F837" s="10" t="s">
        <v>207</v>
      </c>
      <c r="G837" s="10"/>
      <c r="H837" s="152"/>
      <c r="I837" s="164"/>
      <c r="J837" s="62"/>
      <c r="K837" s="62"/>
      <c r="L837" s="177"/>
      <c r="M837" s="171"/>
      <c r="N837" s="62"/>
      <c r="O837" s="62"/>
      <c r="P837" s="62"/>
      <c r="Q837" s="64"/>
      <c r="R837" s="164"/>
      <c r="S837" s="62"/>
      <c r="T837" s="62"/>
      <c r="U837" s="62"/>
      <c r="V837" s="177"/>
      <c r="W837" s="171"/>
      <c r="X837" s="62"/>
      <c r="Y837" s="45"/>
      <c r="Z837" s="45"/>
      <c r="AA837" s="100">
        <f>Y837/AP837</f>
        <v>0</v>
      </c>
      <c r="AB837" s="100">
        <f>AS837/AP837</f>
        <v>0</v>
      </c>
      <c r="AC837" s="24"/>
      <c r="AD837" s="24"/>
      <c r="AE837" s="24"/>
      <c r="AF837" s="24"/>
      <c r="AG837" s="18">
        <v>24</v>
      </c>
      <c r="AH837" s="69" t="s">
        <v>296</v>
      </c>
      <c r="AI837" s="243" t="s">
        <v>36</v>
      </c>
      <c r="AJ837" s="243" t="s">
        <v>419</v>
      </c>
      <c r="AK837" s="246"/>
      <c r="AL837" s="43" t="str">
        <f t="shared" si="212"/>
        <v>-</v>
      </c>
      <c r="AM837" s="43">
        <f t="shared" si="216"/>
        <v>0</v>
      </c>
      <c r="AN837" s="193">
        <f t="shared" si="216"/>
        <v>0</v>
      </c>
      <c r="AO837" s="270">
        <f t="shared" si="217"/>
        <v>1970</v>
      </c>
      <c r="AP837" s="265">
        <f>BJ837</f>
        <v>1570</v>
      </c>
      <c r="AQ837" s="26" t="str">
        <f t="shared" si="224"/>
        <v>CLAYOQUOT RIVERSockeye</v>
      </c>
      <c r="AR837" s="26">
        <f t="shared" si="218"/>
        <v>0</v>
      </c>
      <c r="AS837" s="33">
        <f t="shared" si="219"/>
        <v>0</v>
      </c>
      <c r="AX837" s="47" t="str">
        <f t="shared" si="220"/>
        <v>CLAYOQUOT RIVERSockeye</v>
      </c>
      <c r="AY837" s="49">
        <f t="shared" si="221"/>
        <v>0</v>
      </c>
      <c r="AZ837" s="49">
        <f t="shared" si="222"/>
        <v>0</v>
      </c>
      <c r="BA837" s="31">
        <v>2010</v>
      </c>
      <c r="BB837" s="188">
        <f t="shared" si="209"/>
        <v>0</v>
      </c>
      <c r="BC837" s="188" t="str">
        <f t="shared" si="213"/>
        <v xml:space="preserve"> </v>
      </c>
      <c r="BD837" s="188" t="str">
        <f t="shared" si="214"/>
        <v xml:space="preserve"> </v>
      </c>
      <c r="BE837" s="188" t="str">
        <f t="shared" si="215"/>
        <v xml:space="preserve"> </v>
      </c>
      <c r="BF837" s="50" t="str">
        <f t="shared" si="223"/>
        <v>CLAYOQUOT RIVER_Sockeye</v>
      </c>
      <c r="BG837" s="50">
        <f>IFERROR(VLOOKUP(BF837,'[1]WCVI Esc'!$C$5:$W$514,18,FALSE),"-")</f>
        <v>1970</v>
      </c>
      <c r="BH837" s="50">
        <f t="shared" si="210"/>
        <v>1970</v>
      </c>
      <c r="BI837" s="50">
        <f>IFERROR(VLOOKUP(BF837,'[1]WCVI Esc'!$C$5:$W$514,19,FALSE),"-")</f>
        <v>1567.3333333333333</v>
      </c>
      <c r="BJ837" s="50">
        <f t="shared" si="211"/>
        <v>1570</v>
      </c>
    </row>
    <row r="838" spans="1:62" hidden="1" x14ac:dyDescent="0.2">
      <c r="A838" s="28">
        <v>4</v>
      </c>
      <c r="B838" s="28">
        <v>2</v>
      </c>
      <c r="C838" s="11">
        <v>24</v>
      </c>
      <c r="D838" s="13" t="s">
        <v>296</v>
      </c>
      <c r="E838" s="10" t="s">
        <v>36</v>
      </c>
      <c r="F838" s="10" t="s">
        <v>219</v>
      </c>
      <c r="G838" s="10"/>
      <c r="H838" s="152"/>
      <c r="I838" s="164"/>
      <c r="J838" s="62"/>
      <c r="K838" s="62"/>
      <c r="L838" s="177"/>
      <c r="M838" s="171"/>
      <c r="N838" s="62"/>
      <c r="O838" s="62"/>
      <c r="P838" s="62"/>
      <c r="Q838" s="64"/>
      <c r="R838" s="164"/>
      <c r="S838" s="62"/>
      <c r="T838" s="62"/>
      <c r="U838" s="62"/>
      <c r="V838" s="177"/>
      <c r="W838" s="171"/>
      <c r="X838" s="62"/>
      <c r="Y838" s="45"/>
      <c r="Z838" s="45"/>
      <c r="AA838" s="100"/>
      <c r="AB838" s="100"/>
      <c r="AC838" s="24"/>
      <c r="AD838" s="24"/>
      <c r="AE838" s="24"/>
      <c r="AF838" s="24"/>
      <c r="AG838" s="18">
        <v>24</v>
      </c>
      <c r="AH838" s="69" t="s">
        <v>296</v>
      </c>
      <c r="AI838" s="243" t="s">
        <v>36</v>
      </c>
      <c r="AJ838" s="243" t="s">
        <v>419</v>
      </c>
      <c r="AK838" s="246"/>
      <c r="AL838" s="43" t="str">
        <f t="shared" si="212"/>
        <v>-</v>
      </c>
      <c r="AM838" s="43">
        <f t="shared" si="216"/>
        <v>0</v>
      </c>
      <c r="AN838" s="193">
        <f t="shared" si="216"/>
        <v>0</v>
      </c>
      <c r="AO838" s="270">
        <f t="shared" si="217"/>
        <v>920</v>
      </c>
      <c r="AP838" s="266"/>
      <c r="AQ838" s="26" t="str">
        <f t="shared" si="224"/>
        <v>CLAYOQUOT RIVERCoho</v>
      </c>
      <c r="AR838" s="26">
        <f t="shared" si="218"/>
        <v>0</v>
      </c>
      <c r="AS838" s="33">
        <f t="shared" si="219"/>
        <v>0</v>
      </c>
      <c r="AX838" s="47" t="str">
        <f t="shared" si="220"/>
        <v>CLAYOQUOT RIVERCoho</v>
      </c>
      <c r="AY838" s="49">
        <f t="shared" si="221"/>
        <v>0</v>
      </c>
      <c r="AZ838" s="49">
        <f t="shared" si="222"/>
        <v>0</v>
      </c>
      <c r="BA838" s="31">
        <v>2002</v>
      </c>
      <c r="BB838" s="188">
        <f t="shared" si="209"/>
        <v>0</v>
      </c>
      <c r="BC838" s="188" t="str">
        <f t="shared" si="213"/>
        <v xml:space="preserve"> </v>
      </c>
      <c r="BD838" s="188" t="str">
        <f t="shared" si="214"/>
        <v xml:space="preserve"> </v>
      </c>
      <c r="BE838" s="188" t="str">
        <f t="shared" si="215"/>
        <v xml:space="preserve"> </v>
      </c>
      <c r="BF838" s="50" t="str">
        <f t="shared" si="223"/>
        <v>CLAYOQUOT RIVER_Coho</v>
      </c>
      <c r="BG838" s="50">
        <f>IFERROR(VLOOKUP(BF838,'[1]WCVI Esc'!$C$5:$W$514,18,FALSE),"-")</f>
        <v>924</v>
      </c>
      <c r="BH838" s="50">
        <f t="shared" si="210"/>
        <v>920</v>
      </c>
      <c r="BI838" s="50">
        <f>IFERROR(VLOOKUP(BF838,'[1]WCVI Esc'!$C$5:$W$514,19,FALSE),"-")</f>
        <v>758.66666666666663</v>
      </c>
      <c r="BJ838" s="50">
        <f t="shared" si="211"/>
        <v>760</v>
      </c>
    </row>
    <row r="839" spans="1:62" hidden="1" x14ac:dyDescent="0.2">
      <c r="A839" s="28">
        <v>4</v>
      </c>
      <c r="B839" s="28">
        <v>3</v>
      </c>
      <c r="C839" s="11">
        <v>24</v>
      </c>
      <c r="D839" s="13" t="s">
        <v>296</v>
      </c>
      <c r="E839" s="10" t="s">
        <v>36</v>
      </c>
      <c r="F839" s="10" t="s">
        <v>208</v>
      </c>
      <c r="G839" s="10"/>
      <c r="H839" s="152"/>
      <c r="I839" s="164"/>
      <c r="J839" s="62"/>
      <c r="K839" s="62"/>
      <c r="L839" s="177"/>
      <c r="M839" s="171"/>
      <c r="N839" s="62"/>
      <c r="O839" s="62"/>
      <c r="P839" s="62"/>
      <c r="Q839" s="64"/>
      <c r="R839" s="164"/>
      <c r="S839" s="62"/>
      <c r="T839" s="62"/>
      <c r="U839" s="62"/>
      <c r="V839" s="177"/>
      <c r="W839" s="171"/>
      <c r="X839" s="62"/>
      <c r="Y839" s="45"/>
      <c r="Z839" s="45"/>
      <c r="AA839" s="100"/>
      <c r="AB839" s="100"/>
      <c r="AC839" s="24"/>
      <c r="AD839" s="24"/>
      <c r="AE839" s="24"/>
      <c r="AF839" s="24"/>
      <c r="AG839" s="18">
        <v>24</v>
      </c>
      <c r="AH839" s="69" t="s">
        <v>296</v>
      </c>
      <c r="AI839" s="243" t="s">
        <v>36</v>
      </c>
      <c r="AJ839" s="243" t="s">
        <v>419</v>
      </c>
      <c r="AK839" s="246"/>
      <c r="AL839" s="43" t="str">
        <f t="shared" si="212"/>
        <v>-</v>
      </c>
      <c r="AM839" s="43">
        <f t="shared" si="216"/>
        <v>0</v>
      </c>
      <c r="AN839" s="193">
        <f t="shared" si="216"/>
        <v>0</v>
      </c>
      <c r="AO839" s="270" t="str">
        <f t="shared" si="217"/>
        <v>-</v>
      </c>
      <c r="AP839" s="266"/>
      <c r="AQ839" s="26" t="str">
        <f t="shared" si="224"/>
        <v>CLAYOQUOT RIVERPink</v>
      </c>
      <c r="AR839" s="26">
        <f t="shared" si="218"/>
        <v>0</v>
      </c>
      <c r="AS839" s="33">
        <f t="shared" si="219"/>
        <v>0</v>
      </c>
      <c r="AX839" s="47" t="str">
        <f t="shared" si="220"/>
        <v>CLAYOQUOT RIVERPink</v>
      </c>
      <c r="AY839" s="49">
        <f t="shared" si="221"/>
        <v>0</v>
      </c>
      <c r="AZ839" s="49">
        <f t="shared" si="222"/>
        <v>0</v>
      </c>
      <c r="BA839" s="31">
        <v>0</v>
      </c>
      <c r="BB839" s="188">
        <f t="shared" si="209"/>
        <v>0</v>
      </c>
      <c r="BC839" s="188" t="str">
        <f t="shared" si="213"/>
        <v xml:space="preserve"> </v>
      </c>
      <c r="BD839" s="188" t="str">
        <f t="shared" si="214"/>
        <v xml:space="preserve"> </v>
      </c>
      <c r="BE839" s="188" t="str">
        <f t="shared" si="215"/>
        <v xml:space="preserve"> </v>
      </c>
      <c r="BF839" s="50" t="str">
        <f t="shared" si="223"/>
        <v>CLAYOQUOT RIVER_Pink</v>
      </c>
      <c r="BG839" s="50" t="str">
        <f>IFERROR(VLOOKUP(BF839,'[1]WCVI Esc'!$C$5:$W$514,18,FALSE),"-")</f>
        <v>-</v>
      </c>
      <c r="BH839" s="50" t="str">
        <f t="shared" si="210"/>
        <v>-</v>
      </c>
      <c r="BI839" s="50" t="str">
        <f>IFERROR(VLOOKUP(BF839,'[1]WCVI Esc'!$C$5:$W$514,19,FALSE),"-")</f>
        <v>-</v>
      </c>
      <c r="BJ839" s="50" t="str">
        <f t="shared" si="211"/>
        <v>-</v>
      </c>
    </row>
    <row r="840" spans="1:62" hidden="1" x14ac:dyDescent="0.2">
      <c r="A840" s="28">
        <v>4</v>
      </c>
      <c r="B840" s="28">
        <v>4</v>
      </c>
      <c r="C840" s="11">
        <v>24</v>
      </c>
      <c r="D840" s="13" t="s">
        <v>296</v>
      </c>
      <c r="E840" s="10" t="s">
        <v>36</v>
      </c>
      <c r="F840" s="10" t="s">
        <v>209</v>
      </c>
      <c r="G840" s="10"/>
      <c r="H840" s="152"/>
      <c r="I840" s="164"/>
      <c r="J840" s="62"/>
      <c r="K840" s="62"/>
      <c r="L840" s="177"/>
      <c r="M840" s="171"/>
      <c r="N840" s="62"/>
      <c r="O840" s="62"/>
      <c r="P840" s="62"/>
      <c r="Q840" s="64"/>
      <c r="R840" s="164"/>
      <c r="S840" s="62"/>
      <c r="T840" s="62"/>
      <c r="U840" s="62"/>
      <c r="V840" s="177"/>
      <c r="W840" s="171"/>
      <c r="X840" s="62"/>
      <c r="Y840" s="45"/>
      <c r="Z840" s="45"/>
      <c r="AA840" s="100"/>
      <c r="AB840" s="100"/>
      <c r="AC840" s="24"/>
      <c r="AD840" s="24"/>
      <c r="AE840" s="24"/>
      <c r="AF840" s="24"/>
      <c r="AG840" s="18">
        <v>24</v>
      </c>
      <c r="AH840" s="69" t="s">
        <v>296</v>
      </c>
      <c r="AI840" s="243" t="s">
        <v>36</v>
      </c>
      <c r="AJ840" s="243" t="s">
        <v>419</v>
      </c>
      <c r="AK840" s="246"/>
      <c r="AL840" s="43" t="str">
        <f t="shared" si="212"/>
        <v>-</v>
      </c>
      <c r="AM840" s="43">
        <f t="shared" si="216"/>
        <v>0</v>
      </c>
      <c r="AN840" s="193">
        <f t="shared" si="216"/>
        <v>0</v>
      </c>
      <c r="AO840" s="270" t="str">
        <f t="shared" si="217"/>
        <v>-</v>
      </c>
      <c r="AP840" s="266"/>
      <c r="AQ840" s="26" t="str">
        <f t="shared" si="224"/>
        <v>CLAYOQUOT RIVERChum</v>
      </c>
      <c r="AR840" s="26">
        <f t="shared" si="218"/>
        <v>0</v>
      </c>
      <c r="AS840" s="33">
        <f t="shared" si="219"/>
        <v>0</v>
      </c>
      <c r="AX840" s="47" t="str">
        <f t="shared" si="220"/>
        <v>CLAYOQUOT RIVERChum</v>
      </c>
      <c r="AY840" s="49">
        <f t="shared" si="221"/>
        <v>0</v>
      </c>
      <c r="AZ840" s="49">
        <f t="shared" si="222"/>
        <v>0</v>
      </c>
      <c r="BA840" s="31">
        <v>2002</v>
      </c>
      <c r="BB840" s="188">
        <f t="shared" si="209"/>
        <v>0</v>
      </c>
      <c r="BC840" s="188" t="str">
        <f t="shared" si="213"/>
        <v xml:space="preserve"> </v>
      </c>
      <c r="BD840" s="188" t="str">
        <f t="shared" si="214"/>
        <v xml:space="preserve"> </v>
      </c>
      <c r="BE840" s="188" t="str">
        <f t="shared" si="215"/>
        <v xml:space="preserve"> </v>
      </c>
      <c r="BF840" s="50" t="str">
        <f t="shared" si="223"/>
        <v>CLAYOQUOT RIVER_Chum</v>
      </c>
      <c r="BG840" s="50" t="str">
        <f>IFERROR(VLOOKUP(BF840,'[1]WCVI Esc'!$C$5:$W$514,18,FALSE),"-")</f>
        <v>-</v>
      </c>
      <c r="BH840" s="50" t="str">
        <f t="shared" si="210"/>
        <v>-</v>
      </c>
      <c r="BI840" s="50" t="str">
        <f>IFERROR(VLOOKUP(BF840,'[1]WCVI Esc'!$C$5:$W$514,19,FALSE),"-")</f>
        <v>-</v>
      </c>
      <c r="BJ840" s="50" t="str">
        <f t="shared" si="211"/>
        <v>-</v>
      </c>
    </row>
    <row r="841" spans="1:62" hidden="1" x14ac:dyDescent="0.2">
      <c r="A841" s="28">
        <v>4</v>
      </c>
      <c r="B841" s="28">
        <v>5</v>
      </c>
      <c r="C841" s="11">
        <v>24</v>
      </c>
      <c r="D841" s="13" t="s">
        <v>296</v>
      </c>
      <c r="E841" s="10" t="s">
        <v>36</v>
      </c>
      <c r="F841" s="10" t="s">
        <v>210</v>
      </c>
      <c r="G841" s="10"/>
      <c r="H841" s="152"/>
      <c r="I841" s="164"/>
      <c r="J841" s="62"/>
      <c r="K841" s="62"/>
      <c r="L841" s="177"/>
      <c r="M841" s="171"/>
      <c r="N841" s="62"/>
      <c r="O841" s="62"/>
      <c r="P841" s="62"/>
      <c r="Q841" s="64"/>
      <c r="R841" s="164"/>
      <c r="S841" s="62"/>
      <c r="T841" s="62"/>
      <c r="U841" s="62"/>
      <c r="V841" s="177"/>
      <c r="W841" s="171"/>
      <c r="X841" s="62"/>
      <c r="Y841" s="45"/>
      <c r="Z841" s="45"/>
      <c r="AA841" s="100"/>
      <c r="AB841" s="100"/>
      <c r="AC841" s="24"/>
      <c r="AD841" s="24"/>
      <c r="AE841" s="24"/>
      <c r="AF841" s="24"/>
      <c r="AG841" s="18">
        <v>24</v>
      </c>
      <c r="AH841" s="69" t="s">
        <v>296</v>
      </c>
      <c r="AI841" s="243" t="s">
        <v>36</v>
      </c>
      <c r="AJ841" s="243" t="s">
        <v>419</v>
      </c>
      <c r="AK841" s="246"/>
      <c r="AL841" s="43" t="str">
        <f t="shared" si="212"/>
        <v>-</v>
      </c>
      <c r="AM841" s="43">
        <f t="shared" si="216"/>
        <v>0</v>
      </c>
      <c r="AN841" s="193">
        <f t="shared" si="216"/>
        <v>0</v>
      </c>
      <c r="AO841" s="270">
        <f t="shared" si="217"/>
        <v>0</v>
      </c>
      <c r="AP841" s="266"/>
      <c r="AQ841" s="26" t="str">
        <f t="shared" si="224"/>
        <v>CLAYOQUOT RIVERChinook</v>
      </c>
      <c r="AR841" s="26">
        <f t="shared" si="218"/>
        <v>0</v>
      </c>
      <c r="AS841" s="33">
        <f t="shared" si="219"/>
        <v>0</v>
      </c>
      <c r="AX841" s="47" t="str">
        <f t="shared" si="220"/>
        <v>CLAYOQUOT RIVERChinook</v>
      </c>
      <c r="AY841" s="49">
        <f t="shared" si="221"/>
        <v>0</v>
      </c>
      <c r="AZ841" s="49">
        <f t="shared" si="222"/>
        <v>0</v>
      </c>
      <c r="BA841" s="31">
        <v>2002</v>
      </c>
      <c r="BB841" s="188">
        <f t="shared" ref="BB841:BB904" si="225">AK841</f>
        <v>0</v>
      </c>
      <c r="BC841" s="188" t="str">
        <f t="shared" si="213"/>
        <v xml:space="preserve"> </v>
      </c>
      <c r="BD841" s="188" t="str">
        <f t="shared" si="214"/>
        <v xml:space="preserve"> </v>
      </c>
      <c r="BE841" s="188" t="str">
        <f t="shared" si="215"/>
        <v xml:space="preserve"> </v>
      </c>
      <c r="BF841" s="50" t="str">
        <f t="shared" si="223"/>
        <v>CLAYOQUOT RIVER_Chinook</v>
      </c>
      <c r="BG841" s="50">
        <f>IFERROR(VLOOKUP(BF841,'[1]WCVI Esc'!$C$5:$W$514,18,FALSE),"-")</f>
        <v>2</v>
      </c>
      <c r="BH841" s="50">
        <f t="shared" ref="BH841:BH904" si="226">IFERROR(ROUND(BG841,-1),"-")</f>
        <v>0</v>
      </c>
      <c r="BI841" s="50">
        <f>IFERROR(VLOOKUP(BF841,'[1]WCVI Esc'!$C$5:$W$514,19,FALSE),"-")</f>
        <v>4</v>
      </c>
      <c r="BJ841" s="50">
        <f t="shared" ref="BJ841:BJ904" si="227">IFERROR(ROUND(BI841,-1),"-")</f>
        <v>0</v>
      </c>
    </row>
    <row r="842" spans="1:62" hidden="1" x14ac:dyDescent="0.2">
      <c r="A842" s="28">
        <v>4</v>
      </c>
      <c r="B842" s="28">
        <v>6</v>
      </c>
      <c r="C842" s="11">
        <v>24</v>
      </c>
      <c r="D842" s="13" t="s">
        <v>296</v>
      </c>
      <c r="E842" s="10" t="s">
        <v>36</v>
      </c>
      <c r="F842" s="10" t="s">
        <v>211</v>
      </c>
      <c r="G842" s="10"/>
      <c r="H842" s="152"/>
      <c r="I842" s="164"/>
      <c r="J842" s="62"/>
      <c r="K842" s="62"/>
      <c r="L842" s="177"/>
      <c r="M842" s="171"/>
      <c r="N842" s="62"/>
      <c r="O842" s="62"/>
      <c r="P842" s="62"/>
      <c r="Q842" s="64"/>
      <c r="R842" s="164"/>
      <c r="S842" s="62"/>
      <c r="T842" s="62"/>
      <c r="U842" s="62"/>
      <c r="V842" s="177"/>
      <c r="W842" s="171"/>
      <c r="X842" s="62"/>
      <c r="Y842" s="45"/>
      <c r="Z842" s="45"/>
      <c r="AA842" s="100"/>
      <c r="AB842" s="100"/>
      <c r="AC842" s="24"/>
      <c r="AD842" s="24"/>
      <c r="AE842" s="24"/>
      <c r="AF842" s="24"/>
      <c r="AG842" s="18">
        <v>24</v>
      </c>
      <c r="AH842" s="69" t="s">
        <v>296</v>
      </c>
      <c r="AI842" s="243" t="s">
        <v>36</v>
      </c>
      <c r="AJ842" s="243" t="s">
        <v>419</v>
      </c>
      <c r="AK842" s="246"/>
      <c r="AL842" s="43" t="str">
        <f t="shared" ref="AL842:AL905" si="228">IF(BE842=" ",IF(BD842=" ", IF(BC842=" ","-",BC842),BD842), BE842)</f>
        <v>-</v>
      </c>
      <c r="AM842" s="43">
        <f t="shared" si="216"/>
        <v>0</v>
      </c>
      <c r="AN842" s="193">
        <f t="shared" si="216"/>
        <v>0</v>
      </c>
      <c r="AO842" s="270" t="str">
        <f t="shared" si="217"/>
        <v>-</v>
      </c>
      <c r="AP842" s="266"/>
      <c r="AQ842" s="26" t="str">
        <f t="shared" si="224"/>
        <v>CLAYOQUOT RIVERSteelhead</v>
      </c>
      <c r="AR842" s="26">
        <f t="shared" si="218"/>
        <v>0</v>
      </c>
      <c r="AS842" s="33">
        <f t="shared" si="219"/>
        <v>0</v>
      </c>
      <c r="AX842" s="47" t="str">
        <f t="shared" si="220"/>
        <v>CLAYOQUOT RIVERSteelhead</v>
      </c>
      <c r="AY842" s="49">
        <f t="shared" si="221"/>
        <v>0</v>
      </c>
      <c r="AZ842" s="49">
        <f t="shared" si="222"/>
        <v>0</v>
      </c>
      <c r="BA842" s="31">
        <v>0</v>
      </c>
      <c r="BB842" s="188">
        <f t="shared" si="225"/>
        <v>0</v>
      </c>
      <c r="BC842" s="188" t="str">
        <f t="shared" ref="BC842:BC905" si="229">IF(ISNUMBER(M842),M$8,IF(ISNUMBER(L842),L$8,IF(ISNUMBER(K842),K$8,IF(ISNUMBER(J842),J$8,IF(ISNUMBER(I842),I$8,IF(ISNUMBER(H842),H$8, IF(ISNUMBER(G842),G$8," ")))))))</f>
        <v xml:space="preserve"> </v>
      </c>
      <c r="BD842" s="188" t="str">
        <f t="shared" ref="BD842:BD905" si="230">IF(ISNUMBER(S842),S$8,IF(ISNUMBER(R842),R$8,IF(ISNUMBER(Q842),Q$8,IF(ISNUMBER(P842),P$8,IF(ISNUMBER(O842),O$8,IF(ISNUMBER(N842),N$8," "))))))</f>
        <v xml:space="preserve"> </v>
      </c>
      <c r="BE842" s="188" t="str">
        <f t="shared" ref="BE842:BE905" si="231">IF(ISNUMBER(X842),X$8,IF(ISNUMBER(W842),W$8,IF(ISNUMBER(V842),V$8,IF(ISNUMBER(U842),U$8,IF(ISNUMBER(T842),T$8," ")))))</f>
        <v xml:space="preserve"> </v>
      </c>
      <c r="BF842" s="50" t="str">
        <f t="shared" si="223"/>
        <v>CLAYOQUOT RIVER_Steelhead</v>
      </c>
      <c r="BG842" s="50" t="str">
        <f>IFERROR(VLOOKUP(BF842,'[1]WCVI Esc'!$C$5:$W$514,18,FALSE),"-")</f>
        <v>-</v>
      </c>
      <c r="BH842" s="50" t="str">
        <f t="shared" si="226"/>
        <v>-</v>
      </c>
      <c r="BI842" s="50" t="str">
        <f>IFERROR(VLOOKUP(BF842,'[1]WCVI Esc'!$C$5:$W$514,19,FALSE),"-")</f>
        <v>-</v>
      </c>
      <c r="BJ842" s="50" t="str">
        <f t="shared" si="227"/>
        <v>-</v>
      </c>
    </row>
    <row r="843" spans="1:62" hidden="1" x14ac:dyDescent="0.2">
      <c r="A843" s="28">
        <v>4</v>
      </c>
      <c r="B843" s="28">
        <v>1</v>
      </c>
      <c r="C843" s="11">
        <v>24</v>
      </c>
      <c r="D843" s="13" t="s">
        <v>296</v>
      </c>
      <c r="E843" s="10" t="s">
        <v>37</v>
      </c>
      <c r="F843" s="10" t="s">
        <v>207</v>
      </c>
      <c r="G843" s="10"/>
      <c r="H843" s="152"/>
      <c r="I843" s="164"/>
      <c r="J843" s="62"/>
      <c r="K843" s="62"/>
      <c r="L843" s="177"/>
      <c r="M843" s="171"/>
      <c r="N843" s="62"/>
      <c r="O843" s="62"/>
      <c r="P843" s="62"/>
      <c r="Q843" s="64"/>
      <c r="R843" s="164"/>
      <c r="S843" s="62"/>
      <c r="T843" s="62"/>
      <c r="U843" s="62"/>
      <c r="V843" s="177"/>
      <c r="W843" s="171"/>
      <c r="X843" s="62"/>
      <c r="Y843" s="45"/>
      <c r="Z843" s="45"/>
      <c r="AA843" s="100"/>
      <c r="AB843" s="100"/>
      <c r="AC843" s="24"/>
      <c r="AD843" s="24"/>
      <c r="AE843" s="24"/>
      <c r="AF843" s="24"/>
      <c r="AG843" s="18">
        <v>24</v>
      </c>
      <c r="AH843" s="69" t="s">
        <v>296</v>
      </c>
      <c r="AI843" s="243" t="s">
        <v>37</v>
      </c>
      <c r="AJ843" s="243" t="s">
        <v>419</v>
      </c>
      <c r="AK843" s="246"/>
      <c r="AL843" s="43" t="str">
        <f t="shared" si="228"/>
        <v>-</v>
      </c>
      <c r="AM843" s="43">
        <f t="shared" si="216"/>
        <v>0</v>
      </c>
      <c r="AN843" s="193">
        <f t="shared" si="216"/>
        <v>0</v>
      </c>
      <c r="AO843" s="270" t="str">
        <f t="shared" si="217"/>
        <v>-</v>
      </c>
      <c r="AP843" s="266"/>
      <c r="AQ843" s="26" t="str">
        <f t="shared" si="224"/>
        <v>CLAYOQUOT RIVER (LOWER)Sockeye</v>
      </c>
      <c r="AR843" s="26">
        <f t="shared" si="218"/>
        <v>0</v>
      </c>
      <c r="AS843" s="33">
        <f t="shared" si="219"/>
        <v>0</v>
      </c>
      <c r="AX843" s="47" t="str">
        <f t="shared" si="220"/>
        <v>CLAYOQUOT RIVER (LOWER)Sockeye</v>
      </c>
      <c r="AY843" s="49">
        <f t="shared" si="221"/>
        <v>0</v>
      </c>
      <c r="AZ843" s="49">
        <f t="shared" si="222"/>
        <v>0</v>
      </c>
      <c r="BA843" s="31">
        <v>2002</v>
      </c>
      <c r="BB843" s="188">
        <f t="shared" si="225"/>
        <v>0</v>
      </c>
      <c r="BC843" s="188" t="str">
        <f t="shared" si="229"/>
        <v xml:space="preserve"> </v>
      </c>
      <c r="BD843" s="188" t="str">
        <f t="shared" si="230"/>
        <v xml:space="preserve"> </v>
      </c>
      <c r="BE843" s="188" t="str">
        <f t="shared" si="231"/>
        <v xml:space="preserve"> </v>
      </c>
      <c r="BF843" s="50" t="str">
        <f t="shared" si="223"/>
        <v>CLAYOQUOT RIVER (LOWER)_Sockeye</v>
      </c>
      <c r="BG843" s="50" t="str">
        <f>IFERROR(VLOOKUP(BF843,'[1]WCVI Esc'!$C$5:$W$514,18,FALSE),"-")</f>
        <v>-</v>
      </c>
      <c r="BH843" s="50" t="str">
        <f t="shared" si="226"/>
        <v>-</v>
      </c>
      <c r="BI843" s="50" t="str">
        <f>IFERROR(VLOOKUP(BF843,'[1]WCVI Esc'!$C$5:$W$514,19,FALSE),"-")</f>
        <v>-</v>
      </c>
      <c r="BJ843" s="50" t="str">
        <f t="shared" si="227"/>
        <v>-</v>
      </c>
    </row>
    <row r="844" spans="1:62" hidden="1" x14ac:dyDescent="0.2">
      <c r="A844" s="28">
        <v>4</v>
      </c>
      <c r="B844" s="28">
        <v>2</v>
      </c>
      <c r="C844" s="11">
        <v>24</v>
      </c>
      <c r="D844" s="13" t="s">
        <v>296</v>
      </c>
      <c r="E844" s="10" t="s">
        <v>37</v>
      </c>
      <c r="F844" s="10" t="s">
        <v>219</v>
      </c>
      <c r="G844" s="10"/>
      <c r="H844" s="152"/>
      <c r="I844" s="164"/>
      <c r="J844" s="62"/>
      <c r="K844" s="62"/>
      <c r="L844" s="177"/>
      <c r="M844" s="171"/>
      <c r="N844" s="62"/>
      <c r="O844" s="62"/>
      <c r="P844" s="62"/>
      <c r="Q844" s="64"/>
      <c r="R844" s="164"/>
      <c r="S844" s="62"/>
      <c r="T844" s="62"/>
      <c r="U844" s="62"/>
      <c r="V844" s="177"/>
      <c r="W844" s="171"/>
      <c r="X844" s="62"/>
      <c r="Y844" s="45"/>
      <c r="Z844" s="45"/>
      <c r="AA844" s="100"/>
      <c r="AB844" s="100"/>
      <c r="AC844" s="24"/>
      <c r="AD844" s="24"/>
      <c r="AE844" s="24"/>
      <c r="AF844" s="24"/>
      <c r="AG844" s="18">
        <v>24</v>
      </c>
      <c r="AH844" s="69" t="s">
        <v>296</v>
      </c>
      <c r="AI844" s="243" t="s">
        <v>37</v>
      </c>
      <c r="AJ844" s="243" t="s">
        <v>419</v>
      </c>
      <c r="AK844" s="246"/>
      <c r="AL844" s="43" t="str">
        <f t="shared" si="228"/>
        <v>-</v>
      </c>
      <c r="AM844" s="43">
        <f t="shared" si="216"/>
        <v>0</v>
      </c>
      <c r="AN844" s="193">
        <f t="shared" si="216"/>
        <v>0</v>
      </c>
      <c r="AO844" s="270" t="str">
        <f t="shared" si="217"/>
        <v>-</v>
      </c>
      <c r="AP844" s="266"/>
      <c r="AQ844" s="26" t="str">
        <f t="shared" si="224"/>
        <v>CLAYOQUOT RIVER (LOWER)Coho</v>
      </c>
      <c r="AR844" s="26">
        <f t="shared" si="218"/>
        <v>0</v>
      </c>
      <c r="AS844" s="33">
        <f t="shared" si="219"/>
        <v>0</v>
      </c>
      <c r="AX844" s="47" t="str">
        <f t="shared" si="220"/>
        <v>CLAYOQUOT RIVER (LOWER)Coho</v>
      </c>
      <c r="AY844" s="49">
        <f t="shared" si="221"/>
        <v>0</v>
      </c>
      <c r="AZ844" s="49">
        <f t="shared" si="222"/>
        <v>0</v>
      </c>
      <c r="BA844" s="31">
        <v>2002</v>
      </c>
      <c r="BB844" s="188">
        <f t="shared" si="225"/>
        <v>0</v>
      </c>
      <c r="BC844" s="188" t="str">
        <f t="shared" si="229"/>
        <v xml:space="preserve"> </v>
      </c>
      <c r="BD844" s="188" t="str">
        <f t="shared" si="230"/>
        <v xml:space="preserve"> </v>
      </c>
      <c r="BE844" s="188" t="str">
        <f t="shared" si="231"/>
        <v xml:space="preserve"> </v>
      </c>
      <c r="BF844" s="50" t="str">
        <f t="shared" si="223"/>
        <v>CLAYOQUOT RIVER (LOWER)_Coho</v>
      </c>
      <c r="BG844" s="50" t="str">
        <f>IFERROR(VLOOKUP(BF844,'[1]WCVI Esc'!$C$5:$W$514,18,FALSE),"-")</f>
        <v>-</v>
      </c>
      <c r="BH844" s="50" t="str">
        <f t="shared" si="226"/>
        <v>-</v>
      </c>
      <c r="BI844" s="50" t="str">
        <f>IFERROR(VLOOKUP(BF844,'[1]WCVI Esc'!$C$5:$W$514,19,FALSE),"-")</f>
        <v>-</v>
      </c>
      <c r="BJ844" s="50" t="str">
        <f t="shared" si="227"/>
        <v>-</v>
      </c>
    </row>
    <row r="845" spans="1:62" hidden="1" x14ac:dyDescent="0.2">
      <c r="A845" s="28">
        <v>4</v>
      </c>
      <c r="B845" s="28">
        <v>3</v>
      </c>
      <c r="C845" s="11">
        <v>24</v>
      </c>
      <c r="D845" s="13" t="s">
        <v>296</v>
      </c>
      <c r="E845" s="10" t="s">
        <v>37</v>
      </c>
      <c r="F845" s="10" t="s">
        <v>208</v>
      </c>
      <c r="G845" s="10"/>
      <c r="H845" s="152"/>
      <c r="I845" s="164"/>
      <c r="J845" s="62"/>
      <c r="K845" s="62"/>
      <c r="L845" s="177"/>
      <c r="M845" s="171"/>
      <c r="N845" s="62"/>
      <c r="O845" s="62"/>
      <c r="P845" s="62"/>
      <c r="Q845" s="64"/>
      <c r="R845" s="164"/>
      <c r="S845" s="62"/>
      <c r="T845" s="62"/>
      <c r="U845" s="62"/>
      <c r="V845" s="177"/>
      <c r="W845" s="171"/>
      <c r="X845" s="62"/>
      <c r="Y845" s="45"/>
      <c r="Z845" s="45"/>
      <c r="AA845" s="100"/>
      <c r="AB845" s="100"/>
      <c r="AC845" s="24"/>
      <c r="AD845" s="24"/>
      <c r="AE845" s="24"/>
      <c r="AF845" s="24"/>
      <c r="AG845" s="18">
        <v>24</v>
      </c>
      <c r="AH845" s="69" t="s">
        <v>296</v>
      </c>
      <c r="AI845" s="243" t="s">
        <v>37</v>
      </c>
      <c r="AJ845" s="243" t="s">
        <v>419</v>
      </c>
      <c r="AK845" s="246"/>
      <c r="AL845" s="43" t="str">
        <f t="shared" si="228"/>
        <v>-</v>
      </c>
      <c r="AM845" s="43">
        <f t="shared" si="216"/>
        <v>0</v>
      </c>
      <c r="AN845" s="193">
        <f t="shared" si="216"/>
        <v>0</v>
      </c>
      <c r="AO845" s="270" t="str">
        <f t="shared" si="217"/>
        <v>-</v>
      </c>
      <c r="AP845" s="266"/>
      <c r="AQ845" s="26" t="str">
        <f t="shared" si="224"/>
        <v>CLAYOQUOT RIVER (LOWER)Pink</v>
      </c>
      <c r="AR845" s="26">
        <f t="shared" si="218"/>
        <v>0</v>
      </c>
      <c r="AS845" s="33">
        <f t="shared" si="219"/>
        <v>0</v>
      </c>
      <c r="AX845" s="47" t="str">
        <f t="shared" si="220"/>
        <v>CLAYOQUOT RIVER (LOWER)Pink</v>
      </c>
      <c r="AY845" s="49">
        <f t="shared" si="221"/>
        <v>0</v>
      </c>
      <c r="AZ845" s="49">
        <f t="shared" si="222"/>
        <v>0</v>
      </c>
      <c r="BA845" s="31">
        <v>0</v>
      </c>
      <c r="BB845" s="188">
        <f t="shared" si="225"/>
        <v>0</v>
      </c>
      <c r="BC845" s="188" t="str">
        <f t="shared" si="229"/>
        <v xml:space="preserve"> </v>
      </c>
      <c r="BD845" s="188" t="str">
        <f t="shared" si="230"/>
        <v xml:space="preserve"> </v>
      </c>
      <c r="BE845" s="188" t="str">
        <f t="shared" si="231"/>
        <v xml:space="preserve"> </v>
      </c>
      <c r="BF845" s="50" t="str">
        <f t="shared" si="223"/>
        <v>CLAYOQUOT RIVER (LOWER)_Pink</v>
      </c>
      <c r="BG845" s="50" t="str">
        <f>IFERROR(VLOOKUP(BF845,'[1]WCVI Esc'!$C$5:$W$514,18,FALSE),"-")</f>
        <v>-</v>
      </c>
      <c r="BH845" s="50" t="str">
        <f t="shared" si="226"/>
        <v>-</v>
      </c>
      <c r="BI845" s="50" t="str">
        <f>IFERROR(VLOOKUP(BF845,'[1]WCVI Esc'!$C$5:$W$514,19,FALSE),"-")</f>
        <v>-</v>
      </c>
      <c r="BJ845" s="50" t="str">
        <f t="shared" si="227"/>
        <v>-</v>
      </c>
    </row>
    <row r="846" spans="1:62" hidden="1" x14ac:dyDescent="0.2">
      <c r="A846" s="28">
        <v>4</v>
      </c>
      <c r="B846" s="28">
        <v>4</v>
      </c>
      <c r="C846" s="11">
        <v>24</v>
      </c>
      <c r="D846" s="13" t="s">
        <v>296</v>
      </c>
      <c r="E846" s="10" t="s">
        <v>37</v>
      </c>
      <c r="F846" s="10" t="s">
        <v>209</v>
      </c>
      <c r="G846" s="10"/>
      <c r="H846" s="152"/>
      <c r="I846" s="164"/>
      <c r="J846" s="62"/>
      <c r="K846" s="62"/>
      <c r="L846" s="177"/>
      <c r="M846" s="171"/>
      <c r="N846" s="62"/>
      <c r="O846" s="62"/>
      <c r="P846" s="62"/>
      <c r="Q846" s="64"/>
      <c r="R846" s="164"/>
      <c r="S846" s="62"/>
      <c r="T846" s="62"/>
      <c r="U846" s="62"/>
      <c r="V846" s="177"/>
      <c r="W846" s="171"/>
      <c r="X846" s="62"/>
      <c r="Y846" s="45"/>
      <c r="Z846" s="45"/>
      <c r="AA846" s="100"/>
      <c r="AB846" s="100"/>
      <c r="AC846" s="24"/>
      <c r="AD846" s="24"/>
      <c r="AE846" s="24"/>
      <c r="AF846" s="24"/>
      <c r="AG846" s="18">
        <v>24</v>
      </c>
      <c r="AH846" s="69" t="s">
        <v>296</v>
      </c>
      <c r="AI846" s="243" t="s">
        <v>37</v>
      </c>
      <c r="AJ846" s="243" t="s">
        <v>419</v>
      </c>
      <c r="AK846" s="246"/>
      <c r="AL846" s="43" t="str">
        <f t="shared" si="228"/>
        <v>-</v>
      </c>
      <c r="AM846" s="43">
        <f t="shared" si="216"/>
        <v>0</v>
      </c>
      <c r="AN846" s="193">
        <f t="shared" si="216"/>
        <v>0</v>
      </c>
      <c r="AO846" s="270" t="str">
        <f t="shared" si="217"/>
        <v>-</v>
      </c>
      <c r="AP846" s="266"/>
      <c r="AQ846" s="26" t="str">
        <f t="shared" si="224"/>
        <v>CLAYOQUOT RIVER (LOWER)Chum</v>
      </c>
      <c r="AR846" s="26">
        <f t="shared" si="218"/>
        <v>0</v>
      </c>
      <c r="AS846" s="33">
        <f t="shared" si="219"/>
        <v>0</v>
      </c>
      <c r="AX846" s="47" t="str">
        <f t="shared" si="220"/>
        <v>CLAYOQUOT RIVER (LOWER)Chum</v>
      </c>
      <c r="AY846" s="49">
        <f t="shared" si="221"/>
        <v>0</v>
      </c>
      <c r="AZ846" s="49">
        <f t="shared" si="222"/>
        <v>0</v>
      </c>
      <c r="BA846" s="31">
        <v>2002</v>
      </c>
      <c r="BB846" s="188">
        <f t="shared" si="225"/>
        <v>0</v>
      </c>
      <c r="BC846" s="188" t="str">
        <f t="shared" si="229"/>
        <v xml:space="preserve"> </v>
      </c>
      <c r="BD846" s="188" t="str">
        <f t="shared" si="230"/>
        <v xml:space="preserve"> </v>
      </c>
      <c r="BE846" s="188" t="str">
        <f t="shared" si="231"/>
        <v xml:space="preserve"> </v>
      </c>
      <c r="BF846" s="50" t="str">
        <f t="shared" si="223"/>
        <v>CLAYOQUOT RIVER (LOWER)_Chum</v>
      </c>
      <c r="BG846" s="50" t="str">
        <f>IFERROR(VLOOKUP(BF846,'[1]WCVI Esc'!$C$5:$W$514,18,FALSE),"-")</f>
        <v>-</v>
      </c>
      <c r="BH846" s="50" t="str">
        <f t="shared" si="226"/>
        <v>-</v>
      </c>
      <c r="BI846" s="50" t="str">
        <f>IFERROR(VLOOKUP(BF846,'[1]WCVI Esc'!$C$5:$W$514,19,FALSE),"-")</f>
        <v>-</v>
      </c>
      <c r="BJ846" s="50" t="str">
        <f t="shared" si="227"/>
        <v>-</v>
      </c>
    </row>
    <row r="847" spans="1:62" hidden="1" x14ac:dyDescent="0.2">
      <c r="A847" s="28">
        <v>4</v>
      </c>
      <c r="B847" s="28">
        <v>5</v>
      </c>
      <c r="C847" s="11">
        <v>24</v>
      </c>
      <c r="D847" s="13" t="s">
        <v>296</v>
      </c>
      <c r="E847" s="10" t="s">
        <v>37</v>
      </c>
      <c r="F847" s="10" t="s">
        <v>210</v>
      </c>
      <c r="G847" s="10"/>
      <c r="H847" s="152"/>
      <c r="I847" s="164"/>
      <c r="J847" s="62"/>
      <c r="K847" s="62"/>
      <c r="L847" s="177"/>
      <c r="M847" s="171"/>
      <c r="N847" s="62"/>
      <c r="O847" s="62"/>
      <c r="P847" s="62"/>
      <c r="Q847" s="64"/>
      <c r="R847" s="164"/>
      <c r="S847" s="62"/>
      <c r="T847" s="62"/>
      <c r="U847" s="62"/>
      <c r="V847" s="177"/>
      <c r="W847" s="171"/>
      <c r="X847" s="62"/>
      <c r="Y847" s="45"/>
      <c r="Z847" s="45"/>
      <c r="AA847" s="100"/>
      <c r="AB847" s="100"/>
      <c r="AC847" s="24"/>
      <c r="AD847" s="24"/>
      <c r="AE847" s="24"/>
      <c r="AF847" s="24"/>
      <c r="AG847" s="18">
        <v>24</v>
      </c>
      <c r="AH847" s="69" t="s">
        <v>296</v>
      </c>
      <c r="AI847" s="243" t="s">
        <v>37</v>
      </c>
      <c r="AJ847" s="243" t="s">
        <v>419</v>
      </c>
      <c r="AK847" s="246"/>
      <c r="AL847" s="43" t="str">
        <f t="shared" si="228"/>
        <v>-</v>
      </c>
      <c r="AM847" s="43">
        <f t="shared" si="216"/>
        <v>0</v>
      </c>
      <c r="AN847" s="193">
        <f t="shared" si="216"/>
        <v>0</v>
      </c>
      <c r="AO847" s="270" t="str">
        <f t="shared" si="217"/>
        <v>-</v>
      </c>
      <c r="AP847" s="266"/>
      <c r="AQ847" s="26" t="str">
        <f t="shared" si="224"/>
        <v>CLAYOQUOT RIVER (LOWER)Chinook</v>
      </c>
      <c r="AR847" s="26">
        <f t="shared" si="218"/>
        <v>0</v>
      </c>
      <c r="AS847" s="33">
        <f t="shared" si="219"/>
        <v>0</v>
      </c>
      <c r="AX847" s="47" t="str">
        <f t="shared" si="220"/>
        <v>CLAYOQUOT RIVER (LOWER)Chinook</v>
      </c>
      <c r="AY847" s="49">
        <f t="shared" si="221"/>
        <v>0</v>
      </c>
      <c r="AZ847" s="49">
        <f t="shared" si="222"/>
        <v>0</v>
      </c>
      <c r="BA847" s="31">
        <v>0</v>
      </c>
      <c r="BB847" s="188">
        <f t="shared" si="225"/>
        <v>0</v>
      </c>
      <c r="BC847" s="188" t="str">
        <f t="shared" si="229"/>
        <v xml:space="preserve"> </v>
      </c>
      <c r="BD847" s="188" t="str">
        <f t="shared" si="230"/>
        <v xml:space="preserve"> </v>
      </c>
      <c r="BE847" s="188" t="str">
        <f t="shared" si="231"/>
        <v xml:space="preserve"> </v>
      </c>
      <c r="BF847" s="50" t="str">
        <f t="shared" si="223"/>
        <v>CLAYOQUOT RIVER (LOWER)_Chinook</v>
      </c>
      <c r="BG847" s="50" t="str">
        <f>IFERROR(VLOOKUP(BF847,'[1]WCVI Esc'!$C$5:$W$514,18,FALSE),"-")</f>
        <v>-</v>
      </c>
      <c r="BH847" s="50" t="str">
        <f t="shared" si="226"/>
        <v>-</v>
      </c>
      <c r="BI847" s="50" t="str">
        <f>IFERROR(VLOOKUP(BF847,'[1]WCVI Esc'!$C$5:$W$514,19,FALSE),"-")</f>
        <v>-</v>
      </c>
      <c r="BJ847" s="50" t="str">
        <f t="shared" si="227"/>
        <v>-</v>
      </c>
    </row>
    <row r="848" spans="1:62" hidden="1" x14ac:dyDescent="0.2">
      <c r="A848" s="28">
        <v>4</v>
      </c>
      <c r="B848" s="28">
        <v>6</v>
      </c>
      <c r="C848" s="11">
        <v>24</v>
      </c>
      <c r="D848" s="13" t="s">
        <v>296</v>
      </c>
      <c r="E848" s="10" t="s">
        <v>37</v>
      </c>
      <c r="F848" s="10" t="s">
        <v>211</v>
      </c>
      <c r="G848" s="10"/>
      <c r="H848" s="152"/>
      <c r="I848" s="164"/>
      <c r="J848" s="62"/>
      <c r="K848" s="62"/>
      <c r="L848" s="177"/>
      <c r="M848" s="171"/>
      <c r="N848" s="62"/>
      <c r="O848" s="62"/>
      <c r="P848" s="62"/>
      <c r="Q848" s="64"/>
      <c r="R848" s="164"/>
      <c r="S848" s="62"/>
      <c r="T848" s="62"/>
      <c r="U848" s="62"/>
      <c r="V848" s="177"/>
      <c r="W848" s="171"/>
      <c r="X848" s="62"/>
      <c r="Y848" s="45"/>
      <c r="Z848" s="45"/>
      <c r="AA848" s="100"/>
      <c r="AB848" s="100"/>
      <c r="AC848" s="24"/>
      <c r="AD848" s="24"/>
      <c r="AE848" s="24"/>
      <c r="AF848" s="24"/>
      <c r="AG848" s="18">
        <v>24</v>
      </c>
      <c r="AH848" s="69" t="s">
        <v>296</v>
      </c>
      <c r="AI848" s="243" t="s">
        <v>37</v>
      </c>
      <c r="AJ848" s="243" t="s">
        <v>419</v>
      </c>
      <c r="AK848" s="246"/>
      <c r="AL848" s="43" t="str">
        <f t="shared" si="228"/>
        <v>-</v>
      </c>
      <c r="AM848" s="43">
        <f t="shared" si="216"/>
        <v>0</v>
      </c>
      <c r="AN848" s="193">
        <f t="shared" si="216"/>
        <v>0</v>
      </c>
      <c r="AO848" s="270" t="str">
        <f t="shared" si="217"/>
        <v>-</v>
      </c>
      <c r="AP848" s="266"/>
      <c r="AQ848" s="26" t="str">
        <f t="shared" si="224"/>
        <v>CLAYOQUOT RIVER (LOWER)Steelhead</v>
      </c>
      <c r="AR848" s="26">
        <f t="shared" si="218"/>
        <v>0</v>
      </c>
      <c r="AS848" s="33">
        <f t="shared" si="219"/>
        <v>0</v>
      </c>
      <c r="AX848" s="47" t="str">
        <f t="shared" si="220"/>
        <v>CLAYOQUOT RIVER (LOWER)Steelhead</v>
      </c>
      <c r="AY848" s="49">
        <f t="shared" si="221"/>
        <v>0</v>
      </c>
      <c r="AZ848" s="49">
        <f t="shared" si="222"/>
        <v>0</v>
      </c>
      <c r="BA848" s="31">
        <v>0</v>
      </c>
      <c r="BB848" s="188">
        <f t="shared" si="225"/>
        <v>0</v>
      </c>
      <c r="BC848" s="188" t="str">
        <f t="shared" si="229"/>
        <v xml:space="preserve"> </v>
      </c>
      <c r="BD848" s="188" t="str">
        <f t="shared" si="230"/>
        <v xml:space="preserve"> </v>
      </c>
      <c r="BE848" s="188" t="str">
        <f t="shared" si="231"/>
        <v xml:space="preserve"> </v>
      </c>
      <c r="BF848" s="50" t="str">
        <f t="shared" si="223"/>
        <v>CLAYOQUOT RIVER (LOWER)_Steelhead</v>
      </c>
      <c r="BG848" s="50" t="str">
        <f>IFERROR(VLOOKUP(BF848,'[1]WCVI Esc'!$C$5:$W$514,18,FALSE),"-")</f>
        <v>-</v>
      </c>
      <c r="BH848" s="50" t="str">
        <f t="shared" si="226"/>
        <v>-</v>
      </c>
      <c r="BI848" s="50" t="str">
        <f>IFERROR(VLOOKUP(BF848,'[1]WCVI Esc'!$C$5:$W$514,19,FALSE),"-")</f>
        <v>-</v>
      </c>
      <c r="BJ848" s="50" t="str">
        <f t="shared" si="227"/>
        <v>-</v>
      </c>
    </row>
    <row r="849" spans="1:62" hidden="1" x14ac:dyDescent="0.2">
      <c r="A849" s="28">
        <v>4</v>
      </c>
      <c r="B849" s="28">
        <v>1</v>
      </c>
      <c r="C849" s="11">
        <v>24</v>
      </c>
      <c r="D849" s="13" t="s">
        <v>296</v>
      </c>
      <c r="E849" s="10" t="s">
        <v>38</v>
      </c>
      <c r="F849" s="10" t="s">
        <v>207</v>
      </c>
      <c r="G849" s="10"/>
      <c r="H849" s="152"/>
      <c r="I849" s="164"/>
      <c r="J849" s="62"/>
      <c r="K849" s="62"/>
      <c r="L849" s="177"/>
      <c r="M849" s="171"/>
      <c r="N849" s="62"/>
      <c r="O849" s="62"/>
      <c r="P849" s="62"/>
      <c r="Q849" s="64"/>
      <c r="R849" s="164"/>
      <c r="S849" s="62"/>
      <c r="T849" s="62"/>
      <c r="U849" s="62"/>
      <c r="V849" s="177"/>
      <c r="W849" s="171"/>
      <c r="X849" s="62"/>
      <c r="Y849" s="45"/>
      <c r="Z849" s="45"/>
      <c r="AA849" s="100"/>
      <c r="AB849" s="100"/>
      <c r="AC849" s="24"/>
      <c r="AD849" s="24"/>
      <c r="AE849" s="24"/>
      <c r="AF849" s="24"/>
      <c r="AG849" s="18">
        <v>24</v>
      </c>
      <c r="AH849" s="69" t="s">
        <v>296</v>
      </c>
      <c r="AI849" s="243" t="s">
        <v>38</v>
      </c>
      <c r="AJ849" s="243" t="s">
        <v>419</v>
      </c>
      <c r="AK849" s="246"/>
      <c r="AL849" s="43" t="str">
        <f t="shared" si="228"/>
        <v>-</v>
      </c>
      <c r="AM849" s="43">
        <f t="shared" si="216"/>
        <v>0</v>
      </c>
      <c r="AN849" s="193">
        <f t="shared" si="216"/>
        <v>0</v>
      </c>
      <c r="AO849" s="270" t="str">
        <f t="shared" si="217"/>
        <v>-</v>
      </c>
      <c r="AP849" s="266"/>
      <c r="AQ849" s="26" t="str">
        <f t="shared" si="224"/>
        <v>CLAYOQUOT RIVER (UPPER)Sockeye</v>
      </c>
      <c r="AR849" s="26">
        <f t="shared" si="218"/>
        <v>0</v>
      </c>
      <c r="AS849" s="33">
        <f t="shared" si="219"/>
        <v>0</v>
      </c>
      <c r="AX849" s="47" t="str">
        <f t="shared" si="220"/>
        <v>CLAYOQUOT RIVER (UPPER)Sockeye</v>
      </c>
      <c r="AY849" s="49">
        <f t="shared" si="221"/>
        <v>0</v>
      </c>
      <c r="AZ849" s="49">
        <f t="shared" si="222"/>
        <v>0</v>
      </c>
      <c r="BA849" s="31">
        <v>2010</v>
      </c>
      <c r="BB849" s="188">
        <f t="shared" si="225"/>
        <v>0</v>
      </c>
      <c r="BC849" s="188" t="str">
        <f t="shared" si="229"/>
        <v xml:space="preserve"> </v>
      </c>
      <c r="BD849" s="188" t="str">
        <f t="shared" si="230"/>
        <v xml:space="preserve"> </v>
      </c>
      <c r="BE849" s="188" t="str">
        <f t="shared" si="231"/>
        <v xml:space="preserve"> </v>
      </c>
      <c r="BF849" s="50" t="str">
        <f t="shared" si="223"/>
        <v>CLAYOQUOT RIVER (UPPER)_Sockeye</v>
      </c>
      <c r="BG849" s="50" t="str">
        <f>IFERROR(VLOOKUP(BF849,'[1]WCVI Esc'!$C$5:$W$514,18,FALSE),"-")</f>
        <v>-</v>
      </c>
      <c r="BH849" s="50" t="str">
        <f t="shared" si="226"/>
        <v>-</v>
      </c>
      <c r="BI849" s="50" t="str">
        <f>IFERROR(VLOOKUP(BF849,'[1]WCVI Esc'!$C$5:$W$514,19,FALSE),"-")</f>
        <v>-</v>
      </c>
      <c r="BJ849" s="50" t="str">
        <f t="shared" si="227"/>
        <v>-</v>
      </c>
    </row>
    <row r="850" spans="1:62" hidden="1" x14ac:dyDescent="0.2">
      <c r="A850" s="28">
        <v>4</v>
      </c>
      <c r="B850" s="28">
        <v>2</v>
      </c>
      <c r="C850" s="11">
        <v>24</v>
      </c>
      <c r="D850" s="13" t="s">
        <v>296</v>
      </c>
      <c r="E850" s="10" t="s">
        <v>38</v>
      </c>
      <c r="F850" s="10" t="s">
        <v>219</v>
      </c>
      <c r="G850" s="10"/>
      <c r="H850" s="152"/>
      <c r="I850" s="164"/>
      <c r="J850" s="62"/>
      <c r="K850" s="62"/>
      <c r="L850" s="177"/>
      <c r="M850" s="171"/>
      <c r="N850" s="62"/>
      <c r="O850" s="62"/>
      <c r="P850" s="62"/>
      <c r="Q850" s="64"/>
      <c r="R850" s="164"/>
      <c r="S850" s="62"/>
      <c r="T850" s="62"/>
      <c r="U850" s="62"/>
      <c r="V850" s="177"/>
      <c r="W850" s="171"/>
      <c r="X850" s="62"/>
      <c r="Y850" s="45"/>
      <c r="Z850" s="45"/>
      <c r="AA850" s="100"/>
      <c r="AB850" s="100"/>
      <c r="AC850" s="24"/>
      <c r="AD850" s="24"/>
      <c r="AE850" s="24"/>
      <c r="AF850" s="24"/>
      <c r="AG850" s="18">
        <v>24</v>
      </c>
      <c r="AH850" s="69" t="s">
        <v>296</v>
      </c>
      <c r="AI850" s="243" t="s">
        <v>38</v>
      </c>
      <c r="AJ850" s="243" t="s">
        <v>419</v>
      </c>
      <c r="AK850" s="246"/>
      <c r="AL850" s="43" t="str">
        <f t="shared" si="228"/>
        <v>-</v>
      </c>
      <c r="AM850" s="43">
        <f t="shared" si="216"/>
        <v>0</v>
      </c>
      <c r="AN850" s="193">
        <f t="shared" si="216"/>
        <v>0</v>
      </c>
      <c r="AO850" s="270" t="str">
        <f t="shared" si="217"/>
        <v>-</v>
      </c>
      <c r="AP850" s="266"/>
      <c r="AQ850" s="26" t="str">
        <f t="shared" si="224"/>
        <v>CLAYOQUOT RIVER (UPPER)Coho</v>
      </c>
      <c r="AR850" s="26">
        <f t="shared" si="218"/>
        <v>0</v>
      </c>
      <c r="AS850" s="33">
        <f t="shared" si="219"/>
        <v>0</v>
      </c>
      <c r="AX850" s="47" t="str">
        <f t="shared" si="220"/>
        <v>CLAYOQUOT RIVER (UPPER)Coho</v>
      </c>
      <c r="AY850" s="49">
        <f t="shared" si="221"/>
        <v>0</v>
      </c>
      <c r="AZ850" s="49">
        <f t="shared" si="222"/>
        <v>0</v>
      </c>
      <c r="BA850" s="31">
        <v>2002</v>
      </c>
      <c r="BB850" s="188">
        <f t="shared" si="225"/>
        <v>0</v>
      </c>
      <c r="BC850" s="188" t="str">
        <f t="shared" si="229"/>
        <v xml:space="preserve"> </v>
      </c>
      <c r="BD850" s="188" t="str">
        <f t="shared" si="230"/>
        <v xml:space="preserve"> </v>
      </c>
      <c r="BE850" s="188" t="str">
        <f t="shared" si="231"/>
        <v xml:space="preserve"> </v>
      </c>
      <c r="BF850" s="50" t="str">
        <f t="shared" si="223"/>
        <v>CLAYOQUOT RIVER (UPPER)_Coho</v>
      </c>
      <c r="BG850" s="50" t="str">
        <f>IFERROR(VLOOKUP(BF850,'[1]WCVI Esc'!$C$5:$W$514,18,FALSE),"-")</f>
        <v>-</v>
      </c>
      <c r="BH850" s="50" t="str">
        <f t="shared" si="226"/>
        <v>-</v>
      </c>
      <c r="BI850" s="50" t="str">
        <f>IFERROR(VLOOKUP(BF850,'[1]WCVI Esc'!$C$5:$W$514,19,FALSE),"-")</f>
        <v>-</v>
      </c>
      <c r="BJ850" s="50" t="str">
        <f t="shared" si="227"/>
        <v>-</v>
      </c>
    </row>
    <row r="851" spans="1:62" hidden="1" x14ac:dyDescent="0.2">
      <c r="A851" s="28">
        <v>4</v>
      </c>
      <c r="B851" s="28">
        <v>3</v>
      </c>
      <c r="C851" s="11">
        <v>24</v>
      </c>
      <c r="D851" s="13" t="s">
        <v>296</v>
      </c>
      <c r="E851" s="10" t="s">
        <v>38</v>
      </c>
      <c r="F851" s="10" t="s">
        <v>208</v>
      </c>
      <c r="G851" s="10"/>
      <c r="H851" s="152"/>
      <c r="I851" s="164"/>
      <c r="J851" s="62"/>
      <c r="K851" s="62"/>
      <c r="L851" s="177"/>
      <c r="M851" s="171"/>
      <c r="N851" s="62"/>
      <c r="O851" s="62"/>
      <c r="P851" s="62"/>
      <c r="Q851" s="64"/>
      <c r="R851" s="164"/>
      <c r="S851" s="62"/>
      <c r="T851" s="62"/>
      <c r="U851" s="62"/>
      <c r="V851" s="177"/>
      <c r="W851" s="171"/>
      <c r="X851" s="62"/>
      <c r="Y851" s="45"/>
      <c r="Z851" s="45"/>
      <c r="AA851" s="100"/>
      <c r="AB851" s="100"/>
      <c r="AC851" s="24"/>
      <c r="AD851" s="24"/>
      <c r="AE851" s="24"/>
      <c r="AF851" s="24"/>
      <c r="AG851" s="18">
        <v>24</v>
      </c>
      <c r="AH851" s="69" t="s">
        <v>296</v>
      </c>
      <c r="AI851" s="243" t="s">
        <v>38</v>
      </c>
      <c r="AJ851" s="243" t="s">
        <v>419</v>
      </c>
      <c r="AK851" s="246"/>
      <c r="AL851" s="43" t="str">
        <f t="shared" si="228"/>
        <v>-</v>
      </c>
      <c r="AM851" s="43">
        <f t="shared" si="216"/>
        <v>0</v>
      </c>
      <c r="AN851" s="193">
        <f t="shared" si="216"/>
        <v>0</v>
      </c>
      <c r="AO851" s="270" t="str">
        <f t="shared" si="217"/>
        <v>-</v>
      </c>
      <c r="AP851" s="266"/>
      <c r="AQ851" s="26" t="str">
        <f t="shared" si="224"/>
        <v>CLAYOQUOT RIVER (UPPER)Pink</v>
      </c>
      <c r="AR851" s="26">
        <f t="shared" si="218"/>
        <v>0</v>
      </c>
      <c r="AS851" s="33">
        <f t="shared" si="219"/>
        <v>0</v>
      </c>
      <c r="AX851" s="47" t="str">
        <f t="shared" si="220"/>
        <v>CLAYOQUOT RIVER (UPPER)Pink</v>
      </c>
      <c r="AY851" s="49">
        <f t="shared" si="221"/>
        <v>0</v>
      </c>
      <c r="AZ851" s="49">
        <f t="shared" si="222"/>
        <v>0</v>
      </c>
      <c r="BA851" s="31">
        <v>0</v>
      </c>
      <c r="BB851" s="188">
        <f t="shared" si="225"/>
        <v>0</v>
      </c>
      <c r="BC851" s="188" t="str">
        <f t="shared" si="229"/>
        <v xml:space="preserve"> </v>
      </c>
      <c r="BD851" s="188" t="str">
        <f t="shared" si="230"/>
        <v xml:space="preserve"> </v>
      </c>
      <c r="BE851" s="188" t="str">
        <f t="shared" si="231"/>
        <v xml:space="preserve"> </v>
      </c>
      <c r="BF851" s="50" t="str">
        <f t="shared" si="223"/>
        <v>CLAYOQUOT RIVER (UPPER)_Pink</v>
      </c>
      <c r="BG851" s="50" t="str">
        <f>IFERROR(VLOOKUP(BF851,'[1]WCVI Esc'!$C$5:$W$514,18,FALSE),"-")</f>
        <v>-</v>
      </c>
      <c r="BH851" s="50" t="str">
        <f t="shared" si="226"/>
        <v>-</v>
      </c>
      <c r="BI851" s="50" t="str">
        <f>IFERROR(VLOOKUP(BF851,'[1]WCVI Esc'!$C$5:$W$514,19,FALSE),"-")</f>
        <v>-</v>
      </c>
      <c r="BJ851" s="50" t="str">
        <f t="shared" si="227"/>
        <v>-</v>
      </c>
    </row>
    <row r="852" spans="1:62" hidden="1" x14ac:dyDescent="0.2">
      <c r="A852" s="28">
        <v>4</v>
      </c>
      <c r="B852" s="28">
        <v>4</v>
      </c>
      <c r="C852" s="11">
        <v>24</v>
      </c>
      <c r="D852" s="13" t="s">
        <v>296</v>
      </c>
      <c r="E852" s="10" t="s">
        <v>38</v>
      </c>
      <c r="F852" s="10" t="s">
        <v>209</v>
      </c>
      <c r="G852" s="10"/>
      <c r="H852" s="152"/>
      <c r="I852" s="164"/>
      <c r="J852" s="62"/>
      <c r="K852" s="62"/>
      <c r="L852" s="177"/>
      <c r="M852" s="171"/>
      <c r="N852" s="62"/>
      <c r="O852" s="62"/>
      <c r="P852" s="62"/>
      <c r="Q852" s="64"/>
      <c r="R852" s="164"/>
      <c r="S852" s="62"/>
      <c r="T852" s="62"/>
      <c r="U852" s="62"/>
      <c r="V852" s="177"/>
      <c r="W852" s="171"/>
      <c r="X852" s="62"/>
      <c r="Y852" s="45"/>
      <c r="Z852" s="45"/>
      <c r="AA852" s="100"/>
      <c r="AB852" s="100"/>
      <c r="AC852" s="24"/>
      <c r="AD852" s="24"/>
      <c r="AE852" s="24"/>
      <c r="AF852" s="24"/>
      <c r="AG852" s="18">
        <v>24</v>
      </c>
      <c r="AH852" s="69" t="s">
        <v>296</v>
      </c>
      <c r="AI852" s="243" t="s">
        <v>38</v>
      </c>
      <c r="AJ852" s="243" t="s">
        <v>419</v>
      </c>
      <c r="AK852" s="246"/>
      <c r="AL852" s="43" t="str">
        <f t="shared" si="228"/>
        <v>-</v>
      </c>
      <c r="AM852" s="43">
        <f t="shared" si="216"/>
        <v>0</v>
      </c>
      <c r="AN852" s="193">
        <f t="shared" si="216"/>
        <v>0</v>
      </c>
      <c r="AO852" s="270" t="str">
        <f t="shared" si="217"/>
        <v>-</v>
      </c>
      <c r="AP852" s="266"/>
      <c r="AQ852" s="26" t="str">
        <f t="shared" si="224"/>
        <v>CLAYOQUOT RIVER (UPPER)Chum</v>
      </c>
      <c r="AR852" s="26">
        <f t="shared" si="218"/>
        <v>0</v>
      </c>
      <c r="AS852" s="33">
        <f t="shared" si="219"/>
        <v>0</v>
      </c>
      <c r="AX852" s="47" t="str">
        <f t="shared" si="220"/>
        <v>CLAYOQUOT RIVER (UPPER)Chum</v>
      </c>
      <c r="AY852" s="49">
        <f t="shared" si="221"/>
        <v>0</v>
      </c>
      <c r="AZ852" s="49">
        <f t="shared" si="222"/>
        <v>0</v>
      </c>
      <c r="BA852" s="31">
        <v>2002</v>
      </c>
      <c r="BB852" s="188">
        <f t="shared" si="225"/>
        <v>0</v>
      </c>
      <c r="BC852" s="188" t="str">
        <f t="shared" si="229"/>
        <v xml:space="preserve"> </v>
      </c>
      <c r="BD852" s="188" t="str">
        <f t="shared" si="230"/>
        <v xml:space="preserve"> </v>
      </c>
      <c r="BE852" s="188" t="str">
        <f t="shared" si="231"/>
        <v xml:space="preserve"> </v>
      </c>
      <c r="BF852" s="50" t="str">
        <f t="shared" si="223"/>
        <v>CLAYOQUOT RIVER (UPPER)_Chum</v>
      </c>
      <c r="BG852" s="50" t="str">
        <f>IFERROR(VLOOKUP(BF852,'[1]WCVI Esc'!$C$5:$W$514,18,FALSE),"-")</f>
        <v>-</v>
      </c>
      <c r="BH852" s="50" t="str">
        <f t="shared" si="226"/>
        <v>-</v>
      </c>
      <c r="BI852" s="50" t="str">
        <f>IFERROR(VLOOKUP(BF852,'[1]WCVI Esc'!$C$5:$W$514,19,FALSE),"-")</f>
        <v>-</v>
      </c>
      <c r="BJ852" s="50" t="str">
        <f t="shared" si="227"/>
        <v>-</v>
      </c>
    </row>
    <row r="853" spans="1:62" hidden="1" x14ac:dyDescent="0.2">
      <c r="A853" s="28">
        <v>4</v>
      </c>
      <c r="B853" s="28">
        <v>5</v>
      </c>
      <c r="C853" s="11">
        <v>24</v>
      </c>
      <c r="D853" s="13" t="s">
        <v>296</v>
      </c>
      <c r="E853" s="10" t="s">
        <v>38</v>
      </c>
      <c r="F853" s="10" t="s">
        <v>210</v>
      </c>
      <c r="G853" s="10"/>
      <c r="H853" s="152"/>
      <c r="I853" s="164"/>
      <c r="J853" s="62"/>
      <c r="K853" s="62"/>
      <c r="L853" s="177"/>
      <c r="M853" s="171"/>
      <c r="N853" s="62"/>
      <c r="O853" s="62"/>
      <c r="P853" s="62"/>
      <c r="Q853" s="64"/>
      <c r="R853" s="164"/>
      <c r="S853" s="62"/>
      <c r="T853" s="62"/>
      <c r="U853" s="62"/>
      <c r="V853" s="177"/>
      <c r="W853" s="171"/>
      <c r="X853" s="62"/>
      <c r="Y853" s="45"/>
      <c r="Z853" s="45"/>
      <c r="AA853" s="100"/>
      <c r="AB853" s="100"/>
      <c r="AC853" s="24"/>
      <c r="AD853" s="24"/>
      <c r="AE853" s="24"/>
      <c r="AF853" s="24"/>
      <c r="AG853" s="18">
        <v>24</v>
      </c>
      <c r="AH853" s="69" t="s">
        <v>296</v>
      </c>
      <c r="AI853" s="243" t="s">
        <v>38</v>
      </c>
      <c r="AJ853" s="243" t="s">
        <v>419</v>
      </c>
      <c r="AK853" s="246"/>
      <c r="AL853" s="43" t="str">
        <f t="shared" si="228"/>
        <v>-</v>
      </c>
      <c r="AM853" s="43">
        <f t="shared" si="216"/>
        <v>0</v>
      </c>
      <c r="AN853" s="193">
        <f t="shared" si="216"/>
        <v>0</v>
      </c>
      <c r="AO853" s="270" t="str">
        <f t="shared" si="217"/>
        <v>-</v>
      </c>
      <c r="AP853" s="266"/>
      <c r="AQ853" s="26" t="str">
        <f t="shared" si="224"/>
        <v>CLAYOQUOT RIVER (UPPER)Chinook</v>
      </c>
      <c r="AR853" s="26">
        <f t="shared" si="218"/>
        <v>0</v>
      </c>
      <c r="AS853" s="33">
        <f t="shared" si="219"/>
        <v>0</v>
      </c>
      <c r="AX853" s="47" t="str">
        <f t="shared" si="220"/>
        <v>CLAYOQUOT RIVER (UPPER)Chinook</v>
      </c>
      <c r="AY853" s="49">
        <f t="shared" si="221"/>
        <v>0</v>
      </c>
      <c r="AZ853" s="49">
        <f t="shared" si="222"/>
        <v>0</v>
      </c>
      <c r="BA853" s="31">
        <v>2002</v>
      </c>
      <c r="BB853" s="188">
        <f t="shared" si="225"/>
        <v>0</v>
      </c>
      <c r="BC853" s="188" t="str">
        <f t="shared" si="229"/>
        <v xml:space="preserve"> </v>
      </c>
      <c r="BD853" s="188" t="str">
        <f t="shared" si="230"/>
        <v xml:space="preserve"> </v>
      </c>
      <c r="BE853" s="188" t="str">
        <f t="shared" si="231"/>
        <v xml:space="preserve"> </v>
      </c>
      <c r="BF853" s="50" t="str">
        <f t="shared" si="223"/>
        <v>CLAYOQUOT RIVER (UPPER)_Chinook</v>
      </c>
      <c r="BG853" s="50" t="str">
        <f>IFERROR(VLOOKUP(BF853,'[1]WCVI Esc'!$C$5:$W$514,18,FALSE),"-")</f>
        <v>-</v>
      </c>
      <c r="BH853" s="50" t="str">
        <f t="shared" si="226"/>
        <v>-</v>
      </c>
      <c r="BI853" s="50" t="str">
        <f>IFERROR(VLOOKUP(BF853,'[1]WCVI Esc'!$C$5:$W$514,19,FALSE),"-")</f>
        <v>-</v>
      </c>
      <c r="BJ853" s="50" t="str">
        <f t="shared" si="227"/>
        <v>-</v>
      </c>
    </row>
    <row r="854" spans="1:62" hidden="1" x14ac:dyDescent="0.2">
      <c r="A854" s="28">
        <v>4</v>
      </c>
      <c r="B854" s="28">
        <v>6</v>
      </c>
      <c r="C854" s="11">
        <v>24</v>
      </c>
      <c r="D854" s="13" t="s">
        <v>296</v>
      </c>
      <c r="E854" s="10" t="s">
        <v>38</v>
      </c>
      <c r="F854" s="10" t="s">
        <v>211</v>
      </c>
      <c r="G854" s="10"/>
      <c r="H854" s="152"/>
      <c r="I854" s="164"/>
      <c r="J854" s="62"/>
      <c r="K854" s="62"/>
      <c r="L854" s="177"/>
      <c r="M854" s="171"/>
      <c r="N854" s="62"/>
      <c r="O854" s="62"/>
      <c r="P854" s="62"/>
      <c r="Q854" s="64"/>
      <c r="R854" s="164"/>
      <c r="S854" s="62"/>
      <c r="T854" s="62"/>
      <c r="U854" s="62"/>
      <c r="V854" s="177"/>
      <c r="W854" s="171"/>
      <c r="X854" s="62"/>
      <c r="Y854" s="45"/>
      <c r="Z854" s="45"/>
      <c r="AA854" s="100"/>
      <c r="AB854" s="100"/>
      <c r="AC854" s="24"/>
      <c r="AD854" s="24"/>
      <c r="AE854" s="24"/>
      <c r="AF854" s="24"/>
      <c r="AG854" s="18">
        <v>24</v>
      </c>
      <c r="AH854" s="69" t="s">
        <v>296</v>
      </c>
      <c r="AI854" s="243" t="s">
        <v>38</v>
      </c>
      <c r="AJ854" s="243" t="s">
        <v>419</v>
      </c>
      <c r="AK854" s="246"/>
      <c r="AL854" s="43" t="str">
        <f t="shared" si="228"/>
        <v>-</v>
      </c>
      <c r="AM854" s="43">
        <f t="shared" si="216"/>
        <v>0</v>
      </c>
      <c r="AN854" s="193">
        <f t="shared" si="216"/>
        <v>0</v>
      </c>
      <c r="AO854" s="270" t="str">
        <f t="shared" si="217"/>
        <v>-</v>
      </c>
      <c r="AP854" s="266"/>
      <c r="AQ854" s="26" t="str">
        <f t="shared" si="224"/>
        <v>CLAYOQUOT RIVER (UPPER)Steelhead</v>
      </c>
      <c r="AR854" s="26">
        <f t="shared" si="218"/>
        <v>0</v>
      </c>
      <c r="AS854" s="33">
        <f t="shared" si="219"/>
        <v>0</v>
      </c>
      <c r="AX854" s="47" t="str">
        <f t="shared" si="220"/>
        <v>CLAYOQUOT RIVER (UPPER)Steelhead</v>
      </c>
      <c r="AY854" s="49">
        <f t="shared" si="221"/>
        <v>0</v>
      </c>
      <c r="AZ854" s="49">
        <f t="shared" si="222"/>
        <v>0</v>
      </c>
      <c r="BA854" s="31">
        <v>0</v>
      </c>
      <c r="BB854" s="188">
        <f t="shared" si="225"/>
        <v>0</v>
      </c>
      <c r="BC854" s="188" t="str">
        <f t="shared" si="229"/>
        <v xml:space="preserve"> </v>
      </c>
      <c r="BD854" s="188" t="str">
        <f t="shared" si="230"/>
        <v xml:space="preserve"> </v>
      </c>
      <c r="BE854" s="188" t="str">
        <f t="shared" si="231"/>
        <v xml:space="preserve"> </v>
      </c>
      <c r="BF854" s="50" t="str">
        <f t="shared" si="223"/>
        <v>CLAYOQUOT RIVER (UPPER)_Steelhead</v>
      </c>
      <c r="BG854" s="50" t="str">
        <f>IFERROR(VLOOKUP(BF854,'[1]WCVI Esc'!$C$5:$W$514,18,FALSE),"-")</f>
        <v>-</v>
      </c>
      <c r="BH854" s="50" t="str">
        <f t="shared" si="226"/>
        <v>-</v>
      </c>
      <c r="BI854" s="50" t="str">
        <f>IFERROR(VLOOKUP(BF854,'[1]WCVI Esc'!$C$5:$W$514,19,FALSE),"-")</f>
        <v>-</v>
      </c>
      <c r="BJ854" s="50" t="str">
        <f t="shared" si="227"/>
        <v>-</v>
      </c>
    </row>
    <row r="855" spans="1:62" hidden="1" x14ac:dyDescent="0.2">
      <c r="A855" s="28">
        <v>4</v>
      </c>
      <c r="B855" s="28">
        <v>1</v>
      </c>
      <c r="C855" s="11">
        <v>24</v>
      </c>
      <c r="D855" s="13" t="s">
        <v>296</v>
      </c>
      <c r="E855" s="10" t="s">
        <v>189</v>
      </c>
      <c r="F855" s="10" t="s">
        <v>207</v>
      </c>
      <c r="G855" s="10"/>
      <c r="H855" s="152"/>
      <c r="I855" s="164"/>
      <c r="J855" s="62"/>
      <c r="K855" s="62"/>
      <c r="L855" s="177"/>
      <c r="M855" s="171"/>
      <c r="N855" s="62"/>
      <c r="O855" s="62"/>
      <c r="P855" s="62"/>
      <c r="Q855" s="64"/>
      <c r="R855" s="164"/>
      <c r="S855" s="62"/>
      <c r="T855" s="62"/>
      <c r="U855" s="62"/>
      <c r="V855" s="177"/>
      <c r="W855" s="171"/>
      <c r="X855" s="62"/>
      <c r="Y855" s="45"/>
      <c r="Z855" s="45"/>
      <c r="AA855" s="100"/>
      <c r="AB855" s="100"/>
      <c r="AC855" s="24"/>
      <c r="AD855" s="24"/>
      <c r="AE855" s="24"/>
      <c r="AF855" s="24"/>
      <c r="AG855" s="18">
        <v>24</v>
      </c>
      <c r="AH855" s="69" t="s">
        <v>296</v>
      </c>
      <c r="AI855" s="243" t="s">
        <v>189</v>
      </c>
      <c r="AJ855" s="243" t="s">
        <v>419</v>
      </c>
      <c r="AK855" s="246"/>
      <c r="AL855" s="43" t="str">
        <f t="shared" si="228"/>
        <v>-</v>
      </c>
      <c r="AM855" s="43">
        <f t="shared" si="216"/>
        <v>0</v>
      </c>
      <c r="AN855" s="193">
        <f t="shared" si="216"/>
        <v>0</v>
      </c>
      <c r="AO855" s="270" t="str">
        <f t="shared" si="217"/>
        <v>-</v>
      </c>
      <c r="AP855" s="266"/>
      <c r="AQ855" s="26" t="str">
        <f t="shared" si="224"/>
        <v>CLOSE CREEKS (2)Sockeye</v>
      </c>
      <c r="AR855" s="26">
        <f t="shared" si="218"/>
        <v>0</v>
      </c>
      <c r="AS855" s="33">
        <f t="shared" si="219"/>
        <v>0</v>
      </c>
      <c r="AX855" s="47" t="str">
        <f t="shared" si="220"/>
        <v>CLOSE CREEKS (2)Sockeye</v>
      </c>
      <c r="AY855" s="49">
        <f t="shared" si="221"/>
        <v>0</v>
      </c>
      <c r="AZ855" s="49">
        <f t="shared" si="222"/>
        <v>0</v>
      </c>
      <c r="BA855" s="31">
        <v>0</v>
      </c>
      <c r="BB855" s="188">
        <f t="shared" si="225"/>
        <v>0</v>
      </c>
      <c r="BC855" s="188" t="str">
        <f t="shared" si="229"/>
        <v xml:space="preserve"> </v>
      </c>
      <c r="BD855" s="188" t="str">
        <f t="shared" si="230"/>
        <v xml:space="preserve"> </v>
      </c>
      <c r="BE855" s="188" t="str">
        <f t="shared" si="231"/>
        <v xml:space="preserve"> </v>
      </c>
      <c r="BF855" s="50" t="str">
        <f t="shared" si="223"/>
        <v>CLOSE CREEKS (2)_Sockeye</v>
      </c>
      <c r="BG855" s="50" t="str">
        <f>IFERROR(VLOOKUP(BF855,'[1]WCVI Esc'!$C$5:$W$514,18,FALSE),"-")</f>
        <v>-</v>
      </c>
      <c r="BH855" s="50" t="str">
        <f t="shared" si="226"/>
        <v>-</v>
      </c>
      <c r="BI855" s="50" t="str">
        <f>IFERROR(VLOOKUP(BF855,'[1]WCVI Esc'!$C$5:$W$514,19,FALSE),"-")</f>
        <v>-</v>
      </c>
      <c r="BJ855" s="50" t="str">
        <f t="shared" si="227"/>
        <v>-</v>
      </c>
    </row>
    <row r="856" spans="1:62" hidden="1" x14ac:dyDescent="0.2">
      <c r="A856" s="28">
        <v>4</v>
      </c>
      <c r="B856" s="28">
        <v>2</v>
      </c>
      <c r="C856" s="11">
        <v>24</v>
      </c>
      <c r="D856" s="13" t="s">
        <v>296</v>
      </c>
      <c r="E856" s="10" t="s">
        <v>189</v>
      </c>
      <c r="F856" s="10" t="s">
        <v>219</v>
      </c>
      <c r="G856" s="10"/>
      <c r="H856" s="152"/>
      <c r="I856" s="164"/>
      <c r="J856" s="62"/>
      <c r="K856" s="62"/>
      <c r="L856" s="177"/>
      <c r="M856" s="171"/>
      <c r="N856" s="62"/>
      <c r="O856" s="62"/>
      <c r="P856" s="62"/>
      <c r="Q856" s="64"/>
      <c r="R856" s="164"/>
      <c r="S856" s="62"/>
      <c r="T856" s="62"/>
      <c r="U856" s="62"/>
      <c r="V856" s="177"/>
      <c r="W856" s="171"/>
      <c r="X856" s="62"/>
      <c r="Y856" s="45"/>
      <c r="Z856" s="45"/>
      <c r="AA856" s="100"/>
      <c r="AB856" s="100"/>
      <c r="AC856" s="24"/>
      <c r="AD856" s="24"/>
      <c r="AE856" s="24"/>
      <c r="AF856" s="24"/>
      <c r="AG856" s="18">
        <v>24</v>
      </c>
      <c r="AH856" s="69" t="s">
        <v>296</v>
      </c>
      <c r="AI856" s="243" t="s">
        <v>189</v>
      </c>
      <c r="AJ856" s="243" t="s">
        <v>419</v>
      </c>
      <c r="AK856" s="246"/>
      <c r="AL856" s="43" t="str">
        <f t="shared" si="228"/>
        <v>-</v>
      </c>
      <c r="AM856" s="43">
        <f t="shared" si="216"/>
        <v>0</v>
      </c>
      <c r="AN856" s="193">
        <f t="shared" si="216"/>
        <v>0</v>
      </c>
      <c r="AO856" s="270" t="str">
        <f t="shared" si="217"/>
        <v>-</v>
      </c>
      <c r="AP856" s="266"/>
      <c r="AQ856" s="26" t="str">
        <f t="shared" si="224"/>
        <v>CLOSE CREEKS (2)Coho</v>
      </c>
      <c r="AR856" s="26">
        <f t="shared" si="218"/>
        <v>0</v>
      </c>
      <c r="AS856" s="33">
        <f t="shared" si="219"/>
        <v>0</v>
      </c>
      <c r="AX856" s="47" t="str">
        <f t="shared" si="220"/>
        <v>CLOSE CREEKS (2)Coho</v>
      </c>
      <c r="AY856" s="49">
        <f t="shared" si="221"/>
        <v>0</v>
      </c>
      <c r="AZ856" s="49">
        <f t="shared" si="222"/>
        <v>0</v>
      </c>
      <c r="BA856" s="31">
        <v>1995</v>
      </c>
      <c r="BB856" s="188">
        <f t="shared" si="225"/>
        <v>0</v>
      </c>
      <c r="BC856" s="188" t="str">
        <f t="shared" si="229"/>
        <v xml:space="preserve"> </v>
      </c>
      <c r="BD856" s="188" t="str">
        <f t="shared" si="230"/>
        <v xml:space="preserve"> </v>
      </c>
      <c r="BE856" s="188" t="str">
        <f t="shared" si="231"/>
        <v xml:space="preserve"> </v>
      </c>
      <c r="BF856" s="50" t="str">
        <f t="shared" si="223"/>
        <v>CLOSE CREEKS (2)_Coho</v>
      </c>
      <c r="BG856" s="50" t="str">
        <f>IFERROR(VLOOKUP(BF856,'[1]WCVI Esc'!$C$5:$W$514,18,FALSE),"-")</f>
        <v>-</v>
      </c>
      <c r="BH856" s="50" t="str">
        <f t="shared" si="226"/>
        <v>-</v>
      </c>
      <c r="BI856" s="50" t="str">
        <f>IFERROR(VLOOKUP(BF856,'[1]WCVI Esc'!$C$5:$W$514,19,FALSE),"-")</f>
        <v>-</v>
      </c>
      <c r="BJ856" s="50" t="str">
        <f t="shared" si="227"/>
        <v>-</v>
      </c>
    </row>
    <row r="857" spans="1:62" hidden="1" x14ac:dyDescent="0.2">
      <c r="A857" s="28">
        <v>4</v>
      </c>
      <c r="B857" s="28">
        <v>3</v>
      </c>
      <c r="C857" s="11">
        <v>24</v>
      </c>
      <c r="D857" s="13" t="s">
        <v>296</v>
      </c>
      <c r="E857" s="10" t="s">
        <v>189</v>
      </c>
      <c r="F857" s="10" t="s">
        <v>208</v>
      </c>
      <c r="G857" s="10"/>
      <c r="H857" s="152"/>
      <c r="I857" s="164"/>
      <c r="J857" s="62"/>
      <c r="K857" s="62"/>
      <c r="L857" s="177"/>
      <c r="M857" s="171"/>
      <c r="N857" s="62"/>
      <c r="O857" s="62"/>
      <c r="P857" s="62"/>
      <c r="Q857" s="64"/>
      <c r="R857" s="164"/>
      <c r="S857" s="62"/>
      <c r="T857" s="62"/>
      <c r="U857" s="62"/>
      <c r="V857" s="177"/>
      <c r="W857" s="171"/>
      <c r="X857" s="62"/>
      <c r="Y857" s="45"/>
      <c r="Z857" s="45"/>
      <c r="AA857" s="100"/>
      <c r="AB857" s="100"/>
      <c r="AC857" s="24"/>
      <c r="AD857" s="24"/>
      <c r="AE857" s="24"/>
      <c r="AF857" s="24"/>
      <c r="AG857" s="18">
        <v>24</v>
      </c>
      <c r="AH857" s="69" t="s">
        <v>296</v>
      </c>
      <c r="AI857" s="243" t="s">
        <v>189</v>
      </c>
      <c r="AJ857" s="243" t="s">
        <v>419</v>
      </c>
      <c r="AK857" s="246"/>
      <c r="AL857" s="43" t="str">
        <f t="shared" si="228"/>
        <v>-</v>
      </c>
      <c r="AM857" s="43">
        <f t="shared" si="216"/>
        <v>0</v>
      </c>
      <c r="AN857" s="193">
        <f t="shared" si="216"/>
        <v>0</v>
      </c>
      <c r="AO857" s="270" t="str">
        <f t="shared" si="217"/>
        <v>-</v>
      </c>
      <c r="AP857" s="266"/>
      <c r="AQ857" s="26" t="str">
        <f t="shared" si="224"/>
        <v>CLOSE CREEKS (2)Pink</v>
      </c>
      <c r="AR857" s="26">
        <f t="shared" si="218"/>
        <v>0</v>
      </c>
      <c r="AS857" s="33">
        <f t="shared" si="219"/>
        <v>0</v>
      </c>
      <c r="AX857" s="47" t="str">
        <f t="shared" si="220"/>
        <v>CLOSE CREEKS (2)Pink</v>
      </c>
      <c r="AY857" s="49">
        <f t="shared" si="221"/>
        <v>0</v>
      </c>
      <c r="AZ857" s="49">
        <f t="shared" si="222"/>
        <v>0</v>
      </c>
      <c r="BA857" s="31">
        <v>0</v>
      </c>
      <c r="BB857" s="188">
        <f t="shared" si="225"/>
        <v>0</v>
      </c>
      <c r="BC857" s="188" t="str">
        <f t="shared" si="229"/>
        <v xml:space="preserve"> </v>
      </c>
      <c r="BD857" s="188" t="str">
        <f t="shared" si="230"/>
        <v xml:space="preserve"> </v>
      </c>
      <c r="BE857" s="188" t="str">
        <f t="shared" si="231"/>
        <v xml:space="preserve"> </v>
      </c>
      <c r="BF857" s="50" t="str">
        <f t="shared" si="223"/>
        <v>CLOSE CREEKS (2)_Pink</v>
      </c>
      <c r="BG857" s="50" t="str">
        <f>IFERROR(VLOOKUP(BF857,'[1]WCVI Esc'!$C$5:$W$514,18,FALSE),"-")</f>
        <v>-</v>
      </c>
      <c r="BH857" s="50" t="str">
        <f t="shared" si="226"/>
        <v>-</v>
      </c>
      <c r="BI857" s="50" t="str">
        <f>IFERROR(VLOOKUP(BF857,'[1]WCVI Esc'!$C$5:$W$514,19,FALSE),"-")</f>
        <v>-</v>
      </c>
      <c r="BJ857" s="50" t="str">
        <f t="shared" si="227"/>
        <v>-</v>
      </c>
    </row>
    <row r="858" spans="1:62" hidden="1" x14ac:dyDescent="0.2">
      <c r="A858" s="28">
        <v>4</v>
      </c>
      <c r="B858" s="28">
        <v>4</v>
      </c>
      <c r="C858" s="11">
        <v>24</v>
      </c>
      <c r="D858" s="13" t="s">
        <v>296</v>
      </c>
      <c r="E858" s="10" t="s">
        <v>189</v>
      </c>
      <c r="F858" s="10" t="s">
        <v>209</v>
      </c>
      <c r="G858" s="10"/>
      <c r="H858" s="152"/>
      <c r="I858" s="164"/>
      <c r="J858" s="62"/>
      <c r="K858" s="62"/>
      <c r="L858" s="177"/>
      <c r="M858" s="171"/>
      <c r="N858" s="62"/>
      <c r="O858" s="62"/>
      <c r="P858" s="62"/>
      <c r="Q858" s="64"/>
      <c r="R858" s="164"/>
      <c r="S858" s="62"/>
      <c r="T858" s="62"/>
      <c r="U858" s="62"/>
      <c r="V858" s="177"/>
      <c r="W858" s="171"/>
      <c r="X858" s="62"/>
      <c r="Y858" s="45"/>
      <c r="Z858" s="45"/>
      <c r="AA858" s="100"/>
      <c r="AB858" s="100"/>
      <c r="AC858" s="24"/>
      <c r="AD858" s="24"/>
      <c r="AE858" s="24"/>
      <c r="AF858" s="24"/>
      <c r="AG858" s="18">
        <v>24</v>
      </c>
      <c r="AH858" s="69" t="s">
        <v>296</v>
      </c>
      <c r="AI858" s="243" t="s">
        <v>189</v>
      </c>
      <c r="AJ858" s="243" t="s">
        <v>419</v>
      </c>
      <c r="AK858" s="246"/>
      <c r="AL858" s="43" t="str">
        <f t="shared" si="228"/>
        <v>-</v>
      </c>
      <c r="AM858" s="43">
        <f t="shared" si="216"/>
        <v>0</v>
      </c>
      <c r="AN858" s="193">
        <f t="shared" si="216"/>
        <v>0</v>
      </c>
      <c r="AO858" s="270" t="str">
        <f t="shared" si="217"/>
        <v>-</v>
      </c>
      <c r="AP858" s="266"/>
      <c r="AQ858" s="26" t="str">
        <f t="shared" si="224"/>
        <v>CLOSE CREEKS (2)Chum</v>
      </c>
      <c r="AR858" s="26">
        <f t="shared" si="218"/>
        <v>0</v>
      </c>
      <c r="AS858" s="33">
        <f t="shared" si="219"/>
        <v>0</v>
      </c>
      <c r="AX858" s="47" t="str">
        <f t="shared" si="220"/>
        <v>CLOSE CREEKS (2)Chum</v>
      </c>
      <c r="AY858" s="49">
        <f t="shared" si="221"/>
        <v>0</v>
      </c>
      <c r="AZ858" s="49">
        <f t="shared" si="222"/>
        <v>0</v>
      </c>
      <c r="BA858" s="31">
        <v>1996</v>
      </c>
      <c r="BB858" s="188">
        <f t="shared" si="225"/>
        <v>0</v>
      </c>
      <c r="BC858" s="188" t="str">
        <f t="shared" si="229"/>
        <v xml:space="preserve"> </v>
      </c>
      <c r="BD858" s="188" t="str">
        <f t="shared" si="230"/>
        <v xml:space="preserve"> </v>
      </c>
      <c r="BE858" s="188" t="str">
        <f t="shared" si="231"/>
        <v xml:space="preserve"> </v>
      </c>
      <c r="BF858" s="50" t="str">
        <f t="shared" si="223"/>
        <v>CLOSE CREEKS (2)_Chum</v>
      </c>
      <c r="BG858" s="50" t="str">
        <f>IFERROR(VLOOKUP(BF858,'[1]WCVI Esc'!$C$5:$W$514,18,FALSE),"-")</f>
        <v>-</v>
      </c>
      <c r="BH858" s="50" t="str">
        <f t="shared" si="226"/>
        <v>-</v>
      </c>
      <c r="BI858" s="50" t="str">
        <f>IFERROR(VLOOKUP(BF858,'[1]WCVI Esc'!$C$5:$W$514,19,FALSE),"-")</f>
        <v>-</v>
      </c>
      <c r="BJ858" s="50" t="str">
        <f t="shared" si="227"/>
        <v>-</v>
      </c>
    </row>
    <row r="859" spans="1:62" hidden="1" x14ac:dyDescent="0.2">
      <c r="A859" s="28">
        <v>4</v>
      </c>
      <c r="B859" s="28">
        <v>5</v>
      </c>
      <c r="C859" s="11">
        <v>24</v>
      </c>
      <c r="D859" s="13" t="s">
        <v>296</v>
      </c>
      <c r="E859" s="10" t="s">
        <v>189</v>
      </c>
      <c r="F859" s="10" t="s">
        <v>210</v>
      </c>
      <c r="G859" s="10"/>
      <c r="H859" s="152"/>
      <c r="I859" s="164"/>
      <c r="J859" s="62"/>
      <c r="K859" s="62"/>
      <c r="L859" s="177"/>
      <c r="M859" s="171"/>
      <c r="N859" s="62"/>
      <c r="O859" s="62"/>
      <c r="P859" s="62"/>
      <c r="Q859" s="64"/>
      <c r="R859" s="164"/>
      <c r="S859" s="62"/>
      <c r="T859" s="62"/>
      <c r="U859" s="62"/>
      <c r="V859" s="177"/>
      <c r="W859" s="171"/>
      <c r="X859" s="62"/>
      <c r="Y859" s="45"/>
      <c r="Z859" s="45"/>
      <c r="AA859" s="100"/>
      <c r="AB859" s="100"/>
      <c r="AC859" s="24"/>
      <c r="AD859" s="24"/>
      <c r="AE859" s="24"/>
      <c r="AF859" s="24"/>
      <c r="AG859" s="18">
        <v>24</v>
      </c>
      <c r="AH859" s="69" t="s">
        <v>296</v>
      </c>
      <c r="AI859" s="243" t="s">
        <v>189</v>
      </c>
      <c r="AJ859" s="243" t="s">
        <v>419</v>
      </c>
      <c r="AK859" s="246"/>
      <c r="AL859" s="43" t="str">
        <f t="shared" si="228"/>
        <v>-</v>
      </c>
      <c r="AM859" s="43">
        <f t="shared" si="216"/>
        <v>0</v>
      </c>
      <c r="AN859" s="193">
        <f t="shared" si="216"/>
        <v>0</v>
      </c>
      <c r="AO859" s="270" t="str">
        <f t="shared" si="217"/>
        <v>-</v>
      </c>
      <c r="AP859" s="266"/>
      <c r="AQ859" s="26" t="str">
        <f t="shared" si="224"/>
        <v>CLOSE CREEKS (2)Chinook</v>
      </c>
      <c r="AR859" s="26">
        <f t="shared" si="218"/>
        <v>0</v>
      </c>
      <c r="AS859" s="33">
        <f t="shared" si="219"/>
        <v>0</v>
      </c>
      <c r="AX859" s="47" t="str">
        <f t="shared" si="220"/>
        <v>CLOSE CREEKS (2)Chinook</v>
      </c>
      <c r="AY859" s="49">
        <f t="shared" si="221"/>
        <v>0</v>
      </c>
      <c r="AZ859" s="49">
        <f t="shared" si="222"/>
        <v>0</v>
      </c>
      <c r="BA859" s="31">
        <v>0</v>
      </c>
      <c r="BB859" s="188">
        <f t="shared" si="225"/>
        <v>0</v>
      </c>
      <c r="BC859" s="188" t="str">
        <f t="shared" si="229"/>
        <v xml:space="preserve"> </v>
      </c>
      <c r="BD859" s="188" t="str">
        <f t="shared" si="230"/>
        <v xml:space="preserve"> </v>
      </c>
      <c r="BE859" s="188" t="str">
        <f t="shared" si="231"/>
        <v xml:space="preserve"> </v>
      </c>
      <c r="BF859" s="50" t="str">
        <f t="shared" si="223"/>
        <v>CLOSE CREEKS (2)_Chinook</v>
      </c>
      <c r="BG859" s="50" t="str">
        <f>IFERROR(VLOOKUP(BF859,'[1]WCVI Esc'!$C$5:$W$514,18,FALSE),"-")</f>
        <v>-</v>
      </c>
      <c r="BH859" s="50" t="str">
        <f t="shared" si="226"/>
        <v>-</v>
      </c>
      <c r="BI859" s="50" t="str">
        <f>IFERROR(VLOOKUP(BF859,'[1]WCVI Esc'!$C$5:$W$514,19,FALSE),"-")</f>
        <v>-</v>
      </c>
      <c r="BJ859" s="50" t="str">
        <f t="shared" si="227"/>
        <v>-</v>
      </c>
    </row>
    <row r="860" spans="1:62" hidden="1" x14ac:dyDescent="0.2">
      <c r="A860" s="28">
        <v>4</v>
      </c>
      <c r="B860" s="28">
        <v>6</v>
      </c>
      <c r="C860" s="11">
        <v>24</v>
      </c>
      <c r="D860" s="13" t="s">
        <v>296</v>
      </c>
      <c r="E860" s="10" t="s">
        <v>189</v>
      </c>
      <c r="F860" s="10" t="s">
        <v>211</v>
      </c>
      <c r="G860" s="10"/>
      <c r="H860" s="152"/>
      <c r="I860" s="164"/>
      <c r="J860" s="62"/>
      <c r="K860" s="62"/>
      <c r="L860" s="177"/>
      <c r="M860" s="171"/>
      <c r="N860" s="62"/>
      <c r="O860" s="62"/>
      <c r="P860" s="62"/>
      <c r="Q860" s="64"/>
      <c r="R860" s="164"/>
      <c r="S860" s="62"/>
      <c r="T860" s="62"/>
      <c r="U860" s="62"/>
      <c r="V860" s="177"/>
      <c r="W860" s="171"/>
      <c r="X860" s="62"/>
      <c r="Y860" s="45"/>
      <c r="Z860" s="45"/>
      <c r="AA860" s="100"/>
      <c r="AB860" s="100"/>
      <c r="AC860" s="24"/>
      <c r="AD860" s="24"/>
      <c r="AE860" s="24"/>
      <c r="AF860" s="24"/>
      <c r="AG860" s="18">
        <v>24</v>
      </c>
      <c r="AH860" s="69" t="s">
        <v>296</v>
      </c>
      <c r="AI860" s="243" t="s">
        <v>189</v>
      </c>
      <c r="AJ860" s="243" t="s">
        <v>419</v>
      </c>
      <c r="AK860" s="246"/>
      <c r="AL860" s="43" t="str">
        <f t="shared" si="228"/>
        <v>-</v>
      </c>
      <c r="AM860" s="43">
        <f t="shared" si="216"/>
        <v>0</v>
      </c>
      <c r="AN860" s="193">
        <f t="shared" si="216"/>
        <v>0</v>
      </c>
      <c r="AO860" s="270" t="str">
        <f t="shared" si="217"/>
        <v>-</v>
      </c>
      <c r="AP860" s="266"/>
      <c r="AQ860" s="26" t="str">
        <f t="shared" si="224"/>
        <v>CLOSE CREEKS (2)Steelhead</v>
      </c>
      <c r="AR860" s="26">
        <f t="shared" si="218"/>
        <v>0</v>
      </c>
      <c r="AS860" s="33">
        <f t="shared" si="219"/>
        <v>0</v>
      </c>
      <c r="AX860" s="47" t="str">
        <f t="shared" si="220"/>
        <v>CLOSE CREEKS (2)Steelhead</v>
      </c>
      <c r="AY860" s="49">
        <f t="shared" si="221"/>
        <v>0</v>
      </c>
      <c r="AZ860" s="49">
        <f t="shared" si="222"/>
        <v>0</v>
      </c>
      <c r="BA860" s="31">
        <v>0</v>
      </c>
      <c r="BB860" s="188">
        <f t="shared" si="225"/>
        <v>0</v>
      </c>
      <c r="BC860" s="188" t="str">
        <f t="shared" si="229"/>
        <v xml:space="preserve"> </v>
      </c>
      <c r="BD860" s="188" t="str">
        <f t="shared" si="230"/>
        <v xml:space="preserve"> </v>
      </c>
      <c r="BE860" s="188" t="str">
        <f t="shared" si="231"/>
        <v xml:space="preserve"> </v>
      </c>
      <c r="BF860" s="50" t="str">
        <f t="shared" si="223"/>
        <v>CLOSE CREEKS (2)_Steelhead</v>
      </c>
      <c r="BG860" s="50" t="str">
        <f>IFERROR(VLOOKUP(BF860,'[1]WCVI Esc'!$C$5:$W$514,18,FALSE),"-")</f>
        <v>-</v>
      </c>
      <c r="BH860" s="50" t="str">
        <f t="shared" si="226"/>
        <v>-</v>
      </c>
      <c r="BI860" s="50" t="str">
        <f>IFERROR(VLOOKUP(BF860,'[1]WCVI Esc'!$C$5:$W$514,19,FALSE),"-")</f>
        <v>-</v>
      </c>
      <c r="BJ860" s="50" t="str">
        <f t="shared" si="227"/>
        <v>-</v>
      </c>
    </row>
    <row r="861" spans="1:62" hidden="1" x14ac:dyDescent="0.2">
      <c r="A861" s="28">
        <v>4</v>
      </c>
      <c r="B861" s="28">
        <v>1</v>
      </c>
      <c r="C861" s="11">
        <v>24</v>
      </c>
      <c r="D861" s="13" t="s">
        <v>296</v>
      </c>
      <c r="E861" s="10" t="s">
        <v>328</v>
      </c>
      <c r="F861" s="10" t="s">
        <v>207</v>
      </c>
      <c r="G861" s="10"/>
      <c r="H861" s="152"/>
      <c r="I861" s="155"/>
      <c r="J861" s="106"/>
      <c r="K861" s="94"/>
      <c r="L861" s="180"/>
      <c r="M861" s="173"/>
      <c r="N861" s="106"/>
      <c r="O861" s="106"/>
      <c r="P861" s="63"/>
      <c r="Q861" s="162"/>
      <c r="R861" s="164"/>
      <c r="S861" s="62"/>
      <c r="T861" s="62"/>
      <c r="U861" s="62"/>
      <c r="V861" s="177"/>
      <c r="W861" s="171"/>
      <c r="X861" s="62"/>
      <c r="Y861" s="45"/>
      <c r="Z861" s="45"/>
      <c r="AA861" s="100"/>
      <c r="AB861" s="100"/>
      <c r="AC861" s="24"/>
      <c r="AD861" s="24"/>
      <c r="AE861" s="24"/>
      <c r="AF861" s="24"/>
      <c r="AG861" s="18">
        <v>24</v>
      </c>
      <c r="AH861" s="69" t="s">
        <v>296</v>
      </c>
      <c r="AI861" s="243" t="s">
        <v>328</v>
      </c>
      <c r="AJ861" s="243" t="s">
        <v>419</v>
      </c>
      <c r="AK861" s="244" t="s">
        <v>351</v>
      </c>
      <c r="AL861" s="43" t="str">
        <f t="shared" si="228"/>
        <v>-</v>
      </c>
      <c r="AM861" s="43">
        <f t="shared" si="216"/>
        <v>0</v>
      </c>
      <c r="AN861" s="193">
        <f t="shared" si="216"/>
        <v>0</v>
      </c>
      <c r="AO861" s="264" t="str">
        <f t="shared" si="217"/>
        <v>-</v>
      </c>
      <c r="AP861" s="266"/>
      <c r="AQ861" s="26" t="str">
        <f t="shared" si="224"/>
        <v>Coho CreekSockeye</v>
      </c>
      <c r="AR861" s="26">
        <f t="shared" si="218"/>
        <v>0</v>
      </c>
      <c r="AS861" s="33">
        <f t="shared" si="219"/>
        <v>0</v>
      </c>
      <c r="AX861" s="47" t="str">
        <f t="shared" si="220"/>
        <v>Coho CreekSockeye</v>
      </c>
      <c r="AY861" s="49">
        <f t="shared" si="221"/>
        <v>0</v>
      </c>
      <c r="AZ861" s="49">
        <f t="shared" si="222"/>
        <v>0</v>
      </c>
      <c r="BA861" s="31">
        <v>0</v>
      </c>
      <c r="BB861" s="188" t="str">
        <f t="shared" si="225"/>
        <v>CWFS</v>
      </c>
      <c r="BC861" s="188" t="str">
        <f t="shared" si="229"/>
        <v xml:space="preserve"> </v>
      </c>
      <c r="BD861" s="188" t="str">
        <f t="shared" si="230"/>
        <v xml:space="preserve"> </v>
      </c>
      <c r="BE861" s="188" t="str">
        <f t="shared" si="231"/>
        <v xml:space="preserve"> </v>
      </c>
      <c r="BF861" s="50" t="str">
        <f t="shared" si="223"/>
        <v>Coho Creek_Sockeye</v>
      </c>
      <c r="BG861" s="50" t="str">
        <f>IFERROR(VLOOKUP(BF861,'[1]WCVI Esc'!$C$5:$W$534,18,FALSE),"-")</f>
        <v>-</v>
      </c>
      <c r="BH861" s="50" t="str">
        <f t="shared" si="226"/>
        <v>-</v>
      </c>
      <c r="BI861" s="50" t="str">
        <f>IFERROR(VLOOKUP(BF861,'[1]WCVI Esc'!$C$5:$W$534,19,FALSE),"-")</f>
        <v>-</v>
      </c>
      <c r="BJ861" s="50" t="str">
        <f t="shared" si="227"/>
        <v>-</v>
      </c>
    </row>
    <row r="862" spans="1:62" hidden="1" x14ac:dyDescent="0.2">
      <c r="A862" s="28">
        <v>4</v>
      </c>
      <c r="B862" s="28">
        <v>2</v>
      </c>
      <c r="C862" s="11">
        <v>24</v>
      </c>
      <c r="D862" s="13" t="s">
        <v>296</v>
      </c>
      <c r="E862" s="10" t="s">
        <v>328</v>
      </c>
      <c r="F862" s="10" t="s">
        <v>219</v>
      </c>
      <c r="G862" s="10"/>
      <c r="H862" s="152"/>
      <c r="I862" s="155"/>
      <c r="J862" s="106"/>
      <c r="K862" s="94"/>
      <c r="L862" s="180"/>
      <c r="M862" s="173"/>
      <c r="N862" s="106"/>
      <c r="O862" s="106"/>
      <c r="P862" s="63"/>
      <c r="Q862" s="162"/>
      <c r="R862" s="164"/>
      <c r="S862" s="62"/>
      <c r="T862" s="63"/>
      <c r="U862" s="62"/>
      <c r="V862" s="177"/>
      <c r="W862" s="171"/>
      <c r="X862" s="62"/>
      <c r="Y862" s="45"/>
      <c r="Z862" s="45"/>
      <c r="AA862" s="100"/>
      <c r="AB862" s="100"/>
      <c r="AC862" s="24"/>
      <c r="AD862" s="24"/>
      <c r="AE862" s="24"/>
      <c r="AF862" s="24"/>
      <c r="AG862" s="18">
        <v>24</v>
      </c>
      <c r="AH862" s="69" t="s">
        <v>296</v>
      </c>
      <c r="AI862" s="243" t="s">
        <v>328</v>
      </c>
      <c r="AJ862" s="243" t="s">
        <v>419</v>
      </c>
      <c r="AK862" s="244" t="s">
        <v>351</v>
      </c>
      <c r="AL862" s="43" t="str">
        <f t="shared" si="228"/>
        <v>-</v>
      </c>
      <c r="AM862" s="43">
        <f t="shared" si="216"/>
        <v>0</v>
      </c>
      <c r="AN862" s="193">
        <f t="shared" si="216"/>
        <v>0</v>
      </c>
      <c r="AO862" s="264" t="str">
        <f t="shared" si="217"/>
        <v>-</v>
      </c>
      <c r="AP862" s="266"/>
      <c r="AQ862" s="26" t="str">
        <f t="shared" si="224"/>
        <v>Coho CreekCoho</v>
      </c>
      <c r="AR862" s="26">
        <f t="shared" si="218"/>
        <v>0</v>
      </c>
      <c r="AS862" s="33">
        <f t="shared" si="219"/>
        <v>0</v>
      </c>
      <c r="AX862" s="47" t="str">
        <f t="shared" si="220"/>
        <v>Coho CreekCoho</v>
      </c>
      <c r="AY862" s="49">
        <f t="shared" si="221"/>
        <v>0</v>
      </c>
      <c r="AZ862" s="49">
        <f t="shared" si="222"/>
        <v>0</v>
      </c>
      <c r="BA862" s="31">
        <v>2016</v>
      </c>
      <c r="BB862" s="188" t="str">
        <f t="shared" si="225"/>
        <v>CWFS</v>
      </c>
      <c r="BC862" s="188" t="str">
        <f t="shared" si="229"/>
        <v xml:space="preserve"> </v>
      </c>
      <c r="BD862" s="188" t="str">
        <f t="shared" si="230"/>
        <v xml:space="preserve"> </v>
      </c>
      <c r="BE862" s="188" t="str">
        <f t="shared" si="231"/>
        <v xml:space="preserve"> </v>
      </c>
      <c r="BF862" s="50" t="str">
        <f t="shared" si="223"/>
        <v>Coho Creek_Coho</v>
      </c>
      <c r="BG862" s="50" t="str">
        <f>IFERROR(VLOOKUP(BF862,'[1]WCVI Esc'!$C$5:$W$534,18,FALSE),"-")</f>
        <v>-</v>
      </c>
      <c r="BH862" s="50" t="str">
        <f t="shared" si="226"/>
        <v>-</v>
      </c>
      <c r="BI862" s="50">
        <f>IFERROR(VLOOKUP(BF862,'[1]WCVI Esc'!$C$5:$W$534,19,FALSE),"-")</f>
        <v>17</v>
      </c>
      <c r="BJ862" s="50">
        <f t="shared" si="227"/>
        <v>20</v>
      </c>
    </row>
    <row r="863" spans="1:62" hidden="1" x14ac:dyDescent="0.2">
      <c r="A863" s="28">
        <v>4</v>
      </c>
      <c r="B863" s="28">
        <v>3</v>
      </c>
      <c r="C863" s="11">
        <v>24</v>
      </c>
      <c r="D863" s="13" t="s">
        <v>296</v>
      </c>
      <c r="E863" s="10" t="s">
        <v>328</v>
      </c>
      <c r="F863" s="10" t="s">
        <v>208</v>
      </c>
      <c r="G863" s="10"/>
      <c r="H863" s="152"/>
      <c r="I863" s="155"/>
      <c r="J863" s="106"/>
      <c r="K863" s="94"/>
      <c r="L863" s="180"/>
      <c r="M863" s="173"/>
      <c r="N863" s="106"/>
      <c r="O863" s="106"/>
      <c r="P863" s="63"/>
      <c r="Q863" s="162"/>
      <c r="R863" s="164"/>
      <c r="S863" s="62"/>
      <c r="T863" s="62"/>
      <c r="U863" s="62"/>
      <c r="V863" s="177"/>
      <c r="W863" s="171"/>
      <c r="X863" s="62"/>
      <c r="Y863" s="45"/>
      <c r="Z863" s="45"/>
      <c r="AA863" s="100"/>
      <c r="AB863" s="100"/>
      <c r="AC863" s="24"/>
      <c r="AD863" s="24"/>
      <c r="AE863" s="24"/>
      <c r="AF863" s="24"/>
      <c r="AG863" s="18">
        <v>24</v>
      </c>
      <c r="AH863" s="69" t="s">
        <v>296</v>
      </c>
      <c r="AI863" s="243" t="s">
        <v>328</v>
      </c>
      <c r="AJ863" s="243" t="s">
        <v>419</v>
      </c>
      <c r="AK863" s="244" t="s">
        <v>351</v>
      </c>
      <c r="AL863" s="43" t="str">
        <f t="shared" si="228"/>
        <v>-</v>
      </c>
      <c r="AM863" s="43">
        <f t="shared" si="216"/>
        <v>0</v>
      </c>
      <c r="AN863" s="193">
        <f t="shared" si="216"/>
        <v>0</v>
      </c>
      <c r="AO863" s="264" t="str">
        <f t="shared" si="217"/>
        <v>-</v>
      </c>
      <c r="AP863" s="266"/>
      <c r="AQ863" s="26" t="str">
        <f t="shared" si="224"/>
        <v>Coho CreekPink</v>
      </c>
      <c r="AR863" s="26">
        <f t="shared" si="218"/>
        <v>0</v>
      </c>
      <c r="AS863" s="33">
        <f t="shared" si="219"/>
        <v>0</v>
      </c>
      <c r="AX863" s="47" t="str">
        <f t="shared" si="220"/>
        <v>Coho CreekPink</v>
      </c>
      <c r="AY863" s="49">
        <f t="shared" si="221"/>
        <v>0</v>
      </c>
      <c r="AZ863" s="49">
        <f t="shared" si="222"/>
        <v>0</v>
      </c>
      <c r="BA863" s="31">
        <v>0</v>
      </c>
      <c r="BB863" s="188" t="str">
        <f t="shared" si="225"/>
        <v>CWFS</v>
      </c>
      <c r="BC863" s="188" t="str">
        <f t="shared" si="229"/>
        <v xml:space="preserve"> </v>
      </c>
      <c r="BD863" s="188" t="str">
        <f t="shared" si="230"/>
        <v xml:space="preserve"> </v>
      </c>
      <c r="BE863" s="188" t="str">
        <f t="shared" si="231"/>
        <v xml:space="preserve"> </v>
      </c>
      <c r="BF863" s="50" t="str">
        <f t="shared" si="223"/>
        <v>Coho Creek_Pink</v>
      </c>
      <c r="BG863" s="50" t="str">
        <f>IFERROR(VLOOKUP(BF863,'[1]WCVI Esc'!$C$5:$W$534,18,FALSE),"-")</f>
        <v>-</v>
      </c>
      <c r="BH863" s="50" t="str">
        <f t="shared" si="226"/>
        <v>-</v>
      </c>
      <c r="BI863" s="50" t="str">
        <f>IFERROR(VLOOKUP(BF863,'[1]WCVI Esc'!$C$5:$W$534,19,FALSE),"-")</f>
        <v>-</v>
      </c>
      <c r="BJ863" s="50" t="str">
        <f t="shared" si="227"/>
        <v>-</v>
      </c>
    </row>
    <row r="864" spans="1:62" hidden="1" x14ac:dyDescent="0.2">
      <c r="A864" s="28">
        <v>4</v>
      </c>
      <c r="B864" s="28">
        <v>4</v>
      </c>
      <c r="C864" s="11">
        <v>24</v>
      </c>
      <c r="D864" s="13" t="s">
        <v>296</v>
      </c>
      <c r="E864" s="10" t="s">
        <v>328</v>
      </c>
      <c r="F864" s="10" t="s">
        <v>209</v>
      </c>
      <c r="G864" s="10"/>
      <c r="H864" s="152"/>
      <c r="I864" s="155"/>
      <c r="J864" s="106"/>
      <c r="K864" s="94"/>
      <c r="L864" s="180"/>
      <c r="M864" s="173"/>
      <c r="N864" s="106"/>
      <c r="O864" s="106"/>
      <c r="P864" s="63"/>
      <c r="Q864" s="162"/>
      <c r="R864" s="164"/>
      <c r="S864" s="62"/>
      <c r="T864" s="62"/>
      <c r="U864" s="62"/>
      <c r="V864" s="177"/>
      <c r="W864" s="171"/>
      <c r="X864" s="62"/>
      <c r="Y864" s="45"/>
      <c r="Z864" s="45"/>
      <c r="AA864" s="100"/>
      <c r="AB864" s="100"/>
      <c r="AC864" s="24"/>
      <c r="AD864" s="24"/>
      <c r="AE864" s="24"/>
      <c r="AF864" s="24"/>
      <c r="AG864" s="18">
        <v>24</v>
      </c>
      <c r="AH864" s="69" t="s">
        <v>296</v>
      </c>
      <c r="AI864" s="243" t="s">
        <v>328</v>
      </c>
      <c r="AJ864" s="243" t="s">
        <v>419</v>
      </c>
      <c r="AK864" s="244" t="s">
        <v>351</v>
      </c>
      <c r="AL864" s="43" t="str">
        <f t="shared" si="228"/>
        <v>-</v>
      </c>
      <c r="AM864" s="43">
        <f t="shared" si="216"/>
        <v>0</v>
      </c>
      <c r="AN864" s="193">
        <f t="shared" si="216"/>
        <v>0</v>
      </c>
      <c r="AO864" s="264" t="str">
        <f t="shared" si="217"/>
        <v>-</v>
      </c>
      <c r="AP864" s="266"/>
      <c r="AQ864" s="26" t="str">
        <f t="shared" si="224"/>
        <v>Coho CreekChum</v>
      </c>
      <c r="AR864" s="26">
        <f t="shared" si="218"/>
        <v>0</v>
      </c>
      <c r="AS864" s="33">
        <f t="shared" si="219"/>
        <v>0</v>
      </c>
      <c r="AX864" s="47" t="str">
        <f t="shared" si="220"/>
        <v>Coho CreekChum</v>
      </c>
      <c r="AY864" s="49">
        <f t="shared" si="221"/>
        <v>0</v>
      </c>
      <c r="AZ864" s="49">
        <f t="shared" si="222"/>
        <v>0</v>
      </c>
      <c r="BA864" s="31">
        <v>2016</v>
      </c>
      <c r="BB864" s="188" t="str">
        <f t="shared" si="225"/>
        <v>CWFS</v>
      </c>
      <c r="BC864" s="188" t="str">
        <f t="shared" si="229"/>
        <v xml:space="preserve"> </v>
      </c>
      <c r="BD864" s="188" t="str">
        <f t="shared" si="230"/>
        <v xml:space="preserve"> </v>
      </c>
      <c r="BE864" s="188" t="str">
        <f t="shared" si="231"/>
        <v xml:space="preserve"> </v>
      </c>
      <c r="BF864" s="50" t="str">
        <f t="shared" si="223"/>
        <v>Coho Creek_Chum</v>
      </c>
      <c r="BG864" s="50" t="str">
        <f>IFERROR(VLOOKUP(BF864,'[1]WCVI Esc'!$C$5:$W$534,18,FALSE),"-")</f>
        <v>-</v>
      </c>
      <c r="BH864" s="50" t="str">
        <f t="shared" si="226"/>
        <v>-</v>
      </c>
      <c r="BI864" s="50" t="str">
        <f>IFERROR(VLOOKUP(BF864,'[1]WCVI Esc'!$C$5:$W$534,19,FALSE),"-")</f>
        <v>-</v>
      </c>
      <c r="BJ864" s="50" t="str">
        <f t="shared" si="227"/>
        <v>-</v>
      </c>
    </row>
    <row r="865" spans="1:67" hidden="1" x14ac:dyDescent="0.2">
      <c r="A865" s="28">
        <v>4</v>
      </c>
      <c r="B865" s="28">
        <v>5</v>
      </c>
      <c r="C865" s="11">
        <v>24</v>
      </c>
      <c r="D865" s="13" t="s">
        <v>296</v>
      </c>
      <c r="E865" s="10" t="s">
        <v>328</v>
      </c>
      <c r="F865" s="10" t="s">
        <v>210</v>
      </c>
      <c r="G865" s="10"/>
      <c r="H865" s="152"/>
      <c r="I865" s="155"/>
      <c r="J865" s="106"/>
      <c r="K865" s="94"/>
      <c r="L865" s="180"/>
      <c r="M865" s="173"/>
      <c r="N865" s="106"/>
      <c r="O865" s="106"/>
      <c r="P865" s="63"/>
      <c r="Q865" s="162"/>
      <c r="R865" s="164"/>
      <c r="S865" s="62"/>
      <c r="T865" s="62"/>
      <c r="U865" s="62"/>
      <c r="V865" s="177"/>
      <c r="W865" s="171"/>
      <c r="X865" s="62"/>
      <c r="Y865" s="45"/>
      <c r="Z865" s="45"/>
      <c r="AA865" s="100"/>
      <c r="AB865" s="100"/>
      <c r="AC865" s="24"/>
      <c r="AD865" s="24"/>
      <c r="AE865" s="24"/>
      <c r="AF865" s="24"/>
      <c r="AG865" s="18">
        <v>24</v>
      </c>
      <c r="AH865" s="69" t="s">
        <v>296</v>
      </c>
      <c r="AI865" s="243" t="s">
        <v>328</v>
      </c>
      <c r="AJ865" s="243" t="s">
        <v>419</v>
      </c>
      <c r="AK865" s="244" t="s">
        <v>351</v>
      </c>
      <c r="AL865" s="43" t="str">
        <f t="shared" si="228"/>
        <v>-</v>
      </c>
      <c r="AM865" s="43">
        <f t="shared" si="216"/>
        <v>0</v>
      </c>
      <c r="AN865" s="193">
        <f t="shared" si="216"/>
        <v>0</v>
      </c>
      <c r="AO865" s="264" t="str">
        <f t="shared" si="217"/>
        <v>-</v>
      </c>
      <c r="AP865" s="266"/>
      <c r="AQ865" s="26" t="str">
        <f t="shared" si="224"/>
        <v>Coho CreekChinook</v>
      </c>
      <c r="AR865" s="26">
        <f t="shared" si="218"/>
        <v>0</v>
      </c>
      <c r="AS865" s="33">
        <f t="shared" si="219"/>
        <v>0</v>
      </c>
      <c r="AX865" s="47" t="str">
        <f t="shared" si="220"/>
        <v>Coho CreekChinook</v>
      </c>
      <c r="AY865" s="49">
        <f t="shared" si="221"/>
        <v>0</v>
      </c>
      <c r="AZ865" s="49">
        <f t="shared" si="222"/>
        <v>0</v>
      </c>
      <c r="BA865" s="31">
        <v>0</v>
      </c>
      <c r="BB865" s="188" t="str">
        <f t="shared" si="225"/>
        <v>CWFS</v>
      </c>
      <c r="BC865" s="188" t="str">
        <f t="shared" si="229"/>
        <v xml:space="preserve"> </v>
      </c>
      <c r="BD865" s="188" t="str">
        <f t="shared" si="230"/>
        <v xml:space="preserve"> </v>
      </c>
      <c r="BE865" s="188" t="str">
        <f t="shared" si="231"/>
        <v xml:space="preserve"> </v>
      </c>
      <c r="BF865" s="50" t="str">
        <f t="shared" si="223"/>
        <v>Coho Creek_Chinook</v>
      </c>
      <c r="BG865" s="50" t="str">
        <f>IFERROR(VLOOKUP(BF865,'[1]WCVI Esc'!$C$5:$W$534,18,FALSE),"-")</f>
        <v>-</v>
      </c>
      <c r="BH865" s="50" t="str">
        <f t="shared" si="226"/>
        <v>-</v>
      </c>
      <c r="BI865" s="50" t="str">
        <f>IFERROR(VLOOKUP(BF865,'[1]WCVI Esc'!$C$5:$W$534,19,FALSE),"-")</f>
        <v>-</v>
      </c>
      <c r="BJ865" s="50" t="str">
        <f t="shared" si="227"/>
        <v>-</v>
      </c>
      <c r="BK865">
        <v>5</v>
      </c>
      <c r="BL865" t="s">
        <v>351</v>
      </c>
      <c r="BO865" s="31">
        <v>1</v>
      </c>
    </row>
    <row r="866" spans="1:67" hidden="1" x14ac:dyDescent="0.2">
      <c r="A866" s="28">
        <v>4</v>
      </c>
      <c r="B866" s="28">
        <v>6</v>
      </c>
      <c r="C866" s="11">
        <v>24</v>
      </c>
      <c r="D866" s="13" t="s">
        <v>296</v>
      </c>
      <c r="E866" s="10" t="s">
        <v>328</v>
      </c>
      <c r="F866" s="10" t="s">
        <v>211</v>
      </c>
      <c r="G866" s="10"/>
      <c r="H866" s="152"/>
      <c r="I866" s="155"/>
      <c r="J866" s="106"/>
      <c r="K866" s="94"/>
      <c r="L866" s="180"/>
      <c r="M866" s="173"/>
      <c r="N866" s="106"/>
      <c r="O866" s="106"/>
      <c r="P866" s="63"/>
      <c r="Q866" s="162"/>
      <c r="R866" s="164"/>
      <c r="S866" s="62"/>
      <c r="T866" s="62"/>
      <c r="U866" s="62"/>
      <c r="V866" s="177"/>
      <c r="W866" s="171"/>
      <c r="X866" s="62"/>
      <c r="Y866" s="45"/>
      <c r="Z866" s="45"/>
      <c r="AA866" s="100"/>
      <c r="AB866" s="100"/>
      <c r="AC866" s="24"/>
      <c r="AD866" s="24"/>
      <c r="AE866" s="24"/>
      <c r="AF866" s="24"/>
      <c r="AG866" s="18">
        <v>24</v>
      </c>
      <c r="AH866" s="69" t="s">
        <v>296</v>
      </c>
      <c r="AI866" s="243" t="s">
        <v>328</v>
      </c>
      <c r="AJ866" s="243" t="s">
        <v>419</v>
      </c>
      <c r="AK866" s="244" t="s">
        <v>351</v>
      </c>
      <c r="AL866" s="43" t="str">
        <f t="shared" si="228"/>
        <v>-</v>
      </c>
      <c r="AM866" s="43">
        <f t="shared" si="216"/>
        <v>0</v>
      </c>
      <c r="AN866" s="193">
        <f t="shared" si="216"/>
        <v>0</v>
      </c>
      <c r="AO866" s="264" t="str">
        <f t="shared" si="217"/>
        <v>-</v>
      </c>
      <c r="AP866" s="266"/>
      <c r="AQ866" s="26" t="str">
        <f t="shared" si="224"/>
        <v>Coho CreekSteelhead</v>
      </c>
      <c r="AR866" s="26">
        <f t="shared" si="218"/>
        <v>0</v>
      </c>
      <c r="AS866" s="33">
        <f t="shared" si="219"/>
        <v>0</v>
      </c>
      <c r="AX866" s="47" t="str">
        <f t="shared" si="220"/>
        <v>Coho CreekSteelhead</v>
      </c>
      <c r="AY866" s="49">
        <f t="shared" si="221"/>
        <v>0</v>
      </c>
      <c r="AZ866" s="49">
        <f t="shared" si="222"/>
        <v>0</v>
      </c>
      <c r="BA866" s="31">
        <v>0</v>
      </c>
      <c r="BB866" s="188" t="str">
        <f t="shared" si="225"/>
        <v>CWFS</v>
      </c>
      <c r="BC866" s="188" t="str">
        <f t="shared" si="229"/>
        <v xml:space="preserve"> </v>
      </c>
      <c r="BD866" s="188" t="str">
        <f t="shared" si="230"/>
        <v xml:space="preserve"> </v>
      </c>
      <c r="BE866" s="188" t="str">
        <f t="shared" si="231"/>
        <v xml:space="preserve"> </v>
      </c>
      <c r="BF866" s="50" t="str">
        <f t="shared" si="223"/>
        <v>Coho Creek_Steelhead</v>
      </c>
      <c r="BG866" s="50" t="str">
        <f>IFERROR(VLOOKUP(BF866,'[1]WCVI Esc'!$C$5:$W$534,18,FALSE),"-")</f>
        <v>-</v>
      </c>
      <c r="BH866" s="50" t="str">
        <f t="shared" si="226"/>
        <v>-</v>
      </c>
      <c r="BI866" s="50" t="str">
        <f>IFERROR(VLOOKUP(BF866,'[1]WCVI Esc'!$C$5:$W$534,19,FALSE),"-")</f>
        <v>-</v>
      </c>
      <c r="BJ866" s="50" t="str">
        <f t="shared" si="227"/>
        <v>-</v>
      </c>
    </row>
    <row r="867" spans="1:67" hidden="1" x14ac:dyDescent="0.2">
      <c r="A867" s="28">
        <v>4</v>
      </c>
      <c r="B867" s="28">
        <v>1</v>
      </c>
      <c r="C867" s="11">
        <v>24</v>
      </c>
      <c r="D867" s="13" t="s">
        <v>296</v>
      </c>
      <c r="E867" s="10" t="s">
        <v>190</v>
      </c>
      <c r="F867" s="10" t="s">
        <v>207</v>
      </c>
      <c r="G867" s="10"/>
      <c r="H867" s="152"/>
      <c r="I867" s="164"/>
      <c r="J867" s="62"/>
      <c r="K867" s="62"/>
      <c r="L867" s="177"/>
      <c r="M867" s="171"/>
      <c r="N867" s="62"/>
      <c r="O867" s="62"/>
      <c r="P867" s="62"/>
      <c r="Q867" s="64"/>
      <c r="R867" s="164"/>
      <c r="S867" s="62"/>
      <c r="T867" s="62"/>
      <c r="U867" s="62"/>
      <c r="V867" s="177"/>
      <c r="W867" s="171"/>
      <c r="X867" s="62"/>
      <c r="Y867" s="45"/>
      <c r="Z867" s="45"/>
      <c r="AA867" s="100" t="e">
        <f>Y867/AP867</f>
        <v>#VALUE!</v>
      </c>
      <c r="AB867" s="100" t="e">
        <f>AS867/AP867</f>
        <v>#VALUE!</v>
      </c>
      <c r="AC867" s="24"/>
      <c r="AD867" s="24"/>
      <c r="AE867" s="24"/>
      <c r="AF867" s="24"/>
      <c r="AG867" s="18">
        <v>24</v>
      </c>
      <c r="AH867" s="69" t="s">
        <v>296</v>
      </c>
      <c r="AI867" s="243" t="s">
        <v>190</v>
      </c>
      <c r="AJ867" s="243" t="s">
        <v>419</v>
      </c>
      <c r="AK867" s="246"/>
      <c r="AL867" s="43" t="str">
        <f t="shared" si="228"/>
        <v>-</v>
      </c>
      <c r="AM867" s="43">
        <f t="shared" si="216"/>
        <v>0</v>
      </c>
      <c r="AN867" s="193">
        <f t="shared" si="216"/>
        <v>0</v>
      </c>
      <c r="AO867" s="270" t="str">
        <f t="shared" si="217"/>
        <v>-</v>
      </c>
      <c r="AP867" s="265" t="str">
        <f>BJ867</f>
        <v>-</v>
      </c>
      <c r="AQ867" s="26" t="str">
        <f t="shared" si="224"/>
        <v>COLD CREEKSockeye</v>
      </c>
      <c r="AR867" s="26">
        <f t="shared" si="218"/>
        <v>0</v>
      </c>
      <c r="AS867" s="33">
        <f t="shared" si="219"/>
        <v>0</v>
      </c>
      <c r="AX867" s="47" t="str">
        <f t="shared" si="220"/>
        <v>COLD CREEKSockeye</v>
      </c>
      <c r="AY867" s="49">
        <f t="shared" si="221"/>
        <v>0</v>
      </c>
      <c r="AZ867" s="49">
        <f t="shared" si="222"/>
        <v>0</v>
      </c>
      <c r="BA867" s="31">
        <v>2010</v>
      </c>
      <c r="BB867" s="188">
        <f t="shared" si="225"/>
        <v>0</v>
      </c>
      <c r="BC867" s="188" t="str">
        <f t="shared" si="229"/>
        <v xml:space="preserve"> </v>
      </c>
      <c r="BD867" s="188" t="str">
        <f t="shared" si="230"/>
        <v xml:space="preserve"> </v>
      </c>
      <c r="BE867" s="188" t="str">
        <f t="shared" si="231"/>
        <v xml:space="preserve"> </v>
      </c>
      <c r="BF867" s="50" t="str">
        <f t="shared" si="223"/>
        <v>COLD CREEK_Sockeye</v>
      </c>
      <c r="BG867" s="50" t="str">
        <f>IFERROR(VLOOKUP(BF867,'[1]WCVI Esc'!$C$5:$W$514,18,FALSE),"-")</f>
        <v>-</v>
      </c>
      <c r="BH867" s="50" t="str">
        <f t="shared" si="226"/>
        <v>-</v>
      </c>
      <c r="BI867" s="50" t="str">
        <f>IFERROR(VLOOKUP(BF867,'[1]WCVI Esc'!$C$5:$W$514,19,FALSE),"-")</f>
        <v>-</v>
      </c>
      <c r="BJ867" s="50" t="str">
        <f t="shared" si="227"/>
        <v>-</v>
      </c>
    </row>
    <row r="868" spans="1:67" hidden="1" x14ac:dyDescent="0.2">
      <c r="A868" s="28">
        <v>4</v>
      </c>
      <c r="B868" s="28">
        <v>2</v>
      </c>
      <c r="C868" s="11">
        <v>24</v>
      </c>
      <c r="D868" s="13" t="s">
        <v>296</v>
      </c>
      <c r="E868" s="10" t="s">
        <v>190</v>
      </c>
      <c r="F868" s="10" t="s">
        <v>219</v>
      </c>
      <c r="G868" s="10"/>
      <c r="H868" s="152"/>
      <c r="I868" s="164"/>
      <c r="J868" s="62"/>
      <c r="K868" s="62"/>
      <c r="L868" s="177"/>
      <c r="M868" s="171"/>
      <c r="N868" s="62"/>
      <c r="O868" s="62"/>
      <c r="P868" s="62"/>
      <c r="Q868" s="64"/>
      <c r="R868" s="164"/>
      <c r="S868" s="62"/>
      <c r="T868" s="62"/>
      <c r="U868" s="62"/>
      <c r="V868" s="177"/>
      <c r="W868" s="171"/>
      <c r="X868" s="62"/>
      <c r="Y868" s="45"/>
      <c r="Z868" s="45"/>
      <c r="AA868" s="100">
        <f>Y868/AP868</f>
        <v>0</v>
      </c>
      <c r="AB868" s="100">
        <f>AS868/AP868</f>
        <v>0</v>
      </c>
      <c r="AC868" s="24"/>
      <c r="AD868" s="24"/>
      <c r="AE868" s="24"/>
      <c r="AF868" s="24"/>
      <c r="AG868" s="18">
        <v>24</v>
      </c>
      <c r="AH868" s="69" t="s">
        <v>296</v>
      </c>
      <c r="AI868" s="243" t="s">
        <v>190</v>
      </c>
      <c r="AJ868" s="243" t="s">
        <v>419</v>
      </c>
      <c r="AK868" s="246"/>
      <c r="AL868" s="43" t="str">
        <f t="shared" si="228"/>
        <v>-</v>
      </c>
      <c r="AM868" s="43">
        <f t="shared" si="216"/>
        <v>0</v>
      </c>
      <c r="AN868" s="193">
        <f t="shared" si="216"/>
        <v>0</v>
      </c>
      <c r="AO868" s="270">
        <f t="shared" si="217"/>
        <v>0</v>
      </c>
      <c r="AP868" s="265">
        <f>BJ868</f>
        <v>10</v>
      </c>
      <c r="AQ868" s="26" t="str">
        <f t="shared" si="224"/>
        <v>COLD CREEKCoho</v>
      </c>
      <c r="AR868" s="26">
        <f t="shared" si="218"/>
        <v>0</v>
      </c>
      <c r="AS868" s="33">
        <f t="shared" si="219"/>
        <v>0</v>
      </c>
      <c r="AX868" s="47" t="str">
        <f t="shared" si="220"/>
        <v>COLD CREEKCoho</v>
      </c>
      <c r="AY868" s="49">
        <f t="shared" si="221"/>
        <v>0</v>
      </c>
      <c r="AZ868" s="49">
        <f t="shared" si="222"/>
        <v>0</v>
      </c>
      <c r="BA868" s="31">
        <v>2015</v>
      </c>
      <c r="BB868" s="188">
        <f t="shared" si="225"/>
        <v>0</v>
      </c>
      <c r="BC868" s="188" t="str">
        <f t="shared" si="229"/>
        <v xml:space="preserve"> </v>
      </c>
      <c r="BD868" s="188" t="str">
        <f t="shared" si="230"/>
        <v xml:space="preserve"> </v>
      </c>
      <c r="BE868" s="188" t="str">
        <f t="shared" si="231"/>
        <v xml:space="preserve"> </v>
      </c>
      <c r="BF868" s="50" t="str">
        <f t="shared" si="223"/>
        <v>COLD CREEK_Coho</v>
      </c>
      <c r="BG868" s="50">
        <f>IFERROR(VLOOKUP(BF868,'[1]WCVI Esc'!$C$5:$W$514,18,FALSE),"-")</f>
        <v>2</v>
      </c>
      <c r="BH868" s="50">
        <f t="shared" si="226"/>
        <v>0</v>
      </c>
      <c r="BI868" s="50">
        <f>IFERROR(VLOOKUP(BF868,'[1]WCVI Esc'!$C$5:$W$514,19,FALSE),"-")</f>
        <v>12</v>
      </c>
      <c r="BJ868" s="50">
        <f t="shared" si="227"/>
        <v>10</v>
      </c>
    </row>
    <row r="869" spans="1:67" hidden="1" x14ac:dyDescent="0.2">
      <c r="A869" s="28">
        <v>4</v>
      </c>
      <c r="B869" s="28">
        <v>3</v>
      </c>
      <c r="C869" s="11">
        <v>24</v>
      </c>
      <c r="D869" s="13" t="s">
        <v>296</v>
      </c>
      <c r="E869" s="10" t="s">
        <v>190</v>
      </c>
      <c r="F869" s="10" t="s">
        <v>208</v>
      </c>
      <c r="G869" s="10"/>
      <c r="H869" s="152"/>
      <c r="I869" s="164"/>
      <c r="J869" s="62"/>
      <c r="K869" s="62"/>
      <c r="L869" s="177"/>
      <c r="M869" s="171"/>
      <c r="N869" s="62"/>
      <c r="O869" s="62"/>
      <c r="P869" s="62"/>
      <c r="Q869" s="64"/>
      <c r="R869" s="164"/>
      <c r="S869" s="62"/>
      <c r="T869" s="62"/>
      <c r="U869" s="62"/>
      <c r="V869" s="177"/>
      <c r="W869" s="171"/>
      <c r="X869" s="62"/>
      <c r="Y869" s="45"/>
      <c r="Z869" s="45"/>
      <c r="AA869" s="100"/>
      <c r="AB869" s="100"/>
      <c r="AC869" s="24"/>
      <c r="AD869" s="24"/>
      <c r="AE869" s="24"/>
      <c r="AF869" s="24"/>
      <c r="AG869" s="18">
        <v>24</v>
      </c>
      <c r="AH869" s="69" t="s">
        <v>296</v>
      </c>
      <c r="AI869" s="243" t="s">
        <v>190</v>
      </c>
      <c r="AJ869" s="243" t="s">
        <v>419</v>
      </c>
      <c r="AK869" s="246"/>
      <c r="AL869" s="43" t="str">
        <f t="shared" si="228"/>
        <v>-</v>
      </c>
      <c r="AM869" s="43">
        <f t="shared" si="216"/>
        <v>0</v>
      </c>
      <c r="AN869" s="193">
        <f t="shared" si="216"/>
        <v>0</v>
      </c>
      <c r="AO869" s="270" t="str">
        <f t="shared" si="217"/>
        <v>-</v>
      </c>
      <c r="AP869" s="266"/>
      <c r="AQ869" s="26" t="str">
        <f t="shared" si="224"/>
        <v>COLD CREEKPink</v>
      </c>
      <c r="AR869" s="26">
        <f t="shared" si="218"/>
        <v>0</v>
      </c>
      <c r="AS869" s="33">
        <f t="shared" si="219"/>
        <v>0</v>
      </c>
      <c r="AX869" s="47" t="str">
        <f t="shared" si="220"/>
        <v>COLD CREEKPink</v>
      </c>
      <c r="AY869" s="49">
        <f t="shared" si="221"/>
        <v>0</v>
      </c>
      <c r="AZ869" s="49">
        <f t="shared" si="222"/>
        <v>0</v>
      </c>
      <c r="BA869" s="31">
        <v>0</v>
      </c>
      <c r="BB869" s="188">
        <f t="shared" si="225"/>
        <v>0</v>
      </c>
      <c r="BC869" s="188" t="str">
        <f t="shared" si="229"/>
        <v xml:space="preserve"> </v>
      </c>
      <c r="BD869" s="188" t="str">
        <f t="shared" si="230"/>
        <v xml:space="preserve"> </v>
      </c>
      <c r="BE869" s="188" t="str">
        <f t="shared" si="231"/>
        <v xml:space="preserve"> </v>
      </c>
      <c r="BF869" s="50" t="str">
        <f t="shared" si="223"/>
        <v>COLD CREEK_Pink</v>
      </c>
      <c r="BG869" s="50" t="str">
        <f>IFERROR(VLOOKUP(BF869,'[1]WCVI Esc'!$C$5:$W$514,18,FALSE),"-")</f>
        <v>-</v>
      </c>
      <c r="BH869" s="50" t="str">
        <f t="shared" si="226"/>
        <v>-</v>
      </c>
      <c r="BI869" s="50" t="str">
        <f>IFERROR(VLOOKUP(BF869,'[1]WCVI Esc'!$C$5:$W$514,19,FALSE),"-")</f>
        <v>-</v>
      </c>
      <c r="BJ869" s="50" t="str">
        <f t="shared" si="227"/>
        <v>-</v>
      </c>
    </row>
    <row r="870" spans="1:67" hidden="1" x14ac:dyDescent="0.2">
      <c r="A870" s="28">
        <v>4</v>
      </c>
      <c r="B870" s="28">
        <v>4</v>
      </c>
      <c r="C870" s="11">
        <v>24</v>
      </c>
      <c r="D870" s="13" t="s">
        <v>296</v>
      </c>
      <c r="E870" s="10" t="s">
        <v>190</v>
      </c>
      <c r="F870" s="10" t="s">
        <v>209</v>
      </c>
      <c r="G870" s="10"/>
      <c r="H870" s="152"/>
      <c r="I870" s="164"/>
      <c r="J870" s="62"/>
      <c r="K870" s="62"/>
      <c r="L870" s="177"/>
      <c r="M870" s="171"/>
      <c r="N870" s="62"/>
      <c r="O870" s="62"/>
      <c r="P870" s="62"/>
      <c r="Q870" s="64"/>
      <c r="R870" s="164"/>
      <c r="S870" s="62"/>
      <c r="T870" s="62"/>
      <c r="U870" s="62"/>
      <c r="V870" s="177"/>
      <c r="W870" s="171"/>
      <c r="X870" s="62"/>
      <c r="Y870" s="45"/>
      <c r="Z870" s="45"/>
      <c r="AA870" s="100"/>
      <c r="AB870" s="100"/>
      <c r="AC870" s="24"/>
      <c r="AD870" s="24"/>
      <c r="AE870" s="24"/>
      <c r="AF870" s="24"/>
      <c r="AG870" s="18">
        <v>24</v>
      </c>
      <c r="AH870" s="69" t="s">
        <v>296</v>
      </c>
      <c r="AI870" s="243" t="s">
        <v>190</v>
      </c>
      <c r="AJ870" s="243" t="s">
        <v>419</v>
      </c>
      <c r="AK870" s="246"/>
      <c r="AL870" s="43" t="str">
        <f t="shared" si="228"/>
        <v>-</v>
      </c>
      <c r="AM870" s="43">
        <f t="shared" si="216"/>
        <v>0</v>
      </c>
      <c r="AN870" s="193">
        <f t="shared" si="216"/>
        <v>0</v>
      </c>
      <c r="AO870" s="270" t="str">
        <f t="shared" si="217"/>
        <v>-</v>
      </c>
      <c r="AP870" s="266"/>
      <c r="AQ870" s="26" t="str">
        <f t="shared" si="224"/>
        <v>COLD CREEKChum</v>
      </c>
      <c r="AR870" s="26">
        <f t="shared" si="218"/>
        <v>0</v>
      </c>
      <c r="AS870" s="33">
        <f t="shared" si="219"/>
        <v>0</v>
      </c>
      <c r="AX870" s="47" t="str">
        <f t="shared" si="220"/>
        <v>COLD CREEKChum</v>
      </c>
      <c r="AY870" s="49">
        <f t="shared" si="221"/>
        <v>0</v>
      </c>
      <c r="AZ870" s="49">
        <f t="shared" si="222"/>
        <v>0</v>
      </c>
      <c r="BA870" s="31">
        <v>0</v>
      </c>
      <c r="BB870" s="188">
        <f t="shared" si="225"/>
        <v>0</v>
      </c>
      <c r="BC870" s="188" t="str">
        <f t="shared" si="229"/>
        <v xml:space="preserve"> </v>
      </c>
      <c r="BD870" s="188" t="str">
        <f t="shared" si="230"/>
        <v xml:space="preserve"> </v>
      </c>
      <c r="BE870" s="188" t="str">
        <f t="shared" si="231"/>
        <v xml:space="preserve"> </v>
      </c>
      <c r="BF870" s="50" t="str">
        <f t="shared" si="223"/>
        <v>COLD CREEK_Chum</v>
      </c>
      <c r="BG870" s="50" t="str">
        <f>IFERROR(VLOOKUP(BF870,'[1]WCVI Esc'!$C$5:$W$514,18,FALSE),"-")</f>
        <v>-</v>
      </c>
      <c r="BH870" s="50" t="str">
        <f t="shared" si="226"/>
        <v>-</v>
      </c>
      <c r="BI870" s="50" t="str">
        <f>IFERROR(VLOOKUP(BF870,'[1]WCVI Esc'!$C$5:$W$514,19,FALSE),"-")</f>
        <v>-</v>
      </c>
      <c r="BJ870" s="50" t="str">
        <f t="shared" si="227"/>
        <v>-</v>
      </c>
    </row>
    <row r="871" spans="1:67" hidden="1" x14ac:dyDescent="0.2">
      <c r="A871" s="28">
        <v>4</v>
      </c>
      <c r="B871" s="28">
        <v>5</v>
      </c>
      <c r="C871" s="11">
        <v>24</v>
      </c>
      <c r="D871" s="13" t="s">
        <v>296</v>
      </c>
      <c r="E871" s="10" t="s">
        <v>190</v>
      </c>
      <c r="F871" s="10" t="s">
        <v>210</v>
      </c>
      <c r="G871" s="10"/>
      <c r="H871" s="152"/>
      <c r="I871" s="164"/>
      <c r="J871" s="62"/>
      <c r="K871" s="62"/>
      <c r="L871" s="177"/>
      <c r="M871" s="171"/>
      <c r="N871" s="62"/>
      <c r="O871" s="62"/>
      <c r="P871" s="62"/>
      <c r="Q871" s="64"/>
      <c r="R871" s="164"/>
      <c r="S871" s="62"/>
      <c r="T871" s="62"/>
      <c r="U871" s="62"/>
      <c r="V871" s="177"/>
      <c r="W871" s="171"/>
      <c r="X871" s="62"/>
      <c r="Y871" s="45"/>
      <c r="Z871" s="45"/>
      <c r="AA871" s="100"/>
      <c r="AB871" s="100"/>
      <c r="AC871" s="24"/>
      <c r="AD871" s="24"/>
      <c r="AE871" s="24"/>
      <c r="AF871" s="24"/>
      <c r="AG871" s="18">
        <v>24</v>
      </c>
      <c r="AH871" s="69" t="s">
        <v>296</v>
      </c>
      <c r="AI871" s="243" t="s">
        <v>190</v>
      </c>
      <c r="AJ871" s="243" t="s">
        <v>419</v>
      </c>
      <c r="AK871" s="246"/>
      <c r="AL871" s="43" t="str">
        <f t="shared" si="228"/>
        <v>-</v>
      </c>
      <c r="AM871" s="43">
        <f t="shared" si="216"/>
        <v>0</v>
      </c>
      <c r="AN871" s="193">
        <f t="shared" si="216"/>
        <v>0</v>
      </c>
      <c r="AO871" s="270" t="str">
        <f t="shared" si="217"/>
        <v>-</v>
      </c>
      <c r="AP871" s="266"/>
      <c r="AQ871" s="26" t="str">
        <f t="shared" si="224"/>
        <v>COLD CREEKChinook</v>
      </c>
      <c r="AR871" s="26">
        <f t="shared" si="218"/>
        <v>0</v>
      </c>
      <c r="AS871" s="33">
        <f t="shared" si="219"/>
        <v>0</v>
      </c>
      <c r="AX871" s="47" t="str">
        <f t="shared" si="220"/>
        <v>COLD CREEKChinook</v>
      </c>
      <c r="AY871" s="49">
        <f t="shared" si="221"/>
        <v>0</v>
      </c>
      <c r="AZ871" s="49">
        <f t="shared" si="222"/>
        <v>0</v>
      </c>
      <c r="BA871" s="31">
        <v>0</v>
      </c>
      <c r="BB871" s="188">
        <f t="shared" si="225"/>
        <v>0</v>
      </c>
      <c r="BC871" s="188" t="str">
        <f t="shared" si="229"/>
        <v xml:space="preserve"> </v>
      </c>
      <c r="BD871" s="188" t="str">
        <f t="shared" si="230"/>
        <v xml:space="preserve"> </v>
      </c>
      <c r="BE871" s="188" t="str">
        <f t="shared" si="231"/>
        <v xml:space="preserve"> </v>
      </c>
      <c r="BF871" s="50" t="str">
        <f t="shared" si="223"/>
        <v>COLD CREEK_Chinook</v>
      </c>
      <c r="BG871" s="50" t="str">
        <f>IFERROR(VLOOKUP(BF871,'[1]WCVI Esc'!$C$5:$W$514,18,FALSE),"-")</f>
        <v>-</v>
      </c>
      <c r="BH871" s="50" t="str">
        <f t="shared" si="226"/>
        <v>-</v>
      </c>
      <c r="BI871" s="50" t="str">
        <f>IFERROR(VLOOKUP(BF871,'[1]WCVI Esc'!$C$5:$W$514,19,FALSE),"-")</f>
        <v>-</v>
      </c>
      <c r="BJ871" s="50" t="str">
        <f t="shared" si="227"/>
        <v>-</v>
      </c>
    </row>
    <row r="872" spans="1:67" hidden="1" x14ac:dyDescent="0.2">
      <c r="A872" s="28">
        <v>4</v>
      </c>
      <c r="B872" s="28">
        <v>6</v>
      </c>
      <c r="C872" s="11">
        <v>24</v>
      </c>
      <c r="D872" s="13" t="s">
        <v>296</v>
      </c>
      <c r="E872" s="10" t="s">
        <v>190</v>
      </c>
      <c r="F872" s="10" t="s">
        <v>211</v>
      </c>
      <c r="G872" s="10"/>
      <c r="H872" s="152"/>
      <c r="I872" s="164"/>
      <c r="J872" s="62"/>
      <c r="K872" s="62"/>
      <c r="L872" s="177"/>
      <c r="M872" s="171"/>
      <c r="N872" s="62"/>
      <c r="O872" s="62"/>
      <c r="P872" s="62"/>
      <c r="Q872" s="64"/>
      <c r="R872" s="164"/>
      <c r="S872" s="62"/>
      <c r="T872" s="62"/>
      <c r="U872" s="62"/>
      <c r="V872" s="177"/>
      <c r="W872" s="171"/>
      <c r="X872" s="62"/>
      <c r="Y872" s="45"/>
      <c r="Z872" s="45"/>
      <c r="AA872" s="100"/>
      <c r="AB872" s="100"/>
      <c r="AC872" s="24"/>
      <c r="AD872" s="24"/>
      <c r="AE872" s="24"/>
      <c r="AF872" s="24"/>
      <c r="AG872" s="18">
        <v>24</v>
      </c>
      <c r="AH872" s="69" t="s">
        <v>296</v>
      </c>
      <c r="AI872" s="243" t="s">
        <v>190</v>
      </c>
      <c r="AJ872" s="243" t="s">
        <v>419</v>
      </c>
      <c r="AK872" s="246"/>
      <c r="AL872" s="43" t="str">
        <f t="shared" si="228"/>
        <v>-</v>
      </c>
      <c r="AM872" s="43">
        <f t="shared" si="216"/>
        <v>0</v>
      </c>
      <c r="AN872" s="193">
        <f t="shared" si="216"/>
        <v>0</v>
      </c>
      <c r="AO872" s="270" t="str">
        <f t="shared" si="217"/>
        <v>-</v>
      </c>
      <c r="AP872" s="266"/>
      <c r="AQ872" s="26" t="str">
        <f t="shared" si="224"/>
        <v>COLD CREEKSteelhead</v>
      </c>
      <c r="AR872" s="26">
        <f t="shared" si="218"/>
        <v>0</v>
      </c>
      <c r="AS872" s="33">
        <f t="shared" si="219"/>
        <v>0</v>
      </c>
      <c r="AX872" s="47" t="str">
        <f t="shared" si="220"/>
        <v>COLD CREEKSteelhead</v>
      </c>
      <c r="AY872" s="49">
        <f t="shared" si="221"/>
        <v>0</v>
      </c>
      <c r="AZ872" s="49">
        <f t="shared" si="222"/>
        <v>0</v>
      </c>
      <c r="BA872" s="31">
        <v>0</v>
      </c>
      <c r="BB872" s="188">
        <f t="shared" si="225"/>
        <v>0</v>
      </c>
      <c r="BC872" s="188" t="str">
        <f t="shared" si="229"/>
        <v xml:space="preserve"> </v>
      </c>
      <c r="BD872" s="188" t="str">
        <f t="shared" si="230"/>
        <v xml:space="preserve"> </v>
      </c>
      <c r="BE872" s="188" t="str">
        <f t="shared" si="231"/>
        <v xml:space="preserve"> </v>
      </c>
      <c r="BF872" s="50" t="str">
        <f t="shared" si="223"/>
        <v>COLD CREEK_Steelhead</v>
      </c>
      <c r="BG872" s="50" t="str">
        <f>IFERROR(VLOOKUP(BF872,'[1]WCVI Esc'!$C$5:$W$514,18,FALSE),"-")</f>
        <v>-</v>
      </c>
      <c r="BH872" s="50" t="str">
        <f t="shared" si="226"/>
        <v>-</v>
      </c>
      <c r="BI872" s="50" t="str">
        <f>IFERROR(VLOOKUP(BF872,'[1]WCVI Esc'!$C$5:$W$514,19,FALSE),"-")</f>
        <v>-</v>
      </c>
      <c r="BJ872" s="50" t="str">
        <f t="shared" si="227"/>
        <v>-</v>
      </c>
    </row>
    <row r="873" spans="1:67" hidden="1" x14ac:dyDescent="0.2">
      <c r="A873" s="28">
        <v>4</v>
      </c>
      <c r="B873" s="28">
        <v>1</v>
      </c>
      <c r="C873" s="11">
        <v>24</v>
      </c>
      <c r="D873" s="13" t="s">
        <v>296</v>
      </c>
      <c r="E873" s="10" t="s">
        <v>191</v>
      </c>
      <c r="F873" s="10" t="s">
        <v>207</v>
      </c>
      <c r="G873" s="10"/>
      <c r="H873" s="152"/>
      <c r="I873" s="155"/>
      <c r="J873" s="106"/>
      <c r="K873" s="94"/>
      <c r="L873" s="180"/>
      <c r="M873" s="173"/>
      <c r="N873" s="106"/>
      <c r="O873" s="106"/>
      <c r="P873" s="63"/>
      <c r="Q873" s="162"/>
      <c r="R873" s="169"/>
      <c r="S873" s="62"/>
      <c r="T873" s="63"/>
      <c r="U873" s="62"/>
      <c r="V873" s="177"/>
      <c r="W873" s="171"/>
      <c r="X873" s="62"/>
      <c r="Y873" s="45"/>
      <c r="Z873" s="45"/>
      <c r="AA873" s="100"/>
      <c r="AB873" s="100"/>
      <c r="AC873" s="24"/>
      <c r="AD873" s="24"/>
      <c r="AE873" s="24"/>
      <c r="AF873" s="24"/>
      <c r="AG873" s="18">
        <v>24</v>
      </c>
      <c r="AH873" s="69" t="s">
        <v>296</v>
      </c>
      <c r="AI873" s="243" t="s">
        <v>191</v>
      </c>
      <c r="AJ873" s="243" t="s">
        <v>419</v>
      </c>
      <c r="AK873" s="246"/>
      <c r="AL873" s="43" t="str">
        <f t="shared" si="228"/>
        <v>-</v>
      </c>
      <c r="AM873" s="43">
        <f t="shared" si="216"/>
        <v>0</v>
      </c>
      <c r="AN873" s="193">
        <f t="shared" si="216"/>
        <v>0</v>
      </c>
      <c r="AO873" s="264" t="str">
        <f t="shared" si="217"/>
        <v>-</v>
      </c>
      <c r="AP873" s="266"/>
      <c r="AQ873" s="26" t="str">
        <f t="shared" si="224"/>
        <v>CONE CREEKS (2)Sockeye</v>
      </c>
      <c r="AR873" s="26">
        <f t="shared" si="218"/>
        <v>0</v>
      </c>
      <c r="AS873" s="33">
        <f t="shared" si="219"/>
        <v>0</v>
      </c>
      <c r="AX873" s="47" t="str">
        <f t="shared" si="220"/>
        <v>CONE CREEKS (2)Sockeye</v>
      </c>
      <c r="AY873" s="49">
        <f t="shared" si="221"/>
        <v>0</v>
      </c>
      <c r="AZ873" s="49">
        <f t="shared" si="222"/>
        <v>0</v>
      </c>
      <c r="BA873" s="31">
        <v>0</v>
      </c>
      <c r="BB873" s="188">
        <f t="shared" si="225"/>
        <v>0</v>
      </c>
      <c r="BC873" s="188" t="str">
        <f t="shared" si="229"/>
        <v xml:space="preserve"> </v>
      </c>
      <c r="BD873" s="188" t="str">
        <f t="shared" si="230"/>
        <v xml:space="preserve"> </v>
      </c>
      <c r="BE873" s="188" t="str">
        <f t="shared" si="231"/>
        <v xml:space="preserve"> </v>
      </c>
      <c r="BF873" s="50" t="str">
        <f t="shared" si="223"/>
        <v>CONE CREEKS (2)_Sockeye</v>
      </c>
      <c r="BG873" s="50" t="str">
        <f>IFERROR(VLOOKUP(BF873,'[1]WCVI Esc'!$C$5:$W$534,18,FALSE),"-")</f>
        <v>-</v>
      </c>
      <c r="BH873" s="50" t="str">
        <f t="shared" si="226"/>
        <v>-</v>
      </c>
      <c r="BI873" s="50" t="str">
        <f>IFERROR(VLOOKUP(BF873,'[1]WCVI Esc'!$C$5:$W$534,19,FALSE),"-")</f>
        <v>-</v>
      </c>
      <c r="BJ873" s="50" t="str">
        <f t="shared" si="227"/>
        <v>-</v>
      </c>
    </row>
    <row r="874" spans="1:67" hidden="1" x14ac:dyDescent="0.2">
      <c r="A874" s="28">
        <v>4</v>
      </c>
      <c r="B874" s="28">
        <v>2</v>
      </c>
      <c r="C874" s="11">
        <v>24</v>
      </c>
      <c r="D874" s="13" t="s">
        <v>296</v>
      </c>
      <c r="E874" s="10" t="s">
        <v>191</v>
      </c>
      <c r="F874" s="10" t="s">
        <v>219</v>
      </c>
      <c r="G874" s="10"/>
      <c r="H874" s="152"/>
      <c r="I874" s="155"/>
      <c r="J874" s="106"/>
      <c r="K874" s="94"/>
      <c r="L874" s="180"/>
      <c r="M874" s="173"/>
      <c r="N874" s="106"/>
      <c r="O874" s="106"/>
      <c r="P874" s="63"/>
      <c r="Q874" s="162"/>
      <c r="R874" s="169"/>
      <c r="S874" s="62"/>
      <c r="T874" s="63"/>
      <c r="U874" s="62"/>
      <c r="V874" s="177"/>
      <c r="W874" s="171"/>
      <c r="X874" s="62"/>
      <c r="Y874" s="45"/>
      <c r="Z874" s="45"/>
      <c r="AA874" s="100"/>
      <c r="AB874" s="100"/>
      <c r="AC874" s="24"/>
      <c r="AD874" s="24"/>
      <c r="AE874" s="24"/>
      <c r="AF874" s="24"/>
      <c r="AG874" s="18">
        <v>24</v>
      </c>
      <c r="AH874" s="69" t="s">
        <v>296</v>
      </c>
      <c r="AI874" s="243" t="s">
        <v>191</v>
      </c>
      <c r="AJ874" s="243" t="s">
        <v>419</v>
      </c>
      <c r="AK874" s="246"/>
      <c r="AL874" s="43" t="str">
        <f t="shared" si="228"/>
        <v>-</v>
      </c>
      <c r="AM874" s="43">
        <f t="shared" si="216"/>
        <v>0</v>
      </c>
      <c r="AN874" s="193">
        <f t="shared" si="216"/>
        <v>0</v>
      </c>
      <c r="AO874" s="264" t="str">
        <f t="shared" si="217"/>
        <v>-</v>
      </c>
      <c r="AP874" s="266"/>
      <c r="AQ874" s="26" t="str">
        <f t="shared" si="224"/>
        <v>CONE CREEKS (2)Coho</v>
      </c>
      <c r="AR874" s="26">
        <f t="shared" si="218"/>
        <v>0</v>
      </c>
      <c r="AS874" s="33">
        <f t="shared" si="219"/>
        <v>0</v>
      </c>
      <c r="AX874" s="47" t="str">
        <f t="shared" si="220"/>
        <v>CONE CREEKS (2)Coho</v>
      </c>
      <c r="AY874" s="49">
        <f t="shared" si="221"/>
        <v>0</v>
      </c>
      <c r="AZ874" s="49">
        <f t="shared" si="222"/>
        <v>0</v>
      </c>
      <c r="BA874" s="31">
        <v>0</v>
      </c>
      <c r="BB874" s="188">
        <f t="shared" si="225"/>
        <v>0</v>
      </c>
      <c r="BC874" s="188" t="str">
        <f t="shared" si="229"/>
        <v xml:space="preserve"> </v>
      </c>
      <c r="BD874" s="188" t="str">
        <f t="shared" si="230"/>
        <v xml:space="preserve"> </v>
      </c>
      <c r="BE874" s="188" t="str">
        <f t="shared" si="231"/>
        <v xml:space="preserve"> </v>
      </c>
      <c r="BF874" s="50" t="str">
        <f t="shared" si="223"/>
        <v>CONE CREEKS (2)_Coho</v>
      </c>
      <c r="BG874" s="50" t="str">
        <f>IFERROR(VLOOKUP(BF874,'[1]WCVI Esc'!$C$5:$W$534,18,FALSE),"-")</f>
        <v>-</v>
      </c>
      <c r="BH874" s="50" t="str">
        <f t="shared" si="226"/>
        <v>-</v>
      </c>
      <c r="BI874" s="50" t="str">
        <f>IFERROR(VLOOKUP(BF874,'[1]WCVI Esc'!$C$5:$W$534,19,FALSE),"-")</f>
        <v>-</v>
      </c>
      <c r="BJ874" s="50" t="str">
        <f t="shared" si="227"/>
        <v>-</v>
      </c>
    </row>
    <row r="875" spans="1:67" hidden="1" x14ac:dyDescent="0.2">
      <c r="A875" s="28">
        <v>4</v>
      </c>
      <c r="B875" s="28">
        <v>3</v>
      </c>
      <c r="C875" s="11">
        <v>24</v>
      </c>
      <c r="D875" s="13" t="s">
        <v>296</v>
      </c>
      <c r="E875" s="10" t="s">
        <v>191</v>
      </c>
      <c r="F875" s="10" t="s">
        <v>208</v>
      </c>
      <c r="G875" s="10"/>
      <c r="H875" s="152"/>
      <c r="I875" s="155"/>
      <c r="J875" s="106"/>
      <c r="K875" s="94"/>
      <c r="L875" s="180"/>
      <c r="M875" s="173"/>
      <c r="N875" s="106"/>
      <c r="O875" s="106"/>
      <c r="P875" s="63"/>
      <c r="Q875" s="162"/>
      <c r="R875" s="169"/>
      <c r="S875" s="62"/>
      <c r="T875" s="63"/>
      <c r="U875" s="62"/>
      <c r="V875" s="177"/>
      <c r="W875" s="171"/>
      <c r="X875" s="62"/>
      <c r="Y875" s="45"/>
      <c r="Z875" s="45"/>
      <c r="AA875" s="100"/>
      <c r="AB875" s="100"/>
      <c r="AC875" s="24"/>
      <c r="AD875" s="24"/>
      <c r="AE875" s="24"/>
      <c r="AF875" s="24"/>
      <c r="AG875" s="18">
        <v>24</v>
      </c>
      <c r="AH875" s="69" t="s">
        <v>296</v>
      </c>
      <c r="AI875" s="243" t="s">
        <v>191</v>
      </c>
      <c r="AJ875" s="243" t="s">
        <v>419</v>
      </c>
      <c r="AK875" s="246"/>
      <c r="AL875" s="43" t="str">
        <f t="shared" si="228"/>
        <v>-</v>
      </c>
      <c r="AM875" s="43">
        <f t="shared" si="216"/>
        <v>0</v>
      </c>
      <c r="AN875" s="193">
        <f t="shared" si="216"/>
        <v>0</v>
      </c>
      <c r="AO875" s="264" t="str">
        <f t="shared" si="217"/>
        <v>-</v>
      </c>
      <c r="AP875" s="266"/>
      <c r="AQ875" s="26" t="str">
        <f t="shared" si="224"/>
        <v>CONE CREEKS (2)Pink</v>
      </c>
      <c r="AR875" s="26">
        <f t="shared" si="218"/>
        <v>0</v>
      </c>
      <c r="AS875" s="33">
        <f t="shared" si="219"/>
        <v>0</v>
      </c>
      <c r="AX875" s="47" t="str">
        <f t="shared" si="220"/>
        <v>CONE CREEKS (2)Pink</v>
      </c>
      <c r="AY875" s="49">
        <f t="shared" si="221"/>
        <v>0</v>
      </c>
      <c r="AZ875" s="49">
        <f t="shared" si="222"/>
        <v>0</v>
      </c>
      <c r="BA875" s="31">
        <v>0</v>
      </c>
      <c r="BB875" s="188">
        <f t="shared" si="225"/>
        <v>0</v>
      </c>
      <c r="BC875" s="188" t="str">
        <f t="shared" si="229"/>
        <v xml:space="preserve"> </v>
      </c>
      <c r="BD875" s="188" t="str">
        <f t="shared" si="230"/>
        <v xml:space="preserve"> </v>
      </c>
      <c r="BE875" s="188" t="str">
        <f t="shared" si="231"/>
        <v xml:space="preserve"> </v>
      </c>
      <c r="BF875" s="50" t="str">
        <f t="shared" si="223"/>
        <v>CONE CREEKS (2)_Pink</v>
      </c>
      <c r="BG875" s="50" t="str">
        <f>IFERROR(VLOOKUP(BF875,'[1]WCVI Esc'!$C$5:$W$534,18,FALSE),"-")</f>
        <v>-</v>
      </c>
      <c r="BH875" s="50" t="str">
        <f t="shared" si="226"/>
        <v>-</v>
      </c>
      <c r="BI875" s="50" t="str">
        <f>IFERROR(VLOOKUP(BF875,'[1]WCVI Esc'!$C$5:$W$534,19,FALSE),"-")</f>
        <v>-</v>
      </c>
      <c r="BJ875" s="50" t="str">
        <f t="shared" si="227"/>
        <v>-</v>
      </c>
    </row>
    <row r="876" spans="1:67" hidden="1" x14ac:dyDescent="0.2">
      <c r="A876" s="28">
        <v>4</v>
      </c>
      <c r="B876" s="28">
        <v>4</v>
      </c>
      <c r="C876" s="11">
        <v>24</v>
      </c>
      <c r="D876" s="13" t="s">
        <v>296</v>
      </c>
      <c r="E876" s="10" t="s">
        <v>191</v>
      </c>
      <c r="F876" s="10" t="s">
        <v>209</v>
      </c>
      <c r="G876" s="10"/>
      <c r="H876" s="152"/>
      <c r="I876" s="155"/>
      <c r="J876" s="106"/>
      <c r="K876" s="94"/>
      <c r="L876" s="180"/>
      <c r="M876" s="173"/>
      <c r="N876" s="106"/>
      <c r="O876" s="106"/>
      <c r="P876" s="63"/>
      <c r="Q876" s="162"/>
      <c r="R876" s="164"/>
      <c r="S876" s="62"/>
      <c r="T876" s="63"/>
      <c r="U876" s="62"/>
      <c r="V876" s="177"/>
      <c r="W876" s="171"/>
      <c r="X876" s="62"/>
      <c r="Y876" s="45"/>
      <c r="Z876" s="45"/>
      <c r="AA876" s="100">
        <f>Y876/AP876</f>
        <v>0</v>
      </c>
      <c r="AB876" s="100">
        <f>AS876/AP876</f>
        <v>0</v>
      </c>
      <c r="AC876" s="24"/>
      <c r="AD876" s="24"/>
      <c r="AE876" s="24"/>
      <c r="AF876" s="24"/>
      <c r="AG876" s="18">
        <v>24</v>
      </c>
      <c r="AH876" s="69" t="s">
        <v>296</v>
      </c>
      <c r="AI876" s="243" t="s">
        <v>191</v>
      </c>
      <c r="AJ876" s="243" t="s">
        <v>419</v>
      </c>
      <c r="AK876" s="246"/>
      <c r="AL876" s="43" t="str">
        <f t="shared" si="228"/>
        <v>-</v>
      </c>
      <c r="AM876" s="43">
        <f t="shared" si="216"/>
        <v>0</v>
      </c>
      <c r="AN876" s="193">
        <f t="shared" si="216"/>
        <v>0</v>
      </c>
      <c r="AO876" s="264">
        <f t="shared" si="217"/>
        <v>120</v>
      </c>
      <c r="AP876" s="265">
        <f>BJ876</f>
        <v>80</v>
      </c>
      <c r="AQ876" s="26" t="str">
        <f t="shared" si="224"/>
        <v>CONE CREEKS (2)Chum</v>
      </c>
      <c r="AR876" s="26">
        <f t="shared" si="218"/>
        <v>0</v>
      </c>
      <c r="AS876" s="33">
        <f t="shared" si="219"/>
        <v>0</v>
      </c>
      <c r="AX876" s="47" t="str">
        <f t="shared" si="220"/>
        <v>CONE CREEKS (2)Chum</v>
      </c>
      <c r="AY876" s="49">
        <f t="shared" si="221"/>
        <v>0</v>
      </c>
      <c r="AZ876" s="49">
        <f t="shared" si="222"/>
        <v>0</v>
      </c>
      <c r="BA876" s="31">
        <v>2016</v>
      </c>
      <c r="BB876" s="188">
        <f t="shared" si="225"/>
        <v>0</v>
      </c>
      <c r="BC876" s="188" t="str">
        <f t="shared" si="229"/>
        <v xml:space="preserve"> </v>
      </c>
      <c r="BD876" s="188" t="str">
        <f t="shared" si="230"/>
        <v xml:space="preserve"> </v>
      </c>
      <c r="BE876" s="188" t="str">
        <f t="shared" si="231"/>
        <v xml:space="preserve"> </v>
      </c>
      <c r="BF876" s="50" t="str">
        <f t="shared" si="223"/>
        <v>CONE CREEKS (2)_Chum</v>
      </c>
      <c r="BG876" s="50">
        <f>IFERROR(VLOOKUP(BF876,'[1]WCVI Esc'!$C$5:$W$534,18,FALSE),"-")</f>
        <v>122</v>
      </c>
      <c r="BH876" s="50">
        <f t="shared" si="226"/>
        <v>120</v>
      </c>
      <c r="BI876" s="50">
        <f>IFERROR(VLOOKUP(BF876,'[1]WCVI Esc'!$C$5:$W$534,19,FALSE),"-")</f>
        <v>84.166666666666671</v>
      </c>
      <c r="BJ876" s="50">
        <f t="shared" si="227"/>
        <v>80</v>
      </c>
    </row>
    <row r="877" spans="1:67" hidden="1" x14ac:dyDescent="0.2">
      <c r="A877" s="28">
        <v>4</v>
      </c>
      <c r="B877" s="28">
        <v>5</v>
      </c>
      <c r="C877" s="11">
        <v>24</v>
      </c>
      <c r="D877" s="13" t="s">
        <v>296</v>
      </c>
      <c r="E877" s="10" t="s">
        <v>191</v>
      </c>
      <c r="F877" s="10" t="s">
        <v>210</v>
      </c>
      <c r="G877" s="10"/>
      <c r="H877" s="152"/>
      <c r="I877" s="155"/>
      <c r="J877" s="106"/>
      <c r="K877" s="94"/>
      <c r="L877" s="180"/>
      <c r="M877" s="173"/>
      <c r="N877" s="106"/>
      <c r="O877" s="106"/>
      <c r="P877" s="63"/>
      <c r="Q877" s="162"/>
      <c r="R877" s="169"/>
      <c r="S877" s="62"/>
      <c r="T877" s="63"/>
      <c r="U877" s="62"/>
      <c r="V877" s="177"/>
      <c r="W877" s="171"/>
      <c r="X877" s="62"/>
      <c r="Y877" s="45"/>
      <c r="Z877" s="45"/>
      <c r="AA877" s="100"/>
      <c r="AB877" s="100"/>
      <c r="AC877" s="24"/>
      <c r="AD877" s="24"/>
      <c r="AE877" s="24"/>
      <c r="AF877" s="24"/>
      <c r="AG877" s="18">
        <v>24</v>
      </c>
      <c r="AH877" s="69" t="s">
        <v>296</v>
      </c>
      <c r="AI877" s="243" t="s">
        <v>191</v>
      </c>
      <c r="AJ877" s="243" t="s">
        <v>419</v>
      </c>
      <c r="AK877" s="246"/>
      <c r="AL877" s="43" t="str">
        <f t="shared" si="228"/>
        <v>-</v>
      </c>
      <c r="AM877" s="43">
        <f t="shared" si="216"/>
        <v>0</v>
      </c>
      <c r="AN877" s="193">
        <f t="shared" si="216"/>
        <v>0</v>
      </c>
      <c r="AO877" s="264" t="str">
        <f t="shared" si="217"/>
        <v>-</v>
      </c>
      <c r="AP877" s="266"/>
      <c r="AQ877" s="26" t="str">
        <f t="shared" si="224"/>
        <v>CONE CREEKS (2)Chinook</v>
      </c>
      <c r="AR877" s="26">
        <f t="shared" si="218"/>
        <v>0</v>
      </c>
      <c r="AS877" s="33">
        <f t="shared" si="219"/>
        <v>0</v>
      </c>
      <c r="AX877" s="47" t="str">
        <f t="shared" si="220"/>
        <v>CONE CREEKS (2)Chinook</v>
      </c>
      <c r="AY877" s="49">
        <f t="shared" si="221"/>
        <v>0</v>
      </c>
      <c r="AZ877" s="49">
        <f t="shared" si="222"/>
        <v>0</v>
      </c>
      <c r="BA877" s="31">
        <v>0</v>
      </c>
      <c r="BB877" s="188">
        <f t="shared" si="225"/>
        <v>0</v>
      </c>
      <c r="BC877" s="188" t="str">
        <f t="shared" si="229"/>
        <v xml:space="preserve"> </v>
      </c>
      <c r="BD877" s="188" t="str">
        <f t="shared" si="230"/>
        <v xml:space="preserve"> </v>
      </c>
      <c r="BE877" s="188" t="str">
        <f t="shared" si="231"/>
        <v xml:space="preserve"> </v>
      </c>
      <c r="BF877" s="50" t="str">
        <f t="shared" si="223"/>
        <v>CONE CREEKS (2)_Chinook</v>
      </c>
      <c r="BG877" s="50" t="str">
        <f>IFERROR(VLOOKUP(BF877,'[1]WCVI Esc'!$C$5:$W$534,18,FALSE),"-")</f>
        <v>-</v>
      </c>
      <c r="BH877" s="50" t="str">
        <f t="shared" si="226"/>
        <v>-</v>
      </c>
      <c r="BI877" s="50" t="str">
        <f>IFERROR(VLOOKUP(BF877,'[1]WCVI Esc'!$C$5:$W$534,19,FALSE),"-")</f>
        <v>-</v>
      </c>
      <c r="BJ877" s="50" t="str">
        <f t="shared" si="227"/>
        <v>-</v>
      </c>
      <c r="BK877">
        <v>1</v>
      </c>
      <c r="BL877" t="s">
        <v>351</v>
      </c>
      <c r="BO877" s="31">
        <v>1</v>
      </c>
    </row>
    <row r="878" spans="1:67" hidden="1" x14ac:dyDescent="0.2">
      <c r="A878" s="28">
        <v>4</v>
      </c>
      <c r="B878" s="28">
        <v>6</v>
      </c>
      <c r="C878" s="11">
        <v>24</v>
      </c>
      <c r="D878" s="13" t="s">
        <v>296</v>
      </c>
      <c r="E878" s="10" t="s">
        <v>191</v>
      </c>
      <c r="F878" s="10" t="s">
        <v>211</v>
      </c>
      <c r="G878" s="10"/>
      <c r="H878" s="152"/>
      <c r="I878" s="155"/>
      <c r="J878" s="106"/>
      <c r="K878" s="94"/>
      <c r="L878" s="180"/>
      <c r="M878" s="173"/>
      <c r="N878" s="106"/>
      <c r="O878" s="106"/>
      <c r="P878" s="63"/>
      <c r="Q878" s="162"/>
      <c r="R878" s="169"/>
      <c r="S878" s="62"/>
      <c r="T878" s="63"/>
      <c r="U878" s="62"/>
      <c r="V878" s="177"/>
      <c r="W878" s="171"/>
      <c r="X878" s="62"/>
      <c r="Y878" s="45"/>
      <c r="Z878" s="45"/>
      <c r="AA878" s="100"/>
      <c r="AB878" s="100"/>
      <c r="AC878" s="24"/>
      <c r="AD878" s="24"/>
      <c r="AE878" s="24"/>
      <c r="AF878" s="24"/>
      <c r="AG878" s="18">
        <v>24</v>
      </c>
      <c r="AH878" s="69" t="s">
        <v>296</v>
      </c>
      <c r="AI878" s="243" t="s">
        <v>191</v>
      </c>
      <c r="AJ878" s="243" t="s">
        <v>419</v>
      </c>
      <c r="AK878" s="246"/>
      <c r="AL878" s="43" t="str">
        <f t="shared" si="228"/>
        <v>-</v>
      </c>
      <c r="AM878" s="43">
        <f t="shared" si="216"/>
        <v>0</v>
      </c>
      <c r="AN878" s="193">
        <f t="shared" si="216"/>
        <v>0</v>
      </c>
      <c r="AO878" s="264" t="str">
        <f t="shared" si="217"/>
        <v>-</v>
      </c>
      <c r="AP878" s="266"/>
      <c r="AQ878" s="26" t="str">
        <f t="shared" si="224"/>
        <v>CONE CREEKS (2)Steelhead</v>
      </c>
      <c r="AR878" s="26">
        <f t="shared" si="218"/>
        <v>0</v>
      </c>
      <c r="AS878" s="33">
        <f t="shared" si="219"/>
        <v>0</v>
      </c>
      <c r="AX878" s="47" t="str">
        <f t="shared" si="220"/>
        <v>CONE CREEKS (2)Steelhead</v>
      </c>
      <c r="AY878" s="49">
        <f t="shared" si="221"/>
        <v>0</v>
      </c>
      <c r="AZ878" s="49">
        <f t="shared" si="222"/>
        <v>0</v>
      </c>
      <c r="BA878" s="31">
        <v>0</v>
      </c>
      <c r="BB878" s="188">
        <f t="shared" si="225"/>
        <v>0</v>
      </c>
      <c r="BC878" s="188" t="str">
        <f t="shared" si="229"/>
        <v xml:space="preserve"> </v>
      </c>
      <c r="BD878" s="188" t="str">
        <f t="shared" si="230"/>
        <v xml:space="preserve"> </v>
      </c>
      <c r="BE878" s="188" t="str">
        <f t="shared" si="231"/>
        <v xml:space="preserve"> </v>
      </c>
      <c r="BF878" s="50" t="str">
        <f t="shared" si="223"/>
        <v>CONE CREEKS (2)_Steelhead</v>
      </c>
      <c r="BG878" s="50" t="str">
        <f>IFERROR(VLOOKUP(BF878,'[1]WCVI Esc'!$C$5:$W$534,18,FALSE),"-")</f>
        <v>-</v>
      </c>
      <c r="BH878" s="50" t="str">
        <f t="shared" si="226"/>
        <v>-</v>
      </c>
      <c r="BI878" s="50" t="str">
        <f>IFERROR(VLOOKUP(BF878,'[1]WCVI Esc'!$C$5:$W$534,19,FALSE),"-")</f>
        <v>-</v>
      </c>
      <c r="BJ878" s="50" t="str">
        <f t="shared" si="227"/>
        <v>-</v>
      </c>
    </row>
    <row r="879" spans="1:67" hidden="1" x14ac:dyDescent="0.2">
      <c r="A879" s="28">
        <v>4</v>
      </c>
      <c r="B879" s="28">
        <v>1</v>
      </c>
      <c r="C879" s="11">
        <v>24</v>
      </c>
      <c r="D879" s="13" t="s">
        <v>297</v>
      </c>
      <c r="E879" s="10" t="s">
        <v>192</v>
      </c>
      <c r="F879" s="10" t="s">
        <v>207</v>
      </c>
      <c r="G879" s="10"/>
      <c r="H879" s="152"/>
      <c r="I879" s="164"/>
      <c r="J879" s="62"/>
      <c r="K879" s="62"/>
      <c r="L879" s="177"/>
      <c r="M879" s="171"/>
      <c r="N879" s="62"/>
      <c r="O879" s="62"/>
      <c r="P879" s="62"/>
      <c r="Q879" s="64"/>
      <c r="R879" s="164"/>
      <c r="S879" s="62"/>
      <c r="T879" s="62"/>
      <c r="U879" s="62"/>
      <c r="V879" s="177"/>
      <c r="W879" s="171"/>
      <c r="X879" s="62"/>
      <c r="Y879" s="45"/>
      <c r="Z879" s="45"/>
      <c r="AA879" s="100"/>
      <c r="AB879" s="100"/>
      <c r="AC879" s="24"/>
      <c r="AD879" s="24"/>
      <c r="AE879" s="24"/>
      <c r="AF879" s="24"/>
      <c r="AG879" s="18">
        <v>24</v>
      </c>
      <c r="AH879" s="69" t="s">
        <v>297</v>
      </c>
      <c r="AI879" s="243" t="s">
        <v>192</v>
      </c>
      <c r="AJ879" s="243" t="s">
        <v>419</v>
      </c>
      <c r="AK879" s="246"/>
      <c r="AL879" s="43" t="str">
        <f t="shared" si="228"/>
        <v>-</v>
      </c>
      <c r="AM879" s="43">
        <f t="shared" si="216"/>
        <v>0</v>
      </c>
      <c r="AN879" s="193">
        <f t="shared" si="216"/>
        <v>0</v>
      </c>
      <c r="AO879" s="270" t="str">
        <f t="shared" si="217"/>
        <v>-</v>
      </c>
      <c r="AP879" s="266"/>
      <c r="AQ879" s="26" t="str">
        <f t="shared" si="224"/>
        <v>COTTER CREEKSockeye</v>
      </c>
      <c r="AR879" s="26">
        <f t="shared" si="218"/>
        <v>0</v>
      </c>
      <c r="AS879" s="33">
        <f t="shared" si="219"/>
        <v>0</v>
      </c>
      <c r="AX879" s="47" t="str">
        <f t="shared" si="220"/>
        <v>COTTER CREEKSockeye</v>
      </c>
      <c r="AY879" s="49">
        <f t="shared" si="221"/>
        <v>0</v>
      </c>
      <c r="AZ879" s="49">
        <f t="shared" si="222"/>
        <v>0</v>
      </c>
      <c r="BA879" s="31">
        <v>0</v>
      </c>
      <c r="BB879" s="188">
        <f t="shared" si="225"/>
        <v>0</v>
      </c>
      <c r="BC879" s="188" t="str">
        <f t="shared" si="229"/>
        <v xml:space="preserve"> </v>
      </c>
      <c r="BD879" s="188" t="str">
        <f t="shared" si="230"/>
        <v xml:space="preserve"> </v>
      </c>
      <c r="BE879" s="188" t="str">
        <f t="shared" si="231"/>
        <v xml:space="preserve"> </v>
      </c>
      <c r="BF879" s="50" t="str">
        <f t="shared" si="223"/>
        <v>COTTER CREEK_Sockeye</v>
      </c>
      <c r="BG879" s="50" t="str">
        <f>IFERROR(VLOOKUP(BF879,'[1]WCVI Esc'!$C$5:$W$514,18,FALSE),"-")</f>
        <v>-</v>
      </c>
      <c r="BH879" s="50" t="str">
        <f t="shared" si="226"/>
        <v>-</v>
      </c>
      <c r="BI879" s="50" t="str">
        <f>IFERROR(VLOOKUP(BF879,'[1]WCVI Esc'!$C$5:$W$514,19,FALSE),"-")</f>
        <v>-</v>
      </c>
      <c r="BJ879" s="50" t="str">
        <f t="shared" si="227"/>
        <v>-</v>
      </c>
    </row>
    <row r="880" spans="1:67" hidden="1" x14ac:dyDescent="0.2">
      <c r="A880" s="28">
        <v>4</v>
      </c>
      <c r="B880" s="28">
        <v>2</v>
      </c>
      <c r="C880" s="11">
        <v>24</v>
      </c>
      <c r="D880" s="13" t="s">
        <v>297</v>
      </c>
      <c r="E880" s="10" t="s">
        <v>192</v>
      </c>
      <c r="F880" s="10" t="s">
        <v>219</v>
      </c>
      <c r="G880" s="10"/>
      <c r="H880" s="152"/>
      <c r="I880" s="164"/>
      <c r="J880" s="62"/>
      <c r="K880" s="62"/>
      <c r="L880" s="177"/>
      <c r="M880" s="171"/>
      <c r="N880" s="62"/>
      <c r="O880" s="62"/>
      <c r="P880" s="62"/>
      <c r="Q880" s="64"/>
      <c r="R880" s="164"/>
      <c r="S880" s="62"/>
      <c r="T880" s="62"/>
      <c r="U880" s="62"/>
      <c r="V880" s="177"/>
      <c r="W880" s="171"/>
      <c r="X880" s="62"/>
      <c r="Y880" s="45"/>
      <c r="Z880" s="45"/>
      <c r="AA880" s="100"/>
      <c r="AB880" s="100"/>
      <c r="AC880" s="24"/>
      <c r="AD880" s="24"/>
      <c r="AE880" s="24"/>
      <c r="AF880" s="24"/>
      <c r="AG880" s="18">
        <v>24</v>
      </c>
      <c r="AH880" s="69" t="s">
        <v>297</v>
      </c>
      <c r="AI880" s="243" t="s">
        <v>192</v>
      </c>
      <c r="AJ880" s="243" t="s">
        <v>419</v>
      </c>
      <c r="AK880" s="246"/>
      <c r="AL880" s="43" t="str">
        <f t="shared" si="228"/>
        <v>-</v>
      </c>
      <c r="AM880" s="43">
        <f t="shared" si="216"/>
        <v>0</v>
      </c>
      <c r="AN880" s="193">
        <f t="shared" si="216"/>
        <v>0</v>
      </c>
      <c r="AO880" s="270" t="str">
        <f t="shared" si="217"/>
        <v>-</v>
      </c>
      <c r="AP880" s="266"/>
      <c r="AQ880" s="26" t="str">
        <f t="shared" si="224"/>
        <v>COTTER CREEKCoho</v>
      </c>
      <c r="AR880" s="26">
        <f t="shared" si="218"/>
        <v>0</v>
      </c>
      <c r="AS880" s="33">
        <f t="shared" si="219"/>
        <v>0</v>
      </c>
      <c r="AX880" s="47" t="str">
        <f t="shared" si="220"/>
        <v>COTTER CREEKCoho</v>
      </c>
      <c r="AY880" s="49">
        <f t="shared" si="221"/>
        <v>0</v>
      </c>
      <c r="AZ880" s="49">
        <f t="shared" si="222"/>
        <v>0</v>
      </c>
      <c r="BA880" s="31">
        <v>0</v>
      </c>
      <c r="BB880" s="188">
        <f t="shared" si="225"/>
        <v>0</v>
      </c>
      <c r="BC880" s="188" t="str">
        <f t="shared" si="229"/>
        <v xml:space="preserve"> </v>
      </c>
      <c r="BD880" s="188" t="str">
        <f t="shared" si="230"/>
        <v xml:space="preserve"> </v>
      </c>
      <c r="BE880" s="188" t="str">
        <f t="shared" si="231"/>
        <v xml:space="preserve"> </v>
      </c>
      <c r="BF880" s="50" t="str">
        <f t="shared" si="223"/>
        <v>COTTER CREEK_Coho</v>
      </c>
      <c r="BG880" s="50" t="str">
        <f>IFERROR(VLOOKUP(BF880,'[1]WCVI Esc'!$C$5:$W$514,18,FALSE),"-")</f>
        <v>-</v>
      </c>
      <c r="BH880" s="50" t="str">
        <f t="shared" si="226"/>
        <v>-</v>
      </c>
      <c r="BI880" s="50" t="str">
        <f>IFERROR(VLOOKUP(BF880,'[1]WCVI Esc'!$C$5:$W$514,19,FALSE),"-")</f>
        <v>-</v>
      </c>
      <c r="BJ880" s="50" t="str">
        <f t="shared" si="227"/>
        <v>-</v>
      </c>
    </row>
    <row r="881" spans="1:67" hidden="1" x14ac:dyDescent="0.2">
      <c r="A881" s="28">
        <v>4</v>
      </c>
      <c r="B881" s="28">
        <v>3</v>
      </c>
      <c r="C881" s="11">
        <v>24</v>
      </c>
      <c r="D881" s="13" t="s">
        <v>297</v>
      </c>
      <c r="E881" s="10" t="s">
        <v>192</v>
      </c>
      <c r="F881" s="10" t="s">
        <v>208</v>
      </c>
      <c r="G881" s="10"/>
      <c r="H881" s="152"/>
      <c r="I881" s="164"/>
      <c r="J881" s="62"/>
      <c r="K881" s="62"/>
      <c r="L881" s="177"/>
      <c r="M881" s="171"/>
      <c r="N881" s="62"/>
      <c r="O881" s="62"/>
      <c r="P881" s="62"/>
      <c r="Q881" s="64"/>
      <c r="R881" s="164"/>
      <c r="S881" s="62"/>
      <c r="T881" s="62"/>
      <c r="U881" s="62"/>
      <c r="V881" s="177"/>
      <c r="W881" s="171"/>
      <c r="X881" s="62"/>
      <c r="Y881" s="45"/>
      <c r="Z881" s="45"/>
      <c r="AA881" s="100"/>
      <c r="AB881" s="100"/>
      <c r="AC881" s="24"/>
      <c r="AD881" s="24"/>
      <c r="AE881" s="24"/>
      <c r="AF881" s="24"/>
      <c r="AG881" s="18">
        <v>24</v>
      </c>
      <c r="AH881" s="69" t="s">
        <v>297</v>
      </c>
      <c r="AI881" s="243" t="s">
        <v>192</v>
      </c>
      <c r="AJ881" s="243" t="s">
        <v>419</v>
      </c>
      <c r="AK881" s="246"/>
      <c r="AL881" s="43" t="str">
        <f t="shared" si="228"/>
        <v>-</v>
      </c>
      <c r="AM881" s="43">
        <f t="shared" si="216"/>
        <v>0</v>
      </c>
      <c r="AN881" s="193">
        <f t="shared" si="216"/>
        <v>0</v>
      </c>
      <c r="AO881" s="270" t="str">
        <f t="shared" si="217"/>
        <v>-</v>
      </c>
      <c r="AP881" s="266"/>
      <c r="AQ881" s="26" t="str">
        <f t="shared" si="224"/>
        <v>COTTER CREEKPink</v>
      </c>
      <c r="AR881" s="26">
        <f t="shared" si="218"/>
        <v>0</v>
      </c>
      <c r="AS881" s="33">
        <f t="shared" si="219"/>
        <v>0</v>
      </c>
      <c r="AX881" s="47" t="str">
        <f t="shared" si="220"/>
        <v>COTTER CREEKPink</v>
      </c>
      <c r="AY881" s="49">
        <f t="shared" si="221"/>
        <v>0</v>
      </c>
      <c r="AZ881" s="49">
        <f t="shared" si="222"/>
        <v>0</v>
      </c>
      <c r="BA881" s="31">
        <v>0</v>
      </c>
      <c r="BB881" s="188">
        <f t="shared" si="225"/>
        <v>0</v>
      </c>
      <c r="BC881" s="188" t="str">
        <f t="shared" si="229"/>
        <v xml:space="preserve"> </v>
      </c>
      <c r="BD881" s="188" t="str">
        <f t="shared" si="230"/>
        <v xml:space="preserve"> </v>
      </c>
      <c r="BE881" s="188" t="str">
        <f t="shared" si="231"/>
        <v xml:space="preserve"> </v>
      </c>
      <c r="BF881" s="50" t="str">
        <f t="shared" si="223"/>
        <v>COTTER CREEK_Pink</v>
      </c>
      <c r="BG881" s="50" t="str">
        <f>IFERROR(VLOOKUP(BF881,'[1]WCVI Esc'!$C$5:$W$514,18,FALSE),"-")</f>
        <v>-</v>
      </c>
      <c r="BH881" s="50" t="str">
        <f t="shared" si="226"/>
        <v>-</v>
      </c>
      <c r="BI881" s="50" t="str">
        <f>IFERROR(VLOOKUP(BF881,'[1]WCVI Esc'!$C$5:$W$514,19,FALSE),"-")</f>
        <v>-</v>
      </c>
      <c r="BJ881" s="50" t="str">
        <f t="shared" si="227"/>
        <v>-</v>
      </c>
    </row>
    <row r="882" spans="1:67" hidden="1" x14ac:dyDescent="0.2">
      <c r="A882" s="28">
        <v>4</v>
      </c>
      <c r="B882" s="28">
        <v>4</v>
      </c>
      <c r="C882" s="11">
        <v>24</v>
      </c>
      <c r="D882" s="13" t="s">
        <v>297</v>
      </c>
      <c r="E882" s="10" t="s">
        <v>192</v>
      </c>
      <c r="F882" s="10" t="s">
        <v>209</v>
      </c>
      <c r="G882" s="10"/>
      <c r="H882" s="152"/>
      <c r="I882" s="164"/>
      <c r="J882" s="62"/>
      <c r="K882" s="62"/>
      <c r="L882" s="177"/>
      <c r="M882" s="171"/>
      <c r="N882" s="62"/>
      <c r="O882" s="62"/>
      <c r="P882" s="62"/>
      <c r="Q882" s="64"/>
      <c r="R882" s="164"/>
      <c r="S882" s="62"/>
      <c r="T882" s="62"/>
      <c r="U882" s="62"/>
      <c r="V882" s="177"/>
      <c r="W882" s="171"/>
      <c r="X882" s="62"/>
      <c r="Y882" s="45"/>
      <c r="Z882" s="45"/>
      <c r="AA882" s="100"/>
      <c r="AB882" s="100"/>
      <c r="AC882" s="24"/>
      <c r="AD882" s="24"/>
      <c r="AE882" s="24"/>
      <c r="AF882" s="24"/>
      <c r="AG882" s="18">
        <v>24</v>
      </c>
      <c r="AH882" s="69" t="s">
        <v>297</v>
      </c>
      <c r="AI882" s="243" t="s">
        <v>192</v>
      </c>
      <c r="AJ882" s="243" t="s">
        <v>419</v>
      </c>
      <c r="AK882" s="246"/>
      <c r="AL882" s="43" t="str">
        <f t="shared" si="228"/>
        <v>-</v>
      </c>
      <c r="AM882" s="43">
        <f t="shared" si="216"/>
        <v>0</v>
      </c>
      <c r="AN882" s="193">
        <f t="shared" si="216"/>
        <v>0</v>
      </c>
      <c r="AO882" s="270" t="str">
        <f t="shared" si="217"/>
        <v>-</v>
      </c>
      <c r="AP882" s="266"/>
      <c r="AQ882" s="26" t="str">
        <f t="shared" si="224"/>
        <v>COTTER CREEKChum</v>
      </c>
      <c r="AR882" s="26">
        <f t="shared" si="218"/>
        <v>0</v>
      </c>
      <c r="AS882" s="33">
        <f t="shared" si="219"/>
        <v>0</v>
      </c>
      <c r="AX882" s="47" t="str">
        <f t="shared" si="220"/>
        <v>COTTER CREEKChum</v>
      </c>
      <c r="AY882" s="49">
        <f t="shared" si="221"/>
        <v>0</v>
      </c>
      <c r="AZ882" s="49">
        <f t="shared" si="222"/>
        <v>0</v>
      </c>
      <c r="BA882" s="31">
        <v>0</v>
      </c>
      <c r="BB882" s="188">
        <f t="shared" si="225"/>
        <v>0</v>
      </c>
      <c r="BC882" s="188" t="str">
        <f t="shared" si="229"/>
        <v xml:space="preserve"> </v>
      </c>
      <c r="BD882" s="188" t="str">
        <f t="shared" si="230"/>
        <v xml:space="preserve"> </v>
      </c>
      <c r="BE882" s="188" t="str">
        <f t="shared" si="231"/>
        <v xml:space="preserve"> </v>
      </c>
      <c r="BF882" s="50" t="str">
        <f t="shared" si="223"/>
        <v>COTTER CREEK_Chum</v>
      </c>
      <c r="BG882" s="50" t="str">
        <f>IFERROR(VLOOKUP(BF882,'[1]WCVI Esc'!$C$5:$W$514,18,FALSE),"-")</f>
        <v>-</v>
      </c>
      <c r="BH882" s="50" t="str">
        <f t="shared" si="226"/>
        <v>-</v>
      </c>
      <c r="BI882" s="50" t="str">
        <f>IFERROR(VLOOKUP(BF882,'[1]WCVI Esc'!$C$5:$W$514,19,FALSE),"-")</f>
        <v>-</v>
      </c>
      <c r="BJ882" s="50" t="str">
        <f t="shared" si="227"/>
        <v>-</v>
      </c>
    </row>
    <row r="883" spans="1:67" hidden="1" x14ac:dyDescent="0.2">
      <c r="A883" s="28">
        <v>4</v>
      </c>
      <c r="B883" s="28">
        <v>5</v>
      </c>
      <c r="C883" s="11">
        <v>24</v>
      </c>
      <c r="D883" s="13" t="s">
        <v>297</v>
      </c>
      <c r="E883" s="10" t="s">
        <v>192</v>
      </c>
      <c r="F883" s="10" t="s">
        <v>210</v>
      </c>
      <c r="G883" s="10"/>
      <c r="H883" s="152"/>
      <c r="I883" s="164"/>
      <c r="J883" s="62"/>
      <c r="K883" s="62"/>
      <c r="L883" s="177"/>
      <c r="M883" s="171"/>
      <c r="N883" s="62"/>
      <c r="O883" s="62"/>
      <c r="P883" s="62"/>
      <c r="Q883" s="64"/>
      <c r="R883" s="164"/>
      <c r="S883" s="62"/>
      <c r="T883" s="62"/>
      <c r="U883" s="62"/>
      <c r="V883" s="177"/>
      <c r="W883" s="171"/>
      <c r="X883" s="62"/>
      <c r="Y883" s="45"/>
      <c r="Z883" s="45"/>
      <c r="AA883" s="100"/>
      <c r="AB883" s="100"/>
      <c r="AC883" s="24"/>
      <c r="AD883" s="24"/>
      <c r="AE883" s="24"/>
      <c r="AF883" s="24"/>
      <c r="AG883" s="18">
        <v>24</v>
      </c>
      <c r="AH883" s="69" t="s">
        <v>297</v>
      </c>
      <c r="AI883" s="243" t="s">
        <v>192</v>
      </c>
      <c r="AJ883" s="243" t="s">
        <v>419</v>
      </c>
      <c r="AK883" s="246"/>
      <c r="AL883" s="43" t="str">
        <f t="shared" si="228"/>
        <v>-</v>
      </c>
      <c r="AM883" s="43">
        <f t="shared" si="216"/>
        <v>0</v>
      </c>
      <c r="AN883" s="193">
        <f t="shared" si="216"/>
        <v>0</v>
      </c>
      <c r="AO883" s="270" t="str">
        <f t="shared" si="217"/>
        <v>-</v>
      </c>
      <c r="AP883" s="266"/>
      <c r="AQ883" s="26" t="str">
        <f t="shared" si="224"/>
        <v>COTTER CREEKChinook</v>
      </c>
      <c r="AR883" s="26">
        <f t="shared" si="218"/>
        <v>0</v>
      </c>
      <c r="AS883" s="33">
        <f t="shared" si="219"/>
        <v>0</v>
      </c>
      <c r="AX883" s="47" t="str">
        <f t="shared" si="220"/>
        <v>COTTER CREEKChinook</v>
      </c>
      <c r="AY883" s="49">
        <f t="shared" si="221"/>
        <v>0</v>
      </c>
      <c r="AZ883" s="49">
        <f t="shared" si="222"/>
        <v>0</v>
      </c>
      <c r="BA883" s="31">
        <v>0</v>
      </c>
      <c r="BB883" s="188">
        <f t="shared" si="225"/>
        <v>0</v>
      </c>
      <c r="BC883" s="188" t="str">
        <f t="shared" si="229"/>
        <v xml:space="preserve"> </v>
      </c>
      <c r="BD883" s="188" t="str">
        <f t="shared" si="230"/>
        <v xml:space="preserve"> </v>
      </c>
      <c r="BE883" s="188" t="str">
        <f t="shared" si="231"/>
        <v xml:space="preserve"> </v>
      </c>
      <c r="BF883" s="50" t="str">
        <f t="shared" si="223"/>
        <v>COTTER CREEK_Chinook</v>
      </c>
      <c r="BG883" s="50" t="str">
        <f>IFERROR(VLOOKUP(BF883,'[1]WCVI Esc'!$C$5:$W$514,18,FALSE),"-")</f>
        <v>-</v>
      </c>
      <c r="BH883" s="50" t="str">
        <f t="shared" si="226"/>
        <v>-</v>
      </c>
      <c r="BI883" s="50" t="str">
        <f>IFERROR(VLOOKUP(BF883,'[1]WCVI Esc'!$C$5:$W$514,19,FALSE),"-")</f>
        <v>-</v>
      </c>
      <c r="BJ883" s="50" t="str">
        <f t="shared" si="227"/>
        <v>-</v>
      </c>
    </row>
    <row r="884" spans="1:67" hidden="1" x14ac:dyDescent="0.2">
      <c r="A884" s="28">
        <v>4</v>
      </c>
      <c r="B884" s="28">
        <v>6</v>
      </c>
      <c r="C884" s="11">
        <v>24</v>
      </c>
      <c r="D884" s="13" t="s">
        <v>297</v>
      </c>
      <c r="E884" s="10" t="s">
        <v>192</v>
      </c>
      <c r="F884" s="10" t="s">
        <v>211</v>
      </c>
      <c r="G884" s="10"/>
      <c r="H884" s="152"/>
      <c r="I884" s="164"/>
      <c r="J884" s="62"/>
      <c r="K884" s="62"/>
      <c r="L884" s="177"/>
      <c r="M884" s="171"/>
      <c r="N884" s="62"/>
      <c r="O884" s="62"/>
      <c r="P884" s="62"/>
      <c r="Q884" s="64"/>
      <c r="R884" s="164"/>
      <c r="S884" s="62"/>
      <c r="T884" s="62"/>
      <c r="U884" s="62"/>
      <c r="V884" s="177"/>
      <c r="W884" s="171"/>
      <c r="X884" s="62"/>
      <c r="Y884" s="45"/>
      <c r="Z884" s="45"/>
      <c r="AA884" s="100"/>
      <c r="AB884" s="100"/>
      <c r="AC884" s="24"/>
      <c r="AD884" s="24"/>
      <c r="AE884" s="24"/>
      <c r="AF884" s="24"/>
      <c r="AG884" s="18">
        <v>24</v>
      </c>
      <c r="AH884" s="69" t="s">
        <v>297</v>
      </c>
      <c r="AI884" s="243" t="s">
        <v>192</v>
      </c>
      <c r="AJ884" s="243" t="s">
        <v>419</v>
      </c>
      <c r="AK884" s="246"/>
      <c r="AL884" s="43" t="str">
        <f t="shared" si="228"/>
        <v>-</v>
      </c>
      <c r="AM884" s="43">
        <f t="shared" si="216"/>
        <v>0</v>
      </c>
      <c r="AN884" s="193">
        <f t="shared" si="216"/>
        <v>0</v>
      </c>
      <c r="AO884" s="270" t="str">
        <f t="shared" si="217"/>
        <v>-</v>
      </c>
      <c r="AP884" s="266"/>
      <c r="AQ884" s="26" t="str">
        <f t="shared" si="224"/>
        <v>COTTER CREEKSteelhead</v>
      </c>
      <c r="AR884" s="26">
        <f t="shared" si="218"/>
        <v>0</v>
      </c>
      <c r="AS884" s="33">
        <f t="shared" si="219"/>
        <v>0</v>
      </c>
      <c r="AX884" s="47" t="str">
        <f t="shared" si="220"/>
        <v>COTTER CREEKSteelhead</v>
      </c>
      <c r="AY884" s="49">
        <f t="shared" si="221"/>
        <v>0</v>
      </c>
      <c r="AZ884" s="49">
        <f t="shared" si="222"/>
        <v>0</v>
      </c>
      <c r="BA884" s="31">
        <v>0</v>
      </c>
      <c r="BB884" s="188">
        <f t="shared" si="225"/>
        <v>0</v>
      </c>
      <c r="BC884" s="188" t="str">
        <f t="shared" si="229"/>
        <v xml:space="preserve"> </v>
      </c>
      <c r="BD884" s="188" t="str">
        <f t="shared" si="230"/>
        <v xml:space="preserve"> </v>
      </c>
      <c r="BE884" s="188" t="str">
        <f t="shared" si="231"/>
        <v xml:space="preserve"> </v>
      </c>
      <c r="BF884" s="50" t="str">
        <f t="shared" si="223"/>
        <v>COTTER CREEK_Steelhead</v>
      </c>
      <c r="BG884" s="50" t="str">
        <f>IFERROR(VLOOKUP(BF884,'[1]WCVI Esc'!$C$5:$W$514,18,FALSE),"-")</f>
        <v>-</v>
      </c>
      <c r="BH884" s="50" t="str">
        <f t="shared" si="226"/>
        <v>-</v>
      </c>
      <c r="BI884" s="50" t="str">
        <f>IFERROR(VLOOKUP(BF884,'[1]WCVI Esc'!$C$5:$W$514,19,FALSE),"-")</f>
        <v>-</v>
      </c>
      <c r="BJ884" s="50" t="str">
        <f t="shared" si="227"/>
        <v>-</v>
      </c>
    </row>
    <row r="885" spans="1:67" hidden="1" x14ac:dyDescent="0.2">
      <c r="A885" s="28">
        <v>4</v>
      </c>
      <c r="B885" s="28">
        <v>1</v>
      </c>
      <c r="C885" s="11">
        <v>24</v>
      </c>
      <c r="D885" s="13" t="s">
        <v>297</v>
      </c>
      <c r="E885" s="10" t="s">
        <v>193</v>
      </c>
      <c r="F885" s="10" t="s">
        <v>207</v>
      </c>
      <c r="G885" s="10"/>
      <c r="H885" s="152"/>
      <c r="I885" s="164"/>
      <c r="J885" s="62"/>
      <c r="K885" s="62"/>
      <c r="L885" s="177"/>
      <c r="M885" s="171"/>
      <c r="N885" s="62"/>
      <c r="O885" s="62"/>
      <c r="P885" s="62"/>
      <c r="Q885" s="64"/>
      <c r="R885" s="164"/>
      <c r="S885" s="62"/>
      <c r="T885" s="62"/>
      <c r="U885" s="62"/>
      <c r="V885" s="177"/>
      <c r="W885" s="171"/>
      <c r="X885" s="62"/>
      <c r="Y885" s="45"/>
      <c r="Z885" s="45"/>
      <c r="AA885" s="100"/>
      <c r="AB885" s="100"/>
      <c r="AC885" s="24"/>
      <c r="AD885" s="24"/>
      <c r="AE885" s="24"/>
      <c r="AF885" s="24"/>
      <c r="AG885" s="18">
        <v>24</v>
      </c>
      <c r="AH885" s="69" t="s">
        <v>297</v>
      </c>
      <c r="AI885" s="243" t="s">
        <v>193</v>
      </c>
      <c r="AJ885" s="243" t="s">
        <v>419</v>
      </c>
      <c r="AK885" s="246"/>
      <c r="AL885" s="43" t="str">
        <f t="shared" si="228"/>
        <v>-</v>
      </c>
      <c r="AM885" s="43">
        <f t="shared" si="216"/>
        <v>0</v>
      </c>
      <c r="AN885" s="193">
        <f t="shared" si="216"/>
        <v>0</v>
      </c>
      <c r="AO885" s="270" t="str">
        <f t="shared" si="217"/>
        <v>-</v>
      </c>
      <c r="AP885" s="266"/>
      <c r="AQ885" s="26" t="str">
        <f t="shared" si="224"/>
        <v>COW CREEKSockeye</v>
      </c>
      <c r="AR885" s="26">
        <f t="shared" si="218"/>
        <v>0</v>
      </c>
      <c r="AS885" s="33">
        <f t="shared" si="219"/>
        <v>0</v>
      </c>
      <c r="AX885" s="47" t="str">
        <f t="shared" si="220"/>
        <v>COW CREEKSockeye</v>
      </c>
      <c r="AY885" s="49">
        <f t="shared" si="221"/>
        <v>0</v>
      </c>
      <c r="AZ885" s="49">
        <f t="shared" si="222"/>
        <v>0</v>
      </c>
      <c r="BA885" s="31">
        <v>0</v>
      </c>
      <c r="BB885" s="188">
        <f t="shared" si="225"/>
        <v>0</v>
      </c>
      <c r="BC885" s="188" t="str">
        <f t="shared" si="229"/>
        <v xml:space="preserve"> </v>
      </c>
      <c r="BD885" s="188" t="str">
        <f t="shared" si="230"/>
        <v xml:space="preserve"> </v>
      </c>
      <c r="BE885" s="188" t="str">
        <f t="shared" si="231"/>
        <v xml:space="preserve"> </v>
      </c>
      <c r="BF885" s="50" t="str">
        <f t="shared" si="223"/>
        <v>COW CREEK_Sockeye</v>
      </c>
      <c r="BG885" s="50" t="str">
        <f>IFERROR(VLOOKUP(BF885,'[1]WCVI Esc'!$C$5:$W$514,18,FALSE),"-")</f>
        <v>-</v>
      </c>
      <c r="BH885" s="50" t="str">
        <f t="shared" si="226"/>
        <v>-</v>
      </c>
      <c r="BI885" s="50" t="str">
        <f>IFERROR(VLOOKUP(BF885,'[1]WCVI Esc'!$C$5:$W$514,19,FALSE),"-")</f>
        <v>-</v>
      </c>
      <c r="BJ885" s="50" t="str">
        <f t="shared" si="227"/>
        <v>-</v>
      </c>
    </row>
    <row r="886" spans="1:67" hidden="1" x14ac:dyDescent="0.2">
      <c r="A886" s="28">
        <v>4</v>
      </c>
      <c r="B886" s="28">
        <v>2</v>
      </c>
      <c r="C886" s="11">
        <v>24</v>
      </c>
      <c r="D886" s="13" t="s">
        <v>297</v>
      </c>
      <c r="E886" s="10" t="s">
        <v>193</v>
      </c>
      <c r="F886" s="10" t="s">
        <v>219</v>
      </c>
      <c r="G886" s="10"/>
      <c r="H886" s="152"/>
      <c r="I886" s="164"/>
      <c r="J886" s="62"/>
      <c r="K886" s="62"/>
      <c r="L886" s="177"/>
      <c r="M886" s="171"/>
      <c r="N886" s="62"/>
      <c r="O886" s="62"/>
      <c r="P886" s="62"/>
      <c r="Q886" s="64"/>
      <c r="R886" s="164"/>
      <c r="S886" s="62"/>
      <c r="T886" s="62"/>
      <c r="U886" s="62"/>
      <c r="V886" s="177"/>
      <c r="W886" s="171"/>
      <c r="X886" s="62"/>
      <c r="Y886" s="45"/>
      <c r="Z886" s="45"/>
      <c r="AA886" s="100">
        <f>Y886/AP886</f>
        <v>0</v>
      </c>
      <c r="AB886" s="100">
        <f>AS886/AP886</f>
        <v>0</v>
      </c>
      <c r="AC886" s="24"/>
      <c r="AD886" s="24"/>
      <c r="AE886" s="24"/>
      <c r="AF886" s="24"/>
      <c r="AG886" s="18">
        <v>24</v>
      </c>
      <c r="AH886" s="69" t="s">
        <v>297</v>
      </c>
      <c r="AI886" s="243" t="s">
        <v>193</v>
      </c>
      <c r="AJ886" s="243" t="s">
        <v>419</v>
      </c>
      <c r="AK886" s="246"/>
      <c r="AL886" s="43" t="str">
        <f t="shared" si="228"/>
        <v>-</v>
      </c>
      <c r="AM886" s="43">
        <f t="shared" si="216"/>
        <v>0</v>
      </c>
      <c r="AN886" s="193">
        <f t="shared" si="216"/>
        <v>0</v>
      </c>
      <c r="AO886" s="270">
        <f t="shared" si="217"/>
        <v>30</v>
      </c>
      <c r="AP886" s="265">
        <f>BJ886</f>
        <v>70</v>
      </c>
      <c r="AQ886" s="26" t="str">
        <f t="shared" si="224"/>
        <v>COW CREEKCoho</v>
      </c>
      <c r="AR886" s="26">
        <f t="shared" si="218"/>
        <v>0</v>
      </c>
      <c r="AS886" s="33">
        <f t="shared" si="219"/>
        <v>0</v>
      </c>
      <c r="AX886" s="47" t="str">
        <f t="shared" si="220"/>
        <v>COW CREEKCoho</v>
      </c>
      <c r="AY886" s="49">
        <f t="shared" si="221"/>
        <v>0</v>
      </c>
      <c r="AZ886" s="49">
        <f t="shared" si="222"/>
        <v>0</v>
      </c>
      <c r="BA886" s="31">
        <v>2013</v>
      </c>
      <c r="BB886" s="188">
        <f t="shared" si="225"/>
        <v>0</v>
      </c>
      <c r="BC886" s="188" t="str">
        <f t="shared" si="229"/>
        <v xml:space="preserve"> </v>
      </c>
      <c r="BD886" s="188" t="str">
        <f t="shared" si="230"/>
        <v xml:space="preserve"> </v>
      </c>
      <c r="BE886" s="188" t="str">
        <f t="shared" si="231"/>
        <v xml:space="preserve"> </v>
      </c>
      <c r="BF886" s="50" t="str">
        <f t="shared" si="223"/>
        <v>COW CREEK_Coho</v>
      </c>
      <c r="BG886" s="50">
        <f>IFERROR(VLOOKUP(BF886,'[1]WCVI Esc'!$C$5:$W$514,18,FALSE),"-")</f>
        <v>28</v>
      </c>
      <c r="BH886" s="50">
        <f t="shared" si="226"/>
        <v>30</v>
      </c>
      <c r="BI886" s="50">
        <f>IFERROR(VLOOKUP(BF886,'[1]WCVI Esc'!$C$5:$W$514,19,FALSE),"-")</f>
        <v>70.8</v>
      </c>
      <c r="BJ886" s="50">
        <f t="shared" si="227"/>
        <v>70</v>
      </c>
    </row>
    <row r="887" spans="1:67" hidden="1" x14ac:dyDescent="0.2">
      <c r="A887" s="28">
        <v>4</v>
      </c>
      <c r="B887" s="28">
        <v>3</v>
      </c>
      <c r="C887" s="11">
        <v>24</v>
      </c>
      <c r="D887" s="13" t="s">
        <v>297</v>
      </c>
      <c r="E887" s="10" t="s">
        <v>193</v>
      </c>
      <c r="F887" s="10" t="s">
        <v>208</v>
      </c>
      <c r="G887" s="10"/>
      <c r="H887" s="152"/>
      <c r="I887" s="164"/>
      <c r="J887" s="62"/>
      <c r="K887" s="62"/>
      <c r="L887" s="177"/>
      <c r="M887" s="171"/>
      <c r="N887" s="62"/>
      <c r="O887" s="62"/>
      <c r="P887" s="62"/>
      <c r="Q887" s="64"/>
      <c r="R887" s="164"/>
      <c r="S887" s="62"/>
      <c r="T887" s="62"/>
      <c r="U887" s="62"/>
      <c r="V887" s="177"/>
      <c r="W887" s="171"/>
      <c r="X887" s="62"/>
      <c r="Y887" s="45"/>
      <c r="Z887" s="45"/>
      <c r="AA887" s="100"/>
      <c r="AB887" s="100"/>
      <c r="AC887" s="24"/>
      <c r="AD887" s="24"/>
      <c r="AE887" s="24"/>
      <c r="AF887" s="24"/>
      <c r="AG887" s="18">
        <v>24</v>
      </c>
      <c r="AH887" s="69" t="s">
        <v>297</v>
      </c>
      <c r="AI887" s="243" t="s">
        <v>193</v>
      </c>
      <c r="AJ887" s="243" t="s">
        <v>419</v>
      </c>
      <c r="AK887" s="246"/>
      <c r="AL887" s="43" t="str">
        <f t="shared" si="228"/>
        <v>-</v>
      </c>
      <c r="AM887" s="43">
        <f t="shared" si="216"/>
        <v>0</v>
      </c>
      <c r="AN887" s="193">
        <f t="shared" si="216"/>
        <v>0</v>
      </c>
      <c r="AO887" s="270" t="str">
        <f t="shared" si="217"/>
        <v>-</v>
      </c>
      <c r="AP887" s="266"/>
      <c r="AQ887" s="26" t="str">
        <f t="shared" si="224"/>
        <v>COW CREEKPink</v>
      </c>
      <c r="AR887" s="26">
        <f t="shared" si="218"/>
        <v>0</v>
      </c>
      <c r="AS887" s="33">
        <f t="shared" si="219"/>
        <v>0</v>
      </c>
      <c r="AX887" s="47" t="str">
        <f t="shared" si="220"/>
        <v>COW CREEKPink</v>
      </c>
      <c r="AY887" s="49">
        <f t="shared" si="221"/>
        <v>0</v>
      </c>
      <c r="AZ887" s="49">
        <f t="shared" si="222"/>
        <v>0</v>
      </c>
      <c r="BA887" s="31">
        <v>0</v>
      </c>
      <c r="BB887" s="188">
        <f t="shared" si="225"/>
        <v>0</v>
      </c>
      <c r="BC887" s="188" t="str">
        <f t="shared" si="229"/>
        <v xml:space="preserve"> </v>
      </c>
      <c r="BD887" s="188" t="str">
        <f t="shared" si="230"/>
        <v xml:space="preserve"> </v>
      </c>
      <c r="BE887" s="188" t="str">
        <f t="shared" si="231"/>
        <v xml:space="preserve"> </v>
      </c>
      <c r="BF887" s="50" t="str">
        <f t="shared" si="223"/>
        <v>COW CREEK_Pink</v>
      </c>
      <c r="BG887" s="50" t="str">
        <f>IFERROR(VLOOKUP(BF887,'[1]WCVI Esc'!$C$5:$W$514,18,FALSE),"-")</f>
        <v>-</v>
      </c>
      <c r="BH887" s="50" t="str">
        <f t="shared" si="226"/>
        <v>-</v>
      </c>
      <c r="BI887" s="50" t="str">
        <f>IFERROR(VLOOKUP(BF887,'[1]WCVI Esc'!$C$5:$W$514,19,FALSE),"-")</f>
        <v>-</v>
      </c>
      <c r="BJ887" s="50" t="str">
        <f t="shared" si="227"/>
        <v>-</v>
      </c>
    </row>
    <row r="888" spans="1:67" hidden="1" x14ac:dyDescent="0.2">
      <c r="A888" s="28">
        <v>4</v>
      </c>
      <c r="B888" s="28">
        <v>4</v>
      </c>
      <c r="C888" s="11">
        <v>24</v>
      </c>
      <c r="D888" s="13" t="s">
        <v>297</v>
      </c>
      <c r="E888" s="10" t="s">
        <v>193</v>
      </c>
      <c r="F888" s="10" t="s">
        <v>209</v>
      </c>
      <c r="G888" s="10"/>
      <c r="H888" s="152"/>
      <c r="I888" s="164"/>
      <c r="J888" s="62"/>
      <c r="K888" s="62"/>
      <c r="L888" s="177"/>
      <c r="M888" s="171"/>
      <c r="N888" s="62"/>
      <c r="O888" s="62"/>
      <c r="P888" s="62"/>
      <c r="Q888" s="64"/>
      <c r="R888" s="164"/>
      <c r="S888" s="62"/>
      <c r="T888" s="62"/>
      <c r="U888" s="62"/>
      <c r="V888" s="177"/>
      <c r="W888" s="171"/>
      <c r="X888" s="62"/>
      <c r="Y888" s="45"/>
      <c r="Z888" s="45"/>
      <c r="AA888" s="100">
        <f>Y888/AP888</f>
        <v>0</v>
      </c>
      <c r="AB888" s="100">
        <f>AS888/AP888</f>
        <v>0</v>
      </c>
      <c r="AC888" s="24"/>
      <c r="AD888" s="24"/>
      <c r="AE888" s="24"/>
      <c r="AF888" s="24"/>
      <c r="AG888" s="18">
        <v>24</v>
      </c>
      <c r="AH888" s="69" t="s">
        <v>297</v>
      </c>
      <c r="AI888" s="243" t="s">
        <v>193</v>
      </c>
      <c r="AJ888" s="243" t="s">
        <v>419</v>
      </c>
      <c r="AK888" s="246"/>
      <c r="AL888" s="43" t="str">
        <f t="shared" si="228"/>
        <v>-</v>
      </c>
      <c r="AM888" s="43">
        <f t="shared" si="216"/>
        <v>0</v>
      </c>
      <c r="AN888" s="193">
        <f t="shared" si="216"/>
        <v>0</v>
      </c>
      <c r="AO888" s="270">
        <f t="shared" si="217"/>
        <v>10</v>
      </c>
      <c r="AP888" s="265">
        <f>BJ888</f>
        <v>40</v>
      </c>
      <c r="AQ888" s="26" t="str">
        <f t="shared" si="224"/>
        <v>COW CREEKChum</v>
      </c>
      <c r="AR888" s="26">
        <f t="shared" si="218"/>
        <v>0</v>
      </c>
      <c r="AS888" s="33">
        <f t="shared" si="219"/>
        <v>0</v>
      </c>
      <c r="AX888" s="47" t="str">
        <f t="shared" si="220"/>
        <v>COW CREEKChum</v>
      </c>
      <c r="AY888" s="49">
        <f t="shared" si="221"/>
        <v>0</v>
      </c>
      <c r="AZ888" s="49">
        <f t="shared" si="222"/>
        <v>0</v>
      </c>
      <c r="BA888" s="31">
        <v>2013</v>
      </c>
      <c r="BB888" s="188">
        <f t="shared" si="225"/>
        <v>0</v>
      </c>
      <c r="BC888" s="188" t="str">
        <f t="shared" si="229"/>
        <v xml:space="preserve"> </v>
      </c>
      <c r="BD888" s="188" t="str">
        <f t="shared" si="230"/>
        <v xml:space="preserve"> </v>
      </c>
      <c r="BE888" s="188" t="str">
        <f t="shared" si="231"/>
        <v xml:space="preserve"> </v>
      </c>
      <c r="BF888" s="50" t="str">
        <f t="shared" si="223"/>
        <v>COW CREEK_Chum</v>
      </c>
      <c r="BG888" s="50">
        <f>IFERROR(VLOOKUP(BF888,'[1]WCVI Esc'!$C$5:$W$514,18,FALSE),"-")</f>
        <v>9</v>
      </c>
      <c r="BH888" s="50">
        <f t="shared" si="226"/>
        <v>10</v>
      </c>
      <c r="BI888" s="50">
        <f>IFERROR(VLOOKUP(BF888,'[1]WCVI Esc'!$C$5:$W$514,19,FALSE),"-")</f>
        <v>35.4</v>
      </c>
      <c r="BJ888" s="50">
        <f t="shared" si="227"/>
        <v>40</v>
      </c>
    </row>
    <row r="889" spans="1:67" hidden="1" x14ac:dyDescent="0.2">
      <c r="A889" s="28">
        <v>4</v>
      </c>
      <c r="B889" s="28">
        <v>5</v>
      </c>
      <c r="C889" s="11">
        <v>24</v>
      </c>
      <c r="D889" s="13" t="s">
        <v>297</v>
      </c>
      <c r="E889" s="10" t="s">
        <v>193</v>
      </c>
      <c r="F889" s="10" t="s">
        <v>210</v>
      </c>
      <c r="G889" s="10"/>
      <c r="H889" s="152"/>
      <c r="I889" s="164"/>
      <c r="J889" s="62"/>
      <c r="K889" s="62"/>
      <c r="L889" s="177"/>
      <c r="M889" s="171"/>
      <c r="N889" s="62"/>
      <c r="O889" s="62"/>
      <c r="P889" s="62"/>
      <c r="Q889" s="64"/>
      <c r="R889" s="164"/>
      <c r="S889" s="62"/>
      <c r="T889" s="62"/>
      <c r="U889" s="62"/>
      <c r="V889" s="177"/>
      <c r="W889" s="171"/>
      <c r="X889" s="62"/>
      <c r="Y889" s="45"/>
      <c r="Z889" s="45"/>
      <c r="AA889" s="100"/>
      <c r="AB889" s="100"/>
      <c r="AC889" s="24"/>
      <c r="AD889" s="24"/>
      <c r="AE889" s="24"/>
      <c r="AF889" s="24"/>
      <c r="AG889" s="18">
        <v>24</v>
      </c>
      <c r="AH889" s="69" t="s">
        <v>297</v>
      </c>
      <c r="AI889" s="243" t="s">
        <v>193</v>
      </c>
      <c r="AJ889" s="243" t="s">
        <v>419</v>
      </c>
      <c r="AK889" s="246"/>
      <c r="AL889" s="43" t="str">
        <f t="shared" si="228"/>
        <v>-</v>
      </c>
      <c r="AM889" s="43">
        <f t="shared" si="216"/>
        <v>0</v>
      </c>
      <c r="AN889" s="193">
        <f t="shared" si="216"/>
        <v>0</v>
      </c>
      <c r="AO889" s="270" t="str">
        <f t="shared" si="217"/>
        <v>-</v>
      </c>
      <c r="AP889" s="266"/>
      <c r="AQ889" s="26" t="str">
        <f t="shared" si="224"/>
        <v>COW CREEKChinook</v>
      </c>
      <c r="AR889" s="26">
        <f t="shared" si="218"/>
        <v>0</v>
      </c>
      <c r="AS889" s="33">
        <f t="shared" si="219"/>
        <v>0</v>
      </c>
      <c r="AX889" s="47" t="str">
        <f t="shared" si="220"/>
        <v>COW CREEKChinook</v>
      </c>
      <c r="AY889" s="49">
        <f t="shared" si="221"/>
        <v>0</v>
      </c>
      <c r="AZ889" s="49">
        <f t="shared" si="222"/>
        <v>0</v>
      </c>
      <c r="BA889" s="31">
        <v>0</v>
      </c>
      <c r="BB889" s="188">
        <f t="shared" si="225"/>
        <v>0</v>
      </c>
      <c r="BC889" s="188" t="str">
        <f t="shared" si="229"/>
        <v xml:space="preserve"> </v>
      </c>
      <c r="BD889" s="188" t="str">
        <f t="shared" si="230"/>
        <v xml:space="preserve"> </v>
      </c>
      <c r="BE889" s="188" t="str">
        <f t="shared" si="231"/>
        <v xml:space="preserve"> </v>
      </c>
      <c r="BF889" s="50" t="str">
        <f t="shared" si="223"/>
        <v>COW CREEK_Chinook</v>
      </c>
      <c r="BG889" s="50" t="str">
        <f>IFERROR(VLOOKUP(BF889,'[1]WCVI Esc'!$C$5:$W$514,18,FALSE),"-")</f>
        <v>-</v>
      </c>
      <c r="BH889" s="50" t="str">
        <f t="shared" si="226"/>
        <v>-</v>
      </c>
      <c r="BI889" s="50" t="str">
        <f>IFERROR(VLOOKUP(BF889,'[1]WCVI Esc'!$C$5:$W$514,19,FALSE),"-")</f>
        <v>-</v>
      </c>
      <c r="BJ889" s="50" t="str">
        <f t="shared" si="227"/>
        <v>-</v>
      </c>
    </row>
    <row r="890" spans="1:67" hidden="1" x14ac:dyDescent="0.2">
      <c r="A890" s="28">
        <v>4</v>
      </c>
      <c r="B890" s="28">
        <v>6</v>
      </c>
      <c r="C890" s="11">
        <v>24</v>
      </c>
      <c r="D890" s="13" t="s">
        <v>297</v>
      </c>
      <c r="E890" s="10" t="s">
        <v>193</v>
      </c>
      <c r="F890" s="10" t="s">
        <v>211</v>
      </c>
      <c r="G890" s="10"/>
      <c r="H890" s="152"/>
      <c r="I890" s="164"/>
      <c r="J890" s="62"/>
      <c r="K890" s="62"/>
      <c r="L890" s="177"/>
      <c r="M890" s="171"/>
      <c r="N890" s="62"/>
      <c r="O890" s="62"/>
      <c r="P890" s="62"/>
      <c r="Q890" s="64"/>
      <c r="R890" s="164"/>
      <c r="S890" s="62"/>
      <c r="T890" s="62"/>
      <c r="U890" s="62"/>
      <c r="V890" s="177"/>
      <c r="W890" s="171"/>
      <c r="X890" s="62"/>
      <c r="Y890" s="45"/>
      <c r="Z890" s="45"/>
      <c r="AA890" s="100"/>
      <c r="AB890" s="100"/>
      <c r="AC890" s="24"/>
      <c r="AD890" s="24"/>
      <c r="AE890" s="24"/>
      <c r="AF890" s="24"/>
      <c r="AG890" s="18">
        <v>24</v>
      </c>
      <c r="AH890" s="69" t="s">
        <v>297</v>
      </c>
      <c r="AI890" s="243" t="s">
        <v>193</v>
      </c>
      <c r="AJ890" s="243" t="s">
        <v>419</v>
      </c>
      <c r="AK890" s="246"/>
      <c r="AL890" s="43" t="str">
        <f t="shared" si="228"/>
        <v>-</v>
      </c>
      <c r="AM890" s="43">
        <f t="shared" si="216"/>
        <v>0</v>
      </c>
      <c r="AN890" s="193">
        <f t="shared" si="216"/>
        <v>0</v>
      </c>
      <c r="AO890" s="270" t="str">
        <f t="shared" si="217"/>
        <v>-</v>
      </c>
      <c r="AP890" s="266"/>
      <c r="AQ890" s="26" t="str">
        <f t="shared" si="224"/>
        <v>COW CREEKSteelhead</v>
      </c>
      <c r="AR890" s="26">
        <f t="shared" si="218"/>
        <v>0</v>
      </c>
      <c r="AS890" s="33">
        <f t="shared" si="219"/>
        <v>0</v>
      </c>
      <c r="AX890" s="47" t="str">
        <f t="shared" si="220"/>
        <v>COW CREEKSteelhead</v>
      </c>
      <c r="AY890" s="49">
        <f t="shared" si="221"/>
        <v>0</v>
      </c>
      <c r="AZ890" s="49">
        <f t="shared" si="222"/>
        <v>0</v>
      </c>
      <c r="BA890" s="31">
        <v>0</v>
      </c>
      <c r="BB890" s="188">
        <f t="shared" si="225"/>
        <v>0</v>
      </c>
      <c r="BC890" s="188" t="str">
        <f t="shared" si="229"/>
        <v xml:space="preserve"> </v>
      </c>
      <c r="BD890" s="188" t="str">
        <f t="shared" si="230"/>
        <v xml:space="preserve"> </v>
      </c>
      <c r="BE890" s="188" t="str">
        <f t="shared" si="231"/>
        <v xml:space="preserve"> </v>
      </c>
      <c r="BF890" s="50" t="str">
        <f t="shared" si="223"/>
        <v>COW CREEK_Steelhead</v>
      </c>
      <c r="BG890" s="50" t="str">
        <f>IFERROR(VLOOKUP(BF890,'[1]WCVI Esc'!$C$5:$W$514,18,FALSE),"-")</f>
        <v>-</v>
      </c>
      <c r="BH890" s="50" t="str">
        <f t="shared" si="226"/>
        <v>-</v>
      </c>
      <c r="BI890" s="50" t="str">
        <f>IFERROR(VLOOKUP(BF890,'[1]WCVI Esc'!$C$5:$W$514,19,FALSE),"-")</f>
        <v>-</v>
      </c>
      <c r="BJ890" s="50" t="str">
        <f t="shared" si="227"/>
        <v>-</v>
      </c>
    </row>
    <row r="891" spans="1:67" hidden="1" x14ac:dyDescent="0.2">
      <c r="A891" s="28">
        <v>4</v>
      </c>
      <c r="B891" s="28">
        <v>1</v>
      </c>
      <c r="C891" s="11">
        <v>24</v>
      </c>
      <c r="D891" s="13" t="s">
        <v>296</v>
      </c>
      <c r="E891" s="10" t="s">
        <v>330</v>
      </c>
      <c r="F891" s="10" t="s">
        <v>207</v>
      </c>
      <c r="G891" s="10"/>
      <c r="H891" s="152"/>
      <c r="I891" s="155"/>
      <c r="J891" s="106"/>
      <c r="K891" s="94"/>
      <c r="L891" s="180"/>
      <c r="M891" s="173"/>
      <c r="N891" s="106"/>
      <c r="O891" s="106"/>
      <c r="P891" s="63"/>
      <c r="Q891" s="162"/>
      <c r="R891" s="164"/>
      <c r="S891" s="62"/>
      <c r="T891" s="63"/>
      <c r="U891" s="62"/>
      <c r="V891" s="177"/>
      <c r="W891" s="171"/>
      <c r="X891" s="62"/>
      <c r="Y891" s="45"/>
      <c r="Z891" s="45"/>
      <c r="AA891" s="100"/>
      <c r="AB891" s="100"/>
      <c r="AC891" s="24"/>
      <c r="AD891" s="24"/>
      <c r="AE891" s="24"/>
      <c r="AF891" s="24"/>
      <c r="AG891" s="18">
        <v>24</v>
      </c>
      <c r="AH891" s="69" t="s">
        <v>296</v>
      </c>
      <c r="AI891" s="243" t="s">
        <v>330</v>
      </c>
      <c r="AJ891" s="243" t="s">
        <v>419</v>
      </c>
      <c r="AK891" s="244" t="s">
        <v>351</v>
      </c>
      <c r="AL891" s="43" t="str">
        <f t="shared" si="228"/>
        <v>-</v>
      </c>
      <c r="AM891" s="43">
        <f t="shared" si="216"/>
        <v>0</v>
      </c>
      <c r="AN891" s="193">
        <f t="shared" si="216"/>
        <v>0</v>
      </c>
      <c r="AO891" s="270" t="str">
        <f t="shared" si="217"/>
        <v>-</v>
      </c>
      <c r="AP891" s="266"/>
      <c r="AQ891" s="26" t="str">
        <f t="shared" si="224"/>
        <v>English Cove CreekSockeye</v>
      </c>
      <c r="AR891" s="26">
        <f t="shared" si="218"/>
        <v>0</v>
      </c>
      <c r="AS891" s="33">
        <f t="shared" si="219"/>
        <v>0</v>
      </c>
      <c r="AX891" s="47" t="str">
        <f t="shared" si="220"/>
        <v>English Cove CreekSockeye</v>
      </c>
      <c r="AY891" s="49">
        <f t="shared" si="221"/>
        <v>0</v>
      </c>
      <c r="AZ891" s="49">
        <f t="shared" si="222"/>
        <v>0</v>
      </c>
      <c r="BA891" s="31">
        <v>0</v>
      </c>
      <c r="BB891" s="188" t="str">
        <f t="shared" si="225"/>
        <v>CWFS</v>
      </c>
      <c r="BC891" s="188" t="str">
        <f t="shared" si="229"/>
        <v xml:space="preserve"> </v>
      </c>
      <c r="BD891" s="188" t="str">
        <f t="shared" si="230"/>
        <v xml:space="preserve"> </v>
      </c>
      <c r="BE891" s="188" t="str">
        <f t="shared" si="231"/>
        <v xml:space="preserve"> </v>
      </c>
      <c r="BF891" s="50" t="str">
        <f t="shared" si="223"/>
        <v>English Cove Creek_Sockeye</v>
      </c>
      <c r="BG891" s="50" t="str">
        <f>IFERROR(VLOOKUP(BF891,'[1]WCVI Esc'!$C$5:$W$514,18,FALSE),"-")</f>
        <v>-</v>
      </c>
      <c r="BH891" s="50" t="str">
        <f t="shared" si="226"/>
        <v>-</v>
      </c>
      <c r="BI891" s="50" t="str">
        <f>IFERROR(VLOOKUP(BF891,'[1]WCVI Esc'!$C$5:$W$514,19,FALSE),"-")</f>
        <v>-</v>
      </c>
      <c r="BJ891" s="50" t="str">
        <f t="shared" si="227"/>
        <v>-</v>
      </c>
    </row>
    <row r="892" spans="1:67" hidden="1" x14ac:dyDescent="0.2">
      <c r="A892" s="28">
        <v>4</v>
      </c>
      <c r="B892" s="28">
        <v>2</v>
      </c>
      <c r="C892" s="11">
        <v>24</v>
      </c>
      <c r="D892" s="13" t="s">
        <v>296</v>
      </c>
      <c r="E892" s="10" t="s">
        <v>330</v>
      </c>
      <c r="F892" s="10" t="s">
        <v>219</v>
      </c>
      <c r="G892" s="10"/>
      <c r="H892" s="152"/>
      <c r="I892" s="155"/>
      <c r="J892" s="106"/>
      <c r="K892" s="94"/>
      <c r="L892" s="180"/>
      <c r="M892" s="173"/>
      <c r="N892" s="106"/>
      <c r="O892" s="106"/>
      <c r="P892" s="63"/>
      <c r="Q892" s="162"/>
      <c r="R892" s="164"/>
      <c r="S892" s="62"/>
      <c r="T892" s="63"/>
      <c r="U892" s="62"/>
      <c r="V892" s="177"/>
      <c r="W892" s="171"/>
      <c r="X892" s="62"/>
      <c r="Y892" s="45"/>
      <c r="Z892" s="45"/>
      <c r="AA892" s="100"/>
      <c r="AB892" s="100"/>
      <c r="AC892" s="24"/>
      <c r="AD892" s="24"/>
      <c r="AE892" s="24"/>
      <c r="AF892" s="24"/>
      <c r="AG892" s="18">
        <v>24</v>
      </c>
      <c r="AH892" s="69" t="s">
        <v>296</v>
      </c>
      <c r="AI892" s="243" t="s">
        <v>330</v>
      </c>
      <c r="AJ892" s="243" t="s">
        <v>419</v>
      </c>
      <c r="AK892" s="244" t="s">
        <v>351</v>
      </c>
      <c r="AL892" s="43" t="str">
        <f t="shared" si="228"/>
        <v>-</v>
      </c>
      <c r="AM892" s="43">
        <f t="shared" si="216"/>
        <v>0</v>
      </c>
      <c r="AN892" s="193">
        <f t="shared" si="216"/>
        <v>0</v>
      </c>
      <c r="AO892" s="270" t="str">
        <f t="shared" si="217"/>
        <v>-</v>
      </c>
      <c r="AP892" s="266"/>
      <c r="AQ892" s="26" t="str">
        <f t="shared" si="224"/>
        <v>English Cove CreekCoho</v>
      </c>
      <c r="AR892" s="26">
        <f t="shared" si="218"/>
        <v>0</v>
      </c>
      <c r="AS892" s="33">
        <f t="shared" si="219"/>
        <v>0</v>
      </c>
      <c r="AX892" s="47" t="str">
        <f t="shared" si="220"/>
        <v>English Cove CreekCoho</v>
      </c>
      <c r="AY892" s="49">
        <f t="shared" si="221"/>
        <v>0</v>
      </c>
      <c r="AZ892" s="49">
        <f t="shared" si="222"/>
        <v>0</v>
      </c>
      <c r="BA892" s="31">
        <v>2016</v>
      </c>
      <c r="BB892" s="188" t="str">
        <f t="shared" si="225"/>
        <v>CWFS</v>
      </c>
      <c r="BC892" s="188" t="str">
        <f t="shared" si="229"/>
        <v xml:space="preserve"> </v>
      </c>
      <c r="BD892" s="188" t="str">
        <f t="shared" si="230"/>
        <v xml:space="preserve"> </v>
      </c>
      <c r="BE892" s="188" t="str">
        <f t="shared" si="231"/>
        <v xml:space="preserve"> </v>
      </c>
      <c r="BF892" s="50" t="str">
        <f t="shared" si="223"/>
        <v>English Cove Creek_Coho</v>
      </c>
      <c r="BG892" s="50" t="str">
        <f>IFERROR(VLOOKUP(BF892,'[1]WCVI Esc'!$C$5:$W$514,18,FALSE),"-")</f>
        <v>-</v>
      </c>
      <c r="BH892" s="50" t="str">
        <f t="shared" si="226"/>
        <v>-</v>
      </c>
      <c r="BI892" s="50">
        <f>IFERROR(VLOOKUP(BF892,'[1]WCVI Esc'!$C$5:$W$514,19,FALSE),"-")</f>
        <v>8</v>
      </c>
      <c r="BJ892" s="50">
        <f t="shared" si="227"/>
        <v>10</v>
      </c>
    </row>
    <row r="893" spans="1:67" hidden="1" x14ac:dyDescent="0.2">
      <c r="A893" s="28">
        <v>4</v>
      </c>
      <c r="B893" s="28">
        <v>3</v>
      </c>
      <c r="C893" s="11">
        <v>24</v>
      </c>
      <c r="D893" s="13" t="s">
        <v>296</v>
      </c>
      <c r="E893" s="10" t="s">
        <v>330</v>
      </c>
      <c r="F893" s="10" t="s">
        <v>208</v>
      </c>
      <c r="G893" s="10"/>
      <c r="H893" s="152"/>
      <c r="I893" s="155"/>
      <c r="J893" s="106"/>
      <c r="K893" s="94"/>
      <c r="L893" s="180"/>
      <c r="M893" s="173"/>
      <c r="N893" s="106"/>
      <c r="O893" s="106"/>
      <c r="P893" s="63"/>
      <c r="Q893" s="162"/>
      <c r="R893" s="164"/>
      <c r="S893" s="62"/>
      <c r="T893" s="63"/>
      <c r="U893" s="62"/>
      <c r="V893" s="177"/>
      <c r="W893" s="171"/>
      <c r="X893" s="62"/>
      <c r="Y893" s="45"/>
      <c r="Z893" s="45"/>
      <c r="AA893" s="100"/>
      <c r="AB893" s="100"/>
      <c r="AC893" s="24"/>
      <c r="AD893" s="24"/>
      <c r="AE893" s="24"/>
      <c r="AF893" s="24"/>
      <c r="AG893" s="18">
        <v>24</v>
      </c>
      <c r="AH893" s="69" t="s">
        <v>296</v>
      </c>
      <c r="AI893" s="243" t="s">
        <v>330</v>
      </c>
      <c r="AJ893" s="243" t="s">
        <v>419</v>
      </c>
      <c r="AK893" s="244" t="s">
        <v>351</v>
      </c>
      <c r="AL893" s="43" t="str">
        <f t="shared" si="228"/>
        <v>-</v>
      </c>
      <c r="AM893" s="43">
        <f t="shared" si="216"/>
        <v>0</v>
      </c>
      <c r="AN893" s="193">
        <f t="shared" si="216"/>
        <v>0</v>
      </c>
      <c r="AO893" s="270" t="str">
        <f t="shared" si="217"/>
        <v>-</v>
      </c>
      <c r="AP893" s="266"/>
      <c r="AQ893" s="26" t="str">
        <f t="shared" si="224"/>
        <v>English Cove CreekPink</v>
      </c>
      <c r="AR893" s="26">
        <f t="shared" si="218"/>
        <v>0</v>
      </c>
      <c r="AS893" s="33">
        <f t="shared" si="219"/>
        <v>0</v>
      </c>
      <c r="AX893" s="47" t="str">
        <f t="shared" si="220"/>
        <v>English Cove CreekPink</v>
      </c>
      <c r="AY893" s="49">
        <f t="shared" si="221"/>
        <v>0</v>
      </c>
      <c r="AZ893" s="49">
        <f t="shared" si="222"/>
        <v>0</v>
      </c>
      <c r="BA893" s="31">
        <v>0</v>
      </c>
      <c r="BB893" s="188" t="str">
        <f t="shared" si="225"/>
        <v>CWFS</v>
      </c>
      <c r="BC893" s="188" t="str">
        <f t="shared" si="229"/>
        <v xml:space="preserve"> </v>
      </c>
      <c r="BD893" s="188" t="str">
        <f t="shared" si="230"/>
        <v xml:space="preserve"> </v>
      </c>
      <c r="BE893" s="188" t="str">
        <f t="shared" si="231"/>
        <v xml:space="preserve"> </v>
      </c>
      <c r="BF893" s="50" t="str">
        <f t="shared" si="223"/>
        <v>English Cove Creek_Pink</v>
      </c>
      <c r="BG893" s="50" t="str">
        <f>IFERROR(VLOOKUP(BF893,'[1]WCVI Esc'!$C$5:$W$514,18,FALSE),"-")</f>
        <v>-</v>
      </c>
      <c r="BH893" s="50" t="str">
        <f t="shared" si="226"/>
        <v>-</v>
      </c>
      <c r="BI893" s="50" t="str">
        <f>IFERROR(VLOOKUP(BF893,'[1]WCVI Esc'!$C$5:$W$514,19,FALSE),"-")</f>
        <v>-</v>
      </c>
      <c r="BJ893" s="50" t="str">
        <f t="shared" si="227"/>
        <v>-</v>
      </c>
    </row>
    <row r="894" spans="1:67" hidden="1" x14ac:dyDescent="0.2">
      <c r="A894" s="28">
        <v>4</v>
      </c>
      <c r="B894" s="28">
        <v>4</v>
      </c>
      <c r="C894" s="11">
        <v>24</v>
      </c>
      <c r="D894" s="13" t="s">
        <v>296</v>
      </c>
      <c r="E894" s="10" t="s">
        <v>330</v>
      </c>
      <c r="F894" s="10" t="s">
        <v>209</v>
      </c>
      <c r="G894" s="10"/>
      <c r="H894" s="152"/>
      <c r="I894" s="155"/>
      <c r="J894" s="106"/>
      <c r="K894" s="94"/>
      <c r="L894" s="180"/>
      <c r="M894" s="173"/>
      <c r="N894" s="106"/>
      <c r="O894" s="106"/>
      <c r="P894" s="63"/>
      <c r="Q894" s="162"/>
      <c r="R894" s="164"/>
      <c r="S894" s="62"/>
      <c r="T894" s="63"/>
      <c r="U894" s="62"/>
      <c r="V894" s="177"/>
      <c r="W894" s="171"/>
      <c r="X894" s="62"/>
      <c r="Y894" s="45"/>
      <c r="Z894" s="45"/>
      <c r="AA894" s="100"/>
      <c r="AB894" s="100"/>
      <c r="AC894" s="24"/>
      <c r="AD894" s="24"/>
      <c r="AE894" s="24"/>
      <c r="AF894" s="24"/>
      <c r="AG894" s="18">
        <v>24</v>
      </c>
      <c r="AH894" s="69" t="s">
        <v>296</v>
      </c>
      <c r="AI894" s="243" t="s">
        <v>330</v>
      </c>
      <c r="AJ894" s="243" t="s">
        <v>419</v>
      </c>
      <c r="AK894" s="244" t="s">
        <v>351</v>
      </c>
      <c r="AL894" s="43" t="str">
        <f t="shared" si="228"/>
        <v>-</v>
      </c>
      <c r="AM894" s="43">
        <f t="shared" si="216"/>
        <v>0</v>
      </c>
      <c r="AN894" s="193">
        <f t="shared" si="216"/>
        <v>0</v>
      </c>
      <c r="AO894" s="270" t="str">
        <f t="shared" si="217"/>
        <v>-</v>
      </c>
      <c r="AP894" s="266"/>
      <c r="AQ894" s="26" t="str">
        <f t="shared" si="224"/>
        <v>English Cove CreekChum</v>
      </c>
      <c r="AR894" s="26">
        <f t="shared" si="218"/>
        <v>0</v>
      </c>
      <c r="AS894" s="33">
        <f t="shared" si="219"/>
        <v>0</v>
      </c>
      <c r="AX894" s="47" t="str">
        <f t="shared" si="220"/>
        <v>English Cove CreekChum</v>
      </c>
      <c r="AY894" s="49">
        <f t="shared" si="221"/>
        <v>0</v>
      </c>
      <c r="AZ894" s="49">
        <f t="shared" si="222"/>
        <v>0</v>
      </c>
      <c r="BA894" s="31">
        <v>0</v>
      </c>
      <c r="BB894" s="188" t="str">
        <f t="shared" si="225"/>
        <v>CWFS</v>
      </c>
      <c r="BC894" s="188" t="str">
        <f t="shared" si="229"/>
        <v xml:space="preserve"> </v>
      </c>
      <c r="BD894" s="188" t="str">
        <f t="shared" si="230"/>
        <v xml:space="preserve"> </v>
      </c>
      <c r="BE894" s="188" t="str">
        <f t="shared" si="231"/>
        <v xml:space="preserve"> </v>
      </c>
      <c r="BF894" s="50" t="str">
        <f t="shared" si="223"/>
        <v>English Cove Creek_Chum</v>
      </c>
      <c r="BG894" s="50" t="str">
        <f>IFERROR(VLOOKUP(BF894,'[1]WCVI Esc'!$C$5:$W$514,18,FALSE),"-")</f>
        <v>-</v>
      </c>
      <c r="BH894" s="50" t="str">
        <f t="shared" si="226"/>
        <v>-</v>
      </c>
      <c r="BI894" s="50" t="str">
        <f>IFERROR(VLOOKUP(BF894,'[1]WCVI Esc'!$C$5:$W$514,19,FALSE),"-")</f>
        <v>-</v>
      </c>
      <c r="BJ894" s="50" t="str">
        <f t="shared" si="227"/>
        <v>-</v>
      </c>
    </row>
    <row r="895" spans="1:67" hidden="1" x14ac:dyDescent="0.2">
      <c r="A895" s="28">
        <v>4</v>
      </c>
      <c r="B895" s="28">
        <v>5</v>
      </c>
      <c r="C895" s="11">
        <v>24</v>
      </c>
      <c r="D895" s="13" t="s">
        <v>296</v>
      </c>
      <c r="E895" s="10" t="s">
        <v>330</v>
      </c>
      <c r="F895" s="10" t="s">
        <v>210</v>
      </c>
      <c r="G895" s="10"/>
      <c r="H895" s="152"/>
      <c r="I895" s="155"/>
      <c r="J895" s="106"/>
      <c r="K895" s="94"/>
      <c r="L895" s="180"/>
      <c r="M895" s="173"/>
      <c r="N895" s="106"/>
      <c r="O895" s="106"/>
      <c r="P895" s="63"/>
      <c r="Q895" s="162"/>
      <c r="R895" s="164"/>
      <c r="S895" s="62"/>
      <c r="T895" s="63"/>
      <c r="U895" s="62"/>
      <c r="V895" s="177"/>
      <c r="W895" s="171"/>
      <c r="X895" s="62"/>
      <c r="Y895" s="45"/>
      <c r="Z895" s="45"/>
      <c r="AA895" s="100"/>
      <c r="AB895" s="100"/>
      <c r="AC895" s="24"/>
      <c r="AD895" s="24"/>
      <c r="AE895" s="24"/>
      <c r="AF895" s="24"/>
      <c r="AG895" s="18">
        <v>24</v>
      </c>
      <c r="AH895" s="69" t="s">
        <v>296</v>
      </c>
      <c r="AI895" s="243" t="s">
        <v>330</v>
      </c>
      <c r="AJ895" s="243" t="s">
        <v>419</v>
      </c>
      <c r="AK895" s="244" t="s">
        <v>351</v>
      </c>
      <c r="AL895" s="43" t="str">
        <f t="shared" si="228"/>
        <v>-</v>
      </c>
      <c r="AM895" s="43">
        <f t="shared" ref="AM895:AN958" si="232">AR895</f>
        <v>0</v>
      </c>
      <c r="AN895" s="193">
        <f t="shared" si="232"/>
        <v>0</v>
      </c>
      <c r="AO895" s="270" t="str">
        <f t="shared" ref="AO895:AO958" si="233">BH895</f>
        <v>-</v>
      </c>
      <c r="AP895" s="266"/>
      <c r="AQ895" s="26" t="str">
        <f t="shared" si="224"/>
        <v>English Cove CreekChinook</v>
      </c>
      <c r="AR895" s="26">
        <f t="shared" ref="AR895:AR958" si="234">COUNT(G895:X895)</f>
        <v>0</v>
      </c>
      <c r="AS895" s="33">
        <f t="shared" ref="AS895:AS958" si="235">MAX(G895:X895)</f>
        <v>0</v>
      </c>
      <c r="AX895" s="47" t="str">
        <f t="shared" ref="AX895:AX958" si="236">CONCATENATE(E895,F895)</f>
        <v>English Cove CreekChinook</v>
      </c>
      <c r="AY895" s="49">
        <f t="shared" ref="AY895:AY958" si="237">Z895</f>
        <v>0</v>
      </c>
      <c r="AZ895" s="49">
        <f t="shared" ref="AZ895:AZ958" si="238">Y895</f>
        <v>0</v>
      </c>
      <c r="BA895" s="31">
        <v>0</v>
      </c>
      <c r="BB895" s="188" t="str">
        <f t="shared" si="225"/>
        <v>CWFS</v>
      </c>
      <c r="BC895" s="188" t="str">
        <f t="shared" si="229"/>
        <v xml:space="preserve"> </v>
      </c>
      <c r="BD895" s="188" t="str">
        <f t="shared" si="230"/>
        <v xml:space="preserve"> </v>
      </c>
      <c r="BE895" s="188" t="str">
        <f t="shared" si="231"/>
        <v xml:space="preserve"> </v>
      </c>
      <c r="BF895" s="50" t="str">
        <f t="shared" ref="BF895:BF958" si="239">CONCATENATE(E895,"_",F895)</f>
        <v>English Cove Creek_Chinook</v>
      </c>
      <c r="BG895" s="50" t="str">
        <f>IFERROR(VLOOKUP(BF895,'[1]WCVI Esc'!$C$5:$W$514,18,FALSE),"-")</f>
        <v>-</v>
      </c>
      <c r="BH895" s="50" t="str">
        <f t="shared" si="226"/>
        <v>-</v>
      </c>
      <c r="BI895" s="50" t="str">
        <f>IFERROR(VLOOKUP(BF895,'[1]WCVI Esc'!$C$5:$W$514,19,FALSE),"-")</f>
        <v>-</v>
      </c>
      <c r="BJ895" s="50" t="str">
        <f t="shared" si="227"/>
        <v>-</v>
      </c>
      <c r="BK895">
        <v>3</v>
      </c>
      <c r="BL895" t="s">
        <v>351</v>
      </c>
      <c r="BO895" s="31">
        <v>1</v>
      </c>
    </row>
    <row r="896" spans="1:67" hidden="1" x14ac:dyDescent="0.2">
      <c r="A896" s="28">
        <v>4</v>
      </c>
      <c r="B896" s="28">
        <v>6</v>
      </c>
      <c r="C896" s="11">
        <v>24</v>
      </c>
      <c r="D896" s="13" t="s">
        <v>296</v>
      </c>
      <c r="E896" s="10" t="s">
        <v>330</v>
      </c>
      <c r="F896" s="10" t="s">
        <v>211</v>
      </c>
      <c r="G896" s="10"/>
      <c r="H896" s="152"/>
      <c r="I896" s="155"/>
      <c r="J896" s="106"/>
      <c r="K896" s="94"/>
      <c r="L896" s="180"/>
      <c r="M896" s="173"/>
      <c r="N896" s="106"/>
      <c r="O896" s="106"/>
      <c r="P896" s="63"/>
      <c r="Q896" s="162"/>
      <c r="R896" s="164"/>
      <c r="S896" s="62"/>
      <c r="T896" s="63"/>
      <c r="U896" s="62"/>
      <c r="V896" s="177"/>
      <c r="W896" s="171"/>
      <c r="X896" s="62"/>
      <c r="Y896" s="45"/>
      <c r="Z896" s="45"/>
      <c r="AA896" s="100"/>
      <c r="AB896" s="100"/>
      <c r="AC896" s="24"/>
      <c r="AD896" s="24"/>
      <c r="AE896" s="24"/>
      <c r="AF896" s="24"/>
      <c r="AG896" s="18">
        <v>24</v>
      </c>
      <c r="AH896" s="69" t="s">
        <v>296</v>
      </c>
      <c r="AI896" s="243" t="s">
        <v>330</v>
      </c>
      <c r="AJ896" s="243" t="s">
        <v>419</v>
      </c>
      <c r="AK896" s="244" t="s">
        <v>351</v>
      </c>
      <c r="AL896" s="43" t="str">
        <f t="shared" si="228"/>
        <v>-</v>
      </c>
      <c r="AM896" s="43">
        <f t="shared" si="232"/>
        <v>0</v>
      </c>
      <c r="AN896" s="193">
        <f t="shared" si="232"/>
        <v>0</v>
      </c>
      <c r="AO896" s="270" t="str">
        <f t="shared" si="233"/>
        <v>-</v>
      </c>
      <c r="AP896" s="266"/>
      <c r="AQ896" s="26" t="str">
        <f t="shared" si="224"/>
        <v>English Cove CreekSteelhead</v>
      </c>
      <c r="AR896" s="26">
        <f t="shared" si="234"/>
        <v>0</v>
      </c>
      <c r="AS896" s="33">
        <f t="shared" si="235"/>
        <v>0</v>
      </c>
      <c r="AX896" s="47" t="str">
        <f t="shared" si="236"/>
        <v>English Cove CreekSteelhead</v>
      </c>
      <c r="AY896" s="49">
        <f t="shared" si="237"/>
        <v>0</v>
      </c>
      <c r="AZ896" s="49">
        <f t="shared" si="238"/>
        <v>0</v>
      </c>
      <c r="BA896" s="31">
        <v>0</v>
      </c>
      <c r="BB896" s="188" t="str">
        <f t="shared" si="225"/>
        <v>CWFS</v>
      </c>
      <c r="BC896" s="188" t="str">
        <f t="shared" si="229"/>
        <v xml:space="preserve"> </v>
      </c>
      <c r="BD896" s="188" t="str">
        <f t="shared" si="230"/>
        <v xml:space="preserve"> </v>
      </c>
      <c r="BE896" s="188" t="str">
        <f t="shared" si="231"/>
        <v xml:space="preserve"> </v>
      </c>
      <c r="BF896" s="50" t="str">
        <f t="shared" si="239"/>
        <v>English Cove Creek_Steelhead</v>
      </c>
      <c r="BG896" s="50" t="str">
        <f>IFERROR(VLOOKUP(BF896,'[1]WCVI Esc'!$C$5:$W$514,18,FALSE),"-")</f>
        <v>-</v>
      </c>
      <c r="BH896" s="50" t="str">
        <f t="shared" si="226"/>
        <v>-</v>
      </c>
      <c r="BI896" s="50" t="str">
        <f>IFERROR(VLOOKUP(BF896,'[1]WCVI Esc'!$C$5:$W$514,19,FALSE),"-")</f>
        <v>-</v>
      </c>
      <c r="BJ896" s="50" t="str">
        <f t="shared" si="227"/>
        <v>-</v>
      </c>
    </row>
    <row r="897" spans="1:67" hidden="1" x14ac:dyDescent="0.2">
      <c r="A897" s="28">
        <v>4</v>
      </c>
      <c r="B897" s="28">
        <v>1</v>
      </c>
      <c r="C897" s="11">
        <v>24</v>
      </c>
      <c r="D897" s="13" t="s">
        <v>296</v>
      </c>
      <c r="E897" s="10" t="s">
        <v>120</v>
      </c>
      <c r="F897" s="10" t="s">
        <v>207</v>
      </c>
      <c r="G897" s="10"/>
      <c r="H897" s="152"/>
      <c r="I897" s="155"/>
      <c r="J897" s="106"/>
      <c r="K897" s="94"/>
      <c r="L897" s="180"/>
      <c r="M897" s="173"/>
      <c r="N897" s="106"/>
      <c r="O897" s="106"/>
      <c r="P897" s="63"/>
      <c r="Q897" s="162"/>
      <c r="R897" s="169"/>
      <c r="S897" s="62"/>
      <c r="T897" s="63"/>
      <c r="U897" s="62"/>
      <c r="V897" s="177"/>
      <c r="W897" s="171"/>
      <c r="X897" s="62"/>
      <c r="Y897" s="45"/>
      <c r="Z897" s="45"/>
      <c r="AA897" s="100"/>
      <c r="AB897" s="100"/>
      <c r="AC897" s="24"/>
      <c r="AD897" s="24"/>
      <c r="AE897" s="24"/>
      <c r="AF897" s="24"/>
      <c r="AG897" s="18">
        <v>24</v>
      </c>
      <c r="AH897" s="69" t="s">
        <v>296</v>
      </c>
      <c r="AI897" s="243" t="s">
        <v>120</v>
      </c>
      <c r="AJ897" s="243" t="s">
        <v>419</v>
      </c>
      <c r="AK897" s="246"/>
      <c r="AL897" s="43" t="str">
        <f t="shared" si="228"/>
        <v>-</v>
      </c>
      <c r="AM897" s="43">
        <f t="shared" si="232"/>
        <v>0</v>
      </c>
      <c r="AN897" s="193">
        <f t="shared" si="232"/>
        <v>0</v>
      </c>
      <c r="AO897" s="264" t="str">
        <f t="shared" si="233"/>
        <v>-</v>
      </c>
      <c r="AP897" s="266"/>
      <c r="AQ897" s="26" t="str">
        <f t="shared" si="224"/>
        <v>FUNDY CREEKSockeye</v>
      </c>
      <c r="AR897" s="26">
        <f t="shared" si="234"/>
        <v>0</v>
      </c>
      <c r="AS897" s="33">
        <f t="shared" si="235"/>
        <v>0</v>
      </c>
      <c r="AX897" s="47" t="str">
        <f t="shared" si="236"/>
        <v>FUNDY CREEKSockeye</v>
      </c>
      <c r="AY897" s="49">
        <f t="shared" si="237"/>
        <v>0</v>
      </c>
      <c r="AZ897" s="49">
        <f t="shared" si="238"/>
        <v>0</v>
      </c>
      <c r="BA897" s="31">
        <v>0</v>
      </c>
      <c r="BB897" s="188">
        <f t="shared" si="225"/>
        <v>0</v>
      </c>
      <c r="BC897" s="188" t="str">
        <f t="shared" si="229"/>
        <v xml:space="preserve"> </v>
      </c>
      <c r="BD897" s="188" t="str">
        <f t="shared" si="230"/>
        <v xml:space="preserve"> </v>
      </c>
      <c r="BE897" s="188" t="str">
        <f t="shared" si="231"/>
        <v xml:space="preserve"> </v>
      </c>
      <c r="BF897" s="50" t="str">
        <f t="shared" si="239"/>
        <v>FUNDY CREEK_Sockeye</v>
      </c>
      <c r="BG897" s="50" t="str">
        <f>IFERROR(VLOOKUP(BF897,'[1]WCVI Esc'!$C$5:$W$534,18,FALSE),"-")</f>
        <v>-</v>
      </c>
      <c r="BH897" s="50" t="str">
        <f t="shared" si="226"/>
        <v>-</v>
      </c>
      <c r="BI897" s="50" t="str">
        <f>IFERROR(VLOOKUP(BF897,'[1]WCVI Esc'!$C$5:$W$534,19,FALSE),"-")</f>
        <v>-</v>
      </c>
      <c r="BJ897" s="50" t="str">
        <f t="shared" si="227"/>
        <v>-</v>
      </c>
    </row>
    <row r="898" spans="1:67" hidden="1" x14ac:dyDescent="0.2">
      <c r="A898" s="28">
        <v>4</v>
      </c>
      <c r="B898" s="28">
        <v>2</v>
      </c>
      <c r="C898" s="11">
        <v>24</v>
      </c>
      <c r="D898" s="13" t="s">
        <v>296</v>
      </c>
      <c r="E898" s="10" t="s">
        <v>120</v>
      </c>
      <c r="F898" s="10" t="s">
        <v>219</v>
      </c>
      <c r="G898" s="10"/>
      <c r="H898" s="152"/>
      <c r="I898" s="155"/>
      <c r="J898" s="106"/>
      <c r="K898" s="94"/>
      <c r="L898" s="180"/>
      <c r="M898" s="173"/>
      <c r="N898" s="106"/>
      <c r="O898" s="106"/>
      <c r="P898" s="63"/>
      <c r="Q898" s="162"/>
      <c r="R898" s="169"/>
      <c r="S898" s="62"/>
      <c r="T898" s="63"/>
      <c r="U898" s="62"/>
      <c r="V898" s="177"/>
      <c r="W898" s="171"/>
      <c r="X898" s="62"/>
      <c r="Y898" s="45"/>
      <c r="Z898" s="45"/>
      <c r="AA898" s="100"/>
      <c r="AB898" s="100"/>
      <c r="AC898" s="24"/>
      <c r="AD898" s="24"/>
      <c r="AE898" s="24"/>
      <c r="AF898" s="24"/>
      <c r="AG898" s="18">
        <v>24</v>
      </c>
      <c r="AH898" s="69" t="s">
        <v>296</v>
      </c>
      <c r="AI898" s="243" t="s">
        <v>120</v>
      </c>
      <c r="AJ898" s="243" t="s">
        <v>419</v>
      </c>
      <c r="AK898" s="246"/>
      <c r="AL898" s="43" t="str">
        <f t="shared" si="228"/>
        <v>-</v>
      </c>
      <c r="AM898" s="43">
        <f t="shared" si="232"/>
        <v>0</v>
      </c>
      <c r="AN898" s="193">
        <f t="shared" si="232"/>
        <v>0</v>
      </c>
      <c r="AO898" s="264">
        <f t="shared" si="233"/>
        <v>0</v>
      </c>
      <c r="AP898" s="266"/>
      <c r="AQ898" s="26" t="str">
        <f t="shared" si="224"/>
        <v>FUNDY CREEKCoho</v>
      </c>
      <c r="AR898" s="26">
        <f t="shared" si="234"/>
        <v>0</v>
      </c>
      <c r="AS898" s="33">
        <f t="shared" si="235"/>
        <v>0</v>
      </c>
      <c r="AX898" s="47" t="str">
        <f t="shared" si="236"/>
        <v>FUNDY CREEKCoho</v>
      </c>
      <c r="AY898" s="49">
        <f t="shared" si="237"/>
        <v>0</v>
      </c>
      <c r="AZ898" s="49">
        <f t="shared" si="238"/>
        <v>0</v>
      </c>
      <c r="BA898" s="31">
        <v>2016</v>
      </c>
      <c r="BB898" s="188">
        <f t="shared" si="225"/>
        <v>0</v>
      </c>
      <c r="BC898" s="188" t="str">
        <f t="shared" si="229"/>
        <v xml:space="preserve"> </v>
      </c>
      <c r="BD898" s="188" t="str">
        <f t="shared" si="230"/>
        <v xml:space="preserve"> </v>
      </c>
      <c r="BE898" s="188" t="str">
        <f t="shared" si="231"/>
        <v xml:space="preserve"> </v>
      </c>
      <c r="BF898" s="50" t="str">
        <f t="shared" si="239"/>
        <v>FUNDY CREEK_Coho</v>
      </c>
      <c r="BG898" s="50">
        <f>IFERROR(VLOOKUP(BF898,'[1]WCVI Esc'!$C$5:$W$534,18,FALSE),"-")</f>
        <v>1</v>
      </c>
      <c r="BH898" s="50">
        <f t="shared" si="226"/>
        <v>0</v>
      </c>
      <c r="BI898" s="50">
        <f>IFERROR(VLOOKUP(BF898,'[1]WCVI Esc'!$C$5:$W$534,19,FALSE),"-")</f>
        <v>1</v>
      </c>
      <c r="BJ898" s="50">
        <f t="shared" si="227"/>
        <v>0</v>
      </c>
    </row>
    <row r="899" spans="1:67" hidden="1" x14ac:dyDescent="0.2">
      <c r="A899" s="28">
        <v>4</v>
      </c>
      <c r="B899" s="28">
        <v>3</v>
      </c>
      <c r="C899" s="11">
        <v>24</v>
      </c>
      <c r="D899" s="13" t="s">
        <v>296</v>
      </c>
      <c r="E899" s="10" t="s">
        <v>120</v>
      </c>
      <c r="F899" s="10" t="s">
        <v>208</v>
      </c>
      <c r="G899" s="10"/>
      <c r="H899" s="152"/>
      <c r="I899" s="155"/>
      <c r="J899" s="106"/>
      <c r="K899" s="94"/>
      <c r="L899" s="180"/>
      <c r="M899" s="173"/>
      <c r="N899" s="106"/>
      <c r="O899" s="106"/>
      <c r="P899" s="63"/>
      <c r="Q899" s="162"/>
      <c r="R899" s="169"/>
      <c r="S899" s="62"/>
      <c r="T899" s="63"/>
      <c r="U899" s="62"/>
      <c r="V899" s="177"/>
      <c r="W899" s="171"/>
      <c r="X899" s="62"/>
      <c r="Y899" s="45"/>
      <c r="Z899" s="45"/>
      <c r="AA899" s="100"/>
      <c r="AB899" s="100"/>
      <c r="AC899" s="24"/>
      <c r="AD899" s="24"/>
      <c r="AE899" s="24"/>
      <c r="AF899" s="24"/>
      <c r="AG899" s="18">
        <v>24</v>
      </c>
      <c r="AH899" s="69" t="s">
        <v>296</v>
      </c>
      <c r="AI899" s="243" t="s">
        <v>120</v>
      </c>
      <c r="AJ899" s="243" t="s">
        <v>419</v>
      </c>
      <c r="AK899" s="246"/>
      <c r="AL899" s="43" t="str">
        <f t="shared" si="228"/>
        <v>-</v>
      </c>
      <c r="AM899" s="43">
        <f t="shared" si="232"/>
        <v>0</v>
      </c>
      <c r="AN899" s="193">
        <f t="shared" si="232"/>
        <v>0</v>
      </c>
      <c r="AO899" s="264" t="str">
        <f t="shared" si="233"/>
        <v>-</v>
      </c>
      <c r="AP899" s="266"/>
      <c r="AQ899" s="26" t="str">
        <f t="shared" ref="AQ899:AQ962" si="240">CONCATENATE(E899,F899)</f>
        <v>FUNDY CREEKPink</v>
      </c>
      <c r="AR899" s="26">
        <f t="shared" si="234"/>
        <v>0</v>
      </c>
      <c r="AS899" s="33">
        <f t="shared" si="235"/>
        <v>0</v>
      </c>
      <c r="AX899" s="47" t="str">
        <f t="shared" si="236"/>
        <v>FUNDY CREEKPink</v>
      </c>
      <c r="AY899" s="49">
        <f t="shared" si="237"/>
        <v>0</v>
      </c>
      <c r="AZ899" s="49">
        <f t="shared" si="238"/>
        <v>0</v>
      </c>
      <c r="BA899" s="31">
        <v>0</v>
      </c>
      <c r="BB899" s="188">
        <f t="shared" si="225"/>
        <v>0</v>
      </c>
      <c r="BC899" s="188" t="str">
        <f t="shared" si="229"/>
        <v xml:space="preserve"> </v>
      </c>
      <c r="BD899" s="188" t="str">
        <f t="shared" si="230"/>
        <v xml:space="preserve"> </v>
      </c>
      <c r="BE899" s="188" t="str">
        <f t="shared" si="231"/>
        <v xml:space="preserve"> </v>
      </c>
      <c r="BF899" s="50" t="str">
        <f t="shared" si="239"/>
        <v>FUNDY CREEK_Pink</v>
      </c>
      <c r="BG899" s="50" t="str">
        <f>IFERROR(VLOOKUP(BF899,'[1]WCVI Esc'!$C$5:$W$534,18,FALSE),"-")</f>
        <v>-</v>
      </c>
      <c r="BH899" s="50" t="str">
        <f t="shared" si="226"/>
        <v>-</v>
      </c>
      <c r="BI899" s="50" t="str">
        <f>IFERROR(VLOOKUP(BF899,'[1]WCVI Esc'!$C$5:$W$534,19,FALSE),"-")</f>
        <v>-</v>
      </c>
      <c r="BJ899" s="50" t="str">
        <f t="shared" si="227"/>
        <v>-</v>
      </c>
    </row>
    <row r="900" spans="1:67" hidden="1" x14ac:dyDescent="0.2">
      <c r="A900" s="28">
        <v>4</v>
      </c>
      <c r="B900" s="28">
        <v>4</v>
      </c>
      <c r="C900" s="11">
        <v>24</v>
      </c>
      <c r="D900" s="13" t="s">
        <v>296</v>
      </c>
      <c r="E900" s="10" t="s">
        <v>120</v>
      </c>
      <c r="F900" s="10" t="s">
        <v>209</v>
      </c>
      <c r="G900" s="10"/>
      <c r="H900" s="152"/>
      <c r="I900" s="155"/>
      <c r="J900" s="106"/>
      <c r="K900" s="94"/>
      <c r="L900" s="180"/>
      <c r="M900" s="173"/>
      <c r="N900" s="106"/>
      <c r="O900" s="106"/>
      <c r="P900" s="63"/>
      <c r="Q900" s="162"/>
      <c r="R900" s="164"/>
      <c r="S900" s="62"/>
      <c r="T900" s="63"/>
      <c r="U900" s="62"/>
      <c r="V900" s="177"/>
      <c r="W900" s="171"/>
      <c r="X900" s="62"/>
      <c r="Y900" s="45"/>
      <c r="Z900" s="45"/>
      <c r="AA900" s="100">
        <f>Y900/AP900</f>
        <v>0</v>
      </c>
      <c r="AB900" s="100">
        <f>AS900/AP900</f>
        <v>0</v>
      </c>
      <c r="AC900" s="24"/>
      <c r="AD900" s="24"/>
      <c r="AE900" s="24"/>
      <c r="AF900" s="24"/>
      <c r="AG900" s="18">
        <v>24</v>
      </c>
      <c r="AH900" s="69" t="s">
        <v>296</v>
      </c>
      <c r="AI900" s="243" t="s">
        <v>120</v>
      </c>
      <c r="AJ900" s="243" t="s">
        <v>419</v>
      </c>
      <c r="AK900" s="246"/>
      <c r="AL900" s="43" t="str">
        <f t="shared" si="228"/>
        <v>-</v>
      </c>
      <c r="AM900" s="43">
        <f t="shared" si="232"/>
        <v>0</v>
      </c>
      <c r="AN900" s="193">
        <f t="shared" si="232"/>
        <v>0</v>
      </c>
      <c r="AO900" s="264">
        <f t="shared" si="233"/>
        <v>0</v>
      </c>
      <c r="AP900" s="265">
        <f>BJ900</f>
        <v>10</v>
      </c>
      <c r="AQ900" s="26" t="str">
        <f t="shared" si="240"/>
        <v>FUNDY CREEKChum</v>
      </c>
      <c r="AR900" s="26">
        <f t="shared" si="234"/>
        <v>0</v>
      </c>
      <c r="AS900" s="33">
        <f t="shared" si="235"/>
        <v>0</v>
      </c>
      <c r="AX900" s="47" t="str">
        <f t="shared" si="236"/>
        <v>FUNDY CREEKChum</v>
      </c>
      <c r="AY900" s="49">
        <f t="shared" si="237"/>
        <v>0</v>
      </c>
      <c r="AZ900" s="49">
        <f t="shared" si="238"/>
        <v>0</v>
      </c>
      <c r="BA900" s="31">
        <v>2016</v>
      </c>
      <c r="BB900" s="188">
        <f t="shared" si="225"/>
        <v>0</v>
      </c>
      <c r="BC900" s="188" t="str">
        <f t="shared" si="229"/>
        <v xml:space="preserve"> </v>
      </c>
      <c r="BD900" s="188" t="str">
        <f t="shared" si="230"/>
        <v xml:space="preserve"> </v>
      </c>
      <c r="BE900" s="188" t="str">
        <f t="shared" si="231"/>
        <v xml:space="preserve"> </v>
      </c>
      <c r="BF900" s="50" t="str">
        <f t="shared" si="239"/>
        <v>FUNDY CREEK_Chum</v>
      </c>
      <c r="BG900" s="50">
        <f>IFERROR(VLOOKUP(BF900,'[1]WCVI Esc'!$C$5:$W$534,18,FALSE),"-")</f>
        <v>2.6666666666666665</v>
      </c>
      <c r="BH900" s="50">
        <f t="shared" si="226"/>
        <v>0</v>
      </c>
      <c r="BI900" s="50">
        <f>IFERROR(VLOOKUP(BF900,'[1]WCVI Esc'!$C$5:$W$534,19,FALSE),"-")</f>
        <v>10.75</v>
      </c>
      <c r="BJ900" s="50">
        <f t="shared" si="227"/>
        <v>10</v>
      </c>
    </row>
    <row r="901" spans="1:67" hidden="1" x14ac:dyDescent="0.2">
      <c r="A901" s="28">
        <v>4</v>
      </c>
      <c r="B901" s="28">
        <v>5</v>
      </c>
      <c r="C901" s="11">
        <v>24</v>
      </c>
      <c r="D901" s="13" t="s">
        <v>296</v>
      </c>
      <c r="E901" s="10" t="s">
        <v>120</v>
      </c>
      <c r="F901" s="10" t="s">
        <v>210</v>
      </c>
      <c r="G901" s="10"/>
      <c r="H901" s="152"/>
      <c r="I901" s="155"/>
      <c r="J901" s="106"/>
      <c r="K901" s="94"/>
      <c r="L901" s="180"/>
      <c r="M901" s="173"/>
      <c r="N901" s="106"/>
      <c r="O901" s="106"/>
      <c r="P901" s="63"/>
      <c r="Q901" s="162"/>
      <c r="R901" s="169"/>
      <c r="S901" s="62"/>
      <c r="T901" s="63"/>
      <c r="U901" s="62"/>
      <c r="V901" s="177"/>
      <c r="W901" s="171"/>
      <c r="X901" s="62"/>
      <c r="Y901" s="45"/>
      <c r="Z901" s="45"/>
      <c r="AA901" s="100"/>
      <c r="AB901" s="100"/>
      <c r="AC901" s="24"/>
      <c r="AD901" s="24"/>
      <c r="AE901" s="24"/>
      <c r="AF901" s="24"/>
      <c r="AG901" s="18">
        <v>24</v>
      </c>
      <c r="AH901" s="69" t="s">
        <v>296</v>
      </c>
      <c r="AI901" s="243" t="s">
        <v>120</v>
      </c>
      <c r="AJ901" s="243" t="s">
        <v>419</v>
      </c>
      <c r="AK901" s="246"/>
      <c r="AL901" s="43" t="str">
        <f t="shared" si="228"/>
        <v>-</v>
      </c>
      <c r="AM901" s="43">
        <f t="shared" si="232"/>
        <v>0</v>
      </c>
      <c r="AN901" s="193">
        <f t="shared" si="232"/>
        <v>0</v>
      </c>
      <c r="AO901" s="264" t="str">
        <f t="shared" si="233"/>
        <v>-</v>
      </c>
      <c r="AP901" s="266"/>
      <c r="AQ901" s="26" t="str">
        <f t="shared" si="240"/>
        <v>FUNDY CREEKChinook</v>
      </c>
      <c r="AR901" s="26">
        <f t="shared" si="234"/>
        <v>0</v>
      </c>
      <c r="AS901" s="33">
        <f t="shared" si="235"/>
        <v>0</v>
      </c>
      <c r="AX901" s="47" t="str">
        <f t="shared" si="236"/>
        <v>FUNDY CREEKChinook</v>
      </c>
      <c r="AY901" s="49">
        <f t="shared" si="237"/>
        <v>0</v>
      </c>
      <c r="AZ901" s="49">
        <f t="shared" si="238"/>
        <v>0</v>
      </c>
      <c r="BA901" s="31">
        <v>0</v>
      </c>
      <c r="BB901" s="188">
        <f t="shared" si="225"/>
        <v>0</v>
      </c>
      <c r="BC901" s="188" t="str">
        <f t="shared" si="229"/>
        <v xml:space="preserve"> </v>
      </c>
      <c r="BD901" s="188" t="str">
        <f t="shared" si="230"/>
        <v xml:space="preserve"> </v>
      </c>
      <c r="BE901" s="188" t="str">
        <f t="shared" si="231"/>
        <v xml:space="preserve"> </v>
      </c>
      <c r="BF901" s="50" t="str">
        <f t="shared" si="239"/>
        <v>FUNDY CREEK_Chinook</v>
      </c>
      <c r="BG901" s="50" t="str">
        <f>IFERROR(VLOOKUP(BF901,'[1]WCVI Esc'!$C$5:$W$534,18,FALSE),"-")</f>
        <v>-</v>
      </c>
      <c r="BH901" s="50" t="str">
        <f t="shared" si="226"/>
        <v>-</v>
      </c>
      <c r="BI901" s="50" t="str">
        <f>IFERROR(VLOOKUP(BF901,'[1]WCVI Esc'!$C$5:$W$534,19,FALSE),"-")</f>
        <v>-</v>
      </c>
      <c r="BJ901" s="50" t="str">
        <f t="shared" si="227"/>
        <v>-</v>
      </c>
      <c r="BK901">
        <v>1</v>
      </c>
      <c r="BL901" t="s">
        <v>289</v>
      </c>
      <c r="BO901" s="31">
        <v>1</v>
      </c>
    </row>
    <row r="902" spans="1:67" hidden="1" x14ac:dyDescent="0.2">
      <c r="A902" s="28">
        <v>4</v>
      </c>
      <c r="B902" s="28">
        <v>6</v>
      </c>
      <c r="C902" s="11">
        <v>24</v>
      </c>
      <c r="D902" s="13" t="s">
        <v>296</v>
      </c>
      <c r="E902" s="10" t="s">
        <v>120</v>
      </c>
      <c r="F902" s="10" t="s">
        <v>211</v>
      </c>
      <c r="G902" s="10"/>
      <c r="H902" s="152"/>
      <c r="I902" s="155"/>
      <c r="J902" s="106"/>
      <c r="K902" s="94"/>
      <c r="L902" s="180"/>
      <c r="M902" s="173"/>
      <c r="N902" s="106"/>
      <c r="O902" s="106"/>
      <c r="P902" s="63"/>
      <c r="Q902" s="162"/>
      <c r="R902" s="169"/>
      <c r="S902" s="62"/>
      <c r="T902" s="63"/>
      <c r="U902" s="62"/>
      <c r="V902" s="177"/>
      <c r="W902" s="171"/>
      <c r="X902" s="62"/>
      <c r="Y902" s="45"/>
      <c r="Z902" s="45"/>
      <c r="AA902" s="100"/>
      <c r="AB902" s="100"/>
      <c r="AC902" s="24"/>
      <c r="AD902" s="24"/>
      <c r="AE902" s="24"/>
      <c r="AF902" s="24"/>
      <c r="AG902" s="18">
        <v>24</v>
      </c>
      <c r="AH902" s="69" t="s">
        <v>296</v>
      </c>
      <c r="AI902" s="243" t="s">
        <v>120</v>
      </c>
      <c r="AJ902" s="243" t="s">
        <v>419</v>
      </c>
      <c r="AK902" s="246"/>
      <c r="AL902" s="43" t="str">
        <f t="shared" si="228"/>
        <v>-</v>
      </c>
      <c r="AM902" s="43">
        <f t="shared" si="232"/>
        <v>0</v>
      </c>
      <c r="AN902" s="193">
        <f t="shared" si="232"/>
        <v>0</v>
      </c>
      <c r="AO902" s="264" t="str">
        <f t="shared" si="233"/>
        <v>-</v>
      </c>
      <c r="AP902" s="266"/>
      <c r="AQ902" s="26" t="str">
        <f t="shared" si="240"/>
        <v>FUNDY CREEKSteelhead</v>
      </c>
      <c r="AR902" s="26">
        <f t="shared" si="234"/>
        <v>0</v>
      </c>
      <c r="AS902" s="33">
        <f t="shared" si="235"/>
        <v>0</v>
      </c>
      <c r="AX902" s="47" t="str">
        <f t="shared" si="236"/>
        <v>FUNDY CREEKSteelhead</v>
      </c>
      <c r="AY902" s="49">
        <f t="shared" si="237"/>
        <v>0</v>
      </c>
      <c r="AZ902" s="49">
        <f t="shared" si="238"/>
        <v>0</v>
      </c>
      <c r="BA902" s="31">
        <v>0</v>
      </c>
      <c r="BB902" s="188">
        <f t="shared" si="225"/>
        <v>0</v>
      </c>
      <c r="BC902" s="188" t="str">
        <f t="shared" si="229"/>
        <v xml:space="preserve"> </v>
      </c>
      <c r="BD902" s="188" t="str">
        <f t="shared" si="230"/>
        <v xml:space="preserve"> </v>
      </c>
      <c r="BE902" s="188" t="str">
        <f t="shared" si="231"/>
        <v xml:space="preserve"> </v>
      </c>
      <c r="BF902" s="50" t="str">
        <f t="shared" si="239"/>
        <v>FUNDY CREEK_Steelhead</v>
      </c>
      <c r="BG902" s="50" t="str">
        <f>IFERROR(VLOOKUP(BF902,'[1]WCVI Esc'!$C$5:$W$534,18,FALSE),"-")</f>
        <v>-</v>
      </c>
      <c r="BH902" s="50" t="str">
        <f t="shared" si="226"/>
        <v>-</v>
      </c>
      <c r="BI902" s="50" t="str">
        <f>IFERROR(VLOOKUP(BF902,'[1]WCVI Esc'!$C$5:$W$534,19,FALSE),"-")</f>
        <v>-</v>
      </c>
      <c r="BJ902" s="50" t="str">
        <f t="shared" si="227"/>
        <v>-</v>
      </c>
    </row>
    <row r="903" spans="1:67" hidden="1" x14ac:dyDescent="0.2">
      <c r="A903" s="28">
        <v>4</v>
      </c>
      <c r="B903" s="28">
        <v>1</v>
      </c>
      <c r="C903" s="11">
        <v>24</v>
      </c>
      <c r="D903" s="13" t="s">
        <v>359</v>
      </c>
      <c r="E903" s="10" t="s">
        <v>121</v>
      </c>
      <c r="F903" s="10" t="s">
        <v>207</v>
      </c>
      <c r="G903" s="10"/>
      <c r="H903" s="152"/>
      <c r="I903" s="164"/>
      <c r="J903" s="62"/>
      <c r="K903" s="62"/>
      <c r="L903" s="177"/>
      <c r="M903" s="171"/>
      <c r="N903" s="62"/>
      <c r="O903" s="62"/>
      <c r="P903" s="62"/>
      <c r="Q903" s="64"/>
      <c r="R903" s="164"/>
      <c r="S903" s="62"/>
      <c r="T903" s="62"/>
      <c r="U903" s="62"/>
      <c r="V903" s="177"/>
      <c r="W903" s="171"/>
      <c r="X903" s="62"/>
      <c r="Y903" s="45"/>
      <c r="Z903" s="45"/>
      <c r="AA903" s="100"/>
      <c r="AB903" s="100"/>
      <c r="AC903" s="24"/>
      <c r="AD903" s="24"/>
      <c r="AE903" s="24"/>
      <c r="AF903" s="24"/>
      <c r="AG903" s="18">
        <v>24</v>
      </c>
      <c r="AH903" s="69" t="s">
        <v>359</v>
      </c>
      <c r="AI903" s="243" t="s">
        <v>121</v>
      </c>
      <c r="AJ903" s="243" t="s">
        <v>419</v>
      </c>
      <c r="AK903" s="246"/>
      <c r="AL903" s="43" t="str">
        <f t="shared" si="228"/>
        <v>-</v>
      </c>
      <c r="AM903" s="43">
        <f t="shared" si="232"/>
        <v>0</v>
      </c>
      <c r="AN903" s="193">
        <f t="shared" si="232"/>
        <v>0</v>
      </c>
      <c r="AO903" s="270" t="str">
        <f t="shared" si="233"/>
        <v>-</v>
      </c>
      <c r="AP903" s="271"/>
      <c r="AQ903" s="26" t="str">
        <f t="shared" si="240"/>
        <v>HESQUIAT HARBOUR #1 CREEKSSockeye</v>
      </c>
      <c r="AR903" s="26">
        <f t="shared" si="234"/>
        <v>0</v>
      </c>
      <c r="AS903" s="33">
        <f t="shared" si="235"/>
        <v>0</v>
      </c>
      <c r="AX903" s="47" t="str">
        <f t="shared" si="236"/>
        <v>HESQUIAT HARBOUR #1 CREEKSSockeye</v>
      </c>
      <c r="AY903" s="49">
        <f t="shared" si="237"/>
        <v>0</v>
      </c>
      <c r="AZ903" s="49">
        <f t="shared" si="238"/>
        <v>0</v>
      </c>
      <c r="BA903" s="31">
        <v>0</v>
      </c>
      <c r="BB903" s="188">
        <f t="shared" si="225"/>
        <v>0</v>
      </c>
      <c r="BC903" s="188" t="str">
        <f t="shared" si="229"/>
        <v xml:space="preserve"> </v>
      </c>
      <c r="BD903" s="188" t="str">
        <f t="shared" si="230"/>
        <v xml:space="preserve"> </v>
      </c>
      <c r="BE903" s="188" t="str">
        <f t="shared" si="231"/>
        <v xml:space="preserve"> </v>
      </c>
      <c r="BF903" s="50" t="str">
        <f t="shared" si="239"/>
        <v>HESQUIAT HARBOUR #1 CREEKS_Sockeye</v>
      </c>
      <c r="BG903" s="50" t="str">
        <f>IFERROR(VLOOKUP(BF903,'[1]WCVI Esc'!$C$5:$W$514,18,FALSE),"-")</f>
        <v>-</v>
      </c>
      <c r="BH903" s="50" t="str">
        <f t="shared" si="226"/>
        <v>-</v>
      </c>
      <c r="BI903" s="50" t="str">
        <f>IFERROR(VLOOKUP(BF903,'[1]WCVI Esc'!$C$5:$W$514,19,FALSE),"-")</f>
        <v>-</v>
      </c>
      <c r="BJ903" s="50" t="str">
        <f t="shared" si="227"/>
        <v>-</v>
      </c>
    </row>
    <row r="904" spans="1:67" hidden="1" x14ac:dyDescent="0.2">
      <c r="A904" s="28">
        <v>4</v>
      </c>
      <c r="B904" s="28">
        <v>2</v>
      </c>
      <c r="C904" s="11">
        <v>24</v>
      </c>
      <c r="D904" s="13" t="s">
        <v>359</v>
      </c>
      <c r="E904" s="10" t="s">
        <v>121</v>
      </c>
      <c r="F904" s="10" t="s">
        <v>219</v>
      </c>
      <c r="G904" s="10"/>
      <c r="H904" s="152"/>
      <c r="I904" s="164"/>
      <c r="J904" s="62"/>
      <c r="K904" s="62"/>
      <c r="L904" s="177"/>
      <c r="M904" s="171"/>
      <c r="N904" s="62"/>
      <c r="O904" s="62"/>
      <c r="P904" s="62"/>
      <c r="Q904" s="64"/>
      <c r="R904" s="164"/>
      <c r="S904" s="62"/>
      <c r="T904" s="62"/>
      <c r="U904" s="62"/>
      <c r="V904" s="177"/>
      <c r="W904" s="171"/>
      <c r="X904" s="62"/>
      <c r="Y904" s="45"/>
      <c r="Z904" s="45"/>
      <c r="AA904" s="100"/>
      <c r="AB904" s="100"/>
      <c r="AC904" s="24"/>
      <c r="AD904" s="24"/>
      <c r="AE904" s="24"/>
      <c r="AF904" s="24"/>
      <c r="AG904" s="18">
        <v>24</v>
      </c>
      <c r="AH904" s="69" t="s">
        <v>359</v>
      </c>
      <c r="AI904" s="243" t="s">
        <v>121</v>
      </c>
      <c r="AJ904" s="243" t="s">
        <v>419</v>
      </c>
      <c r="AK904" s="246"/>
      <c r="AL904" s="43" t="str">
        <f t="shared" si="228"/>
        <v>-</v>
      </c>
      <c r="AM904" s="43">
        <f t="shared" si="232"/>
        <v>0</v>
      </c>
      <c r="AN904" s="193">
        <f t="shared" si="232"/>
        <v>0</v>
      </c>
      <c r="AO904" s="270" t="str">
        <f t="shared" si="233"/>
        <v>-</v>
      </c>
      <c r="AP904" s="271"/>
      <c r="AQ904" s="26" t="str">
        <f t="shared" si="240"/>
        <v>HESQUIAT HARBOUR #1 CREEKSCoho</v>
      </c>
      <c r="AR904" s="26">
        <f t="shared" si="234"/>
        <v>0</v>
      </c>
      <c r="AS904" s="33">
        <f t="shared" si="235"/>
        <v>0</v>
      </c>
      <c r="AX904" s="47" t="str">
        <f t="shared" si="236"/>
        <v>HESQUIAT HARBOUR #1 CREEKSCoho</v>
      </c>
      <c r="AY904" s="49">
        <f t="shared" si="237"/>
        <v>0</v>
      </c>
      <c r="AZ904" s="49">
        <f t="shared" si="238"/>
        <v>0</v>
      </c>
      <c r="BA904" s="31">
        <v>1997</v>
      </c>
      <c r="BB904" s="188">
        <f t="shared" si="225"/>
        <v>0</v>
      </c>
      <c r="BC904" s="188" t="str">
        <f t="shared" si="229"/>
        <v xml:space="preserve"> </v>
      </c>
      <c r="BD904" s="188" t="str">
        <f t="shared" si="230"/>
        <v xml:space="preserve"> </v>
      </c>
      <c r="BE904" s="188" t="str">
        <f t="shared" si="231"/>
        <v xml:space="preserve"> </v>
      </c>
      <c r="BF904" s="50" t="str">
        <f t="shared" si="239"/>
        <v>HESQUIAT HARBOUR #1 CREEKS_Coho</v>
      </c>
      <c r="BG904" s="50" t="str">
        <f>IFERROR(VLOOKUP(BF904,'[1]WCVI Esc'!$C$5:$W$514,18,FALSE),"-")</f>
        <v>-</v>
      </c>
      <c r="BH904" s="50" t="str">
        <f t="shared" si="226"/>
        <v>-</v>
      </c>
      <c r="BI904" s="50" t="str">
        <f>IFERROR(VLOOKUP(BF904,'[1]WCVI Esc'!$C$5:$W$514,19,FALSE),"-")</f>
        <v>-</v>
      </c>
      <c r="BJ904" s="50" t="str">
        <f t="shared" si="227"/>
        <v>-</v>
      </c>
    </row>
    <row r="905" spans="1:67" hidden="1" x14ac:dyDescent="0.2">
      <c r="A905" s="28">
        <v>4</v>
      </c>
      <c r="B905" s="28">
        <v>3</v>
      </c>
      <c r="C905" s="11">
        <v>24</v>
      </c>
      <c r="D905" s="13" t="s">
        <v>359</v>
      </c>
      <c r="E905" s="10" t="s">
        <v>121</v>
      </c>
      <c r="F905" s="10" t="s">
        <v>208</v>
      </c>
      <c r="G905" s="10"/>
      <c r="H905" s="152"/>
      <c r="I905" s="164"/>
      <c r="J905" s="62"/>
      <c r="K905" s="62"/>
      <c r="L905" s="177"/>
      <c r="M905" s="171"/>
      <c r="N905" s="62"/>
      <c r="O905" s="62"/>
      <c r="P905" s="62"/>
      <c r="Q905" s="64"/>
      <c r="R905" s="164"/>
      <c r="S905" s="62"/>
      <c r="T905" s="62"/>
      <c r="U905" s="62"/>
      <c r="V905" s="177"/>
      <c r="W905" s="171"/>
      <c r="X905" s="62"/>
      <c r="Y905" s="45"/>
      <c r="Z905" s="45"/>
      <c r="AA905" s="100"/>
      <c r="AB905" s="100"/>
      <c r="AC905" s="24"/>
      <c r="AD905" s="24"/>
      <c r="AE905" s="24"/>
      <c r="AF905" s="24"/>
      <c r="AG905" s="18">
        <v>24</v>
      </c>
      <c r="AH905" s="69" t="s">
        <v>359</v>
      </c>
      <c r="AI905" s="243" t="s">
        <v>121</v>
      </c>
      <c r="AJ905" s="243" t="s">
        <v>419</v>
      </c>
      <c r="AK905" s="246"/>
      <c r="AL905" s="43" t="str">
        <f t="shared" si="228"/>
        <v>-</v>
      </c>
      <c r="AM905" s="43">
        <f t="shared" si="232"/>
        <v>0</v>
      </c>
      <c r="AN905" s="193">
        <f t="shared" si="232"/>
        <v>0</v>
      </c>
      <c r="AO905" s="270" t="str">
        <f t="shared" si="233"/>
        <v>-</v>
      </c>
      <c r="AP905" s="266"/>
      <c r="AQ905" s="26" t="str">
        <f t="shared" si="240"/>
        <v>HESQUIAT HARBOUR #1 CREEKSPink</v>
      </c>
      <c r="AR905" s="26">
        <f t="shared" si="234"/>
        <v>0</v>
      </c>
      <c r="AS905" s="33">
        <f t="shared" si="235"/>
        <v>0</v>
      </c>
      <c r="AX905" s="47" t="str">
        <f t="shared" si="236"/>
        <v>HESQUIAT HARBOUR #1 CREEKSPink</v>
      </c>
      <c r="AY905" s="49">
        <f t="shared" si="237"/>
        <v>0</v>
      </c>
      <c r="AZ905" s="49">
        <f t="shared" si="238"/>
        <v>0</v>
      </c>
      <c r="BA905" s="31">
        <v>0</v>
      </c>
      <c r="BB905" s="188">
        <f t="shared" ref="BB905:BB968" si="241">AK905</f>
        <v>0</v>
      </c>
      <c r="BC905" s="188" t="str">
        <f t="shared" si="229"/>
        <v xml:space="preserve"> </v>
      </c>
      <c r="BD905" s="188" t="str">
        <f t="shared" si="230"/>
        <v xml:space="preserve"> </v>
      </c>
      <c r="BE905" s="188" t="str">
        <f t="shared" si="231"/>
        <v xml:space="preserve"> </v>
      </c>
      <c r="BF905" s="50" t="str">
        <f t="shared" si="239"/>
        <v>HESQUIAT HARBOUR #1 CREEKS_Pink</v>
      </c>
      <c r="BG905" s="50" t="str">
        <f>IFERROR(VLOOKUP(BF905,'[1]WCVI Esc'!$C$5:$W$514,18,FALSE),"-")</f>
        <v>-</v>
      </c>
      <c r="BH905" s="50" t="str">
        <f t="shared" ref="BH905:BH968" si="242">IFERROR(ROUND(BG905,-1),"-")</f>
        <v>-</v>
      </c>
      <c r="BI905" s="50" t="str">
        <f>IFERROR(VLOOKUP(BF905,'[1]WCVI Esc'!$C$5:$W$514,19,FALSE),"-")</f>
        <v>-</v>
      </c>
      <c r="BJ905" s="50" t="str">
        <f t="shared" ref="BJ905:BJ968" si="243">IFERROR(ROUND(BI905,-1),"-")</f>
        <v>-</v>
      </c>
    </row>
    <row r="906" spans="1:67" hidden="1" x14ac:dyDescent="0.2">
      <c r="A906" s="28">
        <v>4</v>
      </c>
      <c r="B906" s="28">
        <v>4</v>
      </c>
      <c r="C906" s="11">
        <v>24</v>
      </c>
      <c r="D906" s="13" t="s">
        <v>359</v>
      </c>
      <c r="E906" s="10" t="s">
        <v>121</v>
      </c>
      <c r="F906" s="10" t="s">
        <v>209</v>
      </c>
      <c r="G906" s="10"/>
      <c r="H906" s="152"/>
      <c r="I906" s="164"/>
      <c r="J906" s="62"/>
      <c r="K906" s="62"/>
      <c r="L906" s="177"/>
      <c r="M906" s="171"/>
      <c r="N906" s="62"/>
      <c r="O906" s="62"/>
      <c r="P906" s="62"/>
      <c r="Q906" s="64"/>
      <c r="R906" s="164"/>
      <c r="S906" s="62"/>
      <c r="T906" s="62"/>
      <c r="U906" s="62"/>
      <c r="V906" s="177"/>
      <c r="W906" s="171"/>
      <c r="X906" s="62"/>
      <c r="Y906" s="45"/>
      <c r="Z906" s="45"/>
      <c r="AA906" s="100"/>
      <c r="AB906" s="100"/>
      <c r="AC906" s="24"/>
      <c r="AD906" s="24"/>
      <c r="AE906" s="24"/>
      <c r="AF906" s="24"/>
      <c r="AG906" s="18">
        <v>24</v>
      </c>
      <c r="AH906" s="69" t="s">
        <v>359</v>
      </c>
      <c r="AI906" s="243" t="s">
        <v>121</v>
      </c>
      <c r="AJ906" s="243" t="s">
        <v>419</v>
      </c>
      <c r="AK906" s="246"/>
      <c r="AL906" s="43" t="str">
        <f t="shared" ref="AL906:AL969" si="244">IF(BE906=" ",IF(BD906=" ", IF(BC906=" ","-",BC906),BD906), BE906)</f>
        <v>-</v>
      </c>
      <c r="AM906" s="43">
        <f t="shared" si="232"/>
        <v>0</v>
      </c>
      <c r="AN906" s="193">
        <f t="shared" si="232"/>
        <v>0</v>
      </c>
      <c r="AO906" s="270" t="str">
        <f t="shared" si="233"/>
        <v>-</v>
      </c>
      <c r="AP906" s="271"/>
      <c r="AQ906" s="26" t="str">
        <f t="shared" si="240"/>
        <v>HESQUIAT HARBOUR #1 CREEKSChum</v>
      </c>
      <c r="AR906" s="26">
        <f t="shared" si="234"/>
        <v>0</v>
      </c>
      <c r="AS906" s="33">
        <f t="shared" si="235"/>
        <v>0</v>
      </c>
      <c r="AX906" s="47" t="str">
        <f t="shared" si="236"/>
        <v>HESQUIAT HARBOUR #1 CREEKSChum</v>
      </c>
      <c r="AY906" s="49">
        <f t="shared" si="237"/>
        <v>0</v>
      </c>
      <c r="AZ906" s="49">
        <f t="shared" si="238"/>
        <v>0</v>
      </c>
      <c r="BA906" s="31">
        <v>1997</v>
      </c>
      <c r="BB906" s="188">
        <f t="shared" si="241"/>
        <v>0</v>
      </c>
      <c r="BC906" s="188" t="str">
        <f t="shared" ref="BC906:BC969" si="245">IF(ISNUMBER(M906),M$8,IF(ISNUMBER(L906),L$8,IF(ISNUMBER(K906),K$8,IF(ISNUMBER(J906),J$8,IF(ISNUMBER(I906),I$8,IF(ISNUMBER(H906),H$8, IF(ISNUMBER(G906),G$8," ")))))))</f>
        <v xml:space="preserve"> </v>
      </c>
      <c r="BD906" s="188" t="str">
        <f t="shared" ref="BD906:BD969" si="246">IF(ISNUMBER(S906),S$8,IF(ISNUMBER(R906),R$8,IF(ISNUMBER(Q906),Q$8,IF(ISNUMBER(P906),P$8,IF(ISNUMBER(O906),O$8,IF(ISNUMBER(N906),N$8," "))))))</f>
        <v xml:space="preserve"> </v>
      </c>
      <c r="BE906" s="188" t="str">
        <f t="shared" ref="BE906:BE969" si="247">IF(ISNUMBER(X906),X$8,IF(ISNUMBER(W906),W$8,IF(ISNUMBER(V906),V$8,IF(ISNUMBER(U906),U$8,IF(ISNUMBER(T906),T$8," ")))))</f>
        <v xml:space="preserve"> </v>
      </c>
      <c r="BF906" s="50" t="str">
        <f t="shared" si="239"/>
        <v>HESQUIAT HARBOUR #1 CREEKS_Chum</v>
      </c>
      <c r="BG906" s="50" t="str">
        <f>IFERROR(VLOOKUP(BF906,'[1]WCVI Esc'!$C$5:$W$514,18,FALSE),"-")</f>
        <v>-</v>
      </c>
      <c r="BH906" s="50" t="str">
        <f t="shared" si="242"/>
        <v>-</v>
      </c>
      <c r="BI906" s="50" t="str">
        <f>IFERROR(VLOOKUP(BF906,'[1]WCVI Esc'!$C$5:$W$514,19,FALSE),"-")</f>
        <v>-</v>
      </c>
      <c r="BJ906" s="50" t="str">
        <f t="shared" si="243"/>
        <v>-</v>
      </c>
    </row>
    <row r="907" spans="1:67" hidden="1" x14ac:dyDescent="0.2">
      <c r="A907" s="28">
        <v>4</v>
      </c>
      <c r="B907" s="28">
        <v>5</v>
      </c>
      <c r="C907" s="11">
        <v>24</v>
      </c>
      <c r="D907" s="13" t="s">
        <v>359</v>
      </c>
      <c r="E907" s="10" t="s">
        <v>121</v>
      </c>
      <c r="F907" s="10" t="s">
        <v>210</v>
      </c>
      <c r="G907" s="10"/>
      <c r="H907" s="152"/>
      <c r="I907" s="164"/>
      <c r="J907" s="62"/>
      <c r="K907" s="62"/>
      <c r="L907" s="177"/>
      <c r="M907" s="171"/>
      <c r="N907" s="62"/>
      <c r="O907" s="62"/>
      <c r="P907" s="62"/>
      <c r="Q907" s="64"/>
      <c r="R907" s="164"/>
      <c r="S907" s="62"/>
      <c r="T907" s="62"/>
      <c r="U907" s="62"/>
      <c r="V907" s="177"/>
      <c r="W907" s="171"/>
      <c r="X907" s="62"/>
      <c r="Y907" s="45"/>
      <c r="Z907" s="45"/>
      <c r="AA907" s="100"/>
      <c r="AB907" s="100"/>
      <c r="AC907" s="24"/>
      <c r="AD907" s="24"/>
      <c r="AE907" s="24"/>
      <c r="AF907" s="24"/>
      <c r="AG907" s="18">
        <v>24</v>
      </c>
      <c r="AH907" s="69" t="s">
        <v>359</v>
      </c>
      <c r="AI907" s="243" t="s">
        <v>121</v>
      </c>
      <c r="AJ907" s="243" t="s">
        <v>419</v>
      </c>
      <c r="AK907" s="246"/>
      <c r="AL907" s="43" t="str">
        <f t="shared" si="244"/>
        <v>-</v>
      </c>
      <c r="AM907" s="43">
        <f t="shared" si="232"/>
        <v>0</v>
      </c>
      <c r="AN907" s="193">
        <f t="shared" si="232"/>
        <v>0</v>
      </c>
      <c r="AO907" s="270" t="str">
        <f t="shared" si="233"/>
        <v>-</v>
      </c>
      <c r="AP907" s="271"/>
      <c r="AQ907" s="26" t="str">
        <f t="shared" si="240"/>
        <v>HESQUIAT HARBOUR #1 CREEKSChinook</v>
      </c>
      <c r="AR907" s="26">
        <f t="shared" si="234"/>
        <v>0</v>
      </c>
      <c r="AS907" s="33">
        <f t="shared" si="235"/>
        <v>0</v>
      </c>
      <c r="AX907" s="47" t="str">
        <f t="shared" si="236"/>
        <v>HESQUIAT HARBOUR #1 CREEKSChinook</v>
      </c>
      <c r="AY907" s="49">
        <f t="shared" si="237"/>
        <v>0</v>
      </c>
      <c r="AZ907" s="49">
        <f t="shared" si="238"/>
        <v>0</v>
      </c>
      <c r="BA907" s="31">
        <v>0</v>
      </c>
      <c r="BB907" s="188">
        <f t="shared" si="241"/>
        <v>0</v>
      </c>
      <c r="BC907" s="188" t="str">
        <f t="shared" si="245"/>
        <v xml:space="preserve"> </v>
      </c>
      <c r="BD907" s="188" t="str">
        <f t="shared" si="246"/>
        <v xml:space="preserve"> </v>
      </c>
      <c r="BE907" s="188" t="str">
        <f t="shared" si="247"/>
        <v xml:space="preserve"> </v>
      </c>
      <c r="BF907" s="50" t="str">
        <f t="shared" si="239"/>
        <v>HESQUIAT HARBOUR #1 CREEKS_Chinook</v>
      </c>
      <c r="BG907" s="50" t="str">
        <f>IFERROR(VLOOKUP(BF907,'[1]WCVI Esc'!$C$5:$W$514,18,FALSE),"-")</f>
        <v>-</v>
      </c>
      <c r="BH907" s="50" t="str">
        <f t="shared" si="242"/>
        <v>-</v>
      </c>
      <c r="BI907" s="50" t="str">
        <f>IFERROR(VLOOKUP(BF907,'[1]WCVI Esc'!$C$5:$W$514,19,FALSE),"-")</f>
        <v>-</v>
      </c>
      <c r="BJ907" s="50" t="str">
        <f t="shared" si="243"/>
        <v>-</v>
      </c>
    </row>
    <row r="908" spans="1:67" hidden="1" x14ac:dyDescent="0.2">
      <c r="A908" s="28">
        <v>4</v>
      </c>
      <c r="B908" s="28">
        <v>6</v>
      </c>
      <c r="C908" s="11">
        <v>24</v>
      </c>
      <c r="D908" s="13" t="s">
        <v>359</v>
      </c>
      <c r="E908" s="10" t="s">
        <v>121</v>
      </c>
      <c r="F908" s="10" t="s">
        <v>211</v>
      </c>
      <c r="G908" s="10"/>
      <c r="H908" s="152"/>
      <c r="I908" s="164"/>
      <c r="J908" s="62"/>
      <c r="K908" s="62"/>
      <c r="L908" s="177"/>
      <c r="M908" s="171"/>
      <c r="N908" s="62"/>
      <c r="O908" s="62"/>
      <c r="P908" s="62"/>
      <c r="Q908" s="64"/>
      <c r="R908" s="164"/>
      <c r="S908" s="62"/>
      <c r="T908" s="62"/>
      <c r="U908" s="62"/>
      <c r="V908" s="177"/>
      <c r="W908" s="171"/>
      <c r="X908" s="62"/>
      <c r="Y908" s="45"/>
      <c r="Z908" s="45"/>
      <c r="AA908" s="100"/>
      <c r="AB908" s="100"/>
      <c r="AC908" s="24"/>
      <c r="AD908" s="24"/>
      <c r="AE908" s="24"/>
      <c r="AF908" s="24"/>
      <c r="AG908" s="18">
        <v>24</v>
      </c>
      <c r="AH908" s="69" t="s">
        <v>359</v>
      </c>
      <c r="AI908" s="243" t="s">
        <v>121</v>
      </c>
      <c r="AJ908" s="243" t="s">
        <v>419</v>
      </c>
      <c r="AK908" s="246"/>
      <c r="AL908" s="43" t="str">
        <f t="shared" si="244"/>
        <v>-</v>
      </c>
      <c r="AM908" s="43">
        <f t="shared" si="232"/>
        <v>0</v>
      </c>
      <c r="AN908" s="193">
        <f t="shared" si="232"/>
        <v>0</v>
      </c>
      <c r="AO908" s="270" t="str">
        <f t="shared" si="233"/>
        <v>-</v>
      </c>
      <c r="AP908" s="266"/>
      <c r="AQ908" s="26" t="str">
        <f t="shared" si="240"/>
        <v>HESQUIAT HARBOUR #1 CREEKSSteelhead</v>
      </c>
      <c r="AR908" s="26">
        <f t="shared" si="234"/>
        <v>0</v>
      </c>
      <c r="AS908" s="33">
        <f t="shared" si="235"/>
        <v>0</v>
      </c>
      <c r="AX908" s="47" t="str">
        <f t="shared" si="236"/>
        <v>HESQUIAT HARBOUR #1 CREEKSSteelhead</v>
      </c>
      <c r="AY908" s="49">
        <f t="shared" si="237"/>
        <v>0</v>
      </c>
      <c r="AZ908" s="49">
        <f t="shared" si="238"/>
        <v>0</v>
      </c>
      <c r="BA908" s="31">
        <v>0</v>
      </c>
      <c r="BB908" s="188">
        <f t="shared" si="241"/>
        <v>0</v>
      </c>
      <c r="BC908" s="188" t="str">
        <f t="shared" si="245"/>
        <v xml:space="preserve"> </v>
      </c>
      <c r="BD908" s="188" t="str">
        <f t="shared" si="246"/>
        <v xml:space="preserve"> </v>
      </c>
      <c r="BE908" s="188" t="str">
        <f t="shared" si="247"/>
        <v xml:space="preserve"> </v>
      </c>
      <c r="BF908" s="50" t="str">
        <f t="shared" si="239"/>
        <v>HESQUIAT HARBOUR #1 CREEKS_Steelhead</v>
      </c>
      <c r="BG908" s="50" t="str">
        <f>IFERROR(VLOOKUP(BF908,'[1]WCVI Esc'!$C$5:$W$514,18,FALSE),"-")</f>
        <v>-</v>
      </c>
      <c r="BH908" s="50" t="str">
        <f t="shared" si="242"/>
        <v>-</v>
      </c>
      <c r="BI908" s="50" t="str">
        <f>IFERROR(VLOOKUP(BF908,'[1]WCVI Esc'!$C$5:$W$514,19,FALSE),"-")</f>
        <v>-</v>
      </c>
      <c r="BJ908" s="50" t="str">
        <f t="shared" si="243"/>
        <v>-</v>
      </c>
    </row>
    <row r="909" spans="1:67" hidden="1" x14ac:dyDescent="0.2">
      <c r="A909" s="28">
        <v>4</v>
      </c>
      <c r="B909" s="28">
        <v>1</v>
      </c>
      <c r="C909" s="11">
        <v>24</v>
      </c>
      <c r="D909" s="13" t="s">
        <v>359</v>
      </c>
      <c r="E909" s="10" t="s">
        <v>246</v>
      </c>
      <c r="F909" s="10" t="s">
        <v>207</v>
      </c>
      <c r="G909" s="10"/>
      <c r="H909" s="152"/>
      <c r="I909" s="164"/>
      <c r="J909" s="62"/>
      <c r="K909" s="62"/>
      <c r="L909" s="177"/>
      <c r="M909" s="171"/>
      <c r="N909" s="62"/>
      <c r="O909" s="62"/>
      <c r="P909" s="62"/>
      <c r="Q909" s="64"/>
      <c r="R909" s="161"/>
      <c r="S909" s="62"/>
      <c r="T909" s="62"/>
      <c r="U909" s="62"/>
      <c r="V909" s="177"/>
      <c r="W909" s="171"/>
      <c r="X909" s="62"/>
      <c r="Y909" s="45"/>
      <c r="Z909" s="45"/>
      <c r="AA909" s="100"/>
      <c r="AB909" s="100"/>
      <c r="AC909" s="24"/>
      <c r="AD909" s="24"/>
      <c r="AE909" s="24"/>
      <c r="AF909" s="24"/>
      <c r="AG909" s="18">
        <v>24</v>
      </c>
      <c r="AH909" s="69" t="s">
        <v>359</v>
      </c>
      <c r="AI909" s="243" t="s">
        <v>246</v>
      </c>
      <c r="AJ909" s="243" t="s">
        <v>419</v>
      </c>
      <c r="AK909" s="246"/>
      <c r="AL909" s="43" t="str">
        <f t="shared" si="244"/>
        <v>-</v>
      </c>
      <c r="AM909" s="43">
        <f t="shared" si="232"/>
        <v>0</v>
      </c>
      <c r="AN909" s="193">
        <f t="shared" si="232"/>
        <v>0</v>
      </c>
      <c r="AO909" s="270" t="str">
        <f t="shared" si="233"/>
        <v>-</v>
      </c>
      <c r="AP909" s="266"/>
      <c r="AQ909" s="26" t="str">
        <f t="shared" si="240"/>
        <v>HESQUIAT HARBOUR #2 CREEKS (Ayyi Saqh)Sockeye</v>
      </c>
      <c r="AR909" s="26">
        <f t="shared" si="234"/>
        <v>0</v>
      </c>
      <c r="AS909" s="33">
        <f t="shared" si="235"/>
        <v>0</v>
      </c>
      <c r="AX909" s="47" t="str">
        <f t="shared" si="236"/>
        <v>HESQUIAT HARBOUR #2 CREEKS (Ayyi Saqh)Sockeye</v>
      </c>
      <c r="AY909" s="49">
        <f t="shared" si="237"/>
        <v>0</v>
      </c>
      <c r="AZ909" s="49">
        <f t="shared" si="238"/>
        <v>0</v>
      </c>
      <c r="BA909" s="31">
        <v>0</v>
      </c>
      <c r="BB909" s="188">
        <f t="shared" si="241"/>
        <v>0</v>
      </c>
      <c r="BC909" s="188" t="str">
        <f t="shared" si="245"/>
        <v xml:space="preserve"> </v>
      </c>
      <c r="BD909" s="188" t="str">
        <f t="shared" si="246"/>
        <v xml:space="preserve"> </v>
      </c>
      <c r="BE909" s="188" t="str">
        <f t="shared" si="247"/>
        <v xml:space="preserve"> </v>
      </c>
      <c r="BF909" s="50" t="str">
        <f t="shared" si="239"/>
        <v>HESQUIAT HARBOUR #2 CREEKS (Ayyi Saqh)_Sockeye</v>
      </c>
      <c r="BG909" s="50" t="str">
        <f>IFERROR(VLOOKUP(BF909,'[1]WCVI Esc'!$C$5:$W$514,18,FALSE),"-")</f>
        <v>-</v>
      </c>
      <c r="BH909" s="50" t="str">
        <f t="shared" si="242"/>
        <v>-</v>
      </c>
      <c r="BI909" s="50" t="str">
        <f>IFERROR(VLOOKUP(BF909,'[1]WCVI Esc'!$C$5:$W$514,19,FALSE),"-")</f>
        <v>-</v>
      </c>
      <c r="BJ909" s="50" t="str">
        <f t="shared" si="243"/>
        <v>-</v>
      </c>
    </row>
    <row r="910" spans="1:67" hidden="1" x14ac:dyDescent="0.2">
      <c r="A910" s="28">
        <v>4</v>
      </c>
      <c r="B910" s="28">
        <v>2</v>
      </c>
      <c r="C910" s="11">
        <v>24</v>
      </c>
      <c r="D910" s="13" t="s">
        <v>359</v>
      </c>
      <c r="E910" s="10" t="s">
        <v>246</v>
      </c>
      <c r="F910" s="10" t="s">
        <v>219</v>
      </c>
      <c r="G910" s="10"/>
      <c r="H910" s="152"/>
      <c r="I910" s="164"/>
      <c r="J910" s="62"/>
      <c r="K910" s="62"/>
      <c r="L910" s="177"/>
      <c r="M910" s="171"/>
      <c r="N910" s="62"/>
      <c r="O910" s="62"/>
      <c r="P910" s="62"/>
      <c r="Q910" s="64"/>
      <c r="R910" s="161"/>
      <c r="S910" s="62"/>
      <c r="T910" s="62"/>
      <c r="U910" s="62"/>
      <c r="V910" s="177"/>
      <c r="W910" s="171"/>
      <c r="X910" s="62"/>
      <c r="Y910" s="45"/>
      <c r="Z910" s="45"/>
      <c r="AA910" s="100"/>
      <c r="AB910" s="100"/>
      <c r="AC910" s="24"/>
      <c r="AD910" s="24"/>
      <c r="AE910" s="24"/>
      <c r="AF910" s="24"/>
      <c r="AG910" s="18">
        <v>24</v>
      </c>
      <c r="AH910" s="69" t="s">
        <v>359</v>
      </c>
      <c r="AI910" s="243" t="s">
        <v>246</v>
      </c>
      <c r="AJ910" s="243" t="s">
        <v>419</v>
      </c>
      <c r="AK910" s="246"/>
      <c r="AL910" s="43" t="str">
        <f t="shared" si="244"/>
        <v>-</v>
      </c>
      <c r="AM910" s="43">
        <f t="shared" si="232"/>
        <v>0</v>
      </c>
      <c r="AN910" s="193">
        <f t="shared" si="232"/>
        <v>0</v>
      </c>
      <c r="AO910" s="270" t="str">
        <f t="shared" si="233"/>
        <v>-</v>
      </c>
      <c r="AP910" s="266"/>
      <c r="AQ910" s="26" t="str">
        <f t="shared" si="240"/>
        <v>HESQUIAT HARBOUR #2 CREEKS (Ayyi Saqh)Coho</v>
      </c>
      <c r="AR910" s="26">
        <f t="shared" si="234"/>
        <v>0</v>
      </c>
      <c r="AS910" s="33">
        <f t="shared" si="235"/>
        <v>0</v>
      </c>
      <c r="AX910" s="47" t="str">
        <f t="shared" si="236"/>
        <v>HESQUIAT HARBOUR #2 CREEKS (Ayyi Saqh)Coho</v>
      </c>
      <c r="AY910" s="49">
        <f t="shared" si="237"/>
        <v>0</v>
      </c>
      <c r="AZ910" s="49">
        <f t="shared" si="238"/>
        <v>0</v>
      </c>
      <c r="BA910" s="31">
        <v>2013</v>
      </c>
      <c r="BB910" s="188">
        <f t="shared" si="241"/>
        <v>0</v>
      </c>
      <c r="BC910" s="188" t="str">
        <f t="shared" si="245"/>
        <v xml:space="preserve"> </v>
      </c>
      <c r="BD910" s="188" t="str">
        <f t="shared" si="246"/>
        <v xml:space="preserve"> </v>
      </c>
      <c r="BE910" s="188" t="str">
        <f t="shared" si="247"/>
        <v xml:space="preserve"> </v>
      </c>
      <c r="BF910" s="50" t="str">
        <f t="shared" si="239"/>
        <v>HESQUIAT HARBOUR #2 CREEKS (Ayyi Saqh)_Coho</v>
      </c>
      <c r="BG910" s="50" t="str">
        <f>IFERROR(VLOOKUP(BF910,'[1]WCVI Esc'!$C$5:$W$514,18,FALSE),"-")</f>
        <v>-</v>
      </c>
      <c r="BH910" s="50" t="str">
        <f t="shared" si="242"/>
        <v>-</v>
      </c>
      <c r="BI910" s="50" t="str">
        <f>IFERROR(VLOOKUP(BF910,'[1]WCVI Esc'!$C$5:$W$514,19,FALSE),"-")</f>
        <v>-</v>
      </c>
      <c r="BJ910" s="50" t="str">
        <f t="shared" si="243"/>
        <v>-</v>
      </c>
    </row>
    <row r="911" spans="1:67" hidden="1" x14ac:dyDescent="0.2">
      <c r="A911" s="28">
        <v>4</v>
      </c>
      <c r="B911" s="28">
        <v>3</v>
      </c>
      <c r="C911" s="11">
        <v>24</v>
      </c>
      <c r="D911" s="13" t="s">
        <v>359</v>
      </c>
      <c r="E911" s="10" t="s">
        <v>246</v>
      </c>
      <c r="F911" s="10" t="s">
        <v>208</v>
      </c>
      <c r="G911" s="10"/>
      <c r="H911" s="152"/>
      <c r="I911" s="164"/>
      <c r="J911" s="62"/>
      <c r="K911" s="62"/>
      <c r="L911" s="177"/>
      <c r="M911" s="171"/>
      <c r="N911" s="62"/>
      <c r="O911" s="62"/>
      <c r="P911" s="62"/>
      <c r="Q911" s="64"/>
      <c r="R911" s="161"/>
      <c r="S911" s="62"/>
      <c r="T911" s="62"/>
      <c r="U911" s="62"/>
      <c r="V911" s="177"/>
      <c r="W911" s="171"/>
      <c r="X911" s="62"/>
      <c r="Y911" s="45"/>
      <c r="Z911" s="45"/>
      <c r="AA911" s="100"/>
      <c r="AB911" s="100"/>
      <c r="AC911" s="24"/>
      <c r="AD911" s="24"/>
      <c r="AE911" s="24"/>
      <c r="AF911" s="24"/>
      <c r="AG911" s="18">
        <v>24</v>
      </c>
      <c r="AH911" s="69" t="s">
        <v>359</v>
      </c>
      <c r="AI911" s="243" t="s">
        <v>246</v>
      </c>
      <c r="AJ911" s="243" t="s">
        <v>419</v>
      </c>
      <c r="AK911" s="246"/>
      <c r="AL911" s="43" t="str">
        <f t="shared" si="244"/>
        <v>-</v>
      </c>
      <c r="AM911" s="43">
        <f t="shared" si="232"/>
        <v>0</v>
      </c>
      <c r="AN911" s="193">
        <f t="shared" si="232"/>
        <v>0</v>
      </c>
      <c r="AO911" s="270" t="str">
        <f t="shared" si="233"/>
        <v>-</v>
      </c>
      <c r="AP911" s="266"/>
      <c r="AQ911" s="26" t="str">
        <f t="shared" si="240"/>
        <v>HESQUIAT HARBOUR #2 CREEKS (Ayyi Saqh)Pink</v>
      </c>
      <c r="AR911" s="26">
        <f t="shared" si="234"/>
        <v>0</v>
      </c>
      <c r="AS911" s="33">
        <f t="shared" si="235"/>
        <v>0</v>
      </c>
      <c r="AX911" s="47" t="str">
        <f t="shared" si="236"/>
        <v>HESQUIAT HARBOUR #2 CREEKS (Ayyi Saqh)Pink</v>
      </c>
      <c r="AY911" s="49">
        <f t="shared" si="237"/>
        <v>0</v>
      </c>
      <c r="AZ911" s="49">
        <f t="shared" si="238"/>
        <v>0</v>
      </c>
      <c r="BA911" s="31">
        <v>0</v>
      </c>
      <c r="BB911" s="188">
        <f t="shared" si="241"/>
        <v>0</v>
      </c>
      <c r="BC911" s="188" t="str">
        <f t="shared" si="245"/>
        <v xml:space="preserve"> </v>
      </c>
      <c r="BD911" s="188" t="str">
        <f t="shared" si="246"/>
        <v xml:space="preserve"> </v>
      </c>
      <c r="BE911" s="188" t="str">
        <f t="shared" si="247"/>
        <v xml:space="preserve"> </v>
      </c>
      <c r="BF911" s="50" t="str">
        <f t="shared" si="239"/>
        <v>HESQUIAT HARBOUR #2 CREEKS (Ayyi Saqh)_Pink</v>
      </c>
      <c r="BG911" s="50" t="str">
        <f>IFERROR(VLOOKUP(BF911,'[1]WCVI Esc'!$C$5:$W$514,18,FALSE),"-")</f>
        <v>-</v>
      </c>
      <c r="BH911" s="50" t="str">
        <f t="shared" si="242"/>
        <v>-</v>
      </c>
      <c r="BI911" s="50" t="str">
        <f>IFERROR(VLOOKUP(BF911,'[1]WCVI Esc'!$C$5:$W$514,19,FALSE),"-")</f>
        <v>-</v>
      </c>
      <c r="BJ911" s="50" t="str">
        <f t="shared" si="243"/>
        <v>-</v>
      </c>
    </row>
    <row r="912" spans="1:67" hidden="1" x14ac:dyDescent="0.2">
      <c r="A912" s="28">
        <v>4</v>
      </c>
      <c r="B912" s="28">
        <v>4</v>
      </c>
      <c r="C912" s="11">
        <v>24</v>
      </c>
      <c r="D912" s="13" t="s">
        <v>359</v>
      </c>
      <c r="E912" s="10" t="s">
        <v>246</v>
      </c>
      <c r="F912" s="10" t="s">
        <v>209</v>
      </c>
      <c r="G912" s="10"/>
      <c r="H912" s="152"/>
      <c r="I912" s="164"/>
      <c r="J912" s="62"/>
      <c r="K912" s="62"/>
      <c r="L912" s="177"/>
      <c r="M912" s="171"/>
      <c r="N912" s="62"/>
      <c r="O912" s="62"/>
      <c r="P912" s="62"/>
      <c r="Q912" s="64"/>
      <c r="R912" s="161"/>
      <c r="S912" s="62"/>
      <c r="T912" s="62"/>
      <c r="U912" s="62"/>
      <c r="V912" s="177"/>
      <c r="W912" s="171"/>
      <c r="X912" s="62"/>
      <c r="Y912" s="45"/>
      <c r="Z912" s="45"/>
      <c r="AA912" s="100"/>
      <c r="AB912" s="100"/>
      <c r="AC912" s="24"/>
      <c r="AD912" s="24"/>
      <c r="AE912" s="24"/>
      <c r="AF912" s="24"/>
      <c r="AG912" s="18">
        <v>24</v>
      </c>
      <c r="AH912" s="69" t="s">
        <v>359</v>
      </c>
      <c r="AI912" s="243" t="s">
        <v>246</v>
      </c>
      <c r="AJ912" s="243" t="s">
        <v>419</v>
      </c>
      <c r="AK912" s="246"/>
      <c r="AL912" s="43" t="str">
        <f t="shared" si="244"/>
        <v>-</v>
      </c>
      <c r="AM912" s="43">
        <f t="shared" si="232"/>
        <v>0</v>
      </c>
      <c r="AN912" s="193">
        <f t="shared" si="232"/>
        <v>0</v>
      </c>
      <c r="AO912" s="270" t="str">
        <f t="shared" si="233"/>
        <v>-</v>
      </c>
      <c r="AP912" s="266"/>
      <c r="AQ912" s="26" t="str">
        <f t="shared" si="240"/>
        <v>HESQUIAT HARBOUR #2 CREEKS (Ayyi Saqh)Chum</v>
      </c>
      <c r="AR912" s="26">
        <f t="shared" si="234"/>
        <v>0</v>
      </c>
      <c r="AS912" s="33">
        <f t="shared" si="235"/>
        <v>0</v>
      </c>
      <c r="AX912" s="47" t="str">
        <f t="shared" si="236"/>
        <v>HESQUIAT HARBOUR #2 CREEKS (Ayyi Saqh)Chum</v>
      </c>
      <c r="AY912" s="49">
        <f t="shared" si="237"/>
        <v>0</v>
      </c>
      <c r="AZ912" s="49">
        <f t="shared" si="238"/>
        <v>0</v>
      </c>
      <c r="BA912" s="31">
        <v>2013</v>
      </c>
      <c r="BB912" s="188">
        <f t="shared" si="241"/>
        <v>0</v>
      </c>
      <c r="BC912" s="188" t="str">
        <f t="shared" si="245"/>
        <v xml:space="preserve"> </v>
      </c>
      <c r="BD912" s="188" t="str">
        <f t="shared" si="246"/>
        <v xml:space="preserve"> </v>
      </c>
      <c r="BE912" s="188" t="str">
        <f t="shared" si="247"/>
        <v xml:space="preserve"> </v>
      </c>
      <c r="BF912" s="50" t="str">
        <f t="shared" si="239"/>
        <v>HESQUIAT HARBOUR #2 CREEKS (Ayyi Saqh)_Chum</v>
      </c>
      <c r="BG912" s="50" t="str">
        <f>IFERROR(VLOOKUP(BF912,'[1]WCVI Esc'!$C$5:$W$514,18,FALSE),"-")</f>
        <v>-</v>
      </c>
      <c r="BH912" s="50" t="str">
        <f t="shared" si="242"/>
        <v>-</v>
      </c>
      <c r="BI912" s="50" t="str">
        <f>IFERROR(VLOOKUP(BF912,'[1]WCVI Esc'!$C$5:$W$514,19,FALSE),"-")</f>
        <v>-</v>
      </c>
      <c r="BJ912" s="50" t="str">
        <f t="shared" si="243"/>
        <v>-</v>
      </c>
    </row>
    <row r="913" spans="1:62" hidden="1" x14ac:dyDescent="0.2">
      <c r="A913" s="28">
        <v>4</v>
      </c>
      <c r="B913" s="28">
        <v>5</v>
      </c>
      <c r="C913" s="11">
        <v>24</v>
      </c>
      <c r="D913" s="13" t="s">
        <v>359</v>
      </c>
      <c r="E913" s="10" t="s">
        <v>246</v>
      </c>
      <c r="F913" s="10" t="s">
        <v>210</v>
      </c>
      <c r="G913" s="10"/>
      <c r="H913" s="152"/>
      <c r="I913" s="164"/>
      <c r="J913" s="62"/>
      <c r="K913" s="62"/>
      <c r="L913" s="177"/>
      <c r="M913" s="171"/>
      <c r="N913" s="62"/>
      <c r="O913" s="62"/>
      <c r="P913" s="62"/>
      <c r="Q913" s="64"/>
      <c r="R913" s="161"/>
      <c r="S913" s="62"/>
      <c r="T913" s="62"/>
      <c r="U913" s="62"/>
      <c r="V913" s="177"/>
      <c r="W913" s="171"/>
      <c r="X913" s="62"/>
      <c r="Y913" s="45"/>
      <c r="Z913" s="45"/>
      <c r="AA913" s="100"/>
      <c r="AB913" s="100"/>
      <c r="AC913" s="24"/>
      <c r="AD913" s="24"/>
      <c r="AE913" s="24"/>
      <c r="AF913" s="24"/>
      <c r="AG913" s="18">
        <v>24</v>
      </c>
      <c r="AH913" s="69" t="s">
        <v>359</v>
      </c>
      <c r="AI913" s="243" t="s">
        <v>246</v>
      </c>
      <c r="AJ913" s="243" t="s">
        <v>419</v>
      </c>
      <c r="AK913" s="246"/>
      <c r="AL913" s="43" t="str">
        <f t="shared" si="244"/>
        <v>-</v>
      </c>
      <c r="AM913" s="43">
        <f t="shared" si="232"/>
        <v>0</v>
      </c>
      <c r="AN913" s="193">
        <f t="shared" si="232"/>
        <v>0</v>
      </c>
      <c r="AO913" s="270" t="str">
        <f t="shared" si="233"/>
        <v>-</v>
      </c>
      <c r="AP913" s="266"/>
      <c r="AQ913" s="26" t="str">
        <f t="shared" si="240"/>
        <v>HESQUIAT HARBOUR #2 CREEKS (Ayyi Saqh)Chinook</v>
      </c>
      <c r="AR913" s="26">
        <f t="shared" si="234"/>
        <v>0</v>
      </c>
      <c r="AS913" s="33">
        <f t="shared" si="235"/>
        <v>0</v>
      </c>
      <c r="AX913" s="47" t="str">
        <f t="shared" si="236"/>
        <v>HESQUIAT HARBOUR #2 CREEKS (Ayyi Saqh)Chinook</v>
      </c>
      <c r="AY913" s="49">
        <f t="shared" si="237"/>
        <v>0</v>
      </c>
      <c r="AZ913" s="49">
        <f t="shared" si="238"/>
        <v>0</v>
      </c>
      <c r="BA913" s="31">
        <v>0</v>
      </c>
      <c r="BB913" s="188">
        <f t="shared" si="241"/>
        <v>0</v>
      </c>
      <c r="BC913" s="188" t="str">
        <f t="shared" si="245"/>
        <v xml:space="preserve"> </v>
      </c>
      <c r="BD913" s="188" t="str">
        <f t="shared" si="246"/>
        <v xml:space="preserve"> </v>
      </c>
      <c r="BE913" s="188" t="str">
        <f t="shared" si="247"/>
        <v xml:space="preserve"> </v>
      </c>
      <c r="BF913" s="50" t="str">
        <f t="shared" si="239"/>
        <v>HESQUIAT HARBOUR #2 CREEKS (Ayyi Saqh)_Chinook</v>
      </c>
      <c r="BG913" s="50" t="str">
        <f>IFERROR(VLOOKUP(BF913,'[1]WCVI Esc'!$C$5:$W$514,18,FALSE),"-")</f>
        <v>-</v>
      </c>
      <c r="BH913" s="50" t="str">
        <f t="shared" si="242"/>
        <v>-</v>
      </c>
      <c r="BI913" s="50" t="str">
        <f>IFERROR(VLOOKUP(BF913,'[1]WCVI Esc'!$C$5:$W$514,19,FALSE),"-")</f>
        <v>-</v>
      </c>
      <c r="BJ913" s="50" t="str">
        <f t="shared" si="243"/>
        <v>-</v>
      </c>
    </row>
    <row r="914" spans="1:62" hidden="1" x14ac:dyDescent="0.2">
      <c r="A914" s="28">
        <v>4</v>
      </c>
      <c r="B914" s="28">
        <v>6</v>
      </c>
      <c r="C914" s="11">
        <v>24</v>
      </c>
      <c r="D914" s="13" t="s">
        <v>359</v>
      </c>
      <c r="E914" s="10" t="s">
        <v>246</v>
      </c>
      <c r="F914" s="10" t="s">
        <v>211</v>
      </c>
      <c r="G914" s="10"/>
      <c r="H914" s="152"/>
      <c r="I914" s="164"/>
      <c r="J914" s="62"/>
      <c r="K914" s="62"/>
      <c r="L914" s="177"/>
      <c r="M914" s="171"/>
      <c r="N914" s="62"/>
      <c r="O914" s="62"/>
      <c r="P914" s="62"/>
      <c r="Q914" s="64"/>
      <c r="R914" s="161"/>
      <c r="S914" s="62"/>
      <c r="T914" s="62"/>
      <c r="U914" s="62"/>
      <c r="V914" s="177"/>
      <c r="W914" s="171"/>
      <c r="X914" s="62"/>
      <c r="Y914" s="45"/>
      <c r="Z914" s="45"/>
      <c r="AA914" s="100"/>
      <c r="AB914" s="100"/>
      <c r="AC914" s="24"/>
      <c r="AD914" s="24"/>
      <c r="AE914" s="24"/>
      <c r="AF914" s="24"/>
      <c r="AG914" s="18">
        <v>24</v>
      </c>
      <c r="AH914" s="69" t="s">
        <v>359</v>
      </c>
      <c r="AI914" s="243" t="s">
        <v>246</v>
      </c>
      <c r="AJ914" s="243" t="s">
        <v>419</v>
      </c>
      <c r="AK914" s="246"/>
      <c r="AL914" s="43" t="str">
        <f t="shared" si="244"/>
        <v>-</v>
      </c>
      <c r="AM914" s="43">
        <f t="shared" si="232"/>
        <v>0</v>
      </c>
      <c r="AN914" s="193">
        <f t="shared" si="232"/>
        <v>0</v>
      </c>
      <c r="AO914" s="270" t="str">
        <f t="shared" si="233"/>
        <v>-</v>
      </c>
      <c r="AP914" s="266"/>
      <c r="AQ914" s="26" t="str">
        <f t="shared" si="240"/>
        <v>HESQUIAT HARBOUR #2 CREEKS (Ayyi Saqh)Steelhead</v>
      </c>
      <c r="AR914" s="26">
        <f t="shared" si="234"/>
        <v>0</v>
      </c>
      <c r="AS914" s="33">
        <f t="shared" si="235"/>
        <v>0</v>
      </c>
      <c r="AX914" s="47" t="str">
        <f t="shared" si="236"/>
        <v>HESQUIAT HARBOUR #2 CREEKS (Ayyi Saqh)Steelhead</v>
      </c>
      <c r="AY914" s="49">
        <f t="shared" si="237"/>
        <v>0</v>
      </c>
      <c r="AZ914" s="49">
        <f t="shared" si="238"/>
        <v>0</v>
      </c>
      <c r="BA914" s="31">
        <v>0</v>
      </c>
      <c r="BB914" s="188">
        <f t="shared" si="241"/>
        <v>0</v>
      </c>
      <c r="BC914" s="188" t="str">
        <f t="shared" si="245"/>
        <v xml:space="preserve"> </v>
      </c>
      <c r="BD914" s="188" t="str">
        <f t="shared" si="246"/>
        <v xml:space="preserve"> </v>
      </c>
      <c r="BE914" s="188" t="str">
        <f t="shared" si="247"/>
        <v xml:space="preserve"> </v>
      </c>
      <c r="BF914" s="50" t="str">
        <f t="shared" si="239"/>
        <v>HESQUIAT HARBOUR #2 CREEKS (Ayyi Saqh)_Steelhead</v>
      </c>
      <c r="BG914" s="50" t="str">
        <f>IFERROR(VLOOKUP(BF914,'[1]WCVI Esc'!$C$5:$W$514,18,FALSE),"-")</f>
        <v>-</v>
      </c>
      <c r="BH914" s="50" t="str">
        <f t="shared" si="242"/>
        <v>-</v>
      </c>
      <c r="BI914" s="50" t="str">
        <f>IFERROR(VLOOKUP(BF914,'[1]WCVI Esc'!$C$5:$W$514,19,FALSE),"-")</f>
        <v>-</v>
      </c>
      <c r="BJ914" s="50" t="str">
        <f t="shared" si="243"/>
        <v>-</v>
      </c>
    </row>
    <row r="915" spans="1:62" hidden="1" x14ac:dyDescent="0.2">
      <c r="A915" s="28">
        <v>4</v>
      </c>
      <c r="B915" s="28">
        <v>1</v>
      </c>
      <c r="C915" s="11">
        <v>24</v>
      </c>
      <c r="D915" s="13" t="s">
        <v>359</v>
      </c>
      <c r="E915" s="10" t="s">
        <v>248</v>
      </c>
      <c r="F915" s="10" t="s">
        <v>207</v>
      </c>
      <c r="G915" s="10"/>
      <c r="H915" s="152"/>
      <c r="I915" s="164"/>
      <c r="J915" s="62"/>
      <c r="K915" s="62"/>
      <c r="L915" s="177"/>
      <c r="M915" s="171"/>
      <c r="N915" s="62"/>
      <c r="O915" s="62"/>
      <c r="P915" s="62"/>
      <c r="Q915" s="64"/>
      <c r="R915" s="161"/>
      <c r="S915" s="62"/>
      <c r="T915" s="62"/>
      <c r="U915" s="62"/>
      <c r="V915" s="177"/>
      <c r="W915" s="171"/>
      <c r="X915" s="62"/>
      <c r="Y915" s="45"/>
      <c r="Z915" s="45"/>
      <c r="AA915" s="100"/>
      <c r="AB915" s="100"/>
      <c r="AC915" s="24"/>
      <c r="AD915" s="24"/>
      <c r="AE915" s="24"/>
      <c r="AF915" s="24"/>
      <c r="AG915" s="18">
        <v>24</v>
      </c>
      <c r="AH915" s="69" t="s">
        <v>359</v>
      </c>
      <c r="AI915" s="243" t="s">
        <v>248</v>
      </c>
      <c r="AJ915" s="243" t="s">
        <v>419</v>
      </c>
      <c r="AK915" s="246"/>
      <c r="AL915" s="43" t="str">
        <f t="shared" si="244"/>
        <v>-</v>
      </c>
      <c r="AM915" s="43">
        <f t="shared" si="232"/>
        <v>0</v>
      </c>
      <c r="AN915" s="193">
        <f t="shared" si="232"/>
        <v>0</v>
      </c>
      <c r="AO915" s="270" t="str">
        <f t="shared" si="233"/>
        <v>-</v>
      </c>
      <c r="AP915" s="266"/>
      <c r="AQ915" s="26" t="str">
        <f t="shared" si="240"/>
        <v>HESQUIAT HARBOUR #3 CREEKS (Ya-ksis)Sockeye</v>
      </c>
      <c r="AR915" s="26">
        <f t="shared" si="234"/>
        <v>0</v>
      </c>
      <c r="AS915" s="33">
        <f t="shared" si="235"/>
        <v>0</v>
      </c>
      <c r="AX915" s="47" t="str">
        <f t="shared" si="236"/>
        <v>HESQUIAT HARBOUR #3 CREEKS (Ya-ksis)Sockeye</v>
      </c>
      <c r="AY915" s="49">
        <f t="shared" si="237"/>
        <v>0</v>
      </c>
      <c r="AZ915" s="49">
        <f t="shared" si="238"/>
        <v>0</v>
      </c>
      <c r="BA915" s="31">
        <v>0</v>
      </c>
      <c r="BB915" s="188">
        <f t="shared" si="241"/>
        <v>0</v>
      </c>
      <c r="BC915" s="188" t="str">
        <f t="shared" si="245"/>
        <v xml:space="preserve"> </v>
      </c>
      <c r="BD915" s="188" t="str">
        <f t="shared" si="246"/>
        <v xml:space="preserve"> </v>
      </c>
      <c r="BE915" s="188" t="str">
        <f t="shared" si="247"/>
        <v xml:space="preserve"> </v>
      </c>
      <c r="BF915" s="50" t="str">
        <f t="shared" si="239"/>
        <v>HESQUIAT HARBOUR #3 CREEKS (Ya-ksis)_Sockeye</v>
      </c>
      <c r="BG915" s="50" t="str">
        <f>IFERROR(VLOOKUP(BF915,'[1]WCVI Esc'!$C$5:$W$514,18,FALSE),"-")</f>
        <v>-</v>
      </c>
      <c r="BH915" s="50" t="str">
        <f t="shared" si="242"/>
        <v>-</v>
      </c>
      <c r="BI915" s="50" t="str">
        <f>IFERROR(VLOOKUP(BF915,'[1]WCVI Esc'!$C$5:$W$514,19,FALSE),"-")</f>
        <v>-</v>
      </c>
      <c r="BJ915" s="50" t="str">
        <f t="shared" si="243"/>
        <v>-</v>
      </c>
    </row>
    <row r="916" spans="1:62" hidden="1" x14ac:dyDescent="0.2">
      <c r="A916" s="28">
        <v>4</v>
      </c>
      <c r="B916" s="28">
        <v>2</v>
      </c>
      <c r="C916" s="11">
        <v>24</v>
      </c>
      <c r="D916" s="13" t="s">
        <v>359</v>
      </c>
      <c r="E916" s="10" t="s">
        <v>248</v>
      </c>
      <c r="F916" s="10" t="s">
        <v>219</v>
      </c>
      <c r="G916" s="10"/>
      <c r="H916" s="152"/>
      <c r="I916" s="164"/>
      <c r="J916" s="62"/>
      <c r="K916" s="62"/>
      <c r="L916" s="177"/>
      <c r="M916" s="171"/>
      <c r="N916" s="62"/>
      <c r="O916" s="62"/>
      <c r="P916" s="62"/>
      <c r="Q916" s="64"/>
      <c r="R916" s="161"/>
      <c r="S916" s="62"/>
      <c r="T916" s="62"/>
      <c r="U916" s="62"/>
      <c r="V916" s="177"/>
      <c r="W916" s="171"/>
      <c r="X916" s="62"/>
      <c r="Y916" s="45"/>
      <c r="Z916" s="45"/>
      <c r="AA916" s="100"/>
      <c r="AB916" s="100"/>
      <c r="AC916" s="24"/>
      <c r="AD916" s="24"/>
      <c r="AE916" s="24"/>
      <c r="AF916" s="24"/>
      <c r="AG916" s="18">
        <v>24</v>
      </c>
      <c r="AH916" s="69" t="s">
        <v>359</v>
      </c>
      <c r="AI916" s="243" t="s">
        <v>248</v>
      </c>
      <c r="AJ916" s="243" t="s">
        <v>419</v>
      </c>
      <c r="AK916" s="246"/>
      <c r="AL916" s="43" t="str">
        <f t="shared" si="244"/>
        <v>-</v>
      </c>
      <c r="AM916" s="43">
        <f t="shared" si="232"/>
        <v>0</v>
      </c>
      <c r="AN916" s="193">
        <f t="shared" si="232"/>
        <v>0</v>
      </c>
      <c r="AO916" s="270" t="str">
        <f t="shared" si="233"/>
        <v>-</v>
      </c>
      <c r="AP916" s="266"/>
      <c r="AQ916" s="26" t="str">
        <f t="shared" si="240"/>
        <v>HESQUIAT HARBOUR #3 CREEKS (Ya-ksis)Coho</v>
      </c>
      <c r="AR916" s="26">
        <f t="shared" si="234"/>
        <v>0</v>
      </c>
      <c r="AS916" s="33">
        <f t="shared" si="235"/>
        <v>0</v>
      </c>
      <c r="AX916" s="47" t="str">
        <f t="shared" si="236"/>
        <v>HESQUIAT HARBOUR #3 CREEKS (Ya-ksis)Coho</v>
      </c>
      <c r="AY916" s="49">
        <f t="shared" si="237"/>
        <v>0</v>
      </c>
      <c r="AZ916" s="49">
        <f t="shared" si="238"/>
        <v>0</v>
      </c>
      <c r="BA916" s="31">
        <v>2011</v>
      </c>
      <c r="BB916" s="188">
        <f t="shared" si="241"/>
        <v>0</v>
      </c>
      <c r="BC916" s="188" t="str">
        <f t="shared" si="245"/>
        <v xml:space="preserve"> </v>
      </c>
      <c r="BD916" s="188" t="str">
        <f t="shared" si="246"/>
        <v xml:space="preserve"> </v>
      </c>
      <c r="BE916" s="188" t="str">
        <f t="shared" si="247"/>
        <v xml:space="preserve"> </v>
      </c>
      <c r="BF916" s="50" t="str">
        <f t="shared" si="239"/>
        <v>HESQUIAT HARBOUR #3 CREEKS (Ya-ksis)_Coho</v>
      </c>
      <c r="BG916" s="50" t="str">
        <f>IFERROR(VLOOKUP(BF916,'[1]WCVI Esc'!$C$5:$W$514,18,FALSE),"-")</f>
        <v>-</v>
      </c>
      <c r="BH916" s="50" t="str">
        <f t="shared" si="242"/>
        <v>-</v>
      </c>
      <c r="BI916" s="50" t="str">
        <f>IFERROR(VLOOKUP(BF916,'[1]WCVI Esc'!$C$5:$W$514,19,FALSE),"-")</f>
        <v>-</v>
      </c>
      <c r="BJ916" s="50" t="str">
        <f t="shared" si="243"/>
        <v>-</v>
      </c>
    </row>
    <row r="917" spans="1:62" hidden="1" x14ac:dyDescent="0.2">
      <c r="A917" s="28">
        <v>4</v>
      </c>
      <c r="B917" s="28">
        <v>3</v>
      </c>
      <c r="C917" s="11">
        <v>24</v>
      </c>
      <c r="D917" s="13" t="s">
        <v>359</v>
      </c>
      <c r="E917" s="10" t="s">
        <v>248</v>
      </c>
      <c r="F917" s="10" t="s">
        <v>208</v>
      </c>
      <c r="G917" s="10"/>
      <c r="H917" s="152"/>
      <c r="I917" s="164"/>
      <c r="J917" s="62"/>
      <c r="K917" s="62"/>
      <c r="L917" s="177"/>
      <c r="M917" s="171"/>
      <c r="N917" s="62"/>
      <c r="O917" s="62"/>
      <c r="P917" s="62"/>
      <c r="Q917" s="64"/>
      <c r="R917" s="161"/>
      <c r="S917" s="62"/>
      <c r="T917" s="62"/>
      <c r="U917" s="62"/>
      <c r="V917" s="177"/>
      <c r="W917" s="171"/>
      <c r="X917" s="62"/>
      <c r="Y917" s="45"/>
      <c r="Z917" s="45"/>
      <c r="AA917" s="100"/>
      <c r="AB917" s="100"/>
      <c r="AC917" s="24"/>
      <c r="AD917" s="24"/>
      <c r="AE917" s="24"/>
      <c r="AF917" s="24"/>
      <c r="AG917" s="18">
        <v>24</v>
      </c>
      <c r="AH917" s="69" t="s">
        <v>359</v>
      </c>
      <c r="AI917" s="243" t="s">
        <v>248</v>
      </c>
      <c r="AJ917" s="243" t="s">
        <v>419</v>
      </c>
      <c r="AK917" s="246"/>
      <c r="AL917" s="43" t="str">
        <f t="shared" si="244"/>
        <v>-</v>
      </c>
      <c r="AM917" s="43">
        <f t="shared" si="232"/>
        <v>0</v>
      </c>
      <c r="AN917" s="193">
        <f t="shared" si="232"/>
        <v>0</v>
      </c>
      <c r="AO917" s="270" t="str">
        <f t="shared" si="233"/>
        <v>-</v>
      </c>
      <c r="AP917" s="266"/>
      <c r="AQ917" s="26" t="str">
        <f t="shared" si="240"/>
        <v>HESQUIAT HARBOUR #3 CREEKS (Ya-ksis)Pink</v>
      </c>
      <c r="AR917" s="26">
        <f t="shared" si="234"/>
        <v>0</v>
      </c>
      <c r="AS917" s="33">
        <f t="shared" si="235"/>
        <v>0</v>
      </c>
      <c r="AX917" s="47" t="str">
        <f t="shared" si="236"/>
        <v>HESQUIAT HARBOUR #3 CREEKS (Ya-ksis)Pink</v>
      </c>
      <c r="AY917" s="49">
        <f t="shared" si="237"/>
        <v>0</v>
      </c>
      <c r="AZ917" s="49">
        <f t="shared" si="238"/>
        <v>0</v>
      </c>
      <c r="BA917" s="31">
        <v>0</v>
      </c>
      <c r="BB917" s="188">
        <f t="shared" si="241"/>
        <v>0</v>
      </c>
      <c r="BC917" s="188" t="str">
        <f t="shared" si="245"/>
        <v xml:space="preserve"> </v>
      </c>
      <c r="BD917" s="188" t="str">
        <f t="shared" si="246"/>
        <v xml:space="preserve"> </v>
      </c>
      <c r="BE917" s="188" t="str">
        <f t="shared" si="247"/>
        <v xml:space="preserve"> </v>
      </c>
      <c r="BF917" s="50" t="str">
        <f t="shared" si="239"/>
        <v>HESQUIAT HARBOUR #3 CREEKS (Ya-ksis)_Pink</v>
      </c>
      <c r="BG917" s="50" t="str">
        <f>IFERROR(VLOOKUP(BF917,'[1]WCVI Esc'!$C$5:$W$514,18,FALSE),"-")</f>
        <v>-</v>
      </c>
      <c r="BH917" s="50" t="str">
        <f t="shared" si="242"/>
        <v>-</v>
      </c>
      <c r="BI917" s="50" t="str">
        <f>IFERROR(VLOOKUP(BF917,'[1]WCVI Esc'!$C$5:$W$514,19,FALSE),"-")</f>
        <v>-</v>
      </c>
      <c r="BJ917" s="50" t="str">
        <f t="shared" si="243"/>
        <v>-</v>
      </c>
    </row>
    <row r="918" spans="1:62" hidden="1" x14ac:dyDescent="0.2">
      <c r="A918" s="28">
        <v>4</v>
      </c>
      <c r="B918" s="28">
        <v>4</v>
      </c>
      <c r="C918" s="11">
        <v>24</v>
      </c>
      <c r="D918" s="13" t="s">
        <v>359</v>
      </c>
      <c r="E918" s="10" t="s">
        <v>248</v>
      </c>
      <c r="F918" s="10" t="s">
        <v>209</v>
      </c>
      <c r="G918" s="10"/>
      <c r="H918" s="152"/>
      <c r="I918" s="164"/>
      <c r="J918" s="62"/>
      <c r="K918" s="62"/>
      <c r="L918" s="177"/>
      <c r="M918" s="171"/>
      <c r="N918" s="62"/>
      <c r="O918" s="62"/>
      <c r="P918" s="62"/>
      <c r="Q918" s="64"/>
      <c r="R918" s="161"/>
      <c r="S918" s="62"/>
      <c r="T918" s="62"/>
      <c r="U918" s="62"/>
      <c r="V918" s="177"/>
      <c r="W918" s="171"/>
      <c r="X918" s="62"/>
      <c r="Y918" s="45"/>
      <c r="Z918" s="45"/>
      <c r="AA918" s="100"/>
      <c r="AB918" s="100"/>
      <c r="AC918" s="24"/>
      <c r="AD918" s="24"/>
      <c r="AE918" s="24"/>
      <c r="AF918" s="24"/>
      <c r="AG918" s="18">
        <v>24</v>
      </c>
      <c r="AH918" s="69" t="s">
        <v>359</v>
      </c>
      <c r="AI918" s="243" t="s">
        <v>248</v>
      </c>
      <c r="AJ918" s="243" t="s">
        <v>419</v>
      </c>
      <c r="AK918" s="246"/>
      <c r="AL918" s="43" t="str">
        <f t="shared" si="244"/>
        <v>-</v>
      </c>
      <c r="AM918" s="43">
        <f t="shared" si="232"/>
        <v>0</v>
      </c>
      <c r="AN918" s="193">
        <f t="shared" si="232"/>
        <v>0</v>
      </c>
      <c r="AO918" s="270" t="str">
        <f t="shared" si="233"/>
        <v>-</v>
      </c>
      <c r="AP918" s="266"/>
      <c r="AQ918" s="26" t="str">
        <f t="shared" si="240"/>
        <v>HESQUIAT HARBOUR #3 CREEKS (Ya-ksis)Chum</v>
      </c>
      <c r="AR918" s="26">
        <f t="shared" si="234"/>
        <v>0</v>
      </c>
      <c r="AS918" s="33">
        <f t="shared" si="235"/>
        <v>0</v>
      </c>
      <c r="AX918" s="47" t="str">
        <f t="shared" si="236"/>
        <v>HESQUIAT HARBOUR #3 CREEKS (Ya-ksis)Chum</v>
      </c>
      <c r="AY918" s="49">
        <f t="shared" si="237"/>
        <v>0</v>
      </c>
      <c r="AZ918" s="49">
        <f t="shared" si="238"/>
        <v>0</v>
      </c>
      <c r="BA918" s="31">
        <v>2011</v>
      </c>
      <c r="BB918" s="188">
        <f t="shared" si="241"/>
        <v>0</v>
      </c>
      <c r="BC918" s="188" t="str">
        <f t="shared" si="245"/>
        <v xml:space="preserve"> </v>
      </c>
      <c r="BD918" s="188" t="str">
        <f t="shared" si="246"/>
        <v xml:space="preserve"> </v>
      </c>
      <c r="BE918" s="188" t="str">
        <f t="shared" si="247"/>
        <v xml:space="preserve"> </v>
      </c>
      <c r="BF918" s="50" t="str">
        <f t="shared" si="239"/>
        <v>HESQUIAT HARBOUR #3 CREEKS (Ya-ksis)_Chum</v>
      </c>
      <c r="BG918" s="50" t="str">
        <f>IFERROR(VLOOKUP(BF918,'[1]WCVI Esc'!$C$5:$W$514,18,FALSE),"-")</f>
        <v>-</v>
      </c>
      <c r="BH918" s="50" t="str">
        <f t="shared" si="242"/>
        <v>-</v>
      </c>
      <c r="BI918" s="50" t="str">
        <f>IFERROR(VLOOKUP(BF918,'[1]WCVI Esc'!$C$5:$W$514,19,FALSE),"-")</f>
        <v>-</v>
      </c>
      <c r="BJ918" s="50" t="str">
        <f t="shared" si="243"/>
        <v>-</v>
      </c>
    </row>
    <row r="919" spans="1:62" hidden="1" x14ac:dyDescent="0.2">
      <c r="A919" s="28">
        <v>4</v>
      </c>
      <c r="B919" s="28">
        <v>5</v>
      </c>
      <c r="C919" s="11">
        <v>24</v>
      </c>
      <c r="D919" s="13" t="s">
        <v>359</v>
      </c>
      <c r="E919" s="10" t="s">
        <v>248</v>
      </c>
      <c r="F919" s="10" t="s">
        <v>210</v>
      </c>
      <c r="G919" s="10"/>
      <c r="H919" s="152"/>
      <c r="I919" s="164"/>
      <c r="J919" s="62"/>
      <c r="K919" s="62"/>
      <c r="L919" s="177"/>
      <c r="M919" s="171"/>
      <c r="N919" s="62"/>
      <c r="O919" s="62"/>
      <c r="P919" s="62"/>
      <c r="Q919" s="64"/>
      <c r="R919" s="161"/>
      <c r="S919" s="62"/>
      <c r="T919" s="62"/>
      <c r="U919" s="62"/>
      <c r="V919" s="177"/>
      <c r="W919" s="171"/>
      <c r="X919" s="62"/>
      <c r="Y919" s="45"/>
      <c r="Z919" s="45"/>
      <c r="AA919" s="100"/>
      <c r="AB919" s="100"/>
      <c r="AC919" s="24"/>
      <c r="AD919" s="24"/>
      <c r="AE919" s="24"/>
      <c r="AF919" s="24"/>
      <c r="AG919" s="18">
        <v>24</v>
      </c>
      <c r="AH919" s="69" t="s">
        <v>359</v>
      </c>
      <c r="AI919" s="243" t="s">
        <v>248</v>
      </c>
      <c r="AJ919" s="243" t="s">
        <v>419</v>
      </c>
      <c r="AK919" s="246"/>
      <c r="AL919" s="43" t="str">
        <f t="shared" si="244"/>
        <v>-</v>
      </c>
      <c r="AM919" s="43">
        <f t="shared" si="232"/>
        <v>0</v>
      </c>
      <c r="AN919" s="193">
        <f t="shared" si="232"/>
        <v>0</v>
      </c>
      <c r="AO919" s="270" t="str">
        <f t="shared" si="233"/>
        <v>-</v>
      </c>
      <c r="AP919" s="266"/>
      <c r="AQ919" s="26" t="str">
        <f t="shared" si="240"/>
        <v>HESQUIAT HARBOUR #3 CREEKS (Ya-ksis)Chinook</v>
      </c>
      <c r="AR919" s="26">
        <f t="shared" si="234"/>
        <v>0</v>
      </c>
      <c r="AS919" s="33">
        <f t="shared" si="235"/>
        <v>0</v>
      </c>
      <c r="AX919" s="47" t="str">
        <f t="shared" si="236"/>
        <v>HESQUIAT HARBOUR #3 CREEKS (Ya-ksis)Chinook</v>
      </c>
      <c r="AY919" s="49">
        <f t="shared" si="237"/>
        <v>0</v>
      </c>
      <c r="AZ919" s="49">
        <f t="shared" si="238"/>
        <v>0</v>
      </c>
      <c r="BA919" s="31">
        <v>0</v>
      </c>
      <c r="BB919" s="188">
        <f t="shared" si="241"/>
        <v>0</v>
      </c>
      <c r="BC919" s="188" t="str">
        <f t="shared" si="245"/>
        <v xml:space="preserve"> </v>
      </c>
      <c r="BD919" s="188" t="str">
        <f t="shared" si="246"/>
        <v xml:space="preserve"> </v>
      </c>
      <c r="BE919" s="188" t="str">
        <f t="shared" si="247"/>
        <v xml:space="preserve"> </v>
      </c>
      <c r="BF919" s="50" t="str">
        <f t="shared" si="239"/>
        <v>HESQUIAT HARBOUR #3 CREEKS (Ya-ksis)_Chinook</v>
      </c>
      <c r="BG919" s="50" t="str">
        <f>IFERROR(VLOOKUP(BF919,'[1]WCVI Esc'!$C$5:$W$514,18,FALSE),"-")</f>
        <v>-</v>
      </c>
      <c r="BH919" s="50" t="str">
        <f t="shared" si="242"/>
        <v>-</v>
      </c>
      <c r="BI919" s="50" t="str">
        <f>IFERROR(VLOOKUP(BF919,'[1]WCVI Esc'!$C$5:$W$514,19,FALSE),"-")</f>
        <v>-</v>
      </c>
      <c r="BJ919" s="50" t="str">
        <f t="shared" si="243"/>
        <v>-</v>
      </c>
    </row>
    <row r="920" spans="1:62" hidden="1" x14ac:dyDescent="0.2">
      <c r="A920" s="28">
        <v>4</v>
      </c>
      <c r="B920" s="28">
        <v>6</v>
      </c>
      <c r="C920" s="11">
        <v>24</v>
      </c>
      <c r="D920" s="13" t="s">
        <v>359</v>
      </c>
      <c r="E920" s="10" t="s">
        <v>248</v>
      </c>
      <c r="F920" s="10" t="s">
        <v>211</v>
      </c>
      <c r="G920" s="10"/>
      <c r="H920" s="152"/>
      <c r="I920" s="164"/>
      <c r="J920" s="62"/>
      <c r="K920" s="62"/>
      <c r="L920" s="177"/>
      <c r="M920" s="171"/>
      <c r="N920" s="62"/>
      <c r="O920" s="62"/>
      <c r="P920" s="62"/>
      <c r="Q920" s="64"/>
      <c r="R920" s="161"/>
      <c r="S920" s="62"/>
      <c r="T920" s="62"/>
      <c r="U920" s="62"/>
      <c r="V920" s="177"/>
      <c r="W920" s="171"/>
      <c r="X920" s="62"/>
      <c r="Y920" s="45"/>
      <c r="Z920" s="45"/>
      <c r="AA920" s="100"/>
      <c r="AB920" s="100"/>
      <c r="AC920" s="24"/>
      <c r="AD920" s="24"/>
      <c r="AE920" s="24"/>
      <c r="AF920" s="24"/>
      <c r="AG920" s="18">
        <v>24</v>
      </c>
      <c r="AH920" s="69" t="s">
        <v>359</v>
      </c>
      <c r="AI920" s="243" t="s">
        <v>248</v>
      </c>
      <c r="AJ920" s="243" t="s">
        <v>419</v>
      </c>
      <c r="AK920" s="246"/>
      <c r="AL920" s="43" t="str">
        <f t="shared" si="244"/>
        <v>-</v>
      </c>
      <c r="AM920" s="43">
        <f t="shared" si="232"/>
        <v>0</v>
      </c>
      <c r="AN920" s="193">
        <f t="shared" si="232"/>
        <v>0</v>
      </c>
      <c r="AO920" s="270" t="str">
        <f t="shared" si="233"/>
        <v>-</v>
      </c>
      <c r="AP920" s="266"/>
      <c r="AQ920" s="26" t="str">
        <f t="shared" si="240"/>
        <v>HESQUIAT HARBOUR #3 CREEKS (Ya-ksis)Steelhead</v>
      </c>
      <c r="AR920" s="26">
        <f t="shared" si="234"/>
        <v>0</v>
      </c>
      <c r="AS920" s="33">
        <f t="shared" si="235"/>
        <v>0</v>
      </c>
      <c r="AX920" s="47" t="str">
        <f t="shared" si="236"/>
        <v>HESQUIAT HARBOUR #3 CREEKS (Ya-ksis)Steelhead</v>
      </c>
      <c r="AY920" s="49">
        <f t="shared" si="237"/>
        <v>0</v>
      </c>
      <c r="AZ920" s="49">
        <f t="shared" si="238"/>
        <v>0</v>
      </c>
      <c r="BA920" s="31">
        <v>0</v>
      </c>
      <c r="BB920" s="188">
        <f t="shared" si="241"/>
        <v>0</v>
      </c>
      <c r="BC920" s="188" t="str">
        <f t="shared" si="245"/>
        <v xml:space="preserve"> </v>
      </c>
      <c r="BD920" s="188" t="str">
        <f t="shared" si="246"/>
        <v xml:space="preserve"> </v>
      </c>
      <c r="BE920" s="188" t="str">
        <f t="shared" si="247"/>
        <v xml:space="preserve"> </v>
      </c>
      <c r="BF920" s="50" t="str">
        <f t="shared" si="239"/>
        <v>HESQUIAT HARBOUR #3 CREEKS (Ya-ksis)_Steelhead</v>
      </c>
      <c r="BG920" s="50" t="str">
        <f>IFERROR(VLOOKUP(BF920,'[1]WCVI Esc'!$C$5:$W$514,18,FALSE),"-")</f>
        <v>-</v>
      </c>
      <c r="BH920" s="50" t="str">
        <f t="shared" si="242"/>
        <v>-</v>
      </c>
      <c r="BI920" s="50" t="str">
        <f>IFERROR(VLOOKUP(BF920,'[1]WCVI Esc'!$C$5:$W$514,19,FALSE),"-")</f>
        <v>-</v>
      </c>
      <c r="BJ920" s="50" t="str">
        <f t="shared" si="243"/>
        <v>-</v>
      </c>
    </row>
    <row r="921" spans="1:62" hidden="1" x14ac:dyDescent="0.2">
      <c r="A921" s="28">
        <v>4</v>
      </c>
      <c r="B921" s="28">
        <v>1</v>
      </c>
      <c r="C921" s="11">
        <v>24</v>
      </c>
      <c r="D921" s="13" t="s">
        <v>359</v>
      </c>
      <c r="E921" s="10" t="s">
        <v>250</v>
      </c>
      <c r="F921" s="10" t="s">
        <v>207</v>
      </c>
      <c r="G921" s="10"/>
      <c r="H921" s="152"/>
      <c r="I921" s="164"/>
      <c r="J921" s="62"/>
      <c r="K921" s="62"/>
      <c r="L921" s="177"/>
      <c r="M921" s="171"/>
      <c r="N921" s="62"/>
      <c r="O921" s="94"/>
      <c r="P921" s="62"/>
      <c r="Q921" s="64"/>
      <c r="R921" s="164"/>
      <c r="S921" s="62"/>
      <c r="T921" s="62"/>
      <c r="U921" s="62"/>
      <c r="V921" s="177"/>
      <c r="W921" s="171"/>
      <c r="X921" s="62"/>
      <c r="Y921" s="45"/>
      <c r="Z921" s="45"/>
      <c r="AA921" s="100"/>
      <c r="AB921" s="100"/>
      <c r="AC921" s="24"/>
      <c r="AD921" s="24"/>
      <c r="AE921" s="24"/>
      <c r="AF921" s="24"/>
      <c r="AG921" s="18">
        <v>24</v>
      </c>
      <c r="AH921" s="69" t="s">
        <v>359</v>
      </c>
      <c r="AI921" s="243" t="s">
        <v>250</v>
      </c>
      <c r="AJ921" s="243" t="s">
        <v>419</v>
      </c>
      <c r="AK921" s="246"/>
      <c r="AL921" s="43" t="str">
        <f t="shared" si="244"/>
        <v>-</v>
      </c>
      <c r="AM921" s="43">
        <f t="shared" si="232"/>
        <v>0</v>
      </c>
      <c r="AN921" s="193">
        <f t="shared" si="232"/>
        <v>0</v>
      </c>
      <c r="AO921" s="270" t="str">
        <f t="shared" si="233"/>
        <v>-</v>
      </c>
      <c r="AP921" s="266"/>
      <c r="AQ921" s="26" t="str">
        <f t="shared" si="240"/>
        <v>HESQUIAT HARBOUR #4 CREEKS (Ma-api)Sockeye</v>
      </c>
      <c r="AR921" s="26">
        <f t="shared" si="234"/>
        <v>0</v>
      </c>
      <c r="AS921" s="33">
        <f t="shared" si="235"/>
        <v>0</v>
      </c>
      <c r="AX921" s="47" t="str">
        <f t="shared" si="236"/>
        <v>HESQUIAT HARBOUR #4 CREEKS (Ma-api)Sockeye</v>
      </c>
      <c r="AY921" s="49">
        <f t="shared" si="237"/>
        <v>0</v>
      </c>
      <c r="AZ921" s="49">
        <f t="shared" si="238"/>
        <v>0</v>
      </c>
      <c r="BA921" s="31">
        <v>0</v>
      </c>
      <c r="BB921" s="188">
        <f t="shared" si="241"/>
        <v>0</v>
      </c>
      <c r="BC921" s="188" t="str">
        <f t="shared" si="245"/>
        <v xml:space="preserve"> </v>
      </c>
      <c r="BD921" s="188" t="str">
        <f t="shared" si="246"/>
        <v xml:space="preserve"> </v>
      </c>
      <c r="BE921" s="188" t="str">
        <f t="shared" si="247"/>
        <v xml:space="preserve"> </v>
      </c>
      <c r="BF921" s="50" t="str">
        <f t="shared" si="239"/>
        <v>HESQUIAT HARBOUR #4 CREEKS (Ma-api)_Sockeye</v>
      </c>
      <c r="BG921" s="50" t="str">
        <f>IFERROR(VLOOKUP(BF921,'[1]WCVI Esc'!$C$5:$W$514,18,FALSE),"-")</f>
        <v>-</v>
      </c>
      <c r="BH921" s="50" t="str">
        <f t="shared" si="242"/>
        <v>-</v>
      </c>
      <c r="BI921" s="50" t="str">
        <f>IFERROR(VLOOKUP(BF921,'[1]WCVI Esc'!$C$5:$W$514,19,FALSE),"-")</f>
        <v>-</v>
      </c>
      <c r="BJ921" s="50" t="str">
        <f t="shared" si="243"/>
        <v>-</v>
      </c>
    </row>
    <row r="922" spans="1:62" hidden="1" x14ac:dyDescent="0.2">
      <c r="A922" s="28">
        <v>4</v>
      </c>
      <c r="B922" s="28">
        <v>2</v>
      </c>
      <c r="C922" s="11">
        <v>24</v>
      </c>
      <c r="D922" s="13" t="s">
        <v>359</v>
      </c>
      <c r="E922" s="10" t="s">
        <v>250</v>
      </c>
      <c r="F922" s="10" t="s">
        <v>219</v>
      </c>
      <c r="G922" s="10"/>
      <c r="H922" s="152"/>
      <c r="I922" s="164"/>
      <c r="J922" s="62"/>
      <c r="K922" s="62"/>
      <c r="L922" s="177"/>
      <c r="M922" s="171"/>
      <c r="N922" s="62"/>
      <c r="O922" s="94"/>
      <c r="P922" s="62"/>
      <c r="Q922" s="64"/>
      <c r="R922" s="164"/>
      <c r="S922" s="62"/>
      <c r="T922" s="62"/>
      <c r="U922" s="62"/>
      <c r="V922" s="177"/>
      <c r="W922" s="171"/>
      <c r="X922" s="62"/>
      <c r="Y922" s="45"/>
      <c r="Z922" s="45"/>
      <c r="AA922" s="100"/>
      <c r="AB922" s="100"/>
      <c r="AC922" s="24"/>
      <c r="AD922" s="24"/>
      <c r="AE922" s="24"/>
      <c r="AF922" s="24"/>
      <c r="AG922" s="18">
        <v>24</v>
      </c>
      <c r="AH922" s="69" t="s">
        <v>359</v>
      </c>
      <c r="AI922" s="243" t="s">
        <v>250</v>
      </c>
      <c r="AJ922" s="243" t="s">
        <v>419</v>
      </c>
      <c r="AK922" s="246"/>
      <c r="AL922" s="43" t="str">
        <f t="shared" si="244"/>
        <v>-</v>
      </c>
      <c r="AM922" s="43">
        <f t="shared" si="232"/>
        <v>0</v>
      </c>
      <c r="AN922" s="193">
        <f t="shared" si="232"/>
        <v>0</v>
      </c>
      <c r="AO922" s="270" t="str">
        <f t="shared" si="233"/>
        <v>-</v>
      </c>
      <c r="AP922" s="266"/>
      <c r="AQ922" s="26" t="str">
        <f t="shared" si="240"/>
        <v>HESQUIAT HARBOUR #4 CREEKS (Ma-api)Coho</v>
      </c>
      <c r="AR922" s="26">
        <f t="shared" si="234"/>
        <v>0</v>
      </c>
      <c r="AS922" s="33">
        <f t="shared" si="235"/>
        <v>0</v>
      </c>
      <c r="AX922" s="47" t="str">
        <f t="shared" si="236"/>
        <v>HESQUIAT HARBOUR #4 CREEKS (Ma-api)Coho</v>
      </c>
      <c r="AY922" s="49">
        <f t="shared" si="237"/>
        <v>0</v>
      </c>
      <c r="AZ922" s="49">
        <f t="shared" si="238"/>
        <v>0</v>
      </c>
      <c r="BA922" s="31">
        <v>2011</v>
      </c>
      <c r="BB922" s="188">
        <f t="shared" si="241"/>
        <v>0</v>
      </c>
      <c r="BC922" s="188" t="str">
        <f t="shared" si="245"/>
        <v xml:space="preserve"> </v>
      </c>
      <c r="BD922" s="188" t="str">
        <f t="shared" si="246"/>
        <v xml:space="preserve"> </v>
      </c>
      <c r="BE922" s="188" t="str">
        <f t="shared" si="247"/>
        <v xml:space="preserve"> </v>
      </c>
      <c r="BF922" s="50" t="str">
        <f t="shared" si="239"/>
        <v>HESQUIAT HARBOUR #4 CREEKS (Ma-api)_Coho</v>
      </c>
      <c r="BG922" s="50" t="str">
        <f>IFERROR(VLOOKUP(BF922,'[1]WCVI Esc'!$C$5:$W$514,18,FALSE),"-")</f>
        <v>-</v>
      </c>
      <c r="BH922" s="50" t="str">
        <f t="shared" si="242"/>
        <v>-</v>
      </c>
      <c r="BI922" s="50" t="str">
        <f>IFERROR(VLOOKUP(BF922,'[1]WCVI Esc'!$C$5:$W$514,19,FALSE),"-")</f>
        <v>-</v>
      </c>
      <c r="BJ922" s="50" t="str">
        <f t="shared" si="243"/>
        <v>-</v>
      </c>
    </row>
    <row r="923" spans="1:62" hidden="1" x14ac:dyDescent="0.2">
      <c r="A923" s="28">
        <v>4</v>
      </c>
      <c r="B923" s="28">
        <v>3</v>
      </c>
      <c r="C923" s="11">
        <v>24</v>
      </c>
      <c r="D923" s="13" t="s">
        <v>359</v>
      </c>
      <c r="E923" s="10" t="s">
        <v>250</v>
      </c>
      <c r="F923" s="10" t="s">
        <v>208</v>
      </c>
      <c r="G923" s="10"/>
      <c r="H923" s="152"/>
      <c r="I923" s="164"/>
      <c r="J923" s="62"/>
      <c r="K923" s="62"/>
      <c r="L923" s="177"/>
      <c r="M923" s="171"/>
      <c r="N923" s="62"/>
      <c r="O923" s="94"/>
      <c r="P923" s="62"/>
      <c r="Q923" s="64"/>
      <c r="R923" s="164"/>
      <c r="S923" s="62"/>
      <c r="T923" s="62"/>
      <c r="U923" s="62"/>
      <c r="V923" s="177"/>
      <c r="W923" s="171"/>
      <c r="X923" s="62"/>
      <c r="Y923" s="45"/>
      <c r="Z923" s="45"/>
      <c r="AA923" s="100"/>
      <c r="AB923" s="100"/>
      <c r="AC923" s="24"/>
      <c r="AD923" s="24"/>
      <c r="AE923" s="24"/>
      <c r="AF923" s="24"/>
      <c r="AG923" s="18">
        <v>24</v>
      </c>
      <c r="AH923" s="69" t="s">
        <v>359</v>
      </c>
      <c r="AI923" s="243" t="s">
        <v>250</v>
      </c>
      <c r="AJ923" s="243" t="s">
        <v>419</v>
      </c>
      <c r="AK923" s="246"/>
      <c r="AL923" s="43" t="str">
        <f t="shared" si="244"/>
        <v>-</v>
      </c>
      <c r="AM923" s="43">
        <f t="shared" si="232"/>
        <v>0</v>
      </c>
      <c r="AN923" s="193">
        <f t="shared" si="232"/>
        <v>0</v>
      </c>
      <c r="AO923" s="270" t="str">
        <f t="shared" si="233"/>
        <v>-</v>
      </c>
      <c r="AP923" s="266"/>
      <c r="AQ923" s="26" t="str">
        <f t="shared" si="240"/>
        <v>HESQUIAT HARBOUR #4 CREEKS (Ma-api)Pink</v>
      </c>
      <c r="AR923" s="26">
        <f t="shared" si="234"/>
        <v>0</v>
      </c>
      <c r="AS923" s="33">
        <f t="shared" si="235"/>
        <v>0</v>
      </c>
      <c r="AX923" s="47" t="str">
        <f t="shared" si="236"/>
        <v>HESQUIAT HARBOUR #4 CREEKS (Ma-api)Pink</v>
      </c>
      <c r="AY923" s="49">
        <f t="shared" si="237"/>
        <v>0</v>
      </c>
      <c r="AZ923" s="49">
        <f t="shared" si="238"/>
        <v>0</v>
      </c>
      <c r="BA923" s="31">
        <v>0</v>
      </c>
      <c r="BB923" s="188">
        <f t="shared" si="241"/>
        <v>0</v>
      </c>
      <c r="BC923" s="188" t="str">
        <f t="shared" si="245"/>
        <v xml:space="preserve"> </v>
      </c>
      <c r="BD923" s="188" t="str">
        <f t="shared" si="246"/>
        <v xml:space="preserve"> </v>
      </c>
      <c r="BE923" s="188" t="str">
        <f t="shared" si="247"/>
        <v xml:space="preserve"> </v>
      </c>
      <c r="BF923" s="50" t="str">
        <f t="shared" si="239"/>
        <v>HESQUIAT HARBOUR #4 CREEKS (Ma-api)_Pink</v>
      </c>
      <c r="BG923" s="50" t="str">
        <f>IFERROR(VLOOKUP(BF923,'[1]WCVI Esc'!$C$5:$W$514,18,FALSE),"-")</f>
        <v>-</v>
      </c>
      <c r="BH923" s="50" t="str">
        <f t="shared" si="242"/>
        <v>-</v>
      </c>
      <c r="BI923" s="50" t="str">
        <f>IFERROR(VLOOKUP(BF923,'[1]WCVI Esc'!$C$5:$W$514,19,FALSE),"-")</f>
        <v>-</v>
      </c>
      <c r="BJ923" s="50" t="str">
        <f t="shared" si="243"/>
        <v>-</v>
      </c>
    </row>
    <row r="924" spans="1:62" hidden="1" x14ac:dyDescent="0.2">
      <c r="A924" s="28">
        <v>4</v>
      </c>
      <c r="B924" s="28">
        <v>4</v>
      </c>
      <c r="C924" s="11">
        <v>24</v>
      </c>
      <c r="D924" s="13" t="s">
        <v>359</v>
      </c>
      <c r="E924" s="10" t="s">
        <v>250</v>
      </c>
      <c r="F924" s="10" t="s">
        <v>209</v>
      </c>
      <c r="G924" s="10"/>
      <c r="H924" s="152"/>
      <c r="I924" s="164"/>
      <c r="J924" s="62"/>
      <c r="K924" s="62"/>
      <c r="L924" s="177"/>
      <c r="M924" s="171"/>
      <c r="N924" s="62"/>
      <c r="O924" s="94"/>
      <c r="P924" s="62"/>
      <c r="Q924" s="64"/>
      <c r="R924" s="164"/>
      <c r="S924" s="62"/>
      <c r="T924" s="62"/>
      <c r="U924" s="62"/>
      <c r="V924" s="177"/>
      <c r="W924" s="171"/>
      <c r="X924" s="62"/>
      <c r="Y924" s="45"/>
      <c r="Z924" s="45"/>
      <c r="AA924" s="100"/>
      <c r="AB924" s="100"/>
      <c r="AC924" s="24"/>
      <c r="AD924" s="24"/>
      <c r="AE924" s="24"/>
      <c r="AF924" s="24"/>
      <c r="AG924" s="18">
        <v>24</v>
      </c>
      <c r="AH924" s="69" t="s">
        <v>359</v>
      </c>
      <c r="AI924" s="243" t="s">
        <v>250</v>
      </c>
      <c r="AJ924" s="243" t="s">
        <v>419</v>
      </c>
      <c r="AK924" s="246"/>
      <c r="AL924" s="43" t="str">
        <f t="shared" si="244"/>
        <v>-</v>
      </c>
      <c r="AM924" s="43">
        <f t="shared" si="232"/>
        <v>0</v>
      </c>
      <c r="AN924" s="193">
        <f t="shared" si="232"/>
        <v>0</v>
      </c>
      <c r="AO924" s="270" t="str">
        <f t="shared" si="233"/>
        <v>-</v>
      </c>
      <c r="AP924" s="266"/>
      <c r="AQ924" s="26" t="str">
        <f t="shared" si="240"/>
        <v>HESQUIAT HARBOUR #4 CREEKS (Ma-api)Chum</v>
      </c>
      <c r="AR924" s="26">
        <f t="shared" si="234"/>
        <v>0</v>
      </c>
      <c r="AS924" s="33">
        <f t="shared" si="235"/>
        <v>0</v>
      </c>
      <c r="AX924" s="47" t="str">
        <f t="shared" si="236"/>
        <v>HESQUIAT HARBOUR #4 CREEKS (Ma-api)Chum</v>
      </c>
      <c r="AY924" s="49">
        <f t="shared" si="237"/>
        <v>0</v>
      </c>
      <c r="AZ924" s="49">
        <f t="shared" si="238"/>
        <v>0</v>
      </c>
      <c r="BA924" s="31">
        <v>2015</v>
      </c>
      <c r="BB924" s="188">
        <f t="shared" si="241"/>
        <v>0</v>
      </c>
      <c r="BC924" s="188" t="str">
        <f t="shared" si="245"/>
        <v xml:space="preserve"> </v>
      </c>
      <c r="BD924" s="188" t="str">
        <f t="shared" si="246"/>
        <v xml:space="preserve"> </v>
      </c>
      <c r="BE924" s="188" t="str">
        <f t="shared" si="247"/>
        <v xml:space="preserve"> </v>
      </c>
      <c r="BF924" s="50" t="str">
        <f t="shared" si="239"/>
        <v>HESQUIAT HARBOUR #4 CREEKS (Ma-api)_Chum</v>
      </c>
      <c r="BG924" s="50" t="str">
        <f>IFERROR(VLOOKUP(BF924,'[1]WCVI Esc'!$C$5:$W$514,18,FALSE),"-")</f>
        <v>-</v>
      </c>
      <c r="BH924" s="50" t="str">
        <f t="shared" si="242"/>
        <v>-</v>
      </c>
      <c r="BI924" s="50" t="str">
        <f>IFERROR(VLOOKUP(BF924,'[1]WCVI Esc'!$C$5:$W$514,19,FALSE),"-")</f>
        <v>-</v>
      </c>
      <c r="BJ924" s="50" t="str">
        <f t="shared" si="243"/>
        <v>-</v>
      </c>
    </row>
    <row r="925" spans="1:62" hidden="1" x14ac:dyDescent="0.2">
      <c r="A925" s="28">
        <v>4</v>
      </c>
      <c r="B925" s="28">
        <v>5</v>
      </c>
      <c r="C925" s="11">
        <v>24</v>
      </c>
      <c r="D925" s="13" t="s">
        <v>359</v>
      </c>
      <c r="E925" s="10" t="s">
        <v>250</v>
      </c>
      <c r="F925" s="10" t="s">
        <v>210</v>
      </c>
      <c r="G925" s="10"/>
      <c r="H925" s="152"/>
      <c r="I925" s="164"/>
      <c r="J925" s="62"/>
      <c r="K925" s="62"/>
      <c r="L925" s="177"/>
      <c r="M925" s="171"/>
      <c r="N925" s="62"/>
      <c r="O925" s="94"/>
      <c r="P925" s="62"/>
      <c r="Q925" s="64"/>
      <c r="R925" s="164"/>
      <c r="S925" s="62"/>
      <c r="T925" s="62"/>
      <c r="U925" s="62"/>
      <c r="V925" s="177"/>
      <c r="W925" s="171"/>
      <c r="X925" s="62"/>
      <c r="Y925" s="45"/>
      <c r="Z925" s="45"/>
      <c r="AA925" s="100"/>
      <c r="AB925" s="100"/>
      <c r="AC925" s="24"/>
      <c r="AD925" s="24"/>
      <c r="AE925" s="24"/>
      <c r="AF925" s="24"/>
      <c r="AG925" s="18">
        <v>24</v>
      </c>
      <c r="AH925" s="69" t="s">
        <v>359</v>
      </c>
      <c r="AI925" s="243" t="s">
        <v>250</v>
      </c>
      <c r="AJ925" s="243" t="s">
        <v>419</v>
      </c>
      <c r="AK925" s="246"/>
      <c r="AL925" s="43" t="str">
        <f t="shared" si="244"/>
        <v>-</v>
      </c>
      <c r="AM925" s="43">
        <f t="shared" si="232"/>
        <v>0</v>
      </c>
      <c r="AN925" s="193">
        <f t="shared" si="232"/>
        <v>0</v>
      </c>
      <c r="AO925" s="270" t="str">
        <f t="shared" si="233"/>
        <v>-</v>
      </c>
      <c r="AP925" s="266"/>
      <c r="AQ925" s="26" t="str">
        <f t="shared" si="240"/>
        <v>HESQUIAT HARBOUR #4 CREEKS (Ma-api)Chinook</v>
      </c>
      <c r="AR925" s="26">
        <f t="shared" si="234"/>
        <v>0</v>
      </c>
      <c r="AS925" s="33">
        <f t="shared" si="235"/>
        <v>0</v>
      </c>
      <c r="AX925" s="47" t="str">
        <f t="shared" si="236"/>
        <v>HESQUIAT HARBOUR #4 CREEKS (Ma-api)Chinook</v>
      </c>
      <c r="AY925" s="49">
        <f t="shared" si="237"/>
        <v>0</v>
      </c>
      <c r="AZ925" s="49">
        <f t="shared" si="238"/>
        <v>0</v>
      </c>
      <c r="BA925" s="31">
        <v>0</v>
      </c>
      <c r="BB925" s="188">
        <f t="shared" si="241"/>
        <v>0</v>
      </c>
      <c r="BC925" s="188" t="str">
        <f t="shared" si="245"/>
        <v xml:space="preserve"> </v>
      </c>
      <c r="BD925" s="188" t="str">
        <f t="shared" si="246"/>
        <v xml:space="preserve"> </v>
      </c>
      <c r="BE925" s="188" t="str">
        <f t="shared" si="247"/>
        <v xml:space="preserve"> </v>
      </c>
      <c r="BF925" s="50" t="str">
        <f t="shared" si="239"/>
        <v>HESQUIAT HARBOUR #4 CREEKS (Ma-api)_Chinook</v>
      </c>
      <c r="BG925" s="50" t="str">
        <f>IFERROR(VLOOKUP(BF925,'[1]WCVI Esc'!$C$5:$W$514,18,FALSE),"-")</f>
        <v>-</v>
      </c>
      <c r="BH925" s="50" t="str">
        <f t="shared" si="242"/>
        <v>-</v>
      </c>
      <c r="BI925" s="50" t="str">
        <f>IFERROR(VLOOKUP(BF925,'[1]WCVI Esc'!$C$5:$W$514,19,FALSE),"-")</f>
        <v>-</v>
      </c>
      <c r="BJ925" s="50" t="str">
        <f t="shared" si="243"/>
        <v>-</v>
      </c>
    </row>
    <row r="926" spans="1:62" hidden="1" x14ac:dyDescent="0.2">
      <c r="A926" s="28">
        <v>4</v>
      </c>
      <c r="B926" s="28">
        <v>6</v>
      </c>
      <c r="C926" s="11">
        <v>24</v>
      </c>
      <c r="D926" s="13" t="s">
        <v>359</v>
      </c>
      <c r="E926" s="10" t="s">
        <v>250</v>
      </c>
      <c r="F926" s="10" t="s">
        <v>211</v>
      </c>
      <c r="G926" s="10"/>
      <c r="H926" s="152"/>
      <c r="I926" s="164"/>
      <c r="J926" s="62"/>
      <c r="K926" s="62"/>
      <c r="L926" s="177"/>
      <c r="M926" s="171"/>
      <c r="N926" s="62"/>
      <c r="O926" s="94"/>
      <c r="P926" s="62"/>
      <c r="Q926" s="64"/>
      <c r="R926" s="164"/>
      <c r="S926" s="62"/>
      <c r="T926" s="62"/>
      <c r="U926" s="62"/>
      <c r="V926" s="177"/>
      <c r="W926" s="171"/>
      <c r="X926" s="62"/>
      <c r="Y926" s="45"/>
      <c r="Z926" s="45"/>
      <c r="AA926" s="100"/>
      <c r="AB926" s="100"/>
      <c r="AC926" s="24"/>
      <c r="AD926" s="24"/>
      <c r="AE926" s="24"/>
      <c r="AF926" s="24"/>
      <c r="AG926" s="18">
        <v>24</v>
      </c>
      <c r="AH926" s="69" t="s">
        <v>359</v>
      </c>
      <c r="AI926" s="243" t="s">
        <v>250</v>
      </c>
      <c r="AJ926" s="243" t="s">
        <v>419</v>
      </c>
      <c r="AK926" s="246"/>
      <c r="AL926" s="43" t="str">
        <f t="shared" si="244"/>
        <v>-</v>
      </c>
      <c r="AM926" s="43">
        <f t="shared" si="232"/>
        <v>0</v>
      </c>
      <c r="AN926" s="193">
        <f t="shared" si="232"/>
        <v>0</v>
      </c>
      <c r="AO926" s="270" t="str">
        <f t="shared" si="233"/>
        <v>-</v>
      </c>
      <c r="AP926" s="266"/>
      <c r="AQ926" s="26" t="str">
        <f t="shared" si="240"/>
        <v>HESQUIAT HARBOUR #4 CREEKS (Ma-api)Steelhead</v>
      </c>
      <c r="AR926" s="26">
        <f t="shared" si="234"/>
        <v>0</v>
      </c>
      <c r="AS926" s="33">
        <f t="shared" si="235"/>
        <v>0</v>
      </c>
      <c r="AX926" s="47" t="str">
        <f t="shared" si="236"/>
        <v>HESQUIAT HARBOUR #4 CREEKS (Ma-api)Steelhead</v>
      </c>
      <c r="AY926" s="49">
        <f t="shared" si="237"/>
        <v>0</v>
      </c>
      <c r="AZ926" s="49">
        <f t="shared" si="238"/>
        <v>0</v>
      </c>
      <c r="BA926" s="31">
        <v>0</v>
      </c>
      <c r="BB926" s="188">
        <f t="shared" si="241"/>
        <v>0</v>
      </c>
      <c r="BC926" s="188" t="str">
        <f t="shared" si="245"/>
        <v xml:space="preserve"> </v>
      </c>
      <c r="BD926" s="188" t="str">
        <f t="shared" si="246"/>
        <v xml:space="preserve"> </v>
      </c>
      <c r="BE926" s="188" t="str">
        <f t="shared" si="247"/>
        <v xml:space="preserve"> </v>
      </c>
      <c r="BF926" s="50" t="str">
        <f t="shared" si="239"/>
        <v>HESQUIAT HARBOUR #4 CREEKS (Ma-api)_Steelhead</v>
      </c>
      <c r="BG926" s="50" t="str">
        <f>IFERROR(VLOOKUP(BF926,'[1]WCVI Esc'!$C$5:$W$514,18,FALSE),"-")</f>
        <v>-</v>
      </c>
      <c r="BH926" s="50" t="str">
        <f t="shared" si="242"/>
        <v>-</v>
      </c>
      <c r="BI926" s="50" t="str">
        <f>IFERROR(VLOOKUP(BF926,'[1]WCVI Esc'!$C$5:$W$514,19,FALSE),"-")</f>
        <v>-</v>
      </c>
      <c r="BJ926" s="50" t="str">
        <f t="shared" si="243"/>
        <v>-</v>
      </c>
    </row>
    <row r="927" spans="1:62" hidden="1" x14ac:dyDescent="0.2">
      <c r="A927" s="28">
        <v>4</v>
      </c>
      <c r="B927" s="28">
        <v>1</v>
      </c>
      <c r="C927" s="11">
        <v>24</v>
      </c>
      <c r="D927" s="13" t="s">
        <v>359</v>
      </c>
      <c r="E927" s="10" t="s">
        <v>249</v>
      </c>
      <c r="F927" s="10" t="s">
        <v>207</v>
      </c>
      <c r="G927" s="10"/>
      <c r="H927" s="152"/>
      <c r="I927" s="164"/>
      <c r="J927" s="62"/>
      <c r="K927" s="62"/>
      <c r="L927" s="177"/>
      <c r="M927" s="171"/>
      <c r="N927" s="62"/>
      <c r="O927" s="62"/>
      <c r="P927" s="62"/>
      <c r="Q927" s="186"/>
      <c r="R927" s="161"/>
      <c r="S927" s="62"/>
      <c r="T927" s="62"/>
      <c r="U927" s="62"/>
      <c r="V927" s="177"/>
      <c r="W927" s="171"/>
      <c r="X927" s="62"/>
      <c r="Y927" s="45"/>
      <c r="Z927" s="45"/>
      <c r="AA927" s="100"/>
      <c r="AB927" s="100"/>
      <c r="AC927" s="24"/>
      <c r="AD927" s="24"/>
      <c r="AE927" s="24"/>
      <c r="AF927" s="24"/>
      <c r="AG927" s="18">
        <v>24</v>
      </c>
      <c r="AH927" s="69" t="s">
        <v>359</v>
      </c>
      <c r="AI927" s="243" t="s">
        <v>249</v>
      </c>
      <c r="AJ927" s="243" t="s">
        <v>419</v>
      </c>
      <c r="AK927" s="246"/>
      <c r="AL927" s="43" t="str">
        <f t="shared" si="244"/>
        <v>-</v>
      </c>
      <c r="AM927" s="43">
        <f t="shared" si="232"/>
        <v>0</v>
      </c>
      <c r="AN927" s="193">
        <f t="shared" si="232"/>
        <v>0</v>
      </c>
      <c r="AO927" s="270" t="str">
        <f t="shared" si="233"/>
        <v>-</v>
      </c>
      <c r="AP927" s="268"/>
      <c r="AQ927" s="26" t="str">
        <f t="shared" si="240"/>
        <v>HESQUIAT LAKE CREEK (Tsa-ya)Sockeye</v>
      </c>
      <c r="AR927" s="26">
        <f t="shared" si="234"/>
        <v>0</v>
      </c>
      <c r="AS927" s="33">
        <f t="shared" si="235"/>
        <v>0</v>
      </c>
      <c r="AX927" s="47" t="str">
        <f t="shared" si="236"/>
        <v>HESQUIAT LAKE CREEK (Tsa-ya)Sockeye</v>
      </c>
      <c r="AY927" s="49">
        <f t="shared" si="237"/>
        <v>0</v>
      </c>
      <c r="AZ927" s="49">
        <f t="shared" si="238"/>
        <v>0</v>
      </c>
      <c r="BA927" s="31">
        <v>0</v>
      </c>
      <c r="BB927" s="188">
        <f t="shared" si="241"/>
        <v>0</v>
      </c>
      <c r="BC927" s="188" t="str">
        <f t="shared" si="245"/>
        <v xml:space="preserve"> </v>
      </c>
      <c r="BD927" s="188" t="str">
        <f t="shared" si="246"/>
        <v xml:space="preserve"> </v>
      </c>
      <c r="BE927" s="188" t="str">
        <f t="shared" si="247"/>
        <v xml:space="preserve"> </v>
      </c>
      <c r="BF927" s="50" t="str">
        <f t="shared" si="239"/>
        <v>HESQUIAT LAKE CREEK (Tsa-ya)_Sockeye</v>
      </c>
      <c r="BG927" s="50" t="str">
        <f>IFERROR(VLOOKUP(BF927,'[1]WCVI Esc'!$C$5:$W$514,18,FALSE),"-")</f>
        <v>-</v>
      </c>
      <c r="BH927" s="50" t="str">
        <f t="shared" si="242"/>
        <v>-</v>
      </c>
      <c r="BI927" s="50" t="str">
        <f>IFERROR(VLOOKUP(BF927,'[1]WCVI Esc'!$C$5:$W$514,19,FALSE),"-")</f>
        <v>-</v>
      </c>
      <c r="BJ927" s="50" t="str">
        <f t="shared" si="243"/>
        <v>-</v>
      </c>
    </row>
    <row r="928" spans="1:62" hidden="1" x14ac:dyDescent="0.2">
      <c r="A928" s="28">
        <v>4</v>
      </c>
      <c r="B928" s="28">
        <v>2</v>
      </c>
      <c r="C928" s="11">
        <v>24</v>
      </c>
      <c r="D928" s="13" t="s">
        <v>359</v>
      </c>
      <c r="E928" s="10" t="s">
        <v>249</v>
      </c>
      <c r="F928" s="10" t="s">
        <v>219</v>
      </c>
      <c r="G928" s="10"/>
      <c r="H928" s="152"/>
      <c r="I928" s="164"/>
      <c r="J928" s="62"/>
      <c r="K928" s="62"/>
      <c r="L928" s="177"/>
      <c r="M928" s="171"/>
      <c r="N928" s="62"/>
      <c r="O928" s="62"/>
      <c r="P928" s="62"/>
      <c r="Q928" s="186"/>
      <c r="R928" s="161"/>
      <c r="S928" s="62"/>
      <c r="T928" s="62"/>
      <c r="U928" s="62"/>
      <c r="V928" s="177"/>
      <c r="W928" s="171"/>
      <c r="X928" s="62"/>
      <c r="Y928" s="45"/>
      <c r="Z928" s="45"/>
      <c r="AA928" s="100"/>
      <c r="AB928" s="100"/>
      <c r="AC928" s="24"/>
      <c r="AD928" s="24"/>
      <c r="AE928" s="24"/>
      <c r="AF928" s="24"/>
      <c r="AG928" s="18">
        <v>24</v>
      </c>
      <c r="AH928" s="69" t="s">
        <v>359</v>
      </c>
      <c r="AI928" s="243" t="s">
        <v>249</v>
      </c>
      <c r="AJ928" s="243" t="s">
        <v>419</v>
      </c>
      <c r="AK928" s="246"/>
      <c r="AL928" s="43" t="str">
        <f t="shared" si="244"/>
        <v>-</v>
      </c>
      <c r="AM928" s="43">
        <f t="shared" si="232"/>
        <v>0</v>
      </c>
      <c r="AN928" s="193">
        <f t="shared" si="232"/>
        <v>0</v>
      </c>
      <c r="AO928" s="270" t="str">
        <f t="shared" si="233"/>
        <v>-</v>
      </c>
      <c r="AP928" s="268"/>
      <c r="AQ928" s="26" t="str">
        <f t="shared" si="240"/>
        <v>HESQUIAT LAKE CREEK (Tsa-ya)Coho</v>
      </c>
      <c r="AR928" s="26">
        <f t="shared" si="234"/>
        <v>0</v>
      </c>
      <c r="AS928" s="33">
        <f t="shared" si="235"/>
        <v>0</v>
      </c>
      <c r="AX928" s="47" t="str">
        <f t="shared" si="236"/>
        <v>HESQUIAT LAKE CREEK (Tsa-ya)Coho</v>
      </c>
      <c r="AY928" s="49">
        <f t="shared" si="237"/>
        <v>0</v>
      </c>
      <c r="AZ928" s="49">
        <f t="shared" si="238"/>
        <v>0</v>
      </c>
      <c r="BA928" s="31">
        <v>2014</v>
      </c>
      <c r="BB928" s="188">
        <f t="shared" si="241"/>
        <v>0</v>
      </c>
      <c r="BC928" s="188" t="str">
        <f t="shared" si="245"/>
        <v xml:space="preserve"> </v>
      </c>
      <c r="BD928" s="188" t="str">
        <f t="shared" si="246"/>
        <v xml:space="preserve"> </v>
      </c>
      <c r="BE928" s="188" t="str">
        <f t="shared" si="247"/>
        <v xml:space="preserve"> </v>
      </c>
      <c r="BF928" s="50" t="str">
        <f t="shared" si="239"/>
        <v>HESQUIAT LAKE CREEK (Tsa-ya)_Coho</v>
      </c>
      <c r="BG928" s="50" t="str">
        <f>IFERROR(VLOOKUP(BF928,'[1]WCVI Esc'!$C$5:$W$514,18,FALSE),"-")</f>
        <v>-</v>
      </c>
      <c r="BH928" s="50" t="str">
        <f t="shared" si="242"/>
        <v>-</v>
      </c>
      <c r="BI928" s="50" t="str">
        <f>IFERROR(VLOOKUP(BF928,'[1]WCVI Esc'!$C$5:$W$514,19,FALSE),"-")</f>
        <v>-</v>
      </c>
      <c r="BJ928" s="50" t="str">
        <f t="shared" si="243"/>
        <v>-</v>
      </c>
    </row>
    <row r="929" spans="1:62" hidden="1" x14ac:dyDescent="0.2">
      <c r="A929" s="28">
        <v>4</v>
      </c>
      <c r="B929" s="28">
        <v>3</v>
      </c>
      <c r="C929" s="11">
        <v>24</v>
      </c>
      <c r="D929" s="13" t="s">
        <v>359</v>
      </c>
      <c r="E929" s="10" t="s">
        <v>249</v>
      </c>
      <c r="F929" s="10" t="s">
        <v>208</v>
      </c>
      <c r="G929" s="10"/>
      <c r="H929" s="152"/>
      <c r="I929" s="164"/>
      <c r="J929" s="62"/>
      <c r="K929" s="62"/>
      <c r="L929" s="177"/>
      <c r="M929" s="171"/>
      <c r="N929" s="62"/>
      <c r="O929" s="62"/>
      <c r="P929" s="62"/>
      <c r="Q929" s="186"/>
      <c r="R929" s="161"/>
      <c r="S929" s="62"/>
      <c r="T929" s="62"/>
      <c r="U929" s="62"/>
      <c r="V929" s="177"/>
      <c r="W929" s="171"/>
      <c r="X929" s="62"/>
      <c r="Y929" s="45"/>
      <c r="Z929" s="45"/>
      <c r="AA929" s="100"/>
      <c r="AB929" s="100"/>
      <c r="AC929" s="24"/>
      <c r="AD929" s="24"/>
      <c r="AE929" s="24"/>
      <c r="AF929" s="24"/>
      <c r="AG929" s="18">
        <v>24</v>
      </c>
      <c r="AH929" s="69" t="s">
        <v>359</v>
      </c>
      <c r="AI929" s="243" t="s">
        <v>249</v>
      </c>
      <c r="AJ929" s="243" t="s">
        <v>419</v>
      </c>
      <c r="AK929" s="246"/>
      <c r="AL929" s="43" t="str">
        <f t="shared" si="244"/>
        <v>-</v>
      </c>
      <c r="AM929" s="43">
        <f t="shared" si="232"/>
        <v>0</v>
      </c>
      <c r="AN929" s="193">
        <f t="shared" si="232"/>
        <v>0</v>
      </c>
      <c r="AO929" s="270" t="str">
        <f t="shared" si="233"/>
        <v>-</v>
      </c>
      <c r="AP929" s="267"/>
      <c r="AQ929" s="26" t="str">
        <f t="shared" si="240"/>
        <v>HESQUIAT LAKE CREEK (Tsa-ya)Pink</v>
      </c>
      <c r="AR929" s="26">
        <f t="shared" si="234"/>
        <v>0</v>
      </c>
      <c r="AS929" s="33">
        <f t="shared" si="235"/>
        <v>0</v>
      </c>
      <c r="AX929" s="47" t="str">
        <f t="shared" si="236"/>
        <v>HESQUIAT LAKE CREEK (Tsa-ya)Pink</v>
      </c>
      <c r="AY929" s="49">
        <f t="shared" si="237"/>
        <v>0</v>
      </c>
      <c r="AZ929" s="49">
        <f t="shared" si="238"/>
        <v>0</v>
      </c>
      <c r="BA929" s="31">
        <v>0</v>
      </c>
      <c r="BB929" s="188">
        <f t="shared" si="241"/>
        <v>0</v>
      </c>
      <c r="BC929" s="188" t="str">
        <f t="shared" si="245"/>
        <v xml:space="preserve"> </v>
      </c>
      <c r="BD929" s="188" t="str">
        <f t="shared" si="246"/>
        <v xml:space="preserve"> </v>
      </c>
      <c r="BE929" s="188" t="str">
        <f t="shared" si="247"/>
        <v xml:space="preserve"> </v>
      </c>
      <c r="BF929" s="50" t="str">
        <f t="shared" si="239"/>
        <v>HESQUIAT LAKE CREEK (Tsa-ya)_Pink</v>
      </c>
      <c r="BG929" s="50" t="str">
        <f>IFERROR(VLOOKUP(BF929,'[1]WCVI Esc'!$C$5:$W$514,18,FALSE),"-")</f>
        <v>-</v>
      </c>
      <c r="BH929" s="50" t="str">
        <f t="shared" si="242"/>
        <v>-</v>
      </c>
      <c r="BI929" s="50" t="str">
        <f>IFERROR(VLOOKUP(BF929,'[1]WCVI Esc'!$C$5:$W$514,19,FALSE),"-")</f>
        <v>-</v>
      </c>
      <c r="BJ929" s="50" t="str">
        <f t="shared" si="243"/>
        <v>-</v>
      </c>
    </row>
    <row r="930" spans="1:62" hidden="1" x14ac:dyDescent="0.2">
      <c r="A930" s="28">
        <v>4</v>
      </c>
      <c r="B930" s="28">
        <v>4</v>
      </c>
      <c r="C930" s="11">
        <v>24</v>
      </c>
      <c r="D930" s="13" t="s">
        <v>359</v>
      </c>
      <c r="E930" s="10" t="s">
        <v>249</v>
      </c>
      <c r="F930" s="10" t="s">
        <v>209</v>
      </c>
      <c r="G930" s="10"/>
      <c r="H930" s="152"/>
      <c r="I930" s="164"/>
      <c r="J930" s="62"/>
      <c r="K930" s="62"/>
      <c r="L930" s="177"/>
      <c r="M930" s="171"/>
      <c r="N930" s="62"/>
      <c r="O930" s="62"/>
      <c r="P930" s="62"/>
      <c r="Q930" s="186"/>
      <c r="R930" s="161"/>
      <c r="S930" s="62"/>
      <c r="T930" s="62"/>
      <c r="U930" s="62"/>
      <c r="V930" s="177"/>
      <c r="W930" s="171"/>
      <c r="X930" s="62"/>
      <c r="Y930" s="45"/>
      <c r="Z930" s="45"/>
      <c r="AA930" s="100"/>
      <c r="AB930" s="100"/>
      <c r="AC930" s="24"/>
      <c r="AD930" s="24"/>
      <c r="AE930" s="24"/>
      <c r="AF930" s="24"/>
      <c r="AG930" s="18">
        <v>24</v>
      </c>
      <c r="AH930" s="69" t="s">
        <v>359</v>
      </c>
      <c r="AI930" s="243" t="s">
        <v>249</v>
      </c>
      <c r="AJ930" s="243" t="s">
        <v>419</v>
      </c>
      <c r="AK930" s="246"/>
      <c r="AL930" s="43" t="str">
        <f t="shared" si="244"/>
        <v>-</v>
      </c>
      <c r="AM930" s="43">
        <f t="shared" si="232"/>
        <v>0</v>
      </c>
      <c r="AN930" s="193">
        <f t="shared" si="232"/>
        <v>0</v>
      </c>
      <c r="AO930" s="270" t="str">
        <f t="shared" si="233"/>
        <v>-</v>
      </c>
      <c r="AP930" s="268"/>
      <c r="AQ930" s="26" t="str">
        <f t="shared" si="240"/>
        <v>HESQUIAT LAKE CREEK (Tsa-ya)Chum</v>
      </c>
      <c r="AR930" s="26">
        <f t="shared" si="234"/>
        <v>0</v>
      </c>
      <c r="AS930" s="33">
        <f t="shared" si="235"/>
        <v>0</v>
      </c>
      <c r="AX930" s="47" t="str">
        <f t="shared" si="236"/>
        <v>HESQUIAT LAKE CREEK (Tsa-ya)Chum</v>
      </c>
      <c r="AY930" s="49">
        <f t="shared" si="237"/>
        <v>0</v>
      </c>
      <c r="AZ930" s="49">
        <f t="shared" si="238"/>
        <v>0</v>
      </c>
      <c r="BA930" s="31">
        <v>2015</v>
      </c>
      <c r="BB930" s="188">
        <f t="shared" si="241"/>
        <v>0</v>
      </c>
      <c r="BC930" s="188" t="str">
        <f t="shared" si="245"/>
        <v xml:space="preserve"> </v>
      </c>
      <c r="BD930" s="188" t="str">
        <f t="shared" si="246"/>
        <v xml:space="preserve"> </v>
      </c>
      <c r="BE930" s="188" t="str">
        <f t="shared" si="247"/>
        <v xml:space="preserve"> </v>
      </c>
      <c r="BF930" s="50" t="str">
        <f t="shared" si="239"/>
        <v>HESQUIAT LAKE CREEK (Tsa-ya)_Chum</v>
      </c>
      <c r="BG930" s="50" t="str">
        <f>IFERROR(VLOOKUP(BF930,'[1]WCVI Esc'!$C$5:$W$514,18,FALSE),"-")</f>
        <v>-</v>
      </c>
      <c r="BH930" s="50" t="str">
        <f t="shared" si="242"/>
        <v>-</v>
      </c>
      <c r="BI930" s="50" t="str">
        <f>IFERROR(VLOOKUP(BF930,'[1]WCVI Esc'!$C$5:$W$514,19,FALSE),"-")</f>
        <v>-</v>
      </c>
      <c r="BJ930" s="50" t="str">
        <f t="shared" si="243"/>
        <v>-</v>
      </c>
    </row>
    <row r="931" spans="1:62" hidden="1" x14ac:dyDescent="0.2">
      <c r="A931" s="28">
        <v>4</v>
      </c>
      <c r="B931" s="28">
        <v>5</v>
      </c>
      <c r="C931" s="11">
        <v>24</v>
      </c>
      <c r="D931" s="13" t="s">
        <v>359</v>
      </c>
      <c r="E931" s="10" t="s">
        <v>249</v>
      </c>
      <c r="F931" s="10" t="s">
        <v>210</v>
      </c>
      <c r="G931" s="10"/>
      <c r="H931" s="152"/>
      <c r="I931" s="164"/>
      <c r="J931" s="62"/>
      <c r="K931" s="62"/>
      <c r="L931" s="177"/>
      <c r="M931" s="171"/>
      <c r="N931" s="62"/>
      <c r="O931" s="62"/>
      <c r="P931" s="62"/>
      <c r="Q931" s="186"/>
      <c r="R931" s="161"/>
      <c r="S931" s="62"/>
      <c r="T931" s="62"/>
      <c r="U931" s="62"/>
      <c r="V931" s="177"/>
      <c r="W931" s="171"/>
      <c r="X931" s="62"/>
      <c r="Y931" s="45"/>
      <c r="Z931" s="45"/>
      <c r="AA931" s="100"/>
      <c r="AB931" s="100"/>
      <c r="AC931" s="24"/>
      <c r="AD931" s="24"/>
      <c r="AE931" s="24"/>
      <c r="AF931" s="24"/>
      <c r="AG931" s="18">
        <v>24</v>
      </c>
      <c r="AH931" s="69" t="s">
        <v>359</v>
      </c>
      <c r="AI931" s="243" t="s">
        <v>249</v>
      </c>
      <c r="AJ931" s="243" t="s">
        <v>419</v>
      </c>
      <c r="AK931" s="246"/>
      <c r="AL931" s="43" t="str">
        <f t="shared" si="244"/>
        <v>-</v>
      </c>
      <c r="AM931" s="43">
        <f t="shared" si="232"/>
        <v>0</v>
      </c>
      <c r="AN931" s="193">
        <f t="shared" si="232"/>
        <v>0</v>
      </c>
      <c r="AO931" s="270" t="str">
        <f t="shared" si="233"/>
        <v>-</v>
      </c>
      <c r="AP931" s="268"/>
      <c r="AQ931" s="26" t="str">
        <f t="shared" si="240"/>
        <v>HESQUIAT LAKE CREEK (Tsa-ya)Chinook</v>
      </c>
      <c r="AR931" s="26">
        <f t="shared" si="234"/>
        <v>0</v>
      </c>
      <c r="AS931" s="33">
        <f t="shared" si="235"/>
        <v>0</v>
      </c>
      <c r="AX931" s="47" t="str">
        <f t="shared" si="236"/>
        <v>HESQUIAT LAKE CREEK (Tsa-ya)Chinook</v>
      </c>
      <c r="AY931" s="49">
        <f t="shared" si="237"/>
        <v>0</v>
      </c>
      <c r="AZ931" s="49">
        <f t="shared" si="238"/>
        <v>0</v>
      </c>
      <c r="BA931" s="31">
        <v>0</v>
      </c>
      <c r="BB931" s="188">
        <f t="shared" si="241"/>
        <v>0</v>
      </c>
      <c r="BC931" s="188" t="str">
        <f t="shared" si="245"/>
        <v xml:space="preserve"> </v>
      </c>
      <c r="BD931" s="188" t="str">
        <f t="shared" si="246"/>
        <v xml:space="preserve"> </v>
      </c>
      <c r="BE931" s="188" t="str">
        <f t="shared" si="247"/>
        <v xml:space="preserve"> </v>
      </c>
      <c r="BF931" s="50" t="str">
        <f t="shared" si="239"/>
        <v>HESQUIAT LAKE CREEK (Tsa-ya)_Chinook</v>
      </c>
      <c r="BG931" s="50" t="str">
        <f>IFERROR(VLOOKUP(BF931,'[1]WCVI Esc'!$C$5:$W$514,18,FALSE),"-")</f>
        <v>-</v>
      </c>
      <c r="BH931" s="50" t="str">
        <f t="shared" si="242"/>
        <v>-</v>
      </c>
      <c r="BI931" s="50" t="str">
        <f>IFERROR(VLOOKUP(BF931,'[1]WCVI Esc'!$C$5:$W$514,19,FALSE),"-")</f>
        <v>-</v>
      </c>
      <c r="BJ931" s="50" t="str">
        <f t="shared" si="243"/>
        <v>-</v>
      </c>
    </row>
    <row r="932" spans="1:62" hidden="1" x14ac:dyDescent="0.2">
      <c r="A932" s="28">
        <v>4</v>
      </c>
      <c r="B932" s="28">
        <v>6</v>
      </c>
      <c r="C932" s="11">
        <v>24</v>
      </c>
      <c r="D932" s="13" t="s">
        <v>359</v>
      </c>
      <c r="E932" s="10" t="s">
        <v>249</v>
      </c>
      <c r="F932" s="10" t="s">
        <v>211</v>
      </c>
      <c r="G932" s="10"/>
      <c r="H932" s="152"/>
      <c r="I932" s="164"/>
      <c r="J932" s="62"/>
      <c r="K932" s="62"/>
      <c r="L932" s="177"/>
      <c r="M932" s="171"/>
      <c r="N932" s="62"/>
      <c r="O932" s="62"/>
      <c r="P932" s="62"/>
      <c r="Q932" s="186"/>
      <c r="R932" s="161"/>
      <c r="S932" s="62"/>
      <c r="T932" s="62"/>
      <c r="U932" s="62"/>
      <c r="V932" s="177"/>
      <c r="W932" s="171"/>
      <c r="X932" s="62"/>
      <c r="Y932" s="45"/>
      <c r="Z932" s="45"/>
      <c r="AA932" s="100"/>
      <c r="AB932" s="100"/>
      <c r="AC932" s="24"/>
      <c r="AD932" s="24"/>
      <c r="AE932" s="24"/>
      <c r="AF932" s="24"/>
      <c r="AG932" s="18">
        <v>24</v>
      </c>
      <c r="AH932" s="69" t="s">
        <v>359</v>
      </c>
      <c r="AI932" s="243" t="s">
        <v>249</v>
      </c>
      <c r="AJ932" s="243" t="s">
        <v>419</v>
      </c>
      <c r="AK932" s="246"/>
      <c r="AL932" s="43" t="str">
        <f t="shared" si="244"/>
        <v>-</v>
      </c>
      <c r="AM932" s="43">
        <f t="shared" si="232"/>
        <v>0</v>
      </c>
      <c r="AN932" s="193">
        <f t="shared" si="232"/>
        <v>0</v>
      </c>
      <c r="AO932" s="270" t="str">
        <f t="shared" si="233"/>
        <v>-</v>
      </c>
      <c r="AP932" s="267"/>
      <c r="AQ932" s="26" t="str">
        <f t="shared" si="240"/>
        <v>HESQUIAT LAKE CREEK (Tsa-ya)Steelhead</v>
      </c>
      <c r="AR932" s="26">
        <f t="shared" si="234"/>
        <v>0</v>
      </c>
      <c r="AS932" s="33">
        <f t="shared" si="235"/>
        <v>0</v>
      </c>
      <c r="AX932" s="47" t="str">
        <f t="shared" si="236"/>
        <v>HESQUIAT LAKE CREEK (Tsa-ya)Steelhead</v>
      </c>
      <c r="AY932" s="49">
        <f t="shared" si="237"/>
        <v>0</v>
      </c>
      <c r="AZ932" s="49">
        <f t="shared" si="238"/>
        <v>0</v>
      </c>
      <c r="BA932" s="31">
        <v>0</v>
      </c>
      <c r="BB932" s="188">
        <f t="shared" si="241"/>
        <v>0</v>
      </c>
      <c r="BC932" s="188" t="str">
        <f t="shared" si="245"/>
        <v xml:space="preserve"> </v>
      </c>
      <c r="BD932" s="188" t="str">
        <f t="shared" si="246"/>
        <v xml:space="preserve"> </v>
      </c>
      <c r="BE932" s="188" t="str">
        <f t="shared" si="247"/>
        <v xml:space="preserve"> </v>
      </c>
      <c r="BF932" s="50" t="str">
        <f t="shared" si="239"/>
        <v>HESQUIAT LAKE CREEK (Tsa-ya)_Steelhead</v>
      </c>
      <c r="BG932" s="50" t="str">
        <f>IFERROR(VLOOKUP(BF932,'[1]WCVI Esc'!$C$5:$W$514,18,FALSE),"-")</f>
        <v>-</v>
      </c>
      <c r="BH932" s="50" t="str">
        <f t="shared" si="242"/>
        <v>-</v>
      </c>
      <c r="BI932" s="50" t="str">
        <f>IFERROR(VLOOKUP(BF932,'[1]WCVI Esc'!$C$5:$W$514,19,FALSE),"-")</f>
        <v>-</v>
      </c>
      <c r="BJ932" s="50" t="str">
        <f t="shared" si="243"/>
        <v>-</v>
      </c>
    </row>
    <row r="933" spans="1:62" hidden="1" x14ac:dyDescent="0.2">
      <c r="A933" s="28">
        <v>4</v>
      </c>
      <c r="B933" s="28">
        <v>1</v>
      </c>
      <c r="C933" s="11">
        <v>24</v>
      </c>
      <c r="D933" s="13" t="s">
        <v>359</v>
      </c>
      <c r="E933" s="10" t="s">
        <v>252</v>
      </c>
      <c r="F933" s="10" t="s">
        <v>207</v>
      </c>
      <c r="G933" s="10"/>
      <c r="H933" s="152"/>
      <c r="I933" s="164"/>
      <c r="J933" s="62"/>
      <c r="K933" s="62"/>
      <c r="L933" s="177"/>
      <c r="M933" s="171"/>
      <c r="N933" s="62"/>
      <c r="O933" s="62"/>
      <c r="P933" s="62"/>
      <c r="Q933" s="64"/>
      <c r="R933" s="164"/>
      <c r="S933" s="62"/>
      <c r="T933" s="62"/>
      <c r="U933" s="62"/>
      <c r="V933" s="177"/>
      <c r="W933" s="171"/>
      <c r="X933" s="62"/>
      <c r="Y933" s="45"/>
      <c r="Z933" s="45"/>
      <c r="AA933" s="100"/>
      <c r="AB933" s="100"/>
      <c r="AC933" s="24"/>
      <c r="AD933" s="24"/>
      <c r="AE933" s="24"/>
      <c r="AF933" s="24"/>
      <c r="AG933" s="18">
        <v>24</v>
      </c>
      <c r="AH933" s="69" t="s">
        <v>359</v>
      </c>
      <c r="AI933" s="243" t="s">
        <v>252</v>
      </c>
      <c r="AJ933" s="243" t="s">
        <v>419</v>
      </c>
      <c r="AK933" s="246"/>
      <c r="AL933" s="43" t="str">
        <f t="shared" si="244"/>
        <v>-</v>
      </c>
      <c r="AM933" s="43">
        <f t="shared" si="232"/>
        <v>0</v>
      </c>
      <c r="AN933" s="193">
        <f t="shared" si="232"/>
        <v>0</v>
      </c>
      <c r="AO933" s="270" t="str">
        <f t="shared" si="233"/>
        <v>-</v>
      </c>
      <c r="AP933" s="273"/>
      <c r="AQ933" s="26" t="str">
        <f t="shared" si="240"/>
        <v>HESQUIAT POINT CREEK (Ihata)Sockeye</v>
      </c>
      <c r="AR933" s="26">
        <f t="shared" si="234"/>
        <v>0</v>
      </c>
      <c r="AS933" s="33">
        <f t="shared" si="235"/>
        <v>0</v>
      </c>
      <c r="AX933" s="47" t="str">
        <f t="shared" si="236"/>
        <v>HESQUIAT POINT CREEK (Ihata)Sockeye</v>
      </c>
      <c r="AY933" s="49">
        <f t="shared" si="237"/>
        <v>0</v>
      </c>
      <c r="AZ933" s="49">
        <f t="shared" si="238"/>
        <v>0</v>
      </c>
      <c r="BA933" s="31">
        <v>0</v>
      </c>
      <c r="BB933" s="188">
        <f t="shared" si="241"/>
        <v>0</v>
      </c>
      <c r="BC933" s="188" t="str">
        <f t="shared" si="245"/>
        <v xml:space="preserve"> </v>
      </c>
      <c r="BD933" s="188" t="str">
        <f t="shared" si="246"/>
        <v xml:space="preserve"> </v>
      </c>
      <c r="BE933" s="188" t="str">
        <f t="shared" si="247"/>
        <v xml:space="preserve"> </v>
      </c>
      <c r="BF933" s="50" t="str">
        <f t="shared" si="239"/>
        <v>HESQUIAT POINT CREEK (Ihata)_Sockeye</v>
      </c>
      <c r="BG933" s="50" t="str">
        <f>IFERROR(VLOOKUP(BF933,'[1]WCVI Esc'!$C$5:$W$514,18,FALSE),"-")</f>
        <v>-</v>
      </c>
      <c r="BH933" s="50" t="str">
        <f t="shared" si="242"/>
        <v>-</v>
      </c>
      <c r="BI933" s="50" t="str">
        <f>IFERROR(VLOOKUP(BF933,'[1]WCVI Esc'!$C$5:$W$514,19,FALSE),"-")</f>
        <v>-</v>
      </c>
      <c r="BJ933" s="50" t="str">
        <f t="shared" si="243"/>
        <v>-</v>
      </c>
    </row>
    <row r="934" spans="1:62" hidden="1" x14ac:dyDescent="0.2">
      <c r="A934" s="28">
        <v>4</v>
      </c>
      <c r="B934" s="28">
        <v>2</v>
      </c>
      <c r="C934" s="11">
        <v>24</v>
      </c>
      <c r="D934" s="13" t="s">
        <v>359</v>
      </c>
      <c r="E934" s="10" t="s">
        <v>252</v>
      </c>
      <c r="F934" s="10" t="s">
        <v>219</v>
      </c>
      <c r="G934" s="10"/>
      <c r="H934" s="152"/>
      <c r="I934" s="164"/>
      <c r="J934" s="62"/>
      <c r="K934" s="62"/>
      <c r="L934" s="177"/>
      <c r="M934" s="171"/>
      <c r="N934" s="62"/>
      <c r="O934" s="62"/>
      <c r="P934" s="62"/>
      <c r="Q934" s="64"/>
      <c r="R934" s="164"/>
      <c r="S934" s="62"/>
      <c r="T934" s="62"/>
      <c r="U934" s="62"/>
      <c r="V934" s="177"/>
      <c r="W934" s="171"/>
      <c r="X934" s="62"/>
      <c r="Y934" s="45"/>
      <c r="Z934" s="45"/>
      <c r="AA934" s="100"/>
      <c r="AB934" s="100"/>
      <c r="AC934" s="24"/>
      <c r="AD934" s="24"/>
      <c r="AE934" s="24"/>
      <c r="AF934" s="24"/>
      <c r="AG934" s="18">
        <v>24</v>
      </c>
      <c r="AH934" s="69" t="s">
        <v>359</v>
      </c>
      <c r="AI934" s="243" t="s">
        <v>252</v>
      </c>
      <c r="AJ934" s="243" t="s">
        <v>419</v>
      </c>
      <c r="AK934" s="246"/>
      <c r="AL934" s="43" t="str">
        <f t="shared" si="244"/>
        <v>-</v>
      </c>
      <c r="AM934" s="43">
        <f t="shared" si="232"/>
        <v>0</v>
      </c>
      <c r="AN934" s="193">
        <f t="shared" si="232"/>
        <v>0</v>
      </c>
      <c r="AO934" s="270" t="str">
        <f t="shared" si="233"/>
        <v>-</v>
      </c>
      <c r="AP934" s="273"/>
      <c r="AQ934" s="26" t="str">
        <f t="shared" si="240"/>
        <v>HESQUIAT POINT CREEK (Ihata)Coho</v>
      </c>
      <c r="AR934" s="26">
        <f t="shared" si="234"/>
        <v>0</v>
      </c>
      <c r="AS934" s="33">
        <f t="shared" si="235"/>
        <v>0</v>
      </c>
      <c r="AX934" s="47" t="str">
        <f t="shared" si="236"/>
        <v>HESQUIAT POINT CREEK (Ihata)Coho</v>
      </c>
      <c r="AY934" s="49">
        <f t="shared" si="237"/>
        <v>0</v>
      </c>
      <c r="AZ934" s="49">
        <f t="shared" si="238"/>
        <v>0</v>
      </c>
      <c r="BA934" s="31">
        <v>2011</v>
      </c>
      <c r="BB934" s="188">
        <f t="shared" si="241"/>
        <v>0</v>
      </c>
      <c r="BC934" s="188" t="str">
        <f t="shared" si="245"/>
        <v xml:space="preserve"> </v>
      </c>
      <c r="BD934" s="188" t="str">
        <f t="shared" si="246"/>
        <v xml:space="preserve"> </v>
      </c>
      <c r="BE934" s="188" t="str">
        <f t="shared" si="247"/>
        <v xml:space="preserve"> </v>
      </c>
      <c r="BF934" s="50" t="str">
        <f t="shared" si="239"/>
        <v>HESQUIAT POINT CREEK (Ihata)_Coho</v>
      </c>
      <c r="BG934" s="50" t="str">
        <f>IFERROR(VLOOKUP(BF934,'[1]WCVI Esc'!$C$5:$W$514,18,FALSE),"-")</f>
        <v>-</v>
      </c>
      <c r="BH934" s="50" t="str">
        <f t="shared" si="242"/>
        <v>-</v>
      </c>
      <c r="BI934" s="50" t="str">
        <f>IFERROR(VLOOKUP(BF934,'[1]WCVI Esc'!$C$5:$W$514,19,FALSE),"-")</f>
        <v>-</v>
      </c>
      <c r="BJ934" s="50" t="str">
        <f t="shared" si="243"/>
        <v>-</v>
      </c>
    </row>
    <row r="935" spans="1:62" hidden="1" x14ac:dyDescent="0.2">
      <c r="A935" s="28">
        <v>4</v>
      </c>
      <c r="B935" s="28">
        <v>3</v>
      </c>
      <c r="C935" s="11">
        <v>24</v>
      </c>
      <c r="D935" s="13" t="s">
        <v>359</v>
      </c>
      <c r="E935" s="10" t="s">
        <v>252</v>
      </c>
      <c r="F935" s="10" t="s">
        <v>208</v>
      </c>
      <c r="G935" s="10"/>
      <c r="H935" s="152"/>
      <c r="I935" s="164"/>
      <c r="J935" s="62"/>
      <c r="K935" s="62"/>
      <c r="L935" s="177"/>
      <c r="M935" s="171"/>
      <c r="N935" s="62"/>
      <c r="O935" s="62"/>
      <c r="P935" s="62"/>
      <c r="Q935" s="64"/>
      <c r="R935" s="164"/>
      <c r="S935" s="62"/>
      <c r="T935" s="62"/>
      <c r="U935" s="62"/>
      <c r="V935" s="177"/>
      <c r="W935" s="171"/>
      <c r="X935" s="62"/>
      <c r="Y935" s="45"/>
      <c r="Z935" s="45"/>
      <c r="AA935" s="100"/>
      <c r="AB935" s="100"/>
      <c r="AC935" s="24"/>
      <c r="AD935" s="24"/>
      <c r="AE935" s="24"/>
      <c r="AF935" s="24"/>
      <c r="AG935" s="18">
        <v>24</v>
      </c>
      <c r="AH935" s="69" t="s">
        <v>359</v>
      </c>
      <c r="AI935" s="243" t="s">
        <v>252</v>
      </c>
      <c r="AJ935" s="243" t="s">
        <v>419</v>
      </c>
      <c r="AK935" s="246"/>
      <c r="AL935" s="43" t="str">
        <f t="shared" si="244"/>
        <v>-</v>
      </c>
      <c r="AM935" s="43">
        <f t="shared" si="232"/>
        <v>0</v>
      </c>
      <c r="AN935" s="193">
        <f t="shared" si="232"/>
        <v>0</v>
      </c>
      <c r="AO935" s="270" t="str">
        <f t="shared" si="233"/>
        <v>-</v>
      </c>
      <c r="AP935" s="273"/>
      <c r="AQ935" s="26" t="str">
        <f t="shared" si="240"/>
        <v>HESQUIAT POINT CREEK (Ihata)Pink</v>
      </c>
      <c r="AR935" s="26">
        <f t="shared" si="234"/>
        <v>0</v>
      </c>
      <c r="AS935" s="33">
        <f t="shared" si="235"/>
        <v>0</v>
      </c>
      <c r="AX935" s="47" t="str">
        <f t="shared" si="236"/>
        <v>HESQUIAT POINT CREEK (Ihata)Pink</v>
      </c>
      <c r="AY935" s="49">
        <f t="shared" si="237"/>
        <v>0</v>
      </c>
      <c r="AZ935" s="49">
        <f t="shared" si="238"/>
        <v>0</v>
      </c>
      <c r="BA935" s="31">
        <v>0</v>
      </c>
      <c r="BB935" s="188">
        <f t="shared" si="241"/>
        <v>0</v>
      </c>
      <c r="BC935" s="188" t="str">
        <f t="shared" si="245"/>
        <v xml:space="preserve"> </v>
      </c>
      <c r="BD935" s="188" t="str">
        <f t="shared" si="246"/>
        <v xml:space="preserve"> </v>
      </c>
      <c r="BE935" s="188" t="str">
        <f t="shared" si="247"/>
        <v xml:space="preserve"> </v>
      </c>
      <c r="BF935" s="50" t="str">
        <f t="shared" si="239"/>
        <v>HESQUIAT POINT CREEK (Ihata)_Pink</v>
      </c>
      <c r="BG935" s="50" t="str">
        <f>IFERROR(VLOOKUP(BF935,'[1]WCVI Esc'!$C$5:$W$514,18,FALSE),"-")</f>
        <v>-</v>
      </c>
      <c r="BH935" s="50" t="str">
        <f t="shared" si="242"/>
        <v>-</v>
      </c>
      <c r="BI935" s="50" t="str">
        <f>IFERROR(VLOOKUP(BF935,'[1]WCVI Esc'!$C$5:$W$514,19,FALSE),"-")</f>
        <v>-</v>
      </c>
      <c r="BJ935" s="50" t="str">
        <f t="shared" si="243"/>
        <v>-</v>
      </c>
    </row>
    <row r="936" spans="1:62" hidden="1" x14ac:dyDescent="0.2">
      <c r="A936" s="28">
        <v>4</v>
      </c>
      <c r="B936" s="28">
        <v>4</v>
      </c>
      <c r="C936" s="11">
        <v>24</v>
      </c>
      <c r="D936" s="13" t="s">
        <v>359</v>
      </c>
      <c r="E936" s="10" t="s">
        <v>252</v>
      </c>
      <c r="F936" s="10" t="s">
        <v>209</v>
      </c>
      <c r="G936" s="10"/>
      <c r="H936" s="152"/>
      <c r="I936" s="164"/>
      <c r="J936" s="62"/>
      <c r="K936" s="62"/>
      <c r="L936" s="177"/>
      <c r="M936" s="171"/>
      <c r="N936" s="62"/>
      <c r="O936" s="62"/>
      <c r="P936" s="62"/>
      <c r="Q936" s="64"/>
      <c r="R936" s="164"/>
      <c r="S936" s="62"/>
      <c r="T936" s="62"/>
      <c r="U936" s="62"/>
      <c r="V936" s="177"/>
      <c r="W936" s="171"/>
      <c r="X936" s="62"/>
      <c r="Y936" s="45"/>
      <c r="Z936" s="45"/>
      <c r="AA936" s="100"/>
      <c r="AB936" s="100"/>
      <c r="AC936" s="24"/>
      <c r="AD936" s="24"/>
      <c r="AE936" s="24"/>
      <c r="AF936" s="24"/>
      <c r="AG936" s="18">
        <v>24</v>
      </c>
      <c r="AH936" s="69" t="s">
        <v>359</v>
      </c>
      <c r="AI936" s="243" t="s">
        <v>252</v>
      </c>
      <c r="AJ936" s="243" t="s">
        <v>419</v>
      </c>
      <c r="AK936" s="246"/>
      <c r="AL936" s="43" t="str">
        <f t="shared" si="244"/>
        <v>-</v>
      </c>
      <c r="AM936" s="43">
        <f t="shared" si="232"/>
        <v>0</v>
      </c>
      <c r="AN936" s="193">
        <f t="shared" si="232"/>
        <v>0</v>
      </c>
      <c r="AO936" s="270" t="str">
        <f t="shared" si="233"/>
        <v>-</v>
      </c>
      <c r="AP936" s="273"/>
      <c r="AQ936" s="26" t="str">
        <f t="shared" si="240"/>
        <v>HESQUIAT POINT CREEK (Ihata)Chum</v>
      </c>
      <c r="AR936" s="26">
        <f t="shared" si="234"/>
        <v>0</v>
      </c>
      <c r="AS936" s="33">
        <f t="shared" si="235"/>
        <v>0</v>
      </c>
      <c r="AX936" s="47" t="str">
        <f t="shared" si="236"/>
        <v>HESQUIAT POINT CREEK (Ihata)Chum</v>
      </c>
      <c r="AY936" s="49">
        <f t="shared" si="237"/>
        <v>0</v>
      </c>
      <c r="AZ936" s="49">
        <f t="shared" si="238"/>
        <v>0</v>
      </c>
      <c r="BA936" s="31">
        <v>0</v>
      </c>
      <c r="BB936" s="188">
        <f t="shared" si="241"/>
        <v>0</v>
      </c>
      <c r="BC936" s="188" t="str">
        <f t="shared" si="245"/>
        <v xml:space="preserve"> </v>
      </c>
      <c r="BD936" s="188" t="str">
        <f t="shared" si="246"/>
        <v xml:space="preserve"> </v>
      </c>
      <c r="BE936" s="188" t="str">
        <f t="shared" si="247"/>
        <v xml:space="preserve"> </v>
      </c>
      <c r="BF936" s="50" t="str">
        <f t="shared" si="239"/>
        <v>HESQUIAT POINT CREEK (Ihata)_Chum</v>
      </c>
      <c r="BG936" s="50" t="str">
        <f>IFERROR(VLOOKUP(BF936,'[1]WCVI Esc'!$C$5:$W$514,18,FALSE),"-")</f>
        <v>-</v>
      </c>
      <c r="BH936" s="50" t="str">
        <f t="shared" si="242"/>
        <v>-</v>
      </c>
      <c r="BI936" s="50" t="str">
        <f>IFERROR(VLOOKUP(BF936,'[1]WCVI Esc'!$C$5:$W$514,19,FALSE),"-")</f>
        <v>-</v>
      </c>
      <c r="BJ936" s="50" t="str">
        <f t="shared" si="243"/>
        <v>-</v>
      </c>
    </row>
    <row r="937" spans="1:62" hidden="1" x14ac:dyDescent="0.2">
      <c r="A937" s="28">
        <v>4</v>
      </c>
      <c r="B937" s="28">
        <v>5</v>
      </c>
      <c r="C937" s="11">
        <v>24</v>
      </c>
      <c r="D937" s="13" t="s">
        <v>359</v>
      </c>
      <c r="E937" s="10" t="s">
        <v>252</v>
      </c>
      <c r="F937" s="10" t="s">
        <v>210</v>
      </c>
      <c r="G937" s="10"/>
      <c r="H937" s="152"/>
      <c r="I937" s="164"/>
      <c r="J937" s="62"/>
      <c r="K937" s="62"/>
      <c r="L937" s="177"/>
      <c r="M937" s="171"/>
      <c r="N937" s="62"/>
      <c r="O937" s="62"/>
      <c r="P937" s="62"/>
      <c r="Q937" s="64"/>
      <c r="R937" s="164"/>
      <c r="S937" s="62"/>
      <c r="T937" s="62"/>
      <c r="U937" s="62"/>
      <c r="V937" s="177"/>
      <c r="W937" s="171"/>
      <c r="X937" s="62"/>
      <c r="Y937" s="45"/>
      <c r="Z937" s="45"/>
      <c r="AA937" s="100"/>
      <c r="AB937" s="100"/>
      <c r="AC937" s="24"/>
      <c r="AD937" s="24"/>
      <c r="AE937" s="24"/>
      <c r="AF937" s="24"/>
      <c r="AG937" s="18">
        <v>24</v>
      </c>
      <c r="AH937" s="69" t="s">
        <v>359</v>
      </c>
      <c r="AI937" s="243" t="s">
        <v>252</v>
      </c>
      <c r="AJ937" s="243" t="s">
        <v>419</v>
      </c>
      <c r="AK937" s="246"/>
      <c r="AL937" s="43" t="str">
        <f t="shared" si="244"/>
        <v>-</v>
      </c>
      <c r="AM937" s="43">
        <f t="shared" si="232"/>
        <v>0</v>
      </c>
      <c r="AN937" s="193">
        <f t="shared" si="232"/>
        <v>0</v>
      </c>
      <c r="AO937" s="270" t="str">
        <f t="shared" si="233"/>
        <v>-</v>
      </c>
      <c r="AP937" s="273"/>
      <c r="AQ937" s="26" t="str">
        <f t="shared" si="240"/>
        <v>HESQUIAT POINT CREEK (Ihata)Chinook</v>
      </c>
      <c r="AR937" s="26">
        <f t="shared" si="234"/>
        <v>0</v>
      </c>
      <c r="AS937" s="33">
        <f t="shared" si="235"/>
        <v>0</v>
      </c>
      <c r="AX937" s="47" t="str">
        <f t="shared" si="236"/>
        <v>HESQUIAT POINT CREEK (Ihata)Chinook</v>
      </c>
      <c r="AY937" s="49">
        <f t="shared" si="237"/>
        <v>0</v>
      </c>
      <c r="AZ937" s="49">
        <f t="shared" si="238"/>
        <v>0</v>
      </c>
      <c r="BA937" s="31">
        <v>0</v>
      </c>
      <c r="BB937" s="188">
        <f t="shared" si="241"/>
        <v>0</v>
      </c>
      <c r="BC937" s="188" t="str">
        <f t="shared" si="245"/>
        <v xml:space="preserve"> </v>
      </c>
      <c r="BD937" s="188" t="str">
        <f t="shared" si="246"/>
        <v xml:space="preserve"> </v>
      </c>
      <c r="BE937" s="188" t="str">
        <f t="shared" si="247"/>
        <v xml:space="preserve"> </v>
      </c>
      <c r="BF937" s="50" t="str">
        <f t="shared" si="239"/>
        <v>HESQUIAT POINT CREEK (Ihata)_Chinook</v>
      </c>
      <c r="BG937" s="50" t="str">
        <f>IFERROR(VLOOKUP(BF937,'[1]WCVI Esc'!$C$5:$W$514,18,FALSE),"-")</f>
        <v>-</v>
      </c>
      <c r="BH937" s="50" t="str">
        <f t="shared" si="242"/>
        <v>-</v>
      </c>
      <c r="BI937" s="50" t="str">
        <f>IFERROR(VLOOKUP(BF937,'[1]WCVI Esc'!$C$5:$W$514,19,FALSE),"-")</f>
        <v>-</v>
      </c>
      <c r="BJ937" s="50" t="str">
        <f t="shared" si="243"/>
        <v>-</v>
      </c>
    </row>
    <row r="938" spans="1:62" hidden="1" x14ac:dyDescent="0.2">
      <c r="A938" s="28">
        <v>4</v>
      </c>
      <c r="B938" s="28">
        <v>6</v>
      </c>
      <c r="C938" s="11">
        <v>24</v>
      </c>
      <c r="D938" s="13" t="s">
        <v>359</v>
      </c>
      <c r="E938" s="10" t="s">
        <v>252</v>
      </c>
      <c r="F938" s="10" t="s">
        <v>211</v>
      </c>
      <c r="G938" s="10"/>
      <c r="H938" s="152"/>
      <c r="I938" s="164"/>
      <c r="J938" s="62"/>
      <c r="K938" s="62"/>
      <c r="L938" s="177"/>
      <c r="M938" s="171"/>
      <c r="N938" s="62"/>
      <c r="O938" s="62"/>
      <c r="P938" s="62"/>
      <c r="Q938" s="64"/>
      <c r="R938" s="164"/>
      <c r="S938" s="62"/>
      <c r="T938" s="62"/>
      <c r="U938" s="62"/>
      <c r="V938" s="177"/>
      <c r="W938" s="171"/>
      <c r="X938" s="62"/>
      <c r="Y938" s="45"/>
      <c r="Z938" s="45"/>
      <c r="AA938" s="100"/>
      <c r="AB938" s="100"/>
      <c r="AC938" s="24"/>
      <c r="AD938" s="24"/>
      <c r="AE938" s="24"/>
      <c r="AF938" s="24"/>
      <c r="AG938" s="18">
        <v>24</v>
      </c>
      <c r="AH938" s="69" t="s">
        <v>359</v>
      </c>
      <c r="AI938" s="243" t="s">
        <v>252</v>
      </c>
      <c r="AJ938" s="243" t="s">
        <v>419</v>
      </c>
      <c r="AK938" s="246"/>
      <c r="AL938" s="43" t="str">
        <f t="shared" si="244"/>
        <v>-</v>
      </c>
      <c r="AM938" s="43">
        <f t="shared" si="232"/>
        <v>0</v>
      </c>
      <c r="AN938" s="193">
        <f t="shared" si="232"/>
        <v>0</v>
      </c>
      <c r="AO938" s="270" t="str">
        <f t="shared" si="233"/>
        <v>-</v>
      </c>
      <c r="AP938" s="266"/>
      <c r="AQ938" s="26" t="str">
        <f t="shared" si="240"/>
        <v>HESQUIAT POINT CREEK (Ihata)Steelhead</v>
      </c>
      <c r="AR938" s="26">
        <f t="shared" si="234"/>
        <v>0</v>
      </c>
      <c r="AS938" s="33">
        <f t="shared" si="235"/>
        <v>0</v>
      </c>
      <c r="AX938" s="47" t="str">
        <f t="shared" si="236"/>
        <v>HESQUIAT POINT CREEK (Ihata)Steelhead</v>
      </c>
      <c r="AY938" s="49">
        <f t="shared" si="237"/>
        <v>0</v>
      </c>
      <c r="AZ938" s="49">
        <f t="shared" si="238"/>
        <v>0</v>
      </c>
      <c r="BA938" s="31">
        <v>0</v>
      </c>
      <c r="BB938" s="188">
        <f t="shared" si="241"/>
        <v>0</v>
      </c>
      <c r="BC938" s="188" t="str">
        <f t="shared" si="245"/>
        <v xml:space="preserve"> </v>
      </c>
      <c r="BD938" s="188" t="str">
        <f t="shared" si="246"/>
        <v xml:space="preserve"> </v>
      </c>
      <c r="BE938" s="188" t="str">
        <f t="shared" si="247"/>
        <v xml:space="preserve"> </v>
      </c>
      <c r="BF938" s="50" t="str">
        <f t="shared" si="239"/>
        <v>HESQUIAT POINT CREEK (Ihata)_Steelhead</v>
      </c>
      <c r="BG938" s="50" t="str">
        <f>IFERROR(VLOOKUP(BF938,'[1]WCVI Esc'!$C$5:$W$514,18,FALSE),"-")</f>
        <v>-</v>
      </c>
      <c r="BH938" s="50" t="str">
        <f t="shared" si="242"/>
        <v>-</v>
      </c>
      <c r="BI938" s="50" t="str">
        <f>IFERROR(VLOOKUP(BF938,'[1]WCVI Esc'!$C$5:$W$514,19,FALSE),"-")</f>
        <v>-</v>
      </c>
      <c r="BJ938" s="50" t="str">
        <f t="shared" si="243"/>
        <v>-</v>
      </c>
    </row>
    <row r="939" spans="1:62" hidden="1" x14ac:dyDescent="0.2">
      <c r="A939" s="28">
        <v>4</v>
      </c>
      <c r="B939" s="28">
        <v>1</v>
      </c>
      <c r="C939" s="11">
        <v>24</v>
      </c>
      <c r="D939" s="13" t="s">
        <v>359</v>
      </c>
      <c r="E939" s="10" t="s">
        <v>122</v>
      </c>
      <c r="F939" s="10" t="s">
        <v>207</v>
      </c>
      <c r="G939" s="10"/>
      <c r="H939" s="152"/>
      <c r="I939" s="164"/>
      <c r="J939" s="62"/>
      <c r="K939" s="62"/>
      <c r="L939" s="177"/>
      <c r="M939" s="171"/>
      <c r="N939" s="62"/>
      <c r="O939" s="62"/>
      <c r="P939" s="62"/>
      <c r="Q939" s="64"/>
      <c r="R939" s="164"/>
      <c r="S939" s="62"/>
      <c r="T939" s="62"/>
      <c r="U939" s="62"/>
      <c r="V939" s="177"/>
      <c r="W939" s="171"/>
      <c r="X939" s="62"/>
      <c r="Y939" s="45"/>
      <c r="Z939" s="45"/>
      <c r="AA939" s="100"/>
      <c r="AB939" s="100"/>
      <c r="AC939" s="24"/>
      <c r="AD939" s="24"/>
      <c r="AE939" s="24"/>
      <c r="AF939" s="24"/>
      <c r="AG939" s="18">
        <v>24</v>
      </c>
      <c r="AH939" s="69" t="s">
        <v>359</v>
      </c>
      <c r="AI939" s="243" t="s">
        <v>122</v>
      </c>
      <c r="AJ939" s="243" t="s">
        <v>419</v>
      </c>
      <c r="AK939" s="246"/>
      <c r="AL939" s="43" t="str">
        <f t="shared" si="244"/>
        <v>-</v>
      </c>
      <c r="AM939" s="43">
        <f t="shared" si="232"/>
        <v>0</v>
      </c>
      <c r="AN939" s="193">
        <f t="shared" si="232"/>
        <v>0</v>
      </c>
      <c r="AO939" s="270" t="str">
        <f t="shared" si="233"/>
        <v>-</v>
      </c>
      <c r="AP939" s="266"/>
      <c r="AQ939" s="26" t="str">
        <f t="shared" si="240"/>
        <v>HOOTLA KOOTLA CREEKSockeye</v>
      </c>
      <c r="AR939" s="26">
        <f t="shared" si="234"/>
        <v>0</v>
      </c>
      <c r="AS939" s="33">
        <f t="shared" si="235"/>
        <v>0</v>
      </c>
      <c r="AX939" s="47" t="str">
        <f t="shared" si="236"/>
        <v>HOOTLA KOOTLA CREEKSockeye</v>
      </c>
      <c r="AY939" s="49">
        <f t="shared" si="237"/>
        <v>0</v>
      </c>
      <c r="AZ939" s="49">
        <f t="shared" si="238"/>
        <v>0</v>
      </c>
      <c r="BA939" s="31">
        <v>0</v>
      </c>
      <c r="BB939" s="188">
        <f t="shared" si="241"/>
        <v>0</v>
      </c>
      <c r="BC939" s="188" t="str">
        <f t="shared" si="245"/>
        <v xml:space="preserve"> </v>
      </c>
      <c r="BD939" s="188" t="str">
        <f t="shared" si="246"/>
        <v xml:space="preserve"> </v>
      </c>
      <c r="BE939" s="188" t="str">
        <f t="shared" si="247"/>
        <v xml:space="preserve"> </v>
      </c>
      <c r="BF939" s="50" t="str">
        <f t="shared" si="239"/>
        <v>HOOTLA KOOTLA CREEK_Sockeye</v>
      </c>
      <c r="BG939" s="50" t="str">
        <f>IFERROR(VLOOKUP(BF939,'[1]WCVI Esc'!$C$5:$W$514,18,FALSE),"-")</f>
        <v>-</v>
      </c>
      <c r="BH939" s="50" t="str">
        <f t="shared" si="242"/>
        <v>-</v>
      </c>
      <c r="BI939" s="50" t="str">
        <f>IFERROR(VLOOKUP(BF939,'[1]WCVI Esc'!$C$5:$W$514,19,FALSE),"-")</f>
        <v>-</v>
      </c>
      <c r="BJ939" s="50" t="str">
        <f t="shared" si="243"/>
        <v>-</v>
      </c>
    </row>
    <row r="940" spans="1:62" hidden="1" x14ac:dyDescent="0.2">
      <c r="A940" s="28">
        <v>4</v>
      </c>
      <c r="B940" s="28">
        <v>2</v>
      </c>
      <c r="C940" s="11">
        <v>24</v>
      </c>
      <c r="D940" s="13" t="s">
        <v>359</v>
      </c>
      <c r="E940" s="10" t="s">
        <v>122</v>
      </c>
      <c r="F940" s="10" t="s">
        <v>219</v>
      </c>
      <c r="G940" s="10"/>
      <c r="H940" s="152"/>
      <c r="I940" s="164"/>
      <c r="J940" s="62"/>
      <c r="K940" s="62"/>
      <c r="L940" s="177"/>
      <c r="M940" s="171"/>
      <c r="N940" s="62"/>
      <c r="O940" s="62"/>
      <c r="P940" s="62"/>
      <c r="Q940" s="64"/>
      <c r="R940" s="164"/>
      <c r="S940" s="62"/>
      <c r="T940" s="62"/>
      <c r="U940" s="62"/>
      <c r="V940" s="177"/>
      <c r="W940" s="171"/>
      <c r="X940" s="62"/>
      <c r="Y940" s="45"/>
      <c r="Z940" s="45"/>
      <c r="AA940" s="100"/>
      <c r="AB940" s="100"/>
      <c r="AC940" s="24"/>
      <c r="AD940" s="24"/>
      <c r="AE940" s="24"/>
      <c r="AF940" s="24"/>
      <c r="AG940" s="18">
        <v>24</v>
      </c>
      <c r="AH940" s="69" t="s">
        <v>359</v>
      </c>
      <c r="AI940" s="243" t="s">
        <v>122</v>
      </c>
      <c r="AJ940" s="243" t="s">
        <v>419</v>
      </c>
      <c r="AK940" s="246"/>
      <c r="AL940" s="43" t="str">
        <f t="shared" si="244"/>
        <v>-</v>
      </c>
      <c r="AM940" s="43">
        <f t="shared" si="232"/>
        <v>0</v>
      </c>
      <c r="AN940" s="193">
        <f t="shared" si="232"/>
        <v>0</v>
      </c>
      <c r="AO940" s="270" t="str">
        <f t="shared" si="233"/>
        <v>-</v>
      </c>
      <c r="AP940" s="266"/>
      <c r="AQ940" s="26" t="str">
        <f t="shared" si="240"/>
        <v>HOOTLA KOOTLA CREEKCoho</v>
      </c>
      <c r="AR940" s="26">
        <f t="shared" si="234"/>
        <v>0</v>
      </c>
      <c r="AS940" s="33">
        <f t="shared" si="235"/>
        <v>0</v>
      </c>
      <c r="AX940" s="47" t="str">
        <f t="shared" si="236"/>
        <v>HOOTLA KOOTLA CREEKCoho</v>
      </c>
      <c r="AY940" s="49">
        <f t="shared" si="237"/>
        <v>0</v>
      </c>
      <c r="AZ940" s="49">
        <f t="shared" si="238"/>
        <v>0</v>
      </c>
      <c r="BA940" s="31">
        <v>2001</v>
      </c>
      <c r="BB940" s="188">
        <f t="shared" si="241"/>
        <v>0</v>
      </c>
      <c r="BC940" s="188" t="str">
        <f t="shared" si="245"/>
        <v xml:space="preserve"> </v>
      </c>
      <c r="BD940" s="188" t="str">
        <f t="shared" si="246"/>
        <v xml:space="preserve"> </v>
      </c>
      <c r="BE940" s="188" t="str">
        <f t="shared" si="247"/>
        <v xml:space="preserve"> </v>
      </c>
      <c r="BF940" s="50" t="str">
        <f t="shared" si="239"/>
        <v>HOOTLA KOOTLA CREEK_Coho</v>
      </c>
      <c r="BG940" s="50" t="str">
        <f>IFERROR(VLOOKUP(BF940,'[1]WCVI Esc'!$C$5:$W$514,18,FALSE),"-")</f>
        <v>-</v>
      </c>
      <c r="BH940" s="50" t="str">
        <f t="shared" si="242"/>
        <v>-</v>
      </c>
      <c r="BI940" s="50" t="str">
        <f>IFERROR(VLOOKUP(BF940,'[1]WCVI Esc'!$C$5:$W$514,19,FALSE),"-")</f>
        <v>-</v>
      </c>
      <c r="BJ940" s="50" t="str">
        <f t="shared" si="243"/>
        <v>-</v>
      </c>
    </row>
    <row r="941" spans="1:62" hidden="1" x14ac:dyDescent="0.2">
      <c r="A941" s="28">
        <v>4</v>
      </c>
      <c r="B941" s="28">
        <v>3</v>
      </c>
      <c r="C941" s="11">
        <v>24</v>
      </c>
      <c r="D941" s="13" t="s">
        <v>359</v>
      </c>
      <c r="E941" s="10" t="s">
        <v>122</v>
      </c>
      <c r="F941" s="10" t="s">
        <v>208</v>
      </c>
      <c r="G941" s="10"/>
      <c r="H941" s="152"/>
      <c r="I941" s="164"/>
      <c r="J941" s="62"/>
      <c r="K941" s="62"/>
      <c r="L941" s="177"/>
      <c r="M941" s="171"/>
      <c r="N941" s="62"/>
      <c r="O941" s="62"/>
      <c r="P941" s="62"/>
      <c r="Q941" s="64"/>
      <c r="R941" s="164"/>
      <c r="S941" s="62"/>
      <c r="T941" s="62"/>
      <c r="U941" s="62"/>
      <c r="V941" s="177"/>
      <c r="W941" s="171"/>
      <c r="X941" s="62"/>
      <c r="Y941" s="45"/>
      <c r="Z941" s="45"/>
      <c r="AA941" s="100"/>
      <c r="AB941" s="100"/>
      <c r="AC941" s="24"/>
      <c r="AD941" s="24"/>
      <c r="AE941" s="24"/>
      <c r="AF941" s="24"/>
      <c r="AG941" s="18">
        <v>24</v>
      </c>
      <c r="AH941" s="69" t="s">
        <v>359</v>
      </c>
      <c r="AI941" s="243" t="s">
        <v>122</v>
      </c>
      <c r="AJ941" s="243" t="s">
        <v>419</v>
      </c>
      <c r="AK941" s="246"/>
      <c r="AL941" s="43" t="str">
        <f t="shared" si="244"/>
        <v>-</v>
      </c>
      <c r="AM941" s="43">
        <f t="shared" si="232"/>
        <v>0</v>
      </c>
      <c r="AN941" s="193">
        <f t="shared" si="232"/>
        <v>0</v>
      </c>
      <c r="AO941" s="270" t="str">
        <f t="shared" si="233"/>
        <v>-</v>
      </c>
      <c r="AP941" s="266"/>
      <c r="AQ941" s="26" t="str">
        <f t="shared" si="240"/>
        <v>HOOTLA KOOTLA CREEKPink</v>
      </c>
      <c r="AR941" s="26">
        <f t="shared" si="234"/>
        <v>0</v>
      </c>
      <c r="AS941" s="33">
        <f t="shared" si="235"/>
        <v>0</v>
      </c>
      <c r="AX941" s="47" t="str">
        <f t="shared" si="236"/>
        <v>HOOTLA KOOTLA CREEKPink</v>
      </c>
      <c r="AY941" s="49">
        <f t="shared" si="237"/>
        <v>0</v>
      </c>
      <c r="AZ941" s="49">
        <f t="shared" si="238"/>
        <v>0</v>
      </c>
      <c r="BA941" s="31">
        <v>0</v>
      </c>
      <c r="BB941" s="188">
        <f t="shared" si="241"/>
        <v>0</v>
      </c>
      <c r="BC941" s="188" t="str">
        <f t="shared" si="245"/>
        <v xml:space="preserve"> </v>
      </c>
      <c r="BD941" s="188" t="str">
        <f t="shared" si="246"/>
        <v xml:space="preserve"> </v>
      </c>
      <c r="BE941" s="188" t="str">
        <f t="shared" si="247"/>
        <v xml:space="preserve"> </v>
      </c>
      <c r="BF941" s="50" t="str">
        <f t="shared" si="239"/>
        <v>HOOTLA KOOTLA CREEK_Pink</v>
      </c>
      <c r="BG941" s="50" t="str">
        <f>IFERROR(VLOOKUP(BF941,'[1]WCVI Esc'!$C$5:$W$514,18,FALSE),"-")</f>
        <v>-</v>
      </c>
      <c r="BH941" s="50" t="str">
        <f t="shared" si="242"/>
        <v>-</v>
      </c>
      <c r="BI941" s="50" t="str">
        <f>IFERROR(VLOOKUP(BF941,'[1]WCVI Esc'!$C$5:$W$514,19,FALSE),"-")</f>
        <v>-</v>
      </c>
      <c r="BJ941" s="50" t="str">
        <f t="shared" si="243"/>
        <v>-</v>
      </c>
    </row>
    <row r="942" spans="1:62" hidden="1" x14ac:dyDescent="0.2">
      <c r="A942" s="28">
        <v>4</v>
      </c>
      <c r="B942" s="28">
        <v>4</v>
      </c>
      <c r="C942" s="11">
        <v>24</v>
      </c>
      <c r="D942" s="13" t="s">
        <v>359</v>
      </c>
      <c r="E942" s="10" t="s">
        <v>122</v>
      </c>
      <c r="F942" s="10" t="s">
        <v>209</v>
      </c>
      <c r="G942" s="10"/>
      <c r="H942" s="152"/>
      <c r="I942" s="164"/>
      <c r="J942" s="62"/>
      <c r="K942" s="62"/>
      <c r="L942" s="177"/>
      <c r="M942" s="171"/>
      <c r="N942" s="62"/>
      <c r="O942" s="62"/>
      <c r="P942" s="62"/>
      <c r="Q942" s="64"/>
      <c r="R942" s="164"/>
      <c r="S942" s="62"/>
      <c r="T942" s="62"/>
      <c r="U942" s="62"/>
      <c r="V942" s="177"/>
      <c r="W942" s="171"/>
      <c r="X942" s="62"/>
      <c r="Y942" s="45"/>
      <c r="Z942" s="45"/>
      <c r="AA942" s="100"/>
      <c r="AB942" s="100"/>
      <c r="AC942" s="24"/>
      <c r="AD942" s="24"/>
      <c r="AE942" s="24"/>
      <c r="AF942" s="24"/>
      <c r="AG942" s="18">
        <v>24</v>
      </c>
      <c r="AH942" s="69" t="s">
        <v>359</v>
      </c>
      <c r="AI942" s="243" t="s">
        <v>122</v>
      </c>
      <c r="AJ942" s="243" t="s">
        <v>419</v>
      </c>
      <c r="AK942" s="246"/>
      <c r="AL942" s="43" t="str">
        <f t="shared" si="244"/>
        <v>-</v>
      </c>
      <c r="AM942" s="43">
        <f t="shared" si="232"/>
        <v>0</v>
      </c>
      <c r="AN942" s="193">
        <f t="shared" si="232"/>
        <v>0</v>
      </c>
      <c r="AO942" s="270" t="str">
        <f t="shared" si="233"/>
        <v>-</v>
      </c>
      <c r="AP942" s="266"/>
      <c r="AQ942" s="26" t="str">
        <f t="shared" si="240"/>
        <v>HOOTLA KOOTLA CREEKChum</v>
      </c>
      <c r="AR942" s="26">
        <f t="shared" si="234"/>
        <v>0</v>
      </c>
      <c r="AS942" s="33">
        <f t="shared" si="235"/>
        <v>0</v>
      </c>
      <c r="AX942" s="47" t="str">
        <f t="shared" si="236"/>
        <v>HOOTLA KOOTLA CREEKChum</v>
      </c>
      <c r="AY942" s="49">
        <f t="shared" si="237"/>
        <v>0</v>
      </c>
      <c r="AZ942" s="49">
        <f t="shared" si="238"/>
        <v>0</v>
      </c>
      <c r="BA942" s="31">
        <v>2001</v>
      </c>
      <c r="BB942" s="188">
        <f t="shared" si="241"/>
        <v>0</v>
      </c>
      <c r="BC942" s="188" t="str">
        <f t="shared" si="245"/>
        <v xml:space="preserve"> </v>
      </c>
      <c r="BD942" s="188" t="str">
        <f t="shared" si="246"/>
        <v xml:space="preserve"> </v>
      </c>
      <c r="BE942" s="188" t="str">
        <f t="shared" si="247"/>
        <v xml:space="preserve"> </v>
      </c>
      <c r="BF942" s="50" t="str">
        <f t="shared" si="239"/>
        <v>HOOTLA KOOTLA CREEK_Chum</v>
      </c>
      <c r="BG942" s="50" t="str">
        <f>IFERROR(VLOOKUP(BF942,'[1]WCVI Esc'!$C$5:$W$514,18,FALSE),"-")</f>
        <v>-</v>
      </c>
      <c r="BH942" s="50" t="str">
        <f t="shared" si="242"/>
        <v>-</v>
      </c>
      <c r="BI942" s="50" t="str">
        <f>IFERROR(VLOOKUP(BF942,'[1]WCVI Esc'!$C$5:$W$514,19,FALSE),"-")</f>
        <v>-</v>
      </c>
      <c r="BJ942" s="50" t="str">
        <f t="shared" si="243"/>
        <v>-</v>
      </c>
    </row>
    <row r="943" spans="1:62" hidden="1" x14ac:dyDescent="0.2">
      <c r="A943" s="28">
        <v>4</v>
      </c>
      <c r="B943" s="28">
        <v>5</v>
      </c>
      <c r="C943" s="11">
        <v>24</v>
      </c>
      <c r="D943" s="13" t="s">
        <v>359</v>
      </c>
      <c r="E943" s="10" t="s">
        <v>122</v>
      </c>
      <c r="F943" s="10" t="s">
        <v>210</v>
      </c>
      <c r="G943" s="10"/>
      <c r="H943" s="152"/>
      <c r="I943" s="164"/>
      <c r="J943" s="62"/>
      <c r="K943" s="62"/>
      <c r="L943" s="177"/>
      <c r="M943" s="171"/>
      <c r="N943" s="62"/>
      <c r="O943" s="62"/>
      <c r="P943" s="62"/>
      <c r="Q943" s="64"/>
      <c r="R943" s="164"/>
      <c r="S943" s="62"/>
      <c r="T943" s="62"/>
      <c r="U943" s="62"/>
      <c r="V943" s="177"/>
      <c r="W943" s="171"/>
      <c r="X943" s="62"/>
      <c r="Y943" s="45"/>
      <c r="Z943" s="45"/>
      <c r="AA943" s="100"/>
      <c r="AB943" s="100"/>
      <c r="AC943" s="24"/>
      <c r="AD943" s="24"/>
      <c r="AE943" s="24"/>
      <c r="AF943" s="24"/>
      <c r="AG943" s="18">
        <v>24</v>
      </c>
      <c r="AH943" s="69" t="s">
        <v>359</v>
      </c>
      <c r="AI943" s="243" t="s">
        <v>122</v>
      </c>
      <c r="AJ943" s="243" t="s">
        <v>419</v>
      </c>
      <c r="AK943" s="246"/>
      <c r="AL943" s="43" t="str">
        <f t="shared" si="244"/>
        <v>-</v>
      </c>
      <c r="AM943" s="43">
        <f t="shared" si="232"/>
        <v>0</v>
      </c>
      <c r="AN943" s="193">
        <f t="shared" si="232"/>
        <v>0</v>
      </c>
      <c r="AO943" s="270" t="str">
        <f t="shared" si="233"/>
        <v>-</v>
      </c>
      <c r="AP943" s="266"/>
      <c r="AQ943" s="26" t="str">
        <f t="shared" si="240"/>
        <v>HOOTLA KOOTLA CREEKChinook</v>
      </c>
      <c r="AR943" s="26">
        <f t="shared" si="234"/>
        <v>0</v>
      </c>
      <c r="AS943" s="33">
        <f t="shared" si="235"/>
        <v>0</v>
      </c>
      <c r="AX943" s="47" t="str">
        <f t="shared" si="236"/>
        <v>HOOTLA KOOTLA CREEKChinook</v>
      </c>
      <c r="AY943" s="49">
        <f t="shared" si="237"/>
        <v>0</v>
      </c>
      <c r="AZ943" s="49">
        <f t="shared" si="238"/>
        <v>0</v>
      </c>
      <c r="BA943" s="31">
        <v>0</v>
      </c>
      <c r="BB943" s="188">
        <f t="shared" si="241"/>
        <v>0</v>
      </c>
      <c r="BC943" s="188" t="str">
        <f t="shared" si="245"/>
        <v xml:space="preserve"> </v>
      </c>
      <c r="BD943" s="188" t="str">
        <f t="shared" si="246"/>
        <v xml:space="preserve"> </v>
      </c>
      <c r="BE943" s="188" t="str">
        <f t="shared" si="247"/>
        <v xml:space="preserve"> </v>
      </c>
      <c r="BF943" s="50" t="str">
        <f t="shared" si="239"/>
        <v>HOOTLA KOOTLA CREEK_Chinook</v>
      </c>
      <c r="BG943" s="50" t="str">
        <f>IFERROR(VLOOKUP(BF943,'[1]WCVI Esc'!$C$5:$W$514,18,FALSE),"-")</f>
        <v>-</v>
      </c>
      <c r="BH943" s="50" t="str">
        <f t="shared" si="242"/>
        <v>-</v>
      </c>
      <c r="BI943" s="50" t="str">
        <f>IFERROR(VLOOKUP(BF943,'[1]WCVI Esc'!$C$5:$W$514,19,FALSE),"-")</f>
        <v>-</v>
      </c>
      <c r="BJ943" s="50" t="str">
        <f t="shared" si="243"/>
        <v>-</v>
      </c>
    </row>
    <row r="944" spans="1:62" hidden="1" x14ac:dyDescent="0.2">
      <c r="A944" s="28">
        <v>4</v>
      </c>
      <c r="B944" s="28">
        <v>6</v>
      </c>
      <c r="C944" s="11">
        <v>24</v>
      </c>
      <c r="D944" s="13" t="s">
        <v>359</v>
      </c>
      <c r="E944" s="10" t="s">
        <v>122</v>
      </c>
      <c r="F944" s="10" t="s">
        <v>211</v>
      </c>
      <c r="G944" s="10"/>
      <c r="H944" s="152"/>
      <c r="I944" s="164"/>
      <c r="J944" s="62"/>
      <c r="K944" s="62"/>
      <c r="L944" s="177"/>
      <c r="M944" s="171"/>
      <c r="N944" s="62"/>
      <c r="O944" s="62"/>
      <c r="P944" s="62"/>
      <c r="Q944" s="64"/>
      <c r="R944" s="164"/>
      <c r="S944" s="62"/>
      <c r="T944" s="62"/>
      <c r="U944" s="62"/>
      <c r="V944" s="177"/>
      <c r="W944" s="171"/>
      <c r="X944" s="62"/>
      <c r="Y944" s="45"/>
      <c r="Z944" s="45"/>
      <c r="AA944" s="100"/>
      <c r="AB944" s="100"/>
      <c r="AC944" s="24"/>
      <c r="AD944" s="24"/>
      <c r="AE944" s="24"/>
      <c r="AF944" s="24"/>
      <c r="AG944" s="18">
        <v>24</v>
      </c>
      <c r="AH944" s="69" t="s">
        <v>359</v>
      </c>
      <c r="AI944" s="243" t="s">
        <v>122</v>
      </c>
      <c r="AJ944" s="243" t="s">
        <v>419</v>
      </c>
      <c r="AK944" s="246"/>
      <c r="AL944" s="43" t="str">
        <f t="shared" si="244"/>
        <v>-</v>
      </c>
      <c r="AM944" s="43">
        <f t="shared" si="232"/>
        <v>0</v>
      </c>
      <c r="AN944" s="193">
        <f t="shared" si="232"/>
        <v>0</v>
      </c>
      <c r="AO944" s="270" t="str">
        <f t="shared" si="233"/>
        <v>-</v>
      </c>
      <c r="AP944" s="266"/>
      <c r="AQ944" s="26" t="str">
        <f t="shared" si="240"/>
        <v>HOOTLA KOOTLA CREEKSteelhead</v>
      </c>
      <c r="AR944" s="26">
        <f t="shared" si="234"/>
        <v>0</v>
      </c>
      <c r="AS944" s="33">
        <f t="shared" si="235"/>
        <v>0</v>
      </c>
      <c r="AX944" s="47" t="str">
        <f t="shared" si="236"/>
        <v>HOOTLA KOOTLA CREEKSteelhead</v>
      </c>
      <c r="AY944" s="49">
        <f t="shared" si="237"/>
        <v>0</v>
      </c>
      <c r="AZ944" s="49">
        <f t="shared" si="238"/>
        <v>0</v>
      </c>
      <c r="BA944" s="31">
        <v>0</v>
      </c>
      <c r="BB944" s="188">
        <f t="shared" si="241"/>
        <v>0</v>
      </c>
      <c r="BC944" s="188" t="str">
        <f t="shared" si="245"/>
        <v xml:space="preserve"> </v>
      </c>
      <c r="BD944" s="188" t="str">
        <f t="shared" si="246"/>
        <v xml:space="preserve"> </v>
      </c>
      <c r="BE944" s="188" t="str">
        <f t="shared" si="247"/>
        <v xml:space="preserve"> </v>
      </c>
      <c r="BF944" s="50" t="str">
        <f t="shared" si="239"/>
        <v>HOOTLA KOOTLA CREEK_Steelhead</v>
      </c>
      <c r="BG944" s="50" t="str">
        <f>IFERROR(VLOOKUP(BF944,'[1]WCVI Esc'!$C$5:$W$514,18,FALSE),"-")</f>
        <v>-</v>
      </c>
      <c r="BH944" s="50" t="str">
        <f t="shared" si="242"/>
        <v>-</v>
      </c>
      <c r="BI944" s="50" t="str">
        <f>IFERROR(VLOOKUP(BF944,'[1]WCVI Esc'!$C$5:$W$514,19,FALSE),"-")</f>
        <v>-</v>
      </c>
      <c r="BJ944" s="50" t="str">
        <f t="shared" si="243"/>
        <v>-</v>
      </c>
    </row>
    <row r="945" spans="1:62" hidden="1" x14ac:dyDescent="0.2">
      <c r="A945" s="28">
        <v>4</v>
      </c>
      <c r="B945" s="28">
        <v>1</v>
      </c>
      <c r="C945" s="11">
        <v>24</v>
      </c>
      <c r="D945" s="13" t="s">
        <v>359</v>
      </c>
      <c r="E945" s="10" t="s">
        <v>251</v>
      </c>
      <c r="F945" s="10" t="s">
        <v>207</v>
      </c>
      <c r="G945" s="10"/>
      <c r="H945" s="152"/>
      <c r="I945" s="164"/>
      <c r="J945" s="62"/>
      <c r="K945" s="62"/>
      <c r="L945" s="177"/>
      <c r="M945" s="171"/>
      <c r="N945" s="62"/>
      <c r="O945" s="94"/>
      <c r="P945" s="62"/>
      <c r="Q945" s="64"/>
      <c r="R945" s="164"/>
      <c r="S945" s="62"/>
      <c r="T945" s="62"/>
      <c r="U945" s="62"/>
      <c r="V945" s="177"/>
      <c r="W945" s="171"/>
      <c r="X945" s="62"/>
      <c r="Y945" s="45"/>
      <c r="Z945" s="45"/>
      <c r="AA945" s="100"/>
      <c r="AB945" s="100"/>
      <c r="AC945" s="24"/>
      <c r="AD945" s="24"/>
      <c r="AE945" s="24"/>
      <c r="AF945" s="24"/>
      <c r="AG945" s="18">
        <v>24</v>
      </c>
      <c r="AH945" s="69" t="s">
        <v>359</v>
      </c>
      <c r="AI945" s="243" t="s">
        <v>251</v>
      </c>
      <c r="AJ945" s="243" t="s">
        <v>419</v>
      </c>
      <c r="AK945" s="246"/>
      <c r="AL945" s="43" t="str">
        <f t="shared" si="244"/>
        <v>-</v>
      </c>
      <c r="AM945" s="43">
        <f t="shared" si="232"/>
        <v>0</v>
      </c>
      <c r="AN945" s="193">
        <f t="shared" si="232"/>
        <v>0</v>
      </c>
      <c r="AO945" s="270" t="str">
        <f t="shared" si="233"/>
        <v>-</v>
      </c>
      <c r="AP945" s="266"/>
      <c r="AQ945" s="26" t="str">
        <f t="shared" si="240"/>
        <v>HOT SPRINGS COVE CREEK (Ahtaapq)Sockeye</v>
      </c>
      <c r="AR945" s="26">
        <f t="shared" si="234"/>
        <v>0</v>
      </c>
      <c r="AS945" s="33">
        <f t="shared" si="235"/>
        <v>0</v>
      </c>
      <c r="AX945" s="47" t="str">
        <f t="shared" si="236"/>
        <v>HOT SPRINGS COVE CREEK (Ahtaapq)Sockeye</v>
      </c>
      <c r="AY945" s="49">
        <f t="shared" si="237"/>
        <v>0</v>
      </c>
      <c r="AZ945" s="49">
        <f t="shared" si="238"/>
        <v>0</v>
      </c>
      <c r="BA945" s="31">
        <v>0</v>
      </c>
      <c r="BB945" s="188">
        <f t="shared" si="241"/>
        <v>0</v>
      </c>
      <c r="BC945" s="188" t="str">
        <f t="shared" si="245"/>
        <v xml:space="preserve"> </v>
      </c>
      <c r="BD945" s="188" t="str">
        <f t="shared" si="246"/>
        <v xml:space="preserve"> </v>
      </c>
      <c r="BE945" s="188" t="str">
        <f t="shared" si="247"/>
        <v xml:space="preserve"> </v>
      </c>
      <c r="BF945" s="50" t="str">
        <f t="shared" si="239"/>
        <v>HOT SPRINGS COVE CREEK (Ahtaapq)_Sockeye</v>
      </c>
      <c r="BG945" s="50" t="str">
        <f>IFERROR(VLOOKUP(BF945,'[1]WCVI Esc'!$C$5:$W$514,18,FALSE),"-")</f>
        <v>-</v>
      </c>
      <c r="BH945" s="50" t="str">
        <f t="shared" si="242"/>
        <v>-</v>
      </c>
      <c r="BI945" s="50" t="str">
        <f>IFERROR(VLOOKUP(BF945,'[1]WCVI Esc'!$C$5:$W$514,19,FALSE),"-")</f>
        <v>-</v>
      </c>
      <c r="BJ945" s="50" t="str">
        <f t="shared" si="243"/>
        <v>-</v>
      </c>
    </row>
    <row r="946" spans="1:62" hidden="1" x14ac:dyDescent="0.2">
      <c r="A946" s="28">
        <v>4</v>
      </c>
      <c r="B946" s="28">
        <v>2</v>
      </c>
      <c r="C946" s="11">
        <v>24</v>
      </c>
      <c r="D946" s="13" t="s">
        <v>359</v>
      </c>
      <c r="E946" s="10" t="s">
        <v>251</v>
      </c>
      <c r="F946" s="10" t="s">
        <v>219</v>
      </c>
      <c r="G946" s="10"/>
      <c r="H946" s="152"/>
      <c r="I946" s="164"/>
      <c r="J946" s="62"/>
      <c r="K946" s="62"/>
      <c r="L946" s="177"/>
      <c r="M946" s="171"/>
      <c r="N946" s="62"/>
      <c r="O946" s="94"/>
      <c r="P946" s="62"/>
      <c r="Q946" s="64"/>
      <c r="R946" s="164"/>
      <c r="S946" s="62"/>
      <c r="T946" s="62"/>
      <c r="U946" s="62"/>
      <c r="V946" s="177"/>
      <c r="W946" s="171"/>
      <c r="X946" s="62"/>
      <c r="Y946" s="45"/>
      <c r="Z946" s="45"/>
      <c r="AA946" s="100"/>
      <c r="AB946" s="100"/>
      <c r="AC946" s="24"/>
      <c r="AD946" s="24"/>
      <c r="AE946" s="24"/>
      <c r="AF946" s="24"/>
      <c r="AG946" s="18">
        <v>24</v>
      </c>
      <c r="AH946" s="69" t="s">
        <v>359</v>
      </c>
      <c r="AI946" s="243" t="s">
        <v>251</v>
      </c>
      <c r="AJ946" s="243" t="s">
        <v>419</v>
      </c>
      <c r="AK946" s="246"/>
      <c r="AL946" s="43" t="str">
        <f t="shared" si="244"/>
        <v>-</v>
      </c>
      <c r="AM946" s="43">
        <f t="shared" si="232"/>
        <v>0</v>
      </c>
      <c r="AN946" s="193">
        <f t="shared" si="232"/>
        <v>0</v>
      </c>
      <c r="AO946" s="270" t="str">
        <f t="shared" si="233"/>
        <v>-</v>
      </c>
      <c r="AP946" s="266"/>
      <c r="AQ946" s="26" t="str">
        <f t="shared" si="240"/>
        <v>HOT SPRINGS COVE CREEK (Ahtaapq)Coho</v>
      </c>
      <c r="AR946" s="26">
        <f t="shared" si="234"/>
        <v>0</v>
      </c>
      <c r="AS946" s="33">
        <f t="shared" si="235"/>
        <v>0</v>
      </c>
      <c r="AX946" s="47" t="str">
        <f t="shared" si="236"/>
        <v>HOT SPRINGS COVE CREEK (Ahtaapq)Coho</v>
      </c>
      <c r="AY946" s="49">
        <f t="shared" si="237"/>
        <v>0</v>
      </c>
      <c r="AZ946" s="49">
        <f t="shared" si="238"/>
        <v>0</v>
      </c>
      <c r="BA946" s="31">
        <v>2002</v>
      </c>
      <c r="BB946" s="188">
        <f t="shared" si="241"/>
        <v>0</v>
      </c>
      <c r="BC946" s="188" t="str">
        <f t="shared" si="245"/>
        <v xml:space="preserve"> </v>
      </c>
      <c r="BD946" s="188" t="str">
        <f t="shared" si="246"/>
        <v xml:space="preserve"> </v>
      </c>
      <c r="BE946" s="188" t="str">
        <f t="shared" si="247"/>
        <v xml:space="preserve"> </v>
      </c>
      <c r="BF946" s="50" t="str">
        <f t="shared" si="239"/>
        <v>HOT SPRINGS COVE CREEK (Ahtaapq)_Coho</v>
      </c>
      <c r="BG946" s="50" t="str">
        <f>IFERROR(VLOOKUP(BF946,'[1]WCVI Esc'!$C$5:$W$514,18,FALSE),"-")</f>
        <v>-</v>
      </c>
      <c r="BH946" s="50" t="str">
        <f t="shared" si="242"/>
        <v>-</v>
      </c>
      <c r="BI946" s="50" t="str">
        <f>IFERROR(VLOOKUP(BF946,'[1]WCVI Esc'!$C$5:$W$514,19,FALSE),"-")</f>
        <v>-</v>
      </c>
      <c r="BJ946" s="50" t="str">
        <f t="shared" si="243"/>
        <v>-</v>
      </c>
    </row>
    <row r="947" spans="1:62" hidden="1" x14ac:dyDescent="0.2">
      <c r="A947" s="28">
        <v>4</v>
      </c>
      <c r="B947" s="28">
        <v>3</v>
      </c>
      <c r="C947" s="11">
        <v>24</v>
      </c>
      <c r="D947" s="13" t="s">
        <v>359</v>
      </c>
      <c r="E947" s="10" t="s">
        <v>251</v>
      </c>
      <c r="F947" s="10" t="s">
        <v>208</v>
      </c>
      <c r="G947" s="10"/>
      <c r="H947" s="152"/>
      <c r="I947" s="164"/>
      <c r="J947" s="62"/>
      <c r="K947" s="62"/>
      <c r="L947" s="177"/>
      <c r="M947" s="171"/>
      <c r="N947" s="62"/>
      <c r="O947" s="94"/>
      <c r="P947" s="62"/>
      <c r="Q947" s="64"/>
      <c r="R947" s="164"/>
      <c r="S947" s="62"/>
      <c r="T947" s="62"/>
      <c r="U947" s="62"/>
      <c r="V947" s="177"/>
      <c r="W947" s="171"/>
      <c r="X947" s="62"/>
      <c r="Y947" s="45"/>
      <c r="Z947" s="45"/>
      <c r="AA947" s="100"/>
      <c r="AB947" s="100"/>
      <c r="AC947" s="24"/>
      <c r="AD947" s="24"/>
      <c r="AE947" s="24"/>
      <c r="AF947" s="24"/>
      <c r="AG947" s="18">
        <v>24</v>
      </c>
      <c r="AH947" s="69" t="s">
        <v>359</v>
      </c>
      <c r="AI947" s="243" t="s">
        <v>251</v>
      </c>
      <c r="AJ947" s="243" t="s">
        <v>419</v>
      </c>
      <c r="AK947" s="246"/>
      <c r="AL947" s="43" t="str">
        <f t="shared" si="244"/>
        <v>-</v>
      </c>
      <c r="AM947" s="43">
        <f t="shared" si="232"/>
        <v>0</v>
      </c>
      <c r="AN947" s="193">
        <f t="shared" si="232"/>
        <v>0</v>
      </c>
      <c r="AO947" s="270" t="str">
        <f t="shared" si="233"/>
        <v>-</v>
      </c>
      <c r="AP947" s="266"/>
      <c r="AQ947" s="26" t="str">
        <f t="shared" si="240"/>
        <v>HOT SPRINGS COVE CREEK (Ahtaapq)Pink</v>
      </c>
      <c r="AR947" s="26">
        <f t="shared" si="234"/>
        <v>0</v>
      </c>
      <c r="AS947" s="33">
        <f t="shared" si="235"/>
        <v>0</v>
      </c>
      <c r="AX947" s="47" t="str">
        <f t="shared" si="236"/>
        <v>HOT SPRINGS COVE CREEK (Ahtaapq)Pink</v>
      </c>
      <c r="AY947" s="49">
        <f t="shared" si="237"/>
        <v>0</v>
      </c>
      <c r="AZ947" s="49">
        <f t="shared" si="238"/>
        <v>0</v>
      </c>
      <c r="BA947" s="31">
        <v>0</v>
      </c>
      <c r="BB947" s="188">
        <f t="shared" si="241"/>
        <v>0</v>
      </c>
      <c r="BC947" s="188" t="str">
        <f t="shared" si="245"/>
        <v xml:space="preserve"> </v>
      </c>
      <c r="BD947" s="188" t="str">
        <f t="shared" si="246"/>
        <v xml:space="preserve"> </v>
      </c>
      <c r="BE947" s="188" t="str">
        <f t="shared" si="247"/>
        <v xml:space="preserve"> </v>
      </c>
      <c r="BF947" s="50" t="str">
        <f t="shared" si="239"/>
        <v>HOT SPRINGS COVE CREEK (Ahtaapq)_Pink</v>
      </c>
      <c r="BG947" s="50" t="str">
        <f>IFERROR(VLOOKUP(BF947,'[1]WCVI Esc'!$C$5:$W$514,18,FALSE),"-")</f>
        <v>-</v>
      </c>
      <c r="BH947" s="50" t="str">
        <f t="shared" si="242"/>
        <v>-</v>
      </c>
      <c r="BI947" s="50" t="str">
        <f>IFERROR(VLOOKUP(BF947,'[1]WCVI Esc'!$C$5:$W$514,19,FALSE),"-")</f>
        <v>-</v>
      </c>
      <c r="BJ947" s="50" t="str">
        <f t="shared" si="243"/>
        <v>-</v>
      </c>
    </row>
    <row r="948" spans="1:62" hidden="1" x14ac:dyDescent="0.2">
      <c r="A948" s="28">
        <v>4</v>
      </c>
      <c r="B948" s="28">
        <v>4</v>
      </c>
      <c r="C948" s="11">
        <v>24</v>
      </c>
      <c r="D948" s="13" t="s">
        <v>359</v>
      </c>
      <c r="E948" s="10" t="s">
        <v>251</v>
      </c>
      <c r="F948" s="10" t="s">
        <v>209</v>
      </c>
      <c r="G948" s="10"/>
      <c r="H948" s="152"/>
      <c r="I948" s="164"/>
      <c r="J948" s="62"/>
      <c r="K948" s="62"/>
      <c r="L948" s="177"/>
      <c r="M948" s="171"/>
      <c r="N948" s="62"/>
      <c r="O948" s="94"/>
      <c r="P948" s="62"/>
      <c r="Q948" s="64"/>
      <c r="R948" s="164"/>
      <c r="S948" s="62"/>
      <c r="T948" s="62"/>
      <c r="U948" s="62"/>
      <c r="V948" s="177"/>
      <c r="W948" s="171"/>
      <c r="X948" s="62"/>
      <c r="Y948" s="45"/>
      <c r="Z948" s="45"/>
      <c r="AA948" s="100"/>
      <c r="AB948" s="100"/>
      <c r="AC948" s="24"/>
      <c r="AD948" s="24"/>
      <c r="AE948" s="24"/>
      <c r="AF948" s="24"/>
      <c r="AG948" s="18">
        <v>24</v>
      </c>
      <c r="AH948" s="69" t="s">
        <v>359</v>
      </c>
      <c r="AI948" s="243" t="s">
        <v>251</v>
      </c>
      <c r="AJ948" s="243" t="s">
        <v>419</v>
      </c>
      <c r="AK948" s="246"/>
      <c r="AL948" s="43" t="str">
        <f t="shared" si="244"/>
        <v>-</v>
      </c>
      <c r="AM948" s="43">
        <f t="shared" si="232"/>
        <v>0</v>
      </c>
      <c r="AN948" s="193">
        <f t="shared" si="232"/>
        <v>0</v>
      </c>
      <c r="AO948" s="270" t="str">
        <f t="shared" si="233"/>
        <v>-</v>
      </c>
      <c r="AP948" s="266"/>
      <c r="AQ948" s="26" t="str">
        <f t="shared" si="240"/>
        <v>HOT SPRINGS COVE CREEK (Ahtaapq)Chum</v>
      </c>
      <c r="AR948" s="26">
        <f t="shared" si="234"/>
        <v>0</v>
      </c>
      <c r="AS948" s="33">
        <f t="shared" si="235"/>
        <v>0</v>
      </c>
      <c r="AX948" s="47" t="str">
        <f t="shared" si="236"/>
        <v>HOT SPRINGS COVE CREEK (Ahtaapq)Chum</v>
      </c>
      <c r="AY948" s="49">
        <f t="shared" si="237"/>
        <v>0</v>
      </c>
      <c r="AZ948" s="49">
        <f t="shared" si="238"/>
        <v>0</v>
      </c>
      <c r="BA948" s="31">
        <v>2014</v>
      </c>
      <c r="BB948" s="188">
        <f t="shared" si="241"/>
        <v>0</v>
      </c>
      <c r="BC948" s="188" t="str">
        <f t="shared" si="245"/>
        <v xml:space="preserve"> </v>
      </c>
      <c r="BD948" s="188" t="str">
        <f t="shared" si="246"/>
        <v xml:space="preserve"> </v>
      </c>
      <c r="BE948" s="188" t="str">
        <f t="shared" si="247"/>
        <v xml:space="preserve"> </v>
      </c>
      <c r="BF948" s="50" t="str">
        <f t="shared" si="239"/>
        <v>HOT SPRINGS COVE CREEK (Ahtaapq)_Chum</v>
      </c>
      <c r="BG948" s="50" t="str">
        <f>IFERROR(VLOOKUP(BF948,'[1]WCVI Esc'!$C$5:$W$514,18,FALSE),"-")</f>
        <v>-</v>
      </c>
      <c r="BH948" s="50" t="str">
        <f t="shared" si="242"/>
        <v>-</v>
      </c>
      <c r="BI948" s="50" t="str">
        <f>IFERROR(VLOOKUP(BF948,'[1]WCVI Esc'!$C$5:$W$514,19,FALSE),"-")</f>
        <v>-</v>
      </c>
      <c r="BJ948" s="50" t="str">
        <f t="shared" si="243"/>
        <v>-</v>
      </c>
    </row>
    <row r="949" spans="1:62" hidden="1" x14ac:dyDescent="0.2">
      <c r="A949" s="28">
        <v>4</v>
      </c>
      <c r="B949" s="28">
        <v>5</v>
      </c>
      <c r="C949" s="11">
        <v>24</v>
      </c>
      <c r="D949" s="13" t="s">
        <v>359</v>
      </c>
      <c r="E949" s="10" t="s">
        <v>251</v>
      </c>
      <c r="F949" s="10" t="s">
        <v>210</v>
      </c>
      <c r="G949" s="10"/>
      <c r="H949" s="152"/>
      <c r="I949" s="164"/>
      <c r="J949" s="62"/>
      <c r="K949" s="62"/>
      <c r="L949" s="177"/>
      <c r="M949" s="171"/>
      <c r="N949" s="62"/>
      <c r="O949" s="94"/>
      <c r="P949" s="62"/>
      <c r="Q949" s="64"/>
      <c r="R949" s="164"/>
      <c r="S949" s="62"/>
      <c r="T949" s="62"/>
      <c r="U949" s="62"/>
      <c r="V949" s="177"/>
      <c r="W949" s="171"/>
      <c r="X949" s="62"/>
      <c r="Y949" s="45"/>
      <c r="Z949" s="45"/>
      <c r="AA949" s="100"/>
      <c r="AB949" s="100"/>
      <c r="AC949" s="24"/>
      <c r="AD949" s="24"/>
      <c r="AE949" s="24"/>
      <c r="AF949" s="24"/>
      <c r="AG949" s="18">
        <v>24</v>
      </c>
      <c r="AH949" s="69" t="s">
        <v>359</v>
      </c>
      <c r="AI949" s="243" t="s">
        <v>251</v>
      </c>
      <c r="AJ949" s="243" t="s">
        <v>419</v>
      </c>
      <c r="AK949" s="246"/>
      <c r="AL949" s="43" t="str">
        <f t="shared" si="244"/>
        <v>-</v>
      </c>
      <c r="AM949" s="43">
        <f t="shared" si="232"/>
        <v>0</v>
      </c>
      <c r="AN949" s="193">
        <f t="shared" si="232"/>
        <v>0</v>
      </c>
      <c r="AO949" s="270" t="str">
        <f t="shared" si="233"/>
        <v>-</v>
      </c>
      <c r="AP949" s="266"/>
      <c r="AQ949" s="26" t="str">
        <f t="shared" si="240"/>
        <v>HOT SPRINGS COVE CREEK (Ahtaapq)Chinook</v>
      </c>
      <c r="AR949" s="26">
        <f t="shared" si="234"/>
        <v>0</v>
      </c>
      <c r="AS949" s="33">
        <f t="shared" si="235"/>
        <v>0</v>
      </c>
      <c r="AX949" s="47" t="str">
        <f t="shared" si="236"/>
        <v>HOT SPRINGS COVE CREEK (Ahtaapq)Chinook</v>
      </c>
      <c r="AY949" s="49">
        <f t="shared" si="237"/>
        <v>0</v>
      </c>
      <c r="AZ949" s="49">
        <f t="shared" si="238"/>
        <v>0</v>
      </c>
      <c r="BA949" s="31">
        <v>0</v>
      </c>
      <c r="BB949" s="188">
        <f t="shared" si="241"/>
        <v>0</v>
      </c>
      <c r="BC949" s="188" t="str">
        <f t="shared" si="245"/>
        <v xml:space="preserve"> </v>
      </c>
      <c r="BD949" s="188" t="str">
        <f t="shared" si="246"/>
        <v xml:space="preserve"> </v>
      </c>
      <c r="BE949" s="188" t="str">
        <f t="shared" si="247"/>
        <v xml:space="preserve"> </v>
      </c>
      <c r="BF949" s="50" t="str">
        <f t="shared" si="239"/>
        <v>HOT SPRINGS COVE CREEK (Ahtaapq)_Chinook</v>
      </c>
      <c r="BG949" s="50" t="str">
        <f>IFERROR(VLOOKUP(BF949,'[1]WCVI Esc'!$C$5:$W$514,18,FALSE),"-")</f>
        <v>-</v>
      </c>
      <c r="BH949" s="50" t="str">
        <f t="shared" si="242"/>
        <v>-</v>
      </c>
      <c r="BI949" s="50" t="str">
        <f>IFERROR(VLOOKUP(BF949,'[1]WCVI Esc'!$C$5:$W$514,19,FALSE),"-")</f>
        <v>-</v>
      </c>
      <c r="BJ949" s="50" t="str">
        <f t="shared" si="243"/>
        <v>-</v>
      </c>
    </row>
    <row r="950" spans="1:62" hidden="1" x14ac:dyDescent="0.2">
      <c r="A950" s="28">
        <v>4</v>
      </c>
      <c r="B950" s="28">
        <v>6</v>
      </c>
      <c r="C950" s="11">
        <v>24</v>
      </c>
      <c r="D950" s="13" t="s">
        <v>359</v>
      </c>
      <c r="E950" s="10" t="s">
        <v>251</v>
      </c>
      <c r="F950" s="10" t="s">
        <v>211</v>
      </c>
      <c r="G950" s="10"/>
      <c r="H950" s="152"/>
      <c r="I950" s="164"/>
      <c r="J950" s="62"/>
      <c r="K950" s="62"/>
      <c r="L950" s="177"/>
      <c r="M950" s="171"/>
      <c r="N950" s="62"/>
      <c r="O950" s="94"/>
      <c r="P950" s="62"/>
      <c r="Q950" s="64"/>
      <c r="R950" s="164"/>
      <c r="S950" s="62"/>
      <c r="T950" s="62"/>
      <c r="U950" s="62"/>
      <c r="V950" s="177"/>
      <c r="W950" s="171"/>
      <c r="X950" s="62"/>
      <c r="Y950" s="45"/>
      <c r="Z950" s="45"/>
      <c r="AA950" s="100"/>
      <c r="AB950" s="100"/>
      <c r="AC950" s="24"/>
      <c r="AD950" s="24"/>
      <c r="AE950" s="24"/>
      <c r="AF950" s="24"/>
      <c r="AG950" s="18">
        <v>24</v>
      </c>
      <c r="AH950" s="69" t="s">
        <v>359</v>
      </c>
      <c r="AI950" s="243" t="s">
        <v>251</v>
      </c>
      <c r="AJ950" s="243" t="s">
        <v>419</v>
      </c>
      <c r="AK950" s="246"/>
      <c r="AL950" s="43" t="str">
        <f t="shared" si="244"/>
        <v>-</v>
      </c>
      <c r="AM950" s="43">
        <f t="shared" si="232"/>
        <v>0</v>
      </c>
      <c r="AN950" s="193">
        <f t="shared" si="232"/>
        <v>0</v>
      </c>
      <c r="AO950" s="270" t="str">
        <f t="shared" si="233"/>
        <v>-</v>
      </c>
      <c r="AP950" s="266"/>
      <c r="AQ950" s="26" t="str">
        <f t="shared" si="240"/>
        <v>HOT SPRINGS COVE CREEK (Ahtaapq)Steelhead</v>
      </c>
      <c r="AR950" s="26">
        <f t="shared" si="234"/>
        <v>0</v>
      </c>
      <c r="AS950" s="33">
        <f t="shared" si="235"/>
        <v>0</v>
      </c>
      <c r="AX950" s="47" t="str">
        <f t="shared" si="236"/>
        <v>HOT SPRINGS COVE CREEK (Ahtaapq)Steelhead</v>
      </c>
      <c r="AY950" s="49">
        <f t="shared" si="237"/>
        <v>0</v>
      </c>
      <c r="AZ950" s="49">
        <f t="shared" si="238"/>
        <v>0</v>
      </c>
      <c r="BA950" s="31">
        <v>0</v>
      </c>
      <c r="BB950" s="188">
        <f t="shared" si="241"/>
        <v>0</v>
      </c>
      <c r="BC950" s="188" t="str">
        <f t="shared" si="245"/>
        <v xml:space="preserve"> </v>
      </c>
      <c r="BD950" s="188" t="str">
        <f t="shared" si="246"/>
        <v xml:space="preserve"> </v>
      </c>
      <c r="BE950" s="188" t="str">
        <f t="shared" si="247"/>
        <v xml:space="preserve"> </v>
      </c>
      <c r="BF950" s="50" t="str">
        <f t="shared" si="239"/>
        <v>HOT SPRINGS COVE CREEK (Ahtaapq)_Steelhead</v>
      </c>
      <c r="BG950" s="50" t="str">
        <f>IFERROR(VLOOKUP(BF950,'[1]WCVI Esc'!$C$5:$W$514,18,FALSE),"-")</f>
        <v>-</v>
      </c>
      <c r="BH950" s="50" t="str">
        <f t="shared" si="242"/>
        <v>-</v>
      </c>
      <c r="BI950" s="50" t="str">
        <f>IFERROR(VLOOKUP(BF950,'[1]WCVI Esc'!$C$5:$W$514,19,FALSE),"-")</f>
        <v>-</v>
      </c>
      <c r="BJ950" s="50" t="str">
        <f t="shared" si="243"/>
        <v>-</v>
      </c>
    </row>
    <row r="951" spans="1:62" hidden="1" x14ac:dyDescent="0.2">
      <c r="A951" s="28">
        <v>4</v>
      </c>
      <c r="B951" s="28">
        <v>1</v>
      </c>
      <c r="C951" s="11">
        <v>24</v>
      </c>
      <c r="D951" s="13" t="s">
        <v>297</v>
      </c>
      <c r="E951" s="10" t="s">
        <v>123</v>
      </c>
      <c r="F951" s="10" t="s">
        <v>207</v>
      </c>
      <c r="G951" s="10"/>
      <c r="H951" s="152"/>
      <c r="I951" s="164"/>
      <c r="J951" s="62"/>
      <c r="K951" s="62"/>
      <c r="L951" s="177"/>
      <c r="M951" s="171"/>
      <c r="N951" s="63"/>
      <c r="O951" s="62"/>
      <c r="P951" s="62"/>
      <c r="Q951" s="64"/>
      <c r="R951" s="164"/>
      <c r="S951" s="62"/>
      <c r="T951" s="62"/>
      <c r="U951" s="62"/>
      <c r="V951" s="177"/>
      <c r="W951" s="171"/>
      <c r="X951" s="62"/>
      <c r="Y951" s="45"/>
      <c r="Z951" s="45"/>
      <c r="AA951" s="100"/>
      <c r="AB951" s="100"/>
      <c r="AC951" s="24"/>
      <c r="AD951" s="24"/>
      <c r="AE951" s="24"/>
      <c r="AF951" s="24"/>
      <c r="AG951" s="18">
        <v>24</v>
      </c>
      <c r="AH951" s="69" t="s">
        <v>297</v>
      </c>
      <c r="AI951" s="243" t="s">
        <v>123</v>
      </c>
      <c r="AJ951" s="243" t="s">
        <v>419</v>
      </c>
      <c r="AK951" s="246"/>
      <c r="AL951" s="43" t="str">
        <f t="shared" si="244"/>
        <v>-</v>
      </c>
      <c r="AM951" s="43">
        <f t="shared" si="232"/>
        <v>0</v>
      </c>
      <c r="AN951" s="193">
        <f t="shared" si="232"/>
        <v>0</v>
      </c>
      <c r="AO951" s="270" t="str">
        <f t="shared" si="233"/>
        <v>-</v>
      </c>
      <c r="AP951" s="265" t="str">
        <f>BJ951</f>
        <v>-</v>
      </c>
      <c r="AQ951" s="26" t="str">
        <f t="shared" si="240"/>
        <v>ICE RIVERSockeye</v>
      </c>
      <c r="AR951" s="26">
        <f t="shared" si="234"/>
        <v>0</v>
      </c>
      <c r="AS951" s="33">
        <f t="shared" si="235"/>
        <v>0</v>
      </c>
      <c r="AX951" s="47" t="str">
        <f t="shared" si="236"/>
        <v>ICE RIVERSockeye</v>
      </c>
      <c r="AY951" s="49">
        <f t="shared" si="237"/>
        <v>0</v>
      </c>
      <c r="AZ951" s="49">
        <f t="shared" si="238"/>
        <v>0</v>
      </c>
      <c r="BA951" s="31">
        <v>2010</v>
      </c>
      <c r="BB951" s="188">
        <f t="shared" si="241"/>
        <v>0</v>
      </c>
      <c r="BC951" s="188" t="str">
        <f t="shared" si="245"/>
        <v xml:space="preserve"> </v>
      </c>
      <c r="BD951" s="188" t="str">
        <f t="shared" si="246"/>
        <v xml:space="preserve"> </v>
      </c>
      <c r="BE951" s="188" t="str">
        <f t="shared" si="247"/>
        <v xml:space="preserve"> </v>
      </c>
      <c r="BF951" s="50" t="str">
        <f t="shared" si="239"/>
        <v>ICE RIVER_Sockeye</v>
      </c>
      <c r="BG951" s="50" t="str">
        <f>IFERROR(VLOOKUP(BF951,'[1]WCVI Esc'!$C$5:$W$514,18,FALSE),"-")</f>
        <v>-</v>
      </c>
      <c r="BH951" s="50" t="str">
        <f t="shared" si="242"/>
        <v>-</v>
      </c>
      <c r="BI951" s="50" t="str">
        <f>IFERROR(VLOOKUP(BF951,'[1]WCVI Esc'!$C$5:$W$514,19,FALSE),"-")</f>
        <v>-</v>
      </c>
      <c r="BJ951" s="50" t="str">
        <f t="shared" si="243"/>
        <v>-</v>
      </c>
    </row>
    <row r="952" spans="1:62" hidden="1" x14ac:dyDescent="0.2">
      <c r="A952" s="28">
        <v>4</v>
      </c>
      <c r="B952" s="28">
        <v>2</v>
      </c>
      <c r="C952" s="11">
        <v>24</v>
      </c>
      <c r="D952" s="13" t="s">
        <v>297</v>
      </c>
      <c r="E952" s="10" t="s">
        <v>123</v>
      </c>
      <c r="F952" s="10" t="s">
        <v>219</v>
      </c>
      <c r="G952" s="10"/>
      <c r="H952" s="152"/>
      <c r="I952" s="164"/>
      <c r="J952" s="62"/>
      <c r="K952" s="62"/>
      <c r="L952" s="177"/>
      <c r="M952" s="171"/>
      <c r="N952" s="63"/>
      <c r="O952" s="62"/>
      <c r="P952" s="62"/>
      <c r="Q952" s="64"/>
      <c r="R952" s="164"/>
      <c r="S952" s="62"/>
      <c r="T952" s="62"/>
      <c r="U952" s="62"/>
      <c r="V952" s="177"/>
      <c r="W952" s="171"/>
      <c r="X952" s="62"/>
      <c r="Y952" s="45"/>
      <c r="Z952" s="45"/>
      <c r="AA952" s="100" t="e">
        <f>Y952/AP952</f>
        <v>#VALUE!</v>
      </c>
      <c r="AB952" s="100" t="e">
        <f>AS952/AP952</f>
        <v>#VALUE!</v>
      </c>
      <c r="AC952" s="24"/>
      <c r="AD952" s="24"/>
      <c r="AE952" s="24"/>
      <c r="AF952" s="24"/>
      <c r="AG952" s="18">
        <v>24</v>
      </c>
      <c r="AH952" s="69" t="s">
        <v>297</v>
      </c>
      <c r="AI952" s="243" t="s">
        <v>123</v>
      </c>
      <c r="AJ952" s="243" t="s">
        <v>419</v>
      </c>
      <c r="AK952" s="246"/>
      <c r="AL952" s="43" t="str">
        <f t="shared" si="244"/>
        <v>-</v>
      </c>
      <c r="AM952" s="43">
        <f t="shared" si="232"/>
        <v>0</v>
      </c>
      <c r="AN952" s="193">
        <f t="shared" si="232"/>
        <v>0</v>
      </c>
      <c r="AO952" s="270" t="str">
        <f t="shared" si="233"/>
        <v>-</v>
      </c>
      <c r="AP952" s="265" t="str">
        <f>BJ952</f>
        <v>-</v>
      </c>
      <c r="AQ952" s="26" t="str">
        <f t="shared" si="240"/>
        <v>ICE RIVERCoho</v>
      </c>
      <c r="AR952" s="26">
        <f t="shared" si="234"/>
        <v>0</v>
      </c>
      <c r="AS952" s="33">
        <f t="shared" si="235"/>
        <v>0</v>
      </c>
      <c r="AX952" s="47" t="str">
        <f t="shared" si="236"/>
        <v>ICE RIVERCoho</v>
      </c>
      <c r="AY952" s="49">
        <f t="shared" si="237"/>
        <v>0</v>
      </c>
      <c r="AZ952" s="49">
        <f t="shared" si="238"/>
        <v>0</v>
      </c>
      <c r="BA952" s="31">
        <v>2010</v>
      </c>
      <c r="BB952" s="188">
        <f t="shared" si="241"/>
        <v>0</v>
      </c>
      <c r="BC952" s="188" t="str">
        <f t="shared" si="245"/>
        <v xml:space="preserve"> </v>
      </c>
      <c r="BD952" s="188" t="str">
        <f t="shared" si="246"/>
        <v xml:space="preserve"> </v>
      </c>
      <c r="BE952" s="188" t="str">
        <f t="shared" si="247"/>
        <v xml:space="preserve"> </v>
      </c>
      <c r="BF952" s="50" t="str">
        <f t="shared" si="239"/>
        <v>ICE RIVER_Coho</v>
      </c>
      <c r="BG952" s="50" t="str">
        <f>IFERROR(VLOOKUP(BF952,'[1]WCVI Esc'!$C$5:$W$514,18,FALSE),"-")</f>
        <v>-</v>
      </c>
      <c r="BH952" s="50" t="str">
        <f t="shared" si="242"/>
        <v>-</v>
      </c>
      <c r="BI952" s="50" t="str">
        <f>IFERROR(VLOOKUP(BF952,'[1]WCVI Esc'!$C$5:$W$514,19,FALSE),"-")</f>
        <v>-</v>
      </c>
      <c r="BJ952" s="50" t="str">
        <f t="shared" si="243"/>
        <v>-</v>
      </c>
    </row>
    <row r="953" spans="1:62" hidden="1" x14ac:dyDescent="0.2">
      <c r="A953" s="28">
        <v>4</v>
      </c>
      <c r="B953" s="28">
        <v>3</v>
      </c>
      <c r="C953" s="11">
        <v>24</v>
      </c>
      <c r="D953" s="13" t="s">
        <v>297</v>
      </c>
      <c r="E953" s="10" t="s">
        <v>123</v>
      </c>
      <c r="F953" s="10" t="s">
        <v>208</v>
      </c>
      <c r="G953" s="10"/>
      <c r="H953" s="152"/>
      <c r="I953" s="164"/>
      <c r="J953" s="62"/>
      <c r="K953" s="62"/>
      <c r="L953" s="177"/>
      <c r="M953" s="171"/>
      <c r="N953" s="63"/>
      <c r="O953" s="62"/>
      <c r="P953" s="62"/>
      <c r="Q953" s="64"/>
      <c r="R953" s="164"/>
      <c r="S953" s="62"/>
      <c r="T953" s="62"/>
      <c r="U953" s="62"/>
      <c r="V953" s="177"/>
      <c r="W953" s="171"/>
      <c r="X953" s="62"/>
      <c r="Y953" s="45"/>
      <c r="Z953" s="45"/>
      <c r="AA953" s="100"/>
      <c r="AB953" s="100"/>
      <c r="AC953" s="24"/>
      <c r="AD953" s="24"/>
      <c r="AE953" s="24"/>
      <c r="AF953" s="24"/>
      <c r="AG953" s="18">
        <v>24</v>
      </c>
      <c r="AH953" s="69" t="s">
        <v>297</v>
      </c>
      <c r="AI953" s="243" t="s">
        <v>123</v>
      </c>
      <c r="AJ953" s="243" t="s">
        <v>419</v>
      </c>
      <c r="AK953" s="246"/>
      <c r="AL953" s="43" t="str">
        <f t="shared" si="244"/>
        <v>-</v>
      </c>
      <c r="AM953" s="43">
        <f t="shared" si="232"/>
        <v>0</v>
      </c>
      <c r="AN953" s="193">
        <f t="shared" si="232"/>
        <v>0</v>
      </c>
      <c r="AO953" s="270" t="str">
        <f t="shared" si="233"/>
        <v>-</v>
      </c>
      <c r="AP953" s="266"/>
      <c r="AQ953" s="26" t="str">
        <f t="shared" si="240"/>
        <v>ICE RIVERPink</v>
      </c>
      <c r="AR953" s="26">
        <f t="shared" si="234"/>
        <v>0</v>
      </c>
      <c r="AS953" s="33">
        <f t="shared" si="235"/>
        <v>0</v>
      </c>
      <c r="AX953" s="47" t="str">
        <f t="shared" si="236"/>
        <v>ICE RIVERPink</v>
      </c>
      <c r="AY953" s="49">
        <f t="shared" si="237"/>
        <v>0</v>
      </c>
      <c r="AZ953" s="49">
        <f t="shared" si="238"/>
        <v>0</v>
      </c>
      <c r="BA953" s="31">
        <v>0</v>
      </c>
      <c r="BB953" s="188">
        <f t="shared" si="241"/>
        <v>0</v>
      </c>
      <c r="BC953" s="188" t="str">
        <f t="shared" si="245"/>
        <v xml:space="preserve"> </v>
      </c>
      <c r="BD953" s="188" t="str">
        <f t="shared" si="246"/>
        <v xml:space="preserve"> </v>
      </c>
      <c r="BE953" s="188" t="str">
        <f t="shared" si="247"/>
        <v xml:space="preserve"> </v>
      </c>
      <c r="BF953" s="50" t="str">
        <f t="shared" si="239"/>
        <v>ICE RIVER_Pink</v>
      </c>
      <c r="BG953" s="50" t="str">
        <f>IFERROR(VLOOKUP(BF953,'[1]WCVI Esc'!$C$5:$W$514,18,FALSE),"-")</f>
        <v>-</v>
      </c>
      <c r="BH953" s="50" t="str">
        <f t="shared" si="242"/>
        <v>-</v>
      </c>
      <c r="BI953" s="50" t="str">
        <f>IFERROR(VLOOKUP(BF953,'[1]WCVI Esc'!$C$5:$W$514,19,FALSE),"-")</f>
        <v>-</v>
      </c>
      <c r="BJ953" s="50" t="str">
        <f t="shared" si="243"/>
        <v>-</v>
      </c>
    </row>
    <row r="954" spans="1:62" hidden="1" x14ac:dyDescent="0.2">
      <c r="A954" s="28">
        <v>4</v>
      </c>
      <c r="B954" s="28">
        <v>4</v>
      </c>
      <c r="C954" s="11">
        <v>24</v>
      </c>
      <c r="D954" s="13" t="s">
        <v>297</v>
      </c>
      <c r="E954" s="10" t="s">
        <v>123</v>
      </c>
      <c r="F954" s="10" t="s">
        <v>209</v>
      </c>
      <c r="G954" s="10"/>
      <c r="H954" s="152"/>
      <c r="I954" s="164"/>
      <c r="J954" s="62"/>
      <c r="K954" s="62"/>
      <c r="L954" s="177"/>
      <c r="M954" s="171"/>
      <c r="N954" s="63"/>
      <c r="O954" s="62"/>
      <c r="P954" s="62"/>
      <c r="Q954" s="64"/>
      <c r="R954" s="164"/>
      <c r="S954" s="62"/>
      <c r="T954" s="62"/>
      <c r="U954" s="62"/>
      <c r="V954" s="177"/>
      <c r="W954" s="171"/>
      <c r="X954" s="62"/>
      <c r="Y954" s="45"/>
      <c r="Z954" s="45"/>
      <c r="AA954" s="100" t="e">
        <f>Y954/AP954</f>
        <v>#VALUE!</v>
      </c>
      <c r="AB954" s="100" t="e">
        <f>AS954/AP954</f>
        <v>#VALUE!</v>
      </c>
      <c r="AC954" s="24"/>
      <c r="AD954" s="24"/>
      <c r="AE954" s="24"/>
      <c r="AF954" s="24"/>
      <c r="AG954" s="18">
        <v>24</v>
      </c>
      <c r="AH954" s="69" t="s">
        <v>297</v>
      </c>
      <c r="AI954" s="243" t="s">
        <v>123</v>
      </c>
      <c r="AJ954" s="243" t="s">
        <v>419</v>
      </c>
      <c r="AK954" s="246"/>
      <c r="AL954" s="43" t="str">
        <f t="shared" si="244"/>
        <v>-</v>
      </c>
      <c r="AM954" s="43">
        <f t="shared" si="232"/>
        <v>0</v>
      </c>
      <c r="AN954" s="193">
        <f t="shared" si="232"/>
        <v>0</v>
      </c>
      <c r="AO954" s="270" t="str">
        <f t="shared" si="233"/>
        <v>-</v>
      </c>
      <c r="AP954" s="265" t="str">
        <f>BJ954</f>
        <v>-</v>
      </c>
      <c r="AQ954" s="26" t="str">
        <f t="shared" si="240"/>
        <v>ICE RIVERChum</v>
      </c>
      <c r="AR954" s="26">
        <f t="shared" si="234"/>
        <v>0</v>
      </c>
      <c r="AS954" s="33">
        <f t="shared" si="235"/>
        <v>0</v>
      </c>
      <c r="AX954" s="47" t="str">
        <f t="shared" si="236"/>
        <v>ICE RIVERChum</v>
      </c>
      <c r="AY954" s="49">
        <f t="shared" si="237"/>
        <v>0</v>
      </c>
      <c r="AZ954" s="49">
        <f t="shared" si="238"/>
        <v>0</v>
      </c>
      <c r="BA954" s="31">
        <v>2010</v>
      </c>
      <c r="BB954" s="188">
        <f t="shared" si="241"/>
        <v>0</v>
      </c>
      <c r="BC954" s="188" t="str">
        <f t="shared" si="245"/>
        <v xml:space="preserve"> </v>
      </c>
      <c r="BD954" s="188" t="str">
        <f t="shared" si="246"/>
        <v xml:space="preserve"> </v>
      </c>
      <c r="BE954" s="188" t="str">
        <f t="shared" si="247"/>
        <v xml:space="preserve"> </v>
      </c>
      <c r="BF954" s="50" t="str">
        <f t="shared" si="239"/>
        <v>ICE RIVER_Chum</v>
      </c>
      <c r="BG954" s="50" t="str">
        <f>IFERROR(VLOOKUP(BF954,'[1]WCVI Esc'!$C$5:$W$514,18,FALSE),"-")</f>
        <v>-</v>
      </c>
      <c r="BH954" s="50" t="str">
        <f t="shared" si="242"/>
        <v>-</v>
      </c>
      <c r="BI954" s="50" t="str">
        <f>IFERROR(VLOOKUP(BF954,'[1]WCVI Esc'!$C$5:$W$514,19,FALSE),"-")</f>
        <v>-</v>
      </c>
      <c r="BJ954" s="50" t="str">
        <f t="shared" si="243"/>
        <v>-</v>
      </c>
    </row>
    <row r="955" spans="1:62" hidden="1" x14ac:dyDescent="0.2">
      <c r="A955" s="28">
        <v>4</v>
      </c>
      <c r="B955" s="28">
        <v>5</v>
      </c>
      <c r="C955" s="11">
        <v>24</v>
      </c>
      <c r="D955" s="13" t="s">
        <v>297</v>
      </c>
      <c r="E955" s="10" t="s">
        <v>123</v>
      </c>
      <c r="F955" s="10" t="s">
        <v>210</v>
      </c>
      <c r="G955" s="10"/>
      <c r="H955" s="152"/>
      <c r="I955" s="164"/>
      <c r="J955" s="62"/>
      <c r="K955" s="62"/>
      <c r="L955" s="177"/>
      <c r="M955" s="171"/>
      <c r="N955" s="63"/>
      <c r="O955" s="62"/>
      <c r="P955" s="62"/>
      <c r="Q955" s="64"/>
      <c r="R955" s="164"/>
      <c r="S955" s="62"/>
      <c r="T955" s="62"/>
      <c r="U955" s="62"/>
      <c r="V955" s="177"/>
      <c r="W955" s="171"/>
      <c r="X955" s="62"/>
      <c r="Y955" s="45"/>
      <c r="Z955" s="45"/>
      <c r="AA955" s="100" t="e">
        <f>Y955/AP955</f>
        <v>#VALUE!</v>
      </c>
      <c r="AB955" s="100" t="e">
        <f>AS955/AP955</f>
        <v>#VALUE!</v>
      </c>
      <c r="AC955" s="24"/>
      <c r="AD955" s="24"/>
      <c r="AE955" s="24"/>
      <c r="AF955" s="24"/>
      <c r="AG955" s="18">
        <v>24</v>
      </c>
      <c r="AH955" s="69" t="s">
        <v>297</v>
      </c>
      <c r="AI955" s="243" t="s">
        <v>123</v>
      </c>
      <c r="AJ955" s="243" t="s">
        <v>419</v>
      </c>
      <c r="AK955" s="246"/>
      <c r="AL955" s="43" t="str">
        <f t="shared" si="244"/>
        <v>-</v>
      </c>
      <c r="AM955" s="43">
        <f t="shared" si="232"/>
        <v>0</v>
      </c>
      <c r="AN955" s="193">
        <f t="shared" si="232"/>
        <v>0</v>
      </c>
      <c r="AO955" s="270" t="str">
        <f t="shared" si="233"/>
        <v>-</v>
      </c>
      <c r="AP955" s="265" t="str">
        <f>BJ955</f>
        <v>-</v>
      </c>
      <c r="AQ955" s="26" t="str">
        <f t="shared" si="240"/>
        <v>ICE RIVERChinook</v>
      </c>
      <c r="AR955" s="26">
        <f t="shared" si="234"/>
        <v>0</v>
      </c>
      <c r="AS955" s="33">
        <f t="shared" si="235"/>
        <v>0</v>
      </c>
      <c r="AX955" s="47" t="str">
        <f t="shared" si="236"/>
        <v>ICE RIVERChinook</v>
      </c>
      <c r="AY955" s="49">
        <f t="shared" si="237"/>
        <v>0</v>
      </c>
      <c r="AZ955" s="49">
        <f t="shared" si="238"/>
        <v>0</v>
      </c>
      <c r="BA955" s="31">
        <v>2010</v>
      </c>
      <c r="BB955" s="188">
        <f t="shared" si="241"/>
        <v>0</v>
      </c>
      <c r="BC955" s="188" t="str">
        <f t="shared" si="245"/>
        <v xml:space="preserve"> </v>
      </c>
      <c r="BD955" s="188" t="str">
        <f t="shared" si="246"/>
        <v xml:space="preserve"> </v>
      </c>
      <c r="BE955" s="188" t="str">
        <f t="shared" si="247"/>
        <v xml:space="preserve"> </v>
      </c>
      <c r="BF955" s="50" t="str">
        <f t="shared" si="239"/>
        <v>ICE RIVER_Chinook</v>
      </c>
      <c r="BG955" s="50" t="str">
        <f>IFERROR(VLOOKUP(BF955,'[1]WCVI Esc'!$C$5:$W$514,18,FALSE),"-")</f>
        <v>-</v>
      </c>
      <c r="BH955" s="50" t="str">
        <f t="shared" si="242"/>
        <v>-</v>
      </c>
      <c r="BI955" s="50" t="str">
        <f>IFERROR(VLOOKUP(BF955,'[1]WCVI Esc'!$C$5:$W$514,19,FALSE),"-")</f>
        <v>-</v>
      </c>
      <c r="BJ955" s="50" t="str">
        <f t="shared" si="243"/>
        <v>-</v>
      </c>
    </row>
    <row r="956" spans="1:62" hidden="1" x14ac:dyDescent="0.2">
      <c r="A956" s="28">
        <v>4</v>
      </c>
      <c r="B956" s="28">
        <v>6</v>
      </c>
      <c r="C956" s="11">
        <v>24</v>
      </c>
      <c r="D956" s="13" t="s">
        <v>297</v>
      </c>
      <c r="E956" s="10" t="s">
        <v>123</v>
      </c>
      <c r="F956" s="10" t="s">
        <v>211</v>
      </c>
      <c r="G956" s="10"/>
      <c r="H956" s="152"/>
      <c r="I956" s="164"/>
      <c r="J956" s="62"/>
      <c r="K956" s="62"/>
      <c r="L956" s="177"/>
      <c r="M956" s="171"/>
      <c r="N956" s="63"/>
      <c r="O956" s="62"/>
      <c r="P956" s="62"/>
      <c r="Q956" s="64"/>
      <c r="R956" s="164"/>
      <c r="S956" s="62"/>
      <c r="T956" s="62"/>
      <c r="U956" s="62"/>
      <c r="V956" s="177"/>
      <c r="W956" s="171"/>
      <c r="X956" s="62"/>
      <c r="Y956" s="45"/>
      <c r="Z956" s="45"/>
      <c r="AA956" s="100"/>
      <c r="AB956" s="100"/>
      <c r="AC956" s="24"/>
      <c r="AD956" s="24"/>
      <c r="AE956" s="24"/>
      <c r="AF956" s="24"/>
      <c r="AG956" s="18">
        <v>24</v>
      </c>
      <c r="AH956" s="69" t="s">
        <v>297</v>
      </c>
      <c r="AI956" s="243" t="s">
        <v>123</v>
      </c>
      <c r="AJ956" s="243" t="s">
        <v>419</v>
      </c>
      <c r="AK956" s="246"/>
      <c r="AL956" s="43" t="str">
        <f t="shared" si="244"/>
        <v>-</v>
      </c>
      <c r="AM956" s="43">
        <f t="shared" si="232"/>
        <v>0</v>
      </c>
      <c r="AN956" s="193">
        <f t="shared" si="232"/>
        <v>0</v>
      </c>
      <c r="AO956" s="270" t="str">
        <f t="shared" si="233"/>
        <v>-</v>
      </c>
      <c r="AP956" s="266"/>
      <c r="AQ956" s="26" t="str">
        <f t="shared" si="240"/>
        <v>ICE RIVERSteelhead</v>
      </c>
      <c r="AR956" s="26">
        <f t="shared" si="234"/>
        <v>0</v>
      </c>
      <c r="AS956" s="33">
        <f t="shared" si="235"/>
        <v>0</v>
      </c>
      <c r="AX956" s="47" t="str">
        <f t="shared" si="236"/>
        <v>ICE RIVERSteelhead</v>
      </c>
      <c r="AY956" s="49">
        <f t="shared" si="237"/>
        <v>0</v>
      </c>
      <c r="AZ956" s="49">
        <f t="shared" si="238"/>
        <v>0</v>
      </c>
      <c r="BA956" s="31">
        <v>0</v>
      </c>
      <c r="BB956" s="188">
        <f t="shared" si="241"/>
        <v>0</v>
      </c>
      <c r="BC956" s="188" t="str">
        <f t="shared" si="245"/>
        <v xml:space="preserve"> </v>
      </c>
      <c r="BD956" s="188" t="str">
        <f t="shared" si="246"/>
        <v xml:space="preserve"> </v>
      </c>
      <c r="BE956" s="188" t="str">
        <f t="shared" si="247"/>
        <v xml:space="preserve"> </v>
      </c>
      <c r="BF956" s="50" t="str">
        <f t="shared" si="239"/>
        <v>ICE RIVER_Steelhead</v>
      </c>
      <c r="BG956" s="50" t="str">
        <f>IFERROR(VLOOKUP(BF956,'[1]WCVI Esc'!$C$5:$W$514,18,FALSE),"-")</f>
        <v>-</v>
      </c>
      <c r="BH956" s="50" t="str">
        <f t="shared" si="242"/>
        <v>-</v>
      </c>
      <c r="BI956" s="50" t="str">
        <f>IFERROR(VLOOKUP(BF956,'[1]WCVI Esc'!$C$5:$W$514,19,FALSE),"-")</f>
        <v>-</v>
      </c>
      <c r="BJ956" s="50" t="str">
        <f t="shared" si="243"/>
        <v>-</v>
      </c>
    </row>
    <row r="957" spans="1:62" hidden="1" x14ac:dyDescent="0.2">
      <c r="A957" s="28">
        <v>4</v>
      </c>
      <c r="B957" s="28">
        <v>1</v>
      </c>
      <c r="C957" s="11">
        <v>24</v>
      </c>
      <c r="D957" s="13" t="s">
        <v>296</v>
      </c>
      <c r="E957" s="10" t="s">
        <v>243</v>
      </c>
      <c r="F957" s="10" t="s">
        <v>207</v>
      </c>
      <c r="G957" s="10"/>
      <c r="H957" s="152"/>
      <c r="I957" s="164"/>
      <c r="J957" s="62"/>
      <c r="K957" s="62"/>
      <c r="L957" s="177"/>
      <c r="M957" s="171"/>
      <c r="N957" s="62"/>
      <c r="O957" s="62"/>
      <c r="P957" s="62"/>
      <c r="Q957" s="64"/>
      <c r="R957" s="159"/>
      <c r="S957" s="62"/>
      <c r="T957" s="62"/>
      <c r="U957" s="62"/>
      <c r="V957" s="177"/>
      <c r="W957" s="171"/>
      <c r="X957" s="62"/>
      <c r="Y957" s="45"/>
      <c r="Z957" s="45"/>
      <c r="AA957" s="100">
        <f>Y957/AP957</f>
        <v>0</v>
      </c>
      <c r="AB957" s="100">
        <f>AS957/AP957</f>
        <v>0</v>
      </c>
      <c r="AC957" s="24"/>
      <c r="AD957" s="24"/>
      <c r="AE957" s="24"/>
      <c r="AF957" s="24"/>
      <c r="AG957" s="18">
        <v>24</v>
      </c>
      <c r="AH957" s="69" t="s">
        <v>296</v>
      </c>
      <c r="AI957" s="243" t="s">
        <v>243</v>
      </c>
      <c r="AJ957" s="243" t="s">
        <v>419</v>
      </c>
      <c r="AK957" s="246"/>
      <c r="AL957" s="43" t="str">
        <f t="shared" si="244"/>
        <v>-</v>
      </c>
      <c r="AM957" s="43">
        <f t="shared" si="232"/>
        <v>0</v>
      </c>
      <c r="AN957" s="193">
        <f t="shared" si="232"/>
        <v>0</v>
      </c>
      <c r="AO957" s="270">
        <f t="shared" si="233"/>
        <v>690</v>
      </c>
      <c r="AP957" s="265">
        <f>BJ957</f>
        <v>3330</v>
      </c>
      <c r="AQ957" s="26" t="str">
        <f t="shared" si="240"/>
        <v>KENNEDY LAKE BEACHESSockeye</v>
      </c>
      <c r="AR957" s="26">
        <f t="shared" si="234"/>
        <v>0</v>
      </c>
      <c r="AS957" s="33">
        <f t="shared" si="235"/>
        <v>0</v>
      </c>
      <c r="AX957" s="47" t="str">
        <f t="shared" si="236"/>
        <v>KENNEDY LAKE BEACHESSockeye</v>
      </c>
      <c r="AY957" s="49">
        <f t="shared" si="237"/>
        <v>0</v>
      </c>
      <c r="AZ957" s="49">
        <f t="shared" si="238"/>
        <v>0</v>
      </c>
      <c r="BA957" s="31">
        <v>2015</v>
      </c>
      <c r="BB957" s="188">
        <f t="shared" si="241"/>
        <v>0</v>
      </c>
      <c r="BC957" s="188" t="str">
        <f t="shared" si="245"/>
        <v xml:space="preserve"> </v>
      </c>
      <c r="BD957" s="188" t="str">
        <f t="shared" si="246"/>
        <v xml:space="preserve"> </v>
      </c>
      <c r="BE957" s="188" t="str">
        <f t="shared" si="247"/>
        <v xml:space="preserve"> </v>
      </c>
      <c r="BF957" s="50" t="str">
        <f t="shared" si="239"/>
        <v>KENNEDY LAKE BEACHES_Sockeye</v>
      </c>
      <c r="BG957" s="50">
        <f>IFERROR(VLOOKUP(BF957,'[1]WCVI Esc'!$C$5:$W$514,18,FALSE),"-")</f>
        <v>691.5</v>
      </c>
      <c r="BH957" s="50">
        <f t="shared" si="242"/>
        <v>690</v>
      </c>
      <c r="BI957" s="50">
        <f>IFERROR(VLOOKUP(BF957,'[1]WCVI Esc'!$C$5:$W$514,19,FALSE),"-")</f>
        <v>3330.1666666666665</v>
      </c>
      <c r="BJ957" s="50">
        <f t="shared" si="243"/>
        <v>3330</v>
      </c>
    </row>
    <row r="958" spans="1:62" hidden="1" x14ac:dyDescent="0.2">
      <c r="A958" s="28">
        <v>4</v>
      </c>
      <c r="B958" s="28">
        <v>2</v>
      </c>
      <c r="C958" s="11">
        <v>24</v>
      </c>
      <c r="D958" s="13" t="s">
        <v>296</v>
      </c>
      <c r="E958" s="10" t="s">
        <v>243</v>
      </c>
      <c r="F958" s="10" t="s">
        <v>219</v>
      </c>
      <c r="G958" s="10"/>
      <c r="H958" s="152"/>
      <c r="I958" s="164"/>
      <c r="J958" s="62"/>
      <c r="K958" s="62"/>
      <c r="L958" s="177"/>
      <c r="M958" s="171"/>
      <c r="N958" s="62"/>
      <c r="O958" s="62"/>
      <c r="P958" s="62"/>
      <c r="Q958" s="64"/>
      <c r="R958" s="159"/>
      <c r="S958" s="62"/>
      <c r="T958" s="62"/>
      <c r="U958" s="62"/>
      <c r="V958" s="177"/>
      <c r="W958" s="171"/>
      <c r="X958" s="62"/>
      <c r="Y958" s="45"/>
      <c r="Z958" s="45"/>
      <c r="AA958" s="100">
        <f>Y958/AP958</f>
        <v>0</v>
      </c>
      <c r="AB958" s="100">
        <f>AS958/AP958</f>
        <v>0</v>
      </c>
      <c r="AC958" s="24"/>
      <c r="AD958" s="24"/>
      <c r="AE958" s="24"/>
      <c r="AF958" s="24"/>
      <c r="AG958" s="18">
        <v>24</v>
      </c>
      <c r="AH958" s="69" t="s">
        <v>296</v>
      </c>
      <c r="AI958" s="243" t="s">
        <v>243</v>
      </c>
      <c r="AJ958" s="243" t="s">
        <v>419</v>
      </c>
      <c r="AK958" s="246"/>
      <c r="AL958" s="43" t="str">
        <f t="shared" si="244"/>
        <v>-</v>
      </c>
      <c r="AM958" s="43">
        <f t="shared" si="232"/>
        <v>0</v>
      </c>
      <c r="AN958" s="193">
        <f t="shared" si="232"/>
        <v>0</v>
      </c>
      <c r="AO958" s="270" t="str">
        <f t="shared" si="233"/>
        <v>-</v>
      </c>
      <c r="AP958" s="265">
        <f>BJ958</f>
        <v>220</v>
      </c>
      <c r="AQ958" s="26" t="str">
        <f t="shared" si="240"/>
        <v>KENNEDY LAKE BEACHESCoho</v>
      </c>
      <c r="AR958" s="26">
        <f t="shared" si="234"/>
        <v>0</v>
      </c>
      <c r="AS958" s="33">
        <f t="shared" si="235"/>
        <v>0</v>
      </c>
      <c r="AX958" s="47" t="str">
        <f t="shared" si="236"/>
        <v>KENNEDY LAKE BEACHESCoho</v>
      </c>
      <c r="AY958" s="49">
        <f t="shared" si="237"/>
        <v>0</v>
      </c>
      <c r="AZ958" s="49">
        <f t="shared" si="238"/>
        <v>0</v>
      </c>
      <c r="BA958" s="31">
        <v>2013</v>
      </c>
      <c r="BB958" s="188">
        <f t="shared" si="241"/>
        <v>0</v>
      </c>
      <c r="BC958" s="188" t="str">
        <f t="shared" si="245"/>
        <v xml:space="preserve"> </v>
      </c>
      <c r="BD958" s="188" t="str">
        <f t="shared" si="246"/>
        <v xml:space="preserve"> </v>
      </c>
      <c r="BE958" s="188" t="str">
        <f t="shared" si="247"/>
        <v xml:space="preserve"> </v>
      </c>
      <c r="BF958" s="50" t="str">
        <f t="shared" si="239"/>
        <v>KENNEDY LAKE BEACHES_Coho</v>
      </c>
      <c r="BG958" s="50" t="str">
        <f>IFERROR(VLOOKUP(BF958,'[1]WCVI Esc'!$C$5:$W$514,18,FALSE),"-")</f>
        <v>-</v>
      </c>
      <c r="BH958" s="50" t="str">
        <f t="shared" si="242"/>
        <v>-</v>
      </c>
      <c r="BI958" s="50">
        <f>IFERROR(VLOOKUP(BF958,'[1]WCVI Esc'!$C$5:$W$514,19,FALSE),"-")</f>
        <v>215</v>
      </c>
      <c r="BJ958" s="50">
        <f t="shared" si="243"/>
        <v>220</v>
      </c>
    </row>
    <row r="959" spans="1:62" hidden="1" x14ac:dyDescent="0.2">
      <c r="A959" s="28">
        <v>4</v>
      </c>
      <c r="B959" s="28">
        <v>3</v>
      </c>
      <c r="C959" s="11">
        <v>24</v>
      </c>
      <c r="D959" s="13" t="s">
        <v>296</v>
      </c>
      <c r="E959" s="10" t="s">
        <v>243</v>
      </c>
      <c r="F959" s="10" t="s">
        <v>208</v>
      </c>
      <c r="G959" s="10"/>
      <c r="H959" s="152"/>
      <c r="I959" s="164"/>
      <c r="J959" s="62"/>
      <c r="K959" s="62"/>
      <c r="L959" s="177"/>
      <c r="M959" s="171"/>
      <c r="N959" s="62"/>
      <c r="O959" s="62"/>
      <c r="P959" s="62"/>
      <c r="Q959" s="64"/>
      <c r="R959" s="159"/>
      <c r="S959" s="62"/>
      <c r="T959" s="62"/>
      <c r="U959" s="62"/>
      <c r="V959" s="177"/>
      <c r="W959" s="171"/>
      <c r="X959" s="62"/>
      <c r="Y959" s="45"/>
      <c r="Z959" s="45"/>
      <c r="AA959" s="100"/>
      <c r="AB959" s="100"/>
      <c r="AC959" s="24"/>
      <c r="AD959" s="24"/>
      <c r="AE959" s="24"/>
      <c r="AF959" s="24"/>
      <c r="AG959" s="18">
        <v>24</v>
      </c>
      <c r="AH959" s="69" t="s">
        <v>296</v>
      </c>
      <c r="AI959" s="243" t="s">
        <v>243</v>
      </c>
      <c r="AJ959" s="243" t="s">
        <v>419</v>
      </c>
      <c r="AK959" s="246"/>
      <c r="AL959" s="43" t="str">
        <f t="shared" si="244"/>
        <v>-</v>
      </c>
      <c r="AM959" s="43">
        <f t="shared" ref="AM959:AN1022" si="248">AR959</f>
        <v>0</v>
      </c>
      <c r="AN959" s="193">
        <f t="shared" si="248"/>
        <v>0</v>
      </c>
      <c r="AO959" s="270" t="str">
        <f t="shared" ref="AO959:AO1022" si="249">BH959</f>
        <v>-</v>
      </c>
      <c r="AP959" s="266"/>
      <c r="AQ959" s="26" t="str">
        <f t="shared" si="240"/>
        <v>KENNEDY LAKE BEACHESPink</v>
      </c>
      <c r="AR959" s="26">
        <f t="shared" ref="AR959:AR1022" si="250">COUNT(G959:X959)</f>
        <v>0</v>
      </c>
      <c r="AS959" s="33">
        <f t="shared" ref="AS959:AS1022" si="251">MAX(G959:X959)</f>
        <v>0</v>
      </c>
      <c r="AX959" s="47" t="str">
        <f t="shared" ref="AX959:AX1022" si="252">CONCATENATE(E959,F959)</f>
        <v>KENNEDY LAKE BEACHESPink</v>
      </c>
      <c r="AY959" s="49">
        <f t="shared" ref="AY959:AY1022" si="253">Z959</f>
        <v>0</v>
      </c>
      <c r="AZ959" s="49">
        <f t="shared" ref="AZ959:AZ1022" si="254">Y959</f>
        <v>0</v>
      </c>
      <c r="BA959" s="31">
        <v>0</v>
      </c>
      <c r="BB959" s="188">
        <f t="shared" si="241"/>
        <v>0</v>
      </c>
      <c r="BC959" s="188" t="str">
        <f t="shared" si="245"/>
        <v xml:space="preserve"> </v>
      </c>
      <c r="BD959" s="188" t="str">
        <f t="shared" si="246"/>
        <v xml:space="preserve"> </v>
      </c>
      <c r="BE959" s="188" t="str">
        <f t="shared" si="247"/>
        <v xml:space="preserve"> </v>
      </c>
      <c r="BF959" s="50" t="str">
        <f t="shared" ref="BF959:BF1022" si="255">CONCATENATE(E959,"_",F959)</f>
        <v>KENNEDY LAKE BEACHES_Pink</v>
      </c>
      <c r="BG959" s="50" t="str">
        <f>IFERROR(VLOOKUP(BF959,'[1]WCVI Esc'!$C$5:$W$514,18,FALSE),"-")</f>
        <v>-</v>
      </c>
      <c r="BH959" s="50" t="str">
        <f t="shared" si="242"/>
        <v>-</v>
      </c>
      <c r="BI959" s="50" t="str">
        <f>IFERROR(VLOOKUP(BF959,'[1]WCVI Esc'!$C$5:$W$514,19,FALSE),"-")</f>
        <v>-</v>
      </c>
      <c r="BJ959" s="50" t="str">
        <f t="shared" si="243"/>
        <v>-</v>
      </c>
    </row>
    <row r="960" spans="1:62" hidden="1" x14ac:dyDescent="0.2">
      <c r="A960" s="28">
        <v>4</v>
      </c>
      <c r="B960" s="28">
        <v>4</v>
      </c>
      <c r="C960" s="11">
        <v>24</v>
      </c>
      <c r="D960" s="13" t="s">
        <v>296</v>
      </c>
      <c r="E960" s="10" t="s">
        <v>243</v>
      </c>
      <c r="F960" s="10" t="s">
        <v>209</v>
      </c>
      <c r="G960" s="10"/>
      <c r="H960" s="152"/>
      <c r="I960" s="164"/>
      <c r="J960" s="62"/>
      <c r="K960" s="62"/>
      <c r="L960" s="177"/>
      <c r="M960" s="171"/>
      <c r="N960" s="62"/>
      <c r="O960" s="62"/>
      <c r="P960" s="62"/>
      <c r="Q960" s="64"/>
      <c r="R960" s="159"/>
      <c r="S960" s="62"/>
      <c r="T960" s="62"/>
      <c r="U960" s="62"/>
      <c r="V960" s="177"/>
      <c r="W960" s="171"/>
      <c r="X960" s="62"/>
      <c r="Y960" s="45"/>
      <c r="Z960" s="45"/>
      <c r="AA960" s="100" t="e">
        <f>Y960/AP960</f>
        <v>#VALUE!</v>
      </c>
      <c r="AB960" s="100" t="e">
        <f>AS960/AP960</f>
        <v>#VALUE!</v>
      </c>
      <c r="AC960" s="24"/>
      <c r="AD960" s="24"/>
      <c r="AE960" s="24"/>
      <c r="AF960" s="24"/>
      <c r="AG960" s="18">
        <v>24</v>
      </c>
      <c r="AH960" s="69" t="s">
        <v>296</v>
      </c>
      <c r="AI960" s="243" t="s">
        <v>243</v>
      </c>
      <c r="AJ960" s="243" t="s">
        <v>419</v>
      </c>
      <c r="AK960" s="246"/>
      <c r="AL960" s="43" t="str">
        <f t="shared" si="244"/>
        <v>-</v>
      </c>
      <c r="AM960" s="43">
        <f t="shared" si="248"/>
        <v>0</v>
      </c>
      <c r="AN960" s="193">
        <f t="shared" si="248"/>
        <v>0</v>
      </c>
      <c r="AO960" s="270" t="str">
        <f t="shared" si="249"/>
        <v>-</v>
      </c>
      <c r="AP960" s="265" t="str">
        <f>BJ960</f>
        <v>-</v>
      </c>
      <c r="AQ960" s="26" t="str">
        <f t="shared" si="240"/>
        <v>KENNEDY LAKE BEACHESChum</v>
      </c>
      <c r="AR960" s="26">
        <f t="shared" si="250"/>
        <v>0</v>
      </c>
      <c r="AS960" s="33">
        <f t="shared" si="251"/>
        <v>0</v>
      </c>
      <c r="AX960" s="47" t="str">
        <f t="shared" si="252"/>
        <v>KENNEDY LAKE BEACHESChum</v>
      </c>
      <c r="AY960" s="49">
        <f t="shared" si="253"/>
        <v>0</v>
      </c>
      <c r="AZ960" s="49">
        <f t="shared" si="254"/>
        <v>0</v>
      </c>
      <c r="BA960" s="31">
        <v>2011</v>
      </c>
      <c r="BB960" s="188">
        <f t="shared" si="241"/>
        <v>0</v>
      </c>
      <c r="BC960" s="188" t="str">
        <f t="shared" si="245"/>
        <v xml:space="preserve"> </v>
      </c>
      <c r="BD960" s="188" t="str">
        <f t="shared" si="246"/>
        <v xml:space="preserve"> </v>
      </c>
      <c r="BE960" s="188" t="str">
        <f t="shared" si="247"/>
        <v xml:space="preserve"> </v>
      </c>
      <c r="BF960" s="50" t="str">
        <f t="shared" si="255"/>
        <v>KENNEDY LAKE BEACHES_Chum</v>
      </c>
      <c r="BG960" s="50" t="str">
        <f>IFERROR(VLOOKUP(BF960,'[1]WCVI Esc'!$C$5:$W$514,18,FALSE),"-")</f>
        <v>-</v>
      </c>
      <c r="BH960" s="50" t="str">
        <f t="shared" si="242"/>
        <v>-</v>
      </c>
      <c r="BI960" s="50" t="str">
        <f>IFERROR(VLOOKUP(BF960,'[1]WCVI Esc'!$C$5:$W$514,19,FALSE),"-")</f>
        <v>-</v>
      </c>
      <c r="BJ960" s="50" t="str">
        <f t="shared" si="243"/>
        <v>-</v>
      </c>
    </row>
    <row r="961" spans="1:67" hidden="1" x14ac:dyDescent="0.2">
      <c r="A961" s="28">
        <v>4</v>
      </c>
      <c r="B961" s="28">
        <v>5</v>
      </c>
      <c r="C961" s="11">
        <v>24</v>
      </c>
      <c r="D961" s="13" t="s">
        <v>296</v>
      </c>
      <c r="E961" s="10" t="s">
        <v>243</v>
      </c>
      <c r="F961" s="10" t="s">
        <v>210</v>
      </c>
      <c r="G961" s="10"/>
      <c r="H961" s="152"/>
      <c r="I961" s="164"/>
      <c r="J961" s="62"/>
      <c r="K961" s="62"/>
      <c r="L961" s="177"/>
      <c r="M961" s="171"/>
      <c r="N961" s="62"/>
      <c r="O961" s="62"/>
      <c r="P961" s="62"/>
      <c r="Q961" s="64"/>
      <c r="R961" s="159"/>
      <c r="S961" s="62"/>
      <c r="T961" s="62"/>
      <c r="U961" s="62"/>
      <c r="V961" s="177"/>
      <c r="W961" s="171"/>
      <c r="X961" s="62"/>
      <c r="Y961" s="45"/>
      <c r="Z961" s="45"/>
      <c r="AA961" s="100"/>
      <c r="AB961" s="100"/>
      <c r="AC961" s="24"/>
      <c r="AD961" s="24"/>
      <c r="AE961" s="24"/>
      <c r="AF961" s="24"/>
      <c r="AG961" s="18">
        <v>24</v>
      </c>
      <c r="AH961" s="69" t="s">
        <v>296</v>
      </c>
      <c r="AI961" s="243" t="s">
        <v>243</v>
      </c>
      <c r="AJ961" s="243" t="s">
        <v>419</v>
      </c>
      <c r="AK961" s="246"/>
      <c r="AL961" s="43" t="str">
        <f t="shared" si="244"/>
        <v>-</v>
      </c>
      <c r="AM961" s="43">
        <f t="shared" si="248"/>
        <v>0</v>
      </c>
      <c r="AN961" s="193">
        <f t="shared" si="248"/>
        <v>0</v>
      </c>
      <c r="AO961" s="270" t="str">
        <f t="shared" si="249"/>
        <v>-</v>
      </c>
      <c r="AP961" s="266"/>
      <c r="AQ961" s="26" t="str">
        <f t="shared" si="240"/>
        <v>KENNEDY LAKE BEACHESChinook</v>
      </c>
      <c r="AR961" s="26">
        <f t="shared" si="250"/>
        <v>0</v>
      </c>
      <c r="AS961" s="33">
        <f t="shared" si="251"/>
        <v>0</v>
      </c>
      <c r="AX961" s="47" t="str">
        <f t="shared" si="252"/>
        <v>KENNEDY LAKE BEACHESChinook</v>
      </c>
      <c r="AY961" s="49">
        <f t="shared" si="253"/>
        <v>0</v>
      </c>
      <c r="AZ961" s="49">
        <f t="shared" si="254"/>
        <v>0</v>
      </c>
      <c r="BA961" s="31">
        <v>0</v>
      </c>
      <c r="BB961" s="188">
        <f t="shared" si="241"/>
        <v>0</v>
      </c>
      <c r="BC961" s="188" t="str">
        <f t="shared" si="245"/>
        <v xml:space="preserve"> </v>
      </c>
      <c r="BD961" s="188" t="str">
        <f t="shared" si="246"/>
        <v xml:space="preserve"> </v>
      </c>
      <c r="BE961" s="188" t="str">
        <f t="shared" si="247"/>
        <v xml:space="preserve"> </v>
      </c>
      <c r="BF961" s="50" t="str">
        <f t="shared" si="255"/>
        <v>KENNEDY LAKE BEACHES_Chinook</v>
      </c>
      <c r="BG961" s="50" t="str">
        <f>IFERROR(VLOOKUP(BF961,'[1]WCVI Esc'!$C$5:$W$514,18,FALSE),"-")</f>
        <v>-</v>
      </c>
      <c r="BH961" s="50" t="str">
        <f t="shared" si="242"/>
        <v>-</v>
      </c>
      <c r="BI961" s="50" t="str">
        <f>IFERROR(VLOOKUP(BF961,'[1]WCVI Esc'!$C$5:$W$514,19,FALSE),"-")</f>
        <v>-</v>
      </c>
      <c r="BJ961" s="50" t="str">
        <f t="shared" si="243"/>
        <v>-</v>
      </c>
      <c r="BK961">
        <v>1</v>
      </c>
      <c r="BL961" t="s">
        <v>289</v>
      </c>
      <c r="BO961" s="31">
        <v>1</v>
      </c>
    </row>
    <row r="962" spans="1:67" hidden="1" x14ac:dyDescent="0.2">
      <c r="A962" s="28">
        <v>4</v>
      </c>
      <c r="B962" s="28">
        <v>6</v>
      </c>
      <c r="C962" s="11">
        <v>24</v>
      </c>
      <c r="D962" s="13" t="s">
        <v>296</v>
      </c>
      <c r="E962" s="10" t="s">
        <v>243</v>
      </c>
      <c r="F962" s="10" t="s">
        <v>211</v>
      </c>
      <c r="G962" s="10"/>
      <c r="H962" s="152"/>
      <c r="I962" s="164"/>
      <c r="J962" s="62"/>
      <c r="K962" s="62"/>
      <c r="L962" s="177"/>
      <c r="M962" s="171"/>
      <c r="N962" s="62"/>
      <c r="O962" s="62"/>
      <c r="P962" s="62"/>
      <c r="Q962" s="64"/>
      <c r="R962" s="159"/>
      <c r="S962" s="62"/>
      <c r="T962" s="62"/>
      <c r="U962" s="62"/>
      <c r="V962" s="177"/>
      <c r="W962" s="171"/>
      <c r="X962" s="62"/>
      <c r="Y962" s="45"/>
      <c r="Z962" s="45"/>
      <c r="AA962" s="100"/>
      <c r="AB962" s="100"/>
      <c r="AC962" s="24"/>
      <c r="AD962" s="24"/>
      <c r="AE962" s="24"/>
      <c r="AF962" s="24"/>
      <c r="AG962" s="18">
        <v>24</v>
      </c>
      <c r="AH962" s="69" t="s">
        <v>296</v>
      </c>
      <c r="AI962" s="243" t="s">
        <v>243</v>
      </c>
      <c r="AJ962" s="243" t="s">
        <v>419</v>
      </c>
      <c r="AK962" s="246"/>
      <c r="AL962" s="43" t="str">
        <f t="shared" si="244"/>
        <v>-</v>
      </c>
      <c r="AM962" s="43">
        <f t="shared" si="248"/>
        <v>0</v>
      </c>
      <c r="AN962" s="193">
        <f t="shared" si="248"/>
        <v>0</v>
      </c>
      <c r="AO962" s="270" t="str">
        <f t="shared" si="249"/>
        <v>-</v>
      </c>
      <c r="AP962" s="266"/>
      <c r="AQ962" s="26" t="str">
        <f t="shared" si="240"/>
        <v>KENNEDY LAKE BEACHESSteelhead</v>
      </c>
      <c r="AR962" s="26">
        <f t="shared" si="250"/>
        <v>0</v>
      </c>
      <c r="AS962" s="33">
        <f t="shared" si="251"/>
        <v>0</v>
      </c>
      <c r="AX962" s="47" t="str">
        <f t="shared" si="252"/>
        <v>KENNEDY LAKE BEACHESSteelhead</v>
      </c>
      <c r="AY962" s="49">
        <f t="shared" si="253"/>
        <v>0</v>
      </c>
      <c r="AZ962" s="49">
        <f t="shared" si="254"/>
        <v>0</v>
      </c>
      <c r="BA962" s="31">
        <v>0</v>
      </c>
      <c r="BB962" s="188">
        <f t="shared" si="241"/>
        <v>0</v>
      </c>
      <c r="BC962" s="188" t="str">
        <f t="shared" si="245"/>
        <v xml:space="preserve"> </v>
      </c>
      <c r="BD962" s="188" t="str">
        <f t="shared" si="246"/>
        <v xml:space="preserve"> </v>
      </c>
      <c r="BE962" s="188" t="str">
        <f t="shared" si="247"/>
        <v xml:space="preserve"> </v>
      </c>
      <c r="BF962" s="50" t="str">
        <f t="shared" si="255"/>
        <v>KENNEDY LAKE BEACHES_Steelhead</v>
      </c>
      <c r="BG962" s="50" t="str">
        <f>IFERROR(VLOOKUP(BF962,'[1]WCVI Esc'!$C$5:$W$514,18,FALSE),"-")</f>
        <v>-</v>
      </c>
      <c r="BH962" s="50" t="str">
        <f t="shared" si="242"/>
        <v>-</v>
      </c>
      <c r="BI962" s="50" t="str">
        <f>IFERROR(VLOOKUP(BF962,'[1]WCVI Esc'!$C$5:$W$514,19,FALSE),"-")</f>
        <v>-</v>
      </c>
      <c r="BJ962" s="50" t="str">
        <f t="shared" si="243"/>
        <v>-</v>
      </c>
    </row>
    <row r="963" spans="1:67" hidden="1" x14ac:dyDescent="0.2">
      <c r="A963" s="28">
        <v>4</v>
      </c>
      <c r="B963" s="28">
        <v>1</v>
      </c>
      <c r="C963" s="11">
        <v>24</v>
      </c>
      <c r="D963" s="13" t="s">
        <v>296</v>
      </c>
      <c r="E963" s="10" t="s">
        <v>124</v>
      </c>
      <c r="F963" s="10" t="s">
        <v>207</v>
      </c>
      <c r="G963" s="10"/>
      <c r="H963" s="152"/>
      <c r="I963" s="164"/>
      <c r="J963" s="62"/>
      <c r="K963" s="62"/>
      <c r="L963" s="177"/>
      <c r="M963" s="171"/>
      <c r="N963" s="62"/>
      <c r="O963" s="62"/>
      <c r="P963" s="62"/>
      <c r="Q963" s="64"/>
      <c r="R963" s="164"/>
      <c r="S963" s="62"/>
      <c r="T963" s="62"/>
      <c r="U963" s="62"/>
      <c r="V963" s="177"/>
      <c r="W963" s="171"/>
      <c r="X963" s="62"/>
      <c r="Y963" s="45"/>
      <c r="Z963" s="45"/>
      <c r="AA963" s="100"/>
      <c r="AB963" s="100"/>
      <c r="AC963" s="24"/>
      <c r="AD963" s="24"/>
      <c r="AE963" s="24"/>
      <c r="AF963" s="24"/>
      <c r="AG963" s="18">
        <v>24</v>
      </c>
      <c r="AH963" s="69" t="s">
        <v>296</v>
      </c>
      <c r="AI963" s="243" t="s">
        <v>124</v>
      </c>
      <c r="AJ963" s="243" t="s">
        <v>419</v>
      </c>
      <c r="AK963" s="246"/>
      <c r="AL963" s="43" t="str">
        <f t="shared" si="244"/>
        <v>-</v>
      </c>
      <c r="AM963" s="43">
        <f t="shared" si="248"/>
        <v>0</v>
      </c>
      <c r="AN963" s="193">
        <f t="shared" si="248"/>
        <v>0</v>
      </c>
      <c r="AO963" s="270" t="str">
        <f t="shared" si="249"/>
        <v>-</v>
      </c>
      <c r="AP963" s="266"/>
      <c r="AQ963" s="26" t="str">
        <f t="shared" ref="AQ963:AQ1026" si="256">CONCATENATE(E963,F963)</f>
        <v>KENNEDY LAKE FEEDER STREAMSSockeye</v>
      </c>
      <c r="AR963" s="26">
        <f t="shared" si="250"/>
        <v>0</v>
      </c>
      <c r="AS963" s="33">
        <f t="shared" si="251"/>
        <v>0</v>
      </c>
      <c r="AX963" s="47" t="str">
        <f t="shared" si="252"/>
        <v>KENNEDY LAKE FEEDER STREAMSSockeye</v>
      </c>
      <c r="AY963" s="49">
        <f t="shared" si="253"/>
        <v>0</v>
      </c>
      <c r="AZ963" s="49">
        <f t="shared" si="254"/>
        <v>0</v>
      </c>
      <c r="BA963" s="31">
        <v>1987</v>
      </c>
      <c r="BB963" s="188">
        <f t="shared" si="241"/>
        <v>0</v>
      </c>
      <c r="BC963" s="188" t="str">
        <f t="shared" si="245"/>
        <v xml:space="preserve"> </v>
      </c>
      <c r="BD963" s="188" t="str">
        <f t="shared" si="246"/>
        <v xml:space="preserve"> </v>
      </c>
      <c r="BE963" s="188" t="str">
        <f t="shared" si="247"/>
        <v xml:space="preserve"> </v>
      </c>
      <c r="BF963" s="50" t="str">
        <f t="shared" si="255"/>
        <v>KENNEDY LAKE FEEDER STREAMS_Sockeye</v>
      </c>
      <c r="BG963" s="50" t="str">
        <f>IFERROR(VLOOKUP(BF963,'[1]WCVI Esc'!$C$5:$W$514,18,FALSE),"-")</f>
        <v>-</v>
      </c>
      <c r="BH963" s="50" t="str">
        <f t="shared" si="242"/>
        <v>-</v>
      </c>
      <c r="BI963" s="50" t="str">
        <f>IFERROR(VLOOKUP(BF963,'[1]WCVI Esc'!$C$5:$W$514,19,FALSE),"-")</f>
        <v>-</v>
      </c>
      <c r="BJ963" s="50" t="str">
        <f t="shared" si="243"/>
        <v>-</v>
      </c>
    </row>
    <row r="964" spans="1:67" hidden="1" x14ac:dyDescent="0.2">
      <c r="A964" s="28">
        <v>4</v>
      </c>
      <c r="B964" s="28">
        <v>2</v>
      </c>
      <c r="C964" s="11">
        <v>24</v>
      </c>
      <c r="D964" s="13" t="s">
        <v>296</v>
      </c>
      <c r="E964" s="10" t="s">
        <v>124</v>
      </c>
      <c r="F964" s="10" t="s">
        <v>219</v>
      </c>
      <c r="G964" s="10"/>
      <c r="H964" s="152"/>
      <c r="I964" s="164"/>
      <c r="J964" s="62"/>
      <c r="K964" s="62"/>
      <c r="L964" s="177"/>
      <c r="M964" s="171"/>
      <c r="N964" s="62"/>
      <c r="O964" s="62"/>
      <c r="P964" s="62"/>
      <c r="Q964" s="64"/>
      <c r="R964" s="164"/>
      <c r="S964" s="62"/>
      <c r="T964" s="62"/>
      <c r="U964" s="62"/>
      <c r="V964" s="177"/>
      <c r="W964" s="171"/>
      <c r="X964" s="62"/>
      <c r="Y964" s="45"/>
      <c r="Z964" s="45"/>
      <c r="AA964" s="100"/>
      <c r="AB964" s="100"/>
      <c r="AC964" s="24"/>
      <c r="AD964" s="24"/>
      <c r="AE964" s="24"/>
      <c r="AF964" s="24"/>
      <c r="AG964" s="18">
        <v>24</v>
      </c>
      <c r="AH964" s="69" t="s">
        <v>296</v>
      </c>
      <c r="AI964" s="243" t="s">
        <v>124</v>
      </c>
      <c r="AJ964" s="243" t="s">
        <v>419</v>
      </c>
      <c r="AK964" s="246"/>
      <c r="AL964" s="43" t="str">
        <f t="shared" si="244"/>
        <v>-</v>
      </c>
      <c r="AM964" s="43">
        <f t="shared" si="248"/>
        <v>0</v>
      </c>
      <c r="AN964" s="193">
        <f t="shared" si="248"/>
        <v>0</v>
      </c>
      <c r="AO964" s="270" t="str">
        <f t="shared" si="249"/>
        <v>-</v>
      </c>
      <c r="AP964" s="266"/>
      <c r="AQ964" s="26" t="str">
        <f t="shared" si="256"/>
        <v>KENNEDY LAKE FEEDER STREAMSCoho</v>
      </c>
      <c r="AR964" s="26">
        <f t="shared" si="250"/>
        <v>0</v>
      </c>
      <c r="AS964" s="33">
        <f t="shared" si="251"/>
        <v>0</v>
      </c>
      <c r="AX964" s="47" t="str">
        <f t="shared" si="252"/>
        <v>KENNEDY LAKE FEEDER STREAMSCoho</v>
      </c>
      <c r="AY964" s="49">
        <f t="shared" si="253"/>
        <v>0</v>
      </c>
      <c r="AZ964" s="49">
        <f t="shared" si="254"/>
        <v>0</v>
      </c>
      <c r="BA964" s="31">
        <v>2002</v>
      </c>
      <c r="BB964" s="188">
        <f t="shared" si="241"/>
        <v>0</v>
      </c>
      <c r="BC964" s="188" t="str">
        <f t="shared" si="245"/>
        <v xml:space="preserve"> </v>
      </c>
      <c r="BD964" s="188" t="str">
        <f t="shared" si="246"/>
        <v xml:space="preserve"> </v>
      </c>
      <c r="BE964" s="188" t="str">
        <f t="shared" si="247"/>
        <v xml:space="preserve"> </v>
      </c>
      <c r="BF964" s="50" t="str">
        <f t="shared" si="255"/>
        <v>KENNEDY LAKE FEEDER STREAMS_Coho</v>
      </c>
      <c r="BG964" s="50" t="str">
        <f>IFERROR(VLOOKUP(BF964,'[1]WCVI Esc'!$C$5:$W$514,18,FALSE),"-")</f>
        <v>-</v>
      </c>
      <c r="BH964" s="50" t="str">
        <f t="shared" si="242"/>
        <v>-</v>
      </c>
      <c r="BI964" s="50" t="str">
        <f>IFERROR(VLOOKUP(BF964,'[1]WCVI Esc'!$C$5:$W$514,19,FALSE),"-")</f>
        <v>-</v>
      </c>
      <c r="BJ964" s="50" t="str">
        <f t="shared" si="243"/>
        <v>-</v>
      </c>
    </row>
    <row r="965" spans="1:67" hidden="1" x14ac:dyDescent="0.2">
      <c r="A965" s="28">
        <v>4</v>
      </c>
      <c r="B965" s="28">
        <v>3</v>
      </c>
      <c r="C965" s="11">
        <v>24</v>
      </c>
      <c r="D965" s="13" t="s">
        <v>296</v>
      </c>
      <c r="E965" s="10" t="s">
        <v>124</v>
      </c>
      <c r="F965" s="10" t="s">
        <v>208</v>
      </c>
      <c r="G965" s="10"/>
      <c r="H965" s="152"/>
      <c r="I965" s="164"/>
      <c r="J965" s="62"/>
      <c r="K965" s="62"/>
      <c r="L965" s="177"/>
      <c r="M965" s="171"/>
      <c r="N965" s="62"/>
      <c r="O965" s="62"/>
      <c r="P965" s="62"/>
      <c r="Q965" s="64"/>
      <c r="R965" s="164"/>
      <c r="S965" s="62"/>
      <c r="T965" s="62"/>
      <c r="U965" s="62"/>
      <c r="V965" s="177"/>
      <c r="W965" s="171"/>
      <c r="X965" s="62"/>
      <c r="Y965" s="45"/>
      <c r="Z965" s="45"/>
      <c r="AA965" s="100"/>
      <c r="AB965" s="100"/>
      <c r="AC965" s="24"/>
      <c r="AD965" s="24"/>
      <c r="AE965" s="24"/>
      <c r="AF965" s="24"/>
      <c r="AG965" s="18">
        <v>24</v>
      </c>
      <c r="AH965" s="69" t="s">
        <v>296</v>
      </c>
      <c r="AI965" s="243" t="s">
        <v>124</v>
      </c>
      <c r="AJ965" s="243" t="s">
        <v>419</v>
      </c>
      <c r="AK965" s="246"/>
      <c r="AL965" s="43" t="str">
        <f t="shared" si="244"/>
        <v>-</v>
      </c>
      <c r="AM965" s="43">
        <f t="shared" si="248"/>
        <v>0</v>
      </c>
      <c r="AN965" s="193">
        <f t="shared" si="248"/>
        <v>0</v>
      </c>
      <c r="AO965" s="270" t="str">
        <f t="shared" si="249"/>
        <v>-</v>
      </c>
      <c r="AP965" s="266"/>
      <c r="AQ965" s="26" t="str">
        <f t="shared" si="256"/>
        <v>KENNEDY LAKE FEEDER STREAMSPink</v>
      </c>
      <c r="AR965" s="26">
        <f t="shared" si="250"/>
        <v>0</v>
      </c>
      <c r="AS965" s="33">
        <f t="shared" si="251"/>
        <v>0</v>
      </c>
      <c r="AX965" s="47" t="str">
        <f t="shared" si="252"/>
        <v>KENNEDY LAKE FEEDER STREAMSPink</v>
      </c>
      <c r="AY965" s="49">
        <f t="shared" si="253"/>
        <v>0</v>
      </c>
      <c r="AZ965" s="49">
        <f t="shared" si="254"/>
        <v>0</v>
      </c>
      <c r="BA965" s="31">
        <v>0</v>
      </c>
      <c r="BB965" s="188">
        <f t="shared" si="241"/>
        <v>0</v>
      </c>
      <c r="BC965" s="188" t="str">
        <f t="shared" si="245"/>
        <v xml:space="preserve"> </v>
      </c>
      <c r="BD965" s="188" t="str">
        <f t="shared" si="246"/>
        <v xml:space="preserve"> </v>
      </c>
      <c r="BE965" s="188" t="str">
        <f t="shared" si="247"/>
        <v xml:space="preserve"> </v>
      </c>
      <c r="BF965" s="50" t="str">
        <f t="shared" si="255"/>
        <v>KENNEDY LAKE FEEDER STREAMS_Pink</v>
      </c>
      <c r="BG965" s="50" t="str">
        <f>IFERROR(VLOOKUP(BF965,'[1]WCVI Esc'!$C$5:$W$514,18,FALSE),"-")</f>
        <v>-</v>
      </c>
      <c r="BH965" s="50" t="str">
        <f t="shared" si="242"/>
        <v>-</v>
      </c>
      <c r="BI965" s="50" t="str">
        <f>IFERROR(VLOOKUP(BF965,'[1]WCVI Esc'!$C$5:$W$514,19,FALSE),"-")</f>
        <v>-</v>
      </c>
      <c r="BJ965" s="50" t="str">
        <f t="shared" si="243"/>
        <v>-</v>
      </c>
    </row>
    <row r="966" spans="1:67" hidden="1" x14ac:dyDescent="0.2">
      <c r="A966" s="28">
        <v>4</v>
      </c>
      <c r="B966" s="28">
        <v>4</v>
      </c>
      <c r="C966" s="11">
        <v>24</v>
      </c>
      <c r="D966" s="13" t="s">
        <v>296</v>
      </c>
      <c r="E966" s="10" t="s">
        <v>124</v>
      </c>
      <c r="F966" s="10" t="s">
        <v>209</v>
      </c>
      <c r="G966" s="10"/>
      <c r="H966" s="152"/>
      <c r="I966" s="164"/>
      <c r="J966" s="62"/>
      <c r="K966" s="62"/>
      <c r="L966" s="177"/>
      <c r="M966" s="171"/>
      <c r="N966" s="62"/>
      <c r="O966" s="62"/>
      <c r="P966" s="62"/>
      <c r="Q966" s="64"/>
      <c r="R966" s="164"/>
      <c r="S966" s="62"/>
      <c r="T966" s="62"/>
      <c r="U966" s="62"/>
      <c r="V966" s="177"/>
      <c r="W966" s="171"/>
      <c r="X966" s="62"/>
      <c r="Y966" s="45"/>
      <c r="Z966" s="45"/>
      <c r="AA966" s="100"/>
      <c r="AB966" s="100"/>
      <c r="AC966" s="24"/>
      <c r="AD966" s="24"/>
      <c r="AE966" s="24"/>
      <c r="AF966" s="24"/>
      <c r="AG966" s="18">
        <v>24</v>
      </c>
      <c r="AH966" s="69" t="s">
        <v>296</v>
      </c>
      <c r="AI966" s="243" t="s">
        <v>124</v>
      </c>
      <c r="AJ966" s="243" t="s">
        <v>419</v>
      </c>
      <c r="AK966" s="246"/>
      <c r="AL966" s="43" t="str">
        <f t="shared" si="244"/>
        <v>-</v>
      </c>
      <c r="AM966" s="43">
        <f t="shared" si="248"/>
        <v>0</v>
      </c>
      <c r="AN966" s="193">
        <f t="shared" si="248"/>
        <v>0</v>
      </c>
      <c r="AO966" s="270" t="str">
        <f t="shared" si="249"/>
        <v>-</v>
      </c>
      <c r="AP966" s="266"/>
      <c r="AQ966" s="26" t="str">
        <f t="shared" si="256"/>
        <v>KENNEDY LAKE FEEDER STREAMSChum</v>
      </c>
      <c r="AR966" s="26">
        <f t="shared" si="250"/>
        <v>0</v>
      </c>
      <c r="AS966" s="33">
        <f t="shared" si="251"/>
        <v>0</v>
      </c>
      <c r="AX966" s="47" t="str">
        <f t="shared" si="252"/>
        <v>KENNEDY LAKE FEEDER STREAMSChum</v>
      </c>
      <c r="AY966" s="49">
        <f t="shared" si="253"/>
        <v>0</v>
      </c>
      <c r="AZ966" s="49">
        <f t="shared" si="254"/>
        <v>0</v>
      </c>
      <c r="BA966" s="31">
        <v>0</v>
      </c>
      <c r="BB966" s="188">
        <f t="shared" si="241"/>
        <v>0</v>
      </c>
      <c r="BC966" s="188" t="str">
        <f t="shared" si="245"/>
        <v xml:space="preserve"> </v>
      </c>
      <c r="BD966" s="188" t="str">
        <f t="shared" si="246"/>
        <v xml:space="preserve"> </v>
      </c>
      <c r="BE966" s="188" t="str">
        <f t="shared" si="247"/>
        <v xml:space="preserve"> </v>
      </c>
      <c r="BF966" s="50" t="str">
        <f t="shared" si="255"/>
        <v>KENNEDY LAKE FEEDER STREAMS_Chum</v>
      </c>
      <c r="BG966" s="50" t="str">
        <f>IFERROR(VLOOKUP(BF966,'[1]WCVI Esc'!$C$5:$W$514,18,FALSE),"-")</f>
        <v>-</v>
      </c>
      <c r="BH966" s="50" t="str">
        <f t="shared" si="242"/>
        <v>-</v>
      </c>
      <c r="BI966" s="50" t="str">
        <f>IFERROR(VLOOKUP(BF966,'[1]WCVI Esc'!$C$5:$W$514,19,FALSE),"-")</f>
        <v>-</v>
      </c>
      <c r="BJ966" s="50" t="str">
        <f t="shared" si="243"/>
        <v>-</v>
      </c>
    </row>
    <row r="967" spans="1:67" hidden="1" x14ac:dyDescent="0.2">
      <c r="A967" s="28">
        <v>4</v>
      </c>
      <c r="B967" s="28">
        <v>5</v>
      </c>
      <c r="C967" s="11">
        <v>24</v>
      </c>
      <c r="D967" s="13" t="s">
        <v>296</v>
      </c>
      <c r="E967" s="10" t="s">
        <v>124</v>
      </c>
      <c r="F967" s="10" t="s">
        <v>210</v>
      </c>
      <c r="G967" s="10"/>
      <c r="H967" s="152"/>
      <c r="I967" s="164"/>
      <c r="J967" s="62"/>
      <c r="K967" s="62"/>
      <c r="L967" s="177"/>
      <c r="M967" s="171"/>
      <c r="N967" s="62"/>
      <c r="O967" s="62"/>
      <c r="P967" s="62"/>
      <c r="Q967" s="64"/>
      <c r="R967" s="164"/>
      <c r="S967" s="62"/>
      <c r="T967" s="62"/>
      <c r="U967" s="62"/>
      <c r="V967" s="177"/>
      <c r="W967" s="171"/>
      <c r="X967" s="62"/>
      <c r="Y967" s="45"/>
      <c r="Z967" s="45"/>
      <c r="AA967" s="100"/>
      <c r="AB967" s="100"/>
      <c r="AC967" s="24"/>
      <c r="AD967" s="24"/>
      <c r="AE967" s="24"/>
      <c r="AF967" s="24"/>
      <c r="AG967" s="18">
        <v>24</v>
      </c>
      <c r="AH967" s="69" t="s">
        <v>296</v>
      </c>
      <c r="AI967" s="243" t="s">
        <v>124</v>
      </c>
      <c r="AJ967" s="243" t="s">
        <v>419</v>
      </c>
      <c r="AK967" s="246"/>
      <c r="AL967" s="43" t="str">
        <f t="shared" si="244"/>
        <v>-</v>
      </c>
      <c r="AM967" s="43">
        <f t="shared" si="248"/>
        <v>0</v>
      </c>
      <c r="AN967" s="193">
        <f t="shared" si="248"/>
        <v>0</v>
      </c>
      <c r="AO967" s="270" t="str">
        <f t="shared" si="249"/>
        <v>-</v>
      </c>
      <c r="AP967" s="266"/>
      <c r="AQ967" s="26" t="str">
        <f t="shared" si="256"/>
        <v>KENNEDY LAKE FEEDER STREAMSChinook</v>
      </c>
      <c r="AR967" s="26">
        <f t="shared" si="250"/>
        <v>0</v>
      </c>
      <c r="AS967" s="33">
        <f t="shared" si="251"/>
        <v>0</v>
      </c>
      <c r="AX967" s="47" t="str">
        <f t="shared" si="252"/>
        <v>KENNEDY LAKE FEEDER STREAMSChinook</v>
      </c>
      <c r="AY967" s="49">
        <f t="shared" si="253"/>
        <v>0</v>
      </c>
      <c r="AZ967" s="49">
        <f t="shared" si="254"/>
        <v>0</v>
      </c>
      <c r="BA967" s="31">
        <v>0</v>
      </c>
      <c r="BB967" s="188">
        <f t="shared" si="241"/>
        <v>0</v>
      </c>
      <c r="BC967" s="188" t="str">
        <f t="shared" si="245"/>
        <v xml:space="preserve"> </v>
      </c>
      <c r="BD967" s="188" t="str">
        <f t="shared" si="246"/>
        <v xml:space="preserve"> </v>
      </c>
      <c r="BE967" s="188" t="str">
        <f t="shared" si="247"/>
        <v xml:space="preserve"> </v>
      </c>
      <c r="BF967" s="50" t="str">
        <f t="shared" si="255"/>
        <v>KENNEDY LAKE FEEDER STREAMS_Chinook</v>
      </c>
      <c r="BG967" s="50" t="str">
        <f>IFERROR(VLOOKUP(BF967,'[1]WCVI Esc'!$C$5:$W$514,18,FALSE),"-")</f>
        <v>-</v>
      </c>
      <c r="BH967" s="50" t="str">
        <f t="shared" si="242"/>
        <v>-</v>
      </c>
      <c r="BI967" s="50" t="str">
        <f>IFERROR(VLOOKUP(BF967,'[1]WCVI Esc'!$C$5:$W$514,19,FALSE),"-")</f>
        <v>-</v>
      </c>
      <c r="BJ967" s="50" t="str">
        <f t="shared" si="243"/>
        <v>-</v>
      </c>
    </row>
    <row r="968" spans="1:67" hidden="1" x14ac:dyDescent="0.2">
      <c r="A968" s="28">
        <v>4</v>
      </c>
      <c r="B968" s="28">
        <v>6</v>
      </c>
      <c r="C968" s="11">
        <v>24</v>
      </c>
      <c r="D968" s="13" t="s">
        <v>296</v>
      </c>
      <c r="E968" s="10" t="s">
        <v>124</v>
      </c>
      <c r="F968" s="10" t="s">
        <v>211</v>
      </c>
      <c r="G968" s="10"/>
      <c r="H968" s="152"/>
      <c r="I968" s="164"/>
      <c r="J968" s="62"/>
      <c r="K968" s="62"/>
      <c r="L968" s="177"/>
      <c r="M968" s="171"/>
      <c r="N968" s="62"/>
      <c r="O968" s="62"/>
      <c r="P968" s="62"/>
      <c r="Q968" s="64"/>
      <c r="R968" s="164"/>
      <c r="S968" s="62"/>
      <c r="T968" s="62"/>
      <c r="U968" s="62"/>
      <c r="V968" s="177"/>
      <c r="W968" s="171"/>
      <c r="X968" s="62"/>
      <c r="Y968" s="45"/>
      <c r="Z968" s="45"/>
      <c r="AA968" s="100"/>
      <c r="AB968" s="100"/>
      <c r="AC968" s="24"/>
      <c r="AD968" s="24"/>
      <c r="AE968" s="24"/>
      <c r="AF968" s="24"/>
      <c r="AG968" s="18">
        <v>24</v>
      </c>
      <c r="AH968" s="69" t="s">
        <v>296</v>
      </c>
      <c r="AI968" s="243" t="s">
        <v>124</v>
      </c>
      <c r="AJ968" s="243" t="s">
        <v>419</v>
      </c>
      <c r="AK968" s="246"/>
      <c r="AL968" s="43" t="str">
        <f t="shared" si="244"/>
        <v>-</v>
      </c>
      <c r="AM968" s="43">
        <f t="shared" si="248"/>
        <v>0</v>
      </c>
      <c r="AN968" s="193">
        <f t="shared" si="248"/>
        <v>0</v>
      </c>
      <c r="AO968" s="270" t="str">
        <f t="shared" si="249"/>
        <v>-</v>
      </c>
      <c r="AP968" s="266"/>
      <c r="AQ968" s="26" t="str">
        <f t="shared" si="256"/>
        <v>KENNEDY LAKE FEEDER STREAMSSteelhead</v>
      </c>
      <c r="AR968" s="26">
        <f t="shared" si="250"/>
        <v>0</v>
      </c>
      <c r="AS968" s="33">
        <f t="shared" si="251"/>
        <v>0</v>
      </c>
      <c r="AX968" s="47" t="str">
        <f t="shared" si="252"/>
        <v>KENNEDY LAKE FEEDER STREAMSSteelhead</v>
      </c>
      <c r="AY968" s="49">
        <f t="shared" si="253"/>
        <v>0</v>
      </c>
      <c r="AZ968" s="49">
        <f t="shared" si="254"/>
        <v>0</v>
      </c>
      <c r="BA968" s="31">
        <v>0</v>
      </c>
      <c r="BB968" s="188">
        <f t="shared" si="241"/>
        <v>0</v>
      </c>
      <c r="BC968" s="188" t="str">
        <f t="shared" si="245"/>
        <v xml:space="preserve"> </v>
      </c>
      <c r="BD968" s="188" t="str">
        <f t="shared" si="246"/>
        <v xml:space="preserve"> </v>
      </c>
      <c r="BE968" s="188" t="str">
        <f t="shared" si="247"/>
        <v xml:space="preserve"> </v>
      </c>
      <c r="BF968" s="50" t="str">
        <f t="shared" si="255"/>
        <v>KENNEDY LAKE FEEDER STREAMS_Steelhead</v>
      </c>
      <c r="BG968" s="50" t="str">
        <f>IFERROR(VLOOKUP(BF968,'[1]WCVI Esc'!$C$5:$W$514,18,FALSE),"-")</f>
        <v>-</v>
      </c>
      <c r="BH968" s="50" t="str">
        <f t="shared" si="242"/>
        <v>-</v>
      </c>
      <c r="BI968" s="50" t="str">
        <f>IFERROR(VLOOKUP(BF968,'[1]WCVI Esc'!$C$5:$W$514,19,FALSE),"-")</f>
        <v>-</v>
      </c>
      <c r="BJ968" s="50" t="str">
        <f t="shared" si="243"/>
        <v>-</v>
      </c>
    </row>
    <row r="969" spans="1:67" hidden="1" x14ac:dyDescent="0.2">
      <c r="A969" s="28">
        <v>4</v>
      </c>
      <c r="B969" s="28">
        <v>1</v>
      </c>
      <c r="C969" s="11">
        <v>24</v>
      </c>
      <c r="D969" s="13" t="s">
        <v>296</v>
      </c>
      <c r="E969" s="10" t="s">
        <v>39</v>
      </c>
      <c r="F969" s="10" t="s">
        <v>207</v>
      </c>
      <c r="G969" s="10"/>
      <c r="H969" s="152"/>
      <c r="I969" s="164"/>
      <c r="J969" s="62"/>
      <c r="K969" s="62"/>
      <c r="L969" s="177"/>
      <c r="M969" s="171"/>
      <c r="N969" s="62"/>
      <c r="O969" s="62"/>
      <c r="P969" s="94"/>
      <c r="Q969" s="64"/>
      <c r="R969" s="164"/>
      <c r="S969" s="62"/>
      <c r="T969" s="62"/>
      <c r="U969" s="62"/>
      <c r="V969" s="177"/>
      <c r="W969" s="171"/>
      <c r="X969" s="62"/>
      <c r="Y969" s="45"/>
      <c r="Z969" s="45"/>
      <c r="AA969" s="100"/>
      <c r="AB969" s="100"/>
      <c r="AC969" s="24"/>
      <c r="AD969" s="24"/>
      <c r="AE969" s="24"/>
      <c r="AF969" s="24"/>
      <c r="AG969" s="18">
        <v>24</v>
      </c>
      <c r="AH969" s="69" t="s">
        <v>296</v>
      </c>
      <c r="AI969" s="243" t="s">
        <v>39</v>
      </c>
      <c r="AJ969" s="243" t="s">
        <v>419</v>
      </c>
      <c r="AK969" s="246"/>
      <c r="AL969" s="43" t="str">
        <f t="shared" si="244"/>
        <v>-</v>
      </c>
      <c r="AM969" s="43">
        <f t="shared" si="248"/>
        <v>0</v>
      </c>
      <c r="AN969" s="193">
        <f t="shared" si="248"/>
        <v>0</v>
      </c>
      <c r="AO969" s="270" t="str">
        <f t="shared" si="249"/>
        <v>-</v>
      </c>
      <c r="AP969" s="266"/>
      <c r="AQ969" s="26" t="str">
        <f t="shared" si="256"/>
        <v>KENNEDY RIVER (LOWER)Sockeye</v>
      </c>
      <c r="AR969" s="26">
        <f t="shared" si="250"/>
        <v>0</v>
      </c>
      <c r="AS969" s="33">
        <f t="shared" si="251"/>
        <v>0</v>
      </c>
      <c r="AX969" s="47" t="str">
        <f t="shared" si="252"/>
        <v>KENNEDY RIVER (LOWER)Sockeye</v>
      </c>
      <c r="AY969" s="49">
        <f t="shared" si="253"/>
        <v>0</v>
      </c>
      <c r="AZ969" s="49">
        <f t="shared" si="254"/>
        <v>0</v>
      </c>
      <c r="BA969" s="31">
        <v>1995</v>
      </c>
      <c r="BB969" s="188">
        <f t="shared" ref="BB969:BB1032" si="257">AK969</f>
        <v>0</v>
      </c>
      <c r="BC969" s="188" t="str">
        <f t="shared" si="245"/>
        <v xml:space="preserve"> </v>
      </c>
      <c r="BD969" s="188" t="str">
        <f t="shared" si="246"/>
        <v xml:space="preserve"> </v>
      </c>
      <c r="BE969" s="188" t="str">
        <f t="shared" si="247"/>
        <v xml:space="preserve"> </v>
      </c>
      <c r="BF969" s="50" t="str">
        <f t="shared" si="255"/>
        <v>KENNEDY RIVER (LOWER)_Sockeye</v>
      </c>
      <c r="BG969" s="50" t="str">
        <f>IFERROR(VLOOKUP(BF969,'[1]WCVI Esc'!$C$5:$W$514,18,FALSE),"-")</f>
        <v>-</v>
      </c>
      <c r="BH969" s="50" t="str">
        <f t="shared" ref="BH969:BH1032" si="258">IFERROR(ROUND(BG969,-1),"-")</f>
        <v>-</v>
      </c>
      <c r="BI969" s="50" t="str">
        <f>IFERROR(VLOOKUP(BF969,'[1]WCVI Esc'!$C$5:$W$514,19,FALSE),"-")</f>
        <v>-</v>
      </c>
      <c r="BJ969" s="50" t="str">
        <f t="shared" ref="BJ969:BJ1032" si="259">IFERROR(ROUND(BI969,-1),"-")</f>
        <v>-</v>
      </c>
    </row>
    <row r="970" spans="1:67" hidden="1" x14ac:dyDescent="0.2">
      <c r="A970" s="28">
        <v>4</v>
      </c>
      <c r="B970" s="28">
        <v>2</v>
      </c>
      <c r="C970" s="11">
        <v>24</v>
      </c>
      <c r="D970" s="13" t="s">
        <v>296</v>
      </c>
      <c r="E970" s="10" t="s">
        <v>39</v>
      </c>
      <c r="F970" s="10" t="s">
        <v>219</v>
      </c>
      <c r="G970" s="10"/>
      <c r="H970" s="152"/>
      <c r="I970" s="164"/>
      <c r="J970" s="62"/>
      <c r="K970" s="62"/>
      <c r="L970" s="177"/>
      <c r="M970" s="171"/>
      <c r="N970" s="62"/>
      <c r="O970" s="62"/>
      <c r="P970" s="94"/>
      <c r="Q970" s="64"/>
      <c r="R970" s="164"/>
      <c r="S970" s="62"/>
      <c r="T970" s="62"/>
      <c r="U970" s="62"/>
      <c r="V970" s="177"/>
      <c r="W970" s="171"/>
      <c r="X970" s="62"/>
      <c r="Y970" s="45"/>
      <c r="Z970" s="45"/>
      <c r="AA970" s="100"/>
      <c r="AB970" s="100"/>
      <c r="AC970" s="24"/>
      <c r="AD970" s="24"/>
      <c r="AE970" s="24"/>
      <c r="AF970" s="24"/>
      <c r="AG970" s="18">
        <v>24</v>
      </c>
      <c r="AH970" s="69" t="s">
        <v>296</v>
      </c>
      <c r="AI970" s="243" t="s">
        <v>39</v>
      </c>
      <c r="AJ970" s="243" t="s">
        <v>419</v>
      </c>
      <c r="AK970" s="246"/>
      <c r="AL970" s="43" t="str">
        <f t="shared" ref="AL970:AL1033" si="260">IF(BE970=" ",IF(BD970=" ", IF(BC970=" ","-",BC970),BD970), BE970)</f>
        <v>-</v>
      </c>
      <c r="AM970" s="43">
        <f t="shared" si="248"/>
        <v>0</v>
      </c>
      <c r="AN970" s="193">
        <f t="shared" si="248"/>
        <v>0</v>
      </c>
      <c r="AO970" s="270" t="str">
        <f t="shared" si="249"/>
        <v>-</v>
      </c>
      <c r="AP970" s="266"/>
      <c r="AQ970" s="26" t="str">
        <f t="shared" si="256"/>
        <v>KENNEDY RIVER (LOWER)Coho</v>
      </c>
      <c r="AR970" s="26">
        <f t="shared" si="250"/>
        <v>0</v>
      </c>
      <c r="AS970" s="33">
        <f t="shared" si="251"/>
        <v>0</v>
      </c>
      <c r="AX970" s="47" t="str">
        <f t="shared" si="252"/>
        <v>KENNEDY RIVER (LOWER)Coho</v>
      </c>
      <c r="AY970" s="49">
        <f t="shared" si="253"/>
        <v>0</v>
      </c>
      <c r="AZ970" s="49">
        <f t="shared" si="254"/>
        <v>0</v>
      </c>
      <c r="BA970" s="31">
        <v>1995</v>
      </c>
      <c r="BB970" s="188">
        <f t="shared" si="257"/>
        <v>0</v>
      </c>
      <c r="BC970" s="188" t="str">
        <f t="shared" ref="BC970:BC1033" si="261">IF(ISNUMBER(M970),M$8,IF(ISNUMBER(L970),L$8,IF(ISNUMBER(K970),K$8,IF(ISNUMBER(J970),J$8,IF(ISNUMBER(I970),I$8,IF(ISNUMBER(H970),H$8, IF(ISNUMBER(G970),G$8," ")))))))</f>
        <v xml:space="preserve"> </v>
      </c>
      <c r="BD970" s="188" t="str">
        <f t="shared" ref="BD970:BD1033" si="262">IF(ISNUMBER(S970),S$8,IF(ISNUMBER(R970),R$8,IF(ISNUMBER(Q970),Q$8,IF(ISNUMBER(P970),P$8,IF(ISNUMBER(O970),O$8,IF(ISNUMBER(N970),N$8," "))))))</f>
        <v xml:space="preserve"> </v>
      </c>
      <c r="BE970" s="188" t="str">
        <f t="shared" ref="BE970:BE1033" si="263">IF(ISNUMBER(X970),X$8,IF(ISNUMBER(W970),W$8,IF(ISNUMBER(V970),V$8,IF(ISNUMBER(U970),U$8,IF(ISNUMBER(T970),T$8," ")))))</f>
        <v xml:space="preserve"> </v>
      </c>
      <c r="BF970" s="50" t="str">
        <f t="shared" si="255"/>
        <v>KENNEDY RIVER (LOWER)_Coho</v>
      </c>
      <c r="BG970" s="50" t="str">
        <f>IFERROR(VLOOKUP(BF970,'[1]WCVI Esc'!$C$5:$W$514,18,FALSE),"-")</f>
        <v>-</v>
      </c>
      <c r="BH970" s="50" t="str">
        <f t="shared" si="258"/>
        <v>-</v>
      </c>
      <c r="BI970" s="50" t="str">
        <f>IFERROR(VLOOKUP(BF970,'[1]WCVI Esc'!$C$5:$W$514,19,FALSE),"-")</f>
        <v>-</v>
      </c>
      <c r="BJ970" s="50" t="str">
        <f t="shared" si="259"/>
        <v>-</v>
      </c>
    </row>
    <row r="971" spans="1:67" hidden="1" x14ac:dyDescent="0.2">
      <c r="A971" s="28">
        <v>4</v>
      </c>
      <c r="B971" s="28">
        <v>3</v>
      </c>
      <c r="C971" s="11">
        <v>24</v>
      </c>
      <c r="D971" s="13" t="s">
        <v>296</v>
      </c>
      <c r="E971" s="10" t="s">
        <v>39</v>
      </c>
      <c r="F971" s="10" t="s">
        <v>208</v>
      </c>
      <c r="G971" s="10"/>
      <c r="H971" s="152"/>
      <c r="I971" s="164"/>
      <c r="J971" s="62"/>
      <c r="K971" s="62"/>
      <c r="L971" s="177"/>
      <c r="M971" s="171"/>
      <c r="N971" s="62"/>
      <c r="O971" s="62"/>
      <c r="P971" s="94"/>
      <c r="Q971" s="64"/>
      <c r="R971" s="164"/>
      <c r="S971" s="62"/>
      <c r="T971" s="62"/>
      <c r="U971" s="62"/>
      <c r="V971" s="177"/>
      <c r="W971" s="171"/>
      <c r="X971" s="62"/>
      <c r="Y971" s="45"/>
      <c r="Z971" s="45"/>
      <c r="AA971" s="100"/>
      <c r="AB971" s="100"/>
      <c r="AC971" s="24"/>
      <c r="AD971" s="24"/>
      <c r="AE971" s="24"/>
      <c r="AF971" s="24"/>
      <c r="AG971" s="18">
        <v>24</v>
      </c>
      <c r="AH971" s="69" t="s">
        <v>296</v>
      </c>
      <c r="AI971" s="243" t="s">
        <v>39</v>
      </c>
      <c r="AJ971" s="243" t="s">
        <v>419</v>
      </c>
      <c r="AK971" s="246"/>
      <c r="AL971" s="43" t="str">
        <f t="shared" si="260"/>
        <v>-</v>
      </c>
      <c r="AM971" s="43">
        <f t="shared" si="248"/>
        <v>0</v>
      </c>
      <c r="AN971" s="193">
        <f t="shared" si="248"/>
        <v>0</v>
      </c>
      <c r="AO971" s="270" t="str">
        <f t="shared" si="249"/>
        <v>-</v>
      </c>
      <c r="AP971" s="266"/>
      <c r="AQ971" s="26" t="str">
        <f t="shared" si="256"/>
        <v>KENNEDY RIVER (LOWER)Pink</v>
      </c>
      <c r="AR971" s="26">
        <f t="shared" si="250"/>
        <v>0</v>
      </c>
      <c r="AS971" s="33">
        <f t="shared" si="251"/>
        <v>0</v>
      </c>
      <c r="AX971" s="47" t="str">
        <f t="shared" si="252"/>
        <v>KENNEDY RIVER (LOWER)Pink</v>
      </c>
      <c r="AY971" s="49">
        <f t="shared" si="253"/>
        <v>0</v>
      </c>
      <c r="AZ971" s="49">
        <f t="shared" si="254"/>
        <v>0</v>
      </c>
      <c r="BA971" s="31">
        <v>0</v>
      </c>
      <c r="BB971" s="188">
        <f t="shared" si="257"/>
        <v>0</v>
      </c>
      <c r="BC971" s="188" t="str">
        <f t="shared" si="261"/>
        <v xml:space="preserve"> </v>
      </c>
      <c r="BD971" s="188" t="str">
        <f t="shared" si="262"/>
        <v xml:space="preserve"> </v>
      </c>
      <c r="BE971" s="188" t="str">
        <f t="shared" si="263"/>
        <v xml:space="preserve"> </v>
      </c>
      <c r="BF971" s="50" t="str">
        <f t="shared" si="255"/>
        <v>KENNEDY RIVER (LOWER)_Pink</v>
      </c>
      <c r="BG971" s="50" t="str">
        <f>IFERROR(VLOOKUP(BF971,'[1]WCVI Esc'!$C$5:$W$514,18,FALSE),"-")</f>
        <v>-</v>
      </c>
      <c r="BH971" s="50" t="str">
        <f t="shared" si="258"/>
        <v>-</v>
      </c>
      <c r="BI971" s="50" t="str">
        <f>IFERROR(VLOOKUP(BF971,'[1]WCVI Esc'!$C$5:$W$514,19,FALSE),"-")</f>
        <v>-</v>
      </c>
      <c r="BJ971" s="50" t="str">
        <f t="shared" si="259"/>
        <v>-</v>
      </c>
    </row>
    <row r="972" spans="1:67" hidden="1" x14ac:dyDescent="0.2">
      <c r="A972" s="28">
        <v>4</v>
      </c>
      <c r="B972" s="28">
        <v>4</v>
      </c>
      <c r="C972" s="11">
        <v>24</v>
      </c>
      <c r="D972" s="13" t="s">
        <v>296</v>
      </c>
      <c r="E972" s="10" t="s">
        <v>39</v>
      </c>
      <c r="F972" s="10" t="s">
        <v>209</v>
      </c>
      <c r="G972" s="10"/>
      <c r="H972" s="152"/>
      <c r="I972" s="164"/>
      <c r="J972" s="62"/>
      <c r="K972" s="62"/>
      <c r="L972" s="177"/>
      <c r="M972" s="171"/>
      <c r="N972" s="62"/>
      <c r="O972" s="62"/>
      <c r="P972" s="94"/>
      <c r="Q972" s="64"/>
      <c r="R972" s="164"/>
      <c r="S972" s="62"/>
      <c r="T972" s="62"/>
      <c r="U972" s="62"/>
      <c r="V972" s="177"/>
      <c r="W972" s="171"/>
      <c r="X972" s="62"/>
      <c r="Y972" s="45"/>
      <c r="Z972" s="45"/>
      <c r="AA972" s="100"/>
      <c r="AB972" s="100"/>
      <c r="AC972" s="24"/>
      <c r="AD972" s="24"/>
      <c r="AE972" s="24"/>
      <c r="AF972" s="24"/>
      <c r="AG972" s="18">
        <v>24</v>
      </c>
      <c r="AH972" s="69" t="s">
        <v>296</v>
      </c>
      <c r="AI972" s="243" t="s">
        <v>39</v>
      </c>
      <c r="AJ972" s="243" t="s">
        <v>419</v>
      </c>
      <c r="AK972" s="246"/>
      <c r="AL972" s="43" t="str">
        <f t="shared" si="260"/>
        <v>-</v>
      </c>
      <c r="AM972" s="43">
        <f t="shared" si="248"/>
        <v>0</v>
      </c>
      <c r="AN972" s="193">
        <f t="shared" si="248"/>
        <v>0</v>
      </c>
      <c r="AO972" s="270" t="str">
        <f t="shared" si="249"/>
        <v>-</v>
      </c>
      <c r="AP972" s="266"/>
      <c r="AQ972" s="26" t="str">
        <f t="shared" si="256"/>
        <v>KENNEDY RIVER (LOWER)Chum</v>
      </c>
      <c r="AR972" s="26">
        <f t="shared" si="250"/>
        <v>0</v>
      </c>
      <c r="AS972" s="33">
        <f t="shared" si="251"/>
        <v>0</v>
      </c>
      <c r="AX972" s="47" t="str">
        <f t="shared" si="252"/>
        <v>KENNEDY RIVER (LOWER)Chum</v>
      </c>
      <c r="AY972" s="49">
        <f t="shared" si="253"/>
        <v>0</v>
      </c>
      <c r="AZ972" s="49">
        <f t="shared" si="254"/>
        <v>0</v>
      </c>
      <c r="BA972" s="31">
        <v>1995</v>
      </c>
      <c r="BB972" s="188">
        <f t="shared" si="257"/>
        <v>0</v>
      </c>
      <c r="BC972" s="188" t="str">
        <f t="shared" si="261"/>
        <v xml:space="preserve"> </v>
      </c>
      <c r="BD972" s="188" t="str">
        <f t="shared" si="262"/>
        <v xml:space="preserve"> </v>
      </c>
      <c r="BE972" s="188" t="str">
        <f t="shared" si="263"/>
        <v xml:space="preserve"> </v>
      </c>
      <c r="BF972" s="50" t="str">
        <f t="shared" si="255"/>
        <v>KENNEDY RIVER (LOWER)_Chum</v>
      </c>
      <c r="BG972" s="50" t="str">
        <f>IFERROR(VLOOKUP(BF972,'[1]WCVI Esc'!$C$5:$W$514,18,FALSE),"-")</f>
        <v>-</v>
      </c>
      <c r="BH972" s="50" t="str">
        <f t="shared" si="258"/>
        <v>-</v>
      </c>
      <c r="BI972" s="50" t="str">
        <f>IFERROR(VLOOKUP(BF972,'[1]WCVI Esc'!$C$5:$W$514,19,FALSE),"-")</f>
        <v>-</v>
      </c>
      <c r="BJ972" s="50" t="str">
        <f t="shared" si="259"/>
        <v>-</v>
      </c>
    </row>
    <row r="973" spans="1:67" hidden="1" x14ac:dyDescent="0.2">
      <c r="A973" s="28">
        <v>4</v>
      </c>
      <c r="B973" s="28">
        <v>5</v>
      </c>
      <c r="C973" s="11">
        <v>24</v>
      </c>
      <c r="D973" s="13" t="s">
        <v>296</v>
      </c>
      <c r="E973" s="10" t="s">
        <v>39</v>
      </c>
      <c r="F973" s="10" t="s">
        <v>210</v>
      </c>
      <c r="G973" s="10"/>
      <c r="H973" s="152"/>
      <c r="I973" s="164"/>
      <c r="J973" s="62"/>
      <c r="K973" s="62"/>
      <c r="L973" s="177"/>
      <c r="M973" s="171"/>
      <c r="N973" s="62"/>
      <c r="O973" s="62"/>
      <c r="P973" s="94"/>
      <c r="Q973" s="64"/>
      <c r="R973" s="164"/>
      <c r="S973" s="62"/>
      <c r="T973" s="62"/>
      <c r="U973" s="62"/>
      <c r="V973" s="177"/>
      <c r="W973" s="171"/>
      <c r="X973" s="62"/>
      <c r="Y973" s="45"/>
      <c r="Z973" s="45"/>
      <c r="AA973" s="100"/>
      <c r="AB973" s="100"/>
      <c r="AC973" s="24"/>
      <c r="AD973" s="24"/>
      <c r="AE973" s="24"/>
      <c r="AF973" s="24"/>
      <c r="AG973" s="18">
        <v>24</v>
      </c>
      <c r="AH973" s="69" t="s">
        <v>296</v>
      </c>
      <c r="AI973" s="243" t="s">
        <v>39</v>
      </c>
      <c r="AJ973" s="243" t="s">
        <v>419</v>
      </c>
      <c r="AK973" s="246"/>
      <c r="AL973" s="43" t="str">
        <f t="shared" si="260"/>
        <v>-</v>
      </c>
      <c r="AM973" s="43">
        <f t="shared" si="248"/>
        <v>0</v>
      </c>
      <c r="AN973" s="193">
        <f t="shared" si="248"/>
        <v>0</v>
      </c>
      <c r="AO973" s="270" t="str">
        <f t="shared" si="249"/>
        <v>-</v>
      </c>
      <c r="AP973" s="266"/>
      <c r="AQ973" s="26" t="str">
        <f t="shared" si="256"/>
        <v>KENNEDY RIVER (LOWER)Chinook</v>
      </c>
      <c r="AR973" s="26">
        <f t="shared" si="250"/>
        <v>0</v>
      </c>
      <c r="AS973" s="33">
        <f t="shared" si="251"/>
        <v>0</v>
      </c>
      <c r="AX973" s="47" t="str">
        <f t="shared" si="252"/>
        <v>KENNEDY RIVER (LOWER)Chinook</v>
      </c>
      <c r="AY973" s="49">
        <f t="shared" si="253"/>
        <v>0</v>
      </c>
      <c r="AZ973" s="49">
        <f t="shared" si="254"/>
        <v>0</v>
      </c>
      <c r="BA973" s="31">
        <v>2000</v>
      </c>
      <c r="BB973" s="188">
        <f t="shared" si="257"/>
        <v>0</v>
      </c>
      <c r="BC973" s="188" t="str">
        <f t="shared" si="261"/>
        <v xml:space="preserve"> </v>
      </c>
      <c r="BD973" s="188" t="str">
        <f t="shared" si="262"/>
        <v xml:space="preserve"> </v>
      </c>
      <c r="BE973" s="188" t="str">
        <f t="shared" si="263"/>
        <v xml:space="preserve"> </v>
      </c>
      <c r="BF973" s="50" t="str">
        <f t="shared" si="255"/>
        <v>KENNEDY RIVER (LOWER)_Chinook</v>
      </c>
      <c r="BG973" s="50" t="str">
        <f>IFERROR(VLOOKUP(BF973,'[1]WCVI Esc'!$C$5:$W$514,18,FALSE),"-")</f>
        <v>-</v>
      </c>
      <c r="BH973" s="50" t="str">
        <f t="shared" si="258"/>
        <v>-</v>
      </c>
      <c r="BI973" s="50" t="str">
        <f>IFERROR(VLOOKUP(BF973,'[1]WCVI Esc'!$C$5:$W$514,19,FALSE),"-")</f>
        <v>-</v>
      </c>
      <c r="BJ973" s="50" t="str">
        <f t="shared" si="259"/>
        <v>-</v>
      </c>
    </row>
    <row r="974" spans="1:67" hidden="1" x14ac:dyDescent="0.2">
      <c r="A974" s="28">
        <v>4</v>
      </c>
      <c r="B974" s="28">
        <v>6</v>
      </c>
      <c r="C974" s="11">
        <v>24</v>
      </c>
      <c r="D974" s="13" t="s">
        <v>296</v>
      </c>
      <c r="E974" s="10" t="s">
        <v>39</v>
      </c>
      <c r="F974" s="10" t="s">
        <v>211</v>
      </c>
      <c r="G974" s="10"/>
      <c r="H974" s="152"/>
      <c r="I974" s="164"/>
      <c r="J974" s="62"/>
      <c r="K974" s="62"/>
      <c r="L974" s="177"/>
      <c r="M974" s="171"/>
      <c r="N974" s="62"/>
      <c r="O974" s="62"/>
      <c r="P974" s="94"/>
      <c r="Q974" s="64"/>
      <c r="R974" s="164"/>
      <c r="S974" s="62"/>
      <c r="T974" s="62"/>
      <c r="U974" s="62"/>
      <c r="V974" s="177"/>
      <c r="W974" s="171"/>
      <c r="X974" s="62"/>
      <c r="Y974" s="45"/>
      <c r="Z974" s="45"/>
      <c r="AA974" s="100"/>
      <c r="AB974" s="100"/>
      <c r="AC974" s="24"/>
      <c r="AD974" s="24"/>
      <c r="AE974" s="24"/>
      <c r="AF974" s="24"/>
      <c r="AG974" s="18">
        <v>24</v>
      </c>
      <c r="AH974" s="69" t="s">
        <v>296</v>
      </c>
      <c r="AI974" s="243" t="s">
        <v>39</v>
      </c>
      <c r="AJ974" s="243" t="s">
        <v>419</v>
      </c>
      <c r="AK974" s="246"/>
      <c r="AL974" s="43" t="str">
        <f t="shared" si="260"/>
        <v>-</v>
      </c>
      <c r="AM974" s="43">
        <f t="shared" si="248"/>
        <v>0</v>
      </c>
      <c r="AN974" s="193">
        <f t="shared" si="248"/>
        <v>0</v>
      </c>
      <c r="AO974" s="270" t="str">
        <f t="shared" si="249"/>
        <v>-</v>
      </c>
      <c r="AP974" s="266"/>
      <c r="AQ974" s="26" t="str">
        <f t="shared" si="256"/>
        <v>KENNEDY RIVER (LOWER)Steelhead</v>
      </c>
      <c r="AR974" s="26">
        <f t="shared" si="250"/>
        <v>0</v>
      </c>
      <c r="AS974" s="33">
        <f t="shared" si="251"/>
        <v>0</v>
      </c>
      <c r="AX974" s="47" t="str">
        <f t="shared" si="252"/>
        <v>KENNEDY RIVER (LOWER)Steelhead</v>
      </c>
      <c r="AY974" s="49">
        <f t="shared" si="253"/>
        <v>0</v>
      </c>
      <c r="AZ974" s="49">
        <f t="shared" si="254"/>
        <v>0</v>
      </c>
      <c r="BA974" s="31">
        <v>0</v>
      </c>
      <c r="BB974" s="188">
        <f t="shared" si="257"/>
        <v>0</v>
      </c>
      <c r="BC974" s="188" t="str">
        <f t="shared" si="261"/>
        <v xml:space="preserve"> </v>
      </c>
      <c r="BD974" s="188" t="str">
        <f t="shared" si="262"/>
        <v xml:space="preserve"> </v>
      </c>
      <c r="BE974" s="188" t="str">
        <f t="shared" si="263"/>
        <v xml:space="preserve"> </v>
      </c>
      <c r="BF974" s="50" t="str">
        <f t="shared" si="255"/>
        <v>KENNEDY RIVER (LOWER)_Steelhead</v>
      </c>
      <c r="BG974" s="50" t="str">
        <f>IFERROR(VLOOKUP(BF974,'[1]WCVI Esc'!$C$5:$W$514,18,FALSE),"-")</f>
        <v>-</v>
      </c>
      <c r="BH974" s="50" t="str">
        <f t="shared" si="258"/>
        <v>-</v>
      </c>
      <c r="BI974" s="50" t="str">
        <f>IFERROR(VLOOKUP(BF974,'[1]WCVI Esc'!$C$5:$W$514,19,FALSE),"-")</f>
        <v>-</v>
      </c>
      <c r="BJ974" s="50" t="str">
        <f t="shared" si="259"/>
        <v>-</v>
      </c>
    </row>
    <row r="975" spans="1:67" hidden="1" x14ac:dyDescent="0.2">
      <c r="A975" s="28">
        <v>4</v>
      </c>
      <c r="B975" s="28">
        <v>1</v>
      </c>
      <c r="C975" s="11">
        <v>24</v>
      </c>
      <c r="D975" s="13" t="s">
        <v>296</v>
      </c>
      <c r="E975" s="10" t="s">
        <v>40</v>
      </c>
      <c r="F975" s="10" t="s">
        <v>207</v>
      </c>
      <c r="G975" s="10"/>
      <c r="H975" s="152"/>
      <c r="I975" s="155"/>
      <c r="J975" s="70"/>
      <c r="K975" s="146"/>
      <c r="L975" s="180"/>
      <c r="M975" s="173"/>
      <c r="N975" s="106"/>
      <c r="O975" s="106"/>
      <c r="P975" s="63"/>
      <c r="Q975" s="162"/>
      <c r="R975" s="164"/>
      <c r="S975" s="144"/>
      <c r="T975" s="303"/>
      <c r="U975" s="62"/>
      <c r="V975" s="302"/>
      <c r="W975" s="171"/>
      <c r="X975" s="62"/>
      <c r="Y975" s="45"/>
      <c r="Z975" s="44"/>
      <c r="AA975" s="100">
        <f>Y975/AP975</f>
        <v>0</v>
      </c>
      <c r="AB975" s="100">
        <f>AS975/AP975</f>
        <v>0</v>
      </c>
      <c r="AC975" s="123">
        <v>3</v>
      </c>
      <c r="AD975" s="123"/>
      <c r="AE975" s="123"/>
      <c r="AF975" s="123"/>
      <c r="AG975" s="18">
        <v>24</v>
      </c>
      <c r="AH975" s="69" t="s">
        <v>296</v>
      </c>
      <c r="AI975" s="243" t="s">
        <v>40</v>
      </c>
      <c r="AJ975" s="243" t="s">
        <v>419</v>
      </c>
      <c r="AK975" s="246"/>
      <c r="AL975" s="43" t="str">
        <f t="shared" si="260"/>
        <v>-</v>
      </c>
      <c r="AM975" s="43">
        <f t="shared" si="248"/>
        <v>0</v>
      </c>
      <c r="AN975" s="193">
        <f t="shared" si="248"/>
        <v>0</v>
      </c>
      <c r="AO975" s="264">
        <f t="shared" si="249"/>
        <v>1800</v>
      </c>
      <c r="AP975" s="265">
        <f>BJ975</f>
        <v>3450</v>
      </c>
      <c r="AQ975" s="26" t="str">
        <f t="shared" si="256"/>
        <v>KENNEDY RIVER (UPPER)Sockeye</v>
      </c>
      <c r="AR975" s="26">
        <f t="shared" si="250"/>
        <v>0</v>
      </c>
      <c r="AS975" s="33">
        <f t="shared" si="251"/>
        <v>0</v>
      </c>
      <c r="AX975" s="47" t="str">
        <f t="shared" si="252"/>
        <v>KENNEDY RIVER (UPPER)Sockeye</v>
      </c>
      <c r="AY975" s="49">
        <f t="shared" si="253"/>
        <v>0</v>
      </c>
      <c r="AZ975" s="49">
        <f t="shared" si="254"/>
        <v>0</v>
      </c>
      <c r="BA975" s="31">
        <v>2016</v>
      </c>
      <c r="BB975" s="188">
        <f t="shared" si="257"/>
        <v>0</v>
      </c>
      <c r="BC975" s="188" t="str">
        <f>IF(ISNUMBER(M975),M$8,IF(ISNUMBER(L975),L$8,IF(ISNUMBER(#REF!),K$8,IF(ISNUMBER(K975),J$8,IF(ISNUMBER(I975),I$8,IF(ISNUMBER(H975),H$8, IF(ISNUMBER(G975),G$8," ")))))))</f>
        <v xml:space="preserve"> </v>
      </c>
      <c r="BD975" s="188" t="str">
        <f>IF(ISNUMBER(#REF!),S$8,IF(ISNUMBER(R975),R$8,IF(ISNUMBER(Q975),Q$8,IF(ISNUMBER(P975),P$8,IF(ISNUMBER(O975),O$8,IF(ISNUMBER(N975),N$8," "))))))</f>
        <v xml:space="preserve"> </v>
      </c>
      <c r="BE975" s="188" t="str">
        <f t="shared" ref="BE975:BE980" si="264">IF(ISNUMBER(X975),X$8,IF(ISNUMBER(W975),W$8,IF(ISNUMBER(S975),V$8,IF(ISNUMBER(U975),U$8,IF(ISNUMBER(T975),T$8," ")))))</f>
        <v xml:space="preserve"> </v>
      </c>
      <c r="BF975" s="50" t="str">
        <f t="shared" si="255"/>
        <v>KENNEDY RIVER (UPPER)_Sockeye</v>
      </c>
      <c r="BG975" s="50">
        <f>IFERROR(VLOOKUP(BF975,'[1]WCVI Esc'!$C$5:$W$534,18,FALSE),"-")</f>
        <v>1798.5</v>
      </c>
      <c r="BH975" s="50">
        <f t="shared" si="258"/>
        <v>1800</v>
      </c>
      <c r="BI975" s="50">
        <f>IFERROR(VLOOKUP(BF975,'[1]WCVI Esc'!$C$5:$W$534,19,FALSE),"-")</f>
        <v>3450.5833333333335</v>
      </c>
      <c r="BJ975" s="50">
        <f t="shared" si="259"/>
        <v>3450</v>
      </c>
    </row>
    <row r="976" spans="1:67" hidden="1" x14ac:dyDescent="0.2">
      <c r="A976" s="28">
        <v>4</v>
      </c>
      <c r="B976" s="28">
        <v>2</v>
      </c>
      <c r="C976" s="11">
        <v>24</v>
      </c>
      <c r="D976" s="13" t="s">
        <v>296</v>
      </c>
      <c r="E976" s="10" t="s">
        <v>40</v>
      </c>
      <c r="F976" s="10" t="s">
        <v>219</v>
      </c>
      <c r="G976" s="10"/>
      <c r="H976" s="152"/>
      <c r="I976" s="155"/>
      <c r="J976" s="70"/>
      <c r="K976" s="146"/>
      <c r="L976" s="180"/>
      <c r="M976" s="173"/>
      <c r="N976" s="106"/>
      <c r="O976" s="106"/>
      <c r="P976" s="63"/>
      <c r="Q976" s="162"/>
      <c r="R976" s="164"/>
      <c r="S976" s="144"/>
      <c r="T976" s="303"/>
      <c r="U976" s="62"/>
      <c r="V976" s="302"/>
      <c r="W976" s="171"/>
      <c r="X976" s="62"/>
      <c r="Y976" s="45"/>
      <c r="Z976" s="44"/>
      <c r="AA976" s="100">
        <f>Y976/AP976</f>
        <v>0</v>
      </c>
      <c r="AB976" s="100">
        <f>AS976/AP976</f>
        <v>0</v>
      </c>
      <c r="AC976" s="123"/>
      <c r="AD976" s="123"/>
      <c r="AE976" s="123"/>
      <c r="AF976" s="123"/>
      <c r="AG976" s="18">
        <v>24</v>
      </c>
      <c r="AH976" s="69" t="s">
        <v>296</v>
      </c>
      <c r="AI976" s="243" t="s">
        <v>40</v>
      </c>
      <c r="AJ976" s="243" t="s">
        <v>419</v>
      </c>
      <c r="AK976" s="246"/>
      <c r="AL976" s="43" t="str">
        <f t="shared" si="260"/>
        <v>-</v>
      </c>
      <c r="AM976" s="43">
        <f t="shared" si="248"/>
        <v>0</v>
      </c>
      <c r="AN976" s="193">
        <f t="shared" si="248"/>
        <v>0</v>
      </c>
      <c r="AO976" s="264">
        <f t="shared" si="249"/>
        <v>920</v>
      </c>
      <c r="AP976" s="265">
        <f>BJ976</f>
        <v>960</v>
      </c>
      <c r="AQ976" s="26" t="str">
        <f t="shared" si="256"/>
        <v>KENNEDY RIVER (UPPER)Coho</v>
      </c>
      <c r="AR976" s="26">
        <f t="shared" si="250"/>
        <v>0</v>
      </c>
      <c r="AS976" s="33">
        <f t="shared" si="251"/>
        <v>0</v>
      </c>
      <c r="AX976" s="47" t="str">
        <f t="shared" si="252"/>
        <v>KENNEDY RIVER (UPPER)Coho</v>
      </c>
      <c r="AY976" s="49">
        <f t="shared" si="253"/>
        <v>0</v>
      </c>
      <c r="AZ976" s="49">
        <f t="shared" si="254"/>
        <v>0</v>
      </c>
      <c r="BA976" s="31">
        <v>2015</v>
      </c>
      <c r="BB976" s="188">
        <f t="shared" si="257"/>
        <v>0</v>
      </c>
      <c r="BC976" s="188" t="str">
        <f>IF(ISNUMBER(M976),M$8,IF(ISNUMBER(L976),L$8,IF(ISNUMBER(#REF!),K$8,IF(ISNUMBER(K976),J$8,IF(ISNUMBER(I976),I$8,IF(ISNUMBER(H976),H$8, IF(ISNUMBER(G976),G$8," ")))))))</f>
        <v xml:space="preserve"> </v>
      </c>
      <c r="BD976" s="188" t="str">
        <f>IF(ISNUMBER(#REF!),S$8,IF(ISNUMBER(R976),R$8,IF(ISNUMBER(Q976),Q$8,IF(ISNUMBER(P976),P$8,IF(ISNUMBER(O976),O$8,IF(ISNUMBER(N976),N$8," "))))))</f>
        <v xml:space="preserve"> </v>
      </c>
      <c r="BE976" s="188" t="str">
        <f t="shared" si="264"/>
        <v xml:space="preserve"> </v>
      </c>
      <c r="BF976" s="50" t="str">
        <f t="shared" si="255"/>
        <v>KENNEDY RIVER (UPPER)_Coho</v>
      </c>
      <c r="BG976" s="50">
        <f>IFERROR(VLOOKUP(BF976,'[1]WCVI Esc'!$C$5:$W$534,18,FALSE),"-")</f>
        <v>918.5</v>
      </c>
      <c r="BH976" s="50">
        <f t="shared" si="258"/>
        <v>920</v>
      </c>
      <c r="BI976" s="50">
        <f>IFERROR(VLOOKUP(BF976,'[1]WCVI Esc'!$C$5:$W$534,19,FALSE),"-")</f>
        <v>958.08333333333337</v>
      </c>
      <c r="BJ976" s="50">
        <f t="shared" si="259"/>
        <v>960</v>
      </c>
    </row>
    <row r="977" spans="1:67" hidden="1" x14ac:dyDescent="0.2">
      <c r="A977" s="28">
        <v>4</v>
      </c>
      <c r="B977" s="28">
        <v>3</v>
      </c>
      <c r="C977" s="11">
        <v>24</v>
      </c>
      <c r="D977" s="13" t="s">
        <v>296</v>
      </c>
      <c r="E977" s="10" t="s">
        <v>40</v>
      </c>
      <c r="F977" s="10" t="s">
        <v>208</v>
      </c>
      <c r="G977" s="10"/>
      <c r="H977" s="152"/>
      <c r="I977" s="155"/>
      <c r="J977" s="70"/>
      <c r="K977" s="146"/>
      <c r="L977" s="180"/>
      <c r="M977" s="173"/>
      <c r="N977" s="106"/>
      <c r="O977" s="106"/>
      <c r="P977" s="63"/>
      <c r="Q977" s="162"/>
      <c r="R977" s="164"/>
      <c r="S977" s="144"/>
      <c r="T977" s="303"/>
      <c r="U977" s="62"/>
      <c r="V977" s="302"/>
      <c r="W977" s="171"/>
      <c r="X977" s="62"/>
      <c r="Y977" s="45"/>
      <c r="Z977" s="44"/>
      <c r="AA977" s="100"/>
      <c r="AB977" s="100"/>
      <c r="AG977" s="18">
        <v>24</v>
      </c>
      <c r="AH977" s="69" t="s">
        <v>296</v>
      </c>
      <c r="AI977" s="243" t="s">
        <v>40</v>
      </c>
      <c r="AJ977" s="243" t="s">
        <v>419</v>
      </c>
      <c r="AK977" s="246"/>
      <c r="AL977" s="43" t="str">
        <f t="shared" si="260"/>
        <v>-</v>
      </c>
      <c r="AM977" s="43">
        <f t="shared" si="248"/>
        <v>0</v>
      </c>
      <c r="AN977" s="193">
        <f t="shared" si="248"/>
        <v>0</v>
      </c>
      <c r="AO977" s="264" t="str">
        <f t="shared" si="249"/>
        <v>-</v>
      </c>
      <c r="AP977" s="266"/>
      <c r="AQ977" s="26" t="str">
        <f t="shared" si="256"/>
        <v>KENNEDY RIVER (UPPER)Pink</v>
      </c>
      <c r="AR977" s="26">
        <f t="shared" si="250"/>
        <v>0</v>
      </c>
      <c r="AS977" s="33">
        <f t="shared" si="251"/>
        <v>0</v>
      </c>
      <c r="AX977" s="47" t="str">
        <f t="shared" si="252"/>
        <v>KENNEDY RIVER (UPPER)Pink</v>
      </c>
      <c r="AY977" s="49">
        <f t="shared" si="253"/>
        <v>0</v>
      </c>
      <c r="AZ977" s="49">
        <f t="shared" si="254"/>
        <v>0</v>
      </c>
      <c r="BA977" s="31">
        <v>0</v>
      </c>
      <c r="BB977" s="188">
        <f t="shared" si="257"/>
        <v>0</v>
      </c>
      <c r="BC977" s="188" t="str">
        <f>IF(ISNUMBER(M977),M$8,IF(ISNUMBER(L977),L$8,IF(ISNUMBER(#REF!),K$8,IF(ISNUMBER(K977),J$8,IF(ISNUMBER(I977),I$8,IF(ISNUMBER(H977),H$8, IF(ISNUMBER(G977),G$8," ")))))))</f>
        <v xml:space="preserve"> </v>
      </c>
      <c r="BD977" s="188" t="str">
        <f>IF(ISNUMBER(#REF!),S$8,IF(ISNUMBER(R977),R$8,IF(ISNUMBER(Q977),Q$8,IF(ISNUMBER(P977),P$8,IF(ISNUMBER(O977),O$8,IF(ISNUMBER(N977),N$8," "))))))</f>
        <v xml:space="preserve"> </v>
      </c>
      <c r="BE977" s="188" t="str">
        <f t="shared" si="264"/>
        <v xml:space="preserve"> </v>
      </c>
      <c r="BF977" s="50" t="str">
        <f t="shared" si="255"/>
        <v>KENNEDY RIVER (UPPER)_Pink</v>
      </c>
      <c r="BG977" s="50" t="str">
        <f>IFERROR(VLOOKUP(BF977,'[1]WCVI Esc'!$C$5:$W$534,18,FALSE),"-")</f>
        <v>-</v>
      </c>
      <c r="BH977" s="50" t="str">
        <f t="shared" si="258"/>
        <v>-</v>
      </c>
      <c r="BI977" s="50" t="str">
        <f>IFERROR(VLOOKUP(BF977,'[1]WCVI Esc'!$C$5:$W$534,19,FALSE),"-")</f>
        <v>-</v>
      </c>
      <c r="BJ977" s="50" t="str">
        <f t="shared" si="259"/>
        <v>-</v>
      </c>
    </row>
    <row r="978" spans="1:67" hidden="1" x14ac:dyDescent="0.2">
      <c r="A978" s="28">
        <v>4</v>
      </c>
      <c r="B978" s="28">
        <v>4</v>
      </c>
      <c r="C978" s="11">
        <v>24</v>
      </c>
      <c r="D978" s="13" t="s">
        <v>296</v>
      </c>
      <c r="E978" s="10" t="s">
        <v>40</v>
      </c>
      <c r="F978" s="10" t="s">
        <v>209</v>
      </c>
      <c r="G978" s="10"/>
      <c r="H978" s="152"/>
      <c r="I978" s="155"/>
      <c r="J978" s="70"/>
      <c r="K978" s="146"/>
      <c r="L978" s="180"/>
      <c r="M978" s="173"/>
      <c r="N978" s="106"/>
      <c r="O978" s="106"/>
      <c r="P978" s="63"/>
      <c r="Q978" s="162"/>
      <c r="R978" s="164"/>
      <c r="S978" s="144"/>
      <c r="T978" s="303"/>
      <c r="U978" s="62"/>
      <c r="V978" s="302"/>
      <c r="W978" s="171"/>
      <c r="X978" s="62"/>
      <c r="Y978" s="45"/>
      <c r="Z978" s="44"/>
      <c r="AA978" s="100"/>
      <c r="AB978" s="100"/>
      <c r="AC978" s="123"/>
      <c r="AD978" s="123"/>
      <c r="AE978" s="123"/>
      <c r="AF978" s="123"/>
      <c r="AG978" s="18">
        <v>24</v>
      </c>
      <c r="AH978" s="69" t="s">
        <v>296</v>
      </c>
      <c r="AI978" s="243" t="s">
        <v>40</v>
      </c>
      <c r="AJ978" s="243" t="s">
        <v>419</v>
      </c>
      <c r="AK978" s="246"/>
      <c r="AL978" s="43" t="str">
        <f t="shared" si="260"/>
        <v>-</v>
      </c>
      <c r="AM978" s="43">
        <f t="shared" si="248"/>
        <v>0</v>
      </c>
      <c r="AN978" s="193">
        <f t="shared" si="248"/>
        <v>0</v>
      </c>
      <c r="AO978" s="264">
        <f t="shared" si="249"/>
        <v>0</v>
      </c>
      <c r="AP978" s="265">
        <f>BJ978</f>
        <v>0</v>
      </c>
      <c r="AQ978" s="26" t="str">
        <f t="shared" si="256"/>
        <v>KENNEDY RIVER (UPPER)Chum</v>
      </c>
      <c r="AR978" s="26">
        <f t="shared" si="250"/>
        <v>0</v>
      </c>
      <c r="AS978" s="33">
        <f t="shared" si="251"/>
        <v>0</v>
      </c>
      <c r="AX978" s="47" t="str">
        <f t="shared" si="252"/>
        <v>KENNEDY RIVER (UPPER)Chum</v>
      </c>
      <c r="AY978" s="49">
        <f t="shared" si="253"/>
        <v>0</v>
      </c>
      <c r="AZ978" s="49">
        <f t="shared" si="254"/>
        <v>0</v>
      </c>
      <c r="BA978" s="31">
        <v>2011</v>
      </c>
      <c r="BB978" s="188">
        <f t="shared" si="257"/>
        <v>0</v>
      </c>
      <c r="BC978" s="188" t="str">
        <f>IF(ISNUMBER(M978),M$8,IF(ISNUMBER(L978),L$8,IF(ISNUMBER(#REF!),K$8,IF(ISNUMBER(K978),J$8,IF(ISNUMBER(I978),I$8,IF(ISNUMBER(H978),H$8, IF(ISNUMBER(G978),G$8," ")))))))</f>
        <v xml:space="preserve"> </v>
      </c>
      <c r="BD978" s="188" t="str">
        <f>IF(ISNUMBER(#REF!),S$8,IF(ISNUMBER(R978),R$8,IF(ISNUMBER(Q978),Q$8,IF(ISNUMBER(P978),P$8,IF(ISNUMBER(O978),O$8,IF(ISNUMBER(N978),N$8," "))))))</f>
        <v xml:space="preserve"> </v>
      </c>
      <c r="BE978" s="188" t="str">
        <f t="shared" si="264"/>
        <v xml:space="preserve"> </v>
      </c>
      <c r="BF978" s="50" t="str">
        <f t="shared" si="255"/>
        <v>KENNEDY RIVER (UPPER)_Chum</v>
      </c>
      <c r="BG978" s="50">
        <f>IFERROR(VLOOKUP(BF978,'[1]WCVI Esc'!$C$5:$W$534,18,FALSE),"-")</f>
        <v>3</v>
      </c>
      <c r="BH978" s="50">
        <f t="shared" si="258"/>
        <v>0</v>
      </c>
      <c r="BI978" s="50">
        <f>IFERROR(VLOOKUP(BF978,'[1]WCVI Esc'!$C$5:$W$534,19,FALSE),"-")</f>
        <v>2.3333333333333335</v>
      </c>
      <c r="BJ978" s="50">
        <f t="shared" si="259"/>
        <v>0</v>
      </c>
    </row>
    <row r="979" spans="1:67" hidden="1" x14ac:dyDescent="0.2">
      <c r="A979" s="28">
        <v>4</v>
      </c>
      <c r="B979" s="28">
        <v>5</v>
      </c>
      <c r="C979" s="11">
        <v>24</v>
      </c>
      <c r="D979" s="13" t="s">
        <v>296</v>
      </c>
      <c r="E979" s="10" t="s">
        <v>40</v>
      </c>
      <c r="F979" s="10" t="s">
        <v>210</v>
      </c>
      <c r="G979" s="10"/>
      <c r="H979" s="152"/>
      <c r="I979" s="155"/>
      <c r="J979" s="70"/>
      <c r="K979" s="146"/>
      <c r="L979" s="180"/>
      <c r="M979" s="173"/>
      <c r="N979" s="106"/>
      <c r="O979" s="106"/>
      <c r="P979" s="63"/>
      <c r="Q979" s="162"/>
      <c r="R979" s="164"/>
      <c r="S979" s="144"/>
      <c r="T979" s="303"/>
      <c r="U979" s="62"/>
      <c r="V979" s="302"/>
      <c r="W979" s="171"/>
      <c r="X979" s="62"/>
      <c r="Y979" s="45"/>
      <c r="Z979" s="44"/>
      <c r="AA979" s="100">
        <f>Y979/AP979</f>
        <v>0</v>
      </c>
      <c r="AB979" s="100">
        <f>AS979/AP979</f>
        <v>0</v>
      </c>
      <c r="AC979" s="123"/>
      <c r="AD979" s="123"/>
      <c r="AE979" s="123"/>
      <c r="AF979" s="123">
        <f>Y979</f>
        <v>0</v>
      </c>
      <c r="AG979" s="18">
        <v>24</v>
      </c>
      <c r="AH979" s="69" t="s">
        <v>296</v>
      </c>
      <c r="AI979" s="243" t="s">
        <v>40</v>
      </c>
      <c r="AJ979" s="243" t="s">
        <v>419</v>
      </c>
      <c r="AK979" s="246"/>
      <c r="AL979" s="43" t="str">
        <f t="shared" si="260"/>
        <v>-</v>
      </c>
      <c r="AM979" s="43">
        <f t="shared" si="248"/>
        <v>0</v>
      </c>
      <c r="AN979" s="193">
        <f t="shared" si="248"/>
        <v>0</v>
      </c>
      <c r="AO979" s="264">
        <f t="shared" si="249"/>
        <v>0</v>
      </c>
      <c r="AP979" s="265">
        <f>BJ979</f>
        <v>10</v>
      </c>
      <c r="AQ979" s="26" t="str">
        <f t="shared" si="256"/>
        <v>KENNEDY RIVER (UPPER)Chinook</v>
      </c>
      <c r="AR979" s="26">
        <f t="shared" si="250"/>
        <v>0</v>
      </c>
      <c r="AS979" s="33">
        <f t="shared" si="251"/>
        <v>0</v>
      </c>
      <c r="AX979" s="47" t="str">
        <f t="shared" si="252"/>
        <v>KENNEDY RIVER (UPPER)Chinook</v>
      </c>
      <c r="AY979" s="49">
        <f t="shared" si="253"/>
        <v>0</v>
      </c>
      <c r="AZ979" s="49">
        <f t="shared" si="254"/>
        <v>0</v>
      </c>
      <c r="BA979" s="31">
        <v>2013</v>
      </c>
      <c r="BB979" s="188">
        <f t="shared" si="257"/>
        <v>0</v>
      </c>
      <c r="BC979" s="188" t="str">
        <f>IF(ISNUMBER(M979),M$8,IF(ISNUMBER(L979),L$8,IF(ISNUMBER(#REF!),K$8,IF(ISNUMBER(K979),J$8,IF(ISNUMBER(I979),I$8,IF(ISNUMBER(H979),H$8, IF(ISNUMBER(G979),G$8," ")))))))</f>
        <v xml:space="preserve"> </v>
      </c>
      <c r="BD979" s="188" t="str">
        <f>IF(ISNUMBER(#REF!),S$8,IF(ISNUMBER(R979),R$8,IF(ISNUMBER(Q979),Q$8,IF(ISNUMBER(P979),P$8,IF(ISNUMBER(O979),O$8,IF(ISNUMBER(N979),N$8," "))))))</f>
        <v xml:space="preserve"> </v>
      </c>
      <c r="BE979" s="188" t="str">
        <f t="shared" si="264"/>
        <v xml:space="preserve"> </v>
      </c>
      <c r="BF979" s="50" t="str">
        <f t="shared" si="255"/>
        <v>KENNEDY RIVER (UPPER)_Chinook</v>
      </c>
      <c r="BG979" s="50">
        <f>IFERROR(VLOOKUP(BF979,'[1]WCVI Esc'!$C$5:$W$534,18,FALSE),"-")</f>
        <v>3.5</v>
      </c>
      <c r="BH979" s="50">
        <f t="shared" si="258"/>
        <v>0</v>
      </c>
      <c r="BI979" s="50">
        <f>IFERROR(VLOOKUP(BF979,'[1]WCVI Esc'!$C$5:$W$534,19,FALSE),"-")</f>
        <v>6.833333333333333</v>
      </c>
      <c r="BJ979" s="50">
        <f t="shared" si="259"/>
        <v>10</v>
      </c>
      <c r="BK979">
        <v>2</v>
      </c>
      <c r="BL979" t="s">
        <v>289</v>
      </c>
      <c r="BO979" s="31">
        <v>1</v>
      </c>
    </row>
    <row r="980" spans="1:67" hidden="1" x14ac:dyDescent="0.2">
      <c r="A980" s="28">
        <v>4</v>
      </c>
      <c r="B980" s="28">
        <v>6</v>
      </c>
      <c r="C980" s="11">
        <v>24</v>
      </c>
      <c r="D980" s="13" t="s">
        <v>296</v>
      </c>
      <c r="E980" s="10" t="s">
        <v>40</v>
      </c>
      <c r="F980" s="10" t="s">
        <v>211</v>
      </c>
      <c r="G980" s="10"/>
      <c r="H980" s="152"/>
      <c r="I980" s="155"/>
      <c r="J980" s="70"/>
      <c r="K980" s="146"/>
      <c r="L980" s="180"/>
      <c r="M980" s="173"/>
      <c r="N980" s="106"/>
      <c r="O980" s="106"/>
      <c r="P980" s="63"/>
      <c r="Q980" s="162"/>
      <c r="R980" s="164"/>
      <c r="S980" s="144"/>
      <c r="T980" s="303"/>
      <c r="U980" s="62"/>
      <c r="V980" s="302"/>
      <c r="W980" s="171"/>
      <c r="X980" s="62"/>
      <c r="Y980" s="45"/>
      <c r="Z980" s="44"/>
      <c r="AA980" s="100"/>
      <c r="AB980" s="100"/>
      <c r="AG980" s="18">
        <v>24</v>
      </c>
      <c r="AH980" s="69" t="s">
        <v>296</v>
      </c>
      <c r="AI980" s="243" t="s">
        <v>40</v>
      </c>
      <c r="AJ980" s="243" t="s">
        <v>419</v>
      </c>
      <c r="AK980" s="246"/>
      <c r="AL980" s="43" t="str">
        <f t="shared" si="260"/>
        <v>-</v>
      </c>
      <c r="AM980" s="43">
        <f t="shared" si="248"/>
        <v>0</v>
      </c>
      <c r="AN980" s="193">
        <f t="shared" si="248"/>
        <v>0</v>
      </c>
      <c r="AO980" s="264" t="str">
        <f t="shared" si="249"/>
        <v>-</v>
      </c>
      <c r="AP980" s="267"/>
      <c r="AQ980" s="26" t="str">
        <f t="shared" si="256"/>
        <v>KENNEDY RIVER (UPPER)Steelhead</v>
      </c>
      <c r="AR980" s="26">
        <f t="shared" si="250"/>
        <v>0</v>
      </c>
      <c r="AS980" s="33">
        <f t="shared" si="251"/>
        <v>0</v>
      </c>
      <c r="AX980" s="47" t="str">
        <f t="shared" si="252"/>
        <v>KENNEDY RIVER (UPPER)Steelhead</v>
      </c>
      <c r="AY980" s="49">
        <f t="shared" si="253"/>
        <v>0</v>
      </c>
      <c r="AZ980" s="49">
        <f t="shared" si="254"/>
        <v>0</v>
      </c>
      <c r="BA980" s="31">
        <v>0</v>
      </c>
      <c r="BB980" s="188">
        <f t="shared" si="257"/>
        <v>0</v>
      </c>
      <c r="BC980" s="188" t="str">
        <f>IF(ISNUMBER(M980),M$8,IF(ISNUMBER(L980),L$8,IF(ISNUMBER(#REF!),K$8,IF(ISNUMBER(K980),J$8,IF(ISNUMBER(I980),I$8,IF(ISNUMBER(H980),H$8, IF(ISNUMBER(G980),G$8," ")))))))</f>
        <v xml:space="preserve"> </v>
      </c>
      <c r="BD980" s="188" t="str">
        <f>IF(ISNUMBER(#REF!),S$8,IF(ISNUMBER(R980),R$8,IF(ISNUMBER(Q980),Q$8,IF(ISNUMBER(P980),P$8,IF(ISNUMBER(O980),O$8,IF(ISNUMBER(N980),N$8," "))))))</f>
        <v xml:space="preserve"> </v>
      </c>
      <c r="BE980" s="188" t="str">
        <f t="shared" si="264"/>
        <v xml:space="preserve"> </v>
      </c>
      <c r="BF980" s="50" t="str">
        <f t="shared" si="255"/>
        <v>KENNEDY RIVER (UPPER)_Steelhead</v>
      </c>
      <c r="BG980" s="50" t="str">
        <f>IFERROR(VLOOKUP(BF980,'[1]WCVI Esc'!$C$5:$W$534,18,FALSE),"-")</f>
        <v>-</v>
      </c>
      <c r="BH980" s="50" t="str">
        <f t="shared" si="258"/>
        <v>-</v>
      </c>
      <c r="BI980" s="50" t="str">
        <f>IFERROR(VLOOKUP(BF980,'[1]WCVI Esc'!$C$5:$W$534,19,FALSE),"-")</f>
        <v>-</v>
      </c>
      <c r="BJ980" s="50" t="str">
        <f t="shared" si="259"/>
        <v>-</v>
      </c>
    </row>
    <row r="981" spans="1:67" hidden="1" x14ac:dyDescent="0.2">
      <c r="A981" s="28">
        <v>4</v>
      </c>
      <c r="B981" s="28">
        <v>1</v>
      </c>
      <c r="C981" s="11">
        <v>24</v>
      </c>
      <c r="D981" s="13" t="s">
        <v>296</v>
      </c>
      <c r="E981" s="10" t="s">
        <v>125</v>
      </c>
      <c r="F981" s="10" t="s">
        <v>207</v>
      </c>
      <c r="G981" s="10"/>
      <c r="H981" s="152"/>
      <c r="I981" s="164"/>
      <c r="J981" s="62"/>
      <c r="K981" s="62"/>
      <c r="L981" s="177"/>
      <c r="M981" s="171"/>
      <c r="N981" s="62"/>
      <c r="O981" s="62"/>
      <c r="P981" s="62"/>
      <c r="Q981" s="64"/>
      <c r="R981" s="164"/>
      <c r="S981" s="62"/>
      <c r="T981" s="62"/>
      <c r="U981" s="62"/>
      <c r="V981" s="177"/>
      <c r="W981" s="171"/>
      <c r="X981" s="62"/>
      <c r="Y981" s="45"/>
      <c r="Z981" s="45"/>
      <c r="AA981" s="100"/>
      <c r="AB981" s="100"/>
      <c r="AC981" s="24"/>
      <c r="AD981" s="24"/>
      <c r="AE981" s="24"/>
      <c r="AF981" s="24"/>
      <c r="AG981" s="18">
        <v>24</v>
      </c>
      <c r="AH981" s="69" t="s">
        <v>296</v>
      </c>
      <c r="AI981" s="243" t="s">
        <v>125</v>
      </c>
      <c r="AJ981" s="243" t="s">
        <v>419</v>
      </c>
      <c r="AK981" s="246"/>
      <c r="AL981" s="43" t="str">
        <f t="shared" si="260"/>
        <v>-</v>
      </c>
      <c r="AM981" s="43">
        <f t="shared" si="248"/>
        <v>0</v>
      </c>
      <c r="AN981" s="193">
        <f t="shared" si="248"/>
        <v>0</v>
      </c>
      <c r="AO981" s="270" t="str">
        <f t="shared" si="249"/>
        <v>-</v>
      </c>
      <c r="AP981" s="266"/>
      <c r="AQ981" s="26" t="str">
        <f t="shared" si="256"/>
        <v>KOOTOWIS CREEKSockeye</v>
      </c>
      <c r="AR981" s="26">
        <f t="shared" si="250"/>
        <v>0</v>
      </c>
      <c r="AS981" s="33">
        <f t="shared" si="251"/>
        <v>0</v>
      </c>
      <c r="AX981" s="47" t="str">
        <f t="shared" si="252"/>
        <v>KOOTOWIS CREEKSockeye</v>
      </c>
      <c r="AY981" s="49">
        <f t="shared" si="253"/>
        <v>0</v>
      </c>
      <c r="AZ981" s="49">
        <f t="shared" si="254"/>
        <v>0</v>
      </c>
      <c r="BA981" s="31">
        <v>0</v>
      </c>
      <c r="BB981" s="188">
        <f t="shared" si="257"/>
        <v>0</v>
      </c>
      <c r="BC981" s="188" t="str">
        <f t="shared" si="261"/>
        <v xml:space="preserve"> </v>
      </c>
      <c r="BD981" s="188" t="str">
        <f t="shared" si="262"/>
        <v xml:space="preserve"> </v>
      </c>
      <c r="BE981" s="188" t="str">
        <f t="shared" si="263"/>
        <v xml:space="preserve"> </v>
      </c>
      <c r="BF981" s="50" t="str">
        <f t="shared" si="255"/>
        <v>KOOTOWIS CREEK_Sockeye</v>
      </c>
      <c r="BG981" s="50" t="str">
        <f>IFERROR(VLOOKUP(BF981,'[1]WCVI Esc'!$C$5:$W$514,18,FALSE),"-")</f>
        <v>-</v>
      </c>
      <c r="BH981" s="50" t="str">
        <f t="shared" si="258"/>
        <v>-</v>
      </c>
      <c r="BI981" s="50" t="str">
        <f>IFERROR(VLOOKUP(BF981,'[1]WCVI Esc'!$C$5:$W$514,19,FALSE),"-")</f>
        <v>-</v>
      </c>
      <c r="BJ981" s="50" t="str">
        <f t="shared" si="259"/>
        <v>-</v>
      </c>
    </row>
    <row r="982" spans="1:67" hidden="1" x14ac:dyDescent="0.2">
      <c r="A982" s="28">
        <v>4</v>
      </c>
      <c r="B982" s="28">
        <v>2</v>
      </c>
      <c r="C982" s="11">
        <v>24</v>
      </c>
      <c r="D982" s="13" t="s">
        <v>296</v>
      </c>
      <c r="E982" s="10" t="s">
        <v>125</v>
      </c>
      <c r="F982" s="10" t="s">
        <v>219</v>
      </c>
      <c r="G982" s="10"/>
      <c r="H982" s="152"/>
      <c r="I982" s="164"/>
      <c r="J982" s="62"/>
      <c r="K982" s="62"/>
      <c r="L982" s="177"/>
      <c r="M982" s="171"/>
      <c r="N982" s="62"/>
      <c r="O982" s="62"/>
      <c r="P982" s="62"/>
      <c r="Q982" s="64"/>
      <c r="R982" s="164"/>
      <c r="S982" s="62"/>
      <c r="T982" s="62"/>
      <c r="U982" s="62"/>
      <c r="V982" s="177"/>
      <c r="W982" s="171"/>
      <c r="X982" s="62"/>
      <c r="Y982" s="45"/>
      <c r="Z982" s="45"/>
      <c r="AA982" s="100"/>
      <c r="AB982" s="100"/>
      <c r="AC982" s="24"/>
      <c r="AD982" s="24"/>
      <c r="AE982" s="24"/>
      <c r="AF982" s="24"/>
      <c r="AG982" s="18">
        <v>24</v>
      </c>
      <c r="AH982" s="69" t="s">
        <v>296</v>
      </c>
      <c r="AI982" s="243" t="s">
        <v>125</v>
      </c>
      <c r="AJ982" s="243" t="s">
        <v>419</v>
      </c>
      <c r="AK982" s="246"/>
      <c r="AL982" s="43" t="str">
        <f t="shared" si="260"/>
        <v>-</v>
      </c>
      <c r="AM982" s="43">
        <f t="shared" si="248"/>
        <v>0</v>
      </c>
      <c r="AN982" s="193">
        <f t="shared" si="248"/>
        <v>0</v>
      </c>
      <c r="AO982" s="270" t="str">
        <f t="shared" si="249"/>
        <v>-</v>
      </c>
      <c r="AP982" s="271"/>
      <c r="AQ982" s="26" t="str">
        <f t="shared" si="256"/>
        <v>KOOTOWIS CREEKCoho</v>
      </c>
      <c r="AR982" s="26">
        <f t="shared" si="250"/>
        <v>0</v>
      </c>
      <c r="AS982" s="33">
        <f t="shared" si="251"/>
        <v>0</v>
      </c>
      <c r="AX982" s="47" t="str">
        <f t="shared" si="252"/>
        <v>KOOTOWIS CREEKCoho</v>
      </c>
      <c r="AY982" s="49">
        <f t="shared" si="253"/>
        <v>0</v>
      </c>
      <c r="AZ982" s="49">
        <f t="shared" si="254"/>
        <v>0</v>
      </c>
      <c r="BA982" s="31">
        <v>2002</v>
      </c>
      <c r="BB982" s="188">
        <f t="shared" si="257"/>
        <v>0</v>
      </c>
      <c r="BC982" s="188" t="str">
        <f t="shared" si="261"/>
        <v xml:space="preserve"> </v>
      </c>
      <c r="BD982" s="188" t="str">
        <f t="shared" si="262"/>
        <v xml:space="preserve"> </v>
      </c>
      <c r="BE982" s="188" t="str">
        <f t="shared" si="263"/>
        <v xml:space="preserve"> </v>
      </c>
      <c r="BF982" s="50" t="str">
        <f t="shared" si="255"/>
        <v>KOOTOWIS CREEK_Coho</v>
      </c>
      <c r="BG982" s="50" t="str">
        <f>IFERROR(VLOOKUP(BF982,'[1]WCVI Esc'!$C$5:$W$514,18,FALSE),"-")</f>
        <v>-</v>
      </c>
      <c r="BH982" s="50" t="str">
        <f t="shared" si="258"/>
        <v>-</v>
      </c>
      <c r="BI982" s="50" t="str">
        <f>IFERROR(VLOOKUP(BF982,'[1]WCVI Esc'!$C$5:$W$514,19,FALSE),"-")</f>
        <v>-</v>
      </c>
      <c r="BJ982" s="50" t="str">
        <f t="shared" si="259"/>
        <v>-</v>
      </c>
    </row>
    <row r="983" spans="1:67" hidden="1" x14ac:dyDescent="0.2">
      <c r="A983" s="28">
        <v>4</v>
      </c>
      <c r="B983" s="28">
        <v>3</v>
      </c>
      <c r="C983" s="11">
        <v>24</v>
      </c>
      <c r="D983" s="13" t="s">
        <v>296</v>
      </c>
      <c r="E983" s="10" t="s">
        <v>125</v>
      </c>
      <c r="F983" s="10" t="s">
        <v>208</v>
      </c>
      <c r="G983" s="10"/>
      <c r="H983" s="152"/>
      <c r="I983" s="164"/>
      <c r="J983" s="62"/>
      <c r="K983" s="62"/>
      <c r="L983" s="177"/>
      <c r="M983" s="171"/>
      <c r="N983" s="62"/>
      <c r="O983" s="62"/>
      <c r="P983" s="62"/>
      <c r="Q983" s="64"/>
      <c r="R983" s="164"/>
      <c r="S983" s="62"/>
      <c r="T983" s="62"/>
      <c r="U983" s="62"/>
      <c r="V983" s="177"/>
      <c r="W983" s="171"/>
      <c r="X983" s="62"/>
      <c r="Y983" s="45"/>
      <c r="Z983" s="45"/>
      <c r="AA983" s="100"/>
      <c r="AB983" s="100"/>
      <c r="AC983" s="24"/>
      <c r="AD983" s="24"/>
      <c r="AE983" s="24"/>
      <c r="AF983" s="24"/>
      <c r="AG983" s="18">
        <v>24</v>
      </c>
      <c r="AH983" s="69" t="s">
        <v>296</v>
      </c>
      <c r="AI983" s="243" t="s">
        <v>125</v>
      </c>
      <c r="AJ983" s="243" t="s">
        <v>419</v>
      </c>
      <c r="AK983" s="246"/>
      <c r="AL983" s="43" t="str">
        <f t="shared" si="260"/>
        <v>-</v>
      </c>
      <c r="AM983" s="43">
        <f t="shared" si="248"/>
        <v>0</v>
      </c>
      <c r="AN983" s="193">
        <f t="shared" si="248"/>
        <v>0</v>
      </c>
      <c r="AO983" s="270" t="str">
        <f t="shared" si="249"/>
        <v>-</v>
      </c>
      <c r="AP983" s="266"/>
      <c r="AQ983" s="26" t="str">
        <f t="shared" si="256"/>
        <v>KOOTOWIS CREEKPink</v>
      </c>
      <c r="AR983" s="26">
        <f t="shared" si="250"/>
        <v>0</v>
      </c>
      <c r="AS983" s="33">
        <f t="shared" si="251"/>
        <v>0</v>
      </c>
      <c r="AX983" s="47" t="str">
        <f t="shared" si="252"/>
        <v>KOOTOWIS CREEKPink</v>
      </c>
      <c r="AY983" s="49">
        <f t="shared" si="253"/>
        <v>0</v>
      </c>
      <c r="AZ983" s="49">
        <f t="shared" si="254"/>
        <v>0</v>
      </c>
      <c r="BA983" s="31">
        <v>0</v>
      </c>
      <c r="BB983" s="188">
        <f t="shared" si="257"/>
        <v>0</v>
      </c>
      <c r="BC983" s="188" t="str">
        <f t="shared" si="261"/>
        <v xml:space="preserve"> </v>
      </c>
      <c r="BD983" s="188" t="str">
        <f t="shared" si="262"/>
        <v xml:space="preserve"> </v>
      </c>
      <c r="BE983" s="188" t="str">
        <f t="shared" si="263"/>
        <v xml:space="preserve"> </v>
      </c>
      <c r="BF983" s="50" t="str">
        <f t="shared" si="255"/>
        <v>KOOTOWIS CREEK_Pink</v>
      </c>
      <c r="BG983" s="50" t="str">
        <f>IFERROR(VLOOKUP(BF983,'[1]WCVI Esc'!$C$5:$W$514,18,FALSE),"-")</f>
        <v>-</v>
      </c>
      <c r="BH983" s="50" t="str">
        <f t="shared" si="258"/>
        <v>-</v>
      </c>
      <c r="BI983" s="50" t="str">
        <f>IFERROR(VLOOKUP(BF983,'[1]WCVI Esc'!$C$5:$W$514,19,FALSE),"-")</f>
        <v>-</v>
      </c>
      <c r="BJ983" s="50" t="str">
        <f t="shared" si="259"/>
        <v>-</v>
      </c>
    </row>
    <row r="984" spans="1:67" hidden="1" x14ac:dyDescent="0.2">
      <c r="A984" s="28">
        <v>4</v>
      </c>
      <c r="B984" s="28">
        <v>4</v>
      </c>
      <c r="C984" s="11">
        <v>24</v>
      </c>
      <c r="D984" s="13" t="s">
        <v>296</v>
      </c>
      <c r="E984" s="10" t="s">
        <v>125</v>
      </c>
      <c r="F984" s="10" t="s">
        <v>209</v>
      </c>
      <c r="G984" s="10"/>
      <c r="H984" s="152"/>
      <c r="I984" s="164"/>
      <c r="J984" s="62"/>
      <c r="K984" s="62"/>
      <c r="L984" s="177"/>
      <c r="M984" s="171"/>
      <c r="N984" s="62"/>
      <c r="O984" s="62"/>
      <c r="P984" s="62"/>
      <c r="Q984" s="64"/>
      <c r="R984" s="164"/>
      <c r="S984" s="62"/>
      <c r="T984" s="62"/>
      <c r="U984" s="62"/>
      <c r="V984" s="177"/>
      <c r="W984" s="171"/>
      <c r="X984" s="62"/>
      <c r="Y984" s="45"/>
      <c r="Z984" s="45"/>
      <c r="AA984" s="100"/>
      <c r="AB984" s="100"/>
      <c r="AC984" s="24"/>
      <c r="AD984" s="24"/>
      <c r="AE984" s="24"/>
      <c r="AF984" s="24"/>
      <c r="AG984" s="18">
        <v>24</v>
      </c>
      <c r="AH984" s="69" t="s">
        <v>296</v>
      </c>
      <c r="AI984" s="243" t="s">
        <v>125</v>
      </c>
      <c r="AJ984" s="243" t="s">
        <v>419</v>
      </c>
      <c r="AK984" s="246"/>
      <c r="AL984" s="43" t="str">
        <f t="shared" si="260"/>
        <v>-</v>
      </c>
      <c r="AM984" s="43">
        <f t="shared" si="248"/>
        <v>0</v>
      </c>
      <c r="AN984" s="193">
        <f t="shared" si="248"/>
        <v>0</v>
      </c>
      <c r="AO984" s="270" t="str">
        <f t="shared" si="249"/>
        <v>-</v>
      </c>
      <c r="AP984" s="271"/>
      <c r="AQ984" s="26" t="str">
        <f t="shared" si="256"/>
        <v>KOOTOWIS CREEKChum</v>
      </c>
      <c r="AR984" s="26">
        <f t="shared" si="250"/>
        <v>0</v>
      </c>
      <c r="AS984" s="33">
        <f t="shared" si="251"/>
        <v>0</v>
      </c>
      <c r="AX984" s="47" t="str">
        <f t="shared" si="252"/>
        <v>KOOTOWIS CREEKChum</v>
      </c>
      <c r="AY984" s="49">
        <f t="shared" si="253"/>
        <v>0</v>
      </c>
      <c r="AZ984" s="49">
        <f t="shared" si="254"/>
        <v>0</v>
      </c>
      <c r="BA984" s="31">
        <v>2002</v>
      </c>
      <c r="BB984" s="188">
        <f t="shared" si="257"/>
        <v>0</v>
      </c>
      <c r="BC984" s="188" t="str">
        <f t="shared" si="261"/>
        <v xml:space="preserve"> </v>
      </c>
      <c r="BD984" s="188" t="str">
        <f t="shared" si="262"/>
        <v xml:space="preserve"> </v>
      </c>
      <c r="BE984" s="188" t="str">
        <f t="shared" si="263"/>
        <v xml:space="preserve"> </v>
      </c>
      <c r="BF984" s="50" t="str">
        <f t="shared" si="255"/>
        <v>KOOTOWIS CREEK_Chum</v>
      </c>
      <c r="BG984" s="50" t="str">
        <f>IFERROR(VLOOKUP(BF984,'[1]WCVI Esc'!$C$5:$W$514,18,FALSE),"-")</f>
        <v>-</v>
      </c>
      <c r="BH984" s="50" t="str">
        <f t="shared" si="258"/>
        <v>-</v>
      </c>
      <c r="BI984" s="50" t="str">
        <f>IFERROR(VLOOKUP(BF984,'[1]WCVI Esc'!$C$5:$W$514,19,FALSE),"-")</f>
        <v>-</v>
      </c>
      <c r="BJ984" s="50" t="str">
        <f t="shared" si="259"/>
        <v>-</v>
      </c>
    </row>
    <row r="985" spans="1:67" hidden="1" x14ac:dyDescent="0.2">
      <c r="A985" s="28">
        <v>4</v>
      </c>
      <c r="B985" s="28">
        <v>5</v>
      </c>
      <c r="C985" s="11">
        <v>24</v>
      </c>
      <c r="D985" s="13" t="s">
        <v>296</v>
      </c>
      <c r="E985" s="10" t="s">
        <v>125</v>
      </c>
      <c r="F985" s="10" t="s">
        <v>210</v>
      </c>
      <c r="G985" s="10"/>
      <c r="H985" s="152"/>
      <c r="I985" s="164"/>
      <c r="J985" s="62"/>
      <c r="K985" s="62"/>
      <c r="L985" s="177"/>
      <c r="M985" s="171"/>
      <c r="N985" s="62"/>
      <c r="O985" s="62"/>
      <c r="P985" s="62"/>
      <c r="Q985" s="64"/>
      <c r="R985" s="164"/>
      <c r="S985" s="62"/>
      <c r="T985" s="62"/>
      <c r="U985" s="62"/>
      <c r="V985" s="177"/>
      <c r="W985" s="171"/>
      <c r="X985" s="62"/>
      <c r="Y985" s="45"/>
      <c r="Z985" s="45"/>
      <c r="AA985" s="100"/>
      <c r="AB985" s="100"/>
      <c r="AC985" s="24"/>
      <c r="AD985" s="24"/>
      <c r="AE985" s="24"/>
      <c r="AF985" s="24"/>
      <c r="AG985" s="18">
        <v>24</v>
      </c>
      <c r="AH985" s="69" t="s">
        <v>296</v>
      </c>
      <c r="AI985" s="243" t="s">
        <v>125</v>
      </c>
      <c r="AJ985" s="243" t="s">
        <v>419</v>
      </c>
      <c r="AK985" s="246"/>
      <c r="AL985" s="43" t="str">
        <f t="shared" si="260"/>
        <v>-</v>
      </c>
      <c r="AM985" s="43">
        <f t="shared" si="248"/>
        <v>0</v>
      </c>
      <c r="AN985" s="193">
        <f t="shared" si="248"/>
        <v>0</v>
      </c>
      <c r="AO985" s="270" t="str">
        <f t="shared" si="249"/>
        <v>-</v>
      </c>
      <c r="AP985" s="271"/>
      <c r="AQ985" s="26" t="str">
        <f t="shared" si="256"/>
        <v>KOOTOWIS CREEKChinook</v>
      </c>
      <c r="AR985" s="26">
        <f t="shared" si="250"/>
        <v>0</v>
      </c>
      <c r="AS985" s="33">
        <f t="shared" si="251"/>
        <v>0</v>
      </c>
      <c r="AX985" s="47" t="str">
        <f t="shared" si="252"/>
        <v>KOOTOWIS CREEKChinook</v>
      </c>
      <c r="AY985" s="49">
        <f t="shared" si="253"/>
        <v>0</v>
      </c>
      <c r="AZ985" s="49">
        <f t="shared" si="254"/>
        <v>0</v>
      </c>
      <c r="BA985" s="31">
        <v>0</v>
      </c>
      <c r="BB985" s="188">
        <f t="shared" si="257"/>
        <v>0</v>
      </c>
      <c r="BC985" s="188" t="str">
        <f t="shared" si="261"/>
        <v xml:space="preserve"> </v>
      </c>
      <c r="BD985" s="188" t="str">
        <f t="shared" si="262"/>
        <v xml:space="preserve"> </v>
      </c>
      <c r="BE985" s="188" t="str">
        <f t="shared" si="263"/>
        <v xml:space="preserve"> </v>
      </c>
      <c r="BF985" s="50" t="str">
        <f t="shared" si="255"/>
        <v>KOOTOWIS CREEK_Chinook</v>
      </c>
      <c r="BG985" s="50" t="str">
        <f>IFERROR(VLOOKUP(BF985,'[1]WCVI Esc'!$C$5:$W$514,18,FALSE),"-")</f>
        <v>-</v>
      </c>
      <c r="BH985" s="50" t="str">
        <f t="shared" si="258"/>
        <v>-</v>
      </c>
      <c r="BI985" s="50" t="str">
        <f>IFERROR(VLOOKUP(BF985,'[1]WCVI Esc'!$C$5:$W$514,19,FALSE),"-")</f>
        <v>-</v>
      </c>
      <c r="BJ985" s="50" t="str">
        <f t="shared" si="259"/>
        <v>-</v>
      </c>
    </row>
    <row r="986" spans="1:67" hidden="1" x14ac:dyDescent="0.2">
      <c r="A986" s="28">
        <v>4</v>
      </c>
      <c r="B986" s="28">
        <v>6</v>
      </c>
      <c r="C986" s="11">
        <v>24</v>
      </c>
      <c r="D986" s="13" t="s">
        <v>296</v>
      </c>
      <c r="E986" s="10" t="s">
        <v>125</v>
      </c>
      <c r="F986" s="10" t="s">
        <v>211</v>
      </c>
      <c r="G986" s="10"/>
      <c r="H986" s="152"/>
      <c r="I986" s="164"/>
      <c r="J986" s="62"/>
      <c r="K986" s="62"/>
      <c r="L986" s="177"/>
      <c r="M986" s="171"/>
      <c r="N986" s="62"/>
      <c r="O986" s="62"/>
      <c r="P986" s="62"/>
      <c r="Q986" s="64"/>
      <c r="R986" s="164"/>
      <c r="S986" s="62"/>
      <c r="T986" s="62"/>
      <c r="U986" s="62"/>
      <c r="V986" s="177"/>
      <c r="W986" s="171"/>
      <c r="X986" s="62"/>
      <c r="Y986" s="45"/>
      <c r="Z986" s="45"/>
      <c r="AA986" s="100"/>
      <c r="AB986" s="100"/>
      <c r="AC986" s="24"/>
      <c r="AD986" s="24"/>
      <c r="AE986" s="24"/>
      <c r="AF986" s="24"/>
      <c r="AG986" s="18">
        <v>24</v>
      </c>
      <c r="AH986" s="69" t="s">
        <v>296</v>
      </c>
      <c r="AI986" s="243" t="s">
        <v>125</v>
      </c>
      <c r="AJ986" s="243" t="s">
        <v>419</v>
      </c>
      <c r="AK986" s="246"/>
      <c r="AL986" s="43" t="str">
        <f t="shared" si="260"/>
        <v>-</v>
      </c>
      <c r="AM986" s="43">
        <f t="shared" si="248"/>
        <v>0</v>
      </c>
      <c r="AN986" s="193">
        <f t="shared" si="248"/>
        <v>0</v>
      </c>
      <c r="AO986" s="270" t="str">
        <f t="shared" si="249"/>
        <v>-</v>
      </c>
      <c r="AP986" s="266"/>
      <c r="AQ986" s="26" t="str">
        <f t="shared" si="256"/>
        <v>KOOTOWIS CREEKSteelhead</v>
      </c>
      <c r="AR986" s="26">
        <f t="shared" si="250"/>
        <v>0</v>
      </c>
      <c r="AS986" s="33">
        <f t="shared" si="251"/>
        <v>0</v>
      </c>
      <c r="AX986" s="47" t="str">
        <f t="shared" si="252"/>
        <v>KOOTOWIS CREEKSteelhead</v>
      </c>
      <c r="AY986" s="49">
        <f t="shared" si="253"/>
        <v>0</v>
      </c>
      <c r="AZ986" s="49">
        <f t="shared" si="254"/>
        <v>0</v>
      </c>
      <c r="BA986" s="31">
        <v>0</v>
      </c>
      <c r="BB986" s="188">
        <f t="shared" si="257"/>
        <v>0</v>
      </c>
      <c r="BC986" s="188" t="str">
        <f t="shared" si="261"/>
        <v xml:space="preserve"> </v>
      </c>
      <c r="BD986" s="188" t="str">
        <f t="shared" si="262"/>
        <v xml:space="preserve"> </v>
      </c>
      <c r="BE986" s="188" t="str">
        <f t="shared" si="263"/>
        <v xml:space="preserve"> </v>
      </c>
      <c r="BF986" s="50" t="str">
        <f t="shared" si="255"/>
        <v>KOOTOWIS CREEK_Steelhead</v>
      </c>
      <c r="BG986" s="50" t="str">
        <f>IFERROR(VLOOKUP(BF986,'[1]WCVI Esc'!$C$5:$W$514,18,FALSE),"-")</f>
        <v>-</v>
      </c>
      <c r="BH986" s="50" t="str">
        <f t="shared" si="258"/>
        <v>-</v>
      </c>
      <c r="BI986" s="50" t="str">
        <f>IFERROR(VLOOKUP(BF986,'[1]WCVI Esc'!$C$5:$W$514,19,FALSE),"-")</f>
        <v>-</v>
      </c>
      <c r="BJ986" s="50" t="str">
        <f t="shared" si="259"/>
        <v>-</v>
      </c>
    </row>
    <row r="987" spans="1:67" hidden="1" x14ac:dyDescent="0.2">
      <c r="A987" s="28">
        <v>4</v>
      </c>
      <c r="B987" s="28">
        <v>1</v>
      </c>
      <c r="C987" s="11">
        <v>24</v>
      </c>
      <c r="D987" s="13" t="s">
        <v>297</v>
      </c>
      <c r="E987" s="10" t="s">
        <v>126</v>
      </c>
      <c r="F987" s="10" t="s">
        <v>207</v>
      </c>
      <c r="G987" s="10"/>
      <c r="H987" s="152"/>
      <c r="I987" s="164"/>
      <c r="J987" s="62"/>
      <c r="K987" s="62"/>
      <c r="L987" s="177"/>
      <c r="M987" s="171"/>
      <c r="N987" s="62"/>
      <c r="O987" s="62"/>
      <c r="P987" s="62"/>
      <c r="Q987" s="64"/>
      <c r="R987" s="164"/>
      <c r="S987" s="62"/>
      <c r="T987" s="62"/>
      <c r="U987" s="62"/>
      <c r="V987" s="177"/>
      <c r="W987" s="171"/>
      <c r="X987" s="62"/>
      <c r="Y987" s="45"/>
      <c r="Z987" s="45"/>
      <c r="AA987" s="100"/>
      <c r="AB987" s="100"/>
      <c r="AC987" s="24"/>
      <c r="AD987" s="24"/>
      <c r="AE987" s="24"/>
      <c r="AF987" s="24"/>
      <c r="AG987" s="18">
        <v>24</v>
      </c>
      <c r="AH987" s="69" t="s">
        <v>297</v>
      </c>
      <c r="AI987" s="243" t="s">
        <v>126</v>
      </c>
      <c r="AJ987" s="243" t="s">
        <v>419</v>
      </c>
      <c r="AK987" s="246"/>
      <c r="AL987" s="43" t="str">
        <f t="shared" si="260"/>
        <v>-</v>
      </c>
      <c r="AM987" s="43">
        <f t="shared" si="248"/>
        <v>0</v>
      </c>
      <c r="AN987" s="193">
        <f t="shared" si="248"/>
        <v>0</v>
      </c>
      <c r="AO987" s="270" t="str">
        <f t="shared" si="249"/>
        <v>-</v>
      </c>
      <c r="AP987" s="266"/>
      <c r="AQ987" s="26" t="str">
        <f t="shared" si="256"/>
        <v>LITTLE WHITEPINE COVE #1 CREEKSockeye</v>
      </c>
      <c r="AR987" s="26">
        <f t="shared" si="250"/>
        <v>0</v>
      </c>
      <c r="AS987" s="33">
        <f t="shared" si="251"/>
        <v>0</v>
      </c>
      <c r="AX987" s="47" t="str">
        <f t="shared" si="252"/>
        <v>LITTLE WHITEPINE COVE #1 CREEKSockeye</v>
      </c>
      <c r="AY987" s="49">
        <f t="shared" si="253"/>
        <v>0</v>
      </c>
      <c r="AZ987" s="49">
        <f t="shared" si="254"/>
        <v>0</v>
      </c>
      <c r="BA987" s="31">
        <v>0</v>
      </c>
      <c r="BB987" s="188">
        <f t="shared" si="257"/>
        <v>0</v>
      </c>
      <c r="BC987" s="188" t="str">
        <f t="shared" si="261"/>
        <v xml:space="preserve"> </v>
      </c>
      <c r="BD987" s="188" t="str">
        <f t="shared" si="262"/>
        <v xml:space="preserve"> </v>
      </c>
      <c r="BE987" s="188" t="str">
        <f t="shared" si="263"/>
        <v xml:space="preserve"> </v>
      </c>
      <c r="BF987" s="50" t="str">
        <f t="shared" si="255"/>
        <v>LITTLE WHITEPINE COVE #1 CREEK_Sockeye</v>
      </c>
      <c r="BG987" s="50" t="str">
        <f>IFERROR(VLOOKUP(BF987,'[1]WCVI Esc'!$C$5:$W$514,18,FALSE),"-")</f>
        <v>-</v>
      </c>
      <c r="BH987" s="50" t="str">
        <f t="shared" si="258"/>
        <v>-</v>
      </c>
      <c r="BI987" s="50" t="str">
        <f>IFERROR(VLOOKUP(BF987,'[1]WCVI Esc'!$C$5:$W$514,19,FALSE),"-")</f>
        <v>-</v>
      </c>
      <c r="BJ987" s="50" t="str">
        <f t="shared" si="259"/>
        <v>-</v>
      </c>
    </row>
    <row r="988" spans="1:67" hidden="1" x14ac:dyDescent="0.2">
      <c r="A988" s="28">
        <v>4</v>
      </c>
      <c r="B988" s="28">
        <v>2</v>
      </c>
      <c r="C988" s="11">
        <v>24</v>
      </c>
      <c r="D988" s="13" t="s">
        <v>297</v>
      </c>
      <c r="E988" s="10" t="s">
        <v>126</v>
      </c>
      <c r="F988" s="10" t="s">
        <v>219</v>
      </c>
      <c r="G988" s="10"/>
      <c r="H988" s="152"/>
      <c r="I988" s="164"/>
      <c r="J988" s="62"/>
      <c r="K988" s="62"/>
      <c r="L988" s="177"/>
      <c r="M988" s="171"/>
      <c r="N988" s="62"/>
      <c r="O988" s="62"/>
      <c r="P988" s="62"/>
      <c r="Q988" s="64"/>
      <c r="R988" s="164"/>
      <c r="S988" s="62"/>
      <c r="T988" s="62"/>
      <c r="U988" s="62"/>
      <c r="V988" s="177"/>
      <c r="W988" s="171"/>
      <c r="X988" s="62"/>
      <c r="Y988" s="45"/>
      <c r="Z988" s="45"/>
      <c r="AA988" s="100"/>
      <c r="AB988" s="100"/>
      <c r="AC988" s="24"/>
      <c r="AD988" s="24"/>
      <c r="AE988" s="24"/>
      <c r="AF988" s="24"/>
      <c r="AG988" s="18">
        <v>24</v>
      </c>
      <c r="AH988" s="69" t="s">
        <v>297</v>
      </c>
      <c r="AI988" s="243" t="s">
        <v>126</v>
      </c>
      <c r="AJ988" s="243" t="s">
        <v>419</v>
      </c>
      <c r="AK988" s="246"/>
      <c r="AL988" s="43" t="str">
        <f t="shared" si="260"/>
        <v>-</v>
      </c>
      <c r="AM988" s="43">
        <f t="shared" si="248"/>
        <v>0</v>
      </c>
      <c r="AN988" s="193">
        <f t="shared" si="248"/>
        <v>0</v>
      </c>
      <c r="AO988" s="270" t="str">
        <f t="shared" si="249"/>
        <v>-</v>
      </c>
      <c r="AP988" s="266"/>
      <c r="AQ988" s="26" t="str">
        <f t="shared" si="256"/>
        <v>LITTLE WHITEPINE COVE #1 CREEKCoho</v>
      </c>
      <c r="AR988" s="26">
        <f t="shared" si="250"/>
        <v>0</v>
      </c>
      <c r="AS988" s="33">
        <f t="shared" si="251"/>
        <v>0</v>
      </c>
      <c r="AX988" s="47" t="str">
        <f t="shared" si="252"/>
        <v>LITTLE WHITEPINE COVE #1 CREEKCoho</v>
      </c>
      <c r="AY988" s="49">
        <f t="shared" si="253"/>
        <v>0</v>
      </c>
      <c r="AZ988" s="49">
        <f t="shared" si="254"/>
        <v>0</v>
      </c>
      <c r="BA988" s="31">
        <v>0</v>
      </c>
      <c r="BB988" s="188">
        <f t="shared" si="257"/>
        <v>0</v>
      </c>
      <c r="BC988" s="188" t="str">
        <f t="shared" si="261"/>
        <v xml:space="preserve"> </v>
      </c>
      <c r="BD988" s="188" t="str">
        <f t="shared" si="262"/>
        <v xml:space="preserve"> </v>
      </c>
      <c r="BE988" s="188" t="str">
        <f t="shared" si="263"/>
        <v xml:space="preserve"> </v>
      </c>
      <c r="BF988" s="50" t="str">
        <f t="shared" si="255"/>
        <v>LITTLE WHITEPINE COVE #1 CREEK_Coho</v>
      </c>
      <c r="BG988" s="50" t="str">
        <f>IFERROR(VLOOKUP(BF988,'[1]WCVI Esc'!$C$5:$W$514,18,FALSE),"-")</f>
        <v>-</v>
      </c>
      <c r="BH988" s="50" t="str">
        <f t="shared" si="258"/>
        <v>-</v>
      </c>
      <c r="BI988" s="50" t="str">
        <f>IFERROR(VLOOKUP(BF988,'[1]WCVI Esc'!$C$5:$W$514,19,FALSE),"-")</f>
        <v>-</v>
      </c>
      <c r="BJ988" s="50" t="str">
        <f t="shared" si="259"/>
        <v>-</v>
      </c>
    </row>
    <row r="989" spans="1:67" hidden="1" x14ac:dyDescent="0.2">
      <c r="A989" s="28">
        <v>4</v>
      </c>
      <c r="B989" s="28">
        <v>3</v>
      </c>
      <c r="C989" s="11">
        <v>24</v>
      </c>
      <c r="D989" s="13" t="s">
        <v>297</v>
      </c>
      <c r="E989" s="10" t="s">
        <v>126</v>
      </c>
      <c r="F989" s="10" t="s">
        <v>208</v>
      </c>
      <c r="G989" s="10"/>
      <c r="H989" s="152"/>
      <c r="I989" s="164"/>
      <c r="J989" s="62"/>
      <c r="K989" s="62"/>
      <c r="L989" s="177"/>
      <c r="M989" s="171"/>
      <c r="N989" s="62"/>
      <c r="O989" s="62"/>
      <c r="P989" s="62"/>
      <c r="Q989" s="64"/>
      <c r="R989" s="164"/>
      <c r="S989" s="62"/>
      <c r="T989" s="62"/>
      <c r="U989" s="62"/>
      <c r="V989" s="177"/>
      <c r="W989" s="171"/>
      <c r="X989" s="62"/>
      <c r="Y989" s="45"/>
      <c r="Z989" s="45"/>
      <c r="AA989" s="100"/>
      <c r="AB989" s="100"/>
      <c r="AC989" s="24"/>
      <c r="AD989" s="24"/>
      <c r="AE989" s="24"/>
      <c r="AF989" s="24"/>
      <c r="AG989" s="18">
        <v>24</v>
      </c>
      <c r="AH989" s="69" t="s">
        <v>297</v>
      </c>
      <c r="AI989" s="243" t="s">
        <v>126</v>
      </c>
      <c r="AJ989" s="243" t="s">
        <v>419</v>
      </c>
      <c r="AK989" s="246"/>
      <c r="AL989" s="43" t="str">
        <f t="shared" si="260"/>
        <v>-</v>
      </c>
      <c r="AM989" s="43">
        <f t="shared" si="248"/>
        <v>0</v>
      </c>
      <c r="AN989" s="193">
        <f t="shared" si="248"/>
        <v>0</v>
      </c>
      <c r="AO989" s="270" t="str">
        <f t="shared" si="249"/>
        <v>-</v>
      </c>
      <c r="AP989" s="266"/>
      <c r="AQ989" s="26" t="str">
        <f t="shared" si="256"/>
        <v>LITTLE WHITEPINE COVE #1 CREEKPink</v>
      </c>
      <c r="AR989" s="26">
        <f t="shared" si="250"/>
        <v>0</v>
      </c>
      <c r="AS989" s="33">
        <f t="shared" si="251"/>
        <v>0</v>
      </c>
      <c r="AX989" s="47" t="str">
        <f t="shared" si="252"/>
        <v>LITTLE WHITEPINE COVE #1 CREEKPink</v>
      </c>
      <c r="AY989" s="49">
        <f t="shared" si="253"/>
        <v>0</v>
      </c>
      <c r="AZ989" s="49">
        <f t="shared" si="254"/>
        <v>0</v>
      </c>
      <c r="BA989" s="31">
        <v>0</v>
      </c>
      <c r="BB989" s="188">
        <f t="shared" si="257"/>
        <v>0</v>
      </c>
      <c r="BC989" s="188" t="str">
        <f t="shared" si="261"/>
        <v xml:space="preserve"> </v>
      </c>
      <c r="BD989" s="188" t="str">
        <f t="shared" si="262"/>
        <v xml:space="preserve"> </v>
      </c>
      <c r="BE989" s="188" t="str">
        <f t="shared" si="263"/>
        <v xml:space="preserve"> </v>
      </c>
      <c r="BF989" s="50" t="str">
        <f t="shared" si="255"/>
        <v>LITTLE WHITEPINE COVE #1 CREEK_Pink</v>
      </c>
      <c r="BG989" s="50" t="str">
        <f>IFERROR(VLOOKUP(BF989,'[1]WCVI Esc'!$C$5:$W$514,18,FALSE),"-")</f>
        <v>-</v>
      </c>
      <c r="BH989" s="50" t="str">
        <f t="shared" si="258"/>
        <v>-</v>
      </c>
      <c r="BI989" s="50" t="str">
        <f>IFERROR(VLOOKUP(BF989,'[1]WCVI Esc'!$C$5:$W$514,19,FALSE),"-")</f>
        <v>-</v>
      </c>
      <c r="BJ989" s="50" t="str">
        <f t="shared" si="259"/>
        <v>-</v>
      </c>
    </row>
    <row r="990" spans="1:67" hidden="1" x14ac:dyDescent="0.2">
      <c r="A990" s="28">
        <v>4</v>
      </c>
      <c r="B990" s="28">
        <v>4</v>
      </c>
      <c r="C990" s="11">
        <v>24</v>
      </c>
      <c r="D990" s="13" t="s">
        <v>297</v>
      </c>
      <c r="E990" s="10" t="s">
        <v>126</v>
      </c>
      <c r="F990" s="10" t="s">
        <v>209</v>
      </c>
      <c r="G990" s="10"/>
      <c r="H990" s="152"/>
      <c r="I990" s="164"/>
      <c r="J990" s="62"/>
      <c r="K990" s="62"/>
      <c r="L990" s="177"/>
      <c r="M990" s="171"/>
      <c r="N990" s="62"/>
      <c r="O990" s="62"/>
      <c r="P990" s="62"/>
      <c r="Q990" s="64"/>
      <c r="R990" s="164"/>
      <c r="S990" s="62"/>
      <c r="T990" s="62"/>
      <c r="U990" s="62"/>
      <c r="V990" s="177"/>
      <c r="W990" s="171"/>
      <c r="X990" s="62"/>
      <c r="Y990" s="45"/>
      <c r="Z990" s="45"/>
      <c r="AA990" s="100"/>
      <c r="AB990" s="100"/>
      <c r="AC990" s="24"/>
      <c r="AD990" s="24"/>
      <c r="AE990" s="24"/>
      <c r="AF990" s="24"/>
      <c r="AG990" s="18">
        <v>24</v>
      </c>
      <c r="AH990" s="69" t="s">
        <v>297</v>
      </c>
      <c r="AI990" s="243" t="s">
        <v>126</v>
      </c>
      <c r="AJ990" s="243" t="s">
        <v>419</v>
      </c>
      <c r="AK990" s="246"/>
      <c r="AL990" s="43" t="str">
        <f t="shared" si="260"/>
        <v>-</v>
      </c>
      <c r="AM990" s="43">
        <f t="shared" si="248"/>
        <v>0</v>
      </c>
      <c r="AN990" s="193">
        <f t="shared" si="248"/>
        <v>0</v>
      </c>
      <c r="AO990" s="270" t="str">
        <f t="shared" si="249"/>
        <v>-</v>
      </c>
      <c r="AP990" s="266"/>
      <c r="AQ990" s="26" t="str">
        <f t="shared" si="256"/>
        <v>LITTLE WHITEPINE COVE #1 CREEKChum</v>
      </c>
      <c r="AR990" s="26">
        <f t="shared" si="250"/>
        <v>0</v>
      </c>
      <c r="AS990" s="33">
        <f t="shared" si="251"/>
        <v>0</v>
      </c>
      <c r="AX990" s="47" t="str">
        <f t="shared" si="252"/>
        <v>LITTLE WHITEPINE COVE #1 CREEKChum</v>
      </c>
      <c r="AY990" s="49">
        <f t="shared" si="253"/>
        <v>0</v>
      </c>
      <c r="AZ990" s="49">
        <f t="shared" si="254"/>
        <v>0</v>
      </c>
      <c r="BA990" s="31">
        <v>1997</v>
      </c>
      <c r="BB990" s="188">
        <f t="shared" si="257"/>
        <v>0</v>
      </c>
      <c r="BC990" s="188" t="str">
        <f t="shared" si="261"/>
        <v xml:space="preserve"> </v>
      </c>
      <c r="BD990" s="188" t="str">
        <f t="shared" si="262"/>
        <v xml:space="preserve"> </v>
      </c>
      <c r="BE990" s="188" t="str">
        <f t="shared" si="263"/>
        <v xml:space="preserve"> </v>
      </c>
      <c r="BF990" s="50" t="str">
        <f t="shared" si="255"/>
        <v>LITTLE WHITEPINE COVE #1 CREEK_Chum</v>
      </c>
      <c r="BG990" s="50" t="str">
        <f>IFERROR(VLOOKUP(BF990,'[1]WCVI Esc'!$C$5:$W$514,18,FALSE),"-")</f>
        <v>-</v>
      </c>
      <c r="BH990" s="50" t="str">
        <f t="shared" si="258"/>
        <v>-</v>
      </c>
      <c r="BI990" s="50" t="str">
        <f>IFERROR(VLOOKUP(BF990,'[1]WCVI Esc'!$C$5:$W$514,19,FALSE),"-")</f>
        <v>-</v>
      </c>
      <c r="BJ990" s="50" t="str">
        <f t="shared" si="259"/>
        <v>-</v>
      </c>
    </row>
    <row r="991" spans="1:67" hidden="1" x14ac:dyDescent="0.2">
      <c r="A991" s="28">
        <v>4</v>
      </c>
      <c r="B991" s="28">
        <v>5</v>
      </c>
      <c r="C991" s="11">
        <v>24</v>
      </c>
      <c r="D991" s="13" t="s">
        <v>297</v>
      </c>
      <c r="E991" s="10" t="s">
        <v>126</v>
      </c>
      <c r="F991" s="10" t="s">
        <v>210</v>
      </c>
      <c r="G991" s="10"/>
      <c r="H991" s="152"/>
      <c r="I991" s="164"/>
      <c r="J991" s="62"/>
      <c r="K991" s="62"/>
      <c r="L991" s="177"/>
      <c r="M991" s="171"/>
      <c r="N991" s="62"/>
      <c r="O991" s="62"/>
      <c r="P991" s="62"/>
      <c r="Q991" s="64"/>
      <c r="R991" s="164"/>
      <c r="S991" s="62"/>
      <c r="T991" s="62"/>
      <c r="U991" s="62"/>
      <c r="V991" s="177"/>
      <c r="W991" s="171"/>
      <c r="X991" s="62"/>
      <c r="Y991" s="45"/>
      <c r="Z991" s="45"/>
      <c r="AA991" s="100"/>
      <c r="AB991" s="100"/>
      <c r="AC991" s="24"/>
      <c r="AD991" s="24"/>
      <c r="AE991" s="24"/>
      <c r="AF991" s="24"/>
      <c r="AG991" s="18">
        <v>24</v>
      </c>
      <c r="AH991" s="69" t="s">
        <v>297</v>
      </c>
      <c r="AI991" s="243" t="s">
        <v>126</v>
      </c>
      <c r="AJ991" s="243" t="s">
        <v>419</v>
      </c>
      <c r="AK991" s="246"/>
      <c r="AL991" s="43" t="str">
        <f t="shared" si="260"/>
        <v>-</v>
      </c>
      <c r="AM991" s="43">
        <f t="shared" si="248"/>
        <v>0</v>
      </c>
      <c r="AN991" s="193">
        <f t="shared" si="248"/>
        <v>0</v>
      </c>
      <c r="AO991" s="270" t="str">
        <f t="shared" si="249"/>
        <v>-</v>
      </c>
      <c r="AP991" s="266"/>
      <c r="AQ991" s="26" t="str">
        <f t="shared" si="256"/>
        <v>LITTLE WHITEPINE COVE #1 CREEKChinook</v>
      </c>
      <c r="AR991" s="26">
        <f t="shared" si="250"/>
        <v>0</v>
      </c>
      <c r="AS991" s="33">
        <f t="shared" si="251"/>
        <v>0</v>
      </c>
      <c r="AX991" s="47" t="str">
        <f t="shared" si="252"/>
        <v>LITTLE WHITEPINE COVE #1 CREEKChinook</v>
      </c>
      <c r="AY991" s="49">
        <f t="shared" si="253"/>
        <v>0</v>
      </c>
      <c r="AZ991" s="49">
        <f t="shared" si="254"/>
        <v>0</v>
      </c>
      <c r="BA991" s="31">
        <v>0</v>
      </c>
      <c r="BB991" s="188">
        <f t="shared" si="257"/>
        <v>0</v>
      </c>
      <c r="BC991" s="188" t="str">
        <f t="shared" si="261"/>
        <v xml:space="preserve"> </v>
      </c>
      <c r="BD991" s="188" t="str">
        <f t="shared" si="262"/>
        <v xml:space="preserve"> </v>
      </c>
      <c r="BE991" s="188" t="str">
        <f t="shared" si="263"/>
        <v xml:space="preserve"> </v>
      </c>
      <c r="BF991" s="50" t="str">
        <f t="shared" si="255"/>
        <v>LITTLE WHITEPINE COVE #1 CREEK_Chinook</v>
      </c>
      <c r="BG991" s="50" t="str">
        <f>IFERROR(VLOOKUP(BF991,'[1]WCVI Esc'!$C$5:$W$514,18,FALSE),"-")</f>
        <v>-</v>
      </c>
      <c r="BH991" s="50" t="str">
        <f t="shared" si="258"/>
        <v>-</v>
      </c>
      <c r="BI991" s="50" t="str">
        <f>IFERROR(VLOOKUP(BF991,'[1]WCVI Esc'!$C$5:$W$514,19,FALSE),"-")</f>
        <v>-</v>
      </c>
      <c r="BJ991" s="50" t="str">
        <f t="shared" si="259"/>
        <v>-</v>
      </c>
    </row>
    <row r="992" spans="1:67" hidden="1" x14ac:dyDescent="0.2">
      <c r="A992" s="28">
        <v>4</v>
      </c>
      <c r="B992" s="28">
        <v>6</v>
      </c>
      <c r="C992" s="11">
        <v>24</v>
      </c>
      <c r="D992" s="13" t="s">
        <v>297</v>
      </c>
      <c r="E992" s="10" t="s">
        <v>126</v>
      </c>
      <c r="F992" s="10" t="s">
        <v>211</v>
      </c>
      <c r="G992" s="10"/>
      <c r="H992" s="152"/>
      <c r="I992" s="164"/>
      <c r="J992" s="62"/>
      <c r="K992" s="62"/>
      <c r="L992" s="177"/>
      <c r="M992" s="171"/>
      <c r="N992" s="62"/>
      <c r="O992" s="62"/>
      <c r="P992" s="62"/>
      <c r="Q992" s="64"/>
      <c r="R992" s="164"/>
      <c r="S992" s="62"/>
      <c r="T992" s="62"/>
      <c r="U992" s="62"/>
      <c r="V992" s="177"/>
      <c r="W992" s="171"/>
      <c r="X992" s="62"/>
      <c r="Y992" s="45"/>
      <c r="Z992" s="45"/>
      <c r="AA992" s="100"/>
      <c r="AB992" s="100"/>
      <c r="AC992" s="24"/>
      <c r="AD992" s="24"/>
      <c r="AE992" s="24"/>
      <c r="AF992" s="24"/>
      <c r="AG992" s="18">
        <v>24</v>
      </c>
      <c r="AH992" s="69" t="s">
        <v>297</v>
      </c>
      <c r="AI992" s="243" t="s">
        <v>126</v>
      </c>
      <c r="AJ992" s="243" t="s">
        <v>419</v>
      </c>
      <c r="AK992" s="246"/>
      <c r="AL992" s="43" t="str">
        <f t="shared" si="260"/>
        <v>-</v>
      </c>
      <c r="AM992" s="43">
        <f t="shared" si="248"/>
        <v>0</v>
      </c>
      <c r="AN992" s="193">
        <f t="shared" si="248"/>
        <v>0</v>
      </c>
      <c r="AO992" s="270" t="str">
        <f t="shared" si="249"/>
        <v>-</v>
      </c>
      <c r="AP992" s="266"/>
      <c r="AQ992" s="26" t="str">
        <f t="shared" si="256"/>
        <v>LITTLE WHITEPINE COVE #1 CREEKSteelhead</v>
      </c>
      <c r="AR992" s="26">
        <f t="shared" si="250"/>
        <v>0</v>
      </c>
      <c r="AS992" s="33">
        <f t="shared" si="251"/>
        <v>0</v>
      </c>
      <c r="AX992" s="47" t="str">
        <f t="shared" si="252"/>
        <v>LITTLE WHITEPINE COVE #1 CREEKSteelhead</v>
      </c>
      <c r="AY992" s="49">
        <f t="shared" si="253"/>
        <v>0</v>
      </c>
      <c r="AZ992" s="49">
        <f t="shared" si="254"/>
        <v>0</v>
      </c>
      <c r="BA992" s="31">
        <v>0</v>
      </c>
      <c r="BB992" s="188">
        <f t="shared" si="257"/>
        <v>0</v>
      </c>
      <c r="BC992" s="188" t="str">
        <f t="shared" si="261"/>
        <v xml:space="preserve"> </v>
      </c>
      <c r="BD992" s="188" t="str">
        <f t="shared" si="262"/>
        <v xml:space="preserve"> </v>
      </c>
      <c r="BE992" s="188" t="str">
        <f t="shared" si="263"/>
        <v xml:space="preserve"> </v>
      </c>
      <c r="BF992" s="50" t="str">
        <f t="shared" si="255"/>
        <v>LITTLE WHITEPINE COVE #1 CREEK_Steelhead</v>
      </c>
      <c r="BG992" s="50" t="str">
        <f>IFERROR(VLOOKUP(BF992,'[1]WCVI Esc'!$C$5:$W$514,18,FALSE),"-")</f>
        <v>-</v>
      </c>
      <c r="BH992" s="50" t="str">
        <f t="shared" si="258"/>
        <v>-</v>
      </c>
      <c r="BI992" s="50" t="str">
        <f>IFERROR(VLOOKUP(BF992,'[1]WCVI Esc'!$C$5:$W$514,19,FALSE),"-")</f>
        <v>-</v>
      </c>
      <c r="BJ992" s="50" t="str">
        <f t="shared" si="259"/>
        <v>-</v>
      </c>
    </row>
    <row r="993" spans="1:67" hidden="1" x14ac:dyDescent="0.2">
      <c r="A993" s="28">
        <v>4</v>
      </c>
      <c r="B993" s="28">
        <v>1</v>
      </c>
      <c r="C993" s="11">
        <v>24</v>
      </c>
      <c r="D993" s="13" t="s">
        <v>305</v>
      </c>
      <c r="E993" s="10" t="s">
        <v>194</v>
      </c>
      <c r="F993" s="10" t="s">
        <v>207</v>
      </c>
      <c r="G993" s="10"/>
      <c r="H993" s="152"/>
      <c r="I993" s="155"/>
      <c r="J993" s="106"/>
      <c r="K993" s="94"/>
      <c r="L993" s="180"/>
      <c r="M993" s="173"/>
      <c r="N993" s="106"/>
      <c r="O993" s="106"/>
      <c r="P993" s="63"/>
      <c r="Q993" s="166"/>
      <c r="R993" s="164"/>
      <c r="S993" s="144"/>
      <c r="T993" s="144"/>
      <c r="U993" s="144"/>
      <c r="V993" s="183"/>
      <c r="W993" s="175"/>
      <c r="X993" s="144"/>
      <c r="Y993" s="45"/>
      <c r="Z993" s="45"/>
      <c r="AA993" s="100"/>
      <c r="AB993" s="100"/>
      <c r="AC993" s="24"/>
      <c r="AD993" s="24"/>
      <c r="AE993" s="24"/>
      <c r="AF993" s="24"/>
      <c r="AG993" s="18">
        <v>24</v>
      </c>
      <c r="AH993" s="69" t="s">
        <v>305</v>
      </c>
      <c r="AI993" s="243" t="s">
        <v>194</v>
      </c>
      <c r="AJ993" s="243" t="s">
        <v>419</v>
      </c>
      <c r="AK993" s="244" t="s">
        <v>351</v>
      </c>
      <c r="AL993" s="43" t="str">
        <f t="shared" si="260"/>
        <v>-</v>
      </c>
      <c r="AM993" s="43">
        <f t="shared" si="248"/>
        <v>0</v>
      </c>
      <c r="AN993" s="193">
        <f t="shared" si="248"/>
        <v>0</v>
      </c>
      <c r="AO993" s="264" t="str">
        <f t="shared" si="249"/>
        <v>-</v>
      </c>
      <c r="AP993" s="266"/>
      <c r="AQ993" s="26" t="str">
        <f t="shared" si="256"/>
        <v>LOST SHOE CREEKSockeye</v>
      </c>
      <c r="AR993" s="26">
        <f t="shared" si="250"/>
        <v>0</v>
      </c>
      <c r="AS993" s="33">
        <f t="shared" si="251"/>
        <v>0</v>
      </c>
      <c r="AX993" s="47" t="str">
        <f t="shared" si="252"/>
        <v>LOST SHOE CREEKSockeye</v>
      </c>
      <c r="AY993" s="49">
        <f t="shared" si="253"/>
        <v>0</v>
      </c>
      <c r="AZ993" s="49">
        <f t="shared" si="254"/>
        <v>0</v>
      </c>
      <c r="BA993" s="31">
        <v>0</v>
      </c>
      <c r="BB993" s="188" t="str">
        <f t="shared" si="257"/>
        <v>CWFS</v>
      </c>
      <c r="BC993" s="188" t="str">
        <f t="shared" si="261"/>
        <v xml:space="preserve"> </v>
      </c>
      <c r="BD993" s="188" t="str">
        <f t="shared" si="262"/>
        <v xml:space="preserve"> </v>
      </c>
      <c r="BE993" s="188" t="str">
        <f t="shared" si="263"/>
        <v xml:space="preserve"> </v>
      </c>
      <c r="BF993" s="50" t="str">
        <f t="shared" si="255"/>
        <v>LOST SHOE CREEK_Sockeye</v>
      </c>
      <c r="BG993" s="50" t="str">
        <f>IFERROR(VLOOKUP(BF993,'[1]WCVI Esc'!$C$5:$W$534,18,FALSE),"-")</f>
        <v>-</v>
      </c>
      <c r="BH993" s="50" t="str">
        <f t="shared" si="258"/>
        <v>-</v>
      </c>
      <c r="BI993" s="50" t="str">
        <f>IFERROR(VLOOKUP(BF993,'[1]WCVI Esc'!$C$5:$W$534,19,FALSE),"-")</f>
        <v>-</v>
      </c>
      <c r="BJ993" s="50" t="str">
        <f t="shared" si="259"/>
        <v>-</v>
      </c>
    </row>
    <row r="994" spans="1:67" hidden="1" x14ac:dyDescent="0.2">
      <c r="A994" s="28">
        <v>4</v>
      </c>
      <c r="B994" s="28">
        <v>2</v>
      </c>
      <c r="C994" s="11">
        <v>24</v>
      </c>
      <c r="D994" s="13" t="s">
        <v>305</v>
      </c>
      <c r="E994" s="10" t="s">
        <v>194</v>
      </c>
      <c r="F994" s="10" t="s">
        <v>219</v>
      </c>
      <c r="G994" s="10"/>
      <c r="H994" s="152"/>
      <c r="I994" s="155"/>
      <c r="J994" s="106"/>
      <c r="K994" s="94"/>
      <c r="L994" s="180"/>
      <c r="M994" s="173"/>
      <c r="N994" s="106"/>
      <c r="O994" s="106"/>
      <c r="P994" s="63"/>
      <c r="Q994" s="166"/>
      <c r="R994" s="164"/>
      <c r="S994" s="144"/>
      <c r="T994" s="145"/>
      <c r="U994" s="144"/>
      <c r="V994" s="183"/>
      <c r="W994" s="175"/>
      <c r="X994" s="144"/>
      <c r="Y994" s="45"/>
      <c r="Z994" s="45"/>
      <c r="AA994" s="100"/>
      <c r="AB994" s="100"/>
      <c r="AC994" s="24"/>
      <c r="AD994" s="24"/>
      <c r="AE994" s="24"/>
      <c r="AF994" s="24"/>
      <c r="AG994" s="18">
        <v>24</v>
      </c>
      <c r="AH994" s="69" t="s">
        <v>305</v>
      </c>
      <c r="AI994" s="243" t="s">
        <v>194</v>
      </c>
      <c r="AJ994" s="243" t="s">
        <v>419</v>
      </c>
      <c r="AK994" s="244" t="s">
        <v>351</v>
      </c>
      <c r="AL994" s="43" t="str">
        <f t="shared" si="260"/>
        <v>-</v>
      </c>
      <c r="AM994" s="43">
        <f t="shared" si="248"/>
        <v>0</v>
      </c>
      <c r="AN994" s="193">
        <f t="shared" si="248"/>
        <v>0</v>
      </c>
      <c r="AO994" s="264" t="str">
        <f t="shared" si="249"/>
        <v>-</v>
      </c>
      <c r="AP994" s="266"/>
      <c r="AQ994" s="26" t="str">
        <f t="shared" si="256"/>
        <v>LOST SHOE CREEKCoho</v>
      </c>
      <c r="AR994" s="26">
        <f t="shared" si="250"/>
        <v>0</v>
      </c>
      <c r="AS994" s="33">
        <f t="shared" si="251"/>
        <v>0</v>
      </c>
      <c r="AX994" s="47" t="str">
        <f t="shared" si="252"/>
        <v>LOST SHOE CREEKCoho</v>
      </c>
      <c r="AY994" s="49">
        <f t="shared" si="253"/>
        <v>0</v>
      </c>
      <c r="AZ994" s="49">
        <f t="shared" si="254"/>
        <v>0</v>
      </c>
      <c r="BA994" s="31">
        <v>2016</v>
      </c>
      <c r="BB994" s="188" t="str">
        <f t="shared" si="257"/>
        <v>CWFS</v>
      </c>
      <c r="BC994" s="188" t="str">
        <f t="shared" si="261"/>
        <v xml:space="preserve"> </v>
      </c>
      <c r="BD994" s="188" t="str">
        <f t="shared" si="262"/>
        <v xml:space="preserve"> </v>
      </c>
      <c r="BE994" s="188" t="str">
        <f t="shared" si="263"/>
        <v xml:space="preserve"> </v>
      </c>
      <c r="BF994" s="50" t="str">
        <f t="shared" si="255"/>
        <v>LOST SHOE CREEK_Coho</v>
      </c>
      <c r="BG994" s="50" t="str">
        <f>IFERROR(VLOOKUP(BF994,'[1]WCVI Esc'!$C$5:$W$534,18,FALSE),"-")</f>
        <v>-</v>
      </c>
      <c r="BH994" s="50" t="str">
        <f t="shared" si="258"/>
        <v>-</v>
      </c>
      <c r="BI994" s="50">
        <f>IFERROR(VLOOKUP(BF994,'[1]WCVI Esc'!$C$5:$W$534,19,FALSE),"-")</f>
        <v>21</v>
      </c>
      <c r="BJ994" s="50">
        <f t="shared" si="259"/>
        <v>20</v>
      </c>
    </row>
    <row r="995" spans="1:67" hidden="1" x14ac:dyDescent="0.2">
      <c r="A995" s="28">
        <v>4</v>
      </c>
      <c r="B995" s="28">
        <v>3</v>
      </c>
      <c r="C995" s="11">
        <v>24</v>
      </c>
      <c r="D995" s="13" t="s">
        <v>305</v>
      </c>
      <c r="E995" s="10" t="s">
        <v>194</v>
      </c>
      <c r="F995" s="10" t="s">
        <v>208</v>
      </c>
      <c r="G995" s="10"/>
      <c r="H995" s="152"/>
      <c r="I995" s="155"/>
      <c r="J995" s="106"/>
      <c r="K995" s="94"/>
      <c r="L995" s="180"/>
      <c r="M995" s="173"/>
      <c r="N995" s="106"/>
      <c r="O995" s="106"/>
      <c r="P995" s="63"/>
      <c r="Q995" s="166"/>
      <c r="R995" s="164"/>
      <c r="S995" s="144"/>
      <c r="T995" s="144"/>
      <c r="U995" s="144"/>
      <c r="V995" s="183"/>
      <c r="W995" s="175"/>
      <c r="X995" s="144"/>
      <c r="Y995" s="45"/>
      <c r="Z995" s="45"/>
      <c r="AA995" s="100"/>
      <c r="AB995" s="100"/>
      <c r="AC995" s="24"/>
      <c r="AD995" s="24"/>
      <c r="AE995" s="24"/>
      <c r="AF995" s="24"/>
      <c r="AG995" s="18">
        <v>24</v>
      </c>
      <c r="AH995" s="69" t="s">
        <v>305</v>
      </c>
      <c r="AI995" s="243" t="s">
        <v>194</v>
      </c>
      <c r="AJ995" s="243" t="s">
        <v>419</v>
      </c>
      <c r="AK995" s="244" t="s">
        <v>351</v>
      </c>
      <c r="AL995" s="43" t="str">
        <f t="shared" si="260"/>
        <v>-</v>
      </c>
      <c r="AM995" s="43">
        <f t="shared" si="248"/>
        <v>0</v>
      </c>
      <c r="AN995" s="193">
        <f t="shared" si="248"/>
        <v>0</v>
      </c>
      <c r="AO995" s="264" t="str">
        <f t="shared" si="249"/>
        <v>-</v>
      </c>
      <c r="AP995" s="266"/>
      <c r="AQ995" s="26" t="str">
        <f t="shared" si="256"/>
        <v>LOST SHOE CREEKPink</v>
      </c>
      <c r="AR995" s="26">
        <f t="shared" si="250"/>
        <v>0</v>
      </c>
      <c r="AS995" s="33">
        <f t="shared" si="251"/>
        <v>0</v>
      </c>
      <c r="AX995" s="47" t="str">
        <f t="shared" si="252"/>
        <v>LOST SHOE CREEKPink</v>
      </c>
      <c r="AY995" s="49">
        <f t="shared" si="253"/>
        <v>0</v>
      </c>
      <c r="AZ995" s="49">
        <f t="shared" si="254"/>
        <v>0</v>
      </c>
      <c r="BA995" s="31">
        <v>0</v>
      </c>
      <c r="BB995" s="188" t="str">
        <f t="shared" si="257"/>
        <v>CWFS</v>
      </c>
      <c r="BC995" s="188" t="str">
        <f t="shared" si="261"/>
        <v xml:space="preserve"> </v>
      </c>
      <c r="BD995" s="188" t="str">
        <f t="shared" si="262"/>
        <v xml:space="preserve"> </v>
      </c>
      <c r="BE995" s="188" t="str">
        <f t="shared" si="263"/>
        <v xml:space="preserve"> </v>
      </c>
      <c r="BF995" s="50" t="str">
        <f t="shared" si="255"/>
        <v>LOST SHOE CREEK_Pink</v>
      </c>
      <c r="BG995" s="50" t="str">
        <f>IFERROR(VLOOKUP(BF995,'[1]WCVI Esc'!$C$5:$W$534,18,FALSE),"-")</f>
        <v>-</v>
      </c>
      <c r="BH995" s="50" t="str">
        <f t="shared" si="258"/>
        <v>-</v>
      </c>
      <c r="BI995" s="50" t="str">
        <f>IFERROR(VLOOKUP(BF995,'[1]WCVI Esc'!$C$5:$W$534,19,FALSE),"-")</f>
        <v>-</v>
      </c>
      <c r="BJ995" s="50" t="str">
        <f t="shared" si="259"/>
        <v>-</v>
      </c>
    </row>
    <row r="996" spans="1:67" hidden="1" x14ac:dyDescent="0.2">
      <c r="A996" s="28">
        <v>4</v>
      </c>
      <c r="B996" s="28">
        <v>4</v>
      </c>
      <c r="C996" s="11">
        <v>24</v>
      </c>
      <c r="D996" s="13" t="s">
        <v>305</v>
      </c>
      <c r="E996" s="10" t="s">
        <v>194</v>
      </c>
      <c r="F996" s="10" t="s">
        <v>209</v>
      </c>
      <c r="G996" s="10"/>
      <c r="H996" s="152"/>
      <c r="I996" s="155"/>
      <c r="J996" s="106"/>
      <c r="K996" s="94"/>
      <c r="L996" s="180"/>
      <c r="M996" s="173"/>
      <c r="N996" s="106"/>
      <c r="O996" s="106"/>
      <c r="P996" s="63"/>
      <c r="Q996" s="166"/>
      <c r="R996" s="164"/>
      <c r="S996" s="144"/>
      <c r="T996" s="145"/>
      <c r="U996" s="144"/>
      <c r="V996" s="183"/>
      <c r="W996" s="175"/>
      <c r="X996" s="144"/>
      <c r="Y996" s="45"/>
      <c r="Z996" s="45"/>
      <c r="AA996" s="100"/>
      <c r="AB996" s="100"/>
      <c r="AC996" s="24"/>
      <c r="AD996" s="24"/>
      <c r="AE996" s="24"/>
      <c r="AF996" s="24"/>
      <c r="AG996" s="18">
        <v>24</v>
      </c>
      <c r="AH996" s="69" t="s">
        <v>305</v>
      </c>
      <c r="AI996" s="243" t="s">
        <v>194</v>
      </c>
      <c r="AJ996" s="243" t="s">
        <v>419</v>
      </c>
      <c r="AK996" s="244" t="s">
        <v>351</v>
      </c>
      <c r="AL996" s="43" t="str">
        <f t="shared" si="260"/>
        <v>-</v>
      </c>
      <c r="AM996" s="43">
        <f t="shared" si="248"/>
        <v>0</v>
      </c>
      <c r="AN996" s="193">
        <f t="shared" si="248"/>
        <v>0</v>
      </c>
      <c r="AO996" s="264" t="str">
        <f t="shared" si="249"/>
        <v>-</v>
      </c>
      <c r="AP996" s="266"/>
      <c r="AQ996" s="26" t="str">
        <f t="shared" si="256"/>
        <v>LOST SHOE CREEKChum</v>
      </c>
      <c r="AR996" s="26">
        <f t="shared" si="250"/>
        <v>0</v>
      </c>
      <c r="AS996" s="33">
        <f t="shared" si="251"/>
        <v>0</v>
      </c>
      <c r="AX996" s="47" t="str">
        <f t="shared" si="252"/>
        <v>LOST SHOE CREEKChum</v>
      </c>
      <c r="AY996" s="49">
        <f t="shared" si="253"/>
        <v>0</v>
      </c>
      <c r="AZ996" s="49">
        <f t="shared" si="254"/>
        <v>0</v>
      </c>
      <c r="BA996" s="31">
        <v>2016</v>
      </c>
      <c r="BB996" s="188" t="str">
        <f t="shared" si="257"/>
        <v>CWFS</v>
      </c>
      <c r="BC996" s="188" t="str">
        <f t="shared" si="261"/>
        <v xml:space="preserve"> </v>
      </c>
      <c r="BD996" s="188" t="str">
        <f t="shared" si="262"/>
        <v xml:space="preserve"> </v>
      </c>
      <c r="BE996" s="188" t="str">
        <f t="shared" si="263"/>
        <v xml:space="preserve"> </v>
      </c>
      <c r="BF996" s="50" t="str">
        <f t="shared" si="255"/>
        <v>LOST SHOE CREEK_Chum</v>
      </c>
      <c r="BG996" s="50" t="str">
        <f>IFERROR(VLOOKUP(BF996,'[1]WCVI Esc'!$C$5:$W$534,18,FALSE),"-")</f>
        <v>-</v>
      </c>
      <c r="BH996" s="50" t="str">
        <f t="shared" si="258"/>
        <v>-</v>
      </c>
      <c r="BI996" s="50">
        <f>IFERROR(VLOOKUP(BF996,'[1]WCVI Esc'!$C$5:$W$534,19,FALSE),"-")</f>
        <v>254</v>
      </c>
      <c r="BJ996" s="50">
        <f t="shared" si="259"/>
        <v>250</v>
      </c>
    </row>
    <row r="997" spans="1:67" hidden="1" x14ac:dyDescent="0.2">
      <c r="A997" s="28">
        <v>4</v>
      </c>
      <c r="B997" s="28">
        <v>5</v>
      </c>
      <c r="C997" s="11">
        <v>24</v>
      </c>
      <c r="D997" s="13" t="s">
        <v>305</v>
      </c>
      <c r="E997" s="10" t="s">
        <v>194</v>
      </c>
      <c r="F997" s="10" t="s">
        <v>210</v>
      </c>
      <c r="G997" s="10"/>
      <c r="H997" s="152"/>
      <c r="I997" s="155"/>
      <c r="J997" s="106"/>
      <c r="K997" s="94"/>
      <c r="L997" s="180"/>
      <c r="M997" s="173"/>
      <c r="N997" s="106"/>
      <c r="O997" s="106"/>
      <c r="P997" s="63"/>
      <c r="Q997" s="166"/>
      <c r="R997" s="164"/>
      <c r="S997" s="144"/>
      <c r="T997" s="144"/>
      <c r="U997" s="144"/>
      <c r="V997" s="183"/>
      <c r="W997" s="175"/>
      <c r="X997" s="144"/>
      <c r="Y997" s="45"/>
      <c r="Z997" s="45"/>
      <c r="AA997" s="100"/>
      <c r="AB997" s="100"/>
      <c r="AC997" s="24"/>
      <c r="AD997" s="24"/>
      <c r="AE997" s="24"/>
      <c r="AF997" s="24"/>
      <c r="AG997" s="18">
        <v>24</v>
      </c>
      <c r="AH997" s="69" t="s">
        <v>305</v>
      </c>
      <c r="AI997" s="243" t="s">
        <v>194</v>
      </c>
      <c r="AJ997" s="243" t="s">
        <v>419</v>
      </c>
      <c r="AK997" s="244" t="s">
        <v>351</v>
      </c>
      <c r="AL997" s="43" t="str">
        <f t="shared" si="260"/>
        <v>-</v>
      </c>
      <c r="AM997" s="43">
        <f t="shared" si="248"/>
        <v>0</v>
      </c>
      <c r="AN997" s="193">
        <f t="shared" si="248"/>
        <v>0</v>
      </c>
      <c r="AO997" s="264" t="str">
        <f t="shared" si="249"/>
        <v>-</v>
      </c>
      <c r="AP997" s="266"/>
      <c r="AQ997" s="26" t="str">
        <f t="shared" si="256"/>
        <v>LOST SHOE CREEKChinook</v>
      </c>
      <c r="AR997" s="26">
        <f t="shared" si="250"/>
        <v>0</v>
      </c>
      <c r="AS997" s="33">
        <f t="shared" si="251"/>
        <v>0</v>
      </c>
      <c r="AX997" s="47" t="str">
        <f t="shared" si="252"/>
        <v>LOST SHOE CREEKChinook</v>
      </c>
      <c r="AY997" s="49">
        <f t="shared" si="253"/>
        <v>0</v>
      </c>
      <c r="AZ997" s="49">
        <f t="shared" si="254"/>
        <v>0</v>
      </c>
      <c r="BA997" s="31">
        <v>0</v>
      </c>
      <c r="BB997" s="188" t="str">
        <f t="shared" si="257"/>
        <v>CWFS</v>
      </c>
      <c r="BC997" s="188" t="str">
        <f t="shared" si="261"/>
        <v xml:space="preserve"> </v>
      </c>
      <c r="BD997" s="188" t="str">
        <f t="shared" si="262"/>
        <v xml:space="preserve"> </v>
      </c>
      <c r="BE997" s="188" t="str">
        <f t="shared" si="263"/>
        <v xml:space="preserve"> </v>
      </c>
      <c r="BF997" s="50" t="str">
        <f t="shared" si="255"/>
        <v>LOST SHOE CREEK_Chinook</v>
      </c>
      <c r="BG997" s="50" t="str">
        <f>IFERROR(VLOOKUP(BF997,'[1]WCVI Esc'!$C$5:$W$534,18,FALSE),"-")</f>
        <v>-</v>
      </c>
      <c r="BH997" s="50" t="str">
        <f t="shared" si="258"/>
        <v>-</v>
      </c>
      <c r="BI997" s="50" t="str">
        <f>IFERROR(VLOOKUP(BF997,'[1]WCVI Esc'!$C$5:$W$534,19,FALSE),"-")</f>
        <v>-</v>
      </c>
      <c r="BJ997" s="50" t="str">
        <f t="shared" si="259"/>
        <v>-</v>
      </c>
      <c r="BK997">
        <v>5</v>
      </c>
      <c r="BL997" t="s">
        <v>447</v>
      </c>
      <c r="BO997" s="31">
        <v>1</v>
      </c>
    </row>
    <row r="998" spans="1:67" hidden="1" x14ac:dyDescent="0.2">
      <c r="A998" s="28">
        <v>4</v>
      </c>
      <c r="B998" s="28">
        <v>6</v>
      </c>
      <c r="C998" s="11">
        <v>24</v>
      </c>
      <c r="D998" s="13" t="s">
        <v>305</v>
      </c>
      <c r="E998" s="10" t="s">
        <v>194</v>
      </c>
      <c r="F998" s="10" t="s">
        <v>211</v>
      </c>
      <c r="G998" s="10"/>
      <c r="H998" s="152"/>
      <c r="I998" s="155"/>
      <c r="J998" s="106"/>
      <c r="K998" s="94"/>
      <c r="L998" s="180"/>
      <c r="M998" s="173"/>
      <c r="N998" s="106"/>
      <c r="O998" s="106"/>
      <c r="P998" s="63"/>
      <c r="Q998" s="166"/>
      <c r="R998" s="164"/>
      <c r="S998" s="144"/>
      <c r="T998" s="144"/>
      <c r="U998" s="144"/>
      <c r="V998" s="183"/>
      <c r="W998" s="175"/>
      <c r="X998" s="144"/>
      <c r="Y998" s="45"/>
      <c r="Z998" s="45"/>
      <c r="AA998" s="100"/>
      <c r="AB998" s="100"/>
      <c r="AC998" s="24"/>
      <c r="AD998" s="24"/>
      <c r="AE998" s="24"/>
      <c r="AF998" s="24"/>
      <c r="AG998" s="18">
        <v>24</v>
      </c>
      <c r="AH998" s="69" t="s">
        <v>305</v>
      </c>
      <c r="AI998" s="243" t="s">
        <v>194</v>
      </c>
      <c r="AJ998" s="243" t="s">
        <v>419</v>
      </c>
      <c r="AK998" s="244" t="s">
        <v>351</v>
      </c>
      <c r="AL998" s="43" t="str">
        <f t="shared" si="260"/>
        <v>-</v>
      </c>
      <c r="AM998" s="43">
        <f t="shared" si="248"/>
        <v>0</v>
      </c>
      <c r="AN998" s="193">
        <f t="shared" si="248"/>
        <v>0</v>
      </c>
      <c r="AO998" s="264" t="str">
        <f t="shared" si="249"/>
        <v>-</v>
      </c>
      <c r="AP998" s="266"/>
      <c r="AQ998" s="26" t="str">
        <f t="shared" si="256"/>
        <v>LOST SHOE CREEKSteelhead</v>
      </c>
      <c r="AR998" s="26">
        <f t="shared" si="250"/>
        <v>0</v>
      </c>
      <c r="AS998" s="33">
        <f t="shared" si="251"/>
        <v>0</v>
      </c>
      <c r="AX998" s="47" t="str">
        <f t="shared" si="252"/>
        <v>LOST SHOE CREEKSteelhead</v>
      </c>
      <c r="AY998" s="49">
        <f t="shared" si="253"/>
        <v>0</v>
      </c>
      <c r="AZ998" s="49">
        <f t="shared" si="254"/>
        <v>0</v>
      </c>
      <c r="BA998" s="31">
        <v>0</v>
      </c>
      <c r="BB998" s="188" t="str">
        <f t="shared" si="257"/>
        <v>CWFS</v>
      </c>
      <c r="BC998" s="188" t="str">
        <f t="shared" si="261"/>
        <v xml:space="preserve"> </v>
      </c>
      <c r="BD998" s="188" t="str">
        <f t="shared" si="262"/>
        <v xml:space="preserve"> </v>
      </c>
      <c r="BE998" s="188" t="str">
        <f t="shared" si="263"/>
        <v xml:space="preserve"> </v>
      </c>
      <c r="BF998" s="50" t="str">
        <f t="shared" si="255"/>
        <v>LOST SHOE CREEK_Steelhead</v>
      </c>
      <c r="BG998" s="50" t="str">
        <f>IFERROR(VLOOKUP(BF998,'[1]WCVI Esc'!$C$5:$W$534,18,FALSE),"-")</f>
        <v>-</v>
      </c>
      <c r="BH998" s="50" t="str">
        <f t="shared" si="258"/>
        <v>-</v>
      </c>
      <c r="BI998" s="50" t="str">
        <f>IFERROR(VLOOKUP(BF998,'[1]WCVI Esc'!$C$5:$W$534,19,FALSE),"-")</f>
        <v>-</v>
      </c>
      <c r="BJ998" s="50" t="str">
        <f t="shared" si="259"/>
        <v>-</v>
      </c>
    </row>
    <row r="999" spans="1:67" hidden="1" x14ac:dyDescent="0.2">
      <c r="A999" s="28">
        <v>4</v>
      </c>
      <c r="B999" s="28">
        <v>1</v>
      </c>
      <c r="C999" s="11">
        <v>24</v>
      </c>
      <c r="D999" s="13" t="s">
        <v>296</v>
      </c>
      <c r="E999" s="10" t="s">
        <v>327</v>
      </c>
      <c r="F999" s="10" t="s">
        <v>207</v>
      </c>
      <c r="G999" s="10"/>
      <c r="H999" s="152"/>
      <c r="I999" s="155"/>
      <c r="J999" s="106"/>
      <c r="K999" s="94"/>
      <c r="L999" s="180"/>
      <c r="M999" s="173"/>
      <c r="N999" s="106"/>
      <c r="O999" s="106"/>
      <c r="P999" s="63"/>
      <c r="Q999" s="166"/>
      <c r="R999" s="169"/>
      <c r="S999" s="62"/>
      <c r="T999" s="63"/>
      <c r="U999" s="62"/>
      <c r="V999" s="177"/>
      <c r="W999" s="171"/>
      <c r="X999" s="62"/>
      <c r="Y999" s="45"/>
      <c r="Z999" s="45"/>
      <c r="AA999" s="100"/>
      <c r="AB999" s="100"/>
      <c r="AC999" s="24"/>
      <c r="AD999" s="24"/>
      <c r="AE999" s="24"/>
      <c r="AF999" s="24"/>
      <c r="AG999" s="18">
        <v>24</v>
      </c>
      <c r="AH999" s="69" t="s">
        <v>296</v>
      </c>
      <c r="AI999" s="243" t="s">
        <v>327</v>
      </c>
      <c r="AJ999" s="243" t="s">
        <v>419</v>
      </c>
      <c r="AK999" s="246"/>
      <c r="AL999" s="43" t="str">
        <f t="shared" si="260"/>
        <v>-</v>
      </c>
      <c r="AM999" s="43">
        <f t="shared" si="248"/>
        <v>0</v>
      </c>
      <c r="AN999" s="193">
        <f t="shared" si="248"/>
        <v>0</v>
      </c>
      <c r="AO999" s="264" t="str">
        <f t="shared" si="249"/>
        <v>-</v>
      </c>
      <c r="AP999" s="266"/>
      <c r="AQ999" s="26" t="str">
        <f t="shared" si="256"/>
        <v>Meares CreekSockeye</v>
      </c>
      <c r="AR999" s="26">
        <f t="shared" si="250"/>
        <v>0</v>
      </c>
      <c r="AS999" s="33">
        <f t="shared" si="251"/>
        <v>0</v>
      </c>
      <c r="AX999" s="47" t="str">
        <f t="shared" si="252"/>
        <v>Meares CreekSockeye</v>
      </c>
      <c r="AY999" s="49">
        <f t="shared" si="253"/>
        <v>0</v>
      </c>
      <c r="AZ999" s="49">
        <f t="shared" si="254"/>
        <v>0</v>
      </c>
      <c r="BA999" s="31">
        <v>0</v>
      </c>
      <c r="BB999" s="188">
        <f t="shared" si="257"/>
        <v>0</v>
      </c>
      <c r="BC999" s="188" t="str">
        <f t="shared" si="261"/>
        <v xml:space="preserve"> </v>
      </c>
      <c r="BD999" s="188" t="str">
        <f t="shared" si="262"/>
        <v xml:space="preserve"> </v>
      </c>
      <c r="BE999" s="188" t="str">
        <f t="shared" si="263"/>
        <v xml:space="preserve"> </v>
      </c>
      <c r="BF999" s="50" t="str">
        <f t="shared" si="255"/>
        <v>Meares Creek_Sockeye</v>
      </c>
      <c r="BG999" s="50" t="str">
        <f>IFERROR(VLOOKUP(BF999,'[1]WCVI Esc'!$C$5:$W$534,18,FALSE),"-")</f>
        <v>-</v>
      </c>
      <c r="BH999" s="50" t="str">
        <f t="shared" si="258"/>
        <v>-</v>
      </c>
      <c r="BI999" s="50" t="str">
        <f>IFERROR(VLOOKUP(BF999,'[1]WCVI Esc'!$C$5:$W$534,19,FALSE),"-")</f>
        <v>-</v>
      </c>
      <c r="BJ999" s="50" t="str">
        <f t="shared" si="259"/>
        <v>-</v>
      </c>
    </row>
    <row r="1000" spans="1:67" hidden="1" x14ac:dyDescent="0.2">
      <c r="A1000" s="28">
        <v>4</v>
      </c>
      <c r="B1000" s="28">
        <v>2</v>
      </c>
      <c r="C1000" s="11">
        <v>24</v>
      </c>
      <c r="D1000" s="13" t="s">
        <v>296</v>
      </c>
      <c r="E1000" s="10" t="s">
        <v>327</v>
      </c>
      <c r="F1000" s="10" t="s">
        <v>219</v>
      </c>
      <c r="G1000" s="10"/>
      <c r="H1000" s="152"/>
      <c r="I1000" s="155"/>
      <c r="J1000" s="106"/>
      <c r="K1000" s="94"/>
      <c r="L1000" s="180"/>
      <c r="M1000" s="173"/>
      <c r="N1000" s="106"/>
      <c r="O1000" s="106"/>
      <c r="P1000" s="63"/>
      <c r="Q1000" s="166"/>
      <c r="R1000" s="164"/>
      <c r="S1000" s="62"/>
      <c r="T1000" s="63"/>
      <c r="U1000" s="62"/>
      <c r="V1000" s="177"/>
      <c r="W1000" s="171"/>
      <c r="X1000" s="62"/>
      <c r="Y1000" s="45"/>
      <c r="Z1000" s="45"/>
      <c r="AA1000" s="100"/>
      <c r="AB1000" s="100"/>
      <c r="AC1000" s="24"/>
      <c r="AD1000" s="24"/>
      <c r="AE1000" s="24"/>
      <c r="AF1000" s="24"/>
      <c r="AG1000" s="18">
        <v>24</v>
      </c>
      <c r="AH1000" s="69" t="s">
        <v>296</v>
      </c>
      <c r="AI1000" s="243" t="s">
        <v>327</v>
      </c>
      <c r="AJ1000" s="243" t="s">
        <v>419</v>
      </c>
      <c r="AK1000" s="246"/>
      <c r="AL1000" s="43" t="str">
        <f t="shared" si="260"/>
        <v>-</v>
      </c>
      <c r="AM1000" s="43">
        <f t="shared" si="248"/>
        <v>0</v>
      </c>
      <c r="AN1000" s="193">
        <f t="shared" si="248"/>
        <v>0</v>
      </c>
      <c r="AO1000" s="264" t="str">
        <f t="shared" si="249"/>
        <v>-</v>
      </c>
      <c r="AP1000" s="266"/>
      <c r="AQ1000" s="26" t="str">
        <f t="shared" si="256"/>
        <v>Meares CreekCoho</v>
      </c>
      <c r="AR1000" s="26">
        <f t="shared" si="250"/>
        <v>0</v>
      </c>
      <c r="AS1000" s="33">
        <f t="shared" si="251"/>
        <v>0</v>
      </c>
      <c r="AX1000" s="47" t="str">
        <f t="shared" si="252"/>
        <v>Meares CreekCoho</v>
      </c>
      <c r="AY1000" s="49">
        <f t="shared" si="253"/>
        <v>0</v>
      </c>
      <c r="AZ1000" s="49">
        <f t="shared" si="254"/>
        <v>0</v>
      </c>
      <c r="BA1000" s="31">
        <v>2016</v>
      </c>
      <c r="BB1000" s="188">
        <f t="shared" si="257"/>
        <v>0</v>
      </c>
      <c r="BC1000" s="188" t="str">
        <f t="shared" si="261"/>
        <v xml:space="preserve"> </v>
      </c>
      <c r="BD1000" s="188" t="str">
        <f t="shared" si="262"/>
        <v xml:space="preserve"> </v>
      </c>
      <c r="BE1000" s="188" t="str">
        <f t="shared" si="263"/>
        <v xml:space="preserve"> </v>
      </c>
      <c r="BF1000" s="50" t="str">
        <f t="shared" si="255"/>
        <v>Meares Creek_Coho</v>
      </c>
      <c r="BG1000" s="50" t="str">
        <f>IFERROR(VLOOKUP(BF1000,'[1]WCVI Esc'!$C$5:$W$534,18,FALSE),"-")</f>
        <v>-</v>
      </c>
      <c r="BH1000" s="50" t="str">
        <f t="shared" si="258"/>
        <v>-</v>
      </c>
      <c r="BI1000" s="50">
        <f>IFERROR(VLOOKUP(BF1000,'[1]WCVI Esc'!$C$5:$W$534,19,FALSE),"-")</f>
        <v>3</v>
      </c>
      <c r="BJ1000" s="50">
        <f t="shared" si="259"/>
        <v>0</v>
      </c>
    </row>
    <row r="1001" spans="1:67" hidden="1" x14ac:dyDescent="0.2">
      <c r="A1001" s="28">
        <v>4</v>
      </c>
      <c r="B1001" s="28">
        <v>3</v>
      </c>
      <c r="C1001" s="11">
        <v>24</v>
      </c>
      <c r="D1001" s="13" t="s">
        <v>296</v>
      </c>
      <c r="E1001" s="10" t="s">
        <v>327</v>
      </c>
      <c r="F1001" s="10" t="s">
        <v>208</v>
      </c>
      <c r="G1001" s="10"/>
      <c r="H1001" s="152"/>
      <c r="I1001" s="155"/>
      <c r="J1001" s="106"/>
      <c r="K1001" s="94"/>
      <c r="L1001" s="180"/>
      <c r="M1001" s="173"/>
      <c r="N1001" s="106"/>
      <c r="O1001" s="106"/>
      <c r="P1001" s="63"/>
      <c r="Q1001" s="166"/>
      <c r="R1001" s="169"/>
      <c r="S1001" s="62"/>
      <c r="T1001" s="63"/>
      <c r="U1001" s="62"/>
      <c r="V1001" s="177"/>
      <c r="W1001" s="171"/>
      <c r="X1001" s="62"/>
      <c r="Y1001" s="45"/>
      <c r="Z1001" s="45"/>
      <c r="AA1001" s="100"/>
      <c r="AB1001" s="100"/>
      <c r="AC1001" s="24"/>
      <c r="AD1001" s="24"/>
      <c r="AE1001" s="24"/>
      <c r="AF1001" s="24"/>
      <c r="AG1001" s="18">
        <v>24</v>
      </c>
      <c r="AH1001" s="69" t="s">
        <v>296</v>
      </c>
      <c r="AI1001" s="243" t="s">
        <v>327</v>
      </c>
      <c r="AJ1001" s="243" t="s">
        <v>419</v>
      </c>
      <c r="AK1001" s="246"/>
      <c r="AL1001" s="43" t="str">
        <f t="shared" si="260"/>
        <v>-</v>
      </c>
      <c r="AM1001" s="43">
        <f t="shared" si="248"/>
        <v>0</v>
      </c>
      <c r="AN1001" s="193">
        <f t="shared" si="248"/>
        <v>0</v>
      </c>
      <c r="AO1001" s="264" t="str">
        <f t="shared" si="249"/>
        <v>-</v>
      </c>
      <c r="AP1001" s="266"/>
      <c r="AQ1001" s="26" t="str">
        <f t="shared" si="256"/>
        <v>Meares CreekPink</v>
      </c>
      <c r="AR1001" s="26">
        <f t="shared" si="250"/>
        <v>0</v>
      </c>
      <c r="AS1001" s="33">
        <f t="shared" si="251"/>
        <v>0</v>
      </c>
      <c r="AX1001" s="47" t="str">
        <f t="shared" si="252"/>
        <v>Meares CreekPink</v>
      </c>
      <c r="AY1001" s="49">
        <f t="shared" si="253"/>
        <v>0</v>
      </c>
      <c r="AZ1001" s="49">
        <f t="shared" si="254"/>
        <v>0</v>
      </c>
      <c r="BA1001" s="31">
        <v>0</v>
      </c>
      <c r="BB1001" s="188">
        <f t="shared" si="257"/>
        <v>0</v>
      </c>
      <c r="BC1001" s="188" t="str">
        <f t="shared" si="261"/>
        <v xml:space="preserve"> </v>
      </c>
      <c r="BD1001" s="188" t="str">
        <f t="shared" si="262"/>
        <v xml:space="preserve"> </v>
      </c>
      <c r="BE1001" s="188" t="str">
        <f t="shared" si="263"/>
        <v xml:space="preserve"> </v>
      </c>
      <c r="BF1001" s="50" t="str">
        <f t="shared" si="255"/>
        <v>Meares Creek_Pink</v>
      </c>
      <c r="BG1001" s="50" t="str">
        <f>IFERROR(VLOOKUP(BF1001,'[1]WCVI Esc'!$C$5:$W$534,18,FALSE),"-")</f>
        <v>-</v>
      </c>
      <c r="BH1001" s="50" t="str">
        <f t="shared" si="258"/>
        <v>-</v>
      </c>
      <c r="BI1001" s="50" t="str">
        <f>IFERROR(VLOOKUP(BF1001,'[1]WCVI Esc'!$C$5:$W$534,19,FALSE),"-")</f>
        <v>-</v>
      </c>
      <c r="BJ1001" s="50" t="str">
        <f t="shared" si="259"/>
        <v>-</v>
      </c>
    </row>
    <row r="1002" spans="1:67" hidden="1" x14ac:dyDescent="0.2">
      <c r="A1002" s="28">
        <v>4</v>
      </c>
      <c r="B1002" s="28">
        <v>4</v>
      </c>
      <c r="C1002" s="11">
        <v>24</v>
      </c>
      <c r="D1002" s="13" t="s">
        <v>296</v>
      </c>
      <c r="E1002" s="10" t="s">
        <v>327</v>
      </c>
      <c r="F1002" s="10" t="s">
        <v>209</v>
      </c>
      <c r="G1002" s="10"/>
      <c r="H1002" s="152"/>
      <c r="I1002" s="155"/>
      <c r="J1002" s="106"/>
      <c r="K1002" s="94"/>
      <c r="L1002" s="180"/>
      <c r="M1002" s="173"/>
      <c r="N1002" s="106"/>
      <c r="O1002" s="106"/>
      <c r="P1002" s="63"/>
      <c r="Q1002" s="166"/>
      <c r="R1002" s="164"/>
      <c r="S1002" s="62"/>
      <c r="T1002" s="63"/>
      <c r="U1002" s="62"/>
      <c r="V1002" s="177"/>
      <c r="W1002" s="171"/>
      <c r="X1002" s="62"/>
      <c r="Y1002" s="45"/>
      <c r="Z1002" s="45"/>
      <c r="AA1002" s="100"/>
      <c r="AB1002" s="100"/>
      <c r="AC1002" s="24"/>
      <c r="AD1002" s="24"/>
      <c r="AE1002" s="24"/>
      <c r="AF1002" s="24"/>
      <c r="AG1002" s="18">
        <v>24</v>
      </c>
      <c r="AH1002" s="69" t="s">
        <v>296</v>
      </c>
      <c r="AI1002" s="243" t="s">
        <v>327</v>
      </c>
      <c r="AJ1002" s="243" t="s">
        <v>419</v>
      </c>
      <c r="AK1002" s="246"/>
      <c r="AL1002" s="43" t="str">
        <f t="shared" si="260"/>
        <v>-</v>
      </c>
      <c r="AM1002" s="43">
        <f t="shared" si="248"/>
        <v>0</v>
      </c>
      <c r="AN1002" s="193">
        <f t="shared" si="248"/>
        <v>0</v>
      </c>
      <c r="AO1002" s="264">
        <f t="shared" si="249"/>
        <v>0</v>
      </c>
      <c r="AP1002" s="266"/>
      <c r="AQ1002" s="26" t="str">
        <f t="shared" si="256"/>
        <v>Meares CreekChum</v>
      </c>
      <c r="AR1002" s="26">
        <f t="shared" si="250"/>
        <v>0</v>
      </c>
      <c r="AS1002" s="33">
        <f t="shared" si="251"/>
        <v>0</v>
      </c>
      <c r="AX1002" s="47" t="str">
        <f t="shared" si="252"/>
        <v>Meares CreekChum</v>
      </c>
      <c r="AY1002" s="49">
        <f t="shared" si="253"/>
        <v>0</v>
      </c>
      <c r="AZ1002" s="49">
        <f t="shared" si="254"/>
        <v>0</v>
      </c>
      <c r="BA1002" s="31">
        <v>2016</v>
      </c>
      <c r="BB1002" s="188">
        <f t="shared" si="257"/>
        <v>0</v>
      </c>
      <c r="BC1002" s="188" t="str">
        <f t="shared" si="261"/>
        <v xml:space="preserve"> </v>
      </c>
      <c r="BD1002" s="188" t="str">
        <f t="shared" si="262"/>
        <v xml:space="preserve"> </v>
      </c>
      <c r="BE1002" s="188" t="str">
        <f t="shared" si="263"/>
        <v xml:space="preserve"> </v>
      </c>
      <c r="BF1002" s="50" t="str">
        <f t="shared" si="255"/>
        <v>Meares Creek_Chum</v>
      </c>
      <c r="BG1002" s="50">
        <f>IFERROR(VLOOKUP(BF1002,'[1]WCVI Esc'!$C$5:$W$534,18,FALSE),"-")</f>
        <v>2</v>
      </c>
      <c r="BH1002" s="50">
        <f t="shared" si="258"/>
        <v>0</v>
      </c>
      <c r="BI1002" s="50">
        <f>IFERROR(VLOOKUP(BF1002,'[1]WCVI Esc'!$C$5:$W$534,19,FALSE),"-")</f>
        <v>48.5</v>
      </c>
      <c r="BJ1002" s="50">
        <f t="shared" si="259"/>
        <v>50</v>
      </c>
    </row>
    <row r="1003" spans="1:67" hidden="1" x14ac:dyDescent="0.2">
      <c r="A1003" s="28">
        <v>4</v>
      </c>
      <c r="B1003" s="28">
        <v>5</v>
      </c>
      <c r="C1003" s="11">
        <v>24</v>
      </c>
      <c r="D1003" s="13" t="s">
        <v>296</v>
      </c>
      <c r="E1003" s="10" t="s">
        <v>327</v>
      </c>
      <c r="F1003" s="10" t="s">
        <v>210</v>
      </c>
      <c r="G1003" s="10"/>
      <c r="H1003" s="152"/>
      <c r="I1003" s="155"/>
      <c r="J1003" s="106"/>
      <c r="K1003" s="94"/>
      <c r="L1003" s="180"/>
      <c r="M1003" s="173"/>
      <c r="N1003" s="106"/>
      <c r="O1003" s="106"/>
      <c r="P1003" s="63"/>
      <c r="Q1003" s="166"/>
      <c r="R1003" s="169"/>
      <c r="S1003" s="62"/>
      <c r="T1003" s="63"/>
      <c r="U1003" s="62"/>
      <c r="V1003" s="177"/>
      <c r="W1003" s="171"/>
      <c r="X1003" s="62"/>
      <c r="Y1003" s="45"/>
      <c r="Z1003" s="45"/>
      <c r="AA1003" s="100"/>
      <c r="AB1003" s="100"/>
      <c r="AC1003" s="24"/>
      <c r="AD1003" s="24"/>
      <c r="AE1003" s="24"/>
      <c r="AF1003" s="24"/>
      <c r="AG1003" s="18">
        <v>24</v>
      </c>
      <c r="AH1003" s="69" t="s">
        <v>296</v>
      </c>
      <c r="AI1003" s="243" t="s">
        <v>327</v>
      </c>
      <c r="AJ1003" s="243" t="s">
        <v>419</v>
      </c>
      <c r="AK1003" s="246"/>
      <c r="AL1003" s="43" t="str">
        <f t="shared" si="260"/>
        <v>-</v>
      </c>
      <c r="AM1003" s="43">
        <f t="shared" si="248"/>
        <v>0</v>
      </c>
      <c r="AN1003" s="193">
        <f t="shared" si="248"/>
        <v>0</v>
      </c>
      <c r="AO1003" s="264" t="str">
        <f t="shared" si="249"/>
        <v>-</v>
      </c>
      <c r="AP1003" s="266"/>
      <c r="AQ1003" s="26" t="str">
        <f t="shared" si="256"/>
        <v>Meares CreekChinook</v>
      </c>
      <c r="AR1003" s="26">
        <f t="shared" si="250"/>
        <v>0</v>
      </c>
      <c r="AS1003" s="33">
        <f t="shared" si="251"/>
        <v>0</v>
      </c>
      <c r="AX1003" s="47" t="str">
        <f t="shared" si="252"/>
        <v>Meares CreekChinook</v>
      </c>
      <c r="AY1003" s="49">
        <f t="shared" si="253"/>
        <v>0</v>
      </c>
      <c r="AZ1003" s="49">
        <f t="shared" si="254"/>
        <v>0</v>
      </c>
      <c r="BA1003" s="31">
        <v>0</v>
      </c>
      <c r="BB1003" s="188">
        <f t="shared" si="257"/>
        <v>0</v>
      </c>
      <c r="BC1003" s="188" t="str">
        <f t="shared" si="261"/>
        <v xml:space="preserve"> </v>
      </c>
      <c r="BD1003" s="188" t="str">
        <f t="shared" si="262"/>
        <v xml:space="preserve"> </v>
      </c>
      <c r="BE1003" s="188" t="str">
        <f t="shared" si="263"/>
        <v xml:space="preserve"> </v>
      </c>
      <c r="BF1003" s="50" t="str">
        <f t="shared" si="255"/>
        <v>Meares Creek_Chinook</v>
      </c>
      <c r="BG1003" s="50" t="str">
        <f>IFERROR(VLOOKUP(BF1003,'[1]WCVI Esc'!$C$5:$W$534,18,FALSE),"-")</f>
        <v>-</v>
      </c>
      <c r="BH1003" s="50" t="str">
        <f t="shared" si="258"/>
        <v>-</v>
      </c>
      <c r="BI1003" s="50" t="str">
        <f>IFERROR(VLOOKUP(BF1003,'[1]WCVI Esc'!$C$5:$W$534,19,FALSE),"-")</f>
        <v>-</v>
      </c>
      <c r="BJ1003" s="50" t="str">
        <f t="shared" si="259"/>
        <v>-</v>
      </c>
      <c r="BK1003">
        <v>1</v>
      </c>
      <c r="BL1003" t="s">
        <v>289</v>
      </c>
      <c r="BO1003" s="31">
        <v>1</v>
      </c>
    </row>
    <row r="1004" spans="1:67" hidden="1" x14ac:dyDescent="0.2">
      <c r="A1004" s="28">
        <v>4</v>
      </c>
      <c r="B1004" s="28">
        <v>6</v>
      </c>
      <c r="C1004" s="11">
        <v>24</v>
      </c>
      <c r="D1004" s="13" t="s">
        <v>296</v>
      </c>
      <c r="E1004" s="10" t="s">
        <v>327</v>
      </c>
      <c r="F1004" s="10" t="s">
        <v>211</v>
      </c>
      <c r="G1004" s="10"/>
      <c r="H1004" s="152"/>
      <c r="I1004" s="155"/>
      <c r="J1004" s="106"/>
      <c r="K1004" s="94"/>
      <c r="L1004" s="180"/>
      <c r="M1004" s="173"/>
      <c r="N1004" s="106"/>
      <c r="O1004" s="106"/>
      <c r="P1004" s="63"/>
      <c r="Q1004" s="166"/>
      <c r="R1004" s="169"/>
      <c r="S1004" s="62"/>
      <c r="T1004" s="63"/>
      <c r="U1004" s="62"/>
      <c r="V1004" s="177"/>
      <c r="W1004" s="171"/>
      <c r="X1004" s="62"/>
      <c r="Y1004" s="45"/>
      <c r="Z1004" s="45"/>
      <c r="AA1004" s="100"/>
      <c r="AB1004" s="100"/>
      <c r="AC1004" s="24"/>
      <c r="AD1004" s="24"/>
      <c r="AE1004" s="24"/>
      <c r="AF1004" s="24"/>
      <c r="AG1004" s="18">
        <v>24</v>
      </c>
      <c r="AH1004" s="69" t="s">
        <v>296</v>
      </c>
      <c r="AI1004" s="243" t="s">
        <v>327</v>
      </c>
      <c r="AJ1004" s="243" t="s">
        <v>419</v>
      </c>
      <c r="AK1004" s="246"/>
      <c r="AL1004" s="43" t="str">
        <f t="shared" si="260"/>
        <v>-</v>
      </c>
      <c r="AM1004" s="43">
        <f t="shared" si="248"/>
        <v>0</v>
      </c>
      <c r="AN1004" s="193">
        <f t="shared" si="248"/>
        <v>0</v>
      </c>
      <c r="AO1004" s="264" t="str">
        <f t="shared" si="249"/>
        <v>-</v>
      </c>
      <c r="AP1004" s="266"/>
      <c r="AQ1004" s="26" t="str">
        <f t="shared" si="256"/>
        <v>Meares CreekSteelhead</v>
      </c>
      <c r="AR1004" s="26">
        <f t="shared" si="250"/>
        <v>0</v>
      </c>
      <c r="AS1004" s="33">
        <f t="shared" si="251"/>
        <v>0</v>
      </c>
      <c r="AX1004" s="47" t="str">
        <f t="shared" si="252"/>
        <v>Meares CreekSteelhead</v>
      </c>
      <c r="AY1004" s="49">
        <f t="shared" si="253"/>
        <v>0</v>
      </c>
      <c r="AZ1004" s="49">
        <f t="shared" si="254"/>
        <v>0</v>
      </c>
      <c r="BA1004" s="31">
        <v>0</v>
      </c>
      <c r="BB1004" s="188">
        <f t="shared" si="257"/>
        <v>0</v>
      </c>
      <c r="BC1004" s="188" t="str">
        <f t="shared" si="261"/>
        <v xml:space="preserve"> </v>
      </c>
      <c r="BD1004" s="188" t="str">
        <f t="shared" si="262"/>
        <v xml:space="preserve"> </v>
      </c>
      <c r="BE1004" s="188" t="str">
        <f t="shared" si="263"/>
        <v xml:space="preserve"> </v>
      </c>
      <c r="BF1004" s="50" t="str">
        <f t="shared" si="255"/>
        <v>Meares Creek_Steelhead</v>
      </c>
      <c r="BG1004" s="50" t="str">
        <f>IFERROR(VLOOKUP(BF1004,'[1]WCVI Esc'!$C$5:$W$534,18,FALSE),"-")</f>
        <v>-</v>
      </c>
      <c r="BH1004" s="50" t="str">
        <f t="shared" si="258"/>
        <v>-</v>
      </c>
      <c r="BI1004" s="50" t="str">
        <f>IFERROR(VLOOKUP(BF1004,'[1]WCVI Esc'!$C$5:$W$534,19,FALSE),"-")</f>
        <v>-</v>
      </c>
      <c r="BJ1004" s="50" t="str">
        <f t="shared" si="259"/>
        <v>-</v>
      </c>
    </row>
    <row r="1005" spans="1:67" hidden="1" x14ac:dyDescent="0.2">
      <c r="A1005" s="28">
        <v>4</v>
      </c>
      <c r="B1005" s="28">
        <v>1</v>
      </c>
      <c r="C1005" s="11">
        <v>24</v>
      </c>
      <c r="D1005" s="13" t="s">
        <v>359</v>
      </c>
      <c r="E1005" s="10" t="s">
        <v>253</v>
      </c>
      <c r="F1005" s="10" t="s">
        <v>207</v>
      </c>
      <c r="G1005" s="10"/>
      <c r="H1005" s="152"/>
      <c r="I1005" s="164"/>
      <c r="J1005" s="62"/>
      <c r="K1005" s="62"/>
      <c r="L1005" s="177"/>
      <c r="M1005" s="171"/>
      <c r="N1005" s="62"/>
      <c r="O1005" s="94"/>
      <c r="P1005" s="62"/>
      <c r="Q1005" s="64"/>
      <c r="R1005" s="164"/>
      <c r="S1005" s="62"/>
      <c r="T1005" s="62"/>
      <c r="U1005" s="62"/>
      <c r="V1005" s="177"/>
      <c r="W1005" s="171"/>
      <c r="X1005" s="62"/>
      <c r="Y1005" s="45"/>
      <c r="Z1005" s="45"/>
      <c r="AA1005" s="100"/>
      <c r="AB1005" s="100"/>
      <c r="AC1005" s="24"/>
      <c r="AD1005" s="24"/>
      <c r="AE1005" s="24"/>
      <c r="AF1005" s="24"/>
      <c r="AG1005" s="18">
        <v>24</v>
      </c>
      <c r="AH1005" s="69" t="s">
        <v>359</v>
      </c>
      <c r="AI1005" s="243" t="s">
        <v>253</v>
      </c>
      <c r="AJ1005" s="243" t="s">
        <v>419</v>
      </c>
      <c r="AK1005" s="246"/>
      <c r="AL1005" s="43" t="str">
        <f t="shared" si="260"/>
        <v>-</v>
      </c>
      <c r="AM1005" s="43">
        <f t="shared" si="248"/>
        <v>0</v>
      </c>
      <c r="AN1005" s="193">
        <f t="shared" si="248"/>
        <v>0</v>
      </c>
      <c r="AO1005" s="270" t="str">
        <f t="shared" si="249"/>
        <v>-</v>
      </c>
      <c r="AP1005" s="266"/>
      <c r="AQ1005" s="26" t="str">
        <f t="shared" si="256"/>
        <v>PACILTH CREEKSockeye</v>
      </c>
      <c r="AR1005" s="26">
        <f t="shared" si="250"/>
        <v>0</v>
      </c>
      <c r="AS1005" s="33">
        <f t="shared" si="251"/>
        <v>0</v>
      </c>
      <c r="AX1005" s="47" t="str">
        <f t="shared" si="252"/>
        <v>PACILTH CREEKSockeye</v>
      </c>
      <c r="AY1005" s="49">
        <f t="shared" si="253"/>
        <v>0</v>
      </c>
      <c r="AZ1005" s="49">
        <f t="shared" si="254"/>
        <v>0</v>
      </c>
      <c r="BA1005" s="31">
        <v>0</v>
      </c>
      <c r="BB1005" s="188">
        <f t="shared" si="257"/>
        <v>0</v>
      </c>
      <c r="BC1005" s="188" t="str">
        <f t="shared" si="261"/>
        <v xml:space="preserve"> </v>
      </c>
      <c r="BD1005" s="188" t="str">
        <f t="shared" si="262"/>
        <v xml:space="preserve"> </v>
      </c>
      <c r="BE1005" s="188" t="str">
        <f t="shared" si="263"/>
        <v xml:space="preserve"> </v>
      </c>
      <c r="BF1005" s="50" t="str">
        <f t="shared" si="255"/>
        <v>PACILTH CREEK_Sockeye</v>
      </c>
      <c r="BG1005" s="50" t="str">
        <f>IFERROR(VLOOKUP(BF1005,'[1]WCVI Esc'!$C$5:$W$514,18,FALSE),"-")</f>
        <v>-</v>
      </c>
      <c r="BH1005" s="50" t="str">
        <f t="shared" si="258"/>
        <v>-</v>
      </c>
      <c r="BI1005" s="50" t="str">
        <f>IFERROR(VLOOKUP(BF1005,'[1]WCVI Esc'!$C$5:$W$514,19,FALSE),"-")</f>
        <v>-</v>
      </c>
      <c r="BJ1005" s="50" t="str">
        <f t="shared" si="259"/>
        <v>-</v>
      </c>
    </row>
    <row r="1006" spans="1:67" hidden="1" x14ac:dyDescent="0.2">
      <c r="A1006" s="28">
        <v>4</v>
      </c>
      <c r="B1006" s="28">
        <v>2</v>
      </c>
      <c r="C1006" s="11">
        <v>24</v>
      </c>
      <c r="D1006" s="13" t="s">
        <v>359</v>
      </c>
      <c r="E1006" s="10" t="s">
        <v>253</v>
      </c>
      <c r="F1006" s="10" t="s">
        <v>219</v>
      </c>
      <c r="G1006" s="10"/>
      <c r="H1006" s="152"/>
      <c r="I1006" s="164"/>
      <c r="J1006" s="62"/>
      <c r="K1006" s="62"/>
      <c r="L1006" s="177"/>
      <c r="M1006" s="171"/>
      <c r="N1006" s="62"/>
      <c r="O1006" s="94"/>
      <c r="P1006" s="62"/>
      <c r="Q1006" s="64"/>
      <c r="R1006" s="164"/>
      <c r="S1006" s="62"/>
      <c r="T1006" s="62"/>
      <c r="U1006" s="62"/>
      <c r="V1006" s="177"/>
      <c r="W1006" s="171"/>
      <c r="X1006" s="62"/>
      <c r="Y1006" s="45"/>
      <c r="Z1006" s="45"/>
      <c r="AA1006" s="100"/>
      <c r="AB1006" s="100"/>
      <c r="AC1006" s="24"/>
      <c r="AD1006" s="24"/>
      <c r="AE1006" s="24"/>
      <c r="AF1006" s="24"/>
      <c r="AG1006" s="18">
        <v>24</v>
      </c>
      <c r="AH1006" s="69" t="s">
        <v>359</v>
      </c>
      <c r="AI1006" s="243" t="s">
        <v>253</v>
      </c>
      <c r="AJ1006" s="243" t="s">
        <v>419</v>
      </c>
      <c r="AK1006" s="246"/>
      <c r="AL1006" s="43" t="str">
        <f t="shared" si="260"/>
        <v>-</v>
      </c>
      <c r="AM1006" s="43">
        <f t="shared" si="248"/>
        <v>0</v>
      </c>
      <c r="AN1006" s="193">
        <f t="shared" si="248"/>
        <v>0</v>
      </c>
      <c r="AO1006" s="270" t="str">
        <f t="shared" si="249"/>
        <v>-</v>
      </c>
      <c r="AP1006" s="266"/>
      <c r="AQ1006" s="26" t="str">
        <f t="shared" si="256"/>
        <v>PACILTH CREEKCoho</v>
      </c>
      <c r="AR1006" s="26">
        <f t="shared" si="250"/>
        <v>0</v>
      </c>
      <c r="AS1006" s="33">
        <f t="shared" si="251"/>
        <v>0</v>
      </c>
      <c r="AX1006" s="47" t="str">
        <f t="shared" si="252"/>
        <v>PACILTH CREEKCoho</v>
      </c>
      <c r="AY1006" s="49">
        <f t="shared" si="253"/>
        <v>0</v>
      </c>
      <c r="AZ1006" s="49">
        <f t="shared" si="254"/>
        <v>0</v>
      </c>
      <c r="BA1006" s="31">
        <v>0</v>
      </c>
      <c r="BB1006" s="188">
        <f t="shared" si="257"/>
        <v>0</v>
      </c>
      <c r="BC1006" s="188" t="str">
        <f t="shared" si="261"/>
        <v xml:space="preserve"> </v>
      </c>
      <c r="BD1006" s="188" t="str">
        <f t="shared" si="262"/>
        <v xml:space="preserve"> </v>
      </c>
      <c r="BE1006" s="188" t="str">
        <f t="shared" si="263"/>
        <v xml:space="preserve"> </v>
      </c>
      <c r="BF1006" s="50" t="str">
        <f t="shared" si="255"/>
        <v>PACILTH CREEK_Coho</v>
      </c>
      <c r="BG1006" s="50" t="str">
        <f>IFERROR(VLOOKUP(BF1006,'[1]WCVI Esc'!$C$5:$W$514,18,FALSE),"-")</f>
        <v>-</v>
      </c>
      <c r="BH1006" s="50" t="str">
        <f t="shared" si="258"/>
        <v>-</v>
      </c>
      <c r="BI1006" s="50" t="str">
        <f>IFERROR(VLOOKUP(BF1006,'[1]WCVI Esc'!$C$5:$W$514,19,FALSE),"-")</f>
        <v>-</v>
      </c>
      <c r="BJ1006" s="50" t="str">
        <f t="shared" si="259"/>
        <v>-</v>
      </c>
    </row>
    <row r="1007" spans="1:67" hidden="1" x14ac:dyDescent="0.2">
      <c r="A1007" s="28">
        <v>4</v>
      </c>
      <c r="B1007" s="28">
        <v>3</v>
      </c>
      <c r="C1007" s="11">
        <v>24</v>
      </c>
      <c r="D1007" s="13" t="s">
        <v>359</v>
      </c>
      <c r="E1007" s="10" t="s">
        <v>253</v>
      </c>
      <c r="F1007" s="10" t="s">
        <v>208</v>
      </c>
      <c r="G1007" s="10"/>
      <c r="H1007" s="152"/>
      <c r="I1007" s="164"/>
      <c r="J1007" s="62"/>
      <c r="K1007" s="62"/>
      <c r="L1007" s="177"/>
      <c r="M1007" s="171"/>
      <c r="N1007" s="62"/>
      <c r="O1007" s="94"/>
      <c r="P1007" s="62"/>
      <c r="Q1007" s="64"/>
      <c r="R1007" s="164"/>
      <c r="S1007" s="62"/>
      <c r="T1007" s="62"/>
      <c r="U1007" s="62"/>
      <c r="V1007" s="177"/>
      <c r="W1007" s="171"/>
      <c r="X1007" s="62"/>
      <c r="Y1007" s="45"/>
      <c r="Z1007" s="45"/>
      <c r="AA1007" s="100"/>
      <c r="AB1007" s="100"/>
      <c r="AC1007" s="24"/>
      <c r="AD1007" s="24"/>
      <c r="AE1007" s="24"/>
      <c r="AF1007" s="24"/>
      <c r="AG1007" s="18">
        <v>24</v>
      </c>
      <c r="AH1007" s="69" t="s">
        <v>359</v>
      </c>
      <c r="AI1007" s="243" t="s">
        <v>253</v>
      </c>
      <c r="AJ1007" s="243" t="s">
        <v>419</v>
      </c>
      <c r="AK1007" s="246"/>
      <c r="AL1007" s="43" t="str">
        <f t="shared" si="260"/>
        <v>-</v>
      </c>
      <c r="AM1007" s="43">
        <f t="shared" si="248"/>
        <v>0</v>
      </c>
      <c r="AN1007" s="193">
        <f t="shared" si="248"/>
        <v>0</v>
      </c>
      <c r="AO1007" s="270" t="str">
        <f t="shared" si="249"/>
        <v>-</v>
      </c>
      <c r="AP1007" s="266"/>
      <c r="AQ1007" s="26" t="str">
        <f t="shared" si="256"/>
        <v>PACILTH CREEKPink</v>
      </c>
      <c r="AR1007" s="26">
        <f t="shared" si="250"/>
        <v>0</v>
      </c>
      <c r="AS1007" s="33">
        <f t="shared" si="251"/>
        <v>0</v>
      </c>
      <c r="AX1007" s="47" t="str">
        <f t="shared" si="252"/>
        <v>PACILTH CREEKPink</v>
      </c>
      <c r="AY1007" s="49">
        <f t="shared" si="253"/>
        <v>0</v>
      </c>
      <c r="AZ1007" s="49">
        <f t="shared" si="254"/>
        <v>0</v>
      </c>
      <c r="BA1007" s="31">
        <v>0</v>
      </c>
      <c r="BB1007" s="188">
        <f t="shared" si="257"/>
        <v>0</v>
      </c>
      <c r="BC1007" s="188" t="str">
        <f t="shared" si="261"/>
        <v xml:space="preserve"> </v>
      </c>
      <c r="BD1007" s="188" t="str">
        <f t="shared" si="262"/>
        <v xml:space="preserve"> </v>
      </c>
      <c r="BE1007" s="188" t="str">
        <f t="shared" si="263"/>
        <v xml:space="preserve"> </v>
      </c>
      <c r="BF1007" s="50" t="str">
        <f t="shared" si="255"/>
        <v>PACILTH CREEK_Pink</v>
      </c>
      <c r="BG1007" s="50" t="str">
        <f>IFERROR(VLOOKUP(BF1007,'[1]WCVI Esc'!$C$5:$W$514,18,FALSE),"-")</f>
        <v>-</v>
      </c>
      <c r="BH1007" s="50" t="str">
        <f t="shared" si="258"/>
        <v>-</v>
      </c>
      <c r="BI1007" s="50" t="str">
        <f>IFERROR(VLOOKUP(BF1007,'[1]WCVI Esc'!$C$5:$W$514,19,FALSE),"-")</f>
        <v>-</v>
      </c>
      <c r="BJ1007" s="50" t="str">
        <f t="shared" si="259"/>
        <v>-</v>
      </c>
    </row>
    <row r="1008" spans="1:67" hidden="1" x14ac:dyDescent="0.2">
      <c r="A1008" s="28">
        <v>4</v>
      </c>
      <c r="B1008" s="28">
        <v>4</v>
      </c>
      <c r="C1008" s="11">
        <v>24</v>
      </c>
      <c r="D1008" s="13" t="s">
        <v>359</v>
      </c>
      <c r="E1008" s="10" t="s">
        <v>253</v>
      </c>
      <c r="F1008" s="10" t="s">
        <v>209</v>
      </c>
      <c r="G1008" s="10"/>
      <c r="H1008" s="152"/>
      <c r="I1008" s="164"/>
      <c r="J1008" s="62"/>
      <c r="K1008" s="62"/>
      <c r="L1008" s="177"/>
      <c r="M1008" s="171"/>
      <c r="N1008" s="62"/>
      <c r="O1008" s="94"/>
      <c r="P1008" s="62"/>
      <c r="Q1008" s="64"/>
      <c r="R1008" s="164"/>
      <c r="S1008" s="62"/>
      <c r="T1008" s="62"/>
      <c r="U1008" s="62"/>
      <c r="V1008" s="177"/>
      <c r="W1008" s="171"/>
      <c r="X1008" s="62"/>
      <c r="Y1008" s="45"/>
      <c r="Z1008" s="45"/>
      <c r="AA1008" s="100"/>
      <c r="AB1008" s="100"/>
      <c r="AC1008" s="24"/>
      <c r="AD1008" s="24"/>
      <c r="AE1008" s="24"/>
      <c r="AF1008" s="24"/>
      <c r="AG1008" s="18">
        <v>24</v>
      </c>
      <c r="AH1008" s="69" t="s">
        <v>359</v>
      </c>
      <c r="AI1008" s="243" t="s">
        <v>253</v>
      </c>
      <c r="AJ1008" s="243" t="s">
        <v>419</v>
      </c>
      <c r="AK1008" s="246"/>
      <c r="AL1008" s="43" t="str">
        <f t="shared" si="260"/>
        <v>-</v>
      </c>
      <c r="AM1008" s="43">
        <f t="shared" si="248"/>
        <v>0</v>
      </c>
      <c r="AN1008" s="193">
        <f t="shared" si="248"/>
        <v>0</v>
      </c>
      <c r="AO1008" s="270" t="str">
        <f t="shared" si="249"/>
        <v>-</v>
      </c>
      <c r="AP1008" s="266"/>
      <c r="AQ1008" s="26" t="str">
        <f t="shared" si="256"/>
        <v>PACILTH CREEKChum</v>
      </c>
      <c r="AR1008" s="26">
        <f t="shared" si="250"/>
        <v>0</v>
      </c>
      <c r="AS1008" s="33">
        <f t="shared" si="251"/>
        <v>0</v>
      </c>
      <c r="AX1008" s="47" t="str">
        <f t="shared" si="252"/>
        <v>PACILTH CREEKChum</v>
      </c>
      <c r="AY1008" s="49">
        <f t="shared" si="253"/>
        <v>0</v>
      </c>
      <c r="AZ1008" s="49">
        <f t="shared" si="254"/>
        <v>0</v>
      </c>
      <c r="BA1008" s="31">
        <v>0</v>
      </c>
      <c r="BB1008" s="188">
        <f t="shared" si="257"/>
        <v>0</v>
      </c>
      <c r="BC1008" s="188" t="str">
        <f t="shared" si="261"/>
        <v xml:space="preserve"> </v>
      </c>
      <c r="BD1008" s="188" t="str">
        <f t="shared" si="262"/>
        <v xml:space="preserve"> </v>
      </c>
      <c r="BE1008" s="188" t="str">
        <f t="shared" si="263"/>
        <v xml:space="preserve"> </v>
      </c>
      <c r="BF1008" s="50" t="str">
        <f t="shared" si="255"/>
        <v>PACILTH CREEK_Chum</v>
      </c>
      <c r="BG1008" s="50" t="str">
        <f>IFERROR(VLOOKUP(BF1008,'[1]WCVI Esc'!$C$5:$W$514,18,FALSE),"-")</f>
        <v>-</v>
      </c>
      <c r="BH1008" s="50" t="str">
        <f t="shared" si="258"/>
        <v>-</v>
      </c>
      <c r="BI1008" s="50" t="str">
        <f>IFERROR(VLOOKUP(BF1008,'[1]WCVI Esc'!$C$5:$W$514,19,FALSE),"-")</f>
        <v>-</v>
      </c>
      <c r="BJ1008" s="50" t="str">
        <f t="shared" si="259"/>
        <v>-</v>
      </c>
    </row>
    <row r="1009" spans="1:62" hidden="1" x14ac:dyDescent="0.2">
      <c r="A1009" s="28">
        <v>4</v>
      </c>
      <c r="B1009" s="28">
        <v>5</v>
      </c>
      <c r="C1009" s="11">
        <v>24</v>
      </c>
      <c r="D1009" s="13" t="s">
        <v>359</v>
      </c>
      <c r="E1009" s="10" t="s">
        <v>253</v>
      </c>
      <c r="F1009" s="10" t="s">
        <v>210</v>
      </c>
      <c r="G1009" s="10"/>
      <c r="H1009" s="152"/>
      <c r="I1009" s="164"/>
      <c r="J1009" s="62"/>
      <c r="K1009" s="62"/>
      <c r="L1009" s="177"/>
      <c r="M1009" s="171"/>
      <c r="N1009" s="62"/>
      <c r="O1009" s="94"/>
      <c r="P1009" s="62"/>
      <c r="Q1009" s="64"/>
      <c r="R1009" s="164"/>
      <c r="S1009" s="62"/>
      <c r="T1009" s="62"/>
      <c r="U1009" s="62"/>
      <c r="V1009" s="177"/>
      <c r="W1009" s="171"/>
      <c r="X1009" s="62"/>
      <c r="Y1009" s="45"/>
      <c r="Z1009" s="45"/>
      <c r="AA1009" s="100"/>
      <c r="AB1009" s="100"/>
      <c r="AC1009" s="24"/>
      <c r="AD1009" s="24"/>
      <c r="AE1009" s="24"/>
      <c r="AF1009" s="24"/>
      <c r="AG1009" s="18">
        <v>24</v>
      </c>
      <c r="AH1009" s="69" t="s">
        <v>359</v>
      </c>
      <c r="AI1009" s="243" t="s">
        <v>253</v>
      </c>
      <c r="AJ1009" s="243" t="s">
        <v>419</v>
      </c>
      <c r="AK1009" s="246"/>
      <c r="AL1009" s="43" t="str">
        <f t="shared" si="260"/>
        <v>-</v>
      </c>
      <c r="AM1009" s="43">
        <f t="shared" si="248"/>
        <v>0</v>
      </c>
      <c r="AN1009" s="193">
        <f t="shared" si="248"/>
        <v>0</v>
      </c>
      <c r="AO1009" s="270" t="str">
        <f t="shared" si="249"/>
        <v>-</v>
      </c>
      <c r="AP1009" s="266"/>
      <c r="AQ1009" s="26" t="str">
        <f t="shared" si="256"/>
        <v>PACILTH CREEKChinook</v>
      </c>
      <c r="AR1009" s="26">
        <f t="shared" si="250"/>
        <v>0</v>
      </c>
      <c r="AS1009" s="33">
        <f t="shared" si="251"/>
        <v>0</v>
      </c>
      <c r="AX1009" s="47" t="str">
        <f t="shared" si="252"/>
        <v>PACILTH CREEKChinook</v>
      </c>
      <c r="AY1009" s="49">
        <f t="shared" si="253"/>
        <v>0</v>
      </c>
      <c r="AZ1009" s="49">
        <f t="shared" si="254"/>
        <v>0</v>
      </c>
      <c r="BA1009" s="31">
        <v>0</v>
      </c>
      <c r="BB1009" s="188">
        <f t="shared" si="257"/>
        <v>0</v>
      </c>
      <c r="BC1009" s="188" t="str">
        <f t="shared" si="261"/>
        <v xml:space="preserve"> </v>
      </c>
      <c r="BD1009" s="188" t="str">
        <f t="shared" si="262"/>
        <v xml:space="preserve"> </v>
      </c>
      <c r="BE1009" s="188" t="str">
        <f t="shared" si="263"/>
        <v xml:space="preserve"> </v>
      </c>
      <c r="BF1009" s="50" t="str">
        <f t="shared" si="255"/>
        <v>PACILTH CREEK_Chinook</v>
      </c>
      <c r="BG1009" s="50" t="str">
        <f>IFERROR(VLOOKUP(BF1009,'[1]WCVI Esc'!$C$5:$W$514,18,FALSE),"-")</f>
        <v>-</v>
      </c>
      <c r="BH1009" s="50" t="str">
        <f t="shared" si="258"/>
        <v>-</v>
      </c>
      <c r="BI1009" s="50" t="str">
        <f>IFERROR(VLOOKUP(BF1009,'[1]WCVI Esc'!$C$5:$W$514,19,FALSE),"-")</f>
        <v>-</v>
      </c>
      <c r="BJ1009" s="50" t="str">
        <f t="shared" si="259"/>
        <v>-</v>
      </c>
    </row>
    <row r="1010" spans="1:62" hidden="1" x14ac:dyDescent="0.2">
      <c r="A1010" s="28">
        <v>4</v>
      </c>
      <c r="B1010" s="28">
        <v>6</v>
      </c>
      <c r="C1010" s="11">
        <v>24</v>
      </c>
      <c r="D1010" s="13" t="s">
        <v>359</v>
      </c>
      <c r="E1010" s="10" t="s">
        <v>253</v>
      </c>
      <c r="F1010" s="10" t="s">
        <v>211</v>
      </c>
      <c r="G1010" s="10"/>
      <c r="H1010" s="152"/>
      <c r="I1010" s="164"/>
      <c r="J1010" s="62"/>
      <c r="K1010" s="62"/>
      <c r="L1010" s="177"/>
      <c r="M1010" s="171"/>
      <c r="N1010" s="62"/>
      <c r="O1010" s="94"/>
      <c r="P1010" s="62"/>
      <c r="Q1010" s="64"/>
      <c r="R1010" s="164"/>
      <c r="S1010" s="62"/>
      <c r="T1010" s="62"/>
      <c r="U1010" s="62"/>
      <c r="V1010" s="177"/>
      <c r="W1010" s="171"/>
      <c r="X1010" s="62"/>
      <c r="Y1010" s="45"/>
      <c r="Z1010" s="45"/>
      <c r="AA1010" s="100"/>
      <c r="AB1010" s="100"/>
      <c r="AC1010" s="24"/>
      <c r="AD1010" s="24"/>
      <c r="AE1010" s="24"/>
      <c r="AF1010" s="24"/>
      <c r="AG1010" s="18">
        <v>24</v>
      </c>
      <c r="AH1010" s="69" t="s">
        <v>359</v>
      </c>
      <c r="AI1010" s="243" t="s">
        <v>253</v>
      </c>
      <c r="AJ1010" s="243" t="s">
        <v>419</v>
      </c>
      <c r="AK1010" s="246"/>
      <c r="AL1010" s="43" t="str">
        <f t="shared" si="260"/>
        <v>-</v>
      </c>
      <c r="AM1010" s="43">
        <f t="shared" si="248"/>
        <v>0</v>
      </c>
      <c r="AN1010" s="193">
        <f t="shared" si="248"/>
        <v>0</v>
      </c>
      <c r="AO1010" s="270" t="str">
        <f t="shared" si="249"/>
        <v>-</v>
      </c>
      <c r="AP1010" s="266"/>
      <c r="AQ1010" s="26" t="str">
        <f t="shared" si="256"/>
        <v>PACILTH CREEKSteelhead</v>
      </c>
      <c r="AR1010" s="26">
        <f t="shared" si="250"/>
        <v>0</v>
      </c>
      <c r="AS1010" s="33">
        <f t="shared" si="251"/>
        <v>0</v>
      </c>
      <c r="AX1010" s="47" t="str">
        <f t="shared" si="252"/>
        <v>PACILTH CREEKSteelhead</v>
      </c>
      <c r="AY1010" s="49">
        <f t="shared" si="253"/>
        <v>0</v>
      </c>
      <c r="AZ1010" s="49">
        <f t="shared" si="254"/>
        <v>0</v>
      </c>
      <c r="BA1010" s="31">
        <v>0</v>
      </c>
      <c r="BB1010" s="188">
        <f t="shared" si="257"/>
        <v>0</v>
      </c>
      <c r="BC1010" s="188" t="str">
        <f t="shared" si="261"/>
        <v xml:space="preserve"> </v>
      </c>
      <c r="BD1010" s="188" t="str">
        <f t="shared" si="262"/>
        <v xml:space="preserve"> </v>
      </c>
      <c r="BE1010" s="188" t="str">
        <f t="shared" si="263"/>
        <v xml:space="preserve"> </v>
      </c>
      <c r="BF1010" s="50" t="str">
        <f t="shared" si="255"/>
        <v>PACILTH CREEK_Steelhead</v>
      </c>
      <c r="BG1010" s="50" t="str">
        <f>IFERROR(VLOOKUP(BF1010,'[1]WCVI Esc'!$C$5:$W$514,18,FALSE),"-")</f>
        <v>-</v>
      </c>
      <c r="BH1010" s="50" t="str">
        <f t="shared" si="258"/>
        <v>-</v>
      </c>
      <c r="BI1010" s="50" t="str">
        <f>IFERROR(VLOOKUP(BF1010,'[1]WCVI Esc'!$C$5:$W$514,19,FALSE),"-")</f>
        <v>-</v>
      </c>
      <c r="BJ1010" s="50" t="str">
        <f t="shared" si="259"/>
        <v>-</v>
      </c>
    </row>
    <row r="1011" spans="1:62" hidden="1" x14ac:dyDescent="0.2">
      <c r="A1011" s="28">
        <v>4</v>
      </c>
      <c r="B1011" s="28">
        <v>1</v>
      </c>
      <c r="C1011" s="11">
        <v>24</v>
      </c>
      <c r="D1011" s="13" t="s">
        <v>359</v>
      </c>
      <c r="E1011" s="10" t="s">
        <v>254</v>
      </c>
      <c r="F1011" s="10" t="s">
        <v>207</v>
      </c>
      <c r="G1011" s="10"/>
      <c r="H1011" s="152"/>
      <c r="I1011" s="164"/>
      <c r="J1011" s="62"/>
      <c r="K1011" s="62"/>
      <c r="L1011" s="177"/>
      <c r="M1011" s="171"/>
      <c r="N1011" s="62"/>
      <c r="O1011" s="62"/>
      <c r="P1011" s="62"/>
      <c r="Q1011" s="64"/>
      <c r="R1011" s="164"/>
      <c r="S1011" s="94"/>
      <c r="T1011" s="62"/>
      <c r="U1011" s="62"/>
      <c r="V1011" s="177"/>
      <c r="W1011" s="171"/>
      <c r="X1011" s="62"/>
      <c r="Y1011" s="45"/>
      <c r="Z1011" s="45"/>
      <c r="AA1011" s="100"/>
      <c r="AB1011" s="100"/>
      <c r="AC1011" s="24"/>
      <c r="AD1011" s="24"/>
      <c r="AE1011" s="24"/>
      <c r="AF1011" s="24"/>
      <c r="AG1011" s="18">
        <v>24</v>
      </c>
      <c r="AH1011" s="69" t="s">
        <v>359</v>
      </c>
      <c r="AI1011" s="243" t="s">
        <v>254</v>
      </c>
      <c r="AJ1011" s="243" t="s">
        <v>419</v>
      </c>
      <c r="AK1011" s="246"/>
      <c r="AL1011" s="43" t="str">
        <f t="shared" si="260"/>
        <v>-</v>
      </c>
      <c r="AM1011" s="43">
        <f t="shared" si="248"/>
        <v>0</v>
      </c>
      <c r="AN1011" s="193">
        <f t="shared" si="248"/>
        <v>0</v>
      </c>
      <c r="AO1011" s="270" t="str">
        <f t="shared" si="249"/>
        <v>-</v>
      </c>
      <c r="AP1011" s="266"/>
      <c r="AQ1011" s="26" t="str">
        <f t="shared" si="256"/>
        <v>PURDON CREEK (Tsa-ako)Sockeye</v>
      </c>
      <c r="AR1011" s="26">
        <f t="shared" si="250"/>
        <v>0</v>
      </c>
      <c r="AS1011" s="33">
        <f t="shared" si="251"/>
        <v>0</v>
      </c>
      <c r="AX1011" s="47" t="str">
        <f t="shared" si="252"/>
        <v>PURDON CREEK (Tsa-ako)Sockeye</v>
      </c>
      <c r="AY1011" s="49">
        <f t="shared" si="253"/>
        <v>0</v>
      </c>
      <c r="AZ1011" s="49">
        <f t="shared" si="254"/>
        <v>0</v>
      </c>
      <c r="BA1011" s="31">
        <v>0</v>
      </c>
      <c r="BB1011" s="188">
        <f t="shared" si="257"/>
        <v>0</v>
      </c>
      <c r="BC1011" s="188" t="str">
        <f t="shared" si="261"/>
        <v xml:space="preserve"> </v>
      </c>
      <c r="BD1011" s="188" t="str">
        <f t="shared" si="262"/>
        <v xml:space="preserve"> </v>
      </c>
      <c r="BE1011" s="188" t="str">
        <f t="shared" si="263"/>
        <v xml:space="preserve"> </v>
      </c>
      <c r="BF1011" s="50" t="str">
        <f t="shared" si="255"/>
        <v>PURDON CREEK (Tsa-ako)_Sockeye</v>
      </c>
      <c r="BG1011" s="50" t="str">
        <f>IFERROR(VLOOKUP(BF1011,'[1]WCVI Esc'!$C$5:$W$514,18,FALSE),"-")</f>
        <v>-</v>
      </c>
      <c r="BH1011" s="50" t="str">
        <f t="shared" si="258"/>
        <v>-</v>
      </c>
      <c r="BI1011" s="50" t="str">
        <f>IFERROR(VLOOKUP(BF1011,'[1]WCVI Esc'!$C$5:$W$514,19,FALSE),"-")</f>
        <v>-</v>
      </c>
      <c r="BJ1011" s="50" t="str">
        <f t="shared" si="259"/>
        <v>-</v>
      </c>
    </row>
    <row r="1012" spans="1:62" hidden="1" x14ac:dyDescent="0.2">
      <c r="A1012" s="28">
        <v>4</v>
      </c>
      <c r="B1012" s="28">
        <v>2</v>
      </c>
      <c r="C1012" s="11">
        <v>24</v>
      </c>
      <c r="D1012" s="13" t="s">
        <v>359</v>
      </c>
      <c r="E1012" s="10" t="s">
        <v>254</v>
      </c>
      <c r="F1012" s="10" t="s">
        <v>219</v>
      </c>
      <c r="G1012" s="10"/>
      <c r="H1012" s="152"/>
      <c r="I1012" s="164"/>
      <c r="J1012" s="62"/>
      <c r="K1012" s="62"/>
      <c r="L1012" s="177"/>
      <c r="M1012" s="171"/>
      <c r="N1012" s="62"/>
      <c r="O1012" s="62"/>
      <c r="P1012" s="62"/>
      <c r="Q1012" s="64"/>
      <c r="R1012" s="164"/>
      <c r="S1012" s="94"/>
      <c r="T1012" s="62"/>
      <c r="U1012" s="62"/>
      <c r="V1012" s="177"/>
      <c r="W1012" s="171"/>
      <c r="X1012" s="62"/>
      <c r="Y1012" s="45"/>
      <c r="Z1012" s="45"/>
      <c r="AA1012" s="100"/>
      <c r="AB1012" s="100"/>
      <c r="AC1012" s="24"/>
      <c r="AD1012" s="24"/>
      <c r="AE1012" s="24"/>
      <c r="AF1012" s="24"/>
      <c r="AG1012" s="18">
        <v>24</v>
      </c>
      <c r="AH1012" s="69" t="s">
        <v>359</v>
      </c>
      <c r="AI1012" s="243" t="s">
        <v>254</v>
      </c>
      <c r="AJ1012" s="243" t="s">
        <v>419</v>
      </c>
      <c r="AK1012" s="246"/>
      <c r="AL1012" s="43" t="str">
        <f t="shared" si="260"/>
        <v>-</v>
      </c>
      <c r="AM1012" s="43">
        <f t="shared" si="248"/>
        <v>0</v>
      </c>
      <c r="AN1012" s="193">
        <f t="shared" si="248"/>
        <v>0</v>
      </c>
      <c r="AO1012" s="270" t="str">
        <f t="shared" si="249"/>
        <v>-</v>
      </c>
      <c r="AP1012" s="266"/>
      <c r="AQ1012" s="26" t="str">
        <f t="shared" si="256"/>
        <v>PURDON CREEK (Tsa-ako)Coho</v>
      </c>
      <c r="AR1012" s="26">
        <f t="shared" si="250"/>
        <v>0</v>
      </c>
      <c r="AS1012" s="33">
        <f t="shared" si="251"/>
        <v>0</v>
      </c>
      <c r="AX1012" s="47" t="str">
        <f t="shared" si="252"/>
        <v>PURDON CREEK (Tsa-ako)Coho</v>
      </c>
      <c r="AY1012" s="49">
        <f t="shared" si="253"/>
        <v>0</v>
      </c>
      <c r="AZ1012" s="49">
        <f t="shared" si="254"/>
        <v>0</v>
      </c>
      <c r="BA1012" s="31">
        <v>0</v>
      </c>
      <c r="BB1012" s="188">
        <f t="shared" si="257"/>
        <v>0</v>
      </c>
      <c r="BC1012" s="188" t="str">
        <f t="shared" si="261"/>
        <v xml:space="preserve"> </v>
      </c>
      <c r="BD1012" s="188" t="str">
        <f t="shared" si="262"/>
        <v xml:space="preserve"> </v>
      </c>
      <c r="BE1012" s="188" t="str">
        <f t="shared" si="263"/>
        <v xml:space="preserve"> </v>
      </c>
      <c r="BF1012" s="50" t="str">
        <f t="shared" si="255"/>
        <v>PURDON CREEK (Tsa-ako)_Coho</v>
      </c>
      <c r="BG1012" s="50" t="str">
        <f>IFERROR(VLOOKUP(BF1012,'[1]WCVI Esc'!$C$5:$W$514,18,FALSE),"-")</f>
        <v>-</v>
      </c>
      <c r="BH1012" s="50" t="str">
        <f t="shared" si="258"/>
        <v>-</v>
      </c>
      <c r="BI1012" s="50" t="str">
        <f>IFERROR(VLOOKUP(BF1012,'[1]WCVI Esc'!$C$5:$W$514,19,FALSE),"-")</f>
        <v>-</v>
      </c>
      <c r="BJ1012" s="50" t="str">
        <f t="shared" si="259"/>
        <v>-</v>
      </c>
    </row>
    <row r="1013" spans="1:62" hidden="1" x14ac:dyDescent="0.2">
      <c r="A1013" s="28">
        <v>4</v>
      </c>
      <c r="B1013" s="28">
        <v>3</v>
      </c>
      <c r="C1013" s="11">
        <v>24</v>
      </c>
      <c r="D1013" s="13" t="s">
        <v>359</v>
      </c>
      <c r="E1013" s="10" t="s">
        <v>254</v>
      </c>
      <c r="F1013" s="10" t="s">
        <v>208</v>
      </c>
      <c r="G1013" s="10"/>
      <c r="H1013" s="152"/>
      <c r="I1013" s="164"/>
      <c r="J1013" s="62"/>
      <c r="K1013" s="62"/>
      <c r="L1013" s="177"/>
      <c r="M1013" s="171"/>
      <c r="N1013" s="62"/>
      <c r="O1013" s="62"/>
      <c r="P1013" s="62"/>
      <c r="Q1013" s="64"/>
      <c r="R1013" s="164"/>
      <c r="S1013" s="94"/>
      <c r="T1013" s="62"/>
      <c r="U1013" s="62"/>
      <c r="V1013" s="177"/>
      <c r="W1013" s="171"/>
      <c r="X1013" s="62"/>
      <c r="Y1013" s="45"/>
      <c r="Z1013" s="45"/>
      <c r="AA1013" s="100"/>
      <c r="AB1013" s="100"/>
      <c r="AC1013" s="24"/>
      <c r="AD1013" s="24"/>
      <c r="AE1013" s="24"/>
      <c r="AF1013" s="24"/>
      <c r="AG1013" s="18">
        <v>24</v>
      </c>
      <c r="AH1013" s="69" t="s">
        <v>359</v>
      </c>
      <c r="AI1013" s="243" t="s">
        <v>254</v>
      </c>
      <c r="AJ1013" s="243" t="s">
        <v>419</v>
      </c>
      <c r="AK1013" s="246"/>
      <c r="AL1013" s="43" t="str">
        <f t="shared" si="260"/>
        <v>-</v>
      </c>
      <c r="AM1013" s="43">
        <f t="shared" si="248"/>
        <v>0</v>
      </c>
      <c r="AN1013" s="193">
        <f t="shared" si="248"/>
        <v>0</v>
      </c>
      <c r="AO1013" s="270" t="str">
        <f t="shared" si="249"/>
        <v>-</v>
      </c>
      <c r="AP1013" s="266"/>
      <c r="AQ1013" s="26" t="str">
        <f t="shared" si="256"/>
        <v>PURDON CREEK (Tsa-ako)Pink</v>
      </c>
      <c r="AR1013" s="26">
        <f t="shared" si="250"/>
        <v>0</v>
      </c>
      <c r="AS1013" s="33">
        <f t="shared" si="251"/>
        <v>0</v>
      </c>
      <c r="AX1013" s="47" t="str">
        <f t="shared" si="252"/>
        <v>PURDON CREEK (Tsa-ako)Pink</v>
      </c>
      <c r="AY1013" s="49">
        <f t="shared" si="253"/>
        <v>0</v>
      </c>
      <c r="AZ1013" s="49">
        <f t="shared" si="254"/>
        <v>0</v>
      </c>
      <c r="BA1013" s="31">
        <v>0</v>
      </c>
      <c r="BB1013" s="188">
        <f t="shared" si="257"/>
        <v>0</v>
      </c>
      <c r="BC1013" s="188" t="str">
        <f t="shared" si="261"/>
        <v xml:space="preserve"> </v>
      </c>
      <c r="BD1013" s="188" t="str">
        <f t="shared" si="262"/>
        <v xml:space="preserve"> </v>
      </c>
      <c r="BE1013" s="188" t="str">
        <f t="shared" si="263"/>
        <v xml:space="preserve"> </v>
      </c>
      <c r="BF1013" s="50" t="str">
        <f t="shared" si="255"/>
        <v>PURDON CREEK (Tsa-ako)_Pink</v>
      </c>
      <c r="BG1013" s="50" t="str">
        <f>IFERROR(VLOOKUP(BF1013,'[1]WCVI Esc'!$C$5:$W$514,18,FALSE),"-")</f>
        <v>-</v>
      </c>
      <c r="BH1013" s="50" t="str">
        <f t="shared" si="258"/>
        <v>-</v>
      </c>
      <c r="BI1013" s="50" t="str">
        <f>IFERROR(VLOOKUP(BF1013,'[1]WCVI Esc'!$C$5:$W$514,19,FALSE),"-")</f>
        <v>-</v>
      </c>
      <c r="BJ1013" s="50" t="str">
        <f t="shared" si="259"/>
        <v>-</v>
      </c>
    </row>
    <row r="1014" spans="1:62" hidden="1" x14ac:dyDescent="0.2">
      <c r="A1014" s="28">
        <v>4</v>
      </c>
      <c r="B1014" s="28">
        <v>4</v>
      </c>
      <c r="C1014" s="11">
        <v>24</v>
      </c>
      <c r="D1014" s="13" t="s">
        <v>359</v>
      </c>
      <c r="E1014" s="10" t="s">
        <v>254</v>
      </c>
      <c r="F1014" s="10" t="s">
        <v>209</v>
      </c>
      <c r="G1014" s="10"/>
      <c r="H1014" s="152"/>
      <c r="I1014" s="164"/>
      <c r="J1014" s="62"/>
      <c r="K1014" s="62"/>
      <c r="L1014" s="177"/>
      <c r="M1014" s="171"/>
      <c r="N1014" s="62"/>
      <c r="O1014" s="62"/>
      <c r="P1014" s="62"/>
      <c r="Q1014" s="64"/>
      <c r="R1014" s="164"/>
      <c r="S1014" s="94"/>
      <c r="T1014" s="62"/>
      <c r="U1014" s="62"/>
      <c r="V1014" s="177"/>
      <c r="W1014" s="171"/>
      <c r="X1014" s="62"/>
      <c r="Y1014" s="45"/>
      <c r="Z1014" s="45"/>
      <c r="AA1014" s="100"/>
      <c r="AB1014" s="100"/>
      <c r="AC1014" s="24"/>
      <c r="AD1014" s="24"/>
      <c r="AE1014" s="24"/>
      <c r="AF1014" s="24"/>
      <c r="AG1014" s="18">
        <v>24</v>
      </c>
      <c r="AH1014" s="69" t="s">
        <v>359</v>
      </c>
      <c r="AI1014" s="243" t="s">
        <v>254</v>
      </c>
      <c r="AJ1014" s="243" t="s">
        <v>419</v>
      </c>
      <c r="AK1014" s="246"/>
      <c r="AL1014" s="43" t="str">
        <f t="shared" si="260"/>
        <v>-</v>
      </c>
      <c r="AM1014" s="43">
        <f t="shared" si="248"/>
        <v>0</v>
      </c>
      <c r="AN1014" s="193">
        <f t="shared" si="248"/>
        <v>0</v>
      </c>
      <c r="AO1014" s="270" t="str">
        <f t="shared" si="249"/>
        <v>-</v>
      </c>
      <c r="AP1014" s="266"/>
      <c r="AQ1014" s="26" t="str">
        <f t="shared" si="256"/>
        <v>PURDON CREEK (Tsa-ako)Chum</v>
      </c>
      <c r="AR1014" s="26">
        <f t="shared" si="250"/>
        <v>0</v>
      </c>
      <c r="AS1014" s="33">
        <f t="shared" si="251"/>
        <v>0</v>
      </c>
      <c r="AX1014" s="47" t="str">
        <f t="shared" si="252"/>
        <v>PURDON CREEK (Tsa-ako)Chum</v>
      </c>
      <c r="AY1014" s="49">
        <f t="shared" si="253"/>
        <v>0</v>
      </c>
      <c r="AZ1014" s="49">
        <f t="shared" si="254"/>
        <v>0</v>
      </c>
      <c r="BA1014" s="31">
        <v>0</v>
      </c>
      <c r="BB1014" s="188">
        <f t="shared" si="257"/>
        <v>0</v>
      </c>
      <c r="BC1014" s="188" t="str">
        <f t="shared" si="261"/>
        <v xml:space="preserve"> </v>
      </c>
      <c r="BD1014" s="188" t="str">
        <f t="shared" si="262"/>
        <v xml:space="preserve"> </v>
      </c>
      <c r="BE1014" s="188" t="str">
        <f t="shared" si="263"/>
        <v xml:space="preserve"> </v>
      </c>
      <c r="BF1014" s="50" t="str">
        <f t="shared" si="255"/>
        <v>PURDON CREEK (Tsa-ako)_Chum</v>
      </c>
      <c r="BG1014" s="50" t="str">
        <f>IFERROR(VLOOKUP(BF1014,'[1]WCVI Esc'!$C$5:$W$514,18,FALSE),"-")</f>
        <v>-</v>
      </c>
      <c r="BH1014" s="50" t="str">
        <f t="shared" si="258"/>
        <v>-</v>
      </c>
      <c r="BI1014" s="50" t="str">
        <f>IFERROR(VLOOKUP(BF1014,'[1]WCVI Esc'!$C$5:$W$514,19,FALSE),"-")</f>
        <v>-</v>
      </c>
      <c r="BJ1014" s="50" t="str">
        <f t="shared" si="259"/>
        <v>-</v>
      </c>
    </row>
    <row r="1015" spans="1:62" hidden="1" x14ac:dyDescent="0.2">
      <c r="A1015" s="28">
        <v>4</v>
      </c>
      <c r="B1015" s="28">
        <v>5</v>
      </c>
      <c r="C1015" s="11">
        <v>24</v>
      </c>
      <c r="D1015" s="13" t="s">
        <v>359</v>
      </c>
      <c r="E1015" s="10" t="s">
        <v>254</v>
      </c>
      <c r="F1015" s="10" t="s">
        <v>210</v>
      </c>
      <c r="G1015" s="10"/>
      <c r="H1015" s="152"/>
      <c r="I1015" s="164"/>
      <c r="J1015" s="62"/>
      <c r="K1015" s="62"/>
      <c r="L1015" s="177"/>
      <c r="M1015" s="171"/>
      <c r="N1015" s="62"/>
      <c r="O1015" s="62"/>
      <c r="P1015" s="62"/>
      <c r="Q1015" s="64"/>
      <c r="R1015" s="164"/>
      <c r="S1015" s="94"/>
      <c r="T1015" s="62"/>
      <c r="U1015" s="62"/>
      <c r="V1015" s="177"/>
      <c r="W1015" s="171"/>
      <c r="X1015" s="62"/>
      <c r="Y1015" s="45"/>
      <c r="Z1015" s="45"/>
      <c r="AA1015" s="100"/>
      <c r="AB1015" s="100"/>
      <c r="AC1015" s="24"/>
      <c r="AD1015" s="24"/>
      <c r="AE1015" s="24"/>
      <c r="AF1015" s="24"/>
      <c r="AG1015" s="18">
        <v>24</v>
      </c>
      <c r="AH1015" s="69" t="s">
        <v>359</v>
      </c>
      <c r="AI1015" s="243" t="s">
        <v>254</v>
      </c>
      <c r="AJ1015" s="243" t="s">
        <v>419</v>
      </c>
      <c r="AK1015" s="246"/>
      <c r="AL1015" s="43" t="str">
        <f t="shared" si="260"/>
        <v>-</v>
      </c>
      <c r="AM1015" s="43">
        <f t="shared" si="248"/>
        <v>0</v>
      </c>
      <c r="AN1015" s="193">
        <f t="shared" si="248"/>
        <v>0</v>
      </c>
      <c r="AO1015" s="270" t="str">
        <f t="shared" si="249"/>
        <v>-</v>
      </c>
      <c r="AP1015" s="266"/>
      <c r="AQ1015" s="26" t="str">
        <f t="shared" si="256"/>
        <v>PURDON CREEK (Tsa-ako)Chinook</v>
      </c>
      <c r="AR1015" s="26">
        <f t="shared" si="250"/>
        <v>0</v>
      </c>
      <c r="AS1015" s="33">
        <f t="shared" si="251"/>
        <v>0</v>
      </c>
      <c r="AX1015" s="47" t="str">
        <f t="shared" si="252"/>
        <v>PURDON CREEK (Tsa-ako)Chinook</v>
      </c>
      <c r="AY1015" s="49">
        <f t="shared" si="253"/>
        <v>0</v>
      </c>
      <c r="AZ1015" s="49">
        <f t="shared" si="254"/>
        <v>0</v>
      </c>
      <c r="BA1015" s="31">
        <v>0</v>
      </c>
      <c r="BB1015" s="188">
        <f t="shared" si="257"/>
        <v>0</v>
      </c>
      <c r="BC1015" s="188" t="str">
        <f t="shared" si="261"/>
        <v xml:space="preserve"> </v>
      </c>
      <c r="BD1015" s="188" t="str">
        <f t="shared" si="262"/>
        <v xml:space="preserve"> </v>
      </c>
      <c r="BE1015" s="188" t="str">
        <f t="shared" si="263"/>
        <v xml:space="preserve"> </v>
      </c>
      <c r="BF1015" s="50" t="str">
        <f t="shared" si="255"/>
        <v>PURDON CREEK (Tsa-ako)_Chinook</v>
      </c>
      <c r="BG1015" s="50" t="str">
        <f>IFERROR(VLOOKUP(BF1015,'[1]WCVI Esc'!$C$5:$W$514,18,FALSE),"-")</f>
        <v>-</v>
      </c>
      <c r="BH1015" s="50" t="str">
        <f t="shared" si="258"/>
        <v>-</v>
      </c>
      <c r="BI1015" s="50" t="str">
        <f>IFERROR(VLOOKUP(BF1015,'[1]WCVI Esc'!$C$5:$W$514,19,FALSE),"-")</f>
        <v>-</v>
      </c>
      <c r="BJ1015" s="50" t="str">
        <f t="shared" si="259"/>
        <v>-</v>
      </c>
    </row>
    <row r="1016" spans="1:62" hidden="1" x14ac:dyDescent="0.2">
      <c r="A1016" s="28">
        <v>4</v>
      </c>
      <c r="B1016" s="28">
        <v>6</v>
      </c>
      <c r="C1016" s="11">
        <v>24</v>
      </c>
      <c r="D1016" s="13" t="s">
        <v>359</v>
      </c>
      <c r="E1016" s="10" t="s">
        <v>254</v>
      </c>
      <c r="F1016" s="10" t="s">
        <v>211</v>
      </c>
      <c r="G1016" s="10"/>
      <c r="H1016" s="152"/>
      <c r="I1016" s="164"/>
      <c r="J1016" s="62"/>
      <c r="K1016" s="62"/>
      <c r="L1016" s="177"/>
      <c r="M1016" s="171"/>
      <c r="N1016" s="62"/>
      <c r="O1016" s="62"/>
      <c r="P1016" s="62"/>
      <c r="Q1016" s="64"/>
      <c r="R1016" s="164"/>
      <c r="S1016" s="94"/>
      <c r="T1016" s="62"/>
      <c r="U1016" s="62"/>
      <c r="V1016" s="177"/>
      <c r="W1016" s="171"/>
      <c r="X1016" s="62"/>
      <c r="Y1016" s="45"/>
      <c r="Z1016" s="45"/>
      <c r="AA1016" s="100"/>
      <c r="AB1016" s="100"/>
      <c r="AC1016" s="24"/>
      <c r="AD1016" s="24"/>
      <c r="AE1016" s="24"/>
      <c r="AF1016" s="24"/>
      <c r="AG1016" s="18">
        <v>24</v>
      </c>
      <c r="AH1016" s="69" t="s">
        <v>359</v>
      </c>
      <c r="AI1016" s="243" t="s">
        <v>254</v>
      </c>
      <c r="AJ1016" s="243" t="s">
        <v>419</v>
      </c>
      <c r="AK1016" s="246"/>
      <c r="AL1016" s="43" t="str">
        <f t="shared" si="260"/>
        <v>-</v>
      </c>
      <c r="AM1016" s="43">
        <f t="shared" si="248"/>
        <v>0</v>
      </c>
      <c r="AN1016" s="193">
        <f t="shared" si="248"/>
        <v>0</v>
      </c>
      <c r="AO1016" s="270" t="str">
        <f t="shared" si="249"/>
        <v>-</v>
      </c>
      <c r="AP1016" s="266"/>
      <c r="AQ1016" s="26" t="str">
        <f t="shared" si="256"/>
        <v>PURDON CREEK (Tsa-ako)Steelhead</v>
      </c>
      <c r="AR1016" s="26">
        <f t="shared" si="250"/>
        <v>0</v>
      </c>
      <c r="AS1016" s="33">
        <f t="shared" si="251"/>
        <v>0</v>
      </c>
      <c r="AX1016" s="47" t="str">
        <f t="shared" si="252"/>
        <v>PURDON CREEK (Tsa-ako)Steelhead</v>
      </c>
      <c r="AY1016" s="49">
        <f t="shared" si="253"/>
        <v>0</v>
      </c>
      <c r="AZ1016" s="49">
        <f t="shared" si="254"/>
        <v>0</v>
      </c>
      <c r="BA1016" s="31">
        <v>0</v>
      </c>
      <c r="BB1016" s="188">
        <f t="shared" si="257"/>
        <v>0</v>
      </c>
      <c r="BC1016" s="188" t="str">
        <f t="shared" si="261"/>
        <v xml:space="preserve"> </v>
      </c>
      <c r="BD1016" s="188" t="str">
        <f t="shared" si="262"/>
        <v xml:space="preserve"> </v>
      </c>
      <c r="BE1016" s="188" t="str">
        <f t="shared" si="263"/>
        <v xml:space="preserve"> </v>
      </c>
      <c r="BF1016" s="50" t="str">
        <f t="shared" si="255"/>
        <v>PURDON CREEK (Tsa-ako)_Steelhead</v>
      </c>
      <c r="BG1016" s="50" t="str">
        <f>IFERROR(VLOOKUP(BF1016,'[1]WCVI Esc'!$C$5:$W$514,18,FALSE),"-")</f>
        <v>-</v>
      </c>
      <c r="BH1016" s="50" t="str">
        <f t="shared" si="258"/>
        <v>-</v>
      </c>
      <c r="BI1016" s="50" t="str">
        <f>IFERROR(VLOOKUP(BF1016,'[1]WCVI Esc'!$C$5:$W$514,19,FALSE),"-")</f>
        <v>-</v>
      </c>
      <c r="BJ1016" s="50" t="str">
        <f t="shared" si="259"/>
        <v>-</v>
      </c>
    </row>
    <row r="1017" spans="1:62" hidden="1" x14ac:dyDescent="0.2">
      <c r="A1017" s="28">
        <v>4</v>
      </c>
      <c r="B1017" s="28">
        <v>1</v>
      </c>
      <c r="C1017" s="11">
        <v>24</v>
      </c>
      <c r="D1017" s="13" t="s">
        <v>297</v>
      </c>
      <c r="E1017" s="10" t="s">
        <v>127</v>
      </c>
      <c r="F1017" s="10" t="s">
        <v>207</v>
      </c>
      <c r="G1017" s="10"/>
      <c r="H1017" s="152"/>
      <c r="I1017" s="164"/>
      <c r="J1017" s="62"/>
      <c r="K1017" s="62"/>
      <c r="L1017" s="177"/>
      <c r="M1017" s="171"/>
      <c r="N1017" s="62"/>
      <c r="O1017" s="62"/>
      <c r="P1017" s="62"/>
      <c r="Q1017" s="64"/>
      <c r="R1017" s="164"/>
      <c r="S1017" s="62"/>
      <c r="T1017" s="62"/>
      <c r="U1017" s="62"/>
      <c r="V1017" s="177"/>
      <c r="W1017" s="171"/>
      <c r="X1017" s="62"/>
      <c r="Y1017" s="45"/>
      <c r="Z1017" s="45"/>
      <c r="AA1017" s="100"/>
      <c r="AB1017" s="100"/>
      <c r="AC1017" s="24"/>
      <c r="AD1017" s="24"/>
      <c r="AE1017" s="24"/>
      <c r="AF1017" s="24"/>
      <c r="AG1017" s="18">
        <v>24</v>
      </c>
      <c r="AH1017" s="69" t="s">
        <v>297</v>
      </c>
      <c r="AI1017" s="243" t="s">
        <v>127</v>
      </c>
      <c r="AJ1017" s="243" t="s">
        <v>419</v>
      </c>
      <c r="AK1017" s="246"/>
      <c r="AL1017" s="43" t="str">
        <f t="shared" si="260"/>
        <v>-</v>
      </c>
      <c r="AM1017" s="43">
        <f t="shared" si="248"/>
        <v>0</v>
      </c>
      <c r="AN1017" s="193">
        <f t="shared" si="248"/>
        <v>0</v>
      </c>
      <c r="AO1017" s="270" t="str">
        <f t="shared" si="249"/>
        <v>-</v>
      </c>
      <c r="AP1017" s="266"/>
      <c r="AQ1017" s="26" t="str">
        <f t="shared" si="256"/>
        <v>RILEY CREEKSockeye</v>
      </c>
      <c r="AR1017" s="26">
        <f t="shared" si="250"/>
        <v>0</v>
      </c>
      <c r="AS1017" s="33">
        <f t="shared" si="251"/>
        <v>0</v>
      </c>
      <c r="AX1017" s="47" t="str">
        <f t="shared" si="252"/>
        <v>RILEY CREEKSockeye</v>
      </c>
      <c r="AY1017" s="49">
        <f t="shared" si="253"/>
        <v>0</v>
      </c>
      <c r="AZ1017" s="49">
        <f t="shared" si="254"/>
        <v>0</v>
      </c>
      <c r="BA1017" s="31">
        <v>0</v>
      </c>
      <c r="BB1017" s="188">
        <f t="shared" si="257"/>
        <v>0</v>
      </c>
      <c r="BC1017" s="188" t="str">
        <f t="shared" si="261"/>
        <v xml:space="preserve"> </v>
      </c>
      <c r="BD1017" s="188" t="str">
        <f t="shared" si="262"/>
        <v xml:space="preserve"> </v>
      </c>
      <c r="BE1017" s="188" t="str">
        <f t="shared" si="263"/>
        <v xml:space="preserve"> </v>
      </c>
      <c r="BF1017" s="50" t="str">
        <f t="shared" si="255"/>
        <v>RILEY CREEK_Sockeye</v>
      </c>
      <c r="BG1017" s="50" t="str">
        <f>IFERROR(VLOOKUP(BF1017,'[1]WCVI Esc'!$C$5:$W$514,18,FALSE),"-")</f>
        <v>-</v>
      </c>
      <c r="BH1017" s="50" t="str">
        <f t="shared" si="258"/>
        <v>-</v>
      </c>
      <c r="BI1017" s="50" t="str">
        <f>IFERROR(VLOOKUP(BF1017,'[1]WCVI Esc'!$C$5:$W$514,19,FALSE),"-")</f>
        <v>-</v>
      </c>
      <c r="BJ1017" s="50" t="str">
        <f t="shared" si="259"/>
        <v>-</v>
      </c>
    </row>
    <row r="1018" spans="1:62" hidden="1" x14ac:dyDescent="0.2">
      <c r="A1018" s="28">
        <v>4</v>
      </c>
      <c r="B1018" s="28">
        <v>2</v>
      </c>
      <c r="C1018" s="11">
        <v>24</v>
      </c>
      <c r="D1018" s="13" t="s">
        <v>297</v>
      </c>
      <c r="E1018" s="10" t="s">
        <v>127</v>
      </c>
      <c r="F1018" s="10" t="s">
        <v>219</v>
      </c>
      <c r="G1018" s="10"/>
      <c r="H1018" s="152"/>
      <c r="I1018" s="164"/>
      <c r="J1018" s="62"/>
      <c r="K1018" s="62"/>
      <c r="L1018" s="177"/>
      <c r="M1018" s="171"/>
      <c r="N1018" s="62"/>
      <c r="O1018" s="62"/>
      <c r="P1018" s="62"/>
      <c r="Q1018" s="64"/>
      <c r="R1018" s="164"/>
      <c r="S1018" s="62"/>
      <c r="T1018" s="62"/>
      <c r="U1018" s="62"/>
      <c r="V1018" s="177"/>
      <c r="W1018" s="171"/>
      <c r="X1018" s="62"/>
      <c r="Y1018" s="45"/>
      <c r="Z1018" s="45"/>
      <c r="AA1018" s="100"/>
      <c r="AB1018" s="100"/>
      <c r="AC1018" s="24"/>
      <c r="AD1018" s="24"/>
      <c r="AE1018" s="24"/>
      <c r="AF1018" s="24"/>
      <c r="AG1018" s="18">
        <v>24</v>
      </c>
      <c r="AH1018" s="69" t="s">
        <v>297</v>
      </c>
      <c r="AI1018" s="243" t="s">
        <v>127</v>
      </c>
      <c r="AJ1018" s="243" t="s">
        <v>419</v>
      </c>
      <c r="AK1018" s="246"/>
      <c r="AL1018" s="43" t="str">
        <f t="shared" si="260"/>
        <v>-</v>
      </c>
      <c r="AM1018" s="43">
        <f t="shared" si="248"/>
        <v>0</v>
      </c>
      <c r="AN1018" s="193">
        <f t="shared" si="248"/>
        <v>0</v>
      </c>
      <c r="AO1018" s="270" t="str">
        <f t="shared" si="249"/>
        <v>-</v>
      </c>
      <c r="AP1018" s="266"/>
      <c r="AQ1018" s="26" t="str">
        <f t="shared" si="256"/>
        <v>RILEY CREEKCoho</v>
      </c>
      <c r="AR1018" s="26">
        <f t="shared" si="250"/>
        <v>0</v>
      </c>
      <c r="AS1018" s="33">
        <f t="shared" si="251"/>
        <v>0</v>
      </c>
      <c r="AX1018" s="47" t="str">
        <f t="shared" si="252"/>
        <v>RILEY CREEKCoho</v>
      </c>
      <c r="AY1018" s="49">
        <f t="shared" si="253"/>
        <v>0</v>
      </c>
      <c r="AZ1018" s="49">
        <f t="shared" si="254"/>
        <v>0</v>
      </c>
      <c r="BA1018" s="31">
        <v>1995</v>
      </c>
      <c r="BB1018" s="188">
        <f t="shared" si="257"/>
        <v>0</v>
      </c>
      <c r="BC1018" s="188" t="str">
        <f t="shared" si="261"/>
        <v xml:space="preserve"> </v>
      </c>
      <c r="BD1018" s="188" t="str">
        <f t="shared" si="262"/>
        <v xml:space="preserve"> </v>
      </c>
      <c r="BE1018" s="188" t="str">
        <f t="shared" si="263"/>
        <v xml:space="preserve"> </v>
      </c>
      <c r="BF1018" s="50" t="str">
        <f t="shared" si="255"/>
        <v>RILEY CREEK_Coho</v>
      </c>
      <c r="BG1018" s="50" t="str">
        <f>IFERROR(VLOOKUP(BF1018,'[1]WCVI Esc'!$C$5:$W$514,18,FALSE),"-")</f>
        <v>-</v>
      </c>
      <c r="BH1018" s="50" t="str">
        <f t="shared" si="258"/>
        <v>-</v>
      </c>
      <c r="BI1018" s="50" t="str">
        <f>IFERROR(VLOOKUP(BF1018,'[1]WCVI Esc'!$C$5:$W$514,19,FALSE),"-")</f>
        <v>-</v>
      </c>
      <c r="BJ1018" s="50" t="str">
        <f t="shared" si="259"/>
        <v>-</v>
      </c>
    </row>
    <row r="1019" spans="1:62" hidden="1" x14ac:dyDescent="0.2">
      <c r="A1019" s="28">
        <v>4</v>
      </c>
      <c r="B1019" s="28">
        <v>3</v>
      </c>
      <c r="C1019" s="11">
        <v>24</v>
      </c>
      <c r="D1019" s="13" t="s">
        <v>297</v>
      </c>
      <c r="E1019" s="10" t="s">
        <v>127</v>
      </c>
      <c r="F1019" s="10" t="s">
        <v>208</v>
      </c>
      <c r="G1019" s="10"/>
      <c r="H1019" s="152"/>
      <c r="I1019" s="164"/>
      <c r="J1019" s="62"/>
      <c r="K1019" s="62"/>
      <c r="L1019" s="177"/>
      <c r="M1019" s="171"/>
      <c r="N1019" s="62"/>
      <c r="O1019" s="62"/>
      <c r="P1019" s="62"/>
      <c r="Q1019" s="64"/>
      <c r="R1019" s="164"/>
      <c r="S1019" s="62"/>
      <c r="T1019" s="62"/>
      <c r="U1019" s="62"/>
      <c r="V1019" s="177"/>
      <c r="W1019" s="171"/>
      <c r="X1019" s="62"/>
      <c r="Y1019" s="45"/>
      <c r="Z1019" s="45"/>
      <c r="AA1019" s="100"/>
      <c r="AB1019" s="100"/>
      <c r="AC1019" s="24"/>
      <c r="AD1019" s="24"/>
      <c r="AE1019" s="24"/>
      <c r="AF1019" s="24"/>
      <c r="AG1019" s="18">
        <v>24</v>
      </c>
      <c r="AH1019" s="69" t="s">
        <v>297</v>
      </c>
      <c r="AI1019" s="243" t="s">
        <v>127</v>
      </c>
      <c r="AJ1019" s="243" t="s">
        <v>419</v>
      </c>
      <c r="AK1019" s="246"/>
      <c r="AL1019" s="43" t="str">
        <f t="shared" si="260"/>
        <v>-</v>
      </c>
      <c r="AM1019" s="43">
        <f t="shared" si="248"/>
        <v>0</v>
      </c>
      <c r="AN1019" s="193">
        <f t="shared" si="248"/>
        <v>0</v>
      </c>
      <c r="AO1019" s="270" t="str">
        <f t="shared" si="249"/>
        <v>-</v>
      </c>
      <c r="AP1019" s="266"/>
      <c r="AQ1019" s="26" t="str">
        <f t="shared" si="256"/>
        <v>RILEY CREEKPink</v>
      </c>
      <c r="AR1019" s="26">
        <f t="shared" si="250"/>
        <v>0</v>
      </c>
      <c r="AS1019" s="33">
        <f t="shared" si="251"/>
        <v>0</v>
      </c>
      <c r="AX1019" s="47" t="str">
        <f t="shared" si="252"/>
        <v>RILEY CREEKPink</v>
      </c>
      <c r="AY1019" s="49">
        <f t="shared" si="253"/>
        <v>0</v>
      </c>
      <c r="AZ1019" s="49">
        <f t="shared" si="254"/>
        <v>0</v>
      </c>
      <c r="BA1019" s="31">
        <v>0</v>
      </c>
      <c r="BB1019" s="188">
        <f t="shared" si="257"/>
        <v>0</v>
      </c>
      <c r="BC1019" s="188" t="str">
        <f t="shared" si="261"/>
        <v xml:space="preserve"> </v>
      </c>
      <c r="BD1019" s="188" t="str">
        <f t="shared" si="262"/>
        <v xml:space="preserve"> </v>
      </c>
      <c r="BE1019" s="188" t="str">
        <f t="shared" si="263"/>
        <v xml:space="preserve"> </v>
      </c>
      <c r="BF1019" s="50" t="str">
        <f t="shared" si="255"/>
        <v>RILEY CREEK_Pink</v>
      </c>
      <c r="BG1019" s="50" t="str">
        <f>IFERROR(VLOOKUP(BF1019,'[1]WCVI Esc'!$C$5:$W$514,18,FALSE),"-")</f>
        <v>-</v>
      </c>
      <c r="BH1019" s="50" t="str">
        <f t="shared" si="258"/>
        <v>-</v>
      </c>
      <c r="BI1019" s="50" t="str">
        <f>IFERROR(VLOOKUP(BF1019,'[1]WCVI Esc'!$C$5:$W$514,19,FALSE),"-")</f>
        <v>-</v>
      </c>
      <c r="BJ1019" s="50" t="str">
        <f t="shared" si="259"/>
        <v>-</v>
      </c>
    </row>
    <row r="1020" spans="1:62" hidden="1" x14ac:dyDescent="0.2">
      <c r="A1020" s="28">
        <v>4</v>
      </c>
      <c r="B1020" s="28">
        <v>4</v>
      </c>
      <c r="C1020" s="11">
        <v>24</v>
      </c>
      <c r="D1020" s="13" t="s">
        <v>297</v>
      </c>
      <c r="E1020" s="10" t="s">
        <v>127</v>
      </c>
      <c r="F1020" s="10" t="s">
        <v>209</v>
      </c>
      <c r="G1020" s="10"/>
      <c r="H1020" s="152"/>
      <c r="I1020" s="164"/>
      <c r="J1020" s="62"/>
      <c r="K1020" s="62"/>
      <c r="L1020" s="177"/>
      <c r="M1020" s="171"/>
      <c r="N1020" s="62"/>
      <c r="O1020" s="62"/>
      <c r="P1020" s="62"/>
      <c r="Q1020" s="64"/>
      <c r="R1020" s="164"/>
      <c r="S1020" s="62"/>
      <c r="T1020" s="62"/>
      <c r="U1020" s="62"/>
      <c r="V1020" s="177"/>
      <c r="W1020" s="171"/>
      <c r="X1020" s="62"/>
      <c r="Y1020" s="45"/>
      <c r="Z1020" s="45"/>
      <c r="AA1020" s="100"/>
      <c r="AB1020" s="100"/>
      <c r="AC1020" s="24"/>
      <c r="AD1020" s="24"/>
      <c r="AE1020" s="24"/>
      <c r="AF1020" s="24"/>
      <c r="AG1020" s="18">
        <v>24</v>
      </c>
      <c r="AH1020" s="69" t="s">
        <v>297</v>
      </c>
      <c r="AI1020" s="243" t="s">
        <v>127</v>
      </c>
      <c r="AJ1020" s="243" t="s">
        <v>419</v>
      </c>
      <c r="AK1020" s="246"/>
      <c r="AL1020" s="43" t="str">
        <f t="shared" si="260"/>
        <v>-</v>
      </c>
      <c r="AM1020" s="43">
        <f t="shared" si="248"/>
        <v>0</v>
      </c>
      <c r="AN1020" s="193">
        <f t="shared" si="248"/>
        <v>0</v>
      </c>
      <c r="AO1020" s="270" t="str">
        <f t="shared" si="249"/>
        <v>-</v>
      </c>
      <c r="AP1020" s="266"/>
      <c r="AQ1020" s="26" t="str">
        <f t="shared" si="256"/>
        <v>RILEY CREEKChum</v>
      </c>
      <c r="AR1020" s="26">
        <f t="shared" si="250"/>
        <v>0</v>
      </c>
      <c r="AS1020" s="33">
        <f t="shared" si="251"/>
        <v>0</v>
      </c>
      <c r="AX1020" s="47" t="str">
        <f t="shared" si="252"/>
        <v>RILEY CREEKChum</v>
      </c>
      <c r="AY1020" s="49">
        <f t="shared" si="253"/>
        <v>0</v>
      </c>
      <c r="AZ1020" s="49">
        <f t="shared" si="254"/>
        <v>0</v>
      </c>
      <c r="BA1020" s="31">
        <v>1995</v>
      </c>
      <c r="BB1020" s="188">
        <f t="shared" si="257"/>
        <v>0</v>
      </c>
      <c r="BC1020" s="188" t="str">
        <f t="shared" si="261"/>
        <v xml:space="preserve"> </v>
      </c>
      <c r="BD1020" s="188" t="str">
        <f t="shared" si="262"/>
        <v xml:space="preserve"> </v>
      </c>
      <c r="BE1020" s="188" t="str">
        <f t="shared" si="263"/>
        <v xml:space="preserve"> </v>
      </c>
      <c r="BF1020" s="50" t="str">
        <f t="shared" si="255"/>
        <v>RILEY CREEK_Chum</v>
      </c>
      <c r="BG1020" s="50" t="str">
        <f>IFERROR(VLOOKUP(BF1020,'[1]WCVI Esc'!$C$5:$W$514,18,FALSE),"-")</f>
        <v>-</v>
      </c>
      <c r="BH1020" s="50" t="str">
        <f t="shared" si="258"/>
        <v>-</v>
      </c>
      <c r="BI1020" s="50" t="str">
        <f>IFERROR(VLOOKUP(BF1020,'[1]WCVI Esc'!$C$5:$W$514,19,FALSE),"-")</f>
        <v>-</v>
      </c>
      <c r="BJ1020" s="50" t="str">
        <f t="shared" si="259"/>
        <v>-</v>
      </c>
    </row>
    <row r="1021" spans="1:62" hidden="1" x14ac:dyDescent="0.2">
      <c r="A1021" s="28">
        <v>4</v>
      </c>
      <c r="B1021" s="28">
        <v>5</v>
      </c>
      <c r="C1021" s="11">
        <v>24</v>
      </c>
      <c r="D1021" s="13" t="s">
        <v>297</v>
      </c>
      <c r="E1021" s="10" t="s">
        <v>127</v>
      </c>
      <c r="F1021" s="10" t="s">
        <v>210</v>
      </c>
      <c r="G1021" s="10"/>
      <c r="H1021" s="152"/>
      <c r="I1021" s="164"/>
      <c r="J1021" s="62"/>
      <c r="K1021" s="62"/>
      <c r="L1021" s="177"/>
      <c r="M1021" s="171"/>
      <c r="N1021" s="62"/>
      <c r="O1021" s="62"/>
      <c r="P1021" s="62"/>
      <c r="Q1021" s="64"/>
      <c r="R1021" s="164"/>
      <c r="S1021" s="62"/>
      <c r="T1021" s="62"/>
      <c r="U1021" s="62"/>
      <c r="V1021" s="177"/>
      <c r="W1021" s="171"/>
      <c r="X1021" s="62"/>
      <c r="Y1021" s="45"/>
      <c r="Z1021" s="45"/>
      <c r="AA1021" s="100"/>
      <c r="AB1021" s="100"/>
      <c r="AC1021" s="24"/>
      <c r="AD1021" s="24"/>
      <c r="AE1021" s="24"/>
      <c r="AF1021" s="24"/>
      <c r="AG1021" s="18">
        <v>24</v>
      </c>
      <c r="AH1021" s="69" t="s">
        <v>297</v>
      </c>
      <c r="AI1021" s="243" t="s">
        <v>127</v>
      </c>
      <c r="AJ1021" s="243" t="s">
        <v>419</v>
      </c>
      <c r="AK1021" s="246"/>
      <c r="AL1021" s="43" t="str">
        <f t="shared" si="260"/>
        <v>-</v>
      </c>
      <c r="AM1021" s="43">
        <f t="shared" si="248"/>
        <v>0</v>
      </c>
      <c r="AN1021" s="193">
        <f t="shared" si="248"/>
        <v>0</v>
      </c>
      <c r="AO1021" s="270" t="str">
        <f t="shared" si="249"/>
        <v>-</v>
      </c>
      <c r="AP1021" s="266"/>
      <c r="AQ1021" s="26" t="str">
        <f t="shared" si="256"/>
        <v>RILEY CREEKChinook</v>
      </c>
      <c r="AR1021" s="26">
        <f t="shared" si="250"/>
        <v>0</v>
      </c>
      <c r="AS1021" s="33">
        <f t="shared" si="251"/>
        <v>0</v>
      </c>
      <c r="AX1021" s="47" t="str">
        <f t="shared" si="252"/>
        <v>RILEY CREEKChinook</v>
      </c>
      <c r="AY1021" s="49">
        <f t="shared" si="253"/>
        <v>0</v>
      </c>
      <c r="AZ1021" s="49">
        <f t="shared" si="254"/>
        <v>0</v>
      </c>
      <c r="BA1021" s="31">
        <v>0</v>
      </c>
      <c r="BB1021" s="188">
        <f t="shared" si="257"/>
        <v>0</v>
      </c>
      <c r="BC1021" s="188" t="str">
        <f t="shared" si="261"/>
        <v xml:space="preserve"> </v>
      </c>
      <c r="BD1021" s="188" t="str">
        <f t="shared" si="262"/>
        <v xml:space="preserve"> </v>
      </c>
      <c r="BE1021" s="188" t="str">
        <f t="shared" si="263"/>
        <v xml:space="preserve"> </v>
      </c>
      <c r="BF1021" s="50" t="str">
        <f t="shared" si="255"/>
        <v>RILEY CREEK_Chinook</v>
      </c>
      <c r="BG1021" s="50" t="str">
        <f>IFERROR(VLOOKUP(BF1021,'[1]WCVI Esc'!$C$5:$W$514,18,FALSE),"-")</f>
        <v>-</v>
      </c>
      <c r="BH1021" s="50" t="str">
        <f t="shared" si="258"/>
        <v>-</v>
      </c>
      <c r="BI1021" s="50" t="str">
        <f>IFERROR(VLOOKUP(BF1021,'[1]WCVI Esc'!$C$5:$W$514,19,FALSE),"-")</f>
        <v>-</v>
      </c>
      <c r="BJ1021" s="50" t="str">
        <f t="shared" si="259"/>
        <v>-</v>
      </c>
    </row>
    <row r="1022" spans="1:62" hidden="1" x14ac:dyDescent="0.2">
      <c r="A1022" s="28">
        <v>4</v>
      </c>
      <c r="B1022" s="28">
        <v>6</v>
      </c>
      <c r="C1022" s="11">
        <v>24</v>
      </c>
      <c r="D1022" s="13" t="s">
        <v>297</v>
      </c>
      <c r="E1022" s="10" t="s">
        <v>127</v>
      </c>
      <c r="F1022" s="10" t="s">
        <v>211</v>
      </c>
      <c r="G1022" s="10"/>
      <c r="H1022" s="152"/>
      <c r="I1022" s="164"/>
      <c r="J1022" s="62"/>
      <c r="K1022" s="62"/>
      <c r="L1022" s="177"/>
      <c r="M1022" s="171"/>
      <c r="N1022" s="62"/>
      <c r="O1022" s="62"/>
      <c r="P1022" s="62"/>
      <c r="Q1022" s="64"/>
      <c r="R1022" s="164"/>
      <c r="S1022" s="62"/>
      <c r="T1022" s="62"/>
      <c r="U1022" s="62"/>
      <c r="V1022" s="177"/>
      <c r="W1022" s="171"/>
      <c r="X1022" s="62"/>
      <c r="Y1022" s="45"/>
      <c r="Z1022" s="45"/>
      <c r="AA1022" s="100"/>
      <c r="AB1022" s="100"/>
      <c r="AC1022" s="24"/>
      <c r="AD1022" s="24"/>
      <c r="AE1022" s="24"/>
      <c r="AF1022" s="24"/>
      <c r="AG1022" s="18">
        <v>24</v>
      </c>
      <c r="AH1022" s="69" t="s">
        <v>297</v>
      </c>
      <c r="AI1022" s="243" t="s">
        <v>127</v>
      </c>
      <c r="AJ1022" s="243" t="s">
        <v>419</v>
      </c>
      <c r="AK1022" s="246"/>
      <c r="AL1022" s="43" t="str">
        <f t="shared" si="260"/>
        <v>-</v>
      </c>
      <c r="AM1022" s="43">
        <f t="shared" si="248"/>
        <v>0</v>
      </c>
      <c r="AN1022" s="193">
        <f t="shared" si="248"/>
        <v>0</v>
      </c>
      <c r="AO1022" s="270" t="str">
        <f t="shared" si="249"/>
        <v>-</v>
      </c>
      <c r="AP1022" s="266"/>
      <c r="AQ1022" s="26" t="str">
        <f t="shared" si="256"/>
        <v>RILEY CREEKSteelhead</v>
      </c>
      <c r="AR1022" s="26">
        <f t="shared" si="250"/>
        <v>0</v>
      </c>
      <c r="AS1022" s="33">
        <f t="shared" si="251"/>
        <v>0</v>
      </c>
      <c r="AX1022" s="47" t="str">
        <f t="shared" si="252"/>
        <v>RILEY CREEKSteelhead</v>
      </c>
      <c r="AY1022" s="49">
        <f t="shared" si="253"/>
        <v>0</v>
      </c>
      <c r="AZ1022" s="49">
        <f t="shared" si="254"/>
        <v>0</v>
      </c>
      <c r="BA1022" s="31">
        <v>0</v>
      </c>
      <c r="BB1022" s="188">
        <f t="shared" si="257"/>
        <v>0</v>
      </c>
      <c r="BC1022" s="188" t="str">
        <f t="shared" si="261"/>
        <v xml:space="preserve"> </v>
      </c>
      <c r="BD1022" s="188" t="str">
        <f t="shared" si="262"/>
        <v xml:space="preserve"> </v>
      </c>
      <c r="BE1022" s="188" t="str">
        <f t="shared" si="263"/>
        <v xml:space="preserve"> </v>
      </c>
      <c r="BF1022" s="50" t="str">
        <f t="shared" si="255"/>
        <v>RILEY CREEK_Steelhead</v>
      </c>
      <c r="BG1022" s="50" t="str">
        <f>IFERROR(VLOOKUP(BF1022,'[1]WCVI Esc'!$C$5:$W$514,18,FALSE),"-")</f>
        <v>-</v>
      </c>
      <c r="BH1022" s="50" t="str">
        <f t="shared" si="258"/>
        <v>-</v>
      </c>
      <c r="BI1022" s="50" t="str">
        <f>IFERROR(VLOOKUP(BF1022,'[1]WCVI Esc'!$C$5:$W$514,19,FALSE),"-")</f>
        <v>-</v>
      </c>
      <c r="BJ1022" s="50" t="str">
        <f t="shared" si="259"/>
        <v>-</v>
      </c>
    </row>
    <row r="1023" spans="1:62" hidden="1" x14ac:dyDescent="0.2">
      <c r="A1023" s="28">
        <v>4</v>
      </c>
      <c r="B1023" s="28">
        <v>1</v>
      </c>
      <c r="C1023" s="11">
        <v>24</v>
      </c>
      <c r="D1023" s="13" t="s">
        <v>296</v>
      </c>
      <c r="E1023" s="10" t="s">
        <v>128</v>
      </c>
      <c r="F1023" s="10" t="s">
        <v>207</v>
      </c>
      <c r="G1023" s="10"/>
      <c r="H1023" s="152"/>
      <c r="I1023" s="164"/>
      <c r="J1023" s="62"/>
      <c r="K1023" s="62"/>
      <c r="L1023" s="177"/>
      <c r="M1023" s="171"/>
      <c r="N1023" s="62"/>
      <c r="O1023" s="62"/>
      <c r="P1023" s="62"/>
      <c r="Q1023" s="64"/>
      <c r="R1023" s="161"/>
      <c r="S1023" s="62"/>
      <c r="T1023" s="62"/>
      <c r="U1023" s="62"/>
      <c r="V1023" s="177"/>
      <c r="W1023" s="171"/>
      <c r="X1023" s="62"/>
      <c r="Y1023" s="45"/>
      <c r="Z1023" s="45"/>
      <c r="AA1023" s="100">
        <f>Y1023/AP1023</f>
        <v>0</v>
      </c>
      <c r="AB1023" s="100">
        <f>AS1023/AP1023</f>
        <v>0</v>
      </c>
      <c r="AC1023" s="24"/>
      <c r="AD1023" s="24"/>
      <c r="AE1023" s="24"/>
      <c r="AF1023" s="24"/>
      <c r="AG1023" s="18">
        <v>24</v>
      </c>
      <c r="AH1023" s="69" t="s">
        <v>296</v>
      </c>
      <c r="AI1023" s="243" t="s">
        <v>128</v>
      </c>
      <c r="AJ1023" s="243" t="s">
        <v>419</v>
      </c>
      <c r="AK1023" s="246"/>
      <c r="AL1023" s="43" t="str">
        <f t="shared" si="260"/>
        <v>-</v>
      </c>
      <c r="AM1023" s="43">
        <f t="shared" ref="AM1023:AN1086" si="265">AR1023</f>
        <v>0</v>
      </c>
      <c r="AN1023" s="193">
        <f t="shared" si="265"/>
        <v>0</v>
      </c>
      <c r="AO1023" s="270" t="str">
        <f t="shared" ref="AO1023:AO1086" si="266">BH1023</f>
        <v>-</v>
      </c>
      <c r="AP1023" s="265">
        <f>BJ1023</f>
        <v>30</v>
      </c>
      <c r="AQ1023" s="26" t="str">
        <f t="shared" si="256"/>
        <v>SAND RIVERSockeye</v>
      </c>
      <c r="AR1023" s="26">
        <f t="shared" ref="AR1023:AR1086" si="267">COUNT(G1023:X1023)</f>
        <v>0</v>
      </c>
      <c r="AS1023" s="33">
        <f t="shared" ref="AS1023:AS1086" si="268">MAX(G1023:X1023)</f>
        <v>0</v>
      </c>
      <c r="AX1023" s="47" t="str">
        <f t="shared" ref="AX1023:AX1086" si="269">CONCATENATE(E1023,F1023)</f>
        <v>SAND RIVERSockeye</v>
      </c>
      <c r="AY1023" s="49">
        <f t="shared" ref="AY1023:AY1086" si="270">Z1023</f>
        <v>0</v>
      </c>
      <c r="AZ1023" s="49">
        <f t="shared" ref="AZ1023:AZ1086" si="271">Y1023</f>
        <v>0</v>
      </c>
      <c r="BA1023" s="31">
        <v>2011</v>
      </c>
      <c r="BB1023" s="188">
        <f t="shared" si="257"/>
        <v>0</v>
      </c>
      <c r="BC1023" s="188" t="str">
        <f t="shared" si="261"/>
        <v xml:space="preserve"> </v>
      </c>
      <c r="BD1023" s="188" t="str">
        <f t="shared" si="262"/>
        <v xml:space="preserve"> </v>
      </c>
      <c r="BE1023" s="188" t="str">
        <f t="shared" si="263"/>
        <v xml:space="preserve"> </v>
      </c>
      <c r="BF1023" s="50" t="str">
        <f t="shared" ref="BF1023:BF1086" si="272">CONCATENATE(E1023,"_",F1023)</f>
        <v>SAND RIVER_Sockeye</v>
      </c>
      <c r="BG1023" s="50" t="str">
        <f>IFERROR(VLOOKUP(BF1023,'[1]WCVI Esc'!$C$5:$W$514,18,FALSE),"-")</f>
        <v>-</v>
      </c>
      <c r="BH1023" s="50" t="str">
        <f t="shared" si="258"/>
        <v>-</v>
      </c>
      <c r="BI1023" s="50">
        <f>IFERROR(VLOOKUP(BF1023,'[1]WCVI Esc'!$C$5:$W$514,19,FALSE),"-")</f>
        <v>34</v>
      </c>
      <c r="BJ1023" s="50">
        <f t="shared" si="259"/>
        <v>30</v>
      </c>
    </row>
    <row r="1024" spans="1:62" hidden="1" x14ac:dyDescent="0.2">
      <c r="A1024" s="28">
        <v>4</v>
      </c>
      <c r="B1024" s="28">
        <v>2</v>
      </c>
      <c r="C1024" s="11">
        <v>24</v>
      </c>
      <c r="D1024" s="13" t="s">
        <v>296</v>
      </c>
      <c r="E1024" s="10" t="s">
        <v>128</v>
      </c>
      <c r="F1024" s="10" t="s">
        <v>219</v>
      </c>
      <c r="G1024" s="10"/>
      <c r="H1024" s="152"/>
      <c r="I1024" s="164"/>
      <c r="J1024" s="62"/>
      <c r="K1024" s="62"/>
      <c r="L1024" s="177"/>
      <c r="M1024" s="171"/>
      <c r="N1024" s="62"/>
      <c r="O1024" s="62"/>
      <c r="P1024" s="62"/>
      <c r="Q1024" s="64"/>
      <c r="R1024" s="161"/>
      <c r="S1024" s="62"/>
      <c r="T1024" s="62"/>
      <c r="U1024" s="62"/>
      <c r="V1024" s="177"/>
      <c r="W1024" s="171"/>
      <c r="X1024" s="62"/>
      <c r="Y1024" s="45"/>
      <c r="Z1024" s="45"/>
      <c r="AA1024" s="100">
        <f>Y1024/AP1024</f>
        <v>0</v>
      </c>
      <c r="AB1024" s="100">
        <f>AS1024/AP1024</f>
        <v>0</v>
      </c>
      <c r="AC1024" s="24"/>
      <c r="AD1024" s="24"/>
      <c r="AE1024" s="24"/>
      <c r="AF1024" s="24"/>
      <c r="AG1024" s="18">
        <v>24</v>
      </c>
      <c r="AH1024" s="69" t="s">
        <v>296</v>
      </c>
      <c r="AI1024" s="243" t="s">
        <v>128</v>
      </c>
      <c r="AJ1024" s="243" t="s">
        <v>419</v>
      </c>
      <c r="AK1024" s="246"/>
      <c r="AL1024" s="43" t="str">
        <f t="shared" si="260"/>
        <v>-</v>
      </c>
      <c r="AM1024" s="43">
        <f t="shared" si="265"/>
        <v>0</v>
      </c>
      <c r="AN1024" s="193">
        <f t="shared" si="265"/>
        <v>0</v>
      </c>
      <c r="AO1024" s="270">
        <f t="shared" si="266"/>
        <v>10</v>
      </c>
      <c r="AP1024" s="265">
        <f>BJ1024</f>
        <v>10</v>
      </c>
      <c r="AQ1024" s="26" t="str">
        <f t="shared" si="256"/>
        <v>SAND RIVERCoho</v>
      </c>
      <c r="AR1024" s="26">
        <f t="shared" si="267"/>
        <v>0</v>
      </c>
      <c r="AS1024" s="33">
        <f t="shared" si="268"/>
        <v>0</v>
      </c>
      <c r="AX1024" s="47" t="str">
        <f t="shared" si="269"/>
        <v>SAND RIVERCoho</v>
      </c>
      <c r="AY1024" s="49">
        <f t="shared" si="270"/>
        <v>0</v>
      </c>
      <c r="AZ1024" s="49">
        <f t="shared" si="271"/>
        <v>0</v>
      </c>
      <c r="BA1024" s="31">
        <v>2011</v>
      </c>
      <c r="BB1024" s="188">
        <f t="shared" si="257"/>
        <v>0</v>
      </c>
      <c r="BC1024" s="188" t="str">
        <f t="shared" si="261"/>
        <v xml:space="preserve"> </v>
      </c>
      <c r="BD1024" s="188" t="str">
        <f t="shared" si="262"/>
        <v xml:space="preserve"> </v>
      </c>
      <c r="BE1024" s="188" t="str">
        <f t="shared" si="263"/>
        <v xml:space="preserve"> </v>
      </c>
      <c r="BF1024" s="50" t="str">
        <f t="shared" si="272"/>
        <v>SAND RIVER_Coho</v>
      </c>
      <c r="BG1024" s="50">
        <f>IFERROR(VLOOKUP(BF1024,'[1]WCVI Esc'!$C$5:$W$514,18,FALSE),"-")</f>
        <v>11</v>
      </c>
      <c r="BH1024" s="50">
        <f t="shared" si="258"/>
        <v>10</v>
      </c>
      <c r="BI1024" s="50">
        <f>IFERROR(VLOOKUP(BF1024,'[1]WCVI Esc'!$C$5:$W$514,19,FALSE),"-")</f>
        <v>7.666666666666667</v>
      </c>
      <c r="BJ1024" s="50">
        <f t="shared" si="259"/>
        <v>10</v>
      </c>
    </row>
    <row r="1025" spans="1:67" hidden="1" x14ac:dyDescent="0.2">
      <c r="A1025" s="28">
        <v>4</v>
      </c>
      <c r="B1025" s="28">
        <v>3</v>
      </c>
      <c r="C1025" s="11">
        <v>24</v>
      </c>
      <c r="D1025" s="13" t="s">
        <v>296</v>
      </c>
      <c r="E1025" s="10" t="s">
        <v>128</v>
      </c>
      <c r="F1025" s="10" t="s">
        <v>208</v>
      </c>
      <c r="G1025" s="10"/>
      <c r="H1025" s="152"/>
      <c r="I1025" s="164"/>
      <c r="J1025" s="62"/>
      <c r="K1025" s="62"/>
      <c r="L1025" s="177"/>
      <c r="M1025" s="171"/>
      <c r="N1025" s="62"/>
      <c r="O1025" s="62"/>
      <c r="P1025" s="62"/>
      <c r="Q1025" s="64"/>
      <c r="R1025" s="161"/>
      <c r="S1025" s="62"/>
      <c r="T1025" s="62"/>
      <c r="U1025" s="62"/>
      <c r="V1025" s="177"/>
      <c r="W1025" s="171"/>
      <c r="X1025" s="62"/>
      <c r="Y1025" s="45"/>
      <c r="Z1025" s="45"/>
      <c r="AA1025" s="100"/>
      <c r="AB1025" s="100"/>
      <c r="AC1025" s="24"/>
      <c r="AD1025" s="24"/>
      <c r="AE1025" s="24"/>
      <c r="AF1025" s="24"/>
      <c r="AG1025" s="18">
        <v>24</v>
      </c>
      <c r="AH1025" s="69" t="s">
        <v>296</v>
      </c>
      <c r="AI1025" s="243" t="s">
        <v>128</v>
      </c>
      <c r="AJ1025" s="243" t="s">
        <v>419</v>
      </c>
      <c r="AK1025" s="246"/>
      <c r="AL1025" s="43" t="str">
        <f t="shared" si="260"/>
        <v>-</v>
      </c>
      <c r="AM1025" s="43">
        <f t="shared" si="265"/>
        <v>0</v>
      </c>
      <c r="AN1025" s="193">
        <f t="shared" si="265"/>
        <v>0</v>
      </c>
      <c r="AO1025" s="270" t="str">
        <f t="shared" si="266"/>
        <v>-</v>
      </c>
      <c r="AP1025" s="266"/>
      <c r="AQ1025" s="26" t="str">
        <f t="shared" si="256"/>
        <v>SAND RIVERPink</v>
      </c>
      <c r="AR1025" s="26">
        <f t="shared" si="267"/>
        <v>0</v>
      </c>
      <c r="AS1025" s="33">
        <f t="shared" si="268"/>
        <v>0</v>
      </c>
      <c r="AX1025" s="47" t="str">
        <f t="shared" si="269"/>
        <v>SAND RIVERPink</v>
      </c>
      <c r="AY1025" s="49">
        <f t="shared" si="270"/>
        <v>0</v>
      </c>
      <c r="AZ1025" s="49">
        <f t="shared" si="271"/>
        <v>0</v>
      </c>
      <c r="BA1025" s="31">
        <v>0</v>
      </c>
      <c r="BB1025" s="188">
        <f t="shared" si="257"/>
        <v>0</v>
      </c>
      <c r="BC1025" s="188" t="str">
        <f t="shared" si="261"/>
        <v xml:space="preserve"> </v>
      </c>
      <c r="BD1025" s="188" t="str">
        <f t="shared" si="262"/>
        <v xml:space="preserve"> </v>
      </c>
      <c r="BE1025" s="188" t="str">
        <f t="shared" si="263"/>
        <v xml:space="preserve"> </v>
      </c>
      <c r="BF1025" s="50" t="str">
        <f t="shared" si="272"/>
        <v>SAND RIVER_Pink</v>
      </c>
      <c r="BG1025" s="50" t="str">
        <f>IFERROR(VLOOKUP(BF1025,'[1]WCVI Esc'!$C$5:$W$514,18,FALSE),"-")</f>
        <v>-</v>
      </c>
      <c r="BH1025" s="50" t="str">
        <f t="shared" si="258"/>
        <v>-</v>
      </c>
      <c r="BI1025" s="50" t="str">
        <f>IFERROR(VLOOKUP(BF1025,'[1]WCVI Esc'!$C$5:$W$514,19,FALSE),"-")</f>
        <v>-</v>
      </c>
      <c r="BJ1025" s="50" t="str">
        <f t="shared" si="259"/>
        <v>-</v>
      </c>
    </row>
    <row r="1026" spans="1:67" hidden="1" x14ac:dyDescent="0.2">
      <c r="A1026" s="28">
        <v>4</v>
      </c>
      <c r="B1026" s="28">
        <v>4</v>
      </c>
      <c r="C1026" s="11">
        <v>24</v>
      </c>
      <c r="D1026" s="13" t="s">
        <v>296</v>
      </c>
      <c r="E1026" s="10" t="s">
        <v>128</v>
      </c>
      <c r="F1026" s="10" t="s">
        <v>209</v>
      </c>
      <c r="G1026" s="10"/>
      <c r="H1026" s="152"/>
      <c r="I1026" s="164"/>
      <c r="J1026" s="62"/>
      <c r="K1026" s="62"/>
      <c r="L1026" s="177"/>
      <c r="M1026" s="171"/>
      <c r="N1026" s="62"/>
      <c r="O1026" s="62"/>
      <c r="P1026" s="62"/>
      <c r="Q1026" s="64"/>
      <c r="R1026" s="161"/>
      <c r="S1026" s="62"/>
      <c r="T1026" s="62"/>
      <c r="U1026" s="62"/>
      <c r="V1026" s="177"/>
      <c r="W1026" s="171"/>
      <c r="X1026" s="62"/>
      <c r="Y1026" s="45"/>
      <c r="Z1026" s="45"/>
      <c r="AA1026" s="100"/>
      <c r="AB1026" s="100"/>
      <c r="AC1026" s="24"/>
      <c r="AD1026" s="24"/>
      <c r="AE1026" s="24"/>
      <c r="AF1026" s="24"/>
      <c r="AG1026" s="18">
        <v>24</v>
      </c>
      <c r="AH1026" s="69" t="s">
        <v>296</v>
      </c>
      <c r="AI1026" s="243" t="s">
        <v>128</v>
      </c>
      <c r="AJ1026" s="243" t="s">
        <v>419</v>
      </c>
      <c r="AK1026" s="246"/>
      <c r="AL1026" s="43" t="str">
        <f t="shared" si="260"/>
        <v>-</v>
      </c>
      <c r="AM1026" s="43">
        <f t="shared" si="265"/>
        <v>0</v>
      </c>
      <c r="AN1026" s="193">
        <f t="shared" si="265"/>
        <v>0</v>
      </c>
      <c r="AO1026" s="270" t="str">
        <f t="shared" si="266"/>
        <v>-</v>
      </c>
      <c r="AP1026" s="271"/>
      <c r="AQ1026" s="26" t="str">
        <f t="shared" si="256"/>
        <v>SAND RIVERChum</v>
      </c>
      <c r="AR1026" s="26">
        <f t="shared" si="267"/>
        <v>0</v>
      </c>
      <c r="AS1026" s="33">
        <f t="shared" si="268"/>
        <v>0</v>
      </c>
      <c r="AX1026" s="47" t="str">
        <f t="shared" si="269"/>
        <v>SAND RIVERChum</v>
      </c>
      <c r="AY1026" s="49">
        <f t="shared" si="270"/>
        <v>0</v>
      </c>
      <c r="AZ1026" s="49">
        <f t="shared" si="271"/>
        <v>0</v>
      </c>
      <c r="BA1026" s="31">
        <v>2001</v>
      </c>
      <c r="BB1026" s="188">
        <f t="shared" si="257"/>
        <v>0</v>
      </c>
      <c r="BC1026" s="188" t="str">
        <f t="shared" si="261"/>
        <v xml:space="preserve"> </v>
      </c>
      <c r="BD1026" s="188" t="str">
        <f t="shared" si="262"/>
        <v xml:space="preserve"> </v>
      </c>
      <c r="BE1026" s="188" t="str">
        <f t="shared" si="263"/>
        <v xml:space="preserve"> </v>
      </c>
      <c r="BF1026" s="50" t="str">
        <f t="shared" si="272"/>
        <v>SAND RIVER_Chum</v>
      </c>
      <c r="BG1026" s="50" t="str">
        <f>IFERROR(VLOOKUP(BF1026,'[1]WCVI Esc'!$C$5:$W$514,18,FALSE),"-")</f>
        <v>-</v>
      </c>
      <c r="BH1026" s="50" t="str">
        <f t="shared" si="258"/>
        <v>-</v>
      </c>
      <c r="BI1026" s="50" t="str">
        <f>IFERROR(VLOOKUP(BF1026,'[1]WCVI Esc'!$C$5:$W$514,19,FALSE),"-")</f>
        <v>-</v>
      </c>
      <c r="BJ1026" s="50" t="str">
        <f t="shared" si="259"/>
        <v>-</v>
      </c>
    </row>
    <row r="1027" spans="1:67" hidden="1" x14ac:dyDescent="0.2">
      <c r="A1027" s="28">
        <v>4</v>
      </c>
      <c r="B1027" s="28">
        <v>5</v>
      </c>
      <c r="C1027" s="11">
        <v>24</v>
      </c>
      <c r="D1027" s="13" t="s">
        <v>296</v>
      </c>
      <c r="E1027" s="10" t="s">
        <v>128</v>
      </c>
      <c r="F1027" s="10" t="s">
        <v>210</v>
      </c>
      <c r="G1027" s="10"/>
      <c r="H1027" s="152"/>
      <c r="I1027" s="164"/>
      <c r="J1027" s="62"/>
      <c r="K1027" s="62"/>
      <c r="L1027" s="177"/>
      <c r="M1027" s="171"/>
      <c r="N1027" s="62"/>
      <c r="O1027" s="62"/>
      <c r="P1027" s="62"/>
      <c r="Q1027" s="64"/>
      <c r="R1027" s="161"/>
      <c r="S1027" s="62"/>
      <c r="T1027" s="62"/>
      <c r="U1027" s="62"/>
      <c r="V1027" s="177"/>
      <c r="W1027" s="171"/>
      <c r="X1027" s="62"/>
      <c r="Y1027" s="45"/>
      <c r="Z1027" s="45"/>
      <c r="AA1027" s="100"/>
      <c r="AB1027" s="100"/>
      <c r="AC1027" s="24"/>
      <c r="AD1027" s="24"/>
      <c r="AE1027" s="24"/>
      <c r="AF1027" s="24"/>
      <c r="AG1027" s="18">
        <v>24</v>
      </c>
      <c r="AH1027" s="69" t="s">
        <v>296</v>
      </c>
      <c r="AI1027" s="243" t="s">
        <v>128</v>
      </c>
      <c r="AJ1027" s="243" t="s">
        <v>419</v>
      </c>
      <c r="AK1027" s="246"/>
      <c r="AL1027" s="43" t="str">
        <f t="shared" si="260"/>
        <v>-</v>
      </c>
      <c r="AM1027" s="43">
        <f t="shared" si="265"/>
        <v>0</v>
      </c>
      <c r="AN1027" s="193">
        <f t="shared" si="265"/>
        <v>0</v>
      </c>
      <c r="AO1027" s="270">
        <f t="shared" si="266"/>
        <v>0</v>
      </c>
      <c r="AP1027" s="265">
        <f>BJ1027</f>
        <v>0</v>
      </c>
      <c r="AQ1027" s="26" t="str">
        <f t="shared" ref="AQ1027:AQ1090" si="273">CONCATENATE(E1027,F1027)</f>
        <v>SAND RIVERChinook</v>
      </c>
      <c r="AR1027" s="26">
        <f t="shared" si="267"/>
        <v>0</v>
      </c>
      <c r="AS1027" s="33">
        <f t="shared" si="268"/>
        <v>0</v>
      </c>
      <c r="AX1027" s="47" t="str">
        <f t="shared" si="269"/>
        <v>SAND RIVERChinook</v>
      </c>
      <c r="AY1027" s="49">
        <f t="shared" si="270"/>
        <v>0</v>
      </c>
      <c r="AZ1027" s="49">
        <f t="shared" si="271"/>
        <v>0</v>
      </c>
      <c r="BA1027" s="31">
        <v>2011</v>
      </c>
      <c r="BB1027" s="188">
        <f t="shared" si="257"/>
        <v>0</v>
      </c>
      <c r="BC1027" s="188" t="str">
        <f t="shared" si="261"/>
        <v xml:space="preserve"> </v>
      </c>
      <c r="BD1027" s="188" t="str">
        <f t="shared" si="262"/>
        <v xml:space="preserve"> </v>
      </c>
      <c r="BE1027" s="188" t="str">
        <f t="shared" si="263"/>
        <v xml:space="preserve"> </v>
      </c>
      <c r="BF1027" s="50" t="str">
        <f t="shared" si="272"/>
        <v>SAND RIVER_Chinook</v>
      </c>
      <c r="BG1027" s="50">
        <f>IFERROR(VLOOKUP(BF1027,'[1]WCVI Esc'!$C$5:$W$514,18,FALSE),"-")</f>
        <v>1</v>
      </c>
      <c r="BH1027" s="50">
        <f t="shared" si="258"/>
        <v>0</v>
      </c>
      <c r="BI1027" s="50">
        <f>IFERROR(VLOOKUP(BF1027,'[1]WCVI Esc'!$C$5:$W$514,19,FALSE),"-")</f>
        <v>1</v>
      </c>
      <c r="BJ1027" s="50">
        <f t="shared" si="259"/>
        <v>0</v>
      </c>
    </row>
    <row r="1028" spans="1:67" hidden="1" x14ac:dyDescent="0.2">
      <c r="A1028" s="28">
        <v>4</v>
      </c>
      <c r="B1028" s="28">
        <v>6</v>
      </c>
      <c r="C1028" s="11">
        <v>24</v>
      </c>
      <c r="D1028" s="13" t="s">
        <v>296</v>
      </c>
      <c r="E1028" s="10" t="s">
        <v>128</v>
      </c>
      <c r="F1028" s="10" t="s">
        <v>211</v>
      </c>
      <c r="G1028" s="10"/>
      <c r="H1028" s="152"/>
      <c r="I1028" s="164"/>
      <c r="J1028" s="62"/>
      <c r="K1028" s="62"/>
      <c r="L1028" s="177"/>
      <c r="M1028" s="171"/>
      <c r="N1028" s="62"/>
      <c r="O1028" s="62"/>
      <c r="P1028" s="62"/>
      <c r="Q1028" s="64"/>
      <c r="R1028" s="161"/>
      <c r="S1028" s="62"/>
      <c r="T1028" s="62"/>
      <c r="U1028" s="62"/>
      <c r="V1028" s="177"/>
      <c r="W1028" s="171"/>
      <c r="X1028" s="62"/>
      <c r="Y1028" s="45"/>
      <c r="Z1028" s="45"/>
      <c r="AA1028" s="100"/>
      <c r="AB1028" s="100"/>
      <c r="AC1028" s="24"/>
      <c r="AD1028" s="24"/>
      <c r="AE1028" s="24"/>
      <c r="AF1028" s="24"/>
      <c r="AG1028" s="18">
        <v>24</v>
      </c>
      <c r="AH1028" s="69" t="s">
        <v>296</v>
      </c>
      <c r="AI1028" s="243" t="s">
        <v>128</v>
      </c>
      <c r="AJ1028" s="243" t="s">
        <v>419</v>
      </c>
      <c r="AK1028" s="246"/>
      <c r="AL1028" s="43" t="str">
        <f t="shared" si="260"/>
        <v>-</v>
      </c>
      <c r="AM1028" s="43">
        <f t="shared" si="265"/>
        <v>0</v>
      </c>
      <c r="AN1028" s="193">
        <f t="shared" si="265"/>
        <v>0</v>
      </c>
      <c r="AO1028" s="270" t="str">
        <f t="shared" si="266"/>
        <v>-</v>
      </c>
      <c r="AP1028" s="266"/>
      <c r="AQ1028" s="26" t="str">
        <f t="shared" si="273"/>
        <v>SAND RIVERSteelhead</v>
      </c>
      <c r="AR1028" s="26">
        <f t="shared" si="267"/>
        <v>0</v>
      </c>
      <c r="AS1028" s="33">
        <f t="shared" si="268"/>
        <v>0</v>
      </c>
      <c r="AX1028" s="47" t="str">
        <f t="shared" si="269"/>
        <v>SAND RIVERSteelhead</v>
      </c>
      <c r="AY1028" s="49">
        <f t="shared" si="270"/>
        <v>0</v>
      </c>
      <c r="AZ1028" s="49">
        <f t="shared" si="271"/>
        <v>0</v>
      </c>
      <c r="BA1028" s="31">
        <v>0</v>
      </c>
      <c r="BB1028" s="188">
        <f t="shared" si="257"/>
        <v>0</v>
      </c>
      <c r="BC1028" s="188" t="str">
        <f t="shared" si="261"/>
        <v xml:space="preserve"> </v>
      </c>
      <c r="BD1028" s="188" t="str">
        <f t="shared" si="262"/>
        <v xml:space="preserve"> </v>
      </c>
      <c r="BE1028" s="188" t="str">
        <f t="shared" si="263"/>
        <v xml:space="preserve"> </v>
      </c>
      <c r="BF1028" s="50" t="str">
        <f t="shared" si="272"/>
        <v>SAND RIVER_Steelhead</v>
      </c>
      <c r="BG1028" s="50" t="str">
        <f>IFERROR(VLOOKUP(BF1028,'[1]WCVI Esc'!$C$5:$W$514,18,FALSE),"-")</f>
        <v>-</v>
      </c>
      <c r="BH1028" s="50" t="str">
        <f t="shared" si="258"/>
        <v>-</v>
      </c>
      <c r="BI1028" s="50" t="str">
        <f>IFERROR(VLOOKUP(BF1028,'[1]WCVI Esc'!$C$5:$W$514,19,FALSE),"-")</f>
        <v>-</v>
      </c>
      <c r="BJ1028" s="50" t="str">
        <f t="shared" si="259"/>
        <v>-</v>
      </c>
    </row>
    <row r="1029" spans="1:67" hidden="1" x14ac:dyDescent="0.2">
      <c r="A1029" s="28">
        <v>4</v>
      </c>
      <c r="B1029" s="28">
        <v>1</v>
      </c>
      <c r="C1029" s="11">
        <v>24</v>
      </c>
      <c r="D1029" s="13" t="s">
        <v>305</v>
      </c>
      <c r="E1029" s="10" t="s">
        <v>195</v>
      </c>
      <c r="F1029" s="10" t="s">
        <v>207</v>
      </c>
      <c r="G1029" s="10"/>
      <c r="H1029" s="152"/>
      <c r="I1029" s="155"/>
      <c r="J1029" s="106"/>
      <c r="K1029" s="94"/>
      <c r="L1029" s="180"/>
      <c r="M1029" s="173"/>
      <c r="N1029" s="106"/>
      <c r="O1029" s="106"/>
      <c r="P1029" s="63"/>
      <c r="Q1029" s="166"/>
      <c r="R1029" s="164"/>
      <c r="S1029" s="144"/>
      <c r="T1029" s="144"/>
      <c r="U1029" s="144"/>
      <c r="V1029" s="183"/>
      <c r="W1029" s="175"/>
      <c r="X1029" s="62"/>
      <c r="Y1029" s="45"/>
      <c r="Z1029" s="45"/>
      <c r="AA1029" s="100"/>
      <c r="AB1029" s="100"/>
      <c r="AC1029" s="24"/>
      <c r="AD1029" s="24"/>
      <c r="AE1029" s="24"/>
      <c r="AF1029" s="24"/>
      <c r="AG1029" s="18">
        <v>24</v>
      </c>
      <c r="AH1029" s="69" t="s">
        <v>305</v>
      </c>
      <c r="AI1029" s="243" t="s">
        <v>195</v>
      </c>
      <c r="AJ1029" s="243" t="s">
        <v>419</v>
      </c>
      <c r="AK1029" s="246"/>
      <c r="AL1029" s="43" t="str">
        <f t="shared" si="260"/>
        <v>-</v>
      </c>
      <c r="AM1029" s="43">
        <f t="shared" si="265"/>
        <v>0</v>
      </c>
      <c r="AN1029" s="193">
        <f t="shared" si="265"/>
        <v>0</v>
      </c>
      <c r="AO1029" s="264" t="str">
        <f t="shared" si="266"/>
        <v>-</v>
      </c>
      <c r="AP1029" s="266"/>
      <c r="AQ1029" s="26" t="str">
        <f t="shared" si="273"/>
        <v>SANDHILL CREEKSockeye</v>
      </c>
      <c r="AR1029" s="26">
        <f t="shared" si="267"/>
        <v>0</v>
      </c>
      <c r="AS1029" s="33">
        <f t="shared" si="268"/>
        <v>0</v>
      </c>
      <c r="AX1029" s="47" t="str">
        <f t="shared" si="269"/>
        <v>SANDHILL CREEKSockeye</v>
      </c>
      <c r="AY1029" s="49">
        <f t="shared" si="270"/>
        <v>0</v>
      </c>
      <c r="AZ1029" s="49">
        <f t="shared" si="271"/>
        <v>0</v>
      </c>
      <c r="BA1029" s="31">
        <v>0</v>
      </c>
      <c r="BB1029" s="188">
        <f t="shared" si="257"/>
        <v>0</v>
      </c>
      <c r="BC1029" s="188" t="str">
        <f t="shared" si="261"/>
        <v xml:space="preserve"> </v>
      </c>
      <c r="BD1029" s="188" t="str">
        <f t="shared" si="262"/>
        <v xml:space="preserve"> </v>
      </c>
      <c r="BE1029" s="188" t="str">
        <f t="shared" si="263"/>
        <v xml:space="preserve"> </v>
      </c>
      <c r="BF1029" s="50" t="str">
        <f t="shared" si="272"/>
        <v>SANDHILL CREEK_Sockeye</v>
      </c>
      <c r="BG1029" s="50" t="str">
        <f>IFERROR(VLOOKUP(BF1029,'[1]WCVI Esc'!$C$5:$W$534,18,FALSE),"-")</f>
        <v>-</v>
      </c>
      <c r="BH1029" s="50" t="str">
        <f t="shared" si="258"/>
        <v>-</v>
      </c>
      <c r="BI1029" s="50" t="str">
        <f>IFERROR(VLOOKUP(BF1029,'[1]WCVI Esc'!$C$5:$W$534,19,FALSE),"-")</f>
        <v>-</v>
      </c>
      <c r="BJ1029" s="50" t="str">
        <f t="shared" si="259"/>
        <v>-</v>
      </c>
    </row>
    <row r="1030" spans="1:67" hidden="1" x14ac:dyDescent="0.2">
      <c r="A1030" s="28">
        <v>4</v>
      </c>
      <c r="B1030" s="28">
        <v>2</v>
      </c>
      <c r="C1030" s="11">
        <v>24</v>
      </c>
      <c r="D1030" s="13" t="s">
        <v>305</v>
      </c>
      <c r="E1030" s="10" t="s">
        <v>195</v>
      </c>
      <c r="F1030" s="10" t="s">
        <v>219</v>
      </c>
      <c r="G1030" s="10"/>
      <c r="H1030" s="152"/>
      <c r="I1030" s="155"/>
      <c r="J1030" s="106"/>
      <c r="K1030" s="94"/>
      <c r="L1030" s="180"/>
      <c r="M1030" s="173"/>
      <c r="N1030" s="106"/>
      <c r="O1030" s="106"/>
      <c r="P1030" s="63"/>
      <c r="Q1030" s="166"/>
      <c r="R1030" s="164"/>
      <c r="S1030" s="144"/>
      <c r="T1030" s="145"/>
      <c r="U1030" s="144"/>
      <c r="V1030" s="183"/>
      <c r="W1030" s="175"/>
      <c r="X1030" s="62"/>
      <c r="Y1030" s="45"/>
      <c r="Z1030" s="45"/>
      <c r="AA1030" s="100"/>
      <c r="AB1030" s="100"/>
      <c r="AC1030" s="24"/>
      <c r="AD1030" s="24"/>
      <c r="AE1030" s="24"/>
      <c r="AF1030" s="24"/>
      <c r="AG1030" s="18">
        <v>24</v>
      </c>
      <c r="AH1030" s="69" t="s">
        <v>305</v>
      </c>
      <c r="AI1030" s="243" t="s">
        <v>195</v>
      </c>
      <c r="AJ1030" s="243" t="s">
        <v>419</v>
      </c>
      <c r="AK1030" s="246"/>
      <c r="AL1030" s="43" t="str">
        <f t="shared" si="260"/>
        <v>-</v>
      </c>
      <c r="AM1030" s="43">
        <f t="shared" si="265"/>
        <v>0</v>
      </c>
      <c r="AN1030" s="193">
        <f t="shared" si="265"/>
        <v>0</v>
      </c>
      <c r="AO1030" s="264" t="str">
        <f t="shared" si="266"/>
        <v>-</v>
      </c>
      <c r="AP1030" s="266"/>
      <c r="AQ1030" s="26" t="str">
        <f t="shared" si="273"/>
        <v>SANDHILL CREEKCoho</v>
      </c>
      <c r="AR1030" s="26">
        <f t="shared" si="267"/>
        <v>0</v>
      </c>
      <c r="AS1030" s="33">
        <f t="shared" si="268"/>
        <v>0</v>
      </c>
      <c r="AX1030" s="47" t="str">
        <f t="shared" si="269"/>
        <v>SANDHILL CREEKCoho</v>
      </c>
      <c r="AY1030" s="49">
        <f t="shared" si="270"/>
        <v>0</v>
      </c>
      <c r="AZ1030" s="49">
        <f t="shared" si="271"/>
        <v>0</v>
      </c>
      <c r="BA1030" s="31">
        <v>1997</v>
      </c>
      <c r="BB1030" s="188">
        <f t="shared" si="257"/>
        <v>0</v>
      </c>
      <c r="BC1030" s="188" t="str">
        <f t="shared" si="261"/>
        <v xml:space="preserve"> </v>
      </c>
      <c r="BD1030" s="188" t="str">
        <f t="shared" si="262"/>
        <v xml:space="preserve"> </v>
      </c>
      <c r="BE1030" s="188" t="str">
        <f t="shared" si="263"/>
        <v xml:space="preserve"> </v>
      </c>
      <c r="BF1030" s="50" t="str">
        <f t="shared" si="272"/>
        <v>SANDHILL CREEK_Coho</v>
      </c>
      <c r="BG1030" s="50" t="str">
        <f>IFERROR(VLOOKUP(BF1030,'[1]WCVI Esc'!$C$5:$W$534,18,FALSE),"-")</f>
        <v>-</v>
      </c>
      <c r="BH1030" s="50" t="str">
        <f t="shared" si="258"/>
        <v>-</v>
      </c>
      <c r="BI1030" s="50">
        <f>IFERROR(VLOOKUP(BF1030,'[1]WCVI Esc'!$C$5:$W$534,19,FALSE),"-")</f>
        <v>4</v>
      </c>
      <c r="BJ1030" s="50">
        <f t="shared" si="259"/>
        <v>0</v>
      </c>
    </row>
    <row r="1031" spans="1:67" hidden="1" x14ac:dyDescent="0.2">
      <c r="A1031" s="28">
        <v>4</v>
      </c>
      <c r="B1031" s="28">
        <v>3</v>
      </c>
      <c r="C1031" s="11">
        <v>24</v>
      </c>
      <c r="D1031" s="13" t="s">
        <v>305</v>
      </c>
      <c r="E1031" s="10" t="s">
        <v>195</v>
      </c>
      <c r="F1031" s="10" t="s">
        <v>208</v>
      </c>
      <c r="G1031" s="10"/>
      <c r="H1031" s="152"/>
      <c r="I1031" s="155"/>
      <c r="J1031" s="106"/>
      <c r="K1031" s="94"/>
      <c r="L1031" s="180"/>
      <c r="M1031" s="173"/>
      <c r="N1031" s="106"/>
      <c r="O1031" s="106"/>
      <c r="P1031" s="63"/>
      <c r="Q1031" s="166"/>
      <c r="R1031" s="164"/>
      <c r="S1031" s="144"/>
      <c r="T1031" s="144"/>
      <c r="U1031" s="144"/>
      <c r="V1031" s="183"/>
      <c r="W1031" s="175"/>
      <c r="X1031" s="62"/>
      <c r="Y1031" s="45"/>
      <c r="Z1031" s="45"/>
      <c r="AA1031" s="100"/>
      <c r="AB1031" s="100"/>
      <c r="AC1031" s="24"/>
      <c r="AD1031" s="24"/>
      <c r="AE1031" s="24"/>
      <c r="AF1031" s="24"/>
      <c r="AG1031" s="18">
        <v>24</v>
      </c>
      <c r="AH1031" s="69" t="s">
        <v>305</v>
      </c>
      <c r="AI1031" s="243" t="s">
        <v>195</v>
      </c>
      <c r="AJ1031" s="243" t="s">
        <v>419</v>
      </c>
      <c r="AK1031" s="246"/>
      <c r="AL1031" s="43" t="str">
        <f t="shared" si="260"/>
        <v>-</v>
      </c>
      <c r="AM1031" s="43">
        <f t="shared" si="265"/>
        <v>0</v>
      </c>
      <c r="AN1031" s="193">
        <f t="shared" si="265"/>
        <v>0</v>
      </c>
      <c r="AO1031" s="264" t="str">
        <f t="shared" si="266"/>
        <v>-</v>
      </c>
      <c r="AP1031" s="266"/>
      <c r="AQ1031" s="26" t="str">
        <f t="shared" si="273"/>
        <v>SANDHILL CREEKPink</v>
      </c>
      <c r="AR1031" s="26">
        <f t="shared" si="267"/>
        <v>0</v>
      </c>
      <c r="AS1031" s="33">
        <f t="shared" si="268"/>
        <v>0</v>
      </c>
      <c r="AX1031" s="47" t="str">
        <f t="shared" si="269"/>
        <v>SANDHILL CREEKPink</v>
      </c>
      <c r="AY1031" s="49">
        <f t="shared" si="270"/>
        <v>0</v>
      </c>
      <c r="AZ1031" s="49">
        <f t="shared" si="271"/>
        <v>0</v>
      </c>
      <c r="BA1031" s="31">
        <v>0</v>
      </c>
      <c r="BB1031" s="188">
        <f t="shared" si="257"/>
        <v>0</v>
      </c>
      <c r="BC1031" s="188" t="str">
        <f t="shared" si="261"/>
        <v xml:space="preserve"> </v>
      </c>
      <c r="BD1031" s="188" t="str">
        <f t="shared" si="262"/>
        <v xml:space="preserve"> </v>
      </c>
      <c r="BE1031" s="188" t="str">
        <f t="shared" si="263"/>
        <v xml:space="preserve"> </v>
      </c>
      <c r="BF1031" s="50" t="str">
        <f t="shared" si="272"/>
        <v>SANDHILL CREEK_Pink</v>
      </c>
      <c r="BG1031" s="50" t="str">
        <f>IFERROR(VLOOKUP(BF1031,'[1]WCVI Esc'!$C$5:$W$534,18,FALSE),"-")</f>
        <v>-</v>
      </c>
      <c r="BH1031" s="50" t="str">
        <f t="shared" si="258"/>
        <v>-</v>
      </c>
      <c r="BI1031" s="50" t="str">
        <f>IFERROR(VLOOKUP(BF1031,'[1]WCVI Esc'!$C$5:$W$534,19,FALSE),"-")</f>
        <v>-</v>
      </c>
      <c r="BJ1031" s="50" t="str">
        <f t="shared" si="259"/>
        <v>-</v>
      </c>
    </row>
    <row r="1032" spans="1:67" hidden="1" x14ac:dyDescent="0.2">
      <c r="A1032" s="28">
        <v>4</v>
      </c>
      <c r="B1032" s="28">
        <v>4</v>
      </c>
      <c r="C1032" s="11">
        <v>24</v>
      </c>
      <c r="D1032" s="13" t="s">
        <v>305</v>
      </c>
      <c r="E1032" s="10" t="s">
        <v>195</v>
      </c>
      <c r="F1032" s="10" t="s">
        <v>209</v>
      </c>
      <c r="G1032" s="10"/>
      <c r="H1032" s="152"/>
      <c r="I1032" s="155"/>
      <c r="J1032" s="106"/>
      <c r="K1032" s="94"/>
      <c r="L1032" s="180"/>
      <c r="M1032" s="173"/>
      <c r="N1032" s="106"/>
      <c r="O1032" s="106"/>
      <c r="P1032" s="63"/>
      <c r="Q1032" s="166"/>
      <c r="R1032" s="164"/>
      <c r="S1032" s="144"/>
      <c r="T1032" s="145"/>
      <c r="U1032" s="144"/>
      <c r="V1032" s="183"/>
      <c r="W1032" s="175"/>
      <c r="X1032" s="62"/>
      <c r="Y1032" s="45"/>
      <c r="Z1032" s="45"/>
      <c r="AA1032" s="100"/>
      <c r="AB1032" s="100"/>
      <c r="AC1032" s="24"/>
      <c r="AD1032" s="24"/>
      <c r="AE1032" s="24"/>
      <c r="AF1032" s="24"/>
      <c r="AG1032" s="18">
        <v>24</v>
      </c>
      <c r="AH1032" s="69" t="s">
        <v>305</v>
      </c>
      <c r="AI1032" s="243" t="s">
        <v>195</v>
      </c>
      <c r="AJ1032" s="243" t="s">
        <v>419</v>
      </c>
      <c r="AK1032" s="246"/>
      <c r="AL1032" s="43" t="str">
        <f t="shared" si="260"/>
        <v>-</v>
      </c>
      <c r="AM1032" s="43">
        <f t="shared" si="265"/>
        <v>0</v>
      </c>
      <c r="AN1032" s="193">
        <f t="shared" si="265"/>
        <v>0</v>
      </c>
      <c r="AO1032" s="264" t="str">
        <f t="shared" si="266"/>
        <v>-</v>
      </c>
      <c r="AP1032" s="266"/>
      <c r="AQ1032" s="26" t="str">
        <f t="shared" si="273"/>
        <v>SANDHILL CREEKChum</v>
      </c>
      <c r="AR1032" s="26">
        <f t="shared" si="267"/>
        <v>0</v>
      </c>
      <c r="AS1032" s="33">
        <f t="shared" si="268"/>
        <v>0</v>
      </c>
      <c r="AX1032" s="47" t="str">
        <f t="shared" si="269"/>
        <v>SANDHILL CREEKChum</v>
      </c>
      <c r="AY1032" s="49">
        <f t="shared" si="270"/>
        <v>0</v>
      </c>
      <c r="AZ1032" s="49">
        <f t="shared" si="271"/>
        <v>0</v>
      </c>
      <c r="BA1032" s="31">
        <v>1981</v>
      </c>
      <c r="BB1032" s="188">
        <f t="shared" si="257"/>
        <v>0</v>
      </c>
      <c r="BC1032" s="188" t="str">
        <f t="shared" si="261"/>
        <v xml:space="preserve"> </v>
      </c>
      <c r="BD1032" s="188" t="str">
        <f t="shared" si="262"/>
        <v xml:space="preserve"> </v>
      </c>
      <c r="BE1032" s="188" t="str">
        <f t="shared" si="263"/>
        <v xml:space="preserve"> </v>
      </c>
      <c r="BF1032" s="50" t="str">
        <f t="shared" si="272"/>
        <v>SANDHILL CREEK_Chum</v>
      </c>
      <c r="BG1032" s="50" t="str">
        <f>IFERROR(VLOOKUP(BF1032,'[1]WCVI Esc'!$C$5:$W$534,18,FALSE),"-")</f>
        <v>-</v>
      </c>
      <c r="BH1032" s="50" t="str">
        <f t="shared" si="258"/>
        <v>-</v>
      </c>
      <c r="BI1032" s="50">
        <f>IFERROR(VLOOKUP(BF1032,'[1]WCVI Esc'!$C$5:$W$534,19,FALSE),"-")</f>
        <v>32</v>
      </c>
      <c r="BJ1032" s="50">
        <f t="shared" si="259"/>
        <v>30</v>
      </c>
    </row>
    <row r="1033" spans="1:67" hidden="1" x14ac:dyDescent="0.2">
      <c r="A1033" s="28">
        <v>4</v>
      </c>
      <c r="B1033" s="28">
        <v>5</v>
      </c>
      <c r="C1033" s="11">
        <v>24</v>
      </c>
      <c r="D1033" s="13" t="s">
        <v>305</v>
      </c>
      <c r="E1033" s="10" t="s">
        <v>195</v>
      </c>
      <c r="F1033" s="10" t="s">
        <v>210</v>
      </c>
      <c r="G1033" s="10"/>
      <c r="H1033" s="152"/>
      <c r="I1033" s="155"/>
      <c r="J1033" s="106"/>
      <c r="K1033" s="94"/>
      <c r="L1033" s="180"/>
      <c r="M1033" s="173"/>
      <c r="N1033" s="106"/>
      <c r="O1033" s="106"/>
      <c r="P1033" s="63"/>
      <c r="Q1033" s="166"/>
      <c r="R1033" s="164"/>
      <c r="S1033" s="144"/>
      <c r="T1033" s="144"/>
      <c r="U1033" s="144"/>
      <c r="V1033" s="183"/>
      <c r="W1033" s="175"/>
      <c r="X1033" s="62"/>
      <c r="Y1033" s="45"/>
      <c r="Z1033" s="45"/>
      <c r="AA1033" s="100"/>
      <c r="AB1033" s="100"/>
      <c r="AC1033" s="24"/>
      <c r="AD1033" s="24"/>
      <c r="AE1033" s="24"/>
      <c r="AF1033" s="24"/>
      <c r="AG1033" s="18">
        <v>24</v>
      </c>
      <c r="AH1033" s="69" t="s">
        <v>305</v>
      </c>
      <c r="AI1033" s="243" t="s">
        <v>195</v>
      </c>
      <c r="AJ1033" s="243" t="s">
        <v>419</v>
      </c>
      <c r="AK1033" s="246"/>
      <c r="AL1033" s="43" t="str">
        <f t="shared" si="260"/>
        <v>-</v>
      </c>
      <c r="AM1033" s="43">
        <f t="shared" si="265"/>
        <v>0</v>
      </c>
      <c r="AN1033" s="193">
        <f t="shared" si="265"/>
        <v>0</v>
      </c>
      <c r="AO1033" s="264" t="str">
        <f t="shared" si="266"/>
        <v>-</v>
      </c>
      <c r="AP1033" s="266"/>
      <c r="AQ1033" s="26" t="str">
        <f t="shared" si="273"/>
        <v>SANDHILL CREEKChinook</v>
      </c>
      <c r="AR1033" s="26">
        <f t="shared" si="267"/>
        <v>0</v>
      </c>
      <c r="AS1033" s="33">
        <f t="shared" si="268"/>
        <v>0</v>
      </c>
      <c r="AX1033" s="47" t="str">
        <f t="shared" si="269"/>
        <v>SANDHILL CREEKChinook</v>
      </c>
      <c r="AY1033" s="49">
        <f t="shared" si="270"/>
        <v>0</v>
      </c>
      <c r="AZ1033" s="49">
        <f t="shared" si="271"/>
        <v>0</v>
      </c>
      <c r="BA1033" s="31">
        <v>0</v>
      </c>
      <c r="BB1033" s="188">
        <f t="shared" ref="BB1033:BB1096" si="274">AK1033</f>
        <v>0</v>
      </c>
      <c r="BC1033" s="188" t="str">
        <f t="shared" si="261"/>
        <v xml:space="preserve"> </v>
      </c>
      <c r="BD1033" s="188" t="str">
        <f t="shared" si="262"/>
        <v xml:space="preserve"> </v>
      </c>
      <c r="BE1033" s="188" t="str">
        <f t="shared" si="263"/>
        <v xml:space="preserve"> </v>
      </c>
      <c r="BF1033" s="50" t="str">
        <f t="shared" si="272"/>
        <v>SANDHILL CREEK_Chinook</v>
      </c>
      <c r="BG1033" s="50" t="str">
        <f>IFERROR(VLOOKUP(BF1033,'[1]WCVI Esc'!$C$5:$W$534,18,FALSE),"-")</f>
        <v>-</v>
      </c>
      <c r="BH1033" s="50" t="str">
        <f t="shared" ref="BH1033:BH1096" si="275">IFERROR(ROUND(BG1033,-1),"-")</f>
        <v>-</v>
      </c>
      <c r="BI1033" s="50" t="str">
        <f>IFERROR(VLOOKUP(BF1033,'[1]WCVI Esc'!$C$5:$W$534,19,FALSE),"-")</f>
        <v>-</v>
      </c>
      <c r="BJ1033" s="50" t="str">
        <f t="shared" ref="BJ1033:BJ1096" si="276">IFERROR(ROUND(BI1033,-1),"-")</f>
        <v>-</v>
      </c>
      <c r="BK1033">
        <v>6</v>
      </c>
      <c r="BL1033" t="s">
        <v>447</v>
      </c>
      <c r="BO1033" s="31">
        <v>1</v>
      </c>
    </row>
    <row r="1034" spans="1:67" hidden="1" x14ac:dyDescent="0.2">
      <c r="A1034" s="28">
        <v>4</v>
      </c>
      <c r="B1034" s="28">
        <v>6</v>
      </c>
      <c r="C1034" s="11">
        <v>24</v>
      </c>
      <c r="D1034" s="13" t="s">
        <v>305</v>
      </c>
      <c r="E1034" s="10" t="s">
        <v>195</v>
      </c>
      <c r="F1034" s="10" t="s">
        <v>211</v>
      </c>
      <c r="G1034" s="10"/>
      <c r="H1034" s="152"/>
      <c r="I1034" s="155"/>
      <c r="J1034" s="106"/>
      <c r="K1034" s="94"/>
      <c r="L1034" s="180"/>
      <c r="M1034" s="173"/>
      <c r="N1034" s="106"/>
      <c r="O1034" s="106"/>
      <c r="P1034" s="63"/>
      <c r="Q1034" s="166"/>
      <c r="R1034" s="164"/>
      <c r="S1034" s="144"/>
      <c r="T1034" s="144"/>
      <c r="U1034" s="144"/>
      <c r="V1034" s="183"/>
      <c r="W1034" s="175"/>
      <c r="X1034" s="62"/>
      <c r="Y1034" s="45"/>
      <c r="Z1034" s="45"/>
      <c r="AA1034" s="100"/>
      <c r="AB1034" s="100"/>
      <c r="AC1034" s="24"/>
      <c r="AD1034" s="24"/>
      <c r="AE1034" s="24"/>
      <c r="AF1034" s="24"/>
      <c r="AG1034" s="18">
        <v>24</v>
      </c>
      <c r="AH1034" s="69" t="s">
        <v>305</v>
      </c>
      <c r="AI1034" s="243" t="s">
        <v>195</v>
      </c>
      <c r="AJ1034" s="243" t="s">
        <v>419</v>
      </c>
      <c r="AK1034" s="246"/>
      <c r="AL1034" s="43" t="str">
        <f t="shared" ref="AL1034:AL1097" si="277">IF(BE1034=" ",IF(BD1034=" ", IF(BC1034=" ","-",BC1034),BD1034), BE1034)</f>
        <v>-</v>
      </c>
      <c r="AM1034" s="43">
        <f t="shared" si="265"/>
        <v>0</v>
      </c>
      <c r="AN1034" s="193">
        <f t="shared" si="265"/>
        <v>0</v>
      </c>
      <c r="AO1034" s="264" t="str">
        <f t="shared" si="266"/>
        <v>-</v>
      </c>
      <c r="AP1034" s="266"/>
      <c r="AQ1034" s="26" t="str">
        <f t="shared" si="273"/>
        <v>SANDHILL CREEKSteelhead</v>
      </c>
      <c r="AR1034" s="26">
        <f t="shared" si="267"/>
        <v>0</v>
      </c>
      <c r="AS1034" s="33">
        <f t="shared" si="268"/>
        <v>0</v>
      </c>
      <c r="AX1034" s="47" t="str">
        <f t="shared" si="269"/>
        <v>SANDHILL CREEKSteelhead</v>
      </c>
      <c r="AY1034" s="49">
        <f t="shared" si="270"/>
        <v>0</v>
      </c>
      <c r="AZ1034" s="49">
        <f t="shared" si="271"/>
        <v>0</v>
      </c>
      <c r="BA1034" s="31">
        <v>0</v>
      </c>
      <c r="BB1034" s="188">
        <f t="shared" si="274"/>
        <v>0</v>
      </c>
      <c r="BC1034" s="188" t="str">
        <f t="shared" ref="BC1034:BC1097" si="278">IF(ISNUMBER(M1034),M$8,IF(ISNUMBER(L1034),L$8,IF(ISNUMBER(K1034),K$8,IF(ISNUMBER(J1034),J$8,IF(ISNUMBER(I1034),I$8,IF(ISNUMBER(H1034),H$8, IF(ISNUMBER(G1034),G$8," ")))))))</f>
        <v xml:space="preserve"> </v>
      </c>
      <c r="BD1034" s="188" t="str">
        <f t="shared" ref="BD1034:BD1097" si="279">IF(ISNUMBER(S1034),S$8,IF(ISNUMBER(R1034),R$8,IF(ISNUMBER(Q1034),Q$8,IF(ISNUMBER(P1034),P$8,IF(ISNUMBER(O1034),O$8,IF(ISNUMBER(N1034),N$8," "))))))</f>
        <v xml:space="preserve"> </v>
      </c>
      <c r="BE1034" s="188" t="str">
        <f t="shared" ref="BE1034:BE1097" si="280">IF(ISNUMBER(X1034),X$8,IF(ISNUMBER(W1034),W$8,IF(ISNUMBER(V1034),V$8,IF(ISNUMBER(U1034),U$8,IF(ISNUMBER(T1034),T$8," ")))))</f>
        <v xml:space="preserve"> </v>
      </c>
      <c r="BF1034" s="50" t="str">
        <f t="shared" si="272"/>
        <v>SANDHILL CREEK_Steelhead</v>
      </c>
      <c r="BG1034" s="50" t="str">
        <f>IFERROR(VLOOKUP(BF1034,'[1]WCVI Esc'!$C$5:$W$534,18,FALSE),"-")</f>
        <v>-</v>
      </c>
      <c r="BH1034" s="50" t="str">
        <f t="shared" si="275"/>
        <v>-</v>
      </c>
      <c r="BI1034" s="50" t="str">
        <f>IFERROR(VLOOKUP(BF1034,'[1]WCVI Esc'!$C$5:$W$534,19,FALSE),"-")</f>
        <v>-</v>
      </c>
      <c r="BJ1034" s="50" t="str">
        <f t="shared" si="276"/>
        <v>-</v>
      </c>
    </row>
    <row r="1035" spans="1:67" hidden="1" x14ac:dyDescent="0.2">
      <c r="A1035" s="28">
        <v>4</v>
      </c>
      <c r="B1035" s="28">
        <v>1</v>
      </c>
      <c r="C1035" s="11">
        <v>24</v>
      </c>
      <c r="D1035" s="13" t="s">
        <v>296</v>
      </c>
      <c r="E1035" s="10" t="s">
        <v>329</v>
      </c>
      <c r="F1035" s="10" t="s">
        <v>207</v>
      </c>
      <c r="G1035" s="10"/>
      <c r="H1035" s="152"/>
      <c r="I1035" s="155"/>
      <c r="J1035" s="106"/>
      <c r="K1035" s="94"/>
      <c r="L1035" s="180"/>
      <c r="M1035" s="173"/>
      <c r="N1035" s="106"/>
      <c r="O1035" s="106"/>
      <c r="P1035" s="63"/>
      <c r="Q1035" s="162"/>
      <c r="R1035" s="169"/>
      <c r="S1035" s="62"/>
      <c r="T1035" s="63"/>
      <c r="U1035" s="62"/>
      <c r="V1035" s="177"/>
      <c r="W1035" s="171"/>
      <c r="X1035" s="62"/>
      <c r="Y1035" s="45"/>
      <c r="Z1035" s="45"/>
      <c r="AA1035" s="100"/>
      <c r="AB1035" s="100"/>
      <c r="AC1035" s="24"/>
      <c r="AD1035" s="24"/>
      <c r="AE1035" s="24"/>
      <c r="AF1035" s="24"/>
      <c r="AG1035" s="18">
        <v>24</v>
      </c>
      <c r="AH1035" s="69" t="s">
        <v>296</v>
      </c>
      <c r="AI1035" s="243" t="s">
        <v>329</v>
      </c>
      <c r="AJ1035" s="243" t="s">
        <v>419</v>
      </c>
      <c r="AK1035" s="246"/>
      <c r="AL1035" s="43" t="str">
        <f t="shared" si="277"/>
        <v>-</v>
      </c>
      <c r="AM1035" s="43">
        <f t="shared" si="265"/>
        <v>0</v>
      </c>
      <c r="AN1035" s="193">
        <f t="shared" si="265"/>
        <v>0</v>
      </c>
      <c r="AO1035" s="264" t="str">
        <f t="shared" si="266"/>
        <v>-</v>
      </c>
      <c r="AP1035" s="266"/>
      <c r="AQ1035" s="26" t="str">
        <f t="shared" si="273"/>
        <v>Sharp CreekSockeye</v>
      </c>
      <c r="AR1035" s="26">
        <f t="shared" si="267"/>
        <v>0</v>
      </c>
      <c r="AS1035" s="33">
        <f t="shared" si="268"/>
        <v>0</v>
      </c>
      <c r="AX1035" s="47" t="str">
        <f t="shared" si="269"/>
        <v>Sharp CreekSockeye</v>
      </c>
      <c r="AY1035" s="49">
        <f t="shared" si="270"/>
        <v>0</v>
      </c>
      <c r="AZ1035" s="49">
        <f t="shared" si="271"/>
        <v>0</v>
      </c>
      <c r="BA1035" s="31">
        <v>0</v>
      </c>
      <c r="BB1035" s="188">
        <f t="shared" si="274"/>
        <v>0</v>
      </c>
      <c r="BC1035" s="188" t="str">
        <f t="shared" si="278"/>
        <v xml:space="preserve"> </v>
      </c>
      <c r="BD1035" s="188" t="str">
        <f t="shared" si="279"/>
        <v xml:space="preserve"> </v>
      </c>
      <c r="BE1035" s="188" t="str">
        <f t="shared" si="280"/>
        <v xml:space="preserve"> </v>
      </c>
      <c r="BF1035" s="50" t="str">
        <f t="shared" si="272"/>
        <v>Sharp Creek_Sockeye</v>
      </c>
      <c r="BG1035" s="50" t="str">
        <f>IFERROR(VLOOKUP(BF1035,'[1]WCVI Esc'!$C$5:$W$534,18,FALSE),"-")</f>
        <v>-</v>
      </c>
      <c r="BH1035" s="50" t="str">
        <f t="shared" si="275"/>
        <v>-</v>
      </c>
      <c r="BI1035" s="50" t="str">
        <f>IFERROR(VLOOKUP(BF1035,'[1]WCVI Esc'!$C$5:$W$534,19,FALSE),"-")</f>
        <v>-</v>
      </c>
      <c r="BJ1035" s="50" t="str">
        <f t="shared" si="276"/>
        <v>-</v>
      </c>
      <c r="BK1035" s="12"/>
      <c r="BL1035" s="12"/>
      <c r="BM1035" s="301"/>
      <c r="BN1035" s="301"/>
      <c r="BO1035" s="301"/>
    </row>
    <row r="1036" spans="1:67" hidden="1" x14ac:dyDescent="0.2">
      <c r="A1036" s="28">
        <v>4</v>
      </c>
      <c r="B1036" s="28">
        <v>2</v>
      </c>
      <c r="C1036" s="11">
        <v>24</v>
      </c>
      <c r="D1036" s="13" t="s">
        <v>296</v>
      </c>
      <c r="E1036" s="10" t="s">
        <v>329</v>
      </c>
      <c r="F1036" s="10" t="s">
        <v>219</v>
      </c>
      <c r="G1036" s="10"/>
      <c r="H1036" s="152"/>
      <c r="I1036" s="155"/>
      <c r="J1036" s="106"/>
      <c r="K1036" s="94"/>
      <c r="L1036" s="180"/>
      <c r="M1036" s="173"/>
      <c r="N1036" s="106"/>
      <c r="O1036" s="106"/>
      <c r="P1036" s="63"/>
      <c r="Q1036" s="162"/>
      <c r="R1036" s="169"/>
      <c r="S1036" s="62"/>
      <c r="T1036" s="63"/>
      <c r="U1036" s="62"/>
      <c r="V1036" s="177"/>
      <c r="W1036" s="171"/>
      <c r="X1036" s="62"/>
      <c r="Y1036" s="45"/>
      <c r="Z1036" s="45"/>
      <c r="AA1036" s="100"/>
      <c r="AB1036" s="100"/>
      <c r="AC1036" s="24"/>
      <c r="AD1036" s="24"/>
      <c r="AE1036" s="24"/>
      <c r="AF1036" s="24"/>
      <c r="AG1036" s="18">
        <v>24</v>
      </c>
      <c r="AH1036" s="69" t="s">
        <v>296</v>
      </c>
      <c r="AI1036" s="243" t="s">
        <v>329</v>
      </c>
      <c r="AJ1036" s="243" t="s">
        <v>419</v>
      </c>
      <c r="AK1036" s="246"/>
      <c r="AL1036" s="43" t="str">
        <f t="shared" si="277"/>
        <v>-</v>
      </c>
      <c r="AM1036" s="43">
        <f t="shared" si="265"/>
        <v>0</v>
      </c>
      <c r="AN1036" s="193">
        <f t="shared" si="265"/>
        <v>0</v>
      </c>
      <c r="AO1036" s="264" t="str">
        <f t="shared" si="266"/>
        <v>-</v>
      </c>
      <c r="AP1036" s="266"/>
      <c r="AQ1036" s="26" t="str">
        <f t="shared" si="273"/>
        <v>Sharp CreekCoho</v>
      </c>
      <c r="AR1036" s="26">
        <f t="shared" si="267"/>
        <v>0</v>
      </c>
      <c r="AS1036" s="33">
        <f t="shared" si="268"/>
        <v>0</v>
      </c>
      <c r="AX1036" s="47" t="str">
        <f t="shared" si="269"/>
        <v>Sharp CreekCoho</v>
      </c>
      <c r="AY1036" s="49">
        <f t="shared" si="270"/>
        <v>0</v>
      </c>
      <c r="AZ1036" s="49">
        <f t="shared" si="271"/>
        <v>0</v>
      </c>
      <c r="BA1036" s="31">
        <v>0</v>
      </c>
      <c r="BB1036" s="188">
        <f t="shared" si="274"/>
        <v>0</v>
      </c>
      <c r="BC1036" s="188" t="str">
        <f t="shared" si="278"/>
        <v xml:space="preserve"> </v>
      </c>
      <c r="BD1036" s="188" t="str">
        <f t="shared" si="279"/>
        <v xml:space="preserve"> </v>
      </c>
      <c r="BE1036" s="188" t="str">
        <f t="shared" si="280"/>
        <v xml:space="preserve"> </v>
      </c>
      <c r="BF1036" s="50" t="str">
        <f t="shared" si="272"/>
        <v>Sharp Creek_Coho</v>
      </c>
      <c r="BG1036" s="50" t="str">
        <f>IFERROR(VLOOKUP(BF1036,'[1]WCVI Esc'!$C$5:$W$534,18,FALSE),"-")</f>
        <v>-</v>
      </c>
      <c r="BH1036" s="50" t="str">
        <f t="shared" si="275"/>
        <v>-</v>
      </c>
      <c r="BI1036" s="50" t="str">
        <f>IFERROR(VLOOKUP(BF1036,'[1]WCVI Esc'!$C$5:$W$534,19,FALSE),"-")</f>
        <v>-</v>
      </c>
      <c r="BJ1036" s="50" t="str">
        <f t="shared" si="276"/>
        <v>-</v>
      </c>
      <c r="BK1036" s="12"/>
      <c r="BL1036" s="12"/>
      <c r="BM1036" s="301"/>
      <c r="BN1036" s="301"/>
      <c r="BO1036" s="301"/>
    </row>
    <row r="1037" spans="1:67" hidden="1" x14ac:dyDescent="0.2">
      <c r="A1037" s="28">
        <v>4</v>
      </c>
      <c r="B1037" s="28">
        <v>3</v>
      </c>
      <c r="C1037" s="11">
        <v>24</v>
      </c>
      <c r="D1037" s="13" t="s">
        <v>296</v>
      </c>
      <c r="E1037" s="10" t="s">
        <v>329</v>
      </c>
      <c r="F1037" s="10" t="s">
        <v>208</v>
      </c>
      <c r="G1037" s="10"/>
      <c r="H1037" s="152"/>
      <c r="I1037" s="155"/>
      <c r="J1037" s="106"/>
      <c r="K1037" s="94"/>
      <c r="L1037" s="180"/>
      <c r="M1037" s="173"/>
      <c r="N1037" s="106"/>
      <c r="O1037" s="106"/>
      <c r="P1037" s="63"/>
      <c r="Q1037" s="162"/>
      <c r="R1037" s="169"/>
      <c r="S1037" s="62"/>
      <c r="T1037" s="63"/>
      <c r="U1037" s="62"/>
      <c r="V1037" s="177"/>
      <c r="W1037" s="171"/>
      <c r="X1037" s="62"/>
      <c r="Y1037" s="45"/>
      <c r="Z1037" s="45"/>
      <c r="AA1037" s="100"/>
      <c r="AB1037" s="100"/>
      <c r="AC1037" s="24"/>
      <c r="AD1037" s="24"/>
      <c r="AE1037" s="24"/>
      <c r="AF1037" s="24"/>
      <c r="AG1037" s="18">
        <v>24</v>
      </c>
      <c r="AH1037" s="69" t="s">
        <v>296</v>
      </c>
      <c r="AI1037" s="243" t="s">
        <v>329</v>
      </c>
      <c r="AJ1037" s="243" t="s">
        <v>419</v>
      </c>
      <c r="AK1037" s="246"/>
      <c r="AL1037" s="43" t="str">
        <f t="shared" si="277"/>
        <v>-</v>
      </c>
      <c r="AM1037" s="43">
        <f t="shared" si="265"/>
        <v>0</v>
      </c>
      <c r="AN1037" s="193">
        <f t="shared" si="265"/>
        <v>0</v>
      </c>
      <c r="AO1037" s="264" t="str">
        <f t="shared" si="266"/>
        <v>-</v>
      </c>
      <c r="AP1037" s="266"/>
      <c r="AQ1037" s="26" t="str">
        <f t="shared" si="273"/>
        <v>Sharp CreekPink</v>
      </c>
      <c r="AR1037" s="26">
        <f t="shared" si="267"/>
        <v>0</v>
      </c>
      <c r="AS1037" s="33">
        <f t="shared" si="268"/>
        <v>0</v>
      </c>
      <c r="AX1037" s="47" t="str">
        <f t="shared" si="269"/>
        <v>Sharp CreekPink</v>
      </c>
      <c r="AY1037" s="49">
        <f t="shared" si="270"/>
        <v>0</v>
      </c>
      <c r="AZ1037" s="49">
        <f t="shared" si="271"/>
        <v>0</v>
      </c>
      <c r="BA1037" s="31">
        <v>0</v>
      </c>
      <c r="BB1037" s="188">
        <f t="shared" si="274"/>
        <v>0</v>
      </c>
      <c r="BC1037" s="188" t="str">
        <f t="shared" si="278"/>
        <v xml:space="preserve"> </v>
      </c>
      <c r="BD1037" s="188" t="str">
        <f t="shared" si="279"/>
        <v xml:space="preserve"> </v>
      </c>
      <c r="BE1037" s="188" t="str">
        <f t="shared" si="280"/>
        <v xml:space="preserve"> </v>
      </c>
      <c r="BF1037" s="50" t="str">
        <f t="shared" si="272"/>
        <v>Sharp Creek_Pink</v>
      </c>
      <c r="BG1037" s="50" t="str">
        <f>IFERROR(VLOOKUP(BF1037,'[1]WCVI Esc'!$C$5:$W$534,18,FALSE),"-")</f>
        <v>-</v>
      </c>
      <c r="BH1037" s="50" t="str">
        <f t="shared" si="275"/>
        <v>-</v>
      </c>
      <c r="BI1037" s="50" t="str">
        <f>IFERROR(VLOOKUP(BF1037,'[1]WCVI Esc'!$C$5:$W$534,19,FALSE),"-")</f>
        <v>-</v>
      </c>
      <c r="BJ1037" s="50" t="str">
        <f t="shared" si="276"/>
        <v>-</v>
      </c>
      <c r="BK1037" s="12"/>
      <c r="BL1037" s="12"/>
      <c r="BM1037" s="301"/>
      <c r="BN1037" s="301"/>
      <c r="BO1037" s="301"/>
    </row>
    <row r="1038" spans="1:67" hidden="1" x14ac:dyDescent="0.2">
      <c r="A1038" s="28">
        <v>4</v>
      </c>
      <c r="B1038" s="28">
        <v>4</v>
      </c>
      <c r="C1038" s="11">
        <v>24</v>
      </c>
      <c r="D1038" s="13" t="s">
        <v>296</v>
      </c>
      <c r="E1038" s="10" t="s">
        <v>329</v>
      </c>
      <c r="F1038" s="10" t="s">
        <v>209</v>
      </c>
      <c r="G1038" s="10"/>
      <c r="H1038" s="152"/>
      <c r="I1038" s="155"/>
      <c r="J1038" s="106"/>
      <c r="K1038" s="94"/>
      <c r="L1038" s="180"/>
      <c r="M1038" s="173"/>
      <c r="N1038" s="106"/>
      <c r="O1038" s="106"/>
      <c r="P1038" s="63"/>
      <c r="Q1038" s="162"/>
      <c r="R1038" s="164"/>
      <c r="S1038" s="62"/>
      <c r="T1038" s="63"/>
      <c r="U1038" s="62"/>
      <c r="V1038" s="177"/>
      <c r="W1038" s="171"/>
      <c r="X1038" s="62"/>
      <c r="Y1038" s="45"/>
      <c r="Z1038" s="45"/>
      <c r="AA1038" s="100"/>
      <c r="AB1038" s="100"/>
      <c r="AC1038" s="24"/>
      <c r="AD1038" s="24"/>
      <c r="AE1038" s="24"/>
      <c r="AF1038" s="24"/>
      <c r="AG1038" s="18">
        <v>24</v>
      </c>
      <c r="AH1038" s="69" t="s">
        <v>296</v>
      </c>
      <c r="AI1038" s="243" t="s">
        <v>329</v>
      </c>
      <c r="AJ1038" s="243" t="s">
        <v>419</v>
      </c>
      <c r="AK1038" s="246"/>
      <c r="AL1038" s="43" t="str">
        <f t="shared" si="277"/>
        <v>-</v>
      </c>
      <c r="AM1038" s="43">
        <f t="shared" si="265"/>
        <v>0</v>
      </c>
      <c r="AN1038" s="193">
        <f t="shared" si="265"/>
        <v>0</v>
      </c>
      <c r="AO1038" s="264">
        <f t="shared" si="266"/>
        <v>580</v>
      </c>
      <c r="AP1038" s="266"/>
      <c r="AQ1038" s="26" t="str">
        <f t="shared" si="273"/>
        <v>Sharp CreekChum</v>
      </c>
      <c r="AR1038" s="26">
        <f t="shared" si="267"/>
        <v>0</v>
      </c>
      <c r="AS1038" s="33">
        <f t="shared" si="268"/>
        <v>0</v>
      </c>
      <c r="AX1038" s="47" t="str">
        <f t="shared" si="269"/>
        <v>Sharp CreekChum</v>
      </c>
      <c r="AY1038" s="49">
        <f t="shared" si="270"/>
        <v>0</v>
      </c>
      <c r="AZ1038" s="49">
        <f t="shared" si="271"/>
        <v>0</v>
      </c>
      <c r="BA1038" s="31">
        <v>0</v>
      </c>
      <c r="BB1038" s="188">
        <f t="shared" si="274"/>
        <v>0</v>
      </c>
      <c r="BC1038" s="188" t="str">
        <f t="shared" si="278"/>
        <v xml:space="preserve"> </v>
      </c>
      <c r="BD1038" s="188" t="str">
        <f t="shared" si="279"/>
        <v xml:space="preserve"> </v>
      </c>
      <c r="BE1038" s="188" t="str">
        <f t="shared" si="280"/>
        <v xml:space="preserve"> </v>
      </c>
      <c r="BF1038" s="50" t="str">
        <f t="shared" si="272"/>
        <v>Sharp Creek_Chum</v>
      </c>
      <c r="BG1038" s="50">
        <f>IFERROR(VLOOKUP(BF1038,'[1]WCVI Esc'!$C$5:$W$534,18,FALSE),"-")</f>
        <v>575</v>
      </c>
      <c r="BH1038" s="50">
        <f t="shared" si="275"/>
        <v>580</v>
      </c>
      <c r="BI1038" s="50">
        <f>IFERROR(VLOOKUP(BF1038,'[1]WCVI Esc'!$C$5:$W$534,19,FALSE),"-")</f>
        <v>250.4</v>
      </c>
      <c r="BJ1038" s="50">
        <f t="shared" si="276"/>
        <v>250</v>
      </c>
      <c r="BK1038" s="12"/>
      <c r="BL1038" s="12"/>
      <c r="BM1038" s="301"/>
      <c r="BN1038" s="301"/>
      <c r="BO1038" s="301"/>
    </row>
    <row r="1039" spans="1:67" hidden="1" x14ac:dyDescent="0.2">
      <c r="A1039" s="28">
        <v>4</v>
      </c>
      <c r="B1039" s="28">
        <v>5</v>
      </c>
      <c r="C1039" s="11">
        <v>24</v>
      </c>
      <c r="D1039" s="13" t="s">
        <v>296</v>
      </c>
      <c r="E1039" s="10" t="s">
        <v>329</v>
      </c>
      <c r="F1039" s="10" t="s">
        <v>210</v>
      </c>
      <c r="G1039" s="10"/>
      <c r="H1039" s="152"/>
      <c r="I1039" s="155"/>
      <c r="J1039" s="106"/>
      <c r="K1039" s="94"/>
      <c r="L1039" s="180"/>
      <c r="M1039" s="173"/>
      <c r="N1039" s="106"/>
      <c r="O1039" s="106"/>
      <c r="P1039" s="63"/>
      <c r="Q1039" s="162"/>
      <c r="R1039" s="169"/>
      <c r="S1039" s="62"/>
      <c r="T1039" s="63"/>
      <c r="U1039" s="62"/>
      <c r="V1039" s="177"/>
      <c r="W1039" s="171"/>
      <c r="X1039" s="62"/>
      <c r="Y1039" s="45"/>
      <c r="Z1039" s="45"/>
      <c r="AA1039" s="100"/>
      <c r="AB1039" s="100"/>
      <c r="AC1039" s="24"/>
      <c r="AD1039" s="24"/>
      <c r="AE1039" s="24"/>
      <c r="AF1039" s="24"/>
      <c r="AG1039" s="18">
        <v>24</v>
      </c>
      <c r="AH1039" s="69" t="s">
        <v>296</v>
      </c>
      <c r="AI1039" s="243" t="s">
        <v>329</v>
      </c>
      <c r="AJ1039" s="243" t="s">
        <v>419</v>
      </c>
      <c r="AK1039" s="246"/>
      <c r="AL1039" s="43" t="str">
        <f t="shared" si="277"/>
        <v>-</v>
      </c>
      <c r="AM1039" s="43">
        <f t="shared" si="265"/>
        <v>0</v>
      </c>
      <c r="AN1039" s="193">
        <f t="shared" si="265"/>
        <v>0</v>
      </c>
      <c r="AO1039" s="264" t="str">
        <f t="shared" si="266"/>
        <v>-</v>
      </c>
      <c r="AP1039" s="266"/>
      <c r="AQ1039" s="26" t="str">
        <f t="shared" si="273"/>
        <v>Sharp CreekChinook</v>
      </c>
      <c r="AR1039" s="26">
        <f t="shared" si="267"/>
        <v>0</v>
      </c>
      <c r="AS1039" s="33">
        <f t="shared" si="268"/>
        <v>0</v>
      </c>
      <c r="AX1039" s="47" t="str">
        <f t="shared" si="269"/>
        <v>Sharp CreekChinook</v>
      </c>
      <c r="AY1039" s="49">
        <f t="shared" si="270"/>
        <v>0</v>
      </c>
      <c r="AZ1039" s="49">
        <f t="shared" si="271"/>
        <v>0</v>
      </c>
      <c r="BA1039" s="31">
        <v>0</v>
      </c>
      <c r="BB1039" s="188">
        <f t="shared" si="274"/>
        <v>0</v>
      </c>
      <c r="BC1039" s="188" t="str">
        <f t="shared" si="278"/>
        <v xml:space="preserve"> </v>
      </c>
      <c r="BD1039" s="188" t="str">
        <f t="shared" si="279"/>
        <v xml:space="preserve"> </v>
      </c>
      <c r="BE1039" s="188" t="str">
        <f t="shared" si="280"/>
        <v xml:space="preserve"> </v>
      </c>
      <c r="BF1039" s="50" t="str">
        <f t="shared" si="272"/>
        <v>Sharp Creek_Chinook</v>
      </c>
      <c r="BG1039" s="50" t="str">
        <f>IFERROR(VLOOKUP(BF1039,'[1]WCVI Esc'!$C$5:$W$534,18,FALSE),"-")</f>
        <v>-</v>
      </c>
      <c r="BH1039" s="50" t="str">
        <f t="shared" si="275"/>
        <v>-</v>
      </c>
      <c r="BI1039" s="50" t="str">
        <f>IFERROR(VLOOKUP(BF1039,'[1]WCVI Esc'!$C$5:$W$534,19,FALSE),"-")</f>
        <v>-</v>
      </c>
      <c r="BJ1039" s="50" t="str">
        <f t="shared" si="276"/>
        <v>-</v>
      </c>
      <c r="BK1039" s="12"/>
      <c r="BL1039" s="12"/>
      <c r="BM1039" s="301"/>
      <c r="BN1039" s="301"/>
      <c r="BO1039" s="301"/>
    </row>
    <row r="1040" spans="1:67" hidden="1" x14ac:dyDescent="0.2">
      <c r="A1040" s="28">
        <v>4</v>
      </c>
      <c r="B1040" s="28">
        <v>6</v>
      </c>
      <c r="C1040" s="11">
        <v>24</v>
      </c>
      <c r="D1040" s="13" t="s">
        <v>296</v>
      </c>
      <c r="E1040" s="10" t="s">
        <v>329</v>
      </c>
      <c r="F1040" s="10" t="s">
        <v>211</v>
      </c>
      <c r="G1040" s="10"/>
      <c r="H1040" s="152"/>
      <c r="I1040" s="155"/>
      <c r="J1040" s="106"/>
      <c r="K1040" s="94"/>
      <c r="L1040" s="180"/>
      <c r="M1040" s="173"/>
      <c r="N1040" s="106"/>
      <c r="O1040" s="106"/>
      <c r="P1040" s="63"/>
      <c r="Q1040" s="162"/>
      <c r="R1040" s="169"/>
      <c r="S1040" s="62"/>
      <c r="T1040" s="63"/>
      <c r="U1040" s="62"/>
      <c r="V1040" s="177"/>
      <c r="W1040" s="171"/>
      <c r="X1040" s="62"/>
      <c r="Y1040" s="45"/>
      <c r="Z1040" s="45"/>
      <c r="AA1040" s="100"/>
      <c r="AB1040" s="100"/>
      <c r="AC1040" s="24"/>
      <c r="AD1040" s="24"/>
      <c r="AE1040" s="24"/>
      <c r="AF1040" s="24"/>
      <c r="AG1040" s="18">
        <v>24</v>
      </c>
      <c r="AH1040" s="69" t="s">
        <v>296</v>
      </c>
      <c r="AI1040" s="243" t="s">
        <v>329</v>
      </c>
      <c r="AJ1040" s="243" t="s">
        <v>419</v>
      </c>
      <c r="AK1040" s="246"/>
      <c r="AL1040" s="43" t="str">
        <f t="shared" si="277"/>
        <v>-</v>
      </c>
      <c r="AM1040" s="43">
        <f t="shared" si="265"/>
        <v>0</v>
      </c>
      <c r="AN1040" s="193">
        <f t="shared" si="265"/>
        <v>0</v>
      </c>
      <c r="AO1040" s="264" t="str">
        <f t="shared" si="266"/>
        <v>-</v>
      </c>
      <c r="AP1040" s="266"/>
      <c r="AQ1040" s="26" t="str">
        <f t="shared" si="273"/>
        <v>Sharp CreekSteelhead</v>
      </c>
      <c r="AR1040" s="26">
        <f t="shared" si="267"/>
        <v>0</v>
      </c>
      <c r="AS1040" s="33">
        <f t="shared" si="268"/>
        <v>0</v>
      </c>
      <c r="AX1040" s="47" t="str">
        <f t="shared" si="269"/>
        <v>Sharp CreekSteelhead</v>
      </c>
      <c r="AY1040" s="49">
        <f t="shared" si="270"/>
        <v>0</v>
      </c>
      <c r="AZ1040" s="49">
        <f t="shared" si="271"/>
        <v>0</v>
      </c>
      <c r="BA1040" s="31">
        <v>0</v>
      </c>
      <c r="BB1040" s="188">
        <f t="shared" si="274"/>
        <v>0</v>
      </c>
      <c r="BC1040" s="188" t="str">
        <f t="shared" si="278"/>
        <v xml:space="preserve"> </v>
      </c>
      <c r="BD1040" s="188" t="str">
        <f t="shared" si="279"/>
        <v xml:space="preserve"> </v>
      </c>
      <c r="BE1040" s="188" t="str">
        <f t="shared" si="280"/>
        <v xml:space="preserve"> </v>
      </c>
      <c r="BF1040" s="50" t="str">
        <f t="shared" si="272"/>
        <v>Sharp Creek_Steelhead</v>
      </c>
      <c r="BG1040" s="50" t="str">
        <f>IFERROR(VLOOKUP(BF1040,'[1]WCVI Esc'!$C$5:$W$534,18,FALSE),"-")</f>
        <v>-</v>
      </c>
      <c r="BH1040" s="50" t="str">
        <f t="shared" si="275"/>
        <v>-</v>
      </c>
      <c r="BI1040" s="50" t="str">
        <f>IFERROR(VLOOKUP(BF1040,'[1]WCVI Esc'!$C$5:$W$534,19,FALSE),"-")</f>
        <v>-</v>
      </c>
      <c r="BJ1040" s="50" t="str">
        <f t="shared" si="276"/>
        <v>-</v>
      </c>
      <c r="BK1040" s="12"/>
      <c r="BL1040" s="12"/>
      <c r="BM1040" s="301"/>
      <c r="BN1040" s="301"/>
      <c r="BO1040" s="301"/>
    </row>
    <row r="1041" spans="1:67" hidden="1" x14ac:dyDescent="0.2">
      <c r="A1041" s="28">
        <v>4</v>
      </c>
      <c r="B1041" s="28">
        <v>1</v>
      </c>
      <c r="C1041" s="11">
        <v>24</v>
      </c>
      <c r="D1041" s="13" t="s">
        <v>296</v>
      </c>
      <c r="E1041" s="10" t="s">
        <v>129</v>
      </c>
      <c r="F1041" s="10" t="s">
        <v>207</v>
      </c>
      <c r="G1041" s="10"/>
      <c r="H1041" s="152"/>
      <c r="I1041" s="155"/>
      <c r="J1041" s="106"/>
      <c r="K1041" s="94"/>
      <c r="L1041" s="180"/>
      <c r="M1041" s="173"/>
      <c r="N1041" s="222"/>
      <c r="O1041" s="106"/>
      <c r="P1041" s="63"/>
      <c r="Q1041" s="162"/>
      <c r="R1041" s="169"/>
      <c r="S1041" s="62"/>
      <c r="T1041" s="63"/>
      <c r="U1041" s="62"/>
      <c r="V1041" s="177"/>
      <c r="W1041" s="171"/>
      <c r="X1041" s="62"/>
      <c r="Y1041" s="45"/>
      <c r="Z1041" s="45"/>
      <c r="AA1041" s="100"/>
      <c r="AB1041" s="100"/>
      <c r="AC1041" s="24"/>
      <c r="AD1041" s="24"/>
      <c r="AE1041" s="24"/>
      <c r="AF1041" s="24"/>
      <c r="AG1041" s="18">
        <v>24</v>
      </c>
      <c r="AH1041" s="69" t="s">
        <v>296</v>
      </c>
      <c r="AI1041" s="243" t="s">
        <v>129</v>
      </c>
      <c r="AJ1041" s="243" t="s">
        <v>419</v>
      </c>
      <c r="AK1041" s="246"/>
      <c r="AL1041" s="43" t="str">
        <f t="shared" si="277"/>
        <v>-</v>
      </c>
      <c r="AM1041" s="43">
        <f t="shared" si="265"/>
        <v>0</v>
      </c>
      <c r="AN1041" s="193">
        <f t="shared" si="265"/>
        <v>0</v>
      </c>
      <c r="AO1041" s="264" t="str">
        <f t="shared" si="266"/>
        <v>-</v>
      </c>
      <c r="AP1041" s="266"/>
      <c r="AQ1041" s="26" t="str">
        <f t="shared" si="273"/>
        <v>SUTTON MILL CREEKSockeye</v>
      </c>
      <c r="AR1041" s="26">
        <f t="shared" si="267"/>
        <v>0</v>
      </c>
      <c r="AS1041" s="33">
        <f t="shared" si="268"/>
        <v>0</v>
      </c>
      <c r="AX1041" s="47" t="str">
        <f t="shared" si="269"/>
        <v>SUTTON MILL CREEKSockeye</v>
      </c>
      <c r="AY1041" s="49">
        <f t="shared" si="270"/>
        <v>0</v>
      </c>
      <c r="AZ1041" s="49">
        <f t="shared" si="271"/>
        <v>0</v>
      </c>
      <c r="BA1041" s="31">
        <v>0</v>
      </c>
      <c r="BB1041" s="188">
        <f t="shared" si="274"/>
        <v>0</v>
      </c>
      <c r="BC1041" s="188" t="str">
        <f t="shared" si="278"/>
        <v xml:space="preserve"> </v>
      </c>
      <c r="BD1041" s="188" t="str">
        <f t="shared" si="279"/>
        <v xml:space="preserve"> </v>
      </c>
      <c r="BE1041" s="188" t="str">
        <f t="shared" si="280"/>
        <v xml:space="preserve"> </v>
      </c>
      <c r="BF1041" s="50" t="str">
        <f t="shared" si="272"/>
        <v>SUTTON MILL CREEK_Sockeye</v>
      </c>
      <c r="BG1041" s="50" t="str">
        <f>IFERROR(VLOOKUP(BF1041,'[1]WCVI Esc'!$C$5:$W$534,18,FALSE),"-")</f>
        <v>-</v>
      </c>
      <c r="BH1041" s="50" t="str">
        <f t="shared" si="275"/>
        <v>-</v>
      </c>
      <c r="BI1041" s="50" t="str">
        <f>IFERROR(VLOOKUP(BF1041,'[1]WCVI Esc'!$C$5:$W$534,19,FALSE),"-")</f>
        <v>-</v>
      </c>
      <c r="BJ1041" s="50" t="str">
        <f t="shared" si="276"/>
        <v>-</v>
      </c>
      <c r="BK1041" s="12"/>
      <c r="BL1041" s="12"/>
      <c r="BM1041" s="301"/>
      <c r="BN1041" s="301"/>
      <c r="BO1041" s="301"/>
    </row>
    <row r="1042" spans="1:67" hidden="1" x14ac:dyDescent="0.2">
      <c r="A1042" s="28">
        <v>4</v>
      </c>
      <c r="B1042" s="28">
        <v>2</v>
      </c>
      <c r="C1042" s="11">
        <v>24</v>
      </c>
      <c r="D1042" s="13" t="s">
        <v>296</v>
      </c>
      <c r="E1042" s="10" t="s">
        <v>129</v>
      </c>
      <c r="F1042" s="10" t="s">
        <v>219</v>
      </c>
      <c r="G1042" s="10"/>
      <c r="H1042" s="152"/>
      <c r="I1042" s="155"/>
      <c r="J1042" s="106"/>
      <c r="K1042" s="94"/>
      <c r="L1042" s="180"/>
      <c r="M1042" s="173"/>
      <c r="N1042" s="106"/>
      <c r="O1042" s="106"/>
      <c r="P1042" s="63"/>
      <c r="Q1042" s="162"/>
      <c r="R1042" s="298"/>
      <c r="S1042" s="62"/>
      <c r="T1042" s="63"/>
      <c r="U1042" s="62"/>
      <c r="V1042" s="177"/>
      <c r="W1042" s="171"/>
      <c r="X1042" s="62"/>
      <c r="Y1042" s="45"/>
      <c r="Z1042" s="45"/>
      <c r="AA1042" s="100"/>
      <c r="AB1042" s="100"/>
      <c r="AC1042" s="24"/>
      <c r="AD1042" s="24"/>
      <c r="AE1042" s="24"/>
      <c r="AF1042" s="24"/>
      <c r="AG1042" s="18">
        <v>24</v>
      </c>
      <c r="AH1042" s="69" t="s">
        <v>296</v>
      </c>
      <c r="AI1042" s="243" t="s">
        <v>129</v>
      </c>
      <c r="AJ1042" s="243" t="s">
        <v>419</v>
      </c>
      <c r="AK1042" s="246"/>
      <c r="AL1042" s="43" t="str">
        <f t="shared" si="277"/>
        <v>-</v>
      </c>
      <c r="AM1042" s="43">
        <f t="shared" si="265"/>
        <v>0</v>
      </c>
      <c r="AN1042" s="193">
        <f t="shared" si="265"/>
        <v>0</v>
      </c>
      <c r="AO1042" s="264" t="str">
        <f t="shared" si="266"/>
        <v>-</v>
      </c>
      <c r="AP1042" s="266"/>
      <c r="AQ1042" s="26" t="str">
        <f t="shared" si="273"/>
        <v>SUTTON MILL CREEKCoho</v>
      </c>
      <c r="AR1042" s="26">
        <f t="shared" si="267"/>
        <v>0</v>
      </c>
      <c r="AS1042" s="33">
        <f t="shared" si="268"/>
        <v>0</v>
      </c>
      <c r="AX1042" s="47" t="str">
        <f t="shared" si="269"/>
        <v>SUTTON MILL CREEKCoho</v>
      </c>
      <c r="AY1042" s="49">
        <f t="shared" si="270"/>
        <v>0</v>
      </c>
      <c r="AZ1042" s="49">
        <f t="shared" si="271"/>
        <v>0</v>
      </c>
      <c r="BA1042" s="31">
        <v>1969</v>
      </c>
      <c r="BB1042" s="188">
        <f t="shared" si="274"/>
        <v>0</v>
      </c>
      <c r="BC1042" s="188" t="str">
        <f t="shared" si="278"/>
        <v xml:space="preserve"> </v>
      </c>
      <c r="BD1042" s="188" t="str">
        <f t="shared" si="279"/>
        <v xml:space="preserve"> </v>
      </c>
      <c r="BE1042" s="188" t="str">
        <f t="shared" si="280"/>
        <v xml:space="preserve"> </v>
      </c>
      <c r="BF1042" s="50" t="str">
        <f t="shared" si="272"/>
        <v>SUTTON MILL CREEK_Coho</v>
      </c>
      <c r="BG1042" s="50" t="str">
        <f>IFERROR(VLOOKUP(BF1042,'[1]WCVI Esc'!$C$5:$W$534,18,FALSE),"-")</f>
        <v>-</v>
      </c>
      <c r="BH1042" s="50" t="str">
        <f t="shared" si="275"/>
        <v>-</v>
      </c>
      <c r="BI1042" s="50" t="str">
        <f>IFERROR(VLOOKUP(BF1042,'[1]WCVI Esc'!$C$5:$W$534,19,FALSE),"-")</f>
        <v>-</v>
      </c>
      <c r="BJ1042" s="50" t="str">
        <f t="shared" si="276"/>
        <v>-</v>
      </c>
    </row>
    <row r="1043" spans="1:67" hidden="1" x14ac:dyDescent="0.2">
      <c r="A1043" s="28">
        <v>4</v>
      </c>
      <c r="B1043" s="28">
        <v>3</v>
      </c>
      <c r="C1043" s="11">
        <v>24</v>
      </c>
      <c r="D1043" s="13" t="s">
        <v>296</v>
      </c>
      <c r="E1043" s="10" t="s">
        <v>129</v>
      </c>
      <c r="F1043" s="10" t="s">
        <v>208</v>
      </c>
      <c r="G1043" s="10"/>
      <c r="H1043" s="152"/>
      <c r="I1043" s="155"/>
      <c r="J1043" s="106"/>
      <c r="K1043" s="94"/>
      <c r="L1043" s="180"/>
      <c r="M1043" s="173"/>
      <c r="N1043" s="106"/>
      <c r="O1043" s="106"/>
      <c r="P1043" s="63"/>
      <c r="Q1043" s="162"/>
      <c r="R1043" s="298"/>
      <c r="S1043" s="62"/>
      <c r="T1043" s="63"/>
      <c r="U1043" s="62"/>
      <c r="V1043" s="177"/>
      <c r="W1043" s="171"/>
      <c r="X1043" s="62"/>
      <c r="Y1043" s="45"/>
      <c r="Z1043" s="45"/>
      <c r="AA1043" s="100"/>
      <c r="AB1043" s="100"/>
      <c r="AC1043" s="24"/>
      <c r="AD1043" s="24"/>
      <c r="AE1043" s="24"/>
      <c r="AF1043" s="24"/>
      <c r="AG1043" s="18">
        <v>24</v>
      </c>
      <c r="AH1043" s="69" t="s">
        <v>296</v>
      </c>
      <c r="AI1043" s="243" t="s">
        <v>129</v>
      </c>
      <c r="AJ1043" s="243" t="s">
        <v>419</v>
      </c>
      <c r="AK1043" s="246"/>
      <c r="AL1043" s="43" t="str">
        <f t="shared" si="277"/>
        <v>-</v>
      </c>
      <c r="AM1043" s="43">
        <f t="shared" si="265"/>
        <v>0</v>
      </c>
      <c r="AN1043" s="193">
        <f t="shared" si="265"/>
        <v>0</v>
      </c>
      <c r="AO1043" s="264" t="str">
        <f t="shared" si="266"/>
        <v>-</v>
      </c>
      <c r="AP1043" s="266"/>
      <c r="AQ1043" s="26" t="str">
        <f t="shared" si="273"/>
        <v>SUTTON MILL CREEKPink</v>
      </c>
      <c r="AR1043" s="26">
        <f t="shared" si="267"/>
        <v>0</v>
      </c>
      <c r="AS1043" s="33">
        <f t="shared" si="268"/>
        <v>0</v>
      </c>
      <c r="AX1043" s="47" t="str">
        <f t="shared" si="269"/>
        <v>SUTTON MILL CREEKPink</v>
      </c>
      <c r="AY1043" s="49">
        <f t="shared" si="270"/>
        <v>0</v>
      </c>
      <c r="AZ1043" s="49">
        <f t="shared" si="271"/>
        <v>0</v>
      </c>
      <c r="BA1043" s="31">
        <v>0</v>
      </c>
      <c r="BB1043" s="188">
        <f t="shared" si="274"/>
        <v>0</v>
      </c>
      <c r="BC1043" s="188" t="str">
        <f t="shared" si="278"/>
        <v xml:space="preserve"> </v>
      </c>
      <c r="BD1043" s="188" t="str">
        <f t="shared" si="279"/>
        <v xml:space="preserve"> </v>
      </c>
      <c r="BE1043" s="188" t="str">
        <f t="shared" si="280"/>
        <v xml:space="preserve"> </v>
      </c>
      <c r="BF1043" s="50" t="str">
        <f t="shared" si="272"/>
        <v>SUTTON MILL CREEK_Pink</v>
      </c>
      <c r="BG1043" s="50" t="str">
        <f>IFERROR(VLOOKUP(BF1043,'[1]WCVI Esc'!$C$5:$W$534,18,FALSE),"-")</f>
        <v>-</v>
      </c>
      <c r="BH1043" s="50" t="str">
        <f t="shared" si="275"/>
        <v>-</v>
      </c>
      <c r="BI1043" s="50" t="str">
        <f>IFERROR(VLOOKUP(BF1043,'[1]WCVI Esc'!$C$5:$W$534,19,FALSE),"-")</f>
        <v>-</v>
      </c>
      <c r="BJ1043" s="50" t="str">
        <f t="shared" si="276"/>
        <v>-</v>
      </c>
    </row>
    <row r="1044" spans="1:67" hidden="1" x14ac:dyDescent="0.2">
      <c r="A1044" s="28">
        <v>4</v>
      </c>
      <c r="B1044" s="28">
        <v>4</v>
      </c>
      <c r="C1044" s="11">
        <v>24</v>
      </c>
      <c r="D1044" s="13" t="s">
        <v>296</v>
      </c>
      <c r="E1044" s="10" t="s">
        <v>129</v>
      </c>
      <c r="F1044" s="10" t="s">
        <v>209</v>
      </c>
      <c r="G1044" s="10"/>
      <c r="H1044" s="152"/>
      <c r="I1044" s="155"/>
      <c r="J1044" s="106"/>
      <c r="K1044" s="94"/>
      <c r="L1044" s="180"/>
      <c r="M1044" s="173"/>
      <c r="N1044" s="106"/>
      <c r="O1044" s="106"/>
      <c r="P1044" s="63"/>
      <c r="Q1044" s="162"/>
      <c r="R1044" s="299"/>
      <c r="S1044" s="62"/>
      <c r="T1044" s="63"/>
      <c r="U1044" s="62"/>
      <c r="V1044" s="177"/>
      <c r="W1044" s="171"/>
      <c r="X1044" s="62"/>
      <c r="Y1044" s="45"/>
      <c r="Z1044" s="45"/>
      <c r="AA1044" s="100">
        <f>Y1044/AP1044</f>
        <v>0</v>
      </c>
      <c r="AB1044" s="100">
        <f>AS1044/AP1044</f>
        <v>0</v>
      </c>
      <c r="AC1044" s="24"/>
      <c r="AD1044" s="24"/>
      <c r="AE1044" s="24"/>
      <c r="AF1044" s="24"/>
      <c r="AG1044" s="18">
        <v>24</v>
      </c>
      <c r="AH1044" s="69" t="s">
        <v>296</v>
      </c>
      <c r="AI1044" s="243" t="s">
        <v>129</v>
      </c>
      <c r="AJ1044" s="243" t="s">
        <v>419</v>
      </c>
      <c r="AK1044" s="246"/>
      <c r="AL1044" s="43" t="str">
        <f t="shared" si="277"/>
        <v>-</v>
      </c>
      <c r="AM1044" s="43">
        <f t="shared" si="265"/>
        <v>0</v>
      </c>
      <c r="AN1044" s="193">
        <f t="shared" si="265"/>
        <v>0</v>
      </c>
      <c r="AO1044" s="264">
        <f t="shared" si="266"/>
        <v>30</v>
      </c>
      <c r="AP1044" s="265">
        <f>BJ1044</f>
        <v>50</v>
      </c>
      <c r="AQ1044" s="26" t="str">
        <f t="shared" si="273"/>
        <v>SUTTON MILL CREEKChum</v>
      </c>
      <c r="AR1044" s="26">
        <f t="shared" si="267"/>
        <v>0</v>
      </c>
      <c r="AS1044" s="33">
        <f t="shared" si="268"/>
        <v>0</v>
      </c>
      <c r="AX1044" s="47" t="str">
        <f t="shared" si="269"/>
        <v>SUTTON MILL CREEKChum</v>
      </c>
      <c r="AY1044" s="49">
        <f t="shared" si="270"/>
        <v>0</v>
      </c>
      <c r="AZ1044" s="49">
        <f t="shared" si="271"/>
        <v>0</v>
      </c>
      <c r="BA1044" s="31">
        <v>2016</v>
      </c>
      <c r="BB1044" s="188">
        <f t="shared" si="274"/>
        <v>0</v>
      </c>
      <c r="BC1044" s="188" t="str">
        <f t="shared" si="278"/>
        <v xml:space="preserve"> </v>
      </c>
      <c r="BD1044" s="188" t="str">
        <f t="shared" si="279"/>
        <v xml:space="preserve"> </v>
      </c>
      <c r="BE1044" s="188" t="str">
        <f t="shared" si="280"/>
        <v xml:space="preserve"> </v>
      </c>
      <c r="BF1044" s="50" t="str">
        <f t="shared" si="272"/>
        <v>SUTTON MILL CREEK_Chum</v>
      </c>
      <c r="BG1044" s="50">
        <f>IFERROR(VLOOKUP(BF1044,'[1]WCVI Esc'!$C$5:$W$534,18,FALSE),"-")</f>
        <v>27.333333333333332</v>
      </c>
      <c r="BH1044" s="50">
        <f t="shared" si="275"/>
        <v>30</v>
      </c>
      <c r="BI1044" s="50">
        <f>IFERROR(VLOOKUP(BF1044,'[1]WCVI Esc'!$C$5:$W$534,19,FALSE),"-")</f>
        <v>50.625</v>
      </c>
      <c r="BJ1044" s="50">
        <f t="shared" si="276"/>
        <v>50</v>
      </c>
    </row>
    <row r="1045" spans="1:67" hidden="1" x14ac:dyDescent="0.2">
      <c r="A1045" s="28">
        <v>4</v>
      </c>
      <c r="B1045" s="28">
        <v>5</v>
      </c>
      <c r="C1045" s="11">
        <v>24</v>
      </c>
      <c r="D1045" s="13" t="s">
        <v>296</v>
      </c>
      <c r="E1045" s="10" t="s">
        <v>129</v>
      </c>
      <c r="F1045" s="10" t="s">
        <v>210</v>
      </c>
      <c r="G1045" s="10"/>
      <c r="H1045" s="152"/>
      <c r="I1045" s="155"/>
      <c r="J1045" s="106"/>
      <c r="K1045" s="94"/>
      <c r="L1045" s="180"/>
      <c r="M1045" s="173"/>
      <c r="N1045" s="106"/>
      <c r="O1045" s="106"/>
      <c r="P1045" s="63"/>
      <c r="Q1045" s="162"/>
      <c r="R1045" s="298"/>
      <c r="S1045" s="62"/>
      <c r="T1045" s="63"/>
      <c r="U1045" s="62"/>
      <c r="V1045" s="177"/>
      <c r="W1045" s="171"/>
      <c r="X1045" s="62"/>
      <c r="Y1045" s="45"/>
      <c r="Z1045" s="45"/>
      <c r="AA1045" s="100"/>
      <c r="AB1045" s="100"/>
      <c r="AC1045" s="24"/>
      <c r="AD1045" s="24"/>
      <c r="AE1045" s="24"/>
      <c r="AF1045" s="24"/>
      <c r="AG1045" s="18">
        <v>24</v>
      </c>
      <c r="AH1045" s="69" t="s">
        <v>296</v>
      </c>
      <c r="AI1045" s="243" t="s">
        <v>129</v>
      </c>
      <c r="AJ1045" s="243" t="s">
        <v>419</v>
      </c>
      <c r="AK1045" s="246"/>
      <c r="AL1045" s="43" t="str">
        <f t="shared" si="277"/>
        <v>-</v>
      </c>
      <c r="AM1045" s="43">
        <f t="shared" si="265"/>
        <v>0</v>
      </c>
      <c r="AN1045" s="193">
        <f t="shared" si="265"/>
        <v>0</v>
      </c>
      <c r="AO1045" s="264" t="str">
        <f t="shared" si="266"/>
        <v>-</v>
      </c>
      <c r="AP1045" s="266"/>
      <c r="AQ1045" s="26" t="str">
        <f t="shared" si="273"/>
        <v>SUTTON MILL CREEKChinook</v>
      </c>
      <c r="AR1045" s="26">
        <f t="shared" si="267"/>
        <v>0</v>
      </c>
      <c r="AS1045" s="33">
        <f t="shared" si="268"/>
        <v>0</v>
      </c>
      <c r="AX1045" s="47" t="str">
        <f t="shared" si="269"/>
        <v>SUTTON MILL CREEKChinook</v>
      </c>
      <c r="AY1045" s="49">
        <f t="shared" si="270"/>
        <v>0</v>
      </c>
      <c r="AZ1045" s="49">
        <f t="shared" si="271"/>
        <v>0</v>
      </c>
      <c r="BA1045" s="31">
        <v>0</v>
      </c>
      <c r="BB1045" s="188">
        <f t="shared" si="274"/>
        <v>0</v>
      </c>
      <c r="BC1045" s="188" t="str">
        <f t="shared" si="278"/>
        <v xml:space="preserve"> </v>
      </c>
      <c r="BD1045" s="188" t="str">
        <f t="shared" si="279"/>
        <v xml:space="preserve"> </v>
      </c>
      <c r="BE1045" s="188" t="str">
        <f t="shared" si="280"/>
        <v xml:space="preserve"> </v>
      </c>
      <c r="BF1045" s="50" t="str">
        <f t="shared" si="272"/>
        <v>SUTTON MILL CREEK_Chinook</v>
      </c>
      <c r="BG1045" s="50" t="str">
        <f>IFERROR(VLOOKUP(BF1045,'[1]WCVI Esc'!$C$5:$W$534,18,FALSE),"-")</f>
        <v>-</v>
      </c>
      <c r="BH1045" s="50" t="str">
        <f t="shared" si="275"/>
        <v>-</v>
      </c>
      <c r="BI1045" s="50" t="str">
        <f>IFERROR(VLOOKUP(BF1045,'[1]WCVI Esc'!$C$5:$W$534,19,FALSE),"-")</f>
        <v>-</v>
      </c>
      <c r="BJ1045" s="50" t="str">
        <f t="shared" si="276"/>
        <v>-</v>
      </c>
    </row>
    <row r="1046" spans="1:67" hidden="1" x14ac:dyDescent="0.2">
      <c r="A1046" s="28">
        <v>4</v>
      </c>
      <c r="B1046" s="28">
        <v>6</v>
      </c>
      <c r="C1046" s="11">
        <v>24</v>
      </c>
      <c r="D1046" s="13" t="s">
        <v>296</v>
      </c>
      <c r="E1046" s="10" t="s">
        <v>129</v>
      </c>
      <c r="F1046" s="10" t="s">
        <v>211</v>
      </c>
      <c r="G1046" s="10"/>
      <c r="H1046" s="152"/>
      <c r="I1046" s="155"/>
      <c r="J1046" s="106"/>
      <c r="K1046" s="94"/>
      <c r="L1046" s="180"/>
      <c r="M1046" s="173"/>
      <c r="N1046" s="106"/>
      <c r="O1046" s="106"/>
      <c r="P1046" s="63"/>
      <c r="Q1046" s="162"/>
      <c r="R1046" s="298"/>
      <c r="S1046" s="62"/>
      <c r="T1046" s="63"/>
      <c r="U1046" s="62"/>
      <c r="V1046" s="177"/>
      <c r="W1046" s="171"/>
      <c r="X1046" s="62"/>
      <c r="Y1046" s="45"/>
      <c r="Z1046" s="45"/>
      <c r="AA1046" s="100"/>
      <c r="AB1046" s="100"/>
      <c r="AC1046" s="24"/>
      <c r="AD1046" s="24"/>
      <c r="AE1046" s="24"/>
      <c r="AF1046" s="24"/>
      <c r="AG1046" s="18">
        <v>24</v>
      </c>
      <c r="AH1046" s="69" t="s">
        <v>296</v>
      </c>
      <c r="AI1046" s="243" t="s">
        <v>129</v>
      </c>
      <c r="AJ1046" s="243" t="s">
        <v>419</v>
      </c>
      <c r="AK1046" s="246"/>
      <c r="AL1046" s="43" t="str">
        <f t="shared" si="277"/>
        <v>-</v>
      </c>
      <c r="AM1046" s="43">
        <f t="shared" si="265"/>
        <v>0</v>
      </c>
      <c r="AN1046" s="193">
        <f t="shared" si="265"/>
        <v>0</v>
      </c>
      <c r="AO1046" s="264" t="str">
        <f t="shared" si="266"/>
        <v>-</v>
      </c>
      <c r="AP1046" s="266"/>
      <c r="AQ1046" s="26" t="str">
        <f t="shared" si="273"/>
        <v>SUTTON MILL CREEKSteelhead</v>
      </c>
      <c r="AR1046" s="26">
        <f t="shared" si="267"/>
        <v>0</v>
      </c>
      <c r="AS1046" s="33">
        <f t="shared" si="268"/>
        <v>0</v>
      </c>
      <c r="AX1046" s="47" t="str">
        <f t="shared" si="269"/>
        <v>SUTTON MILL CREEKSteelhead</v>
      </c>
      <c r="AY1046" s="49">
        <f t="shared" si="270"/>
        <v>0</v>
      </c>
      <c r="AZ1046" s="49">
        <f t="shared" si="271"/>
        <v>0</v>
      </c>
      <c r="BA1046" s="31">
        <v>0</v>
      </c>
      <c r="BB1046" s="188">
        <f t="shared" si="274"/>
        <v>0</v>
      </c>
      <c r="BC1046" s="188" t="str">
        <f t="shared" si="278"/>
        <v xml:space="preserve"> </v>
      </c>
      <c r="BD1046" s="188" t="str">
        <f t="shared" si="279"/>
        <v xml:space="preserve"> </v>
      </c>
      <c r="BE1046" s="188" t="str">
        <f t="shared" si="280"/>
        <v xml:space="preserve"> </v>
      </c>
      <c r="BF1046" s="50" t="str">
        <f t="shared" si="272"/>
        <v>SUTTON MILL CREEK_Steelhead</v>
      </c>
      <c r="BG1046" s="50" t="str">
        <f>IFERROR(VLOOKUP(BF1046,'[1]WCVI Esc'!$C$5:$W$534,18,FALSE),"-")</f>
        <v>-</v>
      </c>
      <c r="BH1046" s="50" t="str">
        <f t="shared" si="275"/>
        <v>-</v>
      </c>
      <c r="BI1046" s="50" t="str">
        <f>IFERROR(VLOOKUP(BF1046,'[1]WCVI Esc'!$C$5:$W$534,19,FALSE),"-")</f>
        <v>-</v>
      </c>
      <c r="BJ1046" s="50" t="str">
        <f t="shared" si="276"/>
        <v>-</v>
      </c>
    </row>
    <row r="1047" spans="1:67" hidden="1" x14ac:dyDescent="0.2">
      <c r="A1047" s="28">
        <v>4</v>
      </c>
      <c r="B1047" s="28">
        <v>1</v>
      </c>
      <c r="C1047" s="11">
        <v>24</v>
      </c>
      <c r="D1047" s="13" t="s">
        <v>297</v>
      </c>
      <c r="E1047" s="10" t="s">
        <v>130</v>
      </c>
      <c r="F1047" s="10" t="s">
        <v>207</v>
      </c>
      <c r="G1047" s="10"/>
      <c r="H1047" s="152"/>
      <c r="I1047" s="164"/>
      <c r="J1047" s="62"/>
      <c r="K1047" s="94"/>
      <c r="L1047" s="177"/>
      <c r="M1047" s="171"/>
      <c r="N1047" s="63"/>
      <c r="O1047" s="62"/>
      <c r="P1047" s="62"/>
      <c r="Q1047" s="64"/>
      <c r="R1047" s="164"/>
      <c r="S1047" s="94"/>
      <c r="T1047" s="62"/>
      <c r="U1047" s="62"/>
      <c r="V1047" s="177"/>
      <c r="W1047" s="171"/>
      <c r="X1047" s="62"/>
      <c r="Y1047" s="45"/>
      <c r="Z1047" s="45"/>
      <c r="AA1047" s="100">
        <f>Y1047/AP1047</f>
        <v>0</v>
      </c>
      <c r="AB1047" s="100">
        <f>AS1047/AP1047</f>
        <v>0</v>
      </c>
      <c r="AC1047" s="24"/>
      <c r="AD1047" s="24"/>
      <c r="AE1047" s="24"/>
      <c r="AF1047" s="24"/>
      <c r="AG1047" s="18">
        <v>24</v>
      </c>
      <c r="AH1047" s="69" t="s">
        <v>297</v>
      </c>
      <c r="AI1047" s="243" t="s">
        <v>130</v>
      </c>
      <c r="AJ1047" s="243" t="s">
        <v>419</v>
      </c>
      <c r="AK1047" s="246"/>
      <c r="AL1047" s="43" t="str">
        <f t="shared" si="277"/>
        <v>-</v>
      </c>
      <c r="AM1047" s="43">
        <f t="shared" si="265"/>
        <v>0</v>
      </c>
      <c r="AN1047" s="193">
        <f t="shared" si="265"/>
        <v>0</v>
      </c>
      <c r="AO1047" s="270" t="str">
        <f t="shared" si="266"/>
        <v>-</v>
      </c>
      <c r="AP1047" s="265">
        <f>BJ1047</f>
        <v>30</v>
      </c>
      <c r="AQ1047" s="26" t="str">
        <f t="shared" si="273"/>
        <v>SYDNEY RIVERSockeye</v>
      </c>
      <c r="AR1047" s="26">
        <f t="shared" si="267"/>
        <v>0</v>
      </c>
      <c r="AS1047" s="33">
        <f t="shared" si="268"/>
        <v>0</v>
      </c>
      <c r="AX1047" s="47" t="str">
        <f t="shared" si="269"/>
        <v>SYDNEY RIVERSockeye</v>
      </c>
      <c r="AY1047" s="49">
        <f t="shared" si="270"/>
        <v>0</v>
      </c>
      <c r="AZ1047" s="49">
        <f t="shared" si="271"/>
        <v>0</v>
      </c>
      <c r="BA1047" s="31">
        <v>2010</v>
      </c>
      <c r="BB1047" s="188">
        <f t="shared" si="274"/>
        <v>0</v>
      </c>
      <c r="BC1047" s="188" t="str">
        <f t="shared" si="278"/>
        <v xml:space="preserve"> </v>
      </c>
      <c r="BD1047" s="188" t="str">
        <f t="shared" si="279"/>
        <v xml:space="preserve"> </v>
      </c>
      <c r="BE1047" s="188" t="str">
        <f t="shared" si="280"/>
        <v xml:space="preserve"> </v>
      </c>
      <c r="BF1047" s="50" t="str">
        <f t="shared" si="272"/>
        <v>SYDNEY RIVER_Sockeye</v>
      </c>
      <c r="BG1047" s="50" t="str">
        <f>IFERROR(VLOOKUP(BF1047,'[1]WCVI Esc'!$C$5:$W$514,18,FALSE),"-")</f>
        <v>-</v>
      </c>
      <c r="BH1047" s="50" t="str">
        <f t="shared" si="275"/>
        <v>-</v>
      </c>
      <c r="BI1047" s="50">
        <f>IFERROR(VLOOKUP(BF1047,'[1]WCVI Esc'!$C$5:$W$514,19,FALSE),"-")</f>
        <v>25</v>
      </c>
      <c r="BJ1047" s="50">
        <f t="shared" si="276"/>
        <v>30</v>
      </c>
    </row>
    <row r="1048" spans="1:67" hidden="1" x14ac:dyDescent="0.2">
      <c r="A1048" s="28">
        <v>4</v>
      </c>
      <c r="B1048" s="28">
        <v>2</v>
      </c>
      <c r="C1048" s="11">
        <v>24</v>
      </c>
      <c r="D1048" s="13" t="s">
        <v>297</v>
      </c>
      <c r="E1048" s="10" t="s">
        <v>130</v>
      </c>
      <c r="F1048" s="10" t="s">
        <v>219</v>
      </c>
      <c r="G1048" s="10"/>
      <c r="H1048" s="152"/>
      <c r="I1048" s="164"/>
      <c r="J1048" s="62"/>
      <c r="K1048" s="94"/>
      <c r="L1048" s="177"/>
      <c r="M1048" s="171"/>
      <c r="N1048" s="63"/>
      <c r="O1048" s="62"/>
      <c r="P1048" s="62"/>
      <c r="Q1048" s="64"/>
      <c r="R1048" s="164"/>
      <c r="S1048" s="94"/>
      <c r="T1048" s="62"/>
      <c r="U1048" s="62"/>
      <c r="V1048" s="177"/>
      <c r="W1048" s="171"/>
      <c r="X1048" s="62"/>
      <c r="Y1048" s="45"/>
      <c r="Z1048" s="45"/>
      <c r="AA1048" s="100">
        <f>Y1048/AP1048</f>
        <v>0</v>
      </c>
      <c r="AB1048" s="100">
        <f>AS1048/AP1048</f>
        <v>0</v>
      </c>
      <c r="AC1048" s="24"/>
      <c r="AD1048" s="24"/>
      <c r="AE1048" s="24"/>
      <c r="AF1048" s="24"/>
      <c r="AG1048" s="18">
        <v>24</v>
      </c>
      <c r="AH1048" s="69" t="s">
        <v>297</v>
      </c>
      <c r="AI1048" s="243" t="s">
        <v>130</v>
      </c>
      <c r="AJ1048" s="243" t="s">
        <v>419</v>
      </c>
      <c r="AK1048" s="246"/>
      <c r="AL1048" s="43" t="str">
        <f t="shared" si="277"/>
        <v>-</v>
      </c>
      <c r="AM1048" s="43">
        <f t="shared" si="265"/>
        <v>0</v>
      </c>
      <c r="AN1048" s="193">
        <f t="shared" si="265"/>
        <v>0</v>
      </c>
      <c r="AO1048" s="270" t="str">
        <f t="shared" si="266"/>
        <v>-</v>
      </c>
      <c r="AP1048" s="265">
        <f>BJ1048</f>
        <v>400</v>
      </c>
      <c r="AQ1048" s="26" t="str">
        <f t="shared" si="273"/>
        <v>SYDNEY RIVERCoho</v>
      </c>
      <c r="AR1048" s="26">
        <f t="shared" si="267"/>
        <v>0</v>
      </c>
      <c r="AS1048" s="33">
        <f t="shared" si="268"/>
        <v>0</v>
      </c>
      <c r="AX1048" s="47" t="str">
        <f t="shared" si="269"/>
        <v>SYDNEY RIVERCoho</v>
      </c>
      <c r="AY1048" s="49">
        <f t="shared" si="270"/>
        <v>0</v>
      </c>
      <c r="AZ1048" s="49">
        <f t="shared" si="271"/>
        <v>0</v>
      </c>
      <c r="BA1048" s="31">
        <v>2013</v>
      </c>
      <c r="BB1048" s="188">
        <f t="shared" si="274"/>
        <v>0</v>
      </c>
      <c r="BC1048" s="188" t="str">
        <f t="shared" si="278"/>
        <v xml:space="preserve"> </v>
      </c>
      <c r="BD1048" s="188" t="str">
        <f t="shared" si="279"/>
        <v xml:space="preserve"> </v>
      </c>
      <c r="BE1048" s="188" t="str">
        <f t="shared" si="280"/>
        <v xml:space="preserve"> </v>
      </c>
      <c r="BF1048" s="50" t="str">
        <f t="shared" si="272"/>
        <v>SYDNEY RIVER_Coho</v>
      </c>
      <c r="BG1048" s="50" t="str">
        <f>IFERROR(VLOOKUP(BF1048,'[1]WCVI Esc'!$C$5:$W$514,18,FALSE),"-")</f>
        <v>-</v>
      </c>
      <c r="BH1048" s="50" t="str">
        <f t="shared" si="275"/>
        <v>-</v>
      </c>
      <c r="BI1048" s="50">
        <f>IFERROR(VLOOKUP(BF1048,'[1]WCVI Esc'!$C$5:$W$514,19,FALSE),"-")</f>
        <v>401</v>
      </c>
      <c r="BJ1048" s="50">
        <f t="shared" si="276"/>
        <v>400</v>
      </c>
    </row>
    <row r="1049" spans="1:67" hidden="1" x14ac:dyDescent="0.2">
      <c r="A1049" s="28">
        <v>4</v>
      </c>
      <c r="B1049" s="28">
        <v>3</v>
      </c>
      <c r="C1049" s="11">
        <v>24</v>
      </c>
      <c r="D1049" s="13" t="s">
        <v>297</v>
      </c>
      <c r="E1049" s="10" t="s">
        <v>130</v>
      </c>
      <c r="F1049" s="10" t="s">
        <v>208</v>
      </c>
      <c r="G1049" s="10"/>
      <c r="H1049" s="152"/>
      <c r="I1049" s="164"/>
      <c r="J1049" s="62"/>
      <c r="K1049" s="94"/>
      <c r="L1049" s="177"/>
      <c r="M1049" s="171"/>
      <c r="N1049" s="63"/>
      <c r="O1049" s="62"/>
      <c r="P1049" s="62"/>
      <c r="Q1049" s="64"/>
      <c r="R1049" s="164"/>
      <c r="S1049" s="94"/>
      <c r="T1049" s="62"/>
      <c r="U1049" s="62"/>
      <c r="V1049" s="177"/>
      <c r="W1049" s="171"/>
      <c r="X1049" s="62"/>
      <c r="Y1049" s="45"/>
      <c r="Z1049" s="45"/>
      <c r="AA1049" s="100"/>
      <c r="AB1049" s="100"/>
      <c r="AC1049" s="24"/>
      <c r="AD1049" s="24"/>
      <c r="AE1049" s="24"/>
      <c r="AF1049" s="24"/>
      <c r="AG1049" s="18">
        <v>24</v>
      </c>
      <c r="AH1049" s="69" t="s">
        <v>297</v>
      </c>
      <c r="AI1049" s="243" t="s">
        <v>130</v>
      </c>
      <c r="AJ1049" s="243" t="s">
        <v>419</v>
      </c>
      <c r="AK1049" s="246"/>
      <c r="AL1049" s="43" t="str">
        <f t="shared" si="277"/>
        <v>-</v>
      </c>
      <c r="AM1049" s="43">
        <f t="shared" si="265"/>
        <v>0</v>
      </c>
      <c r="AN1049" s="193">
        <f t="shared" si="265"/>
        <v>0</v>
      </c>
      <c r="AO1049" s="270" t="str">
        <f t="shared" si="266"/>
        <v>-</v>
      </c>
      <c r="AP1049" s="266"/>
      <c r="AQ1049" s="26" t="str">
        <f t="shared" si="273"/>
        <v>SYDNEY RIVERPink</v>
      </c>
      <c r="AR1049" s="26">
        <f t="shared" si="267"/>
        <v>0</v>
      </c>
      <c r="AS1049" s="33">
        <f t="shared" si="268"/>
        <v>0</v>
      </c>
      <c r="AX1049" s="47" t="str">
        <f t="shared" si="269"/>
        <v>SYDNEY RIVERPink</v>
      </c>
      <c r="AY1049" s="49">
        <f t="shared" si="270"/>
        <v>0</v>
      </c>
      <c r="AZ1049" s="49">
        <f t="shared" si="271"/>
        <v>0</v>
      </c>
      <c r="BA1049" s="31">
        <v>0</v>
      </c>
      <c r="BB1049" s="188">
        <f t="shared" si="274"/>
        <v>0</v>
      </c>
      <c r="BC1049" s="188" t="str">
        <f t="shared" si="278"/>
        <v xml:space="preserve"> </v>
      </c>
      <c r="BD1049" s="188" t="str">
        <f t="shared" si="279"/>
        <v xml:space="preserve"> </v>
      </c>
      <c r="BE1049" s="188" t="str">
        <f t="shared" si="280"/>
        <v xml:space="preserve"> </v>
      </c>
      <c r="BF1049" s="50" t="str">
        <f t="shared" si="272"/>
        <v>SYDNEY RIVER_Pink</v>
      </c>
      <c r="BG1049" s="50" t="str">
        <f>IFERROR(VLOOKUP(BF1049,'[1]WCVI Esc'!$C$5:$W$514,18,FALSE),"-")</f>
        <v>-</v>
      </c>
      <c r="BH1049" s="50" t="str">
        <f t="shared" si="275"/>
        <v>-</v>
      </c>
      <c r="BI1049" s="50" t="str">
        <f>IFERROR(VLOOKUP(BF1049,'[1]WCVI Esc'!$C$5:$W$514,19,FALSE),"-")</f>
        <v>-</v>
      </c>
      <c r="BJ1049" s="50" t="str">
        <f t="shared" si="276"/>
        <v>-</v>
      </c>
    </row>
    <row r="1050" spans="1:67" hidden="1" x14ac:dyDescent="0.2">
      <c r="A1050" s="28">
        <v>4</v>
      </c>
      <c r="B1050" s="28">
        <v>4</v>
      </c>
      <c r="C1050" s="11">
        <v>24</v>
      </c>
      <c r="D1050" s="13" t="s">
        <v>297</v>
      </c>
      <c r="E1050" s="10" t="s">
        <v>130</v>
      </c>
      <c r="F1050" s="10" t="s">
        <v>209</v>
      </c>
      <c r="G1050" s="10"/>
      <c r="H1050" s="152"/>
      <c r="I1050" s="164"/>
      <c r="J1050" s="62"/>
      <c r="K1050" s="94"/>
      <c r="L1050" s="177"/>
      <c r="M1050" s="171"/>
      <c r="N1050" s="63"/>
      <c r="O1050" s="62"/>
      <c r="P1050" s="62"/>
      <c r="Q1050" s="64"/>
      <c r="R1050" s="164"/>
      <c r="S1050" s="94"/>
      <c r="T1050" s="62"/>
      <c r="U1050" s="62"/>
      <c r="V1050" s="177"/>
      <c r="W1050" s="171"/>
      <c r="X1050" s="62"/>
      <c r="Y1050" s="45"/>
      <c r="Z1050" s="45"/>
      <c r="AA1050" s="100">
        <f>Y1050/AP1050</f>
        <v>0</v>
      </c>
      <c r="AB1050" s="100">
        <f>AS1050/AP1050</f>
        <v>0</v>
      </c>
      <c r="AC1050" s="24"/>
      <c r="AD1050" s="24"/>
      <c r="AE1050" s="24"/>
      <c r="AF1050" s="24"/>
      <c r="AG1050" s="18">
        <v>24</v>
      </c>
      <c r="AH1050" s="69" t="s">
        <v>297</v>
      </c>
      <c r="AI1050" s="243" t="s">
        <v>130</v>
      </c>
      <c r="AJ1050" s="243" t="s">
        <v>419</v>
      </c>
      <c r="AK1050" s="246"/>
      <c r="AL1050" s="43" t="str">
        <f t="shared" si="277"/>
        <v>-</v>
      </c>
      <c r="AM1050" s="43">
        <f t="shared" si="265"/>
        <v>0</v>
      </c>
      <c r="AN1050" s="193">
        <f t="shared" si="265"/>
        <v>0</v>
      </c>
      <c r="AO1050" s="270" t="str">
        <f t="shared" si="266"/>
        <v>-</v>
      </c>
      <c r="AP1050" s="265">
        <f>BJ1050</f>
        <v>60</v>
      </c>
      <c r="AQ1050" s="26" t="str">
        <f t="shared" si="273"/>
        <v>SYDNEY RIVERChum</v>
      </c>
      <c r="AR1050" s="26">
        <f t="shared" si="267"/>
        <v>0</v>
      </c>
      <c r="AS1050" s="33">
        <f t="shared" si="268"/>
        <v>0</v>
      </c>
      <c r="AX1050" s="47" t="str">
        <f t="shared" si="269"/>
        <v>SYDNEY RIVERChum</v>
      </c>
      <c r="AY1050" s="49">
        <f t="shared" si="270"/>
        <v>0</v>
      </c>
      <c r="AZ1050" s="49">
        <f t="shared" si="271"/>
        <v>0</v>
      </c>
      <c r="BA1050" s="31">
        <v>2013</v>
      </c>
      <c r="BB1050" s="188">
        <f t="shared" si="274"/>
        <v>0</v>
      </c>
      <c r="BC1050" s="188" t="str">
        <f t="shared" si="278"/>
        <v xml:space="preserve"> </v>
      </c>
      <c r="BD1050" s="188" t="str">
        <f t="shared" si="279"/>
        <v xml:space="preserve"> </v>
      </c>
      <c r="BE1050" s="188" t="str">
        <f t="shared" si="280"/>
        <v xml:space="preserve"> </v>
      </c>
      <c r="BF1050" s="50" t="str">
        <f t="shared" si="272"/>
        <v>SYDNEY RIVER_Chum</v>
      </c>
      <c r="BG1050" s="50" t="str">
        <f>IFERROR(VLOOKUP(BF1050,'[1]WCVI Esc'!$C$5:$W$514,18,FALSE),"-")</f>
        <v>-</v>
      </c>
      <c r="BH1050" s="50" t="str">
        <f t="shared" si="275"/>
        <v>-</v>
      </c>
      <c r="BI1050" s="50">
        <f>IFERROR(VLOOKUP(BF1050,'[1]WCVI Esc'!$C$5:$W$514,19,FALSE),"-")</f>
        <v>57</v>
      </c>
      <c r="BJ1050" s="50">
        <f t="shared" si="276"/>
        <v>60</v>
      </c>
    </row>
    <row r="1051" spans="1:67" hidden="1" x14ac:dyDescent="0.2">
      <c r="A1051" s="28">
        <v>4</v>
      </c>
      <c r="B1051" s="28">
        <v>5</v>
      </c>
      <c r="C1051" s="11">
        <v>24</v>
      </c>
      <c r="D1051" s="13" t="s">
        <v>297</v>
      </c>
      <c r="E1051" s="10" t="s">
        <v>130</v>
      </c>
      <c r="F1051" s="10" t="s">
        <v>210</v>
      </c>
      <c r="G1051" s="10"/>
      <c r="H1051" s="152"/>
      <c r="I1051" s="164"/>
      <c r="J1051" s="62"/>
      <c r="K1051" s="94"/>
      <c r="L1051" s="177"/>
      <c r="M1051" s="171"/>
      <c r="N1051" s="63"/>
      <c r="O1051" s="62"/>
      <c r="P1051" s="62"/>
      <c r="Q1051" s="64"/>
      <c r="R1051" s="164"/>
      <c r="S1051" s="94"/>
      <c r="T1051" s="62"/>
      <c r="U1051" s="62"/>
      <c r="V1051" s="177"/>
      <c r="W1051" s="171"/>
      <c r="X1051" s="62"/>
      <c r="Y1051" s="45"/>
      <c r="Z1051" s="45"/>
      <c r="AA1051" s="100"/>
      <c r="AB1051" s="100"/>
      <c r="AC1051" s="24"/>
      <c r="AD1051" s="24"/>
      <c r="AE1051" s="24"/>
      <c r="AF1051" s="24"/>
      <c r="AG1051" s="18">
        <v>24</v>
      </c>
      <c r="AH1051" s="69" t="s">
        <v>297</v>
      </c>
      <c r="AI1051" s="243" t="s">
        <v>130</v>
      </c>
      <c r="AJ1051" s="243" t="s">
        <v>419</v>
      </c>
      <c r="AK1051" s="246"/>
      <c r="AL1051" s="43" t="str">
        <f t="shared" si="277"/>
        <v>-</v>
      </c>
      <c r="AM1051" s="43">
        <f t="shared" si="265"/>
        <v>0</v>
      </c>
      <c r="AN1051" s="193">
        <f t="shared" si="265"/>
        <v>0</v>
      </c>
      <c r="AO1051" s="270" t="str">
        <f t="shared" si="266"/>
        <v>-</v>
      </c>
      <c r="AP1051" s="265" t="str">
        <f>BJ1051</f>
        <v>-</v>
      </c>
      <c r="AQ1051" s="26" t="str">
        <f t="shared" si="273"/>
        <v>SYDNEY RIVERChinook</v>
      </c>
      <c r="AR1051" s="26">
        <f t="shared" si="267"/>
        <v>0</v>
      </c>
      <c r="AS1051" s="33">
        <f t="shared" si="268"/>
        <v>0</v>
      </c>
      <c r="AX1051" s="47" t="str">
        <f t="shared" si="269"/>
        <v>SYDNEY RIVERChinook</v>
      </c>
      <c r="AY1051" s="49">
        <f t="shared" si="270"/>
        <v>0</v>
      </c>
      <c r="AZ1051" s="49">
        <f t="shared" si="271"/>
        <v>0</v>
      </c>
      <c r="BA1051" s="31">
        <v>2010</v>
      </c>
      <c r="BB1051" s="188">
        <f t="shared" si="274"/>
        <v>0</v>
      </c>
      <c r="BC1051" s="188" t="str">
        <f t="shared" si="278"/>
        <v xml:space="preserve"> </v>
      </c>
      <c r="BD1051" s="188" t="str">
        <f t="shared" si="279"/>
        <v xml:space="preserve"> </v>
      </c>
      <c r="BE1051" s="188" t="str">
        <f t="shared" si="280"/>
        <v xml:space="preserve"> </v>
      </c>
      <c r="BF1051" s="50" t="str">
        <f t="shared" si="272"/>
        <v>SYDNEY RIVER_Chinook</v>
      </c>
      <c r="BG1051" s="50" t="str">
        <f>IFERROR(VLOOKUP(BF1051,'[1]WCVI Esc'!$C$5:$W$514,18,FALSE),"-")</f>
        <v>-</v>
      </c>
      <c r="BH1051" s="50" t="str">
        <f t="shared" si="275"/>
        <v>-</v>
      </c>
      <c r="BI1051" s="50" t="str">
        <f>IFERROR(VLOOKUP(BF1051,'[1]WCVI Esc'!$C$5:$W$514,19,FALSE),"-")</f>
        <v>-</v>
      </c>
      <c r="BJ1051" s="50" t="str">
        <f t="shared" si="276"/>
        <v>-</v>
      </c>
    </row>
    <row r="1052" spans="1:67" hidden="1" x14ac:dyDescent="0.2">
      <c r="A1052" s="28">
        <v>4</v>
      </c>
      <c r="B1052" s="28">
        <v>6</v>
      </c>
      <c r="C1052" s="11">
        <v>24</v>
      </c>
      <c r="D1052" s="13" t="s">
        <v>297</v>
      </c>
      <c r="E1052" s="10" t="s">
        <v>130</v>
      </c>
      <c r="F1052" s="10" t="s">
        <v>211</v>
      </c>
      <c r="G1052" s="10"/>
      <c r="H1052" s="152"/>
      <c r="I1052" s="164"/>
      <c r="J1052" s="62"/>
      <c r="K1052" s="94"/>
      <c r="L1052" s="177"/>
      <c r="M1052" s="171"/>
      <c r="N1052" s="63"/>
      <c r="O1052" s="62"/>
      <c r="P1052" s="62"/>
      <c r="Q1052" s="64"/>
      <c r="R1052" s="164"/>
      <c r="S1052" s="94"/>
      <c r="T1052" s="62"/>
      <c r="U1052" s="62"/>
      <c r="V1052" s="177"/>
      <c r="W1052" s="171"/>
      <c r="X1052" s="62"/>
      <c r="Y1052" s="45"/>
      <c r="Z1052" s="45"/>
      <c r="AA1052" s="100"/>
      <c r="AB1052" s="100"/>
      <c r="AC1052" s="24"/>
      <c r="AD1052" s="24"/>
      <c r="AE1052" s="24"/>
      <c r="AF1052" s="24"/>
      <c r="AG1052" s="18">
        <v>24</v>
      </c>
      <c r="AH1052" s="69" t="s">
        <v>297</v>
      </c>
      <c r="AI1052" s="243" t="s">
        <v>130</v>
      </c>
      <c r="AJ1052" s="243" t="s">
        <v>419</v>
      </c>
      <c r="AK1052" s="246"/>
      <c r="AL1052" s="43" t="str">
        <f t="shared" si="277"/>
        <v>-</v>
      </c>
      <c r="AM1052" s="43">
        <f t="shared" si="265"/>
        <v>0</v>
      </c>
      <c r="AN1052" s="193">
        <f t="shared" si="265"/>
        <v>0</v>
      </c>
      <c r="AO1052" s="270" t="str">
        <f t="shared" si="266"/>
        <v>-</v>
      </c>
      <c r="AP1052" s="266"/>
      <c r="AQ1052" s="26" t="str">
        <f t="shared" si="273"/>
        <v>SYDNEY RIVERSteelhead</v>
      </c>
      <c r="AR1052" s="26">
        <f t="shared" si="267"/>
        <v>0</v>
      </c>
      <c r="AS1052" s="33">
        <f t="shared" si="268"/>
        <v>0</v>
      </c>
      <c r="AX1052" s="47" t="str">
        <f t="shared" si="269"/>
        <v>SYDNEY RIVERSteelhead</v>
      </c>
      <c r="AY1052" s="49">
        <f t="shared" si="270"/>
        <v>0</v>
      </c>
      <c r="AZ1052" s="49">
        <f t="shared" si="271"/>
        <v>0</v>
      </c>
      <c r="BA1052" s="31">
        <v>0</v>
      </c>
      <c r="BB1052" s="188">
        <f t="shared" si="274"/>
        <v>0</v>
      </c>
      <c r="BC1052" s="188" t="str">
        <f t="shared" si="278"/>
        <v xml:space="preserve"> </v>
      </c>
      <c r="BD1052" s="188" t="str">
        <f t="shared" si="279"/>
        <v xml:space="preserve"> </v>
      </c>
      <c r="BE1052" s="188" t="str">
        <f t="shared" si="280"/>
        <v xml:space="preserve"> </v>
      </c>
      <c r="BF1052" s="50" t="str">
        <f t="shared" si="272"/>
        <v>SYDNEY RIVER_Steelhead</v>
      </c>
      <c r="BG1052" s="50" t="str">
        <f>IFERROR(VLOOKUP(BF1052,'[1]WCVI Esc'!$C$5:$W$514,18,FALSE),"-")</f>
        <v>-</v>
      </c>
      <c r="BH1052" s="50" t="str">
        <f t="shared" si="275"/>
        <v>-</v>
      </c>
      <c r="BI1052" s="50" t="str">
        <f>IFERROR(VLOOKUP(BF1052,'[1]WCVI Esc'!$C$5:$W$514,19,FALSE),"-")</f>
        <v>-</v>
      </c>
      <c r="BJ1052" s="50" t="str">
        <f t="shared" si="276"/>
        <v>-</v>
      </c>
    </row>
    <row r="1053" spans="1:67" hidden="1" x14ac:dyDescent="0.2">
      <c r="A1053" s="28">
        <v>4</v>
      </c>
      <c r="B1053" s="28">
        <v>1</v>
      </c>
      <c r="C1053" s="11">
        <v>24</v>
      </c>
      <c r="D1053" s="13" t="s">
        <v>296</v>
      </c>
      <c r="E1053" s="10" t="s">
        <v>131</v>
      </c>
      <c r="F1053" s="10" t="s">
        <v>207</v>
      </c>
      <c r="G1053" s="10"/>
      <c r="H1053" s="152"/>
      <c r="I1053" s="164"/>
      <c r="J1053" s="62"/>
      <c r="K1053" s="62"/>
      <c r="L1053" s="177"/>
      <c r="M1053" s="171"/>
      <c r="N1053" s="62"/>
      <c r="O1053" s="62"/>
      <c r="P1053" s="62"/>
      <c r="Q1053" s="162"/>
      <c r="R1053" s="164"/>
      <c r="S1053" s="62"/>
      <c r="T1053" s="62"/>
      <c r="U1053" s="62"/>
      <c r="V1053" s="177"/>
      <c r="W1053" s="171"/>
      <c r="X1053" s="62"/>
      <c r="Y1053" s="45"/>
      <c r="Z1053" s="45"/>
      <c r="AA1053" s="100"/>
      <c r="AB1053" s="100"/>
      <c r="AC1053" s="24"/>
      <c r="AD1053" s="24"/>
      <c r="AE1053" s="24"/>
      <c r="AF1053" s="24"/>
      <c r="AG1053" s="18">
        <v>24</v>
      </c>
      <c r="AH1053" s="69" t="s">
        <v>296</v>
      </c>
      <c r="AI1053" s="243" t="s">
        <v>131</v>
      </c>
      <c r="AJ1053" s="243" t="s">
        <v>419</v>
      </c>
      <c r="AK1053" s="246"/>
      <c r="AL1053" s="43" t="str">
        <f t="shared" si="277"/>
        <v>-</v>
      </c>
      <c r="AM1053" s="43">
        <f t="shared" si="265"/>
        <v>0</v>
      </c>
      <c r="AN1053" s="193">
        <f t="shared" si="265"/>
        <v>0</v>
      </c>
      <c r="AO1053" s="270" t="str">
        <f t="shared" si="266"/>
        <v>-</v>
      </c>
      <c r="AP1053" s="271"/>
      <c r="AQ1053" s="26" t="str">
        <f t="shared" si="273"/>
        <v>TOFINO CREEKSockeye</v>
      </c>
      <c r="AR1053" s="26">
        <f t="shared" si="267"/>
        <v>0</v>
      </c>
      <c r="AS1053" s="33">
        <f t="shared" si="268"/>
        <v>0</v>
      </c>
      <c r="AX1053" s="47" t="str">
        <f t="shared" si="269"/>
        <v>TOFINO CREEKSockeye</v>
      </c>
      <c r="AY1053" s="49">
        <f t="shared" si="270"/>
        <v>0</v>
      </c>
      <c r="AZ1053" s="49">
        <f t="shared" si="271"/>
        <v>0</v>
      </c>
      <c r="BA1053" s="31">
        <v>0</v>
      </c>
      <c r="BB1053" s="188">
        <f t="shared" si="274"/>
        <v>0</v>
      </c>
      <c r="BC1053" s="188" t="str">
        <f t="shared" si="278"/>
        <v xml:space="preserve"> </v>
      </c>
      <c r="BD1053" s="188" t="str">
        <f t="shared" si="279"/>
        <v xml:space="preserve"> </v>
      </c>
      <c r="BE1053" s="188" t="str">
        <f t="shared" si="280"/>
        <v xml:space="preserve"> </v>
      </c>
      <c r="BF1053" s="50" t="str">
        <f t="shared" si="272"/>
        <v>TOFINO CREEK_Sockeye</v>
      </c>
      <c r="BG1053" s="50" t="str">
        <f>IFERROR(VLOOKUP(BF1053,'[1]WCVI Esc'!$C$5:$W$514,18,FALSE),"-")</f>
        <v>-</v>
      </c>
      <c r="BH1053" s="50" t="str">
        <f t="shared" si="275"/>
        <v>-</v>
      </c>
      <c r="BI1053" s="50" t="str">
        <f>IFERROR(VLOOKUP(BF1053,'[1]WCVI Esc'!$C$5:$W$514,19,FALSE),"-")</f>
        <v>-</v>
      </c>
      <c r="BJ1053" s="50" t="str">
        <f t="shared" si="276"/>
        <v>-</v>
      </c>
    </row>
    <row r="1054" spans="1:67" hidden="1" x14ac:dyDescent="0.2">
      <c r="A1054" s="28">
        <v>4</v>
      </c>
      <c r="B1054" s="28">
        <v>2</v>
      </c>
      <c r="C1054" s="11">
        <v>24</v>
      </c>
      <c r="D1054" s="13" t="s">
        <v>296</v>
      </c>
      <c r="E1054" s="10" t="s">
        <v>131</v>
      </c>
      <c r="F1054" s="10" t="s">
        <v>219</v>
      </c>
      <c r="G1054" s="10"/>
      <c r="H1054" s="152"/>
      <c r="I1054" s="164"/>
      <c r="J1054" s="62"/>
      <c r="K1054" s="62"/>
      <c r="L1054" s="177"/>
      <c r="M1054" s="171"/>
      <c r="N1054" s="62"/>
      <c r="O1054" s="62"/>
      <c r="P1054" s="62"/>
      <c r="Q1054" s="162"/>
      <c r="R1054" s="164"/>
      <c r="S1054" s="62"/>
      <c r="T1054" s="62"/>
      <c r="U1054" s="62"/>
      <c r="V1054" s="177"/>
      <c r="W1054" s="171"/>
      <c r="X1054" s="62"/>
      <c r="Y1054" s="45"/>
      <c r="Z1054" s="45"/>
      <c r="AA1054" s="100">
        <f>Y1054/AP1054</f>
        <v>0</v>
      </c>
      <c r="AB1054" s="100">
        <f>AS1054/AP1054</f>
        <v>0</v>
      </c>
      <c r="AC1054" s="24"/>
      <c r="AD1054" s="24"/>
      <c r="AE1054" s="24"/>
      <c r="AF1054" s="24"/>
      <c r="AG1054" s="18">
        <v>24</v>
      </c>
      <c r="AH1054" s="69" t="s">
        <v>296</v>
      </c>
      <c r="AI1054" s="243" t="s">
        <v>131</v>
      </c>
      <c r="AJ1054" s="243" t="s">
        <v>419</v>
      </c>
      <c r="AK1054" s="246"/>
      <c r="AL1054" s="43" t="str">
        <f t="shared" si="277"/>
        <v>-</v>
      </c>
      <c r="AM1054" s="43">
        <f t="shared" si="265"/>
        <v>0</v>
      </c>
      <c r="AN1054" s="193">
        <f t="shared" si="265"/>
        <v>0</v>
      </c>
      <c r="AO1054" s="270">
        <f t="shared" si="266"/>
        <v>0</v>
      </c>
      <c r="AP1054" s="265">
        <f>BJ1054</f>
        <v>10</v>
      </c>
      <c r="AQ1054" s="26" t="str">
        <f t="shared" si="273"/>
        <v>TOFINO CREEKCoho</v>
      </c>
      <c r="AR1054" s="26">
        <f t="shared" si="267"/>
        <v>0</v>
      </c>
      <c r="AS1054" s="33">
        <f t="shared" si="268"/>
        <v>0</v>
      </c>
      <c r="AX1054" s="47" t="str">
        <f t="shared" si="269"/>
        <v>TOFINO CREEKCoho</v>
      </c>
      <c r="AY1054" s="49">
        <f t="shared" si="270"/>
        <v>0</v>
      </c>
      <c r="AZ1054" s="49">
        <f t="shared" si="271"/>
        <v>0</v>
      </c>
      <c r="BA1054" s="31">
        <v>2013</v>
      </c>
      <c r="BB1054" s="188">
        <f t="shared" si="274"/>
        <v>0</v>
      </c>
      <c r="BC1054" s="188" t="str">
        <f t="shared" si="278"/>
        <v xml:space="preserve"> </v>
      </c>
      <c r="BD1054" s="188" t="str">
        <f t="shared" si="279"/>
        <v xml:space="preserve"> </v>
      </c>
      <c r="BE1054" s="188" t="str">
        <f t="shared" si="280"/>
        <v xml:space="preserve"> </v>
      </c>
      <c r="BF1054" s="50" t="str">
        <f t="shared" si="272"/>
        <v>TOFINO CREEK_Coho</v>
      </c>
      <c r="BG1054" s="50">
        <f>IFERROR(VLOOKUP(BF1054,'[1]WCVI Esc'!$C$5:$W$514,18,FALSE),"-")</f>
        <v>4</v>
      </c>
      <c r="BH1054" s="50">
        <f t="shared" si="275"/>
        <v>0</v>
      </c>
      <c r="BI1054" s="50">
        <f>IFERROR(VLOOKUP(BF1054,'[1]WCVI Esc'!$C$5:$W$514,19,FALSE),"-")</f>
        <v>8.3333333333333339</v>
      </c>
      <c r="BJ1054" s="50">
        <f t="shared" si="276"/>
        <v>10</v>
      </c>
    </row>
    <row r="1055" spans="1:67" hidden="1" x14ac:dyDescent="0.2">
      <c r="A1055" s="28">
        <v>4</v>
      </c>
      <c r="B1055" s="28">
        <v>3</v>
      </c>
      <c r="C1055" s="11">
        <v>24</v>
      </c>
      <c r="D1055" s="13" t="s">
        <v>296</v>
      </c>
      <c r="E1055" s="10" t="s">
        <v>131</v>
      </c>
      <c r="F1055" s="10" t="s">
        <v>208</v>
      </c>
      <c r="G1055" s="10"/>
      <c r="H1055" s="152"/>
      <c r="I1055" s="164"/>
      <c r="J1055" s="62"/>
      <c r="K1055" s="62"/>
      <c r="L1055" s="177"/>
      <c r="M1055" s="171"/>
      <c r="N1055" s="62"/>
      <c r="O1055" s="62"/>
      <c r="P1055" s="62"/>
      <c r="Q1055" s="162"/>
      <c r="R1055" s="164"/>
      <c r="S1055" s="62"/>
      <c r="T1055" s="62"/>
      <c r="U1055" s="62"/>
      <c r="V1055" s="177"/>
      <c r="W1055" s="171"/>
      <c r="X1055" s="62"/>
      <c r="Y1055" s="45"/>
      <c r="Z1055" s="45"/>
      <c r="AA1055" s="100"/>
      <c r="AB1055" s="100"/>
      <c r="AC1055" s="24"/>
      <c r="AD1055" s="24"/>
      <c r="AE1055" s="24"/>
      <c r="AF1055" s="24"/>
      <c r="AG1055" s="18">
        <v>24</v>
      </c>
      <c r="AH1055" s="69" t="s">
        <v>296</v>
      </c>
      <c r="AI1055" s="243" t="s">
        <v>131</v>
      </c>
      <c r="AJ1055" s="243" t="s">
        <v>419</v>
      </c>
      <c r="AK1055" s="246"/>
      <c r="AL1055" s="43" t="str">
        <f t="shared" si="277"/>
        <v>-</v>
      </c>
      <c r="AM1055" s="43">
        <f t="shared" si="265"/>
        <v>0</v>
      </c>
      <c r="AN1055" s="193">
        <f t="shared" si="265"/>
        <v>0</v>
      </c>
      <c r="AO1055" s="270" t="str">
        <f t="shared" si="266"/>
        <v>-</v>
      </c>
      <c r="AP1055" s="266"/>
      <c r="AQ1055" s="26" t="str">
        <f t="shared" si="273"/>
        <v>TOFINO CREEKPink</v>
      </c>
      <c r="AR1055" s="26">
        <f t="shared" si="267"/>
        <v>0</v>
      </c>
      <c r="AS1055" s="33">
        <f t="shared" si="268"/>
        <v>0</v>
      </c>
      <c r="AX1055" s="47" t="str">
        <f t="shared" si="269"/>
        <v>TOFINO CREEKPink</v>
      </c>
      <c r="AY1055" s="49">
        <f t="shared" si="270"/>
        <v>0</v>
      </c>
      <c r="AZ1055" s="49">
        <f t="shared" si="271"/>
        <v>0</v>
      </c>
      <c r="BA1055" s="31">
        <v>0</v>
      </c>
      <c r="BB1055" s="188">
        <f t="shared" si="274"/>
        <v>0</v>
      </c>
      <c r="BC1055" s="188" t="str">
        <f t="shared" si="278"/>
        <v xml:space="preserve"> </v>
      </c>
      <c r="BD1055" s="188" t="str">
        <f t="shared" si="279"/>
        <v xml:space="preserve"> </v>
      </c>
      <c r="BE1055" s="188" t="str">
        <f t="shared" si="280"/>
        <v xml:space="preserve"> </v>
      </c>
      <c r="BF1055" s="50" t="str">
        <f t="shared" si="272"/>
        <v>TOFINO CREEK_Pink</v>
      </c>
      <c r="BG1055" s="50" t="str">
        <f>IFERROR(VLOOKUP(BF1055,'[1]WCVI Esc'!$C$5:$W$514,18,FALSE),"-")</f>
        <v>-</v>
      </c>
      <c r="BH1055" s="50" t="str">
        <f t="shared" si="275"/>
        <v>-</v>
      </c>
      <c r="BI1055" s="50" t="str">
        <f>IFERROR(VLOOKUP(BF1055,'[1]WCVI Esc'!$C$5:$W$514,19,FALSE),"-")</f>
        <v>-</v>
      </c>
      <c r="BJ1055" s="50" t="str">
        <f t="shared" si="276"/>
        <v>-</v>
      </c>
    </row>
    <row r="1056" spans="1:67" hidden="1" x14ac:dyDescent="0.2">
      <c r="A1056" s="28">
        <v>4</v>
      </c>
      <c r="B1056" s="28">
        <v>4</v>
      </c>
      <c r="C1056" s="11">
        <v>24</v>
      </c>
      <c r="D1056" s="13" t="s">
        <v>296</v>
      </c>
      <c r="E1056" s="10" t="s">
        <v>131</v>
      </c>
      <c r="F1056" s="10" t="s">
        <v>209</v>
      </c>
      <c r="G1056" s="10"/>
      <c r="H1056" s="152"/>
      <c r="I1056" s="164"/>
      <c r="J1056" s="62"/>
      <c r="K1056" s="62"/>
      <c r="L1056" s="177"/>
      <c r="M1056" s="171"/>
      <c r="N1056" s="62"/>
      <c r="O1056" s="62"/>
      <c r="P1056" s="62"/>
      <c r="Q1056" s="162"/>
      <c r="R1056" s="164"/>
      <c r="S1056" s="62"/>
      <c r="T1056" s="62"/>
      <c r="U1056" s="62"/>
      <c r="V1056" s="177"/>
      <c r="W1056" s="171"/>
      <c r="X1056" s="62"/>
      <c r="Y1056" s="45"/>
      <c r="Z1056" s="45"/>
      <c r="AA1056" s="100">
        <f>Y1056/AP1056</f>
        <v>0</v>
      </c>
      <c r="AB1056" s="100">
        <f>AS1056/AP1056</f>
        <v>0</v>
      </c>
      <c r="AC1056" s="24"/>
      <c r="AD1056" s="24"/>
      <c r="AE1056" s="24"/>
      <c r="AF1056" s="24"/>
      <c r="AG1056" s="18">
        <v>24</v>
      </c>
      <c r="AH1056" s="69" t="s">
        <v>296</v>
      </c>
      <c r="AI1056" s="243" t="s">
        <v>131</v>
      </c>
      <c r="AJ1056" s="243" t="s">
        <v>419</v>
      </c>
      <c r="AK1056" s="246"/>
      <c r="AL1056" s="43" t="str">
        <f t="shared" si="277"/>
        <v>-</v>
      </c>
      <c r="AM1056" s="43">
        <f t="shared" si="265"/>
        <v>0</v>
      </c>
      <c r="AN1056" s="193">
        <f t="shared" si="265"/>
        <v>0</v>
      </c>
      <c r="AO1056" s="270">
        <f t="shared" si="266"/>
        <v>20</v>
      </c>
      <c r="AP1056" s="265">
        <f>BJ1056</f>
        <v>330</v>
      </c>
      <c r="AQ1056" s="26" t="str">
        <f t="shared" si="273"/>
        <v>TOFINO CREEKChum</v>
      </c>
      <c r="AR1056" s="26">
        <f t="shared" si="267"/>
        <v>0</v>
      </c>
      <c r="AS1056" s="33">
        <f t="shared" si="268"/>
        <v>0</v>
      </c>
      <c r="AX1056" s="47" t="str">
        <f t="shared" si="269"/>
        <v>TOFINO CREEKChum</v>
      </c>
      <c r="AY1056" s="49">
        <f t="shared" si="270"/>
        <v>0</v>
      </c>
      <c r="AZ1056" s="49">
        <f t="shared" si="271"/>
        <v>0</v>
      </c>
      <c r="BA1056" s="31">
        <v>2013</v>
      </c>
      <c r="BB1056" s="188">
        <f t="shared" si="274"/>
        <v>0</v>
      </c>
      <c r="BC1056" s="188" t="str">
        <f t="shared" si="278"/>
        <v xml:space="preserve"> </v>
      </c>
      <c r="BD1056" s="188" t="str">
        <f t="shared" si="279"/>
        <v xml:space="preserve"> </v>
      </c>
      <c r="BE1056" s="188" t="str">
        <f t="shared" si="280"/>
        <v xml:space="preserve"> </v>
      </c>
      <c r="BF1056" s="50" t="str">
        <f t="shared" si="272"/>
        <v>TOFINO CREEK_Chum</v>
      </c>
      <c r="BG1056" s="50">
        <f>IFERROR(VLOOKUP(BF1056,'[1]WCVI Esc'!$C$5:$W$514,18,FALSE),"-")</f>
        <v>17</v>
      </c>
      <c r="BH1056" s="50">
        <f t="shared" si="275"/>
        <v>20</v>
      </c>
      <c r="BI1056" s="50">
        <f>IFERROR(VLOOKUP(BF1056,'[1]WCVI Esc'!$C$5:$W$514,19,FALSE),"-")</f>
        <v>334</v>
      </c>
      <c r="BJ1056" s="50">
        <f t="shared" si="276"/>
        <v>330</v>
      </c>
    </row>
    <row r="1057" spans="1:62" hidden="1" x14ac:dyDescent="0.2">
      <c r="A1057" s="28">
        <v>4</v>
      </c>
      <c r="B1057" s="28">
        <v>5</v>
      </c>
      <c r="C1057" s="11">
        <v>24</v>
      </c>
      <c r="D1057" s="13" t="s">
        <v>296</v>
      </c>
      <c r="E1057" s="10" t="s">
        <v>131</v>
      </c>
      <c r="F1057" s="10" t="s">
        <v>210</v>
      </c>
      <c r="G1057" s="10"/>
      <c r="H1057" s="152"/>
      <c r="I1057" s="164"/>
      <c r="J1057" s="62"/>
      <c r="K1057" s="62"/>
      <c r="L1057" s="177"/>
      <c r="M1057" s="171"/>
      <c r="N1057" s="62"/>
      <c r="O1057" s="62"/>
      <c r="P1057" s="62"/>
      <c r="Q1057" s="162"/>
      <c r="R1057" s="164"/>
      <c r="S1057" s="62"/>
      <c r="T1057" s="62"/>
      <c r="U1057" s="62"/>
      <c r="V1057" s="177"/>
      <c r="W1057" s="171"/>
      <c r="X1057" s="62"/>
      <c r="Y1057" s="45"/>
      <c r="Z1057" s="45"/>
      <c r="AA1057" s="100"/>
      <c r="AB1057" s="100"/>
      <c r="AC1057" s="24"/>
      <c r="AD1057" s="24"/>
      <c r="AE1057" s="24"/>
      <c r="AF1057" s="24"/>
      <c r="AG1057" s="18">
        <v>24</v>
      </c>
      <c r="AH1057" s="69" t="s">
        <v>296</v>
      </c>
      <c r="AI1057" s="243" t="s">
        <v>131</v>
      </c>
      <c r="AJ1057" s="243" t="s">
        <v>419</v>
      </c>
      <c r="AK1057" s="246"/>
      <c r="AL1057" s="43" t="str">
        <f t="shared" si="277"/>
        <v>-</v>
      </c>
      <c r="AM1057" s="43">
        <f t="shared" si="265"/>
        <v>0</v>
      </c>
      <c r="AN1057" s="193">
        <f t="shared" si="265"/>
        <v>0</v>
      </c>
      <c r="AO1057" s="270">
        <f t="shared" si="266"/>
        <v>0</v>
      </c>
      <c r="AP1057" s="265">
        <f>BJ1057</f>
        <v>0</v>
      </c>
      <c r="AQ1057" s="26" t="str">
        <f t="shared" si="273"/>
        <v>TOFINO CREEKChinook</v>
      </c>
      <c r="AR1057" s="26">
        <f t="shared" si="267"/>
        <v>0</v>
      </c>
      <c r="AS1057" s="33">
        <f t="shared" si="268"/>
        <v>0</v>
      </c>
      <c r="AX1057" s="47" t="str">
        <f t="shared" si="269"/>
        <v>TOFINO CREEKChinook</v>
      </c>
      <c r="AY1057" s="49">
        <f t="shared" si="270"/>
        <v>0</v>
      </c>
      <c r="AZ1057" s="49">
        <f t="shared" si="271"/>
        <v>0</v>
      </c>
      <c r="BA1057" s="31">
        <v>2013</v>
      </c>
      <c r="BB1057" s="188">
        <f t="shared" si="274"/>
        <v>0</v>
      </c>
      <c r="BC1057" s="188" t="str">
        <f t="shared" si="278"/>
        <v xml:space="preserve"> </v>
      </c>
      <c r="BD1057" s="188" t="str">
        <f t="shared" si="279"/>
        <v xml:space="preserve"> </v>
      </c>
      <c r="BE1057" s="188" t="str">
        <f t="shared" si="280"/>
        <v xml:space="preserve"> </v>
      </c>
      <c r="BF1057" s="50" t="str">
        <f t="shared" si="272"/>
        <v>TOFINO CREEK_Chinook</v>
      </c>
      <c r="BG1057" s="50">
        <f>IFERROR(VLOOKUP(BF1057,'[1]WCVI Esc'!$C$5:$W$514,18,FALSE),"-")</f>
        <v>2</v>
      </c>
      <c r="BH1057" s="50">
        <f t="shared" si="275"/>
        <v>0</v>
      </c>
      <c r="BI1057" s="50">
        <f>IFERROR(VLOOKUP(BF1057,'[1]WCVI Esc'!$C$5:$W$514,19,FALSE),"-")</f>
        <v>1.6666666666666667</v>
      </c>
      <c r="BJ1057" s="50">
        <f t="shared" si="276"/>
        <v>0</v>
      </c>
    </row>
    <row r="1058" spans="1:62" hidden="1" x14ac:dyDescent="0.2">
      <c r="A1058" s="28">
        <v>4</v>
      </c>
      <c r="B1058" s="28">
        <v>6</v>
      </c>
      <c r="C1058" s="11">
        <v>24</v>
      </c>
      <c r="D1058" s="13" t="s">
        <v>296</v>
      </c>
      <c r="E1058" s="10" t="s">
        <v>131</v>
      </c>
      <c r="F1058" s="10" t="s">
        <v>211</v>
      </c>
      <c r="G1058" s="10"/>
      <c r="H1058" s="152"/>
      <c r="I1058" s="164"/>
      <c r="J1058" s="62"/>
      <c r="K1058" s="62"/>
      <c r="L1058" s="177"/>
      <c r="M1058" s="171"/>
      <c r="N1058" s="62"/>
      <c r="O1058" s="62"/>
      <c r="P1058" s="62"/>
      <c r="Q1058" s="162"/>
      <c r="R1058" s="164"/>
      <c r="S1058" s="62"/>
      <c r="T1058" s="62"/>
      <c r="U1058" s="62"/>
      <c r="V1058" s="177"/>
      <c r="W1058" s="171"/>
      <c r="X1058" s="62"/>
      <c r="Y1058" s="45"/>
      <c r="Z1058" s="45"/>
      <c r="AA1058" s="100"/>
      <c r="AB1058" s="100"/>
      <c r="AC1058" s="24"/>
      <c r="AD1058" s="24"/>
      <c r="AE1058" s="24"/>
      <c r="AF1058" s="24"/>
      <c r="AG1058" s="18">
        <v>24</v>
      </c>
      <c r="AH1058" s="69" t="s">
        <v>296</v>
      </c>
      <c r="AI1058" s="243" t="s">
        <v>131</v>
      </c>
      <c r="AJ1058" s="243" t="s">
        <v>419</v>
      </c>
      <c r="AK1058" s="246"/>
      <c r="AL1058" s="43" t="str">
        <f t="shared" si="277"/>
        <v>-</v>
      </c>
      <c r="AM1058" s="43">
        <f t="shared" si="265"/>
        <v>0</v>
      </c>
      <c r="AN1058" s="193">
        <f t="shared" si="265"/>
        <v>0</v>
      </c>
      <c r="AO1058" s="270" t="str">
        <f t="shared" si="266"/>
        <v>-</v>
      </c>
      <c r="AP1058" s="266"/>
      <c r="AQ1058" s="26" t="str">
        <f t="shared" si="273"/>
        <v>TOFINO CREEKSteelhead</v>
      </c>
      <c r="AR1058" s="26">
        <f t="shared" si="267"/>
        <v>0</v>
      </c>
      <c r="AS1058" s="33">
        <f t="shared" si="268"/>
        <v>0</v>
      </c>
      <c r="AX1058" s="47" t="str">
        <f t="shared" si="269"/>
        <v>TOFINO CREEKSteelhead</v>
      </c>
      <c r="AY1058" s="49">
        <f t="shared" si="270"/>
        <v>0</v>
      </c>
      <c r="AZ1058" s="49">
        <f t="shared" si="271"/>
        <v>0</v>
      </c>
      <c r="BA1058" s="31">
        <v>0</v>
      </c>
      <c r="BB1058" s="188">
        <f t="shared" si="274"/>
        <v>0</v>
      </c>
      <c r="BC1058" s="188" t="str">
        <f t="shared" si="278"/>
        <v xml:space="preserve"> </v>
      </c>
      <c r="BD1058" s="188" t="str">
        <f t="shared" si="279"/>
        <v xml:space="preserve"> </v>
      </c>
      <c r="BE1058" s="188" t="str">
        <f t="shared" si="280"/>
        <v xml:space="preserve"> </v>
      </c>
      <c r="BF1058" s="50" t="str">
        <f t="shared" si="272"/>
        <v>TOFINO CREEK_Steelhead</v>
      </c>
      <c r="BG1058" s="50" t="str">
        <f>IFERROR(VLOOKUP(BF1058,'[1]WCVI Esc'!$C$5:$W$514,18,FALSE),"-")</f>
        <v>-</v>
      </c>
      <c r="BH1058" s="50" t="str">
        <f t="shared" si="275"/>
        <v>-</v>
      </c>
      <c r="BI1058" s="50" t="str">
        <f>IFERROR(VLOOKUP(BF1058,'[1]WCVI Esc'!$C$5:$W$514,19,FALSE),"-")</f>
        <v>-</v>
      </c>
      <c r="BJ1058" s="50" t="str">
        <f t="shared" si="276"/>
        <v>-</v>
      </c>
    </row>
    <row r="1059" spans="1:62" hidden="1" x14ac:dyDescent="0.2">
      <c r="A1059" s="28">
        <v>4</v>
      </c>
      <c r="B1059" s="28">
        <v>1</v>
      </c>
      <c r="C1059" s="11">
        <v>24</v>
      </c>
      <c r="D1059" s="13" t="s">
        <v>297</v>
      </c>
      <c r="E1059" s="10" t="s">
        <v>132</v>
      </c>
      <c r="F1059" s="10" t="s">
        <v>207</v>
      </c>
      <c r="G1059" s="10"/>
      <c r="H1059" s="152"/>
      <c r="I1059" s="155"/>
      <c r="J1059" s="106"/>
      <c r="K1059" s="94"/>
      <c r="L1059" s="180"/>
      <c r="M1059" s="173"/>
      <c r="N1059" s="106"/>
      <c r="O1059" s="106"/>
      <c r="P1059" s="63"/>
      <c r="Q1059" s="162"/>
      <c r="R1059" s="164"/>
      <c r="S1059" s="62"/>
      <c r="T1059" s="62"/>
      <c r="U1059" s="62"/>
      <c r="V1059" s="177"/>
      <c r="W1059" s="171"/>
      <c r="X1059" s="62"/>
      <c r="Y1059" s="45"/>
      <c r="Z1059" s="45"/>
      <c r="AA1059" s="100"/>
      <c r="AB1059" s="100"/>
      <c r="AG1059" s="18">
        <v>24</v>
      </c>
      <c r="AH1059" s="69" t="s">
        <v>297</v>
      </c>
      <c r="AI1059" s="243" t="s">
        <v>132</v>
      </c>
      <c r="AJ1059" s="243" t="s">
        <v>419</v>
      </c>
      <c r="AK1059" s="246"/>
      <c r="AL1059" s="43" t="str">
        <f t="shared" si="277"/>
        <v>-</v>
      </c>
      <c r="AM1059" s="43">
        <f t="shared" si="265"/>
        <v>0</v>
      </c>
      <c r="AN1059" s="193">
        <f t="shared" si="265"/>
        <v>0</v>
      </c>
      <c r="AO1059" s="264" t="str">
        <f t="shared" si="266"/>
        <v>-</v>
      </c>
      <c r="AP1059" s="268"/>
      <c r="AQ1059" s="26" t="str">
        <f t="shared" si="273"/>
        <v>WARN BAY CREEKSockeye</v>
      </c>
      <c r="AR1059" s="26">
        <f t="shared" si="267"/>
        <v>0</v>
      </c>
      <c r="AS1059" s="33">
        <f t="shared" si="268"/>
        <v>0</v>
      </c>
      <c r="AX1059" s="47" t="str">
        <f t="shared" si="269"/>
        <v>WARN BAY CREEKSockeye</v>
      </c>
      <c r="AY1059" s="49">
        <f t="shared" si="270"/>
        <v>0</v>
      </c>
      <c r="AZ1059" s="49">
        <f t="shared" si="271"/>
        <v>0</v>
      </c>
      <c r="BA1059" s="31">
        <v>0</v>
      </c>
      <c r="BB1059" s="188">
        <f t="shared" si="274"/>
        <v>0</v>
      </c>
      <c r="BC1059" s="188" t="str">
        <f t="shared" si="278"/>
        <v xml:space="preserve"> </v>
      </c>
      <c r="BD1059" s="188" t="str">
        <f t="shared" si="279"/>
        <v xml:space="preserve"> </v>
      </c>
      <c r="BE1059" s="188" t="str">
        <f t="shared" si="280"/>
        <v xml:space="preserve"> </v>
      </c>
      <c r="BF1059" s="50" t="str">
        <f t="shared" si="272"/>
        <v>WARN BAY CREEK_Sockeye</v>
      </c>
      <c r="BG1059" s="50" t="str">
        <f>IFERROR(VLOOKUP(BF1059,'[1]WCVI Esc'!$C$5:$W$534,18,FALSE),"-")</f>
        <v>-</v>
      </c>
      <c r="BH1059" s="50" t="str">
        <f t="shared" si="275"/>
        <v>-</v>
      </c>
      <c r="BI1059" s="50" t="str">
        <f>IFERROR(VLOOKUP(BF1059,'[1]WCVI Esc'!$C$5:$W$534,19,FALSE),"-")</f>
        <v>-</v>
      </c>
      <c r="BJ1059" s="50" t="str">
        <f t="shared" si="276"/>
        <v>-</v>
      </c>
    </row>
    <row r="1060" spans="1:62" hidden="1" x14ac:dyDescent="0.2">
      <c r="A1060" s="28">
        <v>4</v>
      </c>
      <c r="B1060" s="28">
        <v>2</v>
      </c>
      <c r="C1060" s="11">
        <v>24</v>
      </c>
      <c r="D1060" s="13" t="s">
        <v>297</v>
      </c>
      <c r="E1060" s="10" t="s">
        <v>132</v>
      </c>
      <c r="F1060" s="10" t="s">
        <v>219</v>
      </c>
      <c r="G1060" s="10"/>
      <c r="H1060" s="152"/>
      <c r="I1060" s="155"/>
      <c r="J1060" s="106"/>
      <c r="K1060" s="94"/>
      <c r="L1060" s="180"/>
      <c r="M1060" s="173"/>
      <c r="N1060" s="106"/>
      <c r="O1060" s="106"/>
      <c r="P1060" s="63"/>
      <c r="Q1060" s="162"/>
      <c r="R1060" s="164"/>
      <c r="S1060" s="62"/>
      <c r="T1060" s="63"/>
      <c r="U1060" s="62"/>
      <c r="V1060" s="177"/>
      <c r="W1060" s="171"/>
      <c r="X1060" s="62"/>
      <c r="Y1060" s="45"/>
      <c r="Z1060" s="45"/>
      <c r="AA1060" s="100">
        <f>Y1060/AP1060</f>
        <v>0</v>
      </c>
      <c r="AB1060" s="100">
        <f>AS1060/AP1060</f>
        <v>0</v>
      </c>
      <c r="AC1060" s="123"/>
      <c r="AD1060" s="123"/>
      <c r="AE1060" s="123"/>
      <c r="AF1060" s="123"/>
      <c r="AG1060" s="18">
        <v>24</v>
      </c>
      <c r="AH1060" s="69" t="s">
        <v>297</v>
      </c>
      <c r="AI1060" s="243" t="s">
        <v>132</v>
      </c>
      <c r="AJ1060" s="243" t="s">
        <v>419</v>
      </c>
      <c r="AK1060" s="246"/>
      <c r="AL1060" s="43" t="str">
        <f t="shared" si="277"/>
        <v>-</v>
      </c>
      <c r="AM1060" s="43">
        <f t="shared" si="265"/>
        <v>0</v>
      </c>
      <c r="AN1060" s="193">
        <f t="shared" si="265"/>
        <v>0</v>
      </c>
      <c r="AO1060" s="264">
        <f t="shared" si="266"/>
        <v>30</v>
      </c>
      <c r="AP1060" s="265">
        <f>BJ1060</f>
        <v>50</v>
      </c>
      <c r="AQ1060" s="26" t="str">
        <f t="shared" si="273"/>
        <v>WARN BAY CREEKCoho</v>
      </c>
      <c r="AR1060" s="26">
        <f t="shared" si="267"/>
        <v>0</v>
      </c>
      <c r="AS1060" s="33">
        <f t="shared" si="268"/>
        <v>0</v>
      </c>
      <c r="AX1060" s="47" t="str">
        <f t="shared" si="269"/>
        <v>WARN BAY CREEKCoho</v>
      </c>
      <c r="AY1060" s="49">
        <f t="shared" si="270"/>
        <v>0</v>
      </c>
      <c r="AZ1060" s="49">
        <f t="shared" si="271"/>
        <v>0</v>
      </c>
      <c r="BA1060" s="31">
        <v>2016</v>
      </c>
      <c r="BB1060" s="188">
        <f t="shared" si="274"/>
        <v>0</v>
      </c>
      <c r="BC1060" s="188" t="str">
        <f t="shared" si="278"/>
        <v xml:space="preserve"> </v>
      </c>
      <c r="BD1060" s="188" t="str">
        <f t="shared" si="279"/>
        <v xml:space="preserve"> </v>
      </c>
      <c r="BE1060" s="188" t="str">
        <f t="shared" si="280"/>
        <v xml:space="preserve"> </v>
      </c>
      <c r="BF1060" s="50" t="str">
        <f t="shared" si="272"/>
        <v>WARN BAY CREEK_Coho</v>
      </c>
      <c r="BG1060" s="50">
        <f>IFERROR(VLOOKUP(BF1060,'[1]WCVI Esc'!$C$5:$W$534,18,FALSE),"-")</f>
        <v>28.25</v>
      </c>
      <c r="BH1060" s="50">
        <f t="shared" si="275"/>
        <v>30</v>
      </c>
      <c r="BI1060" s="50">
        <f>IFERROR(VLOOKUP(BF1060,'[1]WCVI Esc'!$C$5:$W$534,19,FALSE),"-")</f>
        <v>46.81818181818182</v>
      </c>
      <c r="BJ1060" s="50">
        <f t="shared" si="276"/>
        <v>50</v>
      </c>
    </row>
    <row r="1061" spans="1:62" hidden="1" x14ac:dyDescent="0.2">
      <c r="A1061" s="28">
        <v>4</v>
      </c>
      <c r="B1061" s="28">
        <v>3</v>
      </c>
      <c r="C1061" s="11">
        <v>24</v>
      </c>
      <c r="D1061" s="13" t="s">
        <v>297</v>
      </c>
      <c r="E1061" s="10" t="s">
        <v>132</v>
      </c>
      <c r="F1061" s="10" t="s">
        <v>208</v>
      </c>
      <c r="G1061" s="10"/>
      <c r="H1061" s="152"/>
      <c r="I1061" s="155"/>
      <c r="J1061" s="106"/>
      <c r="K1061" s="94"/>
      <c r="L1061" s="180"/>
      <c r="M1061" s="173"/>
      <c r="N1061" s="106"/>
      <c r="O1061" s="106"/>
      <c r="P1061" s="63"/>
      <c r="Q1061" s="162"/>
      <c r="R1061" s="164"/>
      <c r="S1061" s="62"/>
      <c r="T1061" s="62"/>
      <c r="U1061" s="62"/>
      <c r="V1061" s="177"/>
      <c r="W1061" s="171"/>
      <c r="X1061" s="62"/>
      <c r="Y1061" s="45"/>
      <c r="Z1061" s="45"/>
      <c r="AA1061" s="100"/>
      <c r="AB1061" s="100"/>
      <c r="AC1061" s="125"/>
      <c r="AD1061" s="125"/>
      <c r="AE1061" s="125"/>
      <c r="AF1061" s="125"/>
      <c r="AG1061" s="18">
        <v>24</v>
      </c>
      <c r="AH1061" s="69" t="s">
        <v>297</v>
      </c>
      <c r="AI1061" s="243" t="s">
        <v>132</v>
      </c>
      <c r="AJ1061" s="243" t="s">
        <v>419</v>
      </c>
      <c r="AK1061" s="246"/>
      <c r="AL1061" s="43" t="str">
        <f t="shared" si="277"/>
        <v>-</v>
      </c>
      <c r="AM1061" s="43">
        <f t="shared" si="265"/>
        <v>0</v>
      </c>
      <c r="AN1061" s="193">
        <f t="shared" si="265"/>
        <v>0</v>
      </c>
      <c r="AO1061" s="264" t="str">
        <f t="shared" si="266"/>
        <v>-</v>
      </c>
      <c r="AP1061" s="268"/>
      <c r="AQ1061" s="26" t="str">
        <f t="shared" si="273"/>
        <v>WARN BAY CREEKPink</v>
      </c>
      <c r="AR1061" s="26">
        <f t="shared" si="267"/>
        <v>0</v>
      </c>
      <c r="AS1061" s="33">
        <f t="shared" si="268"/>
        <v>0</v>
      </c>
      <c r="AX1061" s="47" t="str">
        <f t="shared" si="269"/>
        <v>WARN BAY CREEKPink</v>
      </c>
      <c r="AY1061" s="49">
        <f t="shared" si="270"/>
        <v>0</v>
      </c>
      <c r="AZ1061" s="49">
        <f t="shared" si="271"/>
        <v>0</v>
      </c>
      <c r="BA1061" s="31">
        <v>0</v>
      </c>
      <c r="BB1061" s="188">
        <f t="shared" si="274"/>
        <v>0</v>
      </c>
      <c r="BC1061" s="188" t="str">
        <f t="shared" si="278"/>
        <v xml:space="preserve"> </v>
      </c>
      <c r="BD1061" s="188" t="str">
        <f t="shared" si="279"/>
        <v xml:space="preserve"> </v>
      </c>
      <c r="BE1061" s="188" t="str">
        <f t="shared" si="280"/>
        <v xml:space="preserve"> </v>
      </c>
      <c r="BF1061" s="50" t="str">
        <f t="shared" si="272"/>
        <v>WARN BAY CREEK_Pink</v>
      </c>
      <c r="BG1061" s="50" t="str">
        <f>IFERROR(VLOOKUP(BF1061,'[1]WCVI Esc'!$C$5:$W$534,18,FALSE),"-")</f>
        <v>-</v>
      </c>
      <c r="BH1061" s="50" t="str">
        <f t="shared" si="275"/>
        <v>-</v>
      </c>
      <c r="BI1061" s="50" t="str">
        <f>IFERROR(VLOOKUP(BF1061,'[1]WCVI Esc'!$C$5:$W$534,19,FALSE),"-")</f>
        <v>-</v>
      </c>
      <c r="BJ1061" s="50" t="str">
        <f t="shared" si="276"/>
        <v>-</v>
      </c>
    </row>
    <row r="1062" spans="1:62" hidden="1" x14ac:dyDescent="0.2">
      <c r="A1062" s="28">
        <v>4</v>
      </c>
      <c r="B1062" s="28">
        <v>4</v>
      </c>
      <c r="C1062" s="11">
        <v>24</v>
      </c>
      <c r="D1062" s="13" t="s">
        <v>297</v>
      </c>
      <c r="E1062" s="10" t="s">
        <v>132</v>
      </c>
      <c r="F1062" s="10" t="s">
        <v>209</v>
      </c>
      <c r="G1062" s="10"/>
      <c r="H1062" s="152"/>
      <c r="I1062" s="155"/>
      <c r="J1062" s="106"/>
      <c r="K1062" s="94"/>
      <c r="L1062" s="180"/>
      <c r="M1062" s="173"/>
      <c r="N1062" s="106"/>
      <c r="O1062" s="106"/>
      <c r="P1062" s="63"/>
      <c r="Q1062" s="162"/>
      <c r="R1062" s="164"/>
      <c r="S1062" s="62"/>
      <c r="T1062" s="63"/>
      <c r="U1062" s="62"/>
      <c r="V1062" s="177"/>
      <c r="W1062" s="171"/>
      <c r="X1062" s="62"/>
      <c r="Y1062" s="45"/>
      <c r="Z1062" s="45"/>
      <c r="AA1062" s="100">
        <f>Y1062/AP1062</f>
        <v>0</v>
      </c>
      <c r="AB1062" s="100">
        <f>AS1062/AP1062</f>
        <v>0</v>
      </c>
      <c r="AC1062" s="123"/>
      <c r="AD1062" s="123"/>
      <c r="AE1062" s="123"/>
      <c r="AF1062" s="123"/>
      <c r="AG1062" s="18">
        <v>24</v>
      </c>
      <c r="AH1062" s="69" t="s">
        <v>297</v>
      </c>
      <c r="AI1062" s="243" t="s">
        <v>132</v>
      </c>
      <c r="AJ1062" s="243" t="s">
        <v>419</v>
      </c>
      <c r="AK1062" s="246"/>
      <c r="AL1062" s="43" t="str">
        <f t="shared" si="277"/>
        <v>-</v>
      </c>
      <c r="AM1062" s="43">
        <f t="shared" si="265"/>
        <v>0</v>
      </c>
      <c r="AN1062" s="193">
        <f t="shared" si="265"/>
        <v>0</v>
      </c>
      <c r="AO1062" s="264">
        <f t="shared" si="266"/>
        <v>290</v>
      </c>
      <c r="AP1062" s="265">
        <f>BJ1062</f>
        <v>1280</v>
      </c>
      <c r="AQ1062" s="26" t="str">
        <f t="shared" si="273"/>
        <v>WARN BAY CREEKChum</v>
      </c>
      <c r="AR1062" s="26">
        <f t="shared" si="267"/>
        <v>0</v>
      </c>
      <c r="AS1062" s="33">
        <f t="shared" si="268"/>
        <v>0</v>
      </c>
      <c r="AX1062" s="47" t="str">
        <f t="shared" si="269"/>
        <v>WARN BAY CREEKChum</v>
      </c>
      <c r="AY1062" s="49">
        <f t="shared" si="270"/>
        <v>0</v>
      </c>
      <c r="AZ1062" s="49">
        <f t="shared" si="271"/>
        <v>0</v>
      </c>
      <c r="BA1062" s="31">
        <v>2016</v>
      </c>
      <c r="BB1062" s="188">
        <f t="shared" si="274"/>
        <v>0</v>
      </c>
      <c r="BC1062" s="188" t="str">
        <f t="shared" si="278"/>
        <v xml:space="preserve"> </v>
      </c>
      <c r="BD1062" s="188" t="str">
        <f t="shared" si="279"/>
        <v xml:space="preserve"> </v>
      </c>
      <c r="BE1062" s="188" t="str">
        <f t="shared" si="280"/>
        <v xml:space="preserve"> </v>
      </c>
      <c r="BF1062" s="50" t="str">
        <f t="shared" si="272"/>
        <v>WARN BAY CREEK_Chum</v>
      </c>
      <c r="BG1062" s="50">
        <f>IFERROR(VLOOKUP(BF1062,'[1]WCVI Esc'!$C$5:$W$534,18,FALSE),"-")</f>
        <v>294.5</v>
      </c>
      <c r="BH1062" s="50">
        <f t="shared" si="275"/>
        <v>290</v>
      </c>
      <c r="BI1062" s="50">
        <f>IFERROR(VLOOKUP(BF1062,'[1]WCVI Esc'!$C$5:$W$534,19,FALSE),"-")</f>
        <v>1276.5454545454545</v>
      </c>
      <c r="BJ1062" s="50">
        <f t="shared" si="276"/>
        <v>1280</v>
      </c>
    </row>
    <row r="1063" spans="1:62" hidden="1" x14ac:dyDescent="0.2">
      <c r="A1063" s="28">
        <v>4</v>
      </c>
      <c r="B1063" s="28">
        <v>5</v>
      </c>
      <c r="C1063" s="11">
        <v>24</v>
      </c>
      <c r="D1063" s="13" t="s">
        <v>297</v>
      </c>
      <c r="E1063" s="10" t="s">
        <v>132</v>
      </c>
      <c r="F1063" s="10" t="s">
        <v>210</v>
      </c>
      <c r="G1063" s="10"/>
      <c r="H1063" s="152"/>
      <c r="I1063" s="155"/>
      <c r="J1063" s="106"/>
      <c r="K1063" s="94"/>
      <c r="L1063" s="180"/>
      <c r="M1063" s="173"/>
      <c r="N1063" s="106"/>
      <c r="O1063" s="106"/>
      <c r="P1063" s="63"/>
      <c r="Q1063" s="162"/>
      <c r="R1063" s="164"/>
      <c r="S1063" s="62"/>
      <c r="T1063" s="63"/>
      <c r="U1063" s="62"/>
      <c r="V1063" s="177"/>
      <c r="W1063" s="171"/>
      <c r="X1063" s="62"/>
      <c r="Y1063" s="45"/>
      <c r="Z1063" s="45"/>
      <c r="AA1063" s="100">
        <f>Y1063/AP1063</f>
        <v>0</v>
      </c>
      <c r="AB1063" s="100">
        <f>AS1063/AP1063</f>
        <v>0</v>
      </c>
      <c r="AC1063" s="123"/>
      <c r="AD1063" s="123"/>
      <c r="AE1063" s="123"/>
      <c r="AF1063" s="123">
        <f>Y1063</f>
        <v>0</v>
      </c>
      <c r="AG1063" s="18">
        <v>24</v>
      </c>
      <c r="AH1063" s="69" t="s">
        <v>297</v>
      </c>
      <c r="AI1063" s="243" t="s">
        <v>132</v>
      </c>
      <c r="AJ1063" s="243" t="s">
        <v>419</v>
      </c>
      <c r="AK1063" s="246"/>
      <c r="AL1063" s="43" t="str">
        <f t="shared" si="277"/>
        <v>-</v>
      </c>
      <c r="AM1063" s="43">
        <f t="shared" si="265"/>
        <v>0</v>
      </c>
      <c r="AN1063" s="193">
        <f t="shared" si="265"/>
        <v>0</v>
      </c>
      <c r="AO1063" s="264">
        <f t="shared" si="266"/>
        <v>10</v>
      </c>
      <c r="AP1063" s="265">
        <f>BJ1063</f>
        <v>20</v>
      </c>
      <c r="AQ1063" s="26" t="str">
        <f t="shared" si="273"/>
        <v>WARN BAY CREEKChinook</v>
      </c>
      <c r="AR1063" s="26">
        <f t="shared" si="267"/>
        <v>0</v>
      </c>
      <c r="AS1063" s="33">
        <f t="shared" si="268"/>
        <v>0</v>
      </c>
      <c r="AX1063" s="47" t="str">
        <f t="shared" si="269"/>
        <v>WARN BAY CREEKChinook</v>
      </c>
      <c r="AY1063" s="49">
        <f t="shared" si="270"/>
        <v>0</v>
      </c>
      <c r="AZ1063" s="49">
        <f t="shared" si="271"/>
        <v>0</v>
      </c>
      <c r="BA1063" s="31">
        <v>2016</v>
      </c>
      <c r="BB1063" s="188">
        <f t="shared" si="274"/>
        <v>0</v>
      </c>
      <c r="BC1063" s="188" t="str">
        <f t="shared" si="278"/>
        <v xml:space="preserve"> </v>
      </c>
      <c r="BD1063" s="188" t="str">
        <f t="shared" si="279"/>
        <v xml:space="preserve"> </v>
      </c>
      <c r="BE1063" s="188" t="str">
        <f t="shared" si="280"/>
        <v xml:space="preserve"> </v>
      </c>
      <c r="BF1063" s="50" t="str">
        <f t="shared" si="272"/>
        <v>WARN BAY CREEK_Chinook</v>
      </c>
      <c r="BG1063" s="50">
        <f>IFERROR(VLOOKUP(BF1063,'[1]WCVI Esc'!$C$5:$W$534,18,FALSE),"-")</f>
        <v>7</v>
      </c>
      <c r="BH1063" s="50">
        <f t="shared" si="275"/>
        <v>10</v>
      </c>
      <c r="BI1063" s="50">
        <f>IFERROR(VLOOKUP(BF1063,'[1]WCVI Esc'!$C$5:$W$534,19,FALSE),"-")</f>
        <v>22.375</v>
      </c>
      <c r="BJ1063" s="50">
        <f t="shared" si="276"/>
        <v>20</v>
      </c>
    </row>
    <row r="1064" spans="1:62" hidden="1" x14ac:dyDescent="0.2">
      <c r="A1064" s="28">
        <v>4</v>
      </c>
      <c r="B1064" s="28">
        <v>6</v>
      </c>
      <c r="C1064" s="11">
        <v>24</v>
      </c>
      <c r="D1064" s="13" t="s">
        <v>297</v>
      </c>
      <c r="E1064" s="10" t="s">
        <v>132</v>
      </c>
      <c r="F1064" s="10" t="s">
        <v>211</v>
      </c>
      <c r="G1064" s="10"/>
      <c r="H1064" s="152"/>
      <c r="I1064" s="155"/>
      <c r="J1064" s="106"/>
      <c r="K1064" s="94"/>
      <c r="L1064" s="180"/>
      <c r="M1064" s="173"/>
      <c r="N1064" s="106"/>
      <c r="O1064" s="106"/>
      <c r="P1064" s="63"/>
      <c r="Q1064" s="162"/>
      <c r="R1064" s="164"/>
      <c r="S1064" s="62"/>
      <c r="T1064" s="62"/>
      <c r="U1064" s="62"/>
      <c r="V1064" s="177"/>
      <c r="W1064" s="171"/>
      <c r="X1064" s="62"/>
      <c r="Y1064" s="45"/>
      <c r="Z1064" s="45"/>
      <c r="AA1064" s="100"/>
      <c r="AB1064" s="100"/>
      <c r="AC1064" s="125"/>
      <c r="AD1064" s="125"/>
      <c r="AE1064" s="125"/>
      <c r="AF1064" s="125"/>
      <c r="AG1064" s="18">
        <v>24</v>
      </c>
      <c r="AH1064" s="69" t="s">
        <v>297</v>
      </c>
      <c r="AI1064" s="243" t="s">
        <v>132</v>
      </c>
      <c r="AJ1064" s="243" t="s">
        <v>419</v>
      </c>
      <c r="AK1064" s="246"/>
      <c r="AL1064" s="43" t="str">
        <f t="shared" si="277"/>
        <v>-</v>
      </c>
      <c r="AM1064" s="43">
        <f t="shared" si="265"/>
        <v>0</v>
      </c>
      <c r="AN1064" s="193">
        <f t="shared" si="265"/>
        <v>0</v>
      </c>
      <c r="AO1064" s="264" t="str">
        <f t="shared" si="266"/>
        <v>-</v>
      </c>
      <c r="AP1064" s="267"/>
      <c r="AQ1064" s="26" t="str">
        <f t="shared" si="273"/>
        <v>WARN BAY CREEKSteelhead</v>
      </c>
      <c r="AR1064" s="26">
        <f t="shared" si="267"/>
        <v>0</v>
      </c>
      <c r="AS1064" s="33">
        <f t="shared" si="268"/>
        <v>0</v>
      </c>
      <c r="AX1064" s="47" t="str">
        <f t="shared" si="269"/>
        <v>WARN BAY CREEKSteelhead</v>
      </c>
      <c r="AY1064" s="49">
        <f t="shared" si="270"/>
        <v>0</v>
      </c>
      <c r="AZ1064" s="49">
        <f t="shared" si="271"/>
        <v>0</v>
      </c>
      <c r="BA1064" s="31">
        <v>0</v>
      </c>
      <c r="BB1064" s="188">
        <f t="shared" si="274"/>
        <v>0</v>
      </c>
      <c r="BC1064" s="188" t="str">
        <f t="shared" si="278"/>
        <v xml:space="preserve"> </v>
      </c>
      <c r="BD1064" s="188" t="str">
        <f t="shared" si="279"/>
        <v xml:space="preserve"> </v>
      </c>
      <c r="BE1064" s="188" t="str">
        <f t="shared" si="280"/>
        <v xml:space="preserve"> </v>
      </c>
      <c r="BF1064" s="50" t="str">
        <f t="shared" si="272"/>
        <v>WARN BAY CREEK_Steelhead</v>
      </c>
      <c r="BG1064" s="50" t="str">
        <f>IFERROR(VLOOKUP(BF1064,'[1]WCVI Esc'!$C$5:$W$534,18,FALSE),"-")</f>
        <v>-</v>
      </c>
      <c r="BH1064" s="50" t="str">
        <f t="shared" si="275"/>
        <v>-</v>
      </c>
      <c r="BI1064" s="50" t="str">
        <f>IFERROR(VLOOKUP(BF1064,'[1]WCVI Esc'!$C$5:$W$534,19,FALSE),"-")</f>
        <v>-</v>
      </c>
      <c r="BJ1064" s="50" t="str">
        <f t="shared" si="276"/>
        <v>-</v>
      </c>
    </row>
    <row r="1065" spans="1:62" hidden="1" x14ac:dyDescent="0.2">
      <c r="A1065" s="28">
        <v>4</v>
      </c>
      <c r="B1065" s="28">
        <v>1</v>
      </c>
      <c r="C1065" s="11">
        <v>24</v>
      </c>
      <c r="D1065" s="13" t="s">
        <v>297</v>
      </c>
      <c r="E1065" s="10" t="s">
        <v>133</v>
      </c>
      <c r="F1065" s="10" t="s">
        <v>207</v>
      </c>
      <c r="G1065" s="10"/>
      <c r="H1065" s="152"/>
      <c r="I1065" s="164"/>
      <c r="J1065" s="62"/>
      <c r="K1065" s="62"/>
      <c r="L1065" s="177"/>
      <c r="M1065" s="171"/>
      <c r="N1065" s="63"/>
      <c r="O1065" s="62"/>
      <c r="P1065" s="62"/>
      <c r="Q1065" s="64"/>
      <c r="R1065" s="164"/>
      <c r="S1065" s="62"/>
      <c r="T1065" s="62"/>
      <c r="U1065" s="62"/>
      <c r="V1065" s="177"/>
      <c r="W1065" s="171"/>
      <c r="X1065" s="62"/>
      <c r="Y1065" s="45"/>
      <c r="Z1065" s="45"/>
      <c r="AA1065" s="100"/>
      <c r="AB1065" s="100"/>
      <c r="AC1065" s="24"/>
      <c r="AD1065" s="24"/>
      <c r="AE1065" s="24"/>
      <c r="AF1065" s="24"/>
      <c r="AG1065" s="18">
        <v>24</v>
      </c>
      <c r="AH1065" s="69" t="s">
        <v>297</v>
      </c>
      <c r="AI1065" s="243" t="s">
        <v>133</v>
      </c>
      <c r="AJ1065" s="243" t="s">
        <v>419</v>
      </c>
      <c r="AK1065" s="246"/>
      <c r="AL1065" s="43" t="str">
        <f t="shared" si="277"/>
        <v>-</v>
      </c>
      <c r="AM1065" s="43">
        <f t="shared" si="265"/>
        <v>0</v>
      </c>
      <c r="AN1065" s="193">
        <f t="shared" si="265"/>
        <v>0</v>
      </c>
      <c r="AO1065" s="270" t="str">
        <f t="shared" si="266"/>
        <v>-</v>
      </c>
      <c r="AP1065" s="271"/>
      <c r="AQ1065" s="26" t="str">
        <f t="shared" si="273"/>
        <v>WATTA CREEKSockeye</v>
      </c>
      <c r="AR1065" s="26">
        <f t="shared" si="267"/>
        <v>0</v>
      </c>
      <c r="AS1065" s="33">
        <f t="shared" si="268"/>
        <v>0</v>
      </c>
      <c r="AX1065" s="47" t="str">
        <f t="shared" si="269"/>
        <v>WATTA CREEKSockeye</v>
      </c>
      <c r="AY1065" s="49">
        <f t="shared" si="270"/>
        <v>0</v>
      </c>
      <c r="AZ1065" s="49">
        <f t="shared" si="271"/>
        <v>0</v>
      </c>
      <c r="BA1065" s="31">
        <v>0</v>
      </c>
      <c r="BB1065" s="188">
        <f t="shared" si="274"/>
        <v>0</v>
      </c>
      <c r="BC1065" s="188" t="str">
        <f t="shared" si="278"/>
        <v xml:space="preserve"> </v>
      </c>
      <c r="BD1065" s="188" t="str">
        <f t="shared" si="279"/>
        <v xml:space="preserve"> </v>
      </c>
      <c r="BE1065" s="188" t="str">
        <f t="shared" si="280"/>
        <v xml:space="preserve"> </v>
      </c>
      <c r="BF1065" s="50" t="str">
        <f t="shared" si="272"/>
        <v>WATTA CREEK_Sockeye</v>
      </c>
      <c r="BG1065" s="50" t="str">
        <f>IFERROR(VLOOKUP(BF1065,'[1]WCVI Esc'!$C$5:$W$514,18,FALSE),"-")</f>
        <v>-</v>
      </c>
      <c r="BH1065" s="50" t="str">
        <f t="shared" si="275"/>
        <v>-</v>
      </c>
      <c r="BI1065" s="50" t="str">
        <f>IFERROR(VLOOKUP(BF1065,'[1]WCVI Esc'!$C$5:$W$514,19,FALSE),"-")</f>
        <v>-</v>
      </c>
      <c r="BJ1065" s="50" t="str">
        <f t="shared" si="276"/>
        <v>-</v>
      </c>
    </row>
    <row r="1066" spans="1:62" hidden="1" x14ac:dyDescent="0.2">
      <c r="A1066" s="28">
        <v>4</v>
      </c>
      <c r="B1066" s="28">
        <v>2</v>
      </c>
      <c r="C1066" s="11">
        <v>24</v>
      </c>
      <c r="D1066" s="13" t="s">
        <v>297</v>
      </c>
      <c r="E1066" s="10" t="s">
        <v>133</v>
      </c>
      <c r="F1066" s="10" t="s">
        <v>219</v>
      </c>
      <c r="G1066" s="10"/>
      <c r="H1066" s="152"/>
      <c r="I1066" s="164"/>
      <c r="J1066" s="62"/>
      <c r="K1066" s="62"/>
      <c r="L1066" s="177"/>
      <c r="M1066" s="171"/>
      <c r="N1066" s="63"/>
      <c r="O1066" s="62"/>
      <c r="P1066" s="62"/>
      <c r="Q1066" s="64"/>
      <c r="R1066" s="164"/>
      <c r="S1066" s="62"/>
      <c r="T1066" s="62"/>
      <c r="U1066" s="62"/>
      <c r="V1066" s="177"/>
      <c r="W1066" s="171"/>
      <c r="X1066" s="62"/>
      <c r="Y1066" s="45"/>
      <c r="Z1066" s="45"/>
      <c r="AA1066" s="100">
        <f>Y1066/AP1066</f>
        <v>0</v>
      </c>
      <c r="AB1066" s="100">
        <f>AS1066/AP1066</f>
        <v>0</v>
      </c>
      <c r="AC1066" s="24"/>
      <c r="AD1066" s="24"/>
      <c r="AE1066" s="24"/>
      <c r="AF1066" s="24"/>
      <c r="AG1066" s="18">
        <v>24</v>
      </c>
      <c r="AH1066" s="69" t="s">
        <v>297</v>
      </c>
      <c r="AI1066" s="243" t="s">
        <v>133</v>
      </c>
      <c r="AJ1066" s="243" t="s">
        <v>419</v>
      </c>
      <c r="AK1066" s="246"/>
      <c r="AL1066" s="43" t="str">
        <f t="shared" si="277"/>
        <v>-</v>
      </c>
      <c r="AM1066" s="43">
        <f t="shared" si="265"/>
        <v>0</v>
      </c>
      <c r="AN1066" s="193">
        <f t="shared" si="265"/>
        <v>0</v>
      </c>
      <c r="AO1066" s="270">
        <f t="shared" si="266"/>
        <v>10</v>
      </c>
      <c r="AP1066" s="265">
        <f>BJ1066</f>
        <v>10</v>
      </c>
      <c r="AQ1066" s="26" t="str">
        <f t="shared" si="273"/>
        <v>WATTA CREEKCoho</v>
      </c>
      <c r="AR1066" s="26">
        <f t="shared" si="267"/>
        <v>0</v>
      </c>
      <c r="AS1066" s="33">
        <f t="shared" si="268"/>
        <v>0</v>
      </c>
      <c r="AX1066" s="47" t="str">
        <f t="shared" si="269"/>
        <v>WATTA CREEKCoho</v>
      </c>
      <c r="AY1066" s="49">
        <f t="shared" si="270"/>
        <v>0</v>
      </c>
      <c r="AZ1066" s="49">
        <f t="shared" si="271"/>
        <v>0</v>
      </c>
      <c r="BA1066" s="31">
        <v>2010</v>
      </c>
      <c r="BB1066" s="188">
        <f t="shared" si="274"/>
        <v>0</v>
      </c>
      <c r="BC1066" s="188" t="str">
        <f t="shared" si="278"/>
        <v xml:space="preserve"> </v>
      </c>
      <c r="BD1066" s="188" t="str">
        <f t="shared" si="279"/>
        <v xml:space="preserve"> </v>
      </c>
      <c r="BE1066" s="188" t="str">
        <f t="shared" si="280"/>
        <v xml:space="preserve"> </v>
      </c>
      <c r="BF1066" s="50" t="str">
        <f t="shared" si="272"/>
        <v>WATTA CREEK_Coho</v>
      </c>
      <c r="BG1066" s="50">
        <f>IFERROR(VLOOKUP(BF1066,'[1]WCVI Esc'!$C$5:$W$514,18,FALSE),"-")</f>
        <v>5</v>
      </c>
      <c r="BH1066" s="50">
        <f t="shared" si="275"/>
        <v>10</v>
      </c>
      <c r="BI1066" s="50">
        <f>IFERROR(VLOOKUP(BF1066,'[1]WCVI Esc'!$C$5:$W$514,19,FALSE),"-")</f>
        <v>5</v>
      </c>
      <c r="BJ1066" s="50">
        <f t="shared" si="276"/>
        <v>10</v>
      </c>
    </row>
    <row r="1067" spans="1:62" hidden="1" x14ac:dyDescent="0.2">
      <c r="A1067" s="28">
        <v>4</v>
      </c>
      <c r="B1067" s="28">
        <v>3</v>
      </c>
      <c r="C1067" s="11">
        <v>24</v>
      </c>
      <c r="D1067" s="13" t="s">
        <v>297</v>
      </c>
      <c r="E1067" s="10" t="s">
        <v>133</v>
      </c>
      <c r="F1067" s="10" t="s">
        <v>208</v>
      </c>
      <c r="G1067" s="10"/>
      <c r="H1067" s="152"/>
      <c r="I1067" s="164"/>
      <c r="J1067" s="62"/>
      <c r="K1067" s="62"/>
      <c r="L1067" s="177"/>
      <c r="M1067" s="171"/>
      <c r="N1067" s="63"/>
      <c r="O1067" s="62"/>
      <c r="P1067" s="62"/>
      <c r="Q1067" s="64"/>
      <c r="R1067" s="164"/>
      <c r="S1067" s="62"/>
      <c r="T1067" s="62"/>
      <c r="U1067" s="62"/>
      <c r="V1067" s="177"/>
      <c r="W1067" s="171"/>
      <c r="X1067" s="62"/>
      <c r="Y1067" s="45"/>
      <c r="Z1067" s="45"/>
      <c r="AA1067" s="100"/>
      <c r="AB1067" s="100"/>
      <c r="AC1067" s="24"/>
      <c r="AD1067" s="24"/>
      <c r="AE1067" s="24"/>
      <c r="AF1067" s="24"/>
      <c r="AG1067" s="18">
        <v>24</v>
      </c>
      <c r="AH1067" s="69" t="s">
        <v>297</v>
      </c>
      <c r="AI1067" s="243" t="s">
        <v>133</v>
      </c>
      <c r="AJ1067" s="243" t="s">
        <v>419</v>
      </c>
      <c r="AK1067" s="246"/>
      <c r="AL1067" s="43" t="str">
        <f t="shared" si="277"/>
        <v>-</v>
      </c>
      <c r="AM1067" s="43">
        <f t="shared" si="265"/>
        <v>0</v>
      </c>
      <c r="AN1067" s="193">
        <f t="shared" si="265"/>
        <v>0</v>
      </c>
      <c r="AO1067" s="270" t="str">
        <f t="shared" si="266"/>
        <v>-</v>
      </c>
      <c r="AP1067" s="266"/>
      <c r="AQ1067" s="26" t="str">
        <f t="shared" si="273"/>
        <v>WATTA CREEKPink</v>
      </c>
      <c r="AR1067" s="26">
        <f t="shared" si="267"/>
        <v>0</v>
      </c>
      <c r="AS1067" s="33">
        <f t="shared" si="268"/>
        <v>0</v>
      </c>
      <c r="AX1067" s="47" t="str">
        <f t="shared" si="269"/>
        <v>WATTA CREEKPink</v>
      </c>
      <c r="AY1067" s="49">
        <f t="shared" si="270"/>
        <v>0</v>
      </c>
      <c r="AZ1067" s="49">
        <f t="shared" si="271"/>
        <v>0</v>
      </c>
      <c r="BA1067" s="31">
        <v>0</v>
      </c>
      <c r="BB1067" s="188">
        <f t="shared" si="274"/>
        <v>0</v>
      </c>
      <c r="BC1067" s="188" t="str">
        <f t="shared" si="278"/>
        <v xml:space="preserve"> </v>
      </c>
      <c r="BD1067" s="188" t="str">
        <f t="shared" si="279"/>
        <v xml:space="preserve"> </v>
      </c>
      <c r="BE1067" s="188" t="str">
        <f t="shared" si="280"/>
        <v xml:space="preserve"> </v>
      </c>
      <c r="BF1067" s="50" t="str">
        <f t="shared" si="272"/>
        <v>WATTA CREEK_Pink</v>
      </c>
      <c r="BG1067" s="50" t="str">
        <f>IFERROR(VLOOKUP(BF1067,'[1]WCVI Esc'!$C$5:$W$514,18,FALSE),"-")</f>
        <v>-</v>
      </c>
      <c r="BH1067" s="50" t="str">
        <f t="shared" si="275"/>
        <v>-</v>
      </c>
      <c r="BI1067" s="50" t="str">
        <f>IFERROR(VLOOKUP(BF1067,'[1]WCVI Esc'!$C$5:$W$514,19,FALSE),"-")</f>
        <v>-</v>
      </c>
      <c r="BJ1067" s="50" t="str">
        <f t="shared" si="276"/>
        <v>-</v>
      </c>
    </row>
    <row r="1068" spans="1:62" hidden="1" x14ac:dyDescent="0.2">
      <c r="A1068" s="28">
        <v>4</v>
      </c>
      <c r="B1068" s="28">
        <v>4</v>
      </c>
      <c r="C1068" s="11">
        <v>24</v>
      </c>
      <c r="D1068" s="13" t="s">
        <v>297</v>
      </c>
      <c r="E1068" s="10" t="s">
        <v>133</v>
      </c>
      <c r="F1068" s="10" t="s">
        <v>209</v>
      </c>
      <c r="G1068" s="10"/>
      <c r="H1068" s="152"/>
      <c r="I1068" s="164"/>
      <c r="J1068" s="62"/>
      <c r="K1068" s="62"/>
      <c r="L1068" s="177"/>
      <c r="M1068" s="171"/>
      <c r="N1068" s="63"/>
      <c r="O1068" s="62"/>
      <c r="P1068" s="62"/>
      <c r="Q1068" s="64"/>
      <c r="R1068" s="164"/>
      <c r="S1068" s="62"/>
      <c r="T1068" s="62"/>
      <c r="U1068" s="62"/>
      <c r="V1068" s="177"/>
      <c r="W1068" s="171"/>
      <c r="X1068" s="62"/>
      <c r="Y1068" s="45"/>
      <c r="Z1068" s="45"/>
      <c r="AA1068" s="100">
        <f>Y1068/AP1068</f>
        <v>0</v>
      </c>
      <c r="AB1068" s="100">
        <f>AS1068/AP1068</f>
        <v>0</v>
      </c>
      <c r="AC1068" s="24"/>
      <c r="AD1068" s="24"/>
      <c r="AE1068" s="24"/>
      <c r="AF1068" s="24"/>
      <c r="AG1068" s="18">
        <v>24</v>
      </c>
      <c r="AH1068" s="69" t="s">
        <v>297</v>
      </c>
      <c r="AI1068" s="243" t="s">
        <v>133</v>
      </c>
      <c r="AJ1068" s="243" t="s">
        <v>419</v>
      </c>
      <c r="AK1068" s="246"/>
      <c r="AL1068" s="43" t="str">
        <f t="shared" si="277"/>
        <v>-</v>
      </c>
      <c r="AM1068" s="43">
        <f t="shared" si="265"/>
        <v>0</v>
      </c>
      <c r="AN1068" s="193">
        <f t="shared" si="265"/>
        <v>0</v>
      </c>
      <c r="AO1068" s="270">
        <f t="shared" si="266"/>
        <v>380</v>
      </c>
      <c r="AP1068" s="265">
        <f>BJ1068</f>
        <v>380</v>
      </c>
      <c r="AQ1068" s="26" t="str">
        <f t="shared" si="273"/>
        <v>WATTA CREEKChum</v>
      </c>
      <c r="AR1068" s="26">
        <f t="shared" si="267"/>
        <v>0</v>
      </c>
      <c r="AS1068" s="33">
        <f t="shared" si="268"/>
        <v>0</v>
      </c>
      <c r="AX1068" s="47" t="str">
        <f t="shared" si="269"/>
        <v>WATTA CREEKChum</v>
      </c>
      <c r="AY1068" s="49">
        <f t="shared" si="270"/>
        <v>0</v>
      </c>
      <c r="AZ1068" s="49">
        <f t="shared" si="271"/>
        <v>0</v>
      </c>
      <c r="BA1068" s="31">
        <v>2010</v>
      </c>
      <c r="BB1068" s="188">
        <f t="shared" si="274"/>
        <v>0</v>
      </c>
      <c r="BC1068" s="188" t="str">
        <f t="shared" si="278"/>
        <v xml:space="preserve"> </v>
      </c>
      <c r="BD1068" s="188" t="str">
        <f t="shared" si="279"/>
        <v xml:space="preserve"> </v>
      </c>
      <c r="BE1068" s="188" t="str">
        <f t="shared" si="280"/>
        <v xml:space="preserve"> </v>
      </c>
      <c r="BF1068" s="50" t="str">
        <f t="shared" si="272"/>
        <v>WATTA CREEK_Chum</v>
      </c>
      <c r="BG1068" s="50">
        <f>IFERROR(VLOOKUP(BF1068,'[1]WCVI Esc'!$C$5:$W$514,18,FALSE),"-")</f>
        <v>376</v>
      </c>
      <c r="BH1068" s="50">
        <f t="shared" si="275"/>
        <v>380</v>
      </c>
      <c r="BI1068" s="50">
        <f>IFERROR(VLOOKUP(BF1068,'[1]WCVI Esc'!$C$5:$W$514,19,FALSE),"-")</f>
        <v>376</v>
      </c>
      <c r="BJ1068" s="50">
        <f t="shared" si="276"/>
        <v>380</v>
      </c>
    </row>
    <row r="1069" spans="1:62" hidden="1" x14ac:dyDescent="0.2">
      <c r="A1069" s="28">
        <v>4</v>
      </c>
      <c r="B1069" s="28">
        <v>5</v>
      </c>
      <c r="C1069" s="11">
        <v>24</v>
      </c>
      <c r="D1069" s="13" t="s">
        <v>297</v>
      </c>
      <c r="E1069" s="10" t="s">
        <v>133</v>
      </c>
      <c r="F1069" s="10" t="s">
        <v>210</v>
      </c>
      <c r="G1069" s="10"/>
      <c r="H1069" s="152"/>
      <c r="I1069" s="164"/>
      <c r="J1069" s="62"/>
      <c r="K1069" s="62"/>
      <c r="L1069" s="177"/>
      <c r="M1069" s="171"/>
      <c r="N1069" s="63"/>
      <c r="O1069" s="62"/>
      <c r="P1069" s="62"/>
      <c r="Q1069" s="64"/>
      <c r="R1069" s="164"/>
      <c r="S1069" s="62"/>
      <c r="T1069" s="62"/>
      <c r="U1069" s="62"/>
      <c r="V1069" s="177"/>
      <c r="W1069" s="171"/>
      <c r="X1069" s="62"/>
      <c r="Y1069" s="45"/>
      <c r="Z1069" s="45"/>
      <c r="AA1069" s="100" t="e">
        <f>Y1069/AP1069</f>
        <v>#VALUE!</v>
      </c>
      <c r="AB1069" s="100" t="e">
        <f>AS1069/AP1069</f>
        <v>#VALUE!</v>
      </c>
      <c r="AC1069" s="24"/>
      <c r="AD1069" s="24"/>
      <c r="AE1069" s="24"/>
      <c r="AF1069" s="24"/>
      <c r="AG1069" s="18">
        <v>24</v>
      </c>
      <c r="AH1069" s="69" t="s">
        <v>297</v>
      </c>
      <c r="AI1069" s="243" t="s">
        <v>133</v>
      </c>
      <c r="AJ1069" s="243" t="s">
        <v>419</v>
      </c>
      <c r="AK1069" s="246"/>
      <c r="AL1069" s="43" t="str">
        <f t="shared" si="277"/>
        <v>-</v>
      </c>
      <c r="AM1069" s="43">
        <f t="shared" si="265"/>
        <v>0</v>
      </c>
      <c r="AN1069" s="193">
        <f t="shared" si="265"/>
        <v>0</v>
      </c>
      <c r="AO1069" s="270" t="str">
        <f t="shared" si="266"/>
        <v>-</v>
      </c>
      <c r="AP1069" s="265" t="str">
        <f>BJ1069</f>
        <v>-</v>
      </c>
      <c r="AQ1069" s="26" t="str">
        <f t="shared" si="273"/>
        <v>WATTA CREEKChinook</v>
      </c>
      <c r="AR1069" s="26">
        <f t="shared" si="267"/>
        <v>0</v>
      </c>
      <c r="AS1069" s="33">
        <f t="shared" si="268"/>
        <v>0</v>
      </c>
      <c r="AX1069" s="47" t="str">
        <f t="shared" si="269"/>
        <v>WATTA CREEKChinook</v>
      </c>
      <c r="AY1069" s="49">
        <f t="shared" si="270"/>
        <v>0</v>
      </c>
      <c r="AZ1069" s="49">
        <f t="shared" si="271"/>
        <v>0</v>
      </c>
      <c r="BA1069" s="31">
        <v>2010</v>
      </c>
      <c r="BB1069" s="188">
        <f t="shared" si="274"/>
        <v>0</v>
      </c>
      <c r="BC1069" s="188" t="str">
        <f t="shared" si="278"/>
        <v xml:space="preserve"> </v>
      </c>
      <c r="BD1069" s="188" t="str">
        <f t="shared" si="279"/>
        <v xml:space="preserve"> </v>
      </c>
      <c r="BE1069" s="188" t="str">
        <f t="shared" si="280"/>
        <v xml:space="preserve"> </v>
      </c>
      <c r="BF1069" s="50" t="str">
        <f t="shared" si="272"/>
        <v>WATTA CREEK_Chinook</v>
      </c>
      <c r="BG1069" s="50" t="str">
        <f>IFERROR(VLOOKUP(BF1069,'[1]WCVI Esc'!$C$5:$W$514,18,FALSE),"-")</f>
        <v>-</v>
      </c>
      <c r="BH1069" s="50" t="str">
        <f t="shared" si="275"/>
        <v>-</v>
      </c>
      <c r="BI1069" s="50" t="str">
        <f>IFERROR(VLOOKUP(BF1069,'[1]WCVI Esc'!$C$5:$W$514,19,FALSE),"-")</f>
        <v>-</v>
      </c>
      <c r="BJ1069" s="50" t="str">
        <f t="shared" si="276"/>
        <v>-</v>
      </c>
    </row>
    <row r="1070" spans="1:62" hidden="1" x14ac:dyDescent="0.2">
      <c r="A1070" s="28">
        <v>4</v>
      </c>
      <c r="B1070" s="28">
        <v>6</v>
      </c>
      <c r="C1070" s="11">
        <v>24</v>
      </c>
      <c r="D1070" s="13" t="s">
        <v>297</v>
      </c>
      <c r="E1070" s="10" t="s">
        <v>133</v>
      </c>
      <c r="F1070" s="10" t="s">
        <v>211</v>
      </c>
      <c r="G1070" s="10"/>
      <c r="H1070" s="152"/>
      <c r="I1070" s="164"/>
      <c r="J1070" s="62"/>
      <c r="K1070" s="62"/>
      <c r="L1070" s="177"/>
      <c r="M1070" s="171"/>
      <c r="N1070" s="63"/>
      <c r="O1070" s="62"/>
      <c r="P1070" s="62"/>
      <c r="Q1070" s="64"/>
      <c r="R1070" s="164"/>
      <c r="S1070" s="62"/>
      <c r="T1070" s="62"/>
      <c r="U1070" s="62"/>
      <c r="V1070" s="177"/>
      <c r="W1070" s="171"/>
      <c r="X1070" s="62"/>
      <c r="Y1070" s="45"/>
      <c r="Z1070" s="45"/>
      <c r="AA1070" s="100"/>
      <c r="AB1070" s="100"/>
      <c r="AC1070" s="24"/>
      <c r="AD1070" s="24"/>
      <c r="AE1070" s="24"/>
      <c r="AF1070" s="24"/>
      <c r="AG1070" s="18">
        <v>24</v>
      </c>
      <c r="AH1070" s="69" t="s">
        <v>297</v>
      </c>
      <c r="AI1070" s="243" t="s">
        <v>133</v>
      </c>
      <c r="AJ1070" s="243" t="s">
        <v>419</v>
      </c>
      <c r="AK1070" s="246"/>
      <c r="AL1070" s="43" t="str">
        <f t="shared" si="277"/>
        <v>-</v>
      </c>
      <c r="AM1070" s="43">
        <f t="shared" si="265"/>
        <v>0</v>
      </c>
      <c r="AN1070" s="193">
        <f t="shared" si="265"/>
        <v>0</v>
      </c>
      <c r="AO1070" s="270" t="str">
        <f t="shared" si="266"/>
        <v>-</v>
      </c>
      <c r="AP1070" s="266"/>
      <c r="AQ1070" s="26" t="str">
        <f t="shared" si="273"/>
        <v>WATTA CREEKSteelhead</v>
      </c>
      <c r="AR1070" s="26">
        <f t="shared" si="267"/>
        <v>0</v>
      </c>
      <c r="AS1070" s="33">
        <f t="shared" si="268"/>
        <v>0</v>
      </c>
      <c r="AX1070" s="47" t="str">
        <f t="shared" si="269"/>
        <v>WATTA CREEKSteelhead</v>
      </c>
      <c r="AY1070" s="49">
        <f t="shared" si="270"/>
        <v>0</v>
      </c>
      <c r="AZ1070" s="49">
        <f t="shared" si="271"/>
        <v>0</v>
      </c>
      <c r="BA1070" s="31">
        <v>0</v>
      </c>
      <c r="BB1070" s="188">
        <f t="shared" si="274"/>
        <v>0</v>
      </c>
      <c r="BC1070" s="188" t="str">
        <f t="shared" si="278"/>
        <v xml:space="preserve"> </v>
      </c>
      <c r="BD1070" s="188" t="str">
        <f t="shared" si="279"/>
        <v xml:space="preserve"> </v>
      </c>
      <c r="BE1070" s="188" t="str">
        <f t="shared" si="280"/>
        <v xml:space="preserve"> </v>
      </c>
      <c r="BF1070" s="50" t="str">
        <f t="shared" si="272"/>
        <v>WATTA CREEK_Steelhead</v>
      </c>
      <c r="BG1070" s="50" t="str">
        <f>IFERROR(VLOOKUP(BF1070,'[1]WCVI Esc'!$C$5:$W$514,18,FALSE),"-")</f>
        <v>-</v>
      </c>
      <c r="BH1070" s="50" t="str">
        <f t="shared" si="275"/>
        <v>-</v>
      </c>
      <c r="BI1070" s="50" t="str">
        <f>IFERROR(VLOOKUP(BF1070,'[1]WCVI Esc'!$C$5:$W$514,19,FALSE),"-")</f>
        <v>-</v>
      </c>
      <c r="BJ1070" s="50" t="str">
        <f t="shared" si="276"/>
        <v>-</v>
      </c>
    </row>
    <row r="1071" spans="1:62" hidden="1" x14ac:dyDescent="0.2">
      <c r="A1071" s="28">
        <v>4</v>
      </c>
      <c r="B1071" s="28">
        <v>1</v>
      </c>
      <c r="C1071" s="11">
        <v>24</v>
      </c>
      <c r="D1071" s="13" t="s">
        <v>297</v>
      </c>
      <c r="E1071" s="10" t="s">
        <v>134</v>
      </c>
      <c r="F1071" s="10" t="s">
        <v>207</v>
      </c>
      <c r="G1071" s="10"/>
      <c r="H1071" s="152"/>
      <c r="I1071" s="164"/>
      <c r="J1071" s="62"/>
      <c r="K1071" s="62"/>
      <c r="L1071" s="177"/>
      <c r="M1071" s="171"/>
      <c r="N1071" s="62"/>
      <c r="O1071" s="62"/>
      <c r="P1071" s="62"/>
      <c r="Q1071" s="162"/>
      <c r="R1071" s="169"/>
      <c r="S1071" s="62"/>
      <c r="T1071" s="62"/>
      <c r="U1071" s="62"/>
      <c r="V1071" s="177"/>
      <c r="W1071" s="171"/>
      <c r="X1071" s="62"/>
      <c r="Y1071" s="45"/>
      <c r="Z1071" s="45"/>
      <c r="AA1071" s="100"/>
      <c r="AB1071" s="100"/>
      <c r="AC1071" s="24"/>
      <c r="AD1071" s="24"/>
      <c r="AE1071" s="24"/>
      <c r="AF1071" s="24"/>
      <c r="AG1071" s="18">
        <v>24</v>
      </c>
      <c r="AH1071" s="69" t="s">
        <v>297</v>
      </c>
      <c r="AI1071" s="243" t="s">
        <v>134</v>
      </c>
      <c r="AJ1071" s="243" t="s">
        <v>419</v>
      </c>
      <c r="AK1071" s="246"/>
      <c r="AL1071" s="43" t="str">
        <f t="shared" si="277"/>
        <v>-</v>
      </c>
      <c r="AM1071" s="43">
        <f t="shared" si="265"/>
        <v>0</v>
      </c>
      <c r="AN1071" s="193">
        <f t="shared" si="265"/>
        <v>0</v>
      </c>
      <c r="AO1071" s="270" t="str">
        <f t="shared" si="266"/>
        <v>-</v>
      </c>
      <c r="AP1071" s="266"/>
      <c r="AQ1071" s="26" t="str">
        <f t="shared" si="273"/>
        <v>WHITE PINE COVE CREEKSockeye</v>
      </c>
      <c r="AR1071" s="26">
        <f t="shared" si="267"/>
        <v>0</v>
      </c>
      <c r="AS1071" s="33">
        <f t="shared" si="268"/>
        <v>0</v>
      </c>
      <c r="AX1071" s="47" t="str">
        <f t="shared" si="269"/>
        <v>WHITE PINE COVE CREEKSockeye</v>
      </c>
      <c r="AY1071" s="49">
        <f t="shared" si="270"/>
        <v>0</v>
      </c>
      <c r="AZ1071" s="49">
        <f t="shared" si="271"/>
        <v>0</v>
      </c>
      <c r="BA1071" s="31">
        <v>0</v>
      </c>
      <c r="BB1071" s="188">
        <f t="shared" si="274"/>
        <v>0</v>
      </c>
      <c r="BC1071" s="188" t="str">
        <f t="shared" si="278"/>
        <v xml:space="preserve"> </v>
      </c>
      <c r="BD1071" s="188" t="str">
        <f t="shared" si="279"/>
        <v xml:space="preserve"> </v>
      </c>
      <c r="BE1071" s="188" t="str">
        <f t="shared" si="280"/>
        <v xml:space="preserve"> </v>
      </c>
      <c r="BF1071" s="50" t="str">
        <f t="shared" si="272"/>
        <v>WHITE PINE COVE CREEK_Sockeye</v>
      </c>
      <c r="BG1071" s="50" t="str">
        <f>IFERROR(VLOOKUP(BF1071,'[1]WCVI Esc'!$C$5:$W$514,18,FALSE),"-")</f>
        <v>-</v>
      </c>
      <c r="BH1071" s="50" t="str">
        <f t="shared" si="275"/>
        <v>-</v>
      </c>
      <c r="BI1071" s="50" t="str">
        <f>IFERROR(VLOOKUP(BF1071,'[1]WCVI Esc'!$C$5:$W$514,19,FALSE),"-")</f>
        <v>-</v>
      </c>
      <c r="BJ1071" s="50" t="str">
        <f t="shared" si="276"/>
        <v>-</v>
      </c>
    </row>
    <row r="1072" spans="1:62" hidden="1" x14ac:dyDescent="0.2">
      <c r="A1072" s="28">
        <v>4</v>
      </c>
      <c r="B1072" s="28">
        <v>2</v>
      </c>
      <c r="C1072" s="11">
        <v>24</v>
      </c>
      <c r="D1072" s="13" t="s">
        <v>297</v>
      </c>
      <c r="E1072" s="10" t="s">
        <v>134</v>
      </c>
      <c r="F1072" s="10" t="s">
        <v>219</v>
      </c>
      <c r="G1072" s="10"/>
      <c r="H1072" s="152"/>
      <c r="I1072" s="164"/>
      <c r="J1072" s="62"/>
      <c r="K1072" s="62"/>
      <c r="L1072" s="177"/>
      <c r="M1072" s="171"/>
      <c r="N1072" s="62"/>
      <c r="O1072" s="62"/>
      <c r="P1072" s="62"/>
      <c r="Q1072" s="162"/>
      <c r="R1072" s="169"/>
      <c r="S1072" s="62"/>
      <c r="T1072" s="62"/>
      <c r="U1072" s="62"/>
      <c r="V1072" s="177"/>
      <c r="W1072" s="171"/>
      <c r="X1072" s="62"/>
      <c r="Y1072" s="45"/>
      <c r="Z1072" s="45"/>
      <c r="AA1072" s="100"/>
      <c r="AB1072" s="100"/>
      <c r="AC1072" s="24"/>
      <c r="AD1072" s="24"/>
      <c r="AE1072" s="24"/>
      <c r="AF1072" s="24"/>
      <c r="AG1072" s="18">
        <v>24</v>
      </c>
      <c r="AH1072" s="69" t="s">
        <v>297</v>
      </c>
      <c r="AI1072" s="243" t="s">
        <v>134</v>
      </c>
      <c r="AJ1072" s="243" t="s">
        <v>419</v>
      </c>
      <c r="AK1072" s="246"/>
      <c r="AL1072" s="43" t="str">
        <f t="shared" si="277"/>
        <v>-</v>
      </c>
      <c r="AM1072" s="43">
        <f t="shared" si="265"/>
        <v>0</v>
      </c>
      <c r="AN1072" s="193">
        <f t="shared" si="265"/>
        <v>0</v>
      </c>
      <c r="AO1072" s="270" t="str">
        <f t="shared" si="266"/>
        <v>-</v>
      </c>
      <c r="AP1072" s="266"/>
      <c r="AQ1072" s="26" t="str">
        <f t="shared" si="273"/>
        <v>WHITE PINE COVE CREEKCoho</v>
      </c>
      <c r="AR1072" s="26">
        <f t="shared" si="267"/>
        <v>0</v>
      </c>
      <c r="AS1072" s="33">
        <f t="shared" si="268"/>
        <v>0</v>
      </c>
      <c r="AX1072" s="47" t="str">
        <f t="shared" si="269"/>
        <v>WHITE PINE COVE CREEKCoho</v>
      </c>
      <c r="AY1072" s="49">
        <f t="shared" si="270"/>
        <v>0</v>
      </c>
      <c r="AZ1072" s="49">
        <f t="shared" si="271"/>
        <v>0</v>
      </c>
      <c r="BA1072" s="31">
        <v>1972</v>
      </c>
      <c r="BB1072" s="188">
        <f t="shared" si="274"/>
        <v>0</v>
      </c>
      <c r="BC1072" s="188" t="str">
        <f t="shared" si="278"/>
        <v xml:space="preserve"> </v>
      </c>
      <c r="BD1072" s="188" t="str">
        <f t="shared" si="279"/>
        <v xml:space="preserve"> </v>
      </c>
      <c r="BE1072" s="188" t="str">
        <f t="shared" si="280"/>
        <v xml:space="preserve"> </v>
      </c>
      <c r="BF1072" s="50" t="str">
        <f t="shared" si="272"/>
        <v>WHITE PINE COVE CREEK_Coho</v>
      </c>
      <c r="BG1072" s="50" t="str">
        <f>IFERROR(VLOOKUP(BF1072,'[1]WCVI Esc'!$C$5:$W$514,18,FALSE),"-")</f>
        <v>-</v>
      </c>
      <c r="BH1072" s="50" t="str">
        <f t="shared" si="275"/>
        <v>-</v>
      </c>
      <c r="BI1072" s="50" t="str">
        <f>IFERROR(VLOOKUP(BF1072,'[1]WCVI Esc'!$C$5:$W$514,19,FALSE),"-")</f>
        <v>-</v>
      </c>
      <c r="BJ1072" s="50" t="str">
        <f t="shared" si="276"/>
        <v>-</v>
      </c>
    </row>
    <row r="1073" spans="1:62" hidden="1" x14ac:dyDescent="0.2">
      <c r="A1073" s="28">
        <v>4</v>
      </c>
      <c r="B1073" s="28">
        <v>3</v>
      </c>
      <c r="C1073" s="11">
        <v>24</v>
      </c>
      <c r="D1073" s="13" t="s">
        <v>297</v>
      </c>
      <c r="E1073" s="10" t="s">
        <v>134</v>
      </c>
      <c r="F1073" s="10" t="s">
        <v>208</v>
      </c>
      <c r="G1073" s="10"/>
      <c r="H1073" s="152"/>
      <c r="I1073" s="164"/>
      <c r="J1073" s="62"/>
      <c r="K1073" s="62"/>
      <c r="L1073" s="177"/>
      <c r="M1073" s="171"/>
      <c r="N1073" s="62"/>
      <c r="O1073" s="62"/>
      <c r="P1073" s="62"/>
      <c r="Q1073" s="162"/>
      <c r="R1073" s="169"/>
      <c r="S1073" s="62"/>
      <c r="T1073" s="62"/>
      <c r="U1073" s="62"/>
      <c r="V1073" s="177"/>
      <c r="W1073" s="171"/>
      <c r="X1073" s="62"/>
      <c r="Y1073" s="45"/>
      <c r="Z1073" s="45"/>
      <c r="AA1073" s="100"/>
      <c r="AB1073" s="100"/>
      <c r="AC1073" s="24"/>
      <c r="AD1073" s="24"/>
      <c r="AE1073" s="24"/>
      <c r="AF1073" s="24"/>
      <c r="AG1073" s="18">
        <v>24</v>
      </c>
      <c r="AH1073" s="69" t="s">
        <v>297</v>
      </c>
      <c r="AI1073" s="243" t="s">
        <v>134</v>
      </c>
      <c r="AJ1073" s="243" t="s">
        <v>419</v>
      </c>
      <c r="AK1073" s="246"/>
      <c r="AL1073" s="43" t="str">
        <f t="shared" si="277"/>
        <v>-</v>
      </c>
      <c r="AM1073" s="43">
        <f t="shared" si="265"/>
        <v>0</v>
      </c>
      <c r="AN1073" s="193">
        <f t="shared" si="265"/>
        <v>0</v>
      </c>
      <c r="AO1073" s="270" t="str">
        <f t="shared" si="266"/>
        <v>-</v>
      </c>
      <c r="AP1073" s="266"/>
      <c r="AQ1073" s="26" t="str">
        <f t="shared" si="273"/>
        <v>WHITE PINE COVE CREEKPink</v>
      </c>
      <c r="AR1073" s="26">
        <f t="shared" si="267"/>
        <v>0</v>
      </c>
      <c r="AS1073" s="33">
        <f t="shared" si="268"/>
        <v>0</v>
      </c>
      <c r="AX1073" s="47" t="str">
        <f t="shared" si="269"/>
        <v>WHITE PINE COVE CREEKPink</v>
      </c>
      <c r="AY1073" s="49">
        <f t="shared" si="270"/>
        <v>0</v>
      </c>
      <c r="AZ1073" s="49">
        <f t="shared" si="271"/>
        <v>0</v>
      </c>
      <c r="BA1073" s="31">
        <v>0</v>
      </c>
      <c r="BB1073" s="188">
        <f t="shared" si="274"/>
        <v>0</v>
      </c>
      <c r="BC1073" s="188" t="str">
        <f t="shared" si="278"/>
        <v xml:space="preserve"> </v>
      </c>
      <c r="BD1073" s="188" t="str">
        <f t="shared" si="279"/>
        <v xml:space="preserve"> </v>
      </c>
      <c r="BE1073" s="188" t="str">
        <f t="shared" si="280"/>
        <v xml:space="preserve"> </v>
      </c>
      <c r="BF1073" s="50" t="str">
        <f t="shared" si="272"/>
        <v>WHITE PINE COVE CREEK_Pink</v>
      </c>
      <c r="BG1073" s="50" t="str">
        <f>IFERROR(VLOOKUP(BF1073,'[1]WCVI Esc'!$C$5:$W$514,18,FALSE),"-")</f>
        <v>-</v>
      </c>
      <c r="BH1073" s="50" t="str">
        <f t="shared" si="275"/>
        <v>-</v>
      </c>
      <c r="BI1073" s="50" t="str">
        <f>IFERROR(VLOOKUP(BF1073,'[1]WCVI Esc'!$C$5:$W$514,19,FALSE),"-")</f>
        <v>-</v>
      </c>
      <c r="BJ1073" s="50" t="str">
        <f t="shared" si="276"/>
        <v>-</v>
      </c>
    </row>
    <row r="1074" spans="1:62" hidden="1" x14ac:dyDescent="0.2">
      <c r="A1074" s="28">
        <v>4</v>
      </c>
      <c r="B1074" s="28">
        <v>4</v>
      </c>
      <c r="C1074" s="11">
        <v>24</v>
      </c>
      <c r="D1074" s="13" t="s">
        <v>297</v>
      </c>
      <c r="E1074" s="10" t="s">
        <v>134</v>
      </c>
      <c r="F1074" s="10" t="s">
        <v>209</v>
      </c>
      <c r="G1074" s="10"/>
      <c r="H1074" s="152"/>
      <c r="I1074" s="164"/>
      <c r="J1074" s="62"/>
      <c r="K1074" s="62"/>
      <c r="L1074" s="177"/>
      <c r="M1074" s="171"/>
      <c r="N1074" s="62"/>
      <c r="O1074" s="62"/>
      <c r="P1074" s="62"/>
      <c r="Q1074" s="162"/>
      <c r="R1074" s="169"/>
      <c r="S1074" s="62"/>
      <c r="T1074" s="62"/>
      <c r="U1074" s="62"/>
      <c r="V1074" s="177"/>
      <c r="W1074" s="171"/>
      <c r="X1074" s="62"/>
      <c r="Y1074" s="45"/>
      <c r="Z1074" s="45"/>
      <c r="AA1074" s="100">
        <f>Y1074/AP1074</f>
        <v>0</v>
      </c>
      <c r="AB1074" s="100">
        <f>AS1074/AP1074</f>
        <v>0</v>
      </c>
      <c r="AC1074" s="24"/>
      <c r="AD1074" s="24"/>
      <c r="AE1074" s="24"/>
      <c r="AF1074" s="24"/>
      <c r="AG1074" s="18">
        <v>24</v>
      </c>
      <c r="AH1074" s="69" t="s">
        <v>297</v>
      </c>
      <c r="AI1074" s="243" t="s">
        <v>134</v>
      </c>
      <c r="AJ1074" s="243" t="s">
        <v>419</v>
      </c>
      <c r="AK1074" s="246"/>
      <c r="AL1074" s="43" t="str">
        <f t="shared" si="277"/>
        <v>-</v>
      </c>
      <c r="AM1074" s="43">
        <f t="shared" si="265"/>
        <v>0</v>
      </c>
      <c r="AN1074" s="193">
        <f t="shared" si="265"/>
        <v>0</v>
      </c>
      <c r="AO1074" s="270" t="str">
        <f t="shared" si="266"/>
        <v>-</v>
      </c>
      <c r="AP1074" s="265">
        <f>BJ1074</f>
        <v>40</v>
      </c>
      <c r="AQ1074" s="26" t="str">
        <f t="shared" si="273"/>
        <v>WHITE PINE COVE CREEKChum</v>
      </c>
      <c r="AR1074" s="26">
        <f t="shared" si="267"/>
        <v>0</v>
      </c>
      <c r="AS1074" s="33">
        <f t="shared" si="268"/>
        <v>0</v>
      </c>
      <c r="AX1074" s="47" t="str">
        <f t="shared" si="269"/>
        <v>WHITE PINE COVE CREEKChum</v>
      </c>
      <c r="AY1074" s="49">
        <f t="shared" si="270"/>
        <v>0</v>
      </c>
      <c r="AZ1074" s="49">
        <f t="shared" si="271"/>
        <v>0</v>
      </c>
      <c r="BA1074" s="31">
        <v>2013</v>
      </c>
      <c r="BB1074" s="188">
        <f t="shared" si="274"/>
        <v>0</v>
      </c>
      <c r="BC1074" s="188" t="str">
        <f t="shared" si="278"/>
        <v xml:space="preserve"> </v>
      </c>
      <c r="BD1074" s="188" t="str">
        <f t="shared" si="279"/>
        <v xml:space="preserve"> </v>
      </c>
      <c r="BE1074" s="188" t="str">
        <f t="shared" si="280"/>
        <v xml:space="preserve"> </v>
      </c>
      <c r="BF1074" s="50" t="str">
        <f t="shared" si="272"/>
        <v>WHITE PINE COVE CREEK_Chum</v>
      </c>
      <c r="BG1074" s="50" t="str">
        <f>IFERROR(VLOOKUP(BF1074,'[1]WCVI Esc'!$C$5:$W$514,18,FALSE),"-")</f>
        <v>-</v>
      </c>
      <c r="BH1074" s="50" t="str">
        <f t="shared" si="275"/>
        <v>-</v>
      </c>
      <c r="BI1074" s="50">
        <f>IFERROR(VLOOKUP(BF1074,'[1]WCVI Esc'!$C$5:$W$514,19,FALSE),"-")</f>
        <v>44</v>
      </c>
      <c r="BJ1074" s="50">
        <f t="shared" si="276"/>
        <v>40</v>
      </c>
    </row>
    <row r="1075" spans="1:62" hidden="1" x14ac:dyDescent="0.2">
      <c r="A1075" s="28">
        <v>4</v>
      </c>
      <c r="B1075" s="28">
        <v>5</v>
      </c>
      <c r="C1075" s="11">
        <v>24</v>
      </c>
      <c r="D1075" s="13" t="s">
        <v>297</v>
      </c>
      <c r="E1075" s="10" t="s">
        <v>134</v>
      </c>
      <c r="F1075" s="10" t="s">
        <v>210</v>
      </c>
      <c r="G1075" s="10"/>
      <c r="H1075" s="152"/>
      <c r="I1075" s="164"/>
      <c r="J1075" s="62"/>
      <c r="K1075" s="62"/>
      <c r="L1075" s="177"/>
      <c r="M1075" s="171"/>
      <c r="N1075" s="62"/>
      <c r="O1075" s="62"/>
      <c r="P1075" s="62"/>
      <c r="Q1075" s="162"/>
      <c r="R1075" s="169"/>
      <c r="S1075" s="62"/>
      <c r="T1075" s="62"/>
      <c r="U1075" s="62"/>
      <c r="V1075" s="177"/>
      <c r="W1075" s="171"/>
      <c r="X1075" s="62"/>
      <c r="Y1075" s="45"/>
      <c r="Z1075" s="45"/>
      <c r="AA1075" s="100"/>
      <c r="AB1075" s="100"/>
      <c r="AC1075" s="24"/>
      <c r="AD1075" s="24"/>
      <c r="AE1075" s="24"/>
      <c r="AF1075" s="24"/>
      <c r="AG1075" s="18">
        <v>24</v>
      </c>
      <c r="AH1075" s="69" t="s">
        <v>297</v>
      </c>
      <c r="AI1075" s="243" t="s">
        <v>134</v>
      </c>
      <c r="AJ1075" s="243" t="s">
        <v>419</v>
      </c>
      <c r="AK1075" s="246"/>
      <c r="AL1075" s="43" t="str">
        <f t="shared" si="277"/>
        <v>-</v>
      </c>
      <c r="AM1075" s="43">
        <f t="shared" si="265"/>
        <v>0</v>
      </c>
      <c r="AN1075" s="193">
        <f t="shared" si="265"/>
        <v>0</v>
      </c>
      <c r="AO1075" s="270" t="str">
        <f t="shared" si="266"/>
        <v>-</v>
      </c>
      <c r="AP1075" s="266"/>
      <c r="AQ1075" s="26" t="str">
        <f t="shared" si="273"/>
        <v>WHITE PINE COVE CREEKChinook</v>
      </c>
      <c r="AR1075" s="26">
        <f t="shared" si="267"/>
        <v>0</v>
      </c>
      <c r="AS1075" s="33">
        <f t="shared" si="268"/>
        <v>0</v>
      </c>
      <c r="AX1075" s="47" t="str">
        <f t="shared" si="269"/>
        <v>WHITE PINE COVE CREEKChinook</v>
      </c>
      <c r="AY1075" s="49">
        <f t="shared" si="270"/>
        <v>0</v>
      </c>
      <c r="AZ1075" s="49">
        <f t="shared" si="271"/>
        <v>0</v>
      </c>
      <c r="BA1075" s="31">
        <v>0</v>
      </c>
      <c r="BB1075" s="188">
        <f t="shared" si="274"/>
        <v>0</v>
      </c>
      <c r="BC1075" s="188" t="str">
        <f t="shared" si="278"/>
        <v xml:space="preserve"> </v>
      </c>
      <c r="BD1075" s="188" t="str">
        <f t="shared" si="279"/>
        <v xml:space="preserve"> </v>
      </c>
      <c r="BE1075" s="188" t="str">
        <f t="shared" si="280"/>
        <v xml:space="preserve"> </v>
      </c>
      <c r="BF1075" s="50" t="str">
        <f t="shared" si="272"/>
        <v>WHITE PINE COVE CREEK_Chinook</v>
      </c>
      <c r="BG1075" s="50" t="str">
        <f>IFERROR(VLOOKUP(BF1075,'[1]WCVI Esc'!$C$5:$W$514,18,FALSE),"-")</f>
        <v>-</v>
      </c>
      <c r="BH1075" s="50" t="str">
        <f t="shared" si="275"/>
        <v>-</v>
      </c>
      <c r="BI1075" s="50" t="str">
        <f>IFERROR(VLOOKUP(BF1075,'[1]WCVI Esc'!$C$5:$W$514,19,FALSE),"-")</f>
        <v>-</v>
      </c>
      <c r="BJ1075" s="50" t="str">
        <f t="shared" si="276"/>
        <v>-</v>
      </c>
    </row>
    <row r="1076" spans="1:62" hidden="1" x14ac:dyDescent="0.2">
      <c r="A1076" s="28">
        <v>4</v>
      </c>
      <c r="B1076" s="28">
        <v>6</v>
      </c>
      <c r="C1076" s="11">
        <v>24</v>
      </c>
      <c r="D1076" s="13" t="s">
        <v>297</v>
      </c>
      <c r="E1076" s="10" t="s">
        <v>134</v>
      </c>
      <c r="F1076" s="10" t="s">
        <v>211</v>
      </c>
      <c r="G1076" s="10"/>
      <c r="H1076" s="152"/>
      <c r="I1076" s="164"/>
      <c r="J1076" s="62"/>
      <c r="K1076" s="62"/>
      <c r="L1076" s="177"/>
      <c r="M1076" s="171"/>
      <c r="N1076" s="62"/>
      <c r="O1076" s="62"/>
      <c r="P1076" s="62"/>
      <c r="Q1076" s="162"/>
      <c r="R1076" s="169"/>
      <c r="S1076" s="62"/>
      <c r="T1076" s="62"/>
      <c r="U1076" s="62"/>
      <c r="V1076" s="177"/>
      <c r="W1076" s="171"/>
      <c r="X1076" s="62"/>
      <c r="Y1076" s="45"/>
      <c r="Z1076" s="45"/>
      <c r="AA1076" s="100"/>
      <c r="AB1076" s="100"/>
      <c r="AC1076" s="24"/>
      <c r="AD1076" s="24"/>
      <c r="AE1076" s="24"/>
      <c r="AF1076" s="24"/>
      <c r="AG1076" s="18">
        <v>24</v>
      </c>
      <c r="AH1076" s="69" t="s">
        <v>297</v>
      </c>
      <c r="AI1076" s="243" t="s">
        <v>134</v>
      </c>
      <c r="AJ1076" s="243" t="s">
        <v>419</v>
      </c>
      <c r="AK1076" s="246"/>
      <c r="AL1076" s="43" t="str">
        <f t="shared" si="277"/>
        <v>-</v>
      </c>
      <c r="AM1076" s="43">
        <f t="shared" si="265"/>
        <v>0</v>
      </c>
      <c r="AN1076" s="193">
        <f t="shared" si="265"/>
        <v>0</v>
      </c>
      <c r="AO1076" s="270" t="str">
        <f t="shared" si="266"/>
        <v>-</v>
      </c>
      <c r="AP1076" s="266"/>
      <c r="AQ1076" s="26" t="str">
        <f t="shared" si="273"/>
        <v>WHITE PINE COVE CREEKSteelhead</v>
      </c>
      <c r="AR1076" s="26">
        <f t="shared" si="267"/>
        <v>0</v>
      </c>
      <c r="AS1076" s="33">
        <f t="shared" si="268"/>
        <v>0</v>
      </c>
      <c r="AX1076" s="47" t="str">
        <f t="shared" si="269"/>
        <v>WHITE PINE COVE CREEKSteelhead</v>
      </c>
      <c r="AY1076" s="49">
        <f t="shared" si="270"/>
        <v>0</v>
      </c>
      <c r="AZ1076" s="49">
        <f t="shared" si="271"/>
        <v>0</v>
      </c>
      <c r="BA1076" s="31">
        <v>0</v>
      </c>
      <c r="BB1076" s="188">
        <f t="shared" si="274"/>
        <v>0</v>
      </c>
      <c r="BC1076" s="188" t="str">
        <f t="shared" si="278"/>
        <v xml:space="preserve"> </v>
      </c>
      <c r="BD1076" s="188" t="str">
        <f t="shared" si="279"/>
        <v xml:space="preserve"> </v>
      </c>
      <c r="BE1076" s="188" t="str">
        <f t="shared" si="280"/>
        <v xml:space="preserve"> </v>
      </c>
      <c r="BF1076" s="50" t="str">
        <f t="shared" si="272"/>
        <v>WHITE PINE COVE CREEK_Steelhead</v>
      </c>
      <c r="BG1076" s="50" t="str">
        <f>IFERROR(VLOOKUP(BF1076,'[1]WCVI Esc'!$C$5:$W$514,18,FALSE),"-")</f>
        <v>-</v>
      </c>
      <c r="BH1076" s="50" t="str">
        <f t="shared" si="275"/>
        <v>-</v>
      </c>
      <c r="BI1076" s="50" t="str">
        <f>IFERROR(VLOOKUP(BF1076,'[1]WCVI Esc'!$C$5:$W$514,19,FALSE),"-")</f>
        <v>-</v>
      </c>
      <c r="BJ1076" s="50" t="str">
        <f t="shared" si="276"/>
        <v>-</v>
      </c>
    </row>
    <row r="1077" spans="1:62" hidden="1" x14ac:dyDescent="0.2">
      <c r="A1077" s="28">
        <v>4</v>
      </c>
      <c r="B1077" s="28">
        <v>1</v>
      </c>
      <c r="C1077" s="11">
        <v>25</v>
      </c>
      <c r="D1077" s="148" t="s">
        <v>299</v>
      </c>
      <c r="E1077" s="10" t="s">
        <v>136</v>
      </c>
      <c r="F1077" s="10" t="s">
        <v>207</v>
      </c>
      <c r="G1077" s="10"/>
      <c r="H1077" s="152"/>
      <c r="I1077" s="164"/>
      <c r="J1077" s="62"/>
      <c r="K1077" s="62"/>
      <c r="L1077" s="177"/>
      <c r="M1077" s="171"/>
      <c r="N1077" s="62"/>
      <c r="O1077" s="62"/>
      <c r="P1077" s="62"/>
      <c r="Q1077" s="64"/>
      <c r="R1077" s="164"/>
      <c r="S1077" s="62"/>
      <c r="T1077" s="62"/>
      <c r="U1077" s="62"/>
      <c r="V1077" s="177"/>
      <c r="W1077" s="171"/>
      <c r="X1077" s="62"/>
      <c r="Y1077" s="45"/>
      <c r="Z1077" s="45"/>
      <c r="AA1077" s="100"/>
      <c r="AB1077" s="100"/>
      <c r="AC1077" s="24"/>
      <c r="AD1077" s="24"/>
      <c r="AE1077" s="24"/>
      <c r="AF1077" s="24"/>
      <c r="AG1077" s="18">
        <v>25</v>
      </c>
      <c r="AH1077" s="69" t="s">
        <v>299</v>
      </c>
      <c r="AI1077" s="243" t="s">
        <v>136</v>
      </c>
      <c r="AJ1077" s="243" t="s">
        <v>419</v>
      </c>
      <c r="AK1077" s="246"/>
      <c r="AL1077" s="43" t="str">
        <f t="shared" si="277"/>
        <v>-</v>
      </c>
      <c r="AM1077" s="43">
        <f t="shared" si="265"/>
        <v>0</v>
      </c>
      <c r="AN1077" s="193">
        <f t="shared" si="265"/>
        <v>0</v>
      </c>
      <c r="AO1077" s="270" t="str">
        <f t="shared" si="266"/>
        <v>-</v>
      </c>
      <c r="AP1077" s="271"/>
      <c r="AQ1077" s="26" t="str">
        <f t="shared" si="273"/>
        <v>DESERTED CREEKSockeye</v>
      </c>
      <c r="AR1077" s="26">
        <f t="shared" si="267"/>
        <v>0</v>
      </c>
      <c r="AS1077" s="33">
        <f t="shared" si="268"/>
        <v>0</v>
      </c>
      <c r="AX1077" s="47" t="str">
        <f t="shared" si="269"/>
        <v>DESERTED CREEKSockeye</v>
      </c>
      <c r="AY1077" s="49">
        <f t="shared" si="270"/>
        <v>0</v>
      </c>
      <c r="AZ1077" s="49">
        <f t="shared" si="271"/>
        <v>0</v>
      </c>
      <c r="BA1077" s="31">
        <v>1998</v>
      </c>
      <c r="BB1077" s="188">
        <f t="shared" si="274"/>
        <v>0</v>
      </c>
      <c r="BC1077" s="188" t="str">
        <f t="shared" si="278"/>
        <v xml:space="preserve"> </v>
      </c>
      <c r="BD1077" s="188" t="str">
        <f t="shared" si="279"/>
        <v xml:space="preserve"> </v>
      </c>
      <c r="BE1077" s="188" t="str">
        <f t="shared" si="280"/>
        <v xml:space="preserve"> </v>
      </c>
      <c r="BF1077" s="50" t="str">
        <f t="shared" si="272"/>
        <v>DESERTED CREEK_Sockeye</v>
      </c>
      <c r="BG1077" s="50" t="str">
        <f>IFERROR(VLOOKUP(BF1077,'[1]WCVI Esc'!$C$5:$W$514,18,FALSE),"-")</f>
        <v>-</v>
      </c>
      <c r="BH1077" s="50" t="str">
        <f t="shared" si="275"/>
        <v>-</v>
      </c>
      <c r="BI1077" s="50" t="str">
        <f>IFERROR(VLOOKUP(BF1077,'[1]WCVI Esc'!$C$5:$W$514,19,FALSE),"-")</f>
        <v>-</v>
      </c>
      <c r="BJ1077" s="50" t="str">
        <f t="shared" si="276"/>
        <v>-</v>
      </c>
    </row>
    <row r="1078" spans="1:62" hidden="1" x14ac:dyDescent="0.2">
      <c r="A1078" s="28">
        <v>4</v>
      </c>
      <c r="B1078" s="28">
        <v>2</v>
      </c>
      <c r="C1078" s="11">
        <v>25</v>
      </c>
      <c r="D1078" s="148" t="s">
        <v>299</v>
      </c>
      <c r="E1078" s="10" t="s">
        <v>136</v>
      </c>
      <c r="F1078" s="10" t="s">
        <v>219</v>
      </c>
      <c r="G1078" s="10"/>
      <c r="H1078" s="152"/>
      <c r="I1078" s="164"/>
      <c r="J1078" s="62"/>
      <c r="K1078" s="62"/>
      <c r="L1078" s="177"/>
      <c r="M1078" s="171"/>
      <c r="N1078" s="62"/>
      <c r="O1078" s="62"/>
      <c r="P1078" s="62"/>
      <c r="Q1078" s="64"/>
      <c r="R1078" s="164"/>
      <c r="S1078" s="62"/>
      <c r="T1078" s="62"/>
      <c r="U1078" s="62"/>
      <c r="V1078" s="177"/>
      <c r="W1078" s="171"/>
      <c r="X1078" s="62"/>
      <c r="Y1078" s="45"/>
      <c r="Z1078" s="45"/>
      <c r="AA1078" s="100">
        <f>Y1078/AP1078</f>
        <v>0</v>
      </c>
      <c r="AB1078" s="100">
        <f>AS1078/AP1078</f>
        <v>0</v>
      </c>
      <c r="AC1078" s="24"/>
      <c r="AD1078" s="24"/>
      <c r="AE1078" s="24"/>
      <c r="AF1078" s="24"/>
      <c r="AG1078" s="18">
        <v>25</v>
      </c>
      <c r="AH1078" s="69" t="s">
        <v>299</v>
      </c>
      <c r="AI1078" s="243" t="s">
        <v>136</v>
      </c>
      <c r="AJ1078" s="243" t="s">
        <v>419</v>
      </c>
      <c r="AK1078" s="246"/>
      <c r="AL1078" s="43" t="str">
        <f t="shared" si="277"/>
        <v>-</v>
      </c>
      <c r="AM1078" s="43">
        <f t="shared" si="265"/>
        <v>0</v>
      </c>
      <c r="AN1078" s="193">
        <f t="shared" si="265"/>
        <v>0</v>
      </c>
      <c r="AO1078" s="270" t="str">
        <f t="shared" si="266"/>
        <v>-</v>
      </c>
      <c r="AP1078" s="265">
        <f>BJ1078</f>
        <v>10</v>
      </c>
      <c r="AQ1078" s="26" t="str">
        <f t="shared" si="273"/>
        <v>DESERTED CREEKCoho</v>
      </c>
      <c r="AR1078" s="26">
        <f t="shared" si="267"/>
        <v>0</v>
      </c>
      <c r="AS1078" s="33">
        <f t="shared" si="268"/>
        <v>0</v>
      </c>
      <c r="AX1078" s="47" t="str">
        <f t="shared" si="269"/>
        <v>DESERTED CREEKCoho</v>
      </c>
      <c r="AY1078" s="49">
        <f t="shared" si="270"/>
        <v>0</v>
      </c>
      <c r="AZ1078" s="49">
        <f t="shared" si="271"/>
        <v>0</v>
      </c>
      <c r="BA1078" s="31">
        <v>2011</v>
      </c>
      <c r="BB1078" s="188">
        <f t="shared" si="274"/>
        <v>0</v>
      </c>
      <c r="BC1078" s="188" t="str">
        <f t="shared" si="278"/>
        <v xml:space="preserve"> </v>
      </c>
      <c r="BD1078" s="188" t="str">
        <f t="shared" si="279"/>
        <v xml:space="preserve"> </v>
      </c>
      <c r="BE1078" s="188" t="str">
        <f t="shared" si="280"/>
        <v xml:space="preserve"> </v>
      </c>
      <c r="BF1078" s="50" t="str">
        <f t="shared" si="272"/>
        <v>DESERTED CREEK_Coho</v>
      </c>
      <c r="BG1078" s="50" t="str">
        <f>IFERROR(VLOOKUP(BF1078,'[1]WCVI Esc'!$C$5:$W$514,18,FALSE),"-")</f>
        <v>-</v>
      </c>
      <c r="BH1078" s="50" t="str">
        <f t="shared" si="275"/>
        <v>-</v>
      </c>
      <c r="BI1078" s="50">
        <f>IFERROR(VLOOKUP(BF1078,'[1]WCVI Esc'!$C$5:$W$514,19,FALSE),"-")</f>
        <v>6</v>
      </c>
      <c r="BJ1078" s="50">
        <f t="shared" si="276"/>
        <v>10</v>
      </c>
    </row>
    <row r="1079" spans="1:62" hidden="1" x14ac:dyDescent="0.2">
      <c r="A1079" s="28">
        <v>4</v>
      </c>
      <c r="B1079" s="28">
        <v>3</v>
      </c>
      <c r="C1079" s="11">
        <v>25</v>
      </c>
      <c r="D1079" s="148" t="s">
        <v>299</v>
      </c>
      <c r="E1079" s="10" t="s">
        <v>136</v>
      </c>
      <c r="F1079" s="10" t="s">
        <v>208</v>
      </c>
      <c r="G1079" s="10"/>
      <c r="H1079" s="152"/>
      <c r="I1079" s="164"/>
      <c r="J1079" s="62"/>
      <c r="K1079" s="62"/>
      <c r="L1079" s="177"/>
      <c r="M1079" s="171"/>
      <c r="N1079" s="62"/>
      <c r="O1079" s="62"/>
      <c r="P1079" s="62"/>
      <c r="Q1079" s="64"/>
      <c r="R1079" s="164"/>
      <c r="S1079" s="62"/>
      <c r="T1079" s="62"/>
      <c r="U1079" s="62"/>
      <c r="V1079" s="177"/>
      <c r="W1079" s="171"/>
      <c r="X1079" s="62"/>
      <c r="Y1079" s="45"/>
      <c r="Z1079" s="45"/>
      <c r="AA1079" s="100"/>
      <c r="AB1079" s="100"/>
      <c r="AC1079" s="24"/>
      <c r="AD1079" s="24"/>
      <c r="AE1079" s="24"/>
      <c r="AF1079" s="24"/>
      <c r="AG1079" s="18">
        <v>25</v>
      </c>
      <c r="AH1079" s="69" t="s">
        <v>299</v>
      </c>
      <c r="AI1079" s="243" t="s">
        <v>136</v>
      </c>
      <c r="AJ1079" s="243" t="s">
        <v>419</v>
      </c>
      <c r="AK1079" s="246"/>
      <c r="AL1079" s="43" t="str">
        <f t="shared" si="277"/>
        <v>-</v>
      </c>
      <c r="AM1079" s="43">
        <f t="shared" si="265"/>
        <v>0</v>
      </c>
      <c r="AN1079" s="193">
        <f t="shared" si="265"/>
        <v>0</v>
      </c>
      <c r="AO1079" s="270" t="str">
        <f t="shared" si="266"/>
        <v>-</v>
      </c>
      <c r="AP1079" s="266"/>
      <c r="AQ1079" s="26" t="str">
        <f t="shared" si="273"/>
        <v>DESERTED CREEKPink</v>
      </c>
      <c r="AR1079" s="26">
        <f t="shared" si="267"/>
        <v>0</v>
      </c>
      <c r="AS1079" s="33">
        <f t="shared" si="268"/>
        <v>0</v>
      </c>
      <c r="AX1079" s="47" t="str">
        <f t="shared" si="269"/>
        <v>DESERTED CREEKPink</v>
      </c>
      <c r="AY1079" s="49">
        <f t="shared" si="270"/>
        <v>0</v>
      </c>
      <c r="AZ1079" s="49">
        <f t="shared" si="271"/>
        <v>0</v>
      </c>
      <c r="BA1079" s="31">
        <v>0</v>
      </c>
      <c r="BB1079" s="188">
        <f t="shared" si="274"/>
        <v>0</v>
      </c>
      <c r="BC1079" s="188" t="str">
        <f t="shared" si="278"/>
        <v xml:space="preserve"> </v>
      </c>
      <c r="BD1079" s="188" t="str">
        <f t="shared" si="279"/>
        <v xml:space="preserve"> </v>
      </c>
      <c r="BE1079" s="188" t="str">
        <f t="shared" si="280"/>
        <v xml:space="preserve"> </v>
      </c>
      <c r="BF1079" s="50" t="str">
        <f t="shared" si="272"/>
        <v>DESERTED CREEK_Pink</v>
      </c>
      <c r="BG1079" s="50" t="str">
        <f>IFERROR(VLOOKUP(BF1079,'[1]WCVI Esc'!$C$5:$W$514,18,FALSE),"-")</f>
        <v>-</v>
      </c>
      <c r="BH1079" s="50" t="str">
        <f t="shared" si="275"/>
        <v>-</v>
      </c>
      <c r="BI1079" s="50" t="str">
        <f>IFERROR(VLOOKUP(BF1079,'[1]WCVI Esc'!$C$5:$W$514,19,FALSE),"-")</f>
        <v>-</v>
      </c>
      <c r="BJ1079" s="50" t="str">
        <f t="shared" si="276"/>
        <v>-</v>
      </c>
    </row>
    <row r="1080" spans="1:62" hidden="1" x14ac:dyDescent="0.2">
      <c r="A1080" s="28">
        <v>4</v>
      </c>
      <c r="B1080" s="28">
        <v>4</v>
      </c>
      <c r="C1080" s="11">
        <v>25</v>
      </c>
      <c r="D1080" s="148" t="s">
        <v>299</v>
      </c>
      <c r="E1080" s="10" t="s">
        <v>136</v>
      </c>
      <c r="F1080" s="10" t="s">
        <v>209</v>
      </c>
      <c r="G1080" s="10"/>
      <c r="H1080" s="152"/>
      <c r="I1080" s="164"/>
      <c r="J1080" s="62"/>
      <c r="K1080" s="62"/>
      <c r="L1080" s="177"/>
      <c r="M1080" s="171"/>
      <c r="N1080" s="62"/>
      <c r="O1080" s="62"/>
      <c r="P1080" s="62"/>
      <c r="Q1080" s="64"/>
      <c r="R1080" s="164"/>
      <c r="S1080" s="62"/>
      <c r="T1080" s="62"/>
      <c r="U1080" s="62"/>
      <c r="V1080" s="177"/>
      <c r="W1080" s="171"/>
      <c r="X1080" s="62"/>
      <c r="Y1080" s="45"/>
      <c r="Z1080" s="45"/>
      <c r="AA1080" s="100">
        <f>Y1080/AP1080</f>
        <v>0</v>
      </c>
      <c r="AB1080" s="100">
        <f>AS1080/AP1080</f>
        <v>0</v>
      </c>
      <c r="AC1080" s="24"/>
      <c r="AD1080" s="24"/>
      <c r="AE1080" s="24"/>
      <c r="AF1080" s="24"/>
      <c r="AG1080" s="18">
        <v>25</v>
      </c>
      <c r="AH1080" s="69" t="s">
        <v>299</v>
      </c>
      <c r="AI1080" s="243" t="s">
        <v>136</v>
      </c>
      <c r="AJ1080" s="243" t="s">
        <v>419</v>
      </c>
      <c r="AK1080" s="246"/>
      <c r="AL1080" s="43" t="str">
        <f t="shared" si="277"/>
        <v>-</v>
      </c>
      <c r="AM1080" s="43">
        <f t="shared" si="265"/>
        <v>0</v>
      </c>
      <c r="AN1080" s="193">
        <f t="shared" si="265"/>
        <v>0</v>
      </c>
      <c r="AO1080" s="270" t="str">
        <f t="shared" si="266"/>
        <v>-</v>
      </c>
      <c r="AP1080" s="265">
        <f>BJ1080</f>
        <v>770</v>
      </c>
      <c r="AQ1080" s="26" t="str">
        <f t="shared" si="273"/>
        <v>DESERTED CREEKChum</v>
      </c>
      <c r="AR1080" s="26">
        <f t="shared" si="267"/>
        <v>0</v>
      </c>
      <c r="AS1080" s="33">
        <f t="shared" si="268"/>
        <v>0</v>
      </c>
      <c r="AX1080" s="47" t="str">
        <f t="shared" si="269"/>
        <v>DESERTED CREEKChum</v>
      </c>
      <c r="AY1080" s="49">
        <f t="shared" si="270"/>
        <v>0</v>
      </c>
      <c r="AZ1080" s="49">
        <f t="shared" si="271"/>
        <v>0</v>
      </c>
      <c r="BA1080" s="31">
        <v>2013</v>
      </c>
      <c r="BB1080" s="188">
        <f t="shared" si="274"/>
        <v>0</v>
      </c>
      <c r="BC1080" s="188" t="str">
        <f t="shared" si="278"/>
        <v xml:space="preserve"> </v>
      </c>
      <c r="BD1080" s="188" t="str">
        <f t="shared" si="279"/>
        <v xml:space="preserve"> </v>
      </c>
      <c r="BE1080" s="188" t="str">
        <f t="shared" si="280"/>
        <v xml:space="preserve"> </v>
      </c>
      <c r="BF1080" s="50" t="str">
        <f t="shared" si="272"/>
        <v>DESERTED CREEK_Chum</v>
      </c>
      <c r="BG1080" s="50" t="str">
        <f>IFERROR(VLOOKUP(BF1080,'[1]WCVI Esc'!$C$5:$W$514,18,FALSE),"-")</f>
        <v>-</v>
      </c>
      <c r="BH1080" s="50" t="str">
        <f t="shared" si="275"/>
        <v>-</v>
      </c>
      <c r="BI1080" s="50">
        <f>IFERROR(VLOOKUP(BF1080,'[1]WCVI Esc'!$C$5:$W$514,19,FALSE),"-")</f>
        <v>770.33333333333337</v>
      </c>
      <c r="BJ1080" s="50">
        <f t="shared" si="276"/>
        <v>770</v>
      </c>
    </row>
    <row r="1081" spans="1:62" x14ac:dyDescent="0.2">
      <c r="A1081" s="28">
        <v>4</v>
      </c>
      <c r="B1081" s="28">
        <v>5</v>
      </c>
      <c r="C1081" s="11">
        <v>25</v>
      </c>
      <c r="D1081" s="148" t="s">
        <v>299</v>
      </c>
      <c r="E1081" s="10" t="s">
        <v>136</v>
      </c>
      <c r="F1081" s="10" t="s">
        <v>210</v>
      </c>
      <c r="G1081" s="10"/>
      <c r="H1081" s="152"/>
      <c r="I1081" s="164"/>
      <c r="J1081" s="62"/>
      <c r="K1081" s="62"/>
      <c r="L1081" s="177"/>
      <c r="M1081" s="171"/>
      <c r="N1081" s="62"/>
      <c r="O1081" s="62"/>
      <c r="P1081" s="62"/>
      <c r="Q1081" s="64"/>
      <c r="R1081" s="164"/>
      <c r="S1081" s="62"/>
      <c r="T1081" s="62"/>
      <c r="U1081" s="62"/>
      <c r="V1081" s="177"/>
      <c r="W1081" s="171"/>
      <c r="X1081" s="62"/>
      <c r="Y1081" s="45"/>
      <c r="Z1081" s="45"/>
      <c r="AA1081" s="100"/>
      <c r="AB1081" s="100"/>
      <c r="AC1081" s="24"/>
      <c r="AD1081" s="24"/>
      <c r="AE1081" s="24"/>
      <c r="AF1081" s="24"/>
      <c r="AG1081" s="18">
        <v>25</v>
      </c>
      <c r="AH1081" s="69" t="s">
        <v>299</v>
      </c>
      <c r="AI1081" s="243" t="s">
        <v>136</v>
      </c>
      <c r="AJ1081" s="243" t="s">
        <v>419</v>
      </c>
      <c r="AK1081" s="246"/>
      <c r="AL1081" s="43" t="str">
        <f t="shared" si="277"/>
        <v>-</v>
      </c>
      <c r="AM1081" s="43">
        <f t="shared" si="265"/>
        <v>0</v>
      </c>
      <c r="AN1081" s="193">
        <f t="shared" si="265"/>
        <v>0</v>
      </c>
      <c r="AO1081" s="270" t="str">
        <f t="shared" si="266"/>
        <v>-</v>
      </c>
      <c r="AP1081" s="265" t="str">
        <f>BJ1081</f>
        <v>-</v>
      </c>
      <c r="AQ1081" s="26" t="str">
        <f t="shared" si="273"/>
        <v>DESERTED CREEKChinook</v>
      </c>
      <c r="AR1081" s="26">
        <f t="shared" si="267"/>
        <v>0</v>
      </c>
      <c r="AS1081" s="33">
        <f t="shared" si="268"/>
        <v>0</v>
      </c>
      <c r="AX1081" s="47" t="str">
        <f t="shared" si="269"/>
        <v>DESERTED CREEKChinook</v>
      </c>
      <c r="AY1081" s="49">
        <f t="shared" si="270"/>
        <v>0</v>
      </c>
      <c r="AZ1081" s="49">
        <f t="shared" si="271"/>
        <v>0</v>
      </c>
      <c r="BA1081" s="31">
        <v>2006</v>
      </c>
      <c r="BB1081" s="188">
        <f t="shared" si="274"/>
        <v>0</v>
      </c>
      <c r="BC1081" s="188" t="str">
        <f t="shared" si="278"/>
        <v xml:space="preserve"> </v>
      </c>
      <c r="BD1081" s="188" t="str">
        <f t="shared" si="279"/>
        <v xml:space="preserve"> </v>
      </c>
      <c r="BE1081" s="188" t="str">
        <f t="shared" si="280"/>
        <v xml:space="preserve"> </v>
      </c>
      <c r="BF1081" s="50" t="str">
        <f t="shared" si="272"/>
        <v>DESERTED CREEK_Chinook</v>
      </c>
      <c r="BG1081" s="50" t="str">
        <f>IFERROR(VLOOKUP(BF1081,'[1]WCVI Esc'!$C$5:$W$514,18,FALSE),"-")</f>
        <v>-</v>
      </c>
      <c r="BH1081" s="50" t="str">
        <f t="shared" si="275"/>
        <v>-</v>
      </c>
      <c r="BI1081" s="50" t="str">
        <f>IFERROR(VLOOKUP(BF1081,'[1]WCVI Esc'!$C$5:$W$514,19,FALSE),"-")</f>
        <v>-</v>
      </c>
      <c r="BJ1081" s="50" t="str">
        <f t="shared" si="276"/>
        <v>-</v>
      </c>
    </row>
    <row r="1082" spans="1:62" hidden="1" x14ac:dyDescent="0.2">
      <c r="A1082" s="28">
        <v>4</v>
      </c>
      <c r="B1082" s="28">
        <v>6</v>
      </c>
      <c r="C1082" s="11">
        <v>25</v>
      </c>
      <c r="D1082" s="148" t="s">
        <v>299</v>
      </c>
      <c r="E1082" s="10" t="s">
        <v>136</v>
      </c>
      <c r="F1082" s="10" t="s">
        <v>211</v>
      </c>
      <c r="G1082" s="10"/>
      <c r="H1082" s="152"/>
      <c r="I1082" s="164"/>
      <c r="J1082" s="62"/>
      <c r="K1082" s="62"/>
      <c r="L1082" s="177"/>
      <c r="M1082" s="171"/>
      <c r="N1082" s="62"/>
      <c r="O1082" s="62"/>
      <c r="P1082" s="62"/>
      <c r="Q1082" s="64"/>
      <c r="R1082" s="164"/>
      <c r="S1082" s="62"/>
      <c r="T1082" s="62"/>
      <c r="U1082" s="62"/>
      <c r="V1082" s="177"/>
      <c r="W1082" s="171"/>
      <c r="X1082" s="62"/>
      <c r="Y1082" s="45"/>
      <c r="Z1082" s="45"/>
      <c r="AA1082" s="100"/>
      <c r="AB1082" s="100"/>
      <c r="AC1082" s="24"/>
      <c r="AD1082" s="24"/>
      <c r="AE1082" s="24"/>
      <c r="AF1082" s="24"/>
      <c r="AG1082" s="18">
        <v>25</v>
      </c>
      <c r="AH1082" s="69" t="s">
        <v>299</v>
      </c>
      <c r="AI1082" s="243" t="s">
        <v>136</v>
      </c>
      <c r="AJ1082" s="243" t="s">
        <v>419</v>
      </c>
      <c r="AK1082" s="246"/>
      <c r="AL1082" s="43" t="str">
        <f t="shared" si="277"/>
        <v>-</v>
      </c>
      <c r="AM1082" s="43">
        <f t="shared" si="265"/>
        <v>0</v>
      </c>
      <c r="AN1082" s="193">
        <f t="shared" si="265"/>
        <v>0</v>
      </c>
      <c r="AO1082" s="270" t="str">
        <f t="shared" si="266"/>
        <v>-</v>
      </c>
      <c r="AP1082" s="266"/>
      <c r="AQ1082" s="26" t="str">
        <f t="shared" si="273"/>
        <v>DESERTED CREEKSteelhead</v>
      </c>
      <c r="AR1082" s="26">
        <f t="shared" si="267"/>
        <v>0</v>
      </c>
      <c r="AS1082" s="33">
        <f t="shared" si="268"/>
        <v>0</v>
      </c>
      <c r="AX1082" s="47" t="str">
        <f t="shared" si="269"/>
        <v>DESERTED CREEKSteelhead</v>
      </c>
      <c r="AY1082" s="49">
        <f t="shared" si="270"/>
        <v>0</v>
      </c>
      <c r="AZ1082" s="49">
        <f t="shared" si="271"/>
        <v>0</v>
      </c>
      <c r="BA1082" s="31">
        <v>0</v>
      </c>
      <c r="BB1082" s="188">
        <f t="shared" si="274"/>
        <v>0</v>
      </c>
      <c r="BC1082" s="188" t="str">
        <f t="shared" si="278"/>
        <v xml:space="preserve"> </v>
      </c>
      <c r="BD1082" s="188" t="str">
        <f t="shared" si="279"/>
        <v xml:space="preserve"> </v>
      </c>
      <c r="BE1082" s="188" t="str">
        <f t="shared" si="280"/>
        <v xml:space="preserve"> </v>
      </c>
      <c r="BF1082" s="50" t="str">
        <f t="shared" si="272"/>
        <v>DESERTED CREEK_Steelhead</v>
      </c>
      <c r="BG1082" s="50" t="str">
        <f>IFERROR(VLOOKUP(BF1082,'[1]WCVI Esc'!$C$5:$W$514,18,FALSE),"-")</f>
        <v>-</v>
      </c>
      <c r="BH1082" s="50" t="str">
        <f t="shared" si="275"/>
        <v>-</v>
      </c>
      <c r="BI1082" s="50" t="str">
        <f>IFERROR(VLOOKUP(BF1082,'[1]WCVI Esc'!$C$5:$W$514,19,FALSE),"-")</f>
        <v>-</v>
      </c>
      <c r="BJ1082" s="50" t="str">
        <f t="shared" si="276"/>
        <v>-</v>
      </c>
    </row>
    <row r="1083" spans="1:62" hidden="1" x14ac:dyDescent="0.2">
      <c r="A1083" s="28">
        <v>4</v>
      </c>
      <c r="B1083" s="28">
        <v>1</v>
      </c>
      <c r="C1083" s="11">
        <v>25</v>
      </c>
      <c r="D1083" s="13" t="s">
        <v>300</v>
      </c>
      <c r="E1083" s="10" t="s">
        <v>137</v>
      </c>
      <c r="F1083" s="10" t="s">
        <v>207</v>
      </c>
      <c r="G1083" s="10"/>
      <c r="H1083" s="152"/>
      <c r="I1083" s="164"/>
      <c r="J1083" s="62"/>
      <c r="K1083" s="62"/>
      <c r="L1083" s="177"/>
      <c r="M1083" s="171"/>
      <c r="N1083" s="62"/>
      <c r="O1083" s="62"/>
      <c r="P1083" s="62"/>
      <c r="Q1083" s="64"/>
      <c r="R1083" s="164"/>
      <c r="S1083" s="62"/>
      <c r="T1083" s="62"/>
      <c r="U1083" s="62"/>
      <c r="V1083" s="177"/>
      <c r="W1083" s="171"/>
      <c r="X1083" s="62"/>
      <c r="Y1083" s="45"/>
      <c r="Z1083" s="45"/>
      <c r="AA1083" s="100"/>
      <c r="AB1083" s="100"/>
      <c r="AC1083" s="24"/>
      <c r="AD1083" s="24"/>
      <c r="AE1083" s="24"/>
      <c r="AF1083" s="24"/>
      <c r="AG1083" s="18">
        <v>25</v>
      </c>
      <c r="AH1083" s="69" t="s">
        <v>300</v>
      </c>
      <c r="AI1083" s="243" t="s">
        <v>137</v>
      </c>
      <c r="AJ1083" s="243" t="s">
        <v>419</v>
      </c>
      <c r="AK1083" s="246"/>
      <c r="AL1083" s="43" t="str">
        <f t="shared" si="277"/>
        <v>-</v>
      </c>
      <c r="AM1083" s="43">
        <f t="shared" si="265"/>
        <v>0</v>
      </c>
      <c r="AN1083" s="193">
        <f t="shared" si="265"/>
        <v>0</v>
      </c>
      <c r="AO1083" s="270" t="str">
        <f t="shared" si="266"/>
        <v>-</v>
      </c>
      <c r="AP1083" s="266"/>
      <c r="AQ1083" s="26" t="str">
        <f t="shared" si="273"/>
        <v>ELIZA CREEKSockeye</v>
      </c>
      <c r="AR1083" s="26">
        <f t="shared" si="267"/>
        <v>0</v>
      </c>
      <c r="AS1083" s="33">
        <f t="shared" si="268"/>
        <v>0</v>
      </c>
      <c r="AX1083" s="47" t="str">
        <f t="shared" si="269"/>
        <v>ELIZA CREEKSockeye</v>
      </c>
      <c r="AY1083" s="49">
        <f t="shared" si="270"/>
        <v>0</v>
      </c>
      <c r="AZ1083" s="49">
        <f t="shared" si="271"/>
        <v>0</v>
      </c>
      <c r="BA1083" s="31">
        <v>0</v>
      </c>
      <c r="BB1083" s="188">
        <f t="shared" si="274"/>
        <v>0</v>
      </c>
      <c r="BC1083" s="188" t="str">
        <f t="shared" si="278"/>
        <v xml:space="preserve"> </v>
      </c>
      <c r="BD1083" s="188" t="str">
        <f t="shared" si="279"/>
        <v xml:space="preserve"> </v>
      </c>
      <c r="BE1083" s="188" t="str">
        <f t="shared" si="280"/>
        <v xml:space="preserve"> </v>
      </c>
      <c r="BF1083" s="50" t="str">
        <f t="shared" si="272"/>
        <v>ELIZA CREEK_Sockeye</v>
      </c>
      <c r="BG1083" s="50" t="str">
        <f>IFERROR(VLOOKUP(BF1083,'[1]WCVI Esc'!$C$5:$W$514,18,FALSE),"-")</f>
        <v>-</v>
      </c>
      <c r="BH1083" s="50" t="str">
        <f t="shared" si="275"/>
        <v>-</v>
      </c>
      <c r="BI1083" s="50" t="str">
        <f>IFERROR(VLOOKUP(BF1083,'[1]WCVI Esc'!$C$5:$W$514,19,FALSE),"-")</f>
        <v>-</v>
      </c>
      <c r="BJ1083" s="50" t="str">
        <f t="shared" si="276"/>
        <v>-</v>
      </c>
    </row>
    <row r="1084" spans="1:62" hidden="1" x14ac:dyDescent="0.2">
      <c r="A1084" s="28">
        <v>4</v>
      </c>
      <c r="B1084" s="28">
        <v>2</v>
      </c>
      <c r="C1084" s="11">
        <v>25</v>
      </c>
      <c r="D1084" s="13" t="s">
        <v>300</v>
      </c>
      <c r="E1084" s="10" t="s">
        <v>137</v>
      </c>
      <c r="F1084" s="10" t="s">
        <v>219</v>
      </c>
      <c r="G1084" s="10"/>
      <c r="H1084" s="152"/>
      <c r="I1084" s="164"/>
      <c r="J1084" s="62"/>
      <c r="K1084" s="62"/>
      <c r="L1084" s="177"/>
      <c r="M1084" s="171"/>
      <c r="N1084" s="62"/>
      <c r="O1084" s="62"/>
      <c r="P1084" s="62"/>
      <c r="Q1084" s="64"/>
      <c r="R1084" s="164"/>
      <c r="S1084" s="62"/>
      <c r="T1084" s="62"/>
      <c r="U1084" s="62"/>
      <c r="V1084" s="177"/>
      <c r="W1084" s="171"/>
      <c r="X1084" s="62"/>
      <c r="Y1084" s="45"/>
      <c r="Z1084" s="45"/>
      <c r="AA1084" s="100">
        <f>Y1084/AP1084</f>
        <v>0</v>
      </c>
      <c r="AB1084" s="100">
        <f>AS1084/AP1084</f>
        <v>0</v>
      </c>
      <c r="AC1084" s="24"/>
      <c r="AD1084" s="24"/>
      <c r="AE1084" s="24"/>
      <c r="AF1084" s="24"/>
      <c r="AG1084" s="18">
        <v>25</v>
      </c>
      <c r="AH1084" s="69" t="s">
        <v>300</v>
      </c>
      <c r="AI1084" s="243" t="s">
        <v>137</v>
      </c>
      <c r="AJ1084" s="243" t="s">
        <v>419</v>
      </c>
      <c r="AK1084" s="246"/>
      <c r="AL1084" s="43" t="str">
        <f t="shared" si="277"/>
        <v>-</v>
      </c>
      <c r="AM1084" s="43">
        <f t="shared" si="265"/>
        <v>0</v>
      </c>
      <c r="AN1084" s="193">
        <f t="shared" si="265"/>
        <v>0</v>
      </c>
      <c r="AO1084" s="270">
        <f t="shared" si="266"/>
        <v>10</v>
      </c>
      <c r="AP1084" s="265">
        <f>BJ1084</f>
        <v>10</v>
      </c>
      <c r="AQ1084" s="26" t="str">
        <f t="shared" si="273"/>
        <v>ELIZA CREEKCoho</v>
      </c>
      <c r="AR1084" s="26">
        <f t="shared" si="267"/>
        <v>0</v>
      </c>
      <c r="AS1084" s="33">
        <f t="shared" si="268"/>
        <v>0</v>
      </c>
      <c r="AX1084" s="47" t="str">
        <f t="shared" si="269"/>
        <v>ELIZA CREEKCoho</v>
      </c>
      <c r="AY1084" s="49">
        <f t="shared" si="270"/>
        <v>0</v>
      </c>
      <c r="AZ1084" s="49">
        <f t="shared" si="271"/>
        <v>0</v>
      </c>
      <c r="BA1084" s="31">
        <v>2011</v>
      </c>
      <c r="BB1084" s="188">
        <f t="shared" si="274"/>
        <v>0</v>
      </c>
      <c r="BC1084" s="188" t="str">
        <f t="shared" si="278"/>
        <v xml:space="preserve"> </v>
      </c>
      <c r="BD1084" s="188" t="str">
        <f t="shared" si="279"/>
        <v xml:space="preserve"> </v>
      </c>
      <c r="BE1084" s="188" t="str">
        <f t="shared" si="280"/>
        <v xml:space="preserve"> </v>
      </c>
      <c r="BF1084" s="50" t="str">
        <f t="shared" si="272"/>
        <v>ELIZA CREEK_Coho</v>
      </c>
      <c r="BG1084" s="50">
        <f>IFERROR(VLOOKUP(BF1084,'[1]WCVI Esc'!$C$5:$W$514,18,FALSE),"-")</f>
        <v>12</v>
      </c>
      <c r="BH1084" s="50">
        <f t="shared" si="275"/>
        <v>10</v>
      </c>
      <c r="BI1084" s="50">
        <f>IFERROR(VLOOKUP(BF1084,'[1]WCVI Esc'!$C$5:$W$514,19,FALSE),"-")</f>
        <v>10</v>
      </c>
      <c r="BJ1084" s="50">
        <f t="shared" si="276"/>
        <v>10</v>
      </c>
    </row>
    <row r="1085" spans="1:62" hidden="1" x14ac:dyDescent="0.2">
      <c r="A1085" s="28">
        <v>4</v>
      </c>
      <c r="B1085" s="28">
        <v>3</v>
      </c>
      <c r="C1085" s="11">
        <v>25</v>
      </c>
      <c r="D1085" s="13" t="s">
        <v>300</v>
      </c>
      <c r="E1085" s="10" t="s">
        <v>137</v>
      </c>
      <c r="F1085" s="10" t="s">
        <v>208</v>
      </c>
      <c r="G1085" s="10"/>
      <c r="H1085" s="152"/>
      <c r="I1085" s="164"/>
      <c r="J1085" s="62"/>
      <c r="K1085" s="62"/>
      <c r="L1085" s="177"/>
      <c r="M1085" s="171"/>
      <c r="N1085" s="62"/>
      <c r="O1085" s="62"/>
      <c r="P1085" s="62"/>
      <c r="Q1085" s="64"/>
      <c r="R1085" s="164"/>
      <c r="S1085" s="62"/>
      <c r="T1085" s="62"/>
      <c r="U1085" s="62"/>
      <c r="V1085" s="177"/>
      <c r="W1085" s="171"/>
      <c r="X1085" s="62"/>
      <c r="Y1085" s="45"/>
      <c r="Z1085" s="45"/>
      <c r="AA1085" s="100"/>
      <c r="AB1085" s="100"/>
      <c r="AC1085" s="24"/>
      <c r="AD1085" s="24"/>
      <c r="AE1085" s="24"/>
      <c r="AF1085" s="24"/>
      <c r="AG1085" s="18">
        <v>25</v>
      </c>
      <c r="AH1085" s="69" t="s">
        <v>300</v>
      </c>
      <c r="AI1085" s="243" t="s">
        <v>137</v>
      </c>
      <c r="AJ1085" s="243" t="s">
        <v>419</v>
      </c>
      <c r="AK1085" s="246"/>
      <c r="AL1085" s="43" t="str">
        <f t="shared" si="277"/>
        <v>-</v>
      </c>
      <c r="AM1085" s="43">
        <f t="shared" si="265"/>
        <v>0</v>
      </c>
      <c r="AN1085" s="193">
        <f t="shared" si="265"/>
        <v>0</v>
      </c>
      <c r="AO1085" s="270" t="str">
        <f t="shared" si="266"/>
        <v>-</v>
      </c>
      <c r="AP1085" s="266"/>
      <c r="AQ1085" s="26" t="str">
        <f t="shared" si="273"/>
        <v>ELIZA CREEKPink</v>
      </c>
      <c r="AR1085" s="26">
        <f t="shared" si="267"/>
        <v>0</v>
      </c>
      <c r="AS1085" s="33">
        <f t="shared" si="268"/>
        <v>0</v>
      </c>
      <c r="AX1085" s="47" t="str">
        <f t="shared" si="269"/>
        <v>ELIZA CREEKPink</v>
      </c>
      <c r="AY1085" s="49">
        <f t="shared" si="270"/>
        <v>0</v>
      </c>
      <c r="AZ1085" s="49">
        <f t="shared" si="271"/>
        <v>0</v>
      </c>
      <c r="BA1085" s="31">
        <v>0</v>
      </c>
      <c r="BB1085" s="188">
        <f t="shared" si="274"/>
        <v>0</v>
      </c>
      <c r="BC1085" s="188" t="str">
        <f t="shared" si="278"/>
        <v xml:space="preserve"> </v>
      </c>
      <c r="BD1085" s="188" t="str">
        <f t="shared" si="279"/>
        <v xml:space="preserve"> </v>
      </c>
      <c r="BE1085" s="188" t="str">
        <f t="shared" si="280"/>
        <v xml:space="preserve"> </v>
      </c>
      <c r="BF1085" s="50" t="str">
        <f t="shared" si="272"/>
        <v>ELIZA CREEK_Pink</v>
      </c>
      <c r="BG1085" s="50" t="str">
        <f>IFERROR(VLOOKUP(BF1085,'[1]WCVI Esc'!$C$5:$W$514,18,FALSE),"-")</f>
        <v>-</v>
      </c>
      <c r="BH1085" s="50" t="str">
        <f t="shared" si="275"/>
        <v>-</v>
      </c>
      <c r="BI1085" s="50" t="str">
        <f>IFERROR(VLOOKUP(BF1085,'[1]WCVI Esc'!$C$5:$W$514,19,FALSE),"-")</f>
        <v>-</v>
      </c>
      <c r="BJ1085" s="50" t="str">
        <f t="shared" si="276"/>
        <v>-</v>
      </c>
    </row>
    <row r="1086" spans="1:62" hidden="1" x14ac:dyDescent="0.2">
      <c r="A1086" s="28">
        <v>4</v>
      </c>
      <c r="B1086" s="28">
        <v>4</v>
      </c>
      <c r="C1086" s="11">
        <v>25</v>
      </c>
      <c r="D1086" s="13" t="s">
        <v>300</v>
      </c>
      <c r="E1086" s="10" t="s">
        <v>137</v>
      </c>
      <c r="F1086" s="10" t="s">
        <v>209</v>
      </c>
      <c r="G1086" s="10"/>
      <c r="H1086" s="152"/>
      <c r="I1086" s="164"/>
      <c r="J1086" s="62"/>
      <c r="K1086" s="62"/>
      <c r="L1086" s="177"/>
      <c r="M1086" s="171"/>
      <c r="N1086" s="233"/>
      <c r="O1086" s="62"/>
      <c r="P1086" s="62"/>
      <c r="Q1086" s="64"/>
      <c r="R1086" s="164"/>
      <c r="S1086" s="62"/>
      <c r="T1086" s="62"/>
      <c r="U1086" s="62"/>
      <c r="V1086" s="177"/>
      <c r="W1086" s="171"/>
      <c r="X1086" s="62"/>
      <c r="Y1086" s="45"/>
      <c r="Z1086" s="45"/>
      <c r="AA1086" s="100">
        <f>Y1086/AP1086</f>
        <v>0</v>
      </c>
      <c r="AB1086" s="100">
        <f>AS1086/AP1086</f>
        <v>0</v>
      </c>
      <c r="AC1086" s="24"/>
      <c r="AD1086" s="24"/>
      <c r="AE1086" s="24"/>
      <c r="AF1086" s="24"/>
      <c r="AG1086" s="18">
        <v>25</v>
      </c>
      <c r="AH1086" s="69" t="s">
        <v>300</v>
      </c>
      <c r="AI1086" s="243" t="s">
        <v>137</v>
      </c>
      <c r="AJ1086" s="243" t="s">
        <v>419</v>
      </c>
      <c r="AK1086" s="246"/>
      <c r="AL1086" s="43" t="str">
        <f t="shared" si="277"/>
        <v>-</v>
      </c>
      <c r="AM1086" s="43">
        <f t="shared" si="265"/>
        <v>0</v>
      </c>
      <c r="AN1086" s="193">
        <f t="shared" si="265"/>
        <v>0</v>
      </c>
      <c r="AO1086" s="270">
        <f t="shared" si="266"/>
        <v>40</v>
      </c>
      <c r="AP1086" s="265">
        <f>BJ1086</f>
        <v>1170</v>
      </c>
      <c r="AQ1086" s="26" t="str">
        <f t="shared" si="273"/>
        <v>ELIZA CREEKChum</v>
      </c>
      <c r="AR1086" s="26">
        <f t="shared" si="267"/>
        <v>0</v>
      </c>
      <c r="AS1086" s="33">
        <f t="shared" si="268"/>
        <v>0</v>
      </c>
      <c r="AX1086" s="47" t="str">
        <f t="shared" si="269"/>
        <v>ELIZA CREEKChum</v>
      </c>
      <c r="AY1086" s="49">
        <f t="shared" si="270"/>
        <v>0</v>
      </c>
      <c r="AZ1086" s="49">
        <f t="shared" si="271"/>
        <v>0</v>
      </c>
      <c r="BA1086" s="31">
        <v>2011</v>
      </c>
      <c r="BB1086" s="188">
        <f t="shared" si="274"/>
        <v>0</v>
      </c>
      <c r="BC1086" s="188" t="str">
        <f t="shared" si="278"/>
        <v xml:space="preserve"> </v>
      </c>
      <c r="BD1086" s="188" t="str">
        <f t="shared" si="279"/>
        <v xml:space="preserve"> </v>
      </c>
      <c r="BE1086" s="188" t="str">
        <f t="shared" si="280"/>
        <v xml:space="preserve"> </v>
      </c>
      <c r="BF1086" s="50" t="str">
        <f t="shared" si="272"/>
        <v>ELIZA CREEK_Chum</v>
      </c>
      <c r="BG1086" s="50">
        <f>IFERROR(VLOOKUP(BF1086,'[1]WCVI Esc'!$C$5:$W$514,18,FALSE),"-")</f>
        <v>37</v>
      </c>
      <c r="BH1086" s="50">
        <f t="shared" si="275"/>
        <v>40</v>
      </c>
      <c r="BI1086" s="50">
        <f>IFERROR(VLOOKUP(BF1086,'[1]WCVI Esc'!$C$5:$W$514,19,FALSE),"-")</f>
        <v>1170.5</v>
      </c>
      <c r="BJ1086" s="50">
        <f t="shared" si="276"/>
        <v>1170</v>
      </c>
    </row>
    <row r="1087" spans="1:62" x14ac:dyDescent="0.2">
      <c r="A1087" s="28">
        <v>4</v>
      </c>
      <c r="B1087" s="28">
        <v>5</v>
      </c>
      <c r="C1087" s="11">
        <v>25</v>
      </c>
      <c r="D1087" s="13" t="s">
        <v>300</v>
      </c>
      <c r="E1087" s="10" t="s">
        <v>137</v>
      </c>
      <c r="F1087" s="10" t="s">
        <v>210</v>
      </c>
      <c r="G1087" s="10"/>
      <c r="H1087" s="152"/>
      <c r="I1087" s="164"/>
      <c r="J1087" s="62"/>
      <c r="K1087" s="62"/>
      <c r="L1087" s="177"/>
      <c r="M1087" s="171"/>
      <c r="N1087" s="62"/>
      <c r="O1087" s="62"/>
      <c r="P1087" s="62"/>
      <c r="Q1087" s="64"/>
      <c r="R1087" s="164"/>
      <c r="S1087" s="62"/>
      <c r="T1087" s="62"/>
      <c r="U1087" s="62"/>
      <c r="V1087" s="177"/>
      <c r="W1087" s="171"/>
      <c r="X1087" s="62"/>
      <c r="Y1087" s="45"/>
      <c r="Z1087" s="45"/>
      <c r="AA1087" s="100"/>
      <c r="AB1087" s="100"/>
      <c r="AC1087" s="24"/>
      <c r="AD1087" s="24"/>
      <c r="AE1087" s="24"/>
      <c r="AF1087" s="24"/>
      <c r="AG1087" s="18">
        <v>25</v>
      </c>
      <c r="AH1087" s="69" t="s">
        <v>300</v>
      </c>
      <c r="AI1087" s="243" t="s">
        <v>137</v>
      </c>
      <c r="AJ1087" s="243" t="s">
        <v>419</v>
      </c>
      <c r="AK1087" s="246"/>
      <c r="AL1087" s="43" t="str">
        <f t="shared" si="277"/>
        <v>-</v>
      </c>
      <c r="AM1087" s="43">
        <f t="shared" ref="AM1087:AN1150" si="281">AR1087</f>
        <v>0</v>
      </c>
      <c r="AN1087" s="193">
        <f t="shared" si="281"/>
        <v>0</v>
      </c>
      <c r="AO1087" s="270" t="str">
        <f t="shared" ref="AO1087:AO1150" si="282">BH1087</f>
        <v>-</v>
      </c>
      <c r="AP1087" s="266"/>
      <c r="AQ1087" s="26" t="str">
        <f t="shared" si="273"/>
        <v>ELIZA CREEKChinook</v>
      </c>
      <c r="AR1087" s="26">
        <f t="shared" ref="AR1087:AR1150" si="283">COUNT(G1087:X1087)</f>
        <v>0</v>
      </c>
      <c r="AS1087" s="33">
        <f t="shared" ref="AS1087:AS1150" si="284">MAX(G1087:X1087)</f>
        <v>0</v>
      </c>
      <c r="AX1087" s="47" t="str">
        <f t="shared" ref="AX1087:AX1150" si="285">CONCATENATE(E1087,F1087)</f>
        <v>ELIZA CREEKChinook</v>
      </c>
      <c r="AY1087" s="49">
        <f t="shared" ref="AY1087:AY1150" si="286">Z1087</f>
        <v>0</v>
      </c>
      <c r="AZ1087" s="49">
        <f t="shared" ref="AZ1087:AZ1150" si="287">Y1087</f>
        <v>0</v>
      </c>
      <c r="BA1087" s="31">
        <v>0</v>
      </c>
      <c r="BB1087" s="188">
        <f t="shared" si="274"/>
        <v>0</v>
      </c>
      <c r="BC1087" s="188" t="str">
        <f t="shared" si="278"/>
        <v xml:space="preserve"> </v>
      </c>
      <c r="BD1087" s="188" t="str">
        <f t="shared" si="279"/>
        <v xml:space="preserve"> </v>
      </c>
      <c r="BE1087" s="188" t="str">
        <f t="shared" si="280"/>
        <v xml:space="preserve"> </v>
      </c>
      <c r="BF1087" s="50" t="str">
        <f t="shared" ref="BF1087:BF1150" si="288">CONCATENATE(E1087,"_",F1087)</f>
        <v>ELIZA CREEK_Chinook</v>
      </c>
      <c r="BG1087" s="50" t="str">
        <f>IFERROR(VLOOKUP(BF1087,'[1]WCVI Esc'!$C$5:$W$514,18,FALSE),"-")</f>
        <v>-</v>
      </c>
      <c r="BH1087" s="50" t="str">
        <f t="shared" si="275"/>
        <v>-</v>
      </c>
      <c r="BI1087" s="50" t="str">
        <f>IFERROR(VLOOKUP(BF1087,'[1]WCVI Esc'!$C$5:$W$514,19,FALSE),"-")</f>
        <v>-</v>
      </c>
      <c r="BJ1087" s="50" t="str">
        <f t="shared" si="276"/>
        <v>-</v>
      </c>
    </row>
    <row r="1088" spans="1:62" hidden="1" x14ac:dyDescent="0.2">
      <c r="A1088" s="28">
        <v>4</v>
      </c>
      <c r="B1088" s="28">
        <v>6</v>
      </c>
      <c r="C1088" s="11">
        <v>25</v>
      </c>
      <c r="D1088" s="13" t="s">
        <v>300</v>
      </c>
      <c r="E1088" s="10" t="s">
        <v>137</v>
      </c>
      <c r="F1088" s="10" t="s">
        <v>211</v>
      </c>
      <c r="G1088" s="10"/>
      <c r="H1088" s="152"/>
      <c r="I1088" s="164"/>
      <c r="J1088" s="62"/>
      <c r="K1088" s="62"/>
      <c r="L1088" s="177"/>
      <c r="M1088" s="171"/>
      <c r="N1088" s="62"/>
      <c r="O1088" s="62"/>
      <c r="P1088" s="62"/>
      <c r="Q1088" s="64"/>
      <c r="R1088" s="164"/>
      <c r="S1088" s="62"/>
      <c r="T1088" s="62"/>
      <c r="U1088" s="62"/>
      <c r="V1088" s="177"/>
      <c r="W1088" s="171"/>
      <c r="X1088" s="62"/>
      <c r="Y1088" s="45"/>
      <c r="Z1088" s="45"/>
      <c r="AA1088" s="100"/>
      <c r="AB1088" s="100"/>
      <c r="AC1088" s="24"/>
      <c r="AD1088" s="24"/>
      <c r="AE1088" s="24"/>
      <c r="AF1088" s="24"/>
      <c r="AG1088" s="18">
        <v>25</v>
      </c>
      <c r="AH1088" s="69" t="s">
        <v>300</v>
      </c>
      <c r="AI1088" s="243" t="s">
        <v>137</v>
      </c>
      <c r="AJ1088" s="243" t="s">
        <v>419</v>
      </c>
      <c r="AK1088" s="246"/>
      <c r="AL1088" s="43" t="str">
        <f t="shared" si="277"/>
        <v>-</v>
      </c>
      <c r="AM1088" s="43">
        <f t="shared" si="281"/>
        <v>0</v>
      </c>
      <c r="AN1088" s="193">
        <f t="shared" si="281"/>
        <v>0</v>
      </c>
      <c r="AO1088" s="270" t="str">
        <f t="shared" si="282"/>
        <v>-</v>
      </c>
      <c r="AP1088" s="266"/>
      <c r="AQ1088" s="26" t="str">
        <f t="shared" si="273"/>
        <v>ELIZA CREEKSteelhead</v>
      </c>
      <c r="AR1088" s="26">
        <f t="shared" si="283"/>
        <v>0</v>
      </c>
      <c r="AS1088" s="33">
        <f t="shared" si="284"/>
        <v>0</v>
      </c>
      <c r="AX1088" s="47" t="str">
        <f t="shared" si="285"/>
        <v>ELIZA CREEKSteelhead</v>
      </c>
      <c r="AY1088" s="49">
        <f t="shared" si="286"/>
        <v>0</v>
      </c>
      <c r="AZ1088" s="49">
        <f t="shared" si="287"/>
        <v>0</v>
      </c>
      <c r="BA1088" s="31">
        <v>0</v>
      </c>
      <c r="BB1088" s="188">
        <f t="shared" si="274"/>
        <v>0</v>
      </c>
      <c r="BC1088" s="188" t="str">
        <f t="shared" si="278"/>
        <v xml:space="preserve"> </v>
      </c>
      <c r="BD1088" s="188" t="str">
        <f t="shared" si="279"/>
        <v xml:space="preserve"> </v>
      </c>
      <c r="BE1088" s="188" t="str">
        <f t="shared" si="280"/>
        <v xml:space="preserve"> </v>
      </c>
      <c r="BF1088" s="50" t="str">
        <f t="shared" si="288"/>
        <v>ELIZA CREEK_Steelhead</v>
      </c>
      <c r="BG1088" s="50" t="str">
        <f>IFERROR(VLOOKUP(BF1088,'[1]WCVI Esc'!$C$5:$W$514,18,FALSE),"-")</f>
        <v>-</v>
      </c>
      <c r="BH1088" s="50" t="str">
        <f t="shared" si="275"/>
        <v>-</v>
      </c>
      <c r="BI1088" s="50" t="str">
        <f>IFERROR(VLOOKUP(BF1088,'[1]WCVI Esc'!$C$5:$W$514,19,FALSE),"-")</f>
        <v>-</v>
      </c>
      <c r="BJ1088" s="50" t="str">
        <f t="shared" si="276"/>
        <v>-</v>
      </c>
    </row>
    <row r="1089" spans="1:65" hidden="1" x14ac:dyDescent="0.2">
      <c r="A1089" s="28">
        <v>4</v>
      </c>
      <c r="B1089" s="28">
        <v>1</v>
      </c>
      <c r="C1089" s="11">
        <v>25</v>
      </c>
      <c r="D1089" s="13" t="s">
        <v>300</v>
      </c>
      <c r="E1089" s="10" t="s">
        <v>138</v>
      </c>
      <c r="F1089" s="10" t="s">
        <v>207</v>
      </c>
      <c r="G1089" s="10"/>
      <c r="H1089" s="152"/>
      <c r="I1089" s="155"/>
      <c r="J1089" s="106"/>
      <c r="K1089" s="94"/>
      <c r="L1089" s="180"/>
      <c r="M1089" s="173"/>
      <c r="N1089" s="106"/>
      <c r="O1089" s="106"/>
      <c r="P1089" s="63"/>
      <c r="Q1089" s="162"/>
      <c r="R1089" s="164"/>
      <c r="S1089" s="62"/>
      <c r="T1089" s="63"/>
      <c r="U1089" s="62"/>
      <c r="V1089" s="177"/>
      <c r="W1089" s="171"/>
      <c r="X1089" s="62"/>
      <c r="Y1089" s="45"/>
      <c r="Z1089" s="44"/>
      <c r="AA1089" s="100">
        <f>Y1089/AP1089</f>
        <v>0</v>
      </c>
      <c r="AB1089" s="100">
        <f>AS1089/AP1089</f>
        <v>0</v>
      </c>
      <c r="AC1089" s="123"/>
      <c r="AD1089" s="123"/>
      <c r="AE1089" s="123"/>
      <c r="AF1089" s="123"/>
      <c r="AG1089" s="18">
        <v>25</v>
      </c>
      <c r="AH1089" s="69" t="s">
        <v>300</v>
      </c>
      <c r="AI1089" s="243" t="s">
        <v>138</v>
      </c>
      <c r="AJ1089" s="243" t="s">
        <v>419</v>
      </c>
      <c r="AK1089" s="246"/>
      <c r="AL1089" s="43" t="str">
        <f t="shared" si="277"/>
        <v>-</v>
      </c>
      <c r="AM1089" s="43">
        <f t="shared" si="281"/>
        <v>0</v>
      </c>
      <c r="AN1089" s="193">
        <f t="shared" si="281"/>
        <v>0</v>
      </c>
      <c r="AO1089" s="264">
        <f t="shared" si="282"/>
        <v>20</v>
      </c>
      <c r="AP1089" s="265">
        <f>BJ1089</f>
        <v>30</v>
      </c>
      <c r="AQ1089" s="26" t="str">
        <f t="shared" si="273"/>
        <v>ESPINOSA CREEKSockeye</v>
      </c>
      <c r="AR1089" s="26">
        <f t="shared" si="283"/>
        <v>0</v>
      </c>
      <c r="AS1089" s="33">
        <f t="shared" si="284"/>
        <v>0</v>
      </c>
      <c r="AX1089" s="47" t="str">
        <f t="shared" si="285"/>
        <v>ESPINOSA CREEKSockeye</v>
      </c>
      <c r="AY1089" s="49">
        <f t="shared" si="286"/>
        <v>0</v>
      </c>
      <c r="AZ1089" s="49">
        <f t="shared" si="287"/>
        <v>0</v>
      </c>
      <c r="BA1089" s="31">
        <v>2015</v>
      </c>
      <c r="BB1089" s="188">
        <f t="shared" si="274"/>
        <v>0</v>
      </c>
      <c r="BC1089" s="188" t="str">
        <f t="shared" si="278"/>
        <v xml:space="preserve"> </v>
      </c>
      <c r="BD1089" s="188" t="str">
        <f t="shared" si="279"/>
        <v xml:space="preserve"> </v>
      </c>
      <c r="BE1089" s="188" t="str">
        <f t="shared" si="280"/>
        <v xml:space="preserve"> </v>
      </c>
      <c r="BF1089" s="50" t="str">
        <f t="shared" si="288"/>
        <v>ESPINOSA CREEK_Sockeye</v>
      </c>
      <c r="BG1089" s="50">
        <f>IFERROR(VLOOKUP(BF1089,'[1]WCVI Esc'!$C$5:$W$534,18,FALSE),"-")</f>
        <v>22.25</v>
      </c>
      <c r="BH1089" s="50">
        <f t="shared" si="275"/>
        <v>20</v>
      </c>
      <c r="BI1089" s="50">
        <f>IFERROR(VLOOKUP(BF1089,'[1]WCVI Esc'!$C$5:$W$534,19,FALSE),"-")</f>
        <v>26</v>
      </c>
      <c r="BJ1089" s="50">
        <f t="shared" si="276"/>
        <v>30</v>
      </c>
    </row>
    <row r="1090" spans="1:65" hidden="1" x14ac:dyDescent="0.2">
      <c r="A1090" s="28">
        <v>4</v>
      </c>
      <c r="B1090" s="28">
        <v>2</v>
      </c>
      <c r="C1090" s="11">
        <v>25</v>
      </c>
      <c r="D1090" s="13" t="s">
        <v>300</v>
      </c>
      <c r="E1090" s="10" t="s">
        <v>138</v>
      </c>
      <c r="F1090" s="10" t="s">
        <v>219</v>
      </c>
      <c r="G1090" s="10"/>
      <c r="H1090" s="152"/>
      <c r="I1090" s="155"/>
      <c r="J1090" s="106"/>
      <c r="K1090" s="94"/>
      <c r="L1090" s="180"/>
      <c r="M1090" s="173"/>
      <c r="N1090" s="106"/>
      <c r="O1090" s="106"/>
      <c r="P1090" s="63"/>
      <c r="Q1090" s="162"/>
      <c r="R1090" s="164"/>
      <c r="S1090" s="62"/>
      <c r="T1090" s="63"/>
      <c r="U1090" s="62"/>
      <c r="V1090" s="177"/>
      <c r="W1090" s="171"/>
      <c r="X1090" s="62"/>
      <c r="Y1090" s="45"/>
      <c r="Z1090" s="44"/>
      <c r="AA1090" s="100">
        <f>Y1090/AP1090</f>
        <v>0</v>
      </c>
      <c r="AB1090" s="100">
        <f>AS1090/AP1090</f>
        <v>0</v>
      </c>
      <c r="AC1090" s="123">
        <v>3</v>
      </c>
      <c r="AD1090" s="123"/>
      <c r="AE1090" s="123"/>
      <c r="AF1090" s="123"/>
      <c r="AG1090" s="18">
        <v>25</v>
      </c>
      <c r="AH1090" s="69" t="s">
        <v>300</v>
      </c>
      <c r="AI1090" s="243" t="s">
        <v>138</v>
      </c>
      <c r="AJ1090" s="243" t="s">
        <v>419</v>
      </c>
      <c r="AK1090" s="246"/>
      <c r="AL1090" s="43" t="str">
        <f t="shared" si="277"/>
        <v>-</v>
      </c>
      <c r="AM1090" s="43">
        <f t="shared" si="281"/>
        <v>0</v>
      </c>
      <c r="AN1090" s="193">
        <f t="shared" si="281"/>
        <v>0</v>
      </c>
      <c r="AO1090" s="264">
        <f t="shared" si="282"/>
        <v>60</v>
      </c>
      <c r="AP1090" s="265">
        <f>BJ1090</f>
        <v>90</v>
      </c>
      <c r="AQ1090" s="26" t="str">
        <f t="shared" si="273"/>
        <v>ESPINOSA CREEKCoho</v>
      </c>
      <c r="AR1090" s="26">
        <f t="shared" si="283"/>
        <v>0</v>
      </c>
      <c r="AS1090" s="33">
        <f t="shared" si="284"/>
        <v>0</v>
      </c>
      <c r="AX1090" s="47" t="str">
        <f t="shared" si="285"/>
        <v>ESPINOSA CREEKCoho</v>
      </c>
      <c r="AY1090" s="49">
        <f t="shared" si="286"/>
        <v>0</v>
      </c>
      <c r="AZ1090" s="49">
        <f t="shared" si="287"/>
        <v>0</v>
      </c>
      <c r="BA1090" s="31">
        <v>2011</v>
      </c>
      <c r="BB1090" s="188">
        <f t="shared" si="274"/>
        <v>0</v>
      </c>
      <c r="BC1090" s="188" t="str">
        <f t="shared" si="278"/>
        <v xml:space="preserve"> </v>
      </c>
      <c r="BD1090" s="188" t="str">
        <f t="shared" si="279"/>
        <v xml:space="preserve"> </v>
      </c>
      <c r="BE1090" s="188" t="str">
        <f t="shared" si="280"/>
        <v xml:space="preserve"> </v>
      </c>
      <c r="BF1090" s="50" t="str">
        <f t="shared" si="288"/>
        <v>ESPINOSA CREEK_Coho</v>
      </c>
      <c r="BG1090" s="50">
        <f>IFERROR(VLOOKUP(BF1090,'[1]WCVI Esc'!$C$5:$W$534,18,FALSE),"-")</f>
        <v>63.666666666666664</v>
      </c>
      <c r="BH1090" s="50">
        <f t="shared" si="275"/>
        <v>60</v>
      </c>
      <c r="BI1090" s="50">
        <f>IFERROR(VLOOKUP(BF1090,'[1]WCVI Esc'!$C$5:$W$534,19,FALSE),"-")</f>
        <v>86.833333333333329</v>
      </c>
      <c r="BJ1090" s="50">
        <f t="shared" si="276"/>
        <v>90</v>
      </c>
    </row>
    <row r="1091" spans="1:65" hidden="1" x14ac:dyDescent="0.2">
      <c r="A1091" s="28">
        <v>4</v>
      </c>
      <c r="B1091" s="28">
        <v>3</v>
      </c>
      <c r="C1091" s="11">
        <v>25</v>
      </c>
      <c r="D1091" s="13" t="s">
        <v>300</v>
      </c>
      <c r="E1091" s="10" t="s">
        <v>138</v>
      </c>
      <c r="F1091" s="10" t="s">
        <v>208</v>
      </c>
      <c r="G1091" s="10"/>
      <c r="H1091" s="152"/>
      <c r="I1091" s="155"/>
      <c r="J1091" s="106"/>
      <c r="K1091" s="94"/>
      <c r="L1091" s="180"/>
      <c r="M1091" s="173"/>
      <c r="N1091" s="106"/>
      <c r="O1091" s="106"/>
      <c r="P1091" s="63"/>
      <c r="Q1091" s="162"/>
      <c r="R1091" s="164"/>
      <c r="S1091" s="62"/>
      <c r="T1091" s="63"/>
      <c r="U1091" s="62"/>
      <c r="V1091" s="177"/>
      <c r="W1091" s="171"/>
      <c r="X1091" s="62"/>
      <c r="Y1091" s="45"/>
      <c r="Z1091" s="44"/>
      <c r="AA1091" s="100">
        <f>Y1091/AP1091</f>
        <v>0</v>
      </c>
      <c r="AB1091" s="100">
        <f>AS1091/AP1091</f>
        <v>0</v>
      </c>
      <c r="AC1091" s="123"/>
      <c r="AD1091" s="123"/>
      <c r="AE1091" s="123"/>
      <c r="AF1091" s="123"/>
      <c r="AG1091" s="18">
        <v>25</v>
      </c>
      <c r="AH1091" s="69" t="s">
        <v>300</v>
      </c>
      <c r="AI1091" s="243" t="s">
        <v>138</v>
      </c>
      <c r="AJ1091" s="243" t="s">
        <v>419</v>
      </c>
      <c r="AK1091" s="246"/>
      <c r="AL1091" s="43" t="str">
        <f t="shared" si="277"/>
        <v>-</v>
      </c>
      <c r="AM1091" s="43">
        <f t="shared" si="281"/>
        <v>0</v>
      </c>
      <c r="AN1091" s="193">
        <f t="shared" si="281"/>
        <v>0</v>
      </c>
      <c r="AO1091" s="264" t="str">
        <f t="shared" si="282"/>
        <v>-</v>
      </c>
      <c r="AP1091" s="265">
        <f>BJ1091</f>
        <v>10</v>
      </c>
      <c r="AQ1091" s="26" t="str">
        <f t="shared" ref="AQ1091:AQ1154" si="289">CONCATENATE(E1091,F1091)</f>
        <v>ESPINOSA CREEKPink</v>
      </c>
      <c r="AR1091" s="26">
        <f t="shared" si="283"/>
        <v>0</v>
      </c>
      <c r="AS1091" s="33">
        <f t="shared" si="284"/>
        <v>0</v>
      </c>
      <c r="AX1091" s="47" t="str">
        <f t="shared" si="285"/>
        <v>ESPINOSA CREEKPink</v>
      </c>
      <c r="AY1091" s="49">
        <f t="shared" si="286"/>
        <v>0</v>
      </c>
      <c r="AZ1091" s="49">
        <f t="shared" si="287"/>
        <v>0</v>
      </c>
      <c r="BA1091" s="31">
        <v>2015</v>
      </c>
      <c r="BB1091" s="188">
        <f t="shared" si="274"/>
        <v>0</v>
      </c>
      <c r="BC1091" s="188" t="str">
        <f t="shared" si="278"/>
        <v xml:space="preserve"> </v>
      </c>
      <c r="BD1091" s="188" t="str">
        <f t="shared" si="279"/>
        <v xml:space="preserve"> </v>
      </c>
      <c r="BE1091" s="188" t="str">
        <f t="shared" si="280"/>
        <v xml:space="preserve"> </v>
      </c>
      <c r="BF1091" s="50" t="str">
        <f t="shared" si="288"/>
        <v>ESPINOSA CREEK_Pink</v>
      </c>
      <c r="BG1091" s="50" t="str">
        <f>IFERROR(VLOOKUP(BF1091,'[1]WCVI Esc'!$C$5:$W$534,18,FALSE),"-")</f>
        <v>-</v>
      </c>
      <c r="BH1091" s="50" t="str">
        <f t="shared" si="275"/>
        <v>-</v>
      </c>
      <c r="BI1091" s="50">
        <f>IFERROR(VLOOKUP(BF1091,'[1]WCVI Esc'!$C$5:$W$534,19,FALSE),"-")</f>
        <v>10.75</v>
      </c>
      <c r="BJ1091" s="50">
        <f t="shared" si="276"/>
        <v>10</v>
      </c>
    </row>
    <row r="1092" spans="1:65" hidden="1" x14ac:dyDescent="0.2">
      <c r="A1092" s="28">
        <v>4</v>
      </c>
      <c r="B1092" s="28">
        <v>4</v>
      </c>
      <c r="C1092" s="11">
        <v>25</v>
      </c>
      <c r="D1092" s="13" t="s">
        <v>300</v>
      </c>
      <c r="E1092" s="10" t="s">
        <v>138</v>
      </c>
      <c r="F1092" s="10" t="s">
        <v>209</v>
      </c>
      <c r="G1092" s="10"/>
      <c r="H1092" s="152"/>
      <c r="I1092" s="155"/>
      <c r="J1092" s="106"/>
      <c r="K1092" s="94"/>
      <c r="L1092" s="180"/>
      <c r="M1092" s="173"/>
      <c r="N1092" s="106"/>
      <c r="O1092" s="106"/>
      <c r="P1092" s="63"/>
      <c r="Q1092" s="162"/>
      <c r="R1092" s="164"/>
      <c r="S1092" s="62"/>
      <c r="T1092" s="63"/>
      <c r="U1092" s="62"/>
      <c r="V1092" s="177"/>
      <c r="W1092" s="171"/>
      <c r="X1092" s="62"/>
      <c r="Y1092" s="45"/>
      <c r="Z1092" s="44"/>
      <c r="AA1092" s="100">
        <f>Y1092/AP1092</f>
        <v>0</v>
      </c>
      <c r="AB1092" s="100">
        <f>AS1092/AP1092</f>
        <v>0</v>
      </c>
      <c r="AC1092" s="123">
        <v>3</v>
      </c>
      <c r="AD1092" s="123"/>
      <c r="AE1092" s="123"/>
      <c r="AF1092" s="123"/>
      <c r="AG1092" s="18">
        <v>25</v>
      </c>
      <c r="AH1092" s="69" t="s">
        <v>300</v>
      </c>
      <c r="AI1092" s="243" t="s">
        <v>138</v>
      </c>
      <c r="AJ1092" s="243" t="s">
        <v>419</v>
      </c>
      <c r="AK1092" s="246"/>
      <c r="AL1092" s="43" t="str">
        <f t="shared" si="277"/>
        <v>-</v>
      </c>
      <c r="AM1092" s="43">
        <f t="shared" si="281"/>
        <v>0</v>
      </c>
      <c r="AN1092" s="193">
        <f t="shared" si="281"/>
        <v>0</v>
      </c>
      <c r="AO1092" s="264">
        <f t="shared" si="282"/>
        <v>1040</v>
      </c>
      <c r="AP1092" s="265">
        <f>BJ1092</f>
        <v>1780</v>
      </c>
      <c r="AQ1092" s="26" t="str">
        <f t="shared" si="289"/>
        <v>ESPINOSA CREEKChum</v>
      </c>
      <c r="AR1092" s="26">
        <f t="shared" si="283"/>
        <v>0</v>
      </c>
      <c r="AS1092" s="33">
        <f t="shared" si="284"/>
        <v>0</v>
      </c>
      <c r="AX1092" s="47" t="str">
        <f t="shared" si="285"/>
        <v>ESPINOSA CREEKChum</v>
      </c>
      <c r="AY1092" s="49">
        <f t="shared" si="286"/>
        <v>0</v>
      </c>
      <c r="AZ1092" s="49">
        <f t="shared" si="287"/>
        <v>0</v>
      </c>
      <c r="BA1092" s="31">
        <v>2016</v>
      </c>
      <c r="BB1092" s="188">
        <f t="shared" si="274"/>
        <v>0</v>
      </c>
      <c r="BC1092" s="188" t="str">
        <f t="shared" si="278"/>
        <v xml:space="preserve"> </v>
      </c>
      <c r="BD1092" s="188" t="str">
        <f t="shared" si="279"/>
        <v xml:space="preserve"> </v>
      </c>
      <c r="BE1092" s="188" t="str">
        <f t="shared" si="280"/>
        <v xml:space="preserve"> </v>
      </c>
      <c r="BF1092" s="50" t="str">
        <f t="shared" si="288"/>
        <v>ESPINOSA CREEK_Chum</v>
      </c>
      <c r="BG1092" s="50">
        <f>IFERROR(VLOOKUP(BF1092,'[1]WCVI Esc'!$C$5:$W$534,18,FALSE),"-")</f>
        <v>1036.75</v>
      </c>
      <c r="BH1092" s="50">
        <f t="shared" si="275"/>
        <v>1040</v>
      </c>
      <c r="BI1092" s="50">
        <f>IFERROR(VLOOKUP(BF1092,'[1]WCVI Esc'!$C$5:$W$534,19,FALSE),"-")</f>
        <v>1782.9</v>
      </c>
      <c r="BJ1092" s="50">
        <f t="shared" si="276"/>
        <v>1780</v>
      </c>
    </row>
    <row r="1093" spans="1:65" x14ac:dyDescent="0.2">
      <c r="A1093" s="28">
        <v>4</v>
      </c>
      <c r="B1093" s="28">
        <v>5</v>
      </c>
      <c r="C1093" s="11">
        <v>25</v>
      </c>
      <c r="D1093" s="13" t="s">
        <v>300</v>
      </c>
      <c r="E1093" s="10" t="s">
        <v>138</v>
      </c>
      <c r="F1093" s="10" t="s">
        <v>210</v>
      </c>
      <c r="G1093" s="10"/>
      <c r="H1093" s="152"/>
      <c r="I1093" s="155"/>
      <c r="J1093" s="106"/>
      <c r="K1093" s="94"/>
      <c r="L1093" s="180"/>
      <c r="M1093" s="173"/>
      <c r="N1093" s="106"/>
      <c r="O1093" s="106"/>
      <c r="P1093" s="63"/>
      <c r="Q1093" s="162"/>
      <c r="R1093" s="164"/>
      <c r="S1093" s="62"/>
      <c r="T1093" s="63"/>
      <c r="U1093" s="62"/>
      <c r="V1093" s="177"/>
      <c r="W1093" s="171"/>
      <c r="X1093" s="62"/>
      <c r="Y1093" s="45"/>
      <c r="Z1093" s="44"/>
      <c r="AA1093" s="100">
        <f>Y1093/AP1093</f>
        <v>0</v>
      </c>
      <c r="AB1093" s="100">
        <f>AS1093/AP1093</f>
        <v>0</v>
      </c>
      <c r="AC1093" s="123"/>
      <c r="AD1093" s="123"/>
      <c r="AE1093" s="123"/>
      <c r="AF1093" s="123">
        <f>Y1093</f>
        <v>0</v>
      </c>
      <c r="AG1093" s="18">
        <v>25</v>
      </c>
      <c r="AH1093" s="69" t="s">
        <v>300</v>
      </c>
      <c r="AI1093" s="243" t="s">
        <v>138</v>
      </c>
      <c r="AJ1093" s="243" t="s">
        <v>419</v>
      </c>
      <c r="AK1093" s="246"/>
      <c r="AL1093" s="43" t="str">
        <f t="shared" si="277"/>
        <v>-</v>
      </c>
      <c r="AM1093" s="43">
        <f t="shared" si="281"/>
        <v>0</v>
      </c>
      <c r="AN1093" s="193">
        <f t="shared" si="281"/>
        <v>0</v>
      </c>
      <c r="AO1093" s="264">
        <f t="shared" si="282"/>
        <v>60</v>
      </c>
      <c r="AP1093" s="265">
        <f>BJ1093</f>
        <v>40</v>
      </c>
      <c r="AQ1093" s="26" t="str">
        <f t="shared" si="289"/>
        <v>ESPINOSA CREEKChinook</v>
      </c>
      <c r="AR1093" s="26">
        <f t="shared" si="283"/>
        <v>0</v>
      </c>
      <c r="AS1093" s="33">
        <f t="shared" si="284"/>
        <v>0</v>
      </c>
      <c r="AX1093" s="47" t="str">
        <f t="shared" si="285"/>
        <v>ESPINOSA CREEKChinook</v>
      </c>
      <c r="AY1093" s="49">
        <f t="shared" si="286"/>
        <v>0</v>
      </c>
      <c r="AZ1093" s="49">
        <f t="shared" si="287"/>
        <v>0</v>
      </c>
      <c r="BA1093" s="31">
        <v>2015</v>
      </c>
      <c r="BB1093" s="188">
        <f t="shared" si="274"/>
        <v>0</v>
      </c>
      <c r="BC1093" s="188" t="str">
        <f t="shared" si="278"/>
        <v xml:space="preserve"> </v>
      </c>
      <c r="BD1093" s="188" t="str">
        <f t="shared" si="279"/>
        <v xml:space="preserve"> </v>
      </c>
      <c r="BE1093" s="188" t="str">
        <f t="shared" si="280"/>
        <v xml:space="preserve"> </v>
      </c>
      <c r="BF1093" s="50" t="str">
        <f t="shared" si="288"/>
        <v>ESPINOSA CREEK_Chinook</v>
      </c>
      <c r="BG1093" s="50">
        <f>IFERROR(VLOOKUP(BF1093,'[1]WCVI Esc'!$C$5:$W$534,18,FALSE),"-")</f>
        <v>62.25</v>
      </c>
      <c r="BH1093" s="50">
        <f t="shared" si="275"/>
        <v>60</v>
      </c>
      <c r="BI1093" s="50">
        <f>IFERROR(VLOOKUP(BF1093,'[1]WCVI Esc'!$C$5:$W$534,19,FALSE),"-")</f>
        <v>40.625</v>
      </c>
      <c r="BJ1093" s="50">
        <f t="shared" si="276"/>
        <v>40</v>
      </c>
    </row>
    <row r="1094" spans="1:65" hidden="1" x14ac:dyDescent="0.2">
      <c r="A1094" s="28">
        <v>4</v>
      </c>
      <c r="B1094" s="28">
        <v>6</v>
      </c>
      <c r="C1094" s="11">
        <v>25</v>
      </c>
      <c r="D1094" s="13" t="s">
        <v>300</v>
      </c>
      <c r="E1094" s="10" t="s">
        <v>138</v>
      </c>
      <c r="F1094" s="10" t="s">
        <v>211</v>
      </c>
      <c r="G1094" s="10"/>
      <c r="H1094" s="152"/>
      <c r="I1094" s="155"/>
      <c r="J1094" s="106"/>
      <c r="K1094" s="94"/>
      <c r="L1094" s="180"/>
      <c r="M1094" s="173"/>
      <c r="N1094" s="106"/>
      <c r="O1094" s="106"/>
      <c r="P1094" s="63"/>
      <c r="Q1094" s="162"/>
      <c r="R1094" s="164"/>
      <c r="S1094" s="62"/>
      <c r="T1094" s="63"/>
      <c r="U1094" s="62"/>
      <c r="V1094" s="177"/>
      <c r="W1094" s="171"/>
      <c r="X1094" s="62"/>
      <c r="Y1094" s="45"/>
      <c r="Z1094" s="44"/>
      <c r="AA1094" s="100"/>
      <c r="AB1094" s="100"/>
      <c r="AG1094" s="18">
        <v>25</v>
      </c>
      <c r="AH1094" s="69" t="s">
        <v>300</v>
      </c>
      <c r="AI1094" s="243" t="s">
        <v>138</v>
      </c>
      <c r="AJ1094" s="243" t="s">
        <v>419</v>
      </c>
      <c r="AK1094" s="246"/>
      <c r="AL1094" s="43" t="str">
        <f t="shared" si="277"/>
        <v>-</v>
      </c>
      <c r="AM1094" s="43">
        <f t="shared" si="281"/>
        <v>0</v>
      </c>
      <c r="AN1094" s="193">
        <f t="shared" si="281"/>
        <v>0</v>
      </c>
      <c r="AO1094" s="264" t="str">
        <f t="shared" si="282"/>
        <v>-</v>
      </c>
      <c r="AP1094" s="266"/>
      <c r="AQ1094" s="26" t="str">
        <f t="shared" si="289"/>
        <v>ESPINOSA CREEKSteelhead</v>
      </c>
      <c r="AR1094" s="26">
        <f t="shared" si="283"/>
        <v>0</v>
      </c>
      <c r="AS1094" s="33">
        <f t="shared" si="284"/>
        <v>0</v>
      </c>
      <c r="AX1094" s="47" t="str">
        <f t="shared" si="285"/>
        <v>ESPINOSA CREEKSteelhead</v>
      </c>
      <c r="AY1094" s="49">
        <f t="shared" si="286"/>
        <v>0</v>
      </c>
      <c r="AZ1094" s="49">
        <f t="shared" si="287"/>
        <v>0</v>
      </c>
      <c r="BA1094" s="31">
        <v>0</v>
      </c>
      <c r="BB1094" s="188">
        <f t="shared" si="274"/>
        <v>0</v>
      </c>
      <c r="BC1094" s="188" t="str">
        <f t="shared" si="278"/>
        <v xml:space="preserve"> </v>
      </c>
      <c r="BD1094" s="188" t="str">
        <f t="shared" si="279"/>
        <v xml:space="preserve"> </v>
      </c>
      <c r="BE1094" s="188" t="str">
        <f t="shared" si="280"/>
        <v xml:space="preserve"> </v>
      </c>
      <c r="BF1094" s="50" t="str">
        <f t="shared" si="288"/>
        <v>ESPINOSA CREEK_Steelhead</v>
      </c>
      <c r="BG1094" s="50" t="str">
        <f>IFERROR(VLOOKUP(BF1094,'[1]WCVI Esc'!$C$5:$W$534,18,FALSE),"-")</f>
        <v>-</v>
      </c>
      <c r="BH1094" s="50" t="str">
        <f t="shared" si="275"/>
        <v>-</v>
      </c>
      <c r="BI1094" s="50" t="str">
        <f>IFERROR(VLOOKUP(BF1094,'[1]WCVI Esc'!$C$5:$W$534,19,FALSE),"-")</f>
        <v>-</v>
      </c>
      <c r="BJ1094" s="50" t="str">
        <f t="shared" si="276"/>
        <v>-</v>
      </c>
    </row>
    <row r="1095" spans="1:65" hidden="1" x14ac:dyDescent="0.2">
      <c r="A1095" s="28">
        <v>4</v>
      </c>
      <c r="B1095" s="28">
        <v>1</v>
      </c>
      <c r="C1095" s="11">
        <v>25</v>
      </c>
      <c r="D1095" s="13" t="s">
        <v>299</v>
      </c>
      <c r="E1095" s="10" t="s">
        <v>47</v>
      </c>
      <c r="F1095" s="10" t="s">
        <v>207</v>
      </c>
      <c r="G1095" s="10"/>
      <c r="H1095" s="152"/>
      <c r="I1095" s="164"/>
      <c r="J1095" s="62"/>
      <c r="K1095" s="95"/>
      <c r="L1095" s="304"/>
      <c r="M1095" s="305"/>
      <c r="N1095" s="96"/>
      <c r="O1095" s="95"/>
      <c r="P1095" s="62"/>
      <c r="Q1095" s="64"/>
      <c r="R1095" s="164"/>
      <c r="S1095" s="62"/>
      <c r="T1095" s="62"/>
      <c r="U1095" s="62"/>
      <c r="V1095" s="177"/>
      <c r="W1095" s="171"/>
      <c r="X1095" s="62"/>
      <c r="Y1095" s="45"/>
      <c r="Z1095" s="45"/>
      <c r="AA1095" s="100"/>
      <c r="AB1095" s="100"/>
      <c r="AC1095" s="24"/>
      <c r="AD1095" s="24"/>
      <c r="AE1095" s="24"/>
      <c r="AF1095" s="24"/>
      <c r="AG1095" s="18">
        <v>25</v>
      </c>
      <c r="AH1095" s="69" t="s">
        <v>299</v>
      </c>
      <c r="AI1095" s="243" t="s">
        <v>47</v>
      </c>
      <c r="AJ1095" s="243" t="s">
        <v>419</v>
      </c>
      <c r="AK1095" s="246"/>
      <c r="AL1095" s="43" t="str">
        <f t="shared" si="277"/>
        <v>-</v>
      </c>
      <c r="AM1095" s="43">
        <f t="shared" si="281"/>
        <v>0</v>
      </c>
      <c r="AN1095" s="193">
        <f t="shared" si="281"/>
        <v>0</v>
      </c>
      <c r="AO1095" s="270">
        <f t="shared" si="282"/>
        <v>1110</v>
      </c>
      <c r="AP1095" s="266"/>
      <c r="AQ1095" s="26" t="str">
        <f t="shared" si="289"/>
        <v>GOLD RIVERSockeye</v>
      </c>
      <c r="AR1095" s="26">
        <f t="shared" si="283"/>
        <v>0</v>
      </c>
      <c r="AS1095" s="33">
        <f t="shared" si="284"/>
        <v>0</v>
      </c>
      <c r="AX1095" s="47" t="str">
        <f t="shared" si="285"/>
        <v>GOLD RIVERSockeye</v>
      </c>
      <c r="AY1095" s="49">
        <f t="shared" si="286"/>
        <v>0</v>
      </c>
      <c r="AZ1095" s="49">
        <f t="shared" si="287"/>
        <v>0</v>
      </c>
      <c r="BA1095" s="31">
        <v>2001</v>
      </c>
      <c r="BB1095" s="188">
        <f t="shared" si="274"/>
        <v>0</v>
      </c>
      <c r="BC1095" s="188" t="str">
        <f t="shared" si="278"/>
        <v xml:space="preserve"> </v>
      </c>
      <c r="BD1095" s="188" t="str">
        <f t="shared" si="279"/>
        <v xml:space="preserve"> </v>
      </c>
      <c r="BE1095" s="188" t="str">
        <f t="shared" si="280"/>
        <v xml:space="preserve"> </v>
      </c>
      <c r="BF1095" s="50" t="str">
        <f t="shared" si="288"/>
        <v>GOLD RIVER_Sockeye</v>
      </c>
      <c r="BG1095" s="50">
        <f>IFERROR(VLOOKUP(BF1095,'[1]WCVI Esc'!$C$5:$W$514,18,FALSE),"-")</f>
        <v>1105.5</v>
      </c>
      <c r="BH1095" s="50">
        <f t="shared" si="275"/>
        <v>1110</v>
      </c>
      <c r="BI1095" s="50">
        <f>IFERROR(VLOOKUP(BF1095,'[1]WCVI Esc'!$C$5:$W$514,19,FALSE),"-")</f>
        <v>1105.5</v>
      </c>
      <c r="BJ1095" s="50">
        <f t="shared" si="276"/>
        <v>1110</v>
      </c>
    </row>
    <row r="1096" spans="1:65" hidden="1" x14ac:dyDescent="0.2">
      <c r="A1096" s="28">
        <v>4</v>
      </c>
      <c r="B1096" s="28">
        <v>2</v>
      </c>
      <c r="C1096" s="11">
        <v>25</v>
      </c>
      <c r="D1096" s="13" t="s">
        <v>299</v>
      </c>
      <c r="E1096" s="10" t="s">
        <v>47</v>
      </c>
      <c r="F1096" s="10" t="s">
        <v>219</v>
      </c>
      <c r="G1096" s="10"/>
      <c r="H1096" s="152"/>
      <c r="I1096" s="164"/>
      <c r="J1096" s="94"/>
      <c r="K1096" s="95"/>
      <c r="L1096" s="304"/>
      <c r="M1096" s="305"/>
      <c r="N1096" s="96"/>
      <c r="O1096" s="95"/>
      <c r="P1096" s="62"/>
      <c r="Q1096" s="64"/>
      <c r="R1096" s="164"/>
      <c r="S1096" s="62"/>
      <c r="T1096" s="62"/>
      <c r="U1096" s="62"/>
      <c r="V1096" s="177"/>
      <c r="W1096" s="171"/>
      <c r="X1096" s="62"/>
      <c r="Y1096" s="45"/>
      <c r="Z1096" s="45"/>
      <c r="AA1096" s="100">
        <f>Y1096/AP1096</f>
        <v>0</v>
      </c>
      <c r="AB1096" s="100">
        <f>AS1096/AP1096</f>
        <v>0</v>
      </c>
      <c r="AC1096" s="24"/>
      <c r="AD1096" s="24"/>
      <c r="AE1096" s="24"/>
      <c r="AF1096" s="24"/>
      <c r="AG1096" s="18">
        <v>25</v>
      </c>
      <c r="AH1096" s="69" t="s">
        <v>299</v>
      </c>
      <c r="AI1096" s="243" t="s">
        <v>47</v>
      </c>
      <c r="AJ1096" s="243" t="s">
        <v>419</v>
      </c>
      <c r="AK1096" s="246"/>
      <c r="AL1096" s="43" t="str">
        <f t="shared" si="277"/>
        <v>-</v>
      </c>
      <c r="AM1096" s="43">
        <f t="shared" si="281"/>
        <v>0</v>
      </c>
      <c r="AN1096" s="193">
        <f t="shared" si="281"/>
        <v>0</v>
      </c>
      <c r="AO1096" s="270">
        <f t="shared" si="282"/>
        <v>2980</v>
      </c>
      <c r="AP1096" s="265">
        <f>BJ1096</f>
        <v>2780</v>
      </c>
      <c r="AQ1096" s="26" t="str">
        <f t="shared" si="289"/>
        <v>GOLD RIVERCoho</v>
      </c>
      <c r="AR1096" s="26">
        <f t="shared" si="283"/>
        <v>0</v>
      </c>
      <c r="AS1096" s="33">
        <f t="shared" si="284"/>
        <v>0</v>
      </c>
      <c r="AX1096" s="47" t="str">
        <f t="shared" si="285"/>
        <v>GOLD RIVERCoho</v>
      </c>
      <c r="AY1096" s="49">
        <f t="shared" si="286"/>
        <v>0</v>
      </c>
      <c r="AZ1096" s="49">
        <f t="shared" si="287"/>
        <v>0</v>
      </c>
      <c r="BA1096" s="31">
        <v>2014</v>
      </c>
      <c r="BB1096" s="188">
        <f t="shared" si="274"/>
        <v>0</v>
      </c>
      <c r="BC1096" s="188" t="str">
        <f t="shared" si="278"/>
        <v xml:space="preserve"> </v>
      </c>
      <c r="BD1096" s="188" t="str">
        <f t="shared" si="279"/>
        <v xml:space="preserve"> </v>
      </c>
      <c r="BE1096" s="188" t="str">
        <f t="shared" si="280"/>
        <v xml:space="preserve"> </v>
      </c>
      <c r="BF1096" s="50" t="str">
        <f t="shared" si="288"/>
        <v>GOLD RIVER_Coho</v>
      </c>
      <c r="BG1096" s="50">
        <f>IFERROR(VLOOKUP(BF1096,'[1]WCVI Esc'!$C$5:$W$514,18,FALSE),"-")</f>
        <v>2975</v>
      </c>
      <c r="BH1096" s="50">
        <f t="shared" si="275"/>
        <v>2980</v>
      </c>
      <c r="BI1096" s="50">
        <f>IFERROR(VLOOKUP(BF1096,'[1]WCVI Esc'!$C$5:$W$514,19,FALSE),"-")</f>
        <v>2781.25</v>
      </c>
      <c r="BJ1096" s="50">
        <f t="shared" si="276"/>
        <v>2780</v>
      </c>
    </row>
    <row r="1097" spans="1:65" hidden="1" x14ac:dyDescent="0.2">
      <c r="A1097" s="28">
        <v>4</v>
      </c>
      <c r="B1097" s="28">
        <v>3</v>
      </c>
      <c r="C1097" s="11">
        <v>25</v>
      </c>
      <c r="D1097" s="13" t="s">
        <v>299</v>
      </c>
      <c r="E1097" s="10" t="s">
        <v>47</v>
      </c>
      <c r="F1097" s="10" t="s">
        <v>208</v>
      </c>
      <c r="G1097" s="10"/>
      <c r="H1097" s="152"/>
      <c r="I1097" s="164"/>
      <c r="J1097" s="94"/>
      <c r="K1097" s="95"/>
      <c r="L1097" s="304"/>
      <c r="M1097" s="305"/>
      <c r="N1097" s="96"/>
      <c r="O1097" s="95"/>
      <c r="P1097" s="62"/>
      <c r="Q1097" s="64"/>
      <c r="R1097" s="164"/>
      <c r="S1097" s="62"/>
      <c r="T1097" s="62"/>
      <c r="U1097" s="62"/>
      <c r="V1097" s="177"/>
      <c r="W1097" s="171"/>
      <c r="X1097" s="62"/>
      <c r="Y1097" s="45"/>
      <c r="Z1097" s="45"/>
      <c r="AA1097" s="100"/>
      <c r="AB1097" s="100"/>
      <c r="AC1097" s="24"/>
      <c r="AD1097" s="24"/>
      <c r="AE1097" s="24"/>
      <c r="AF1097" s="24"/>
      <c r="AG1097" s="18">
        <v>25</v>
      </c>
      <c r="AH1097" s="69" t="s">
        <v>299</v>
      </c>
      <c r="AI1097" s="243" t="s">
        <v>47</v>
      </c>
      <c r="AJ1097" s="243" t="s">
        <v>419</v>
      </c>
      <c r="AK1097" s="246"/>
      <c r="AL1097" s="43" t="str">
        <f t="shared" si="277"/>
        <v>-</v>
      </c>
      <c r="AM1097" s="43">
        <f t="shared" si="281"/>
        <v>0</v>
      </c>
      <c r="AN1097" s="193">
        <f t="shared" si="281"/>
        <v>0</v>
      </c>
      <c r="AO1097" s="270" t="str">
        <f t="shared" si="282"/>
        <v>-</v>
      </c>
      <c r="AP1097" s="266"/>
      <c r="AQ1097" s="26" t="str">
        <f t="shared" si="289"/>
        <v>GOLD RIVERPink</v>
      </c>
      <c r="AR1097" s="26">
        <f t="shared" si="283"/>
        <v>0</v>
      </c>
      <c r="AS1097" s="33">
        <f t="shared" si="284"/>
        <v>0</v>
      </c>
      <c r="AX1097" s="47" t="str">
        <f t="shared" si="285"/>
        <v>GOLD RIVERPink</v>
      </c>
      <c r="AY1097" s="49">
        <f t="shared" si="286"/>
        <v>0</v>
      </c>
      <c r="AZ1097" s="49">
        <f t="shared" si="287"/>
        <v>0</v>
      </c>
      <c r="BA1097" s="31">
        <v>0</v>
      </c>
      <c r="BB1097" s="188">
        <f t="shared" ref="BB1097:BB1160" si="290">AK1097</f>
        <v>0</v>
      </c>
      <c r="BC1097" s="188" t="str">
        <f t="shared" si="278"/>
        <v xml:space="preserve"> </v>
      </c>
      <c r="BD1097" s="188" t="str">
        <f t="shared" si="279"/>
        <v xml:space="preserve"> </v>
      </c>
      <c r="BE1097" s="188" t="str">
        <f t="shared" si="280"/>
        <v xml:space="preserve"> </v>
      </c>
      <c r="BF1097" s="50" t="str">
        <f t="shared" si="288"/>
        <v>GOLD RIVER_Pink</v>
      </c>
      <c r="BG1097" s="50" t="str">
        <f>IFERROR(VLOOKUP(BF1097,'[1]WCVI Esc'!$C$5:$W$514,18,FALSE),"-")</f>
        <v>-</v>
      </c>
      <c r="BH1097" s="50" t="str">
        <f t="shared" ref="BH1097:BH1160" si="291">IFERROR(ROUND(BG1097,-1),"-")</f>
        <v>-</v>
      </c>
      <c r="BI1097" s="50" t="str">
        <f>IFERROR(VLOOKUP(BF1097,'[1]WCVI Esc'!$C$5:$W$514,19,FALSE),"-")</f>
        <v>-</v>
      </c>
      <c r="BJ1097" s="50" t="str">
        <f t="shared" ref="BJ1097:BJ1160" si="292">IFERROR(ROUND(BI1097,-1),"-")</f>
        <v>-</v>
      </c>
    </row>
    <row r="1098" spans="1:65" hidden="1" x14ac:dyDescent="0.2">
      <c r="A1098" s="28">
        <v>4</v>
      </c>
      <c r="B1098" s="28">
        <v>4</v>
      </c>
      <c r="C1098" s="11">
        <v>25</v>
      </c>
      <c r="D1098" s="13" t="s">
        <v>299</v>
      </c>
      <c r="E1098" s="10" t="s">
        <v>47</v>
      </c>
      <c r="F1098" s="10" t="s">
        <v>209</v>
      </c>
      <c r="G1098" s="10"/>
      <c r="H1098" s="152"/>
      <c r="I1098" s="164"/>
      <c r="J1098" s="94"/>
      <c r="K1098" s="95"/>
      <c r="L1098" s="304"/>
      <c r="M1098" s="305"/>
      <c r="N1098" s="96"/>
      <c r="O1098" s="95"/>
      <c r="P1098" s="62"/>
      <c r="Q1098" s="64"/>
      <c r="R1098" s="164"/>
      <c r="S1098" s="62"/>
      <c r="T1098" s="62"/>
      <c r="U1098" s="62"/>
      <c r="V1098" s="177"/>
      <c r="W1098" s="171"/>
      <c r="X1098" s="62"/>
      <c r="Y1098" s="45"/>
      <c r="Z1098" s="45"/>
      <c r="AA1098" s="100"/>
      <c r="AB1098" s="100"/>
      <c r="AC1098" s="24"/>
      <c r="AD1098" s="24"/>
      <c r="AE1098" s="24"/>
      <c r="AF1098" s="24"/>
      <c r="AG1098" s="18">
        <v>25</v>
      </c>
      <c r="AH1098" s="69" t="s">
        <v>299</v>
      </c>
      <c r="AI1098" s="243" t="s">
        <v>47</v>
      </c>
      <c r="AJ1098" s="243" t="s">
        <v>419</v>
      </c>
      <c r="AK1098" s="246"/>
      <c r="AL1098" s="43" t="str">
        <f t="shared" ref="AL1098:AL1161" si="293">IF(BE1098=" ",IF(BD1098=" ", IF(BC1098=" ","-",BC1098),BD1098), BE1098)</f>
        <v>-</v>
      </c>
      <c r="AM1098" s="43">
        <f t="shared" si="281"/>
        <v>0</v>
      </c>
      <c r="AN1098" s="193">
        <f t="shared" si="281"/>
        <v>0</v>
      </c>
      <c r="AO1098" s="270">
        <f t="shared" si="282"/>
        <v>110</v>
      </c>
      <c r="AP1098" s="266"/>
      <c r="AQ1098" s="26" t="str">
        <f t="shared" si="289"/>
        <v>GOLD RIVERChum</v>
      </c>
      <c r="AR1098" s="26">
        <f t="shared" si="283"/>
        <v>0</v>
      </c>
      <c r="AS1098" s="33">
        <f t="shared" si="284"/>
        <v>0</v>
      </c>
      <c r="AX1098" s="47" t="str">
        <f t="shared" si="285"/>
        <v>GOLD RIVERChum</v>
      </c>
      <c r="AY1098" s="49">
        <f t="shared" si="286"/>
        <v>0</v>
      </c>
      <c r="AZ1098" s="49">
        <f t="shared" si="287"/>
        <v>0</v>
      </c>
      <c r="BA1098" s="31">
        <v>2001</v>
      </c>
      <c r="BB1098" s="188">
        <f t="shared" si="290"/>
        <v>0</v>
      </c>
      <c r="BC1098" s="188" t="str">
        <f t="shared" ref="BC1098:BC1161" si="294">IF(ISNUMBER(M1098),M$8,IF(ISNUMBER(L1098),L$8,IF(ISNUMBER(K1098),K$8,IF(ISNUMBER(J1098),J$8,IF(ISNUMBER(I1098),I$8,IF(ISNUMBER(H1098),H$8, IF(ISNUMBER(G1098),G$8," ")))))))</f>
        <v xml:space="preserve"> </v>
      </c>
      <c r="BD1098" s="188" t="str">
        <f t="shared" ref="BD1098:BD1161" si="295">IF(ISNUMBER(S1098),S$8,IF(ISNUMBER(R1098),R$8,IF(ISNUMBER(Q1098),Q$8,IF(ISNUMBER(P1098),P$8,IF(ISNUMBER(O1098),O$8,IF(ISNUMBER(N1098),N$8," "))))))</f>
        <v xml:space="preserve"> </v>
      </c>
      <c r="BE1098" s="188" t="str">
        <f t="shared" ref="BE1098:BE1161" si="296">IF(ISNUMBER(X1098),X$8,IF(ISNUMBER(W1098),W$8,IF(ISNUMBER(V1098),V$8,IF(ISNUMBER(U1098),U$8,IF(ISNUMBER(T1098),T$8," ")))))</f>
        <v xml:space="preserve"> </v>
      </c>
      <c r="BF1098" s="50" t="str">
        <f t="shared" si="288"/>
        <v>GOLD RIVER_Chum</v>
      </c>
      <c r="BG1098" s="50">
        <f>IFERROR(VLOOKUP(BF1098,'[1]WCVI Esc'!$C$5:$W$514,18,FALSE),"-")</f>
        <v>113</v>
      </c>
      <c r="BH1098" s="50">
        <f t="shared" si="291"/>
        <v>110</v>
      </c>
      <c r="BI1098" s="50">
        <f>IFERROR(VLOOKUP(BF1098,'[1]WCVI Esc'!$C$5:$W$514,19,FALSE),"-")</f>
        <v>113</v>
      </c>
      <c r="BJ1098" s="50">
        <f t="shared" si="292"/>
        <v>110</v>
      </c>
    </row>
    <row r="1099" spans="1:65" x14ac:dyDescent="0.2">
      <c r="A1099" s="28">
        <v>4</v>
      </c>
      <c r="B1099" s="28">
        <v>5</v>
      </c>
      <c r="C1099" s="11">
        <v>25</v>
      </c>
      <c r="D1099" s="13" t="s">
        <v>299</v>
      </c>
      <c r="E1099" s="10" t="s">
        <v>47</v>
      </c>
      <c r="F1099" s="10" t="s">
        <v>210</v>
      </c>
      <c r="G1099" s="10"/>
      <c r="H1099" s="152"/>
      <c r="I1099" s="164"/>
      <c r="J1099" s="94"/>
      <c r="K1099" s="95"/>
      <c r="L1099" s="167"/>
      <c r="M1099" s="156"/>
      <c r="N1099" s="96"/>
      <c r="O1099" s="95"/>
      <c r="P1099" s="62"/>
      <c r="Q1099" s="64"/>
      <c r="R1099" s="164"/>
      <c r="S1099" s="62"/>
      <c r="T1099" s="62"/>
      <c r="U1099" s="62"/>
      <c r="V1099" s="177"/>
      <c r="W1099" s="171"/>
      <c r="X1099" s="62"/>
      <c r="Y1099" s="45"/>
      <c r="Z1099" s="45"/>
      <c r="AA1099" s="100">
        <f>Y1099/AP1099</f>
        <v>0</v>
      </c>
      <c r="AB1099" s="100">
        <f>AS1099/AP1099</f>
        <v>0</v>
      </c>
      <c r="AC1099" s="24"/>
      <c r="AD1099" s="24"/>
      <c r="AE1099" s="24"/>
      <c r="AF1099" s="24"/>
      <c r="AG1099" s="18">
        <v>25</v>
      </c>
      <c r="AH1099" s="69" t="s">
        <v>299</v>
      </c>
      <c r="AI1099" s="243" t="s">
        <v>47</v>
      </c>
      <c r="AJ1099" s="243" t="s">
        <v>419</v>
      </c>
      <c r="AK1099" s="246"/>
      <c r="AL1099" s="43" t="str">
        <f t="shared" si="293"/>
        <v>-</v>
      </c>
      <c r="AM1099" s="43">
        <f t="shared" si="281"/>
        <v>0</v>
      </c>
      <c r="AN1099" s="193">
        <f t="shared" si="281"/>
        <v>0</v>
      </c>
      <c r="AO1099" s="270">
        <f t="shared" si="282"/>
        <v>5260</v>
      </c>
      <c r="AP1099" s="265">
        <f>BJ1099</f>
        <v>2740</v>
      </c>
      <c r="AQ1099" s="26" t="str">
        <f t="shared" si="289"/>
        <v>GOLD RIVERChinook</v>
      </c>
      <c r="AR1099" s="26">
        <f t="shared" si="283"/>
        <v>0</v>
      </c>
      <c r="AS1099" s="33">
        <f t="shared" si="284"/>
        <v>0</v>
      </c>
      <c r="AX1099" s="47" t="str">
        <f t="shared" si="285"/>
        <v>GOLD RIVERChinook</v>
      </c>
      <c r="AY1099" s="49">
        <f t="shared" si="286"/>
        <v>0</v>
      </c>
      <c r="AZ1099" s="49">
        <f t="shared" si="287"/>
        <v>0</v>
      </c>
      <c r="BA1099" s="31">
        <v>2016</v>
      </c>
      <c r="BB1099" s="188">
        <f t="shared" si="290"/>
        <v>0</v>
      </c>
      <c r="BC1099" s="188" t="str">
        <f t="shared" si="294"/>
        <v xml:space="preserve"> </v>
      </c>
      <c r="BD1099" s="188" t="str">
        <f t="shared" si="295"/>
        <v xml:space="preserve"> </v>
      </c>
      <c r="BE1099" s="188" t="str">
        <f t="shared" si="296"/>
        <v xml:space="preserve"> </v>
      </c>
      <c r="BF1099" s="50" t="str">
        <f t="shared" si="288"/>
        <v>GOLD RIVER_Chinook</v>
      </c>
      <c r="BG1099" s="50">
        <f>IFERROR(VLOOKUP(BF1099,'[1]WCVI Esc'!$C$5:$W$514,18,FALSE),"-")</f>
        <v>5256.5</v>
      </c>
      <c r="BH1099" s="50">
        <f t="shared" si="291"/>
        <v>5260</v>
      </c>
      <c r="BI1099" s="50">
        <f>IFERROR(VLOOKUP(BF1099,'[1]WCVI Esc'!$C$5:$W$514,19,FALSE),"-")</f>
        <v>2740</v>
      </c>
      <c r="BJ1099" s="50">
        <f t="shared" si="292"/>
        <v>2740</v>
      </c>
      <c r="BK1099">
        <v>5</v>
      </c>
      <c r="BL1099" t="s">
        <v>452</v>
      </c>
      <c r="BM1099" s="31">
        <v>1</v>
      </c>
    </row>
    <row r="1100" spans="1:65" hidden="1" x14ac:dyDescent="0.2">
      <c r="A1100" s="28">
        <v>4</v>
      </c>
      <c r="B1100" s="28">
        <v>6</v>
      </c>
      <c r="C1100" s="11">
        <v>25</v>
      </c>
      <c r="D1100" s="13" t="s">
        <v>299</v>
      </c>
      <c r="E1100" s="10" t="s">
        <v>47</v>
      </c>
      <c r="F1100" s="10" t="s">
        <v>211</v>
      </c>
      <c r="G1100" s="10"/>
      <c r="H1100" s="152"/>
      <c r="I1100" s="164"/>
      <c r="J1100" s="94"/>
      <c r="K1100" s="95"/>
      <c r="L1100" s="304"/>
      <c r="M1100" s="305"/>
      <c r="N1100" s="96"/>
      <c r="O1100" s="95"/>
      <c r="P1100" s="62"/>
      <c r="Q1100" s="64"/>
      <c r="R1100" s="164"/>
      <c r="S1100" s="62"/>
      <c r="T1100" s="62"/>
      <c r="U1100" s="62"/>
      <c r="V1100" s="177"/>
      <c r="W1100" s="171"/>
      <c r="X1100" s="62"/>
      <c r="Y1100" s="45"/>
      <c r="Z1100" s="45"/>
      <c r="AA1100" s="100"/>
      <c r="AB1100" s="100"/>
      <c r="AC1100" s="24"/>
      <c r="AD1100" s="24"/>
      <c r="AE1100" s="24"/>
      <c r="AF1100" s="24"/>
      <c r="AG1100" s="18">
        <v>25</v>
      </c>
      <c r="AH1100" s="69" t="s">
        <v>299</v>
      </c>
      <c r="AI1100" s="243" t="s">
        <v>47</v>
      </c>
      <c r="AJ1100" s="243" t="s">
        <v>419</v>
      </c>
      <c r="AK1100" s="246"/>
      <c r="AL1100" s="43" t="str">
        <f t="shared" si="293"/>
        <v>-</v>
      </c>
      <c r="AM1100" s="43">
        <f t="shared" si="281"/>
        <v>0</v>
      </c>
      <c r="AN1100" s="193">
        <f t="shared" si="281"/>
        <v>0</v>
      </c>
      <c r="AO1100" s="270" t="str">
        <f t="shared" si="282"/>
        <v>-</v>
      </c>
      <c r="AP1100" s="266"/>
      <c r="AQ1100" s="26" t="str">
        <f t="shared" si="289"/>
        <v>GOLD RIVERSteelhead</v>
      </c>
      <c r="AR1100" s="26">
        <f t="shared" si="283"/>
        <v>0</v>
      </c>
      <c r="AS1100" s="33">
        <f t="shared" si="284"/>
        <v>0</v>
      </c>
      <c r="AX1100" s="47" t="str">
        <f t="shared" si="285"/>
        <v>GOLD RIVERSteelhead</v>
      </c>
      <c r="AY1100" s="49">
        <f t="shared" si="286"/>
        <v>0</v>
      </c>
      <c r="AZ1100" s="49">
        <f t="shared" si="287"/>
        <v>0</v>
      </c>
      <c r="BA1100" s="31">
        <v>0</v>
      </c>
      <c r="BB1100" s="188">
        <f t="shared" si="290"/>
        <v>0</v>
      </c>
      <c r="BC1100" s="188" t="str">
        <f t="shared" si="294"/>
        <v xml:space="preserve"> </v>
      </c>
      <c r="BD1100" s="188" t="str">
        <f t="shared" si="295"/>
        <v xml:space="preserve"> </v>
      </c>
      <c r="BE1100" s="188" t="str">
        <f t="shared" si="296"/>
        <v xml:space="preserve"> </v>
      </c>
      <c r="BF1100" s="50" t="str">
        <f t="shared" si="288"/>
        <v>GOLD RIVER_Steelhead</v>
      </c>
      <c r="BG1100" s="50" t="str">
        <f>IFERROR(VLOOKUP(BF1100,'[1]WCVI Esc'!$C$5:$W$514,18,FALSE),"-")</f>
        <v>-</v>
      </c>
      <c r="BH1100" s="50" t="str">
        <f t="shared" si="291"/>
        <v>-</v>
      </c>
      <c r="BI1100" s="50" t="str">
        <f>IFERROR(VLOOKUP(BF1100,'[1]WCVI Esc'!$C$5:$W$514,19,FALSE),"-")</f>
        <v>-</v>
      </c>
      <c r="BJ1100" s="50" t="str">
        <f t="shared" si="292"/>
        <v>-</v>
      </c>
    </row>
    <row r="1101" spans="1:65" hidden="1" x14ac:dyDescent="0.2">
      <c r="A1101" s="28">
        <v>4</v>
      </c>
      <c r="B1101" s="28">
        <v>1</v>
      </c>
      <c r="C1101" s="11">
        <v>25</v>
      </c>
      <c r="D1101" s="13" t="s">
        <v>300</v>
      </c>
      <c r="E1101" s="10" t="s">
        <v>139</v>
      </c>
      <c r="F1101" s="10" t="s">
        <v>207</v>
      </c>
      <c r="G1101" s="10"/>
      <c r="H1101" s="152"/>
      <c r="I1101" s="164"/>
      <c r="J1101" s="94"/>
      <c r="K1101" s="62"/>
      <c r="L1101" s="177"/>
      <c r="M1101" s="176"/>
      <c r="N1101" s="106"/>
      <c r="O1101" s="62"/>
      <c r="P1101" s="62"/>
      <c r="Q1101" s="64"/>
      <c r="R1101" s="164"/>
      <c r="S1101" s="62"/>
      <c r="T1101" s="62"/>
      <c r="U1101" s="62"/>
      <c r="V1101" s="177"/>
      <c r="W1101" s="171"/>
      <c r="X1101" s="62"/>
      <c r="Y1101" s="45"/>
      <c r="Z1101" s="45"/>
      <c r="AA1101" s="100"/>
      <c r="AB1101" s="100"/>
      <c r="AC1101" s="24"/>
      <c r="AD1101" s="24"/>
      <c r="AE1101" s="24"/>
      <c r="AF1101" s="24"/>
      <c r="AG1101" s="18">
        <v>25</v>
      </c>
      <c r="AH1101" s="69" t="s">
        <v>300</v>
      </c>
      <c r="AI1101" s="243" t="s">
        <v>139</v>
      </c>
      <c r="AJ1101" s="243" t="s">
        <v>419</v>
      </c>
      <c r="AK1101" s="246"/>
      <c r="AL1101" s="43" t="str">
        <f t="shared" si="293"/>
        <v>-</v>
      </c>
      <c r="AM1101" s="43">
        <f t="shared" si="281"/>
        <v>0</v>
      </c>
      <c r="AN1101" s="193">
        <f t="shared" si="281"/>
        <v>0</v>
      </c>
      <c r="AO1101" s="270" t="str">
        <f t="shared" si="282"/>
        <v>-</v>
      </c>
      <c r="AP1101" s="265">
        <f>BJ1101</f>
        <v>0</v>
      </c>
      <c r="AQ1101" s="26" t="str">
        <f t="shared" si="289"/>
        <v>HAMMOND CREEKSockeye</v>
      </c>
      <c r="AR1101" s="26">
        <f t="shared" si="283"/>
        <v>0</v>
      </c>
      <c r="AS1101" s="33">
        <f t="shared" si="284"/>
        <v>0</v>
      </c>
      <c r="AX1101" s="47" t="str">
        <f t="shared" si="285"/>
        <v>HAMMOND CREEKSockeye</v>
      </c>
      <c r="AY1101" s="49">
        <f t="shared" si="286"/>
        <v>0</v>
      </c>
      <c r="AZ1101" s="49">
        <f t="shared" si="287"/>
        <v>0</v>
      </c>
      <c r="BA1101" s="31">
        <v>2011</v>
      </c>
      <c r="BB1101" s="188">
        <f t="shared" si="290"/>
        <v>0</v>
      </c>
      <c r="BC1101" s="188" t="str">
        <f t="shared" si="294"/>
        <v xml:space="preserve"> </v>
      </c>
      <c r="BD1101" s="188" t="str">
        <f t="shared" si="295"/>
        <v xml:space="preserve"> </v>
      </c>
      <c r="BE1101" s="188" t="str">
        <f t="shared" si="296"/>
        <v xml:space="preserve"> </v>
      </c>
      <c r="BF1101" s="50" t="str">
        <f t="shared" si="288"/>
        <v>HAMMOND CREEK_Sockeye</v>
      </c>
      <c r="BG1101" s="50" t="str">
        <f>IFERROR(VLOOKUP(BF1101,'[1]WCVI Esc'!$C$5:$W$514,18,FALSE),"-")</f>
        <v>-</v>
      </c>
      <c r="BH1101" s="50" t="str">
        <f t="shared" si="291"/>
        <v>-</v>
      </c>
      <c r="BI1101" s="50">
        <f>IFERROR(VLOOKUP(BF1101,'[1]WCVI Esc'!$C$5:$W$514,19,FALSE),"-")</f>
        <v>1</v>
      </c>
      <c r="BJ1101" s="50">
        <f t="shared" si="292"/>
        <v>0</v>
      </c>
    </row>
    <row r="1102" spans="1:65" hidden="1" x14ac:dyDescent="0.2">
      <c r="A1102" s="28">
        <v>4</v>
      </c>
      <c r="B1102" s="28">
        <v>2</v>
      </c>
      <c r="C1102" s="11">
        <v>25</v>
      </c>
      <c r="D1102" s="13" t="s">
        <v>300</v>
      </c>
      <c r="E1102" s="10" t="s">
        <v>139</v>
      </c>
      <c r="F1102" s="10" t="s">
        <v>219</v>
      </c>
      <c r="G1102" s="10"/>
      <c r="H1102" s="152"/>
      <c r="I1102" s="164"/>
      <c r="J1102" s="94"/>
      <c r="K1102" s="62"/>
      <c r="L1102" s="177"/>
      <c r="M1102" s="176"/>
      <c r="N1102" s="106"/>
      <c r="O1102" s="62"/>
      <c r="P1102" s="62"/>
      <c r="Q1102" s="64"/>
      <c r="R1102" s="164"/>
      <c r="S1102" s="62"/>
      <c r="T1102" s="62"/>
      <c r="U1102" s="62"/>
      <c r="V1102" s="177"/>
      <c r="W1102" s="171"/>
      <c r="X1102" s="62"/>
      <c r="Y1102" s="45"/>
      <c r="Z1102" s="45"/>
      <c r="AA1102" s="100">
        <f>Y1102/AP1102</f>
        <v>0</v>
      </c>
      <c r="AB1102" s="100">
        <f>AS1102/AP1102</f>
        <v>0</v>
      </c>
      <c r="AC1102" s="24"/>
      <c r="AD1102" s="24"/>
      <c r="AE1102" s="24"/>
      <c r="AF1102" s="24"/>
      <c r="AG1102" s="18">
        <v>25</v>
      </c>
      <c r="AH1102" s="69" t="s">
        <v>300</v>
      </c>
      <c r="AI1102" s="243" t="s">
        <v>139</v>
      </c>
      <c r="AJ1102" s="243" t="s">
        <v>419</v>
      </c>
      <c r="AK1102" s="246"/>
      <c r="AL1102" s="43" t="str">
        <f t="shared" si="293"/>
        <v>-</v>
      </c>
      <c r="AM1102" s="43">
        <f t="shared" si="281"/>
        <v>0</v>
      </c>
      <c r="AN1102" s="193">
        <f t="shared" si="281"/>
        <v>0</v>
      </c>
      <c r="AO1102" s="270">
        <f t="shared" si="282"/>
        <v>20</v>
      </c>
      <c r="AP1102" s="265">
        <f>BJ1102</f>
        <v>30</v>
      </c>
      <c r="AQ1102" s="26" t="str">
        <f t="shared" si="289"/>
        <v>HAMMOND CREEKCoho</v>
      </c>
      <c r="AR1102" s="26">
        <f t="shared" si="283"/>
        <v>0</v>
      </c>
      <c r="AS1102" s="33">
        <f t="shared" si="284"/>
        <v>0</v>
      </c>
      <c r="AX1102" s="47" t="str">
        <f t="shared" si="285"/>
        <v>HAMMOND CREEKCoho</v>
      </c>
      <c r="AY1102" s="49">
        <f t="shared" si="286"/>
        <v>0</v>
      </c>
      <c r="AZ1102" s="49">
        <f t="shared" si="287"/>
        <v>0</v>
      </c>
      <c r="BA1102" s="31">
        <v>2011</v>
      </c>
      <c r="BB1102" s="188">
        <f t="shared" si="290"/>
        <v>0</v>
      </c>
      <c r="BC1102" s="188" t="str">
        <f t="shared" si="294"/>
        <v xml:space="preserve"> </v>
      </c>
      <c r="BD1102" s="188" t="str">
        <f t="shared" si="295"/>
        <v xml:space="preserve"> </v>
      </c>
      <c r="BE1102" s="188" t="str">
        <f t="shared" si="296"/>
        <v xml:space="preserve"> </v>
      </c>
      <c r="BF1102" s="50" t="str">
        <f t="shared" si="288"/>
        <v>HAMMOND CREEK_Coho</v>
      </c>
      <c r="BG1102" s="50">
        <f>IFERROR(VLOOKUP(BF1102,'[1]WCVI Esc'!$C$5:$W$514,18,FALSE),"-")</f>
        <v>23</v>
      </c>
      <c r="BH1102" s="50">
        <f t="shared" si="291"/>
        <v>20</v>
      </c>
      <c r="BI1102" s="50">
        <f>IFERROR(VLOOKUP(BF1102,'[1]WCVI Esc'!$C$5:$W$514,19,FALSE),"-")</f>
        <v>33.333333333333336</v>
      </c>
      <c r="BJ1102" s="50">
        <f t="shared" si="292"/>
        <v>30</v>
      </c>
    </row>
    <row r="1103" spans="1:65" hidden="1" x14ac:dyDescent="0.2">
      <c r="A1103" s="28">
        <v>4</v>
      </c>
      <c r="B1103" s="28">
        <v>3</v>
      </c>
      <c r="C1103" s="11">
        <v>25</v>
      </c>
      <c r="D1103" s="13" t="s">
        <v>300</v>
      </c>
      <c r="E1103" s="10" t="s">
        <v>139</v>
      </c>
      <c r="F1103" s="10" t="s">
        <v>208</v>
      </c>
      <c r="G1103" s="10"/>
      <c r="H1103" s="152"/>
      <c r="I1103" s="164"/>
      <c r="J1103" s="94"/>
      <c r="K1103" s="62"/>
      <c r="L1103" s="177"/>
      <c r="M1103" s="176"/>
      <c r="N1103" s="106"/>
      <c r="O1103" s="62"/>
      <c r="P1103" s="62"/>
      <c r="Q1103" s="64"/>
      <c r="R1103" s="164"/>
      <c r="S1103" s="62"/>
      <c r="T1103" s="62"/>
      <c r="U1103" s="62"/>
      <c r="V1103" s="177"/>
      <c r="W1103" s="171"/>
      <c r="X1103" s="62"/>
      <c r="Y1103" s="45"/>
      <c r="Z1103" s="45"/>
      <c r="AA1103" s="100"/>
      <c r="AB1103" s="100"/>
      <c r="AC1103" s="24"/>
      <c r="AD1103" s="24"/>
      <c r="AE1103" s="24"/>
      <c r="AF1103" s="24"/>
      <c r="AG1103" s="18">
        <v>25</v>
      </c>
      <c r="AH1103" s="69" t="s">
        <v>300</v>
      </c>
      <c r="AI1103" s="243" t="s">
        <v>139</v>
      </c>
      <c r="AJ1103" s="243" t="s">
        <v>419</v>
      </c>
      <c r="AK1103" s="246"/>
      <c r="AL1103" s="43" t="str">
        <f t="shared" si="293"/>
        <v>-</v>
      </c>
      <c r="AM1103" s="43">
        <f t="shared" si="281"/>
        <v>0</v>
      </c>
      <c r="AN1103" s="193">
        <f t="shared" si="281"/>
        <v>0</v>
      </c>
      <c r="AO1103" s="270" t="str">
        <f t="shared" si="282"/>
        <v>-</v>
      </c>
      <c r="AP1103" s="266"/>
      <c r="AQ1103" s="26" t="str">
        <f t="shared" si="289"/>
        <v>HAMMOND CREEKPink</v>
      </c>
      <c r="AR1103" s="26">
        <f t="shared" si="283"/>
        <v>0</v>
      </c>
      <c r="AS1103" s="33">
        <f t="shared" si="284"/>
        <v>0</v>
      </c>
      <c r="AX1103" s="47" t="str">
        <f t="shared" si="285"/>
        <v>HAMMOND CREEKPink</v>
      </c>
      <c r="AY1103" s="49">
        <f t="shared" si="286"/>
        <v>0</v>
      </c>
      <c r="AZ1103" s="49">
        <f t="shared" si="287"/>
        <v>0</v>
      </c>
      <c r="BA1103" s="31">
        <v>0</v>
      </c>
      <c r="BB1103" s="188">
        <f t="shared" si="290"/>
        <v>0</v>
      </c>
      <c r="BC1103" s="188" t="str">
        <f t="shared" si="294"/>
        <v xml:space="preserve"> </v>
      </c>
      <c r="BD1103" s="188" t="str">
        <f t="shared" si="295"/>
        <v xml:space="preserve"> </v>
      </c>
      <c r="BE1103" s="188" t="str">
        <f t="shared" si="296"/>
        <v xml:space="preserve"> </v>
      </c>
      <c r="BF1103" s="50" t="str">
        <f t="shared" si="288"/>
        <v>HAMMOND CREEK_Pink</v>
      </c>
      <c r="BG1103" s="50" t="str">
        <f>IFERROR(VLOOKUP(BF1103,'[1]WCVI Esc'!$C$5:$W$514,18,FALSE),"-")</f>
        <v>-</v>
      </c>
      <c r="BH1103" s="50" t="str">
        <f t="shared" si="291"/>
        <v>-</v>
      </c>
      <c r="BI1103" s="50" t="str">
        <f>IFERROR(VLOOKUP(BF1103,'[1]WCVI Esc'!$C$5:$W$514,19,FALSE),"-")</f>
        <v>-</v>
      </c>
      <c r="BJ1103" s="50" t="str">
        <f t="shared" si="292"/>
        <v>-</v>
      </c>
    </row>
    <row r="1104" spans="1:65" hidden="1" x14ac:dyDescent="0.2">
      <c r="A1104" s="28">
        <v>4</v>
      </c>
      <c r="B1104" s="28">
        <v>4</v>
      </c>
      <c r="C1104" s="11">
        <v>25</v>
      </c>
      <c r="D1104" s="13" t="s">
        <v>300</v>
      </c>
      <c r="E1104" s="10" t="s">
        <v>139</v>
      </c>
      <c r="F1104" s="10" t="s">
        <v>209</v>
      </c>
      <c r="G1104" s="10"/>
      <c r="H1104" s="152"/>
      <c r="I1104" s="164"/>
      <c r="J1104" s="94"/>
      <c r="K1104" s="62"/>
      <c r="L1104" s="177"/>
      <c r="M1104" s="176"/>
      <c r="N1104" s="106"/>
      <c r="O1104" s="62"/>
      <c r="P1104" s="62"/>
      <c r="Q1104" s="64"/>
      <c r="R1104" s="164"/>
      <c r="S1104" s="62"/>
      <c r="T1104" s="62"/>
      <c r="U1104" s="62"/>
      <c r="V1104" s="177"/>
      <c r="W1104" s="171"/>
      <c r="X1104" s="62"/>
      <c r="Y1104" s="45"/>
      <c r="Z1104" s="45"/>
      <c r="AA1104" s="100">
        <f>Y1104/AP1104</f>
        <v>0</v>
      </c>
      <c r="AB1104" s="100">
        <f>AS1104/AP1104</f>
        <v>0</v>
      </c>
      <c r="AC1104" s="24"/>
      <c r="AD1104" s="24"/>
      <c r="AE1104" s="24"/>
      <c r="AF1104" s="24"/>
      <c r="AG1104" s="18">
        <v>25</v>
      </c>
      <c r="AH1104" s="69" t="s">
        <v>300</v>
      </c>
      <c r="AI1104" s="243" t="s">
        <v>139</v>
      </c>
      <c r="AJ1104" s="243" t="s">
        <v>419</v>
      </c>
      <c r="AK1104" s="246"/>
      <c r="AL1104" s="43" t="str">
        <f t="shared" si="293"/>
        <v>-</v>
      </c>
      <c r="AM1104" s="43">
        <f t="shared" si="281"/>
        <v>0</v>
      </c>
      <c r="AN1104" s="193">
        <f t="shared" si="281"/>
        <v>0</v>
      </c>
      <c r="AO1104" s="270">
        <f t="shared" si="282"/>
        <v>20</v>
      </c>
      <c r="AP1104" s="265">
        <f>BJ1104</f>
        <v>290</v>
      </c>
      <c r="AQ1104" s="26" t="str">
        <f t="shared" si="289"/>
        <v>HAMMOND CREEKChum</v>
      </c>
      <c r="AR1104" s="26">
        <f t="shared" si="283"/>
        <v>0</v>
      </c>
      <c r="AS1104" s="33">
        <f t="shared" si="284"/>
        <v>0</v>
      </c>
      <c r="AX1104" s="47" t="str">
        <f t="shared" si="285"/>
        <v>HAMMOND CREEKChum</v>
      </c>
      <c r="AY1104" s="49">
        <f t="shared" si="286"/>
        <v>0</v>
      </c>
      <c r="AZ1104" s="49">
        <f t="shared" si="287"/>
        <v>0</v>
      </c>
      <c r="BA1104" s="31">
        <v>2012</v>
      </c>
      <c r="BB1104" s="188">
        <f t="shared" si="290"/>
        <v>0</v>
      </c>
      <c r="BC1104" s="188" t="str">
        <f t="shared" si="294"/>
        <v xml:space="preserve"> </v>
      </c>
      <c r="BD1104" s="188" t="str">
        <f t="shared" si="295"/>
        <v xml:space="preserve"> </v>
      </c>
      <c r="BE1104" s="188" t="str">
        <f t="shared" si="296"/>
        <v xml:space="preserve"> </v>
      </c>
      <c r="BF1104" s="50" t="str">
        <f t="shared" si="288"/>
        <v>HAMMOND CREEK_Chum</v>
      </c>
      <c r="BG1104" s="50">
        <f>IFERROR(VLOOKUP(BF1104,'[1]WCVI Esc'!$C$5:$W$514,18,FALSE),"-")</f>
        <v>16</v>
      </c>
      <c r="BH1104" s="50">
        <f t="shared" si="291"/>
        <v>20</v>
      </c>
      <c r="BI1104" s="50">
        <f>IFERROR(VLOOKUP(BF1104,'[1]WCVI Esc'!$C$5:$W$514,19,FALSE),"-")</f>
        <v>288</v>
      </c>
      <c r="BJ1104" s="50">
        <f t="shared" si="292"/>
        <v>290</v>
      </c>
    </row>
    <row r="1105" spans="1:62" x14ac:dyDescent="0.2">
      <c r="A1105" s="28">
        <v>4</v>
      </c>
      <c r="B1105" s="28">
        <v>5</v>
      </c>
      <c r="C1105" s="11">
        <v>25</v>
      </c>
      <c r="D1105" s="13" t="s">
        <v>300</v>
      </c>
      <c r="E1105" s="10" t="s">
        <v>139</v>
      </c>
      <c r="F1105" s="10" t="s">
        <v>210</v>
      </c>
      <c r="G1105" s="10"/>
      <c r="H1105" s="152"/>
      <c r="I1105" s="164"/>
      <c r="J1105" s="94"/>
      <c r="K1105" s="62"/>
      <c r="L1105" s="177"/>
      <c r="M1105" s="176"/>
      <c r="N1105" s="106"/>
      <c r="O1105" s="62"/>
      <c r="P1105" s="62"/>
      <c r="Q1105" s="64"/>
      <c r="R1105" s="164"/>
      <c r="S1105" s="62"/>
      <c r="T1105" s="62"/>
      <c r="U1105" s="62"/>
      <c r="V1105" s="177"/>
      <c r="W1105" s="171"/>
      <c r="X1105" s="62"/>
      <c r="Y1105" s="45"/>
      <c r="Z1105" s="45"/>
      <c r="AA1105" s="100"/>
      <c r="AB1105" s="100"/>
      <c r="AC1105" s="24"/>
      <c r="AD1105" s="24"/>
      <c r="AE1105" s="24"/>
      <c r="AF1105" s="24"/>
      <c r="AG1105" s="18">
        <v>25</v>
      </c>
      <c r="AH1105" s="69" t="s">
        <v>300</v>
      </c>
      <c r="AI1105" s="243" t="s">
        <v>139</v>
      </c>
      <c r="AJ1105" s="243" t="s">
        <v>419</v>
      </c>
      <c r="AK1105" s="246"/>
      <c r="AL1105" s="43" t="str">
        <f t="shared" si="293"/>
        <v>-</v>
      </c>
      <c r="AM1105" s="43">
        <f t="shared" si="281"/>
        <v>0</v>
      </c>
      <c r="AN1105" s="193">
        <f t="shared" si="281"/>
        <v>0</v>
      </c>
      <c r="AO1105" s="270">
        <f t="shared" si="282"/>
        <v>0</v>
      </c>
      <c r="AP1105" s="265">
        <f>BJ1105</f>
        <v>0</v>
      </c>
      <c r="AQ1105" s="26" t="str">
        <f t="shared" si="289"/>
        <v>HAMMOND CREEKChinook</v>
      </c>
      <c r="AR1105" s="26">
        <f t="shared" si="283"/>
        <v>0</v>
      </c>
      <c r="AS1105" s="33">
        <f t="shared" si="284"/>
        <v>0</v>
      </c>
      <c r="AX1105" s="47" t="str">
        <f t="shared" si="285"/>
        <v>HAMMOND CREEKChinook</v>
      </c>
      <c r="AY1105" s="49">
        <f t="shared" si="286"/>
        <v>0</v>
      </c>
      <c r="AZ1105" s="49">
        <f t="shared" si="287"/>
        <v>0</v>
      </c>
      <c r="BA1105" s="31">
        <v>2011</v>
      </c>
      <c r="BB1105" s="188">
        <f t="shared" si="290"/>
        <v>0</v>
      </c>
      <c r="BC1105" s="188" t="str">
        <f t="shared" si="294"/>
        <v xml:space="preserve"> </v>
      </c>
      <c r="BD1105" s="188" t="str">
        <f t="shared" si="295"/>
        <v xml:space="preserve"> </v>
      </c>
      <c r="BE1105" s="188" t="str">
        <f t="shared" si="296"/>
        <v xml:space="preserve"> </v>
      </c>
      <c r="BF1105" s="50" t="str">
        <f t="shared" si="288"/>
        <v>HAMMOND CREEK_Chinook</v>
      </c>
      <c r="BG1105" s="50">
        <f>IFERROR(VLOOKUP(BF1105,'[1]WCVI Esc'!$C$5:$W$514,18,FALSE),"-")</f>
        <v>1</v>
      </c>
      <c r="BH1105" s="50">
        <f t="shared" si="291"/>
        <v>0</v>
      </c>
      <c r="BI1105" s="50">
        <f>IFERROR(VLOOKUP(BF1105,'[1]WCVI Esc'!$C$5:$W$514,19,FALSE),"-")</f>
        <v>1</v>
      </c>
      <c r="BJ1105" s="50">
        <f t="shared" si="292"/>
        <v>0</v>
      </c>
    </row>
    <row r="1106" spans="1:62" hidden="1" x14ac:dyDescent="0.2">
      <c r="A1106" s="28">
        <v>4</v>
      </c>
      <c r="B1106" s="28">
        <v>6</v>
      </c>
      <c r="C1106" s="11">
        <v>25</v>
      </c>
      <c r="D1106" s="13" t="s">
        <v>300</v>
      </c>
      <c r="E1106" s="10" t="s">
        <v>139</v>
      </c>
      <c r="F1106" s="10" t="s">
        <v>211</v>
      </c>
      <c r="G1106" s="10"/>
      <c r="H1106" s="152"/>
      <c r="I1106" s="164"/>
      <c r="J1106" s="94"/>
      <c r="K1106" s="62"/>
      <c r="L1106" s="177"/>
      <c r="M1106" s="176"/>
      <c r="N1106" s="106"/>
      <c r="O1106" s="62"/>
      <c r="P1106" s="62"/>
      <c r="Q1106" s="64"/>
      <c r="R1106" s="164"/>
      <c r="S1106" s="62"/>
      <c r="T1106" s="62"/>
      <c r="U1106" s="62"/>
      <c r="V1106" s="177"/>
      <c r="W1106" s="171"/>
      <c r="X1106" s="62"/>
      <c r="Y1106" s="45"/>
      <c r="Z1106" s="45"/>
      <c r="AA1106" s="100"/>
      <c r="AB1106" s="100"/>
      <c r="AC1106" s="24"/>
      <c r="AD1106" s="24"/>
      <c r="AE1106" s="24"/>
      <c r="AF1106" s="24"/>
      <c r="AG1106" s="18">
        <v>25</v>
      </c>
      <c r="AH1106" s="69" t="s">
        <v>300</v>
      </c>
      <c r="AI1106" s="243" t="s">
        <v>139</v>
      </c>
      <c r="AJ1106" s="243" t="s">
        <v>419</v>
      </c>
      <c r="AK1106" s="246"/>
      <c r="AL1106" s="43" t="str">
        <f t="shared" si="293"/>
        <v>-</v>
      </c>
      <c r="AM1106" s="43">
        <f t="shared" si="281"/>
        <v>0</v>
      </c>
      <c r="AN1106" s="193">
        <f t="shared" si="281"/>
        <v>0</v>
      </c>
      <c r="AO1106" s="270" t="str">
        <f t="shared" si="282"/>
        <v>-</v>
      </c>
      <c r="AP1106" s="266"/>
      <c r="AQ1106" s="26" t="str">
        <f t="shared" si="289"/>
        <v>HAMMOND CREEKSteelhead</v>
      </c>
      <c r="AR1106" s="26">
        <f t="shared" si="283"/>
        <v>0</v>
      </c>
      <c r="AS1106" s="33">
        <f t="shared" si="284"/>
        <v>0</v>
      </c>
      <c r="AX1106" s="47" t="str">
        <f t="shared" si="285"/>
        <v>HAMMOND CREEKSteelhead</v>
      </c>
      <c r="AY1106" s="49">
        <f t="shared" si="286"/>
        <v>0</v>
      </c>
      <c r="AZ1106" s="49">
        <f t="shared" si="287"/>
        <v>0</v>
      </c>
      <c r="BA1106" s="31">
        <v>0</v>
      </c>
      <c r="BB1106" s="188">
        <f t="shared" si="290"/>
        <v>0</v>
      </c>
      <c r="BC1106" s="188" t="str">
        <f t="shared" si="294"/>
        <v xml:space="preserve"> </v>
      </c>
      <c r="BD1106" s="188" t="str">
        <f t="shared" si="295"/>
        <v xml:space="preserve"> </v>
      </c>
      <c r="BE1106" s="188" t="str">
        <f t="shared" si="296"/>
        <v xml:space="preserve"> </v>
      </c>
      <c r="BF1106" s="50" t="str">
        <f t="shared" si="288"/>
        <v>HAMMOND CREEK_Steelhead</v>
      </c>
      <c r="BG1106" s="50" t="str">
        <f>IFERROR(VLOOKUP(BF1106,'[1]WCVI Esc'!$C$5:$W$514,18,FALSE),"-")</f>
        <v>-</v>
      </c>
      <c r="BH1106" s="50" t="str">
        <f t="shared" si="291"/>
        <v>-</v>
      </c>
      <c r="BI1106" s="50" t="str">
        <f>IFERROR(VLOOKUP(BF1106,'[1]WCVI Esc'!$C$5:$W$514,19,FALSE),"-")</f>
        <v>-</v>
      </c>
      <c r="BJ1106" s="50" t="str">
        <f t="shared" si="292"/>
        <v>-</v>
      </c>
    </row>
    <row r="1107" spans="1:62" hidden="1" x14ac:dyDescent="0.2">
      <c r="A1107" s="28">
        <v>4</v>
      </c>
      <c r="B1107" s="28">
        <v>1</v>
      </c>
      <c r="C1107" s="11">
        <v>25</v>
      </c>
      <c r="D1107" s="13" t="s">
        <v>299</v>
      </c>
      <c r="E1107" s="10" t="s">
        <v>140</v>
      </c>
      <c r="F1107" s="10" t="s">
        <v>207</v>
      </c>
      <c r="G1107" s="10"/>
      <c r="H1107" s="152"/>
      <c r="I1107" s="164"/>
      <c r="J1107" s="94"/>
      <c r="K1107" s="62"/>
      <c r="L1107" s="177"/>
      <c r="M1107" s="176"/>
      <c r="N1107" s="106"/>
      <c r="O1107" s="62"/>
      <c r="P1107" s="62"/>
      <c r="Q1107" s="64"/>
      <c r="R1107" s="164"/>
      <c r="S1107" s="62"/>
      <c r="T1107" s="62"/>
      <c r="U1107" s="62"/>
      <c r="V1107" s="177"/>
      <c r="W1107" s="171"/>
      <c r="X1107" s="62"/>
      <c r="Y1107" s="45"/>
      <c r="Z1107" s="45"/>
      <c r="AA1107" s="100"/>
      <c r="AB1107" s="100"/>
      <c r="AC1107" s="24"/>
      <c r="AD1107" s="24"/>
      <c r="AE1107" s="24"/>
      <c r="AF1107" s="24"/>
      <c r="AG1107" s="18">
        <v>25</v>
      </c>
      <c r="AH1107" s="69" t="s">
        <v>299</v>
      </c>
      <c r="AI1107" s="243" t="s">
        <v>140</v>
      </c>
      <c r="AJ1107" s="243" t="s">
        <v>419</v>
      </c>
      <c r="AK1107" s="246"/>
      <c r="AL1107" s="43" t="str">
        <f t="shared" si="293"/>
        <v>-</v>
      </c>
      <c r="AM1107" s="43">
        <f t="shared" si="281"/>
        <v>0</v>
      </c>
      <c r="AN1107" s="193">
        <f t="shared" si="281"/>
        <v>0</v>
      </c>
      <c r="AO1107" s="270" t="str">
        <f t="shared" si="282"/>
        <v>-</v>
      </c>
      <c r="AP1107" s="265">
        <f>BJ1107</f>
        <v>0</v>
      </c>
      <c r="AQ1107" s="26" t="str">
        <f t="shared" si="289"/>
        <v>HOISS CREEKSockeye</v>
      </c>
      <c r="AR1107" s="26">
        <f t="shared" si="283"/>
        <v>0</v>
      </c>
      <c r="AS1107" s="33">
        <f t="shared" si="284"/>
        <v>0</v>
      </c>
      <c r="AX1107" s="47" t="str">
        <f t="shared" si="285"/>
        <v>HOISS CREEKSockeye</v>
      </c>
      <c r="AY1107" s="49">
        <f t="shared" si="286"/>
        <v>0</v>
      </c>
      <c r="AZ1107" s="49">
        <f t="shared" si="287"/>
        <v>0</v>
      </c>
      <c r="BA1107" s="31">
        <v>2011</v>
      </c>
      <c r="BB1107" s="188">
        <f t="shared" si="290"/>
        <v>0</v>
      </c>
      <c r="BC1107" s="188" t="str">
        <f t="shared" si="294"/>
        <v xml:space="preserve"> </v>
      </c>
      <c r="BD1107" s="188" t="str">
        <f t="shared" si="295"/>
        <v xml:space="preserve"> </v>
      </c>
      <c r="BE1107" s="188" t="str">
        <f t="shared" si="296"/>
        <v xml:space="preserve"> </v>
      </c>
      <c r="BF1107" s="50" t="str">
        <f t="shared" si="288"/>
        <v>HOISS CREEK_Sockeye</v>
      </c>
      <c r="BG1107" s="50" t="str">
        <f>IFERROR(VLOOKUP(BF1107,'[1]WCVI Esc'!$C$5:$W$514,18,FALSE),"-")</f>
        <v>-</v>
      </c>
      <c r="BH1107" s="50" t="str">
        <f t="shared" si="291"/>
        <v>-</v>
      </c>
      <c r="BI1107" s="50">
        <f>IFERROR(VLOOKUP(BF1107,'[1]WCVI Esc'!$C$5:$W$514,19,FALSE),"-")</f>
        <v>4</v>
      </c>
      <c r="BJ1107" s="50">
        <f t="shared" si="292"/>
        <v>0</v>
      </c>
    </row>
    <row r="1108" spans="1:62" hidden="1" x14ac:dyDescent="0.2">
      <c r="A1108" s="28">
        <v>4</v>
      </c>
      <c r="B1108" s="28">
        <v>2</v>
      </c>
      <c r="C1108" s="11">
        <v>25</v>
      </c>
      <c r="D1108" s="13" t="s">
        <v>299</v>
      </c>
      <c r="E1108" s="10" t="s">
        <v>140</v>
      </c>
      <c r="F1108" s="10" t="s">
        <v>219</v>
      </c>
      <c r="G1108" s="10"/>
      <c r="H1108" s="152"/>
      <c r="I1108" s="164"/>
      <c r="J1108" s="94"/>
      <c r="K1108" s="62"/>
      <c r="L1108" s="177"/>
      <c r="M1108" s="176"/>
      <c r="N1108" s="106"/>
      <c r="O1108" s="62"/>
      <c r="P1108" s="62"/>
      <c r="Q1108" s="64"/>
      <c r="R1108" s="164"/>
      <c r="S1108" s="62"/>
      <c r="T1108" s="62"/>
      <c r="U1108" s="62"/>
      <c r="V1108" s="177"/>
      <c r="W1108" s="171"/>
      <c r="X1108" s="62"/>
      <c r="Y1108" s="45"/>
      <c r="Z1108" s="45"/>
      <c r="AA1108" s="100">
        <f>Y1108/AP1108</f>
        <v>0</v>
      </c>
      <c r="AB1108" s="100">
        <f>AS1108/AP1108</f>
        <v>0</v>
      </c>
      <c r="AC1108" s="24"/>
      <c r="AD1108" s="24"/>
      <c r="AE1108" s="24"/>
      <c r="AF1108" s="24"/>
      <c r="AG1108" s="18">
        <v>25</v>
      </c>
      <c r="AH1108" s="69" t="s">
        <v>299</v>
      </c>
      <c r="AI1108" s="243" t="s">
        <v>140</v>
      </c>
      <c r="AJ1108" s="243" t="s">
        <v>419</v>
      </c>
      <c r="AK1108" s="246"/>
      <c r="AL1108" s="43" t="str">
        <f t="shared" si="293"/>
        <v>-</v>
      </c>
      <c r="AM1108" s="43">
        <f t="shared" si="281"/>
        <v>0</v>
      </c>
      <c r="AN1108" s="193">
        <f t="shared" si="281"/>
        <v>0</v>
      </c>
      <c r="AO1108" s="270" t="str">
        <f t="shared" si="282"/>
        <v>-</v>
      </c>
      <c r="AP1108" s="265">
        <f>BJ1108</f>
        <v>50</v>
      </c>
      <c r="AQ1108" s="26" t="str">
        <f t="shared" si="289"/>
        <v>HOISS CREEKCoho</v>
      </c>
      <c r="AR1108" s="26">
        <f t="shared" si="283"/>
        <v>0</v>
      </c>
      <c r="AS1108" s="33">
        <f t="shared" si="284"/>
        <v>0</v>
      </c>
      <c r="AX1108" s="47" t="str">
        <f t="shared" si="285"/>
        <v>HOISS CREEKCoho</v>
      </c>
      <c r="AY1108" s="49">
        <f t="shared" si="286"/>
        <v>0</v>
      </c>
      <c r="AZ1108" s="49">
        <f t="shared" si="287"/>
        <v>0</v>
      </c>
      <c r="BA1108" s="31">
        <v>2011</v>
      </c>
      <c r="BB1108" s="188">
        <f t="shared" si="290"/>
        <v>0</v>
      </c>
      <c r="BC1108" s="188" t="str">
        <f t="shared" si="294"/>
        <v xml:space="preserve"> </v>
      </c>
      <c r="BD1108" s="188" t="str">
        <f t="shared" si="295"/>
        <v xml:space="preserve"> </v>
      </c>
      <c r="BE1108" s="188" t="str">
        <f t="shared" si="296"/>
        <v xml:space="preserve"> </v>
      </c>
      <c r="BF1108" s="50" t="str">
        <f t="shared" si="288"/>
        <v>HOISS CREEK_Coho</v>
      </c>
      <c r="BG1108" s="50" t="str">
        <f>IFERROR(VLOOKUP(BF1108,'[1]WCVI Esc'!$C$5:$W$514,18,FALSE),"-")</f>
        <v>-</v>
      </c>
      <c r="BH1108" s="50" t="str">
        <f t="shared" si="291"/>
        <v>-</v>
      </c>
      <c r="BI1108" s="50">
        <f>IFERROR(VLOOKUP(BF1108,'[1]WCVI Esc'!$C$5:$W$514,19,FALSE),"-")</f>
        <v>48</v>
      </c>
      <c r="BJ1108" s="50">
        <f t="shared" si="292"/>
        <v>50</v>
      </c>
    </row>
    <row r="1109" spans="1:62" hidden="1" x14ac:dyDescent="0.2">
      <c r="A1109" s="28">
        <v>4</v>
      </c>
      <c r="B1109" s="28">
        <v>3</v>
      </c>
      <c r="C1109" s="11">
        <v>25</v>
      </c>
      <c r="D1109" s="13" t="s">
        <v>299</v>
      </c>
      <c r="E1109" s="10" t="s">
        <v>140</v>
      </c>
      <c r="F1109" s="10" t="s">
        <v>208</v>
      </c>
      <c r="G1109" s="10"/>
      <c r="H1109" s="152"/>
      <c r="I1109" s="164"/>
      <c r="J1109" s="94"/>
      <c r="K1109" s="62"/>
      <c r="L1109" s="177"/>
      <c r="M1109" s="176"/>
      <c r="N1109" s="106"/>
      <c r="O1109" s="62"/>
      <c r="P1109" s="62"/>
      <c r="Q1109" s="64"/>
      <c r="R1109" s="164"/>
      <c r="S1109" s="62"/>
      <c r="T1109" s="62"/>
      <c r="U1109" s="62"/>
      <c r="V1109" s="177"/>
      <c r="W1109" s="171"/>
      <c r="X1109" s="62"/>
      <c r="Y1109" s="45"/>
      <c r="Z1109" s="45"/>
      <c r="AA1109" s="100"/>
      <c r="AB1109" s="100"/>
      <c r="AC1109" s="24"/>
      <c r="AD1109" s="24"/>
      <c r="AE1109" s="24"/>
      <c r="AF1109" s="24"/>
      <c r="AG1109" s="18">
        <v>25</v>
      </c>
      <c r="AH1109" s="69" t="s">
        <v>299</v>
      </c>
      <c r="AI1109" s="243" t="s">
        <v>140</v>
      </c>
      <c r="AJ1109" s="243" t="s">
        <v>419</v>
      </c>
      <c r="AK1109" s="246"/>
      <c r="AL1109" s="43" t="str">
        <f t="shared" si="293"/>
        <v>-</v>
      </c>
      <c r="AM1109" s="43">
        <f t="shared" si="281"/>
        <v>0</v>
      </c>
      <c r="AN1109" s="193">
        <f t="shared" si="281"/>
        <v>0</v>
      </c>
      <c r="AO1109" s="270" t="str">
        <f t="shared" si="282"/>
        <v>-</v>
      </c>
      <c r="AP1109" s="266"/>
      <c r="AQ1109" s="26" t="str">
        <f t="shared" si="289"/>
        <v>HOISS CREEKPink</v>
      </c>
      <c r="AR1109" s="26">
        <f t="shared" si="283"/>
        <v>0</v>
      </c>
      <c r="AS1109" s="33">
        <f t="shared" si="284"/>
        <v>0</v>
      </c>
      <c r="AX1109" s="47" t="str">
        <f t="shared" si="285"/>
        <v>HOISS CREEKPink</v>
      </c>
      <c r="AY1109" s="49">
        <f t="shared" si="286"/>
        <v>0</v>
      </c>
      <c r="AZ1109" s="49">
        <f t="shared" si="287"/>
        <v>0</v>
      </c>
      <c r="BA1109" s="31">
        <v>0</v>
      </c>
      <c r="BB1109" s="188">
        <f t="shared" si="290"/>
        <v>0</v>
      </c>
      <c r="BC1109" s="188" t="str">
        <f t="shared" si="294"/>
        <v xml:space="preserve"> </v>
      </c>
      <c r="BD1109" s="188" t="str">
        <f t="shared" si="295"/>
        <v xml:space="preserve"> </v>
      </c>
      <c r="BE1109" s="188" t="str">
        <f t="shared" si="296"/>
        <v xml:space="preserve"> </v>
      </c>
      <c r="BF1109" s="50" t="str">
        <f t="shared" si="288"/>
        <v>HOISS CREEK_Pink</v>
      </c>
      <c r="BG1109" s="50" t="str">
        <f>IFERROR(VLOOKUP(BF1109,'[1]WCVI Esc'!$C$5:$W$514,18,FALSE),"-")</f>
        <v>-</v>
      </c>
      <c r="BH1109" s="50" t="str">
        <f t="shared" si="291"/>
        <v>-</v>
      </c>
      <c r="BI1109" s="50" t="str">
        <f>IFERROR(VLOOKUP(BF1109,'[1]WCVI Esc'!$C$5:$W$514,19,FALSE),"-")</f>
        <v>-</v>
      </c>
      <c r="BJ1109" s="50" t="str">
        <f t="shared" si="292"/>
        <v>-</v>
      </c>
    </row>
    <row r="1110" spans="1:62" hidden="1" x14ac:dyDescent="0.2">
      <c r="A1110" s="28">
        <v>4</v>
      </c>
      <c r="B1110" s="28">
        <v>4</v>
      </c>
      <c r="C1110" s="11">
        <v>25</v>
      </c>
      <c r="D1110" s="13" t="s">
        <v>299</v>
      </c>
      <c r="E1110" s="10" t="s">
        <v>140</v>
      </c>
      <c r="F1110" s="10" t="s">
        <v>209</v>
      </c>
      <c r="G1110" s="10"/>
      <c r="H1110" s="152"/>
      <c r="I1110" s="164"/>
      <c r="J1110" s="94"/>
      <c r="K1110" s="62"/>
      <c r="L1110" s="177"/>
      <c r="M1110" s="176"/>
      <c r="N1110" s="106"/>
      <c r="O1110" s="62"/>
      <c r="P1110" s="62"/>
      <c r="Q1110" s="64"/>
      <c r="R1110" s="164"/>
      <c r="S1110" s="62"/>
      <c r="T1110" s="62"/>
      <c r="U1110" s="62"/>
      <c r="V1110" s="177"/>
      <c r="W1110" s="171"/>
      <c r="X1110" s="62"/>
      <c r="Y1110" s="45"/>
      <c r="Z1110" s="45"/>
      <c r="AA1110" s="100">
        <f>Y1110/AP1110</f>
        <v>0</v>
      </c>
      <c r="AB1110" s="100">
        <f>AS1110/AP1110</f>
        <v>0</v>
      </c>
      <c r="AC1110" s="24"/>
      <c r="AD1110" s="24"/>
      <c r="AE1110" s="24"/>
      <c r="AF1110" s="24"/>
      <c r="AG1110" s="18">
        <v>25</v>
      </c>
      <c r="AH1110" s="69" t="s">
        <v>299</v>
      </c>
      <c r="AI1110" s="243" t="s">
        <v>140</v>
      </c>
      <c r="AJ1110" s="243" t="s">
        <v>419</v>
      </c>
      <c r="AK1110" s="246"/>
      <c r="AL1110" s="43" t="str">
        <f t="shared" si="293"/>
        <v>-</v>
      </c>
      <c r="AM1110" s="43">
        <f t="shared" si="281"/>
        <v>0</v>
      </c>
      <c r="AN1110" s="193">
        <f t="shared" si="281"/>
        <v>0</v>
      </c>
      <c r="AO1110" s="270" t="str">
        <f t="shared" si="282"/>
        <v>-</v>
      </c>
      <c r="AP1110" s="265">
        <f>BJ1110</f>
        <v>360</v>
      </c>
      <c r="AQ1110" s="26" t="str">
        <f t="shared" si="289"/>
        <v>HOISS CREEKChum</v>
      </c>
      <c r="AR1110" s="26">
        <f t="shared" si="283"/>
        <v>0</v>
      </c>
      <c r="AS1110" s="33">
        <f t="shared" si="284"/>
        <v>0</v>
      </c>
      <c r="AX1110" s="47" t="str">
        <f t="shared" si="285"/>
        <v>HOISS CREEKChum</v>
      </c>
      <c r="AY1110" s="49">
        <f t="shared" si="286"/>
        <v>0</v>
      </c>
      <c r="AZ1110" s="49">
        <f t="shared" si="287"/>
        <v>0</v>
      </c>
      <c r="BA1110" s="31">
        <v>2011</v>
      </c>
      <c r="BB1110" s="188">
        <f t="shared" si="290"/>
        <v>0</v>
      </c>
      <c r="BC1110" s="188" t="str">
        <f t="shared" si="294"/>
        <v xml:space="preserve"> </v>
      </c>
      <c r="BD1110" s="188" t="str">
        <f t="shared" si="295"/>
        <v xml:space="preserve"> </v>
      </c>
      <c r="BE1110" s="188" t="str">
        <f t="shared" si="296"/>
        <v xml:space="preserve"> </v>
      </c>
      <c r="BF1110" s="50" t="str">
        <f t="shared" si="288"/>
        <v>HOISS CREEK_Chum</v>
      </c>
      <c r="BG1110" s="50" t="str">
        <f>IFERROR(VLOOKUP(BF1110,'[1]WCVI Esc'!$C$5:$W$514,18,FALSE),"-")</f>
        <v>-</v>
      </c>
      <c r="BH1110" s="50" t="str">
        <f t="shared" si="291"/>
        <v>-</v>
      </c>
      <c r="BI1110" s="50">
        <f>IFERROR(VLOOKUP(BF1110,'[1]WCVI Esc'!$C$5:$W$514,19,FALSE),"-")</f>
        <v>361</v>
      </c>
      <c r="BJ1110" s="50">
        <f t="shared" si="292"/>
        <v>360</v>
      </c>
    </row>
    <row r="1111" spans="1:62" x14ac:dyDescent="0.2">
      <c r="A1111" s="28">
        <v>4</v>
      </c>
      <c r="B1111" s="28">
        <v>5</v>
      </c>
      <c r="C1111" s="11">
        <v>25</v>
      </c>
      <c r="D1111" s="13" t="s">
        <v>299</v>
      </c>
      <c r="E1111" s="10" t="s">
        <v>140</v>
      </c>
      <c r="F1111" s="10" t="s">
        <v>210</v>
      </c>
      <c r="G1111" s="10"/>
      <c r="H1111" s="152"/>
      <c r="I1111" s="164"/>
      <c r="J1111" s="94"/>
      <c r="K1111" s="62"/>
      <c r="L1111" s="177"/>
      <c r="M1111" s="176"/>
      <c r="N1111" s="106"/>
      <c r="O1111" s="62"/>
      <c r="P1111" s="62"/>
      <c r="Q1111" s="64"/>
      <c r="R1111" s="164"/>
      <c r="S1111" s="62"/>
      <c r="T1111" s="62"/>
      <c r="U1111" s="62"/>
      <c r="V1111" s="177"/>
      <c r="W1111" s="171"/>
      <c r="X1111" s="62"/>
      <c r="Y1111" s="45"/>
      <c r="Z1111" s="45"/>
      <c r="AA1111" s="100" t="e">
        <f>Y1111/AP1111</f>
        <v>#DIV/0!</v>
      </c>
      <c r="AB1111" s="100" t="e">
        <f>AS1111/AP1111</f>
        <v>#DIV/0!</v>
      </c>
      <c r="AC1111" s="24"/>
      <c r="AD1111" s="24"/>
      <c r="AE1111" s="24"/>
      <c r="AF1111" s="24"/>
      <c r="AG1111" s="18">
        <v>25</v>
      </c>
      <c r="AH1111" s="69" t="s">
        <v>299</v>
      </c>
      <c r="AI1111" s="243" t="s">
        <v>140</v>
      </c>
      <c r="AJ1111" s="243" t="s">
        <v>419</v>
      </c>
      <c r="AK1111" s="246"/>
      <c r="AL1111" s="43" t="str">
        <f t="shared" si="293"/>
        <v>-</v>
      </c>
      <c r="AM1111" s="43">
        <f t="shared" si="281"/>
        <v>0</v>
      </c>
      <c r="AN1111" s="193">
        <f t="shared" si="281"/>
        <v>0</v>
      </c>
      <c r="AO1111" s="270" t="str">
        <f t="shared" si="282"/>
        <v>-</v>
      </c>
      <c r="AP1111" s="265">
        <f>BJ1111</f>
        <v>0</v>
      </c>
      <c r="AQ1111" s="26" t="str">
        <f t="shared" si="289"/>
        <v>HOISS CREEKChinook</v>
      </c>
      <c r="AR1111" s="26">
        <f t="shared" si="283"/>
        <v>0</v>
      </c>
      <c r="AS1111" s="33">
        <f t="shared" si="284"/>
        <v>0</v>
      </c>
      <c r="AX1111" s="47" t="str">
        <f t="shared" si="285"/>
        <v>HOISS CREEKChinook</v>
      </c>
      <c r="AY1111" s="49">
        <f t="shared" si="286"/>
        <v>0</v>
      </c>
      <c r="AZ1111" s="49">
        <f t="shared" si="287"/>
        <v>0</v>
      </c>
      <c r="BA1111" s="31">
        <v>2011</v>
      </c>
      <c r="BB1111" s="188">
        <f t="shared" si="290"/>
        <v>0</v>
      </c>
      <c r="BC1111" s="188" t="str">
        <f t="shared" si="294"/>
        <v xml:space="preserve"> </v>
      </c>
      <c r="BD1111" s="188" t="str">
        <f t="shared" si="295"/>
        <v xml:space="preserve"> </v>
      </c>
      <c r="BE1111" s="188" t="str">
        <f t="shared" si="296"/>
        <v xml:space="preserve"> </v>
      </c>
      <c r="BF1111" s="50" t="str">
        <f t="shared" si="288"/>
        <v>HOISS CREEK_Chinook</v>
      </c>
      <c r="BG1111" s="50" t="str">
        <f>IFERROR(VLOOKUP(BF1111,'[1]WCVI Esc'!$C$5:$W$514,18,FALSE),"-")</f>
        <v>-</v>
      </c>
      <c r="BH1111" s="50" t="str">
        <f t="shared" si="291"/>
        <v>-</v>
      </c>
      <c r="BI1111" s="50">
        <f>IFERROR(VLOOKUP(BF1111,'[1]WCVI Esc'!$C$5:$W$514,19,FALSE),"-")</f>
        <v>1</v>
      </c>
      <c r="BJ1111" s="50">
        <f t="shared" si="292"/>
        <v>0</v>
      </c>
    </row>
    <row r="1112" spans="1:62" hidden="1" x14ac:dyDescent="0.2">
      <c r="A1112" s="28">
        <v>4</v>
      </c>
      <c r="B1112" s="28">
        <v>6</v>
      </c>
      <c r="C1112" s="11">
        <v>25</v>
      </c>
      <c r="D1112" s="13" t="s">
        <v>299</v>
      </c>
      <c r="E1112" s="10" t="s">
        <v>140</v>
      </c>
      <c r="F1112" s="10" t="s">
        <v>211</v>
      </c>
      <c r="G1112" s="10"/>
      <c r="H1112" s="152"/>
      <c r="I1112" s="164"/>
      <c r="J1112" s="94"/>
      <c r="K1112" s="62"/>
      <c r="L1112" s="177"/>
      <c r="M1112" s="176"/>
      <c r="N1112" s="106"/>
      <c r="O1112" s="62"/>
      <c r="P1112" s="62"/>
      <c r="Q1112" s="64"/>
      <c r="R1112" s="164"/>
      <c r="S1112" s="62"/>
      <c r="T1112" s="62"/>
      <c r="U1112" s="62"/>
      <c r="V1112" s="177"/>
      <c r="W1112" s="171"/>
      <c r="X1112" s="62"/>
      <c r="Y1112" s="45"/>
      <c r="Z1112" s="45"/>
      <c r="AA1112" s="100"/>
      <c r="AB1112" s="100"/>
      <c r="AC1112" s="24"/>
      <c r="AD1112" s="24"/>
      <c r="AE1112" s="24"/>
      <c r="AF1112" s="24"/>
      <c r="AG1112" s="18">
        <v>25</v>
      </c>
      <c r="AH1112" s="69" t="s">
        <v>299</v>
      </c>
      <c r="AI1112" s="243" t="s">
        <v>140</v>
      </c>
      <c r="AJ1112" s="243" t="s">
        <v>419</v>
      </c>
      <c r="AK1112" s="246"/>
      <c r="AL1112" s="43" t="str">
        <f t="shared" si="293"/>
        <v>-</v>
      </c>
      <c r="AM1112" s="43">
        <f t="shared" si="281"/>
        <v>0</v>
      </c>
      <c r="AN1112" s="193">
        <f t="shared" si="281"/>
        <v>0</v>
      </c>
      <c r="AO1112" s="270" t="str">
        <f t="shared" si="282"/>
        <v>-</v>
      </c>
      <c r="AP1112" s="266"/>
      <c r="AQ1112" s="26" t="str">
        <f t="shared" si="289"/>
        <v>HOISS CREEKSteelhead</v>
      </c>
      <c r="AR1112" s="26">
        <f t="shared" si="283"/>
        <v>0</v>
      </c>
      <c r="AS1112" s="33">
        <f t="shared" si="284"/>
        <v>0</v>
      </c>
      <c r="AX1112" s="47" t="str">
        <f t="shared" si="285"/>
        <v>HOISS CREEKSteelhead</v>
      </c>
      <c r="AY1112" s="49">
        <f t="shared" si="286"/>
        <v>0</v>
      </c>
      <c r="AZ1112" s="49">
        <f t="shared" si="287"/>
        <v>0</v>
      </c>
      <c r="BA1112" s="31">
        <v>0</v>
      </c>
      <c r="BB1112" s="188">
        <f t="shared" si="290"/>
        <v>0</v>
      </c>
      <c r="BC1112" s="188" t="str">
        <f t="shared" si="294"/>
        <v xml:space="preserve"> </v>
      </c>
      <c r="BD1112" s="188" t="str">
        <f t="shared" si="295"/>
        <v xml:space="preserve"> </v>
      </c>
      <c r="BE1112" s="188" t="str">
        <f t="shared" si="296"/>
        <v xml:space="preserve"> </v>
      </c>
      <c r="BF1112" s="50" t="str">
        <f t="shared" si="288"/>
        <v>HOISS CREEK_Steelhead</v>
      </c>
      <c r="BG1112" s="50" t="str">
        <f>IFERROR(VLOOKUP(BF1112,'[1]WCVI Esc'!$C$5:$W$514,18,FALSE),"-")</f>
        <v>-</v>
      </c>
      <c r="BH1112" s="50" t="str">
        <f t="shared" si="291"/>
        <v>-</v>
      </c>
      <c r="BI1112" s="50" t="str">
        <f>IFERROR(VLOOKUP(BF1112,'[1]WCVI Esc'!$C$5:$W$514,19,FALSE),"-")</f>
        <v>-</v>
      </c>
      <c r="BJ1112" s="50" t="str">
        <f t="shared" si="292"/>
        <v>-</v>
      </c>
    </row>
    <row r="1113" spans="1:62" hidden="1" x14ac:dyDescent="0.2">
      <c r="A1113" s="28">
        <v>4</v>
      </c>
      <c r="B1113" s="28">
        <v>1</v>
      </c>
      <c r="C1113" s="11">
        <v>25</v>
      </c>
      <c r="D1113" s="13" t="s">
        <v>298</v>
      </c>
      <c r="E1113" s="10" t="s">
        <v>236</v>
      </c>
      <c r="F1113" s="10" t="s">
        <v>207</v>
      </c>
      <c r="G1113" s="10"/>
      <c r="H1113" s="152"/>
      <c r="I1113" s="164"/>
      <c r="J1113" s="94"/>
      <c r="K1113" s="62"/>
      <c r="L1113" s="177"/>
      <c r="M1113" s="176"/>
      <c r="N1113" s="106"/>
      <c r="O1113" s="62"/>
      <c r="P1113" s="62"/>
      <c r="Q1113" s="64"/>
      <c r="R1113" s="164"/>
      <c r="S1113" s="62"/>
      <c r="T1113" s="62"/>
      <c r="U1113" s="62"/>
      <c r="V1113" s="177"/>
      <c r="W1113" s="171"/>
      <c r="X1113" s="62"/>
      <c r="Y1113" s="45"/>
      <c r="Z1113" s="45"/>
      <c r="AA1113" s="100">
        <f>Y1113/AP1113</f>
        <v>0</v>
      </c>
      <c r="AB1113" s="100">
        <f>AS1113/AP1113</f>
        <v>0</v>
      </c>
      <c r="AC1113" s="24"/>
      <c r="AD1113" s="24"/>
      <c r="AE1113" s="24"/>
      <c r="AF1113" s="24"/>
      <c r="AG1113" s="18">
        <v>25</v>
      </c>
      <c r="AH1113" s="69" t="s">
        <v>298</v>
      </c>
      <c r="AI1113" s="243" t="s">
        <v>236</v>
      </c>
      <c r="AJ1113" s="243" t="s">
        <v>419</v>
      </c>
      <c r="AK1113" s="246"/>
      <c r="AL1113" s="43" t="str">
        <f t="shared" si="293"/>
        <v>-</v>
      </c>
      <c r="AM1113" s="43">
        <f t="shared" si="281"/>
        <v>0</v>
      </c>
      <c r="AN1113" s="193">
        <f t="shared" si="281"/>
        <v>0</v>
      </c>
      <c r="AO1113" s="270" t="str">
        <f t="shared" si="282"/>
        <v>-</v>
      </c>
      <c r="AP1113" s="265">
        <f>BJ1113</f>
        <v>10</v>
      </c>
      <c r="AQ1113" s="26" t="str">
        <f t="shared" si="289"/>
        <v>INNER BASIN CREEK (Black C)Sockeye</v>
      </c>
      <c r="AR1113" s="26">
        <f t="shared" si="283"/>
        <v>0</v>
      </c>
      <c r="AS1113" s="33">
        <f t="shared" si="284"/>
        <v>0</v>
      </c>
      <c r="AX1113" s="47" t="str">
        <f t="shared" si="285"/>
        <v>INNER BASIN CREEK (Black C)Sockeye</v>
      </c>
      <c r="AY1113" s="49">
        <f t="shared" si="286"/>
        <v>0</v>
      </c>
      <c r="AZ1113" s="49">
        <f t="shared" si="287"/>
        <v>0</v>
      </c>
      <c r="BA1113" s="31">
        <v>2011</v>
      </c>
      <c r="BB1113" s="188">
        <f t="shared" si="290"/>
        <v>0</v>
      </c>
      <c r="BC1113" s="188" t="str">
        <f t="shared" si="294"/>
        <v xml:space="preserve"> </v>
      </c>
      <c r="BD1113" s="188" t="str">
        <f t="shared" si="295"/>
        <v xml:space="preserve"> </v>
      </c>
      <c r="BE1113" s="188" t="str">
        <f t="shared" si="296"/>
        <v xml:space="preserve"> </v>
      </c>
      <c r="BF1113" s="50" t="str">
        <f t="shared" si="288"/>
        <v>INNER BASIN CREEK (Black C)_Sockeye</v>
      </c>
      <c r="BG1113" s="50" t="str">
        <f>IFERROR(VLOOKUP(BF1113,'[1]WCVI Esc'!$C$5:$W$514,18,FALSE),"-")</f>
        <v>-</v>
      </c>
      <c r="BH1113" s="50" t="str">
        <f t="shared" si="291"/>
        <v>-</v>
      </c>
      <c r="BI1113" s="50">
        <f>IFERROR(VLOOKUP(BF1113,'[1]WCVI Esc'!$C$5:$W$514,19,FALSE),"-")</f>
        <v>14</v>
      </c>
      <c r="BJ1113" s="50">
        <f t="shared" si="292"/>
        <v>10</v>
      </c>
    </row>
    <row r="1114" spans="1:62" hidden="1" x14ac:dyDescent="0.2">
      <c r="A1114" s="28">
        <v>4</v>
      </c>
      <c r="B1114" s="28">
        <v>2</v>
      </c>
      <c r="C1114" s="11">
        <v>25</v>
      </c>
      <c r="D1114" s="13" t="s">
        <v>298</v>
      </c>
      <c r="E1114" s="10" t="s">
        <v>236</v>
      </c>
      <c r="F1114" s="10" t="s">
        <v>219</v>
      </c>
      <c r="G1114" s="10"/>
      <c r="H1114" s="152"/>
      <c r="I1114" s="164"/>
      <c r="J1114" s="94"/>
      <c r="K1114" s="62"/>
      <c r="L1114" s="177"/>
      <c r="M1114" s="176"/>
      <c r="N1114" s="106"/>
      <c r="O1114" s="62"/>
      <c r="P1114" s="62"/>
      <c r="Q1114" s="64"/>
      <c r="R1114" s="164"/>
      <c r="S1114" s="62"/>
      <c r="T1114" s="62"/>
      <c r="U1114" s="62"/>
      <c r="V1114" s="177"/>
      <c r="W1114" s="171"/>
      <c r="X1114" s="62"/>
      <c r="Y1114" s="45"/>
      <c r="Z1114" s="45"/>
      <c r="AA1114" s="100">
        <f>Y1114/AP1114</f>
        <v>0</v>
      </c>
      <c r="AB1114" s="100">
        <f>AS1114/AP1114</f>
        <v>0</v>
      </c>
      <c r="AC1114" s="24"/>
      <c r="AD1114" s="24"/>
      <c r="AE1114" s="24"/>
      <c r="AF1114" s="24"/>
      <c r="AG1114" s="18">
        <v>25</v>
      </c>
      <c r="AH1114" s="69" t="s">
        <v>298</v>
      </c>
      <c r="AI1114" s="243" t="s">
        <v>236</v>
      </c>
      <c r="AJ1114" s="243" t="s">
        <v>419</v>
      </c>
      <c r="AK1114" s="246"/>
      <c r="AL1114" s="43" t="str">
        <f t="shared" si="293"/>
        <v>-</v>
      </c>
      <c r="AM1114" s="43">
        <f t="shared" si="281"/>
        <v>0</v>
      </c>
      <c r="AN1114" s="193">
        <f t="shared" si="281"/>
        <v>0</v>
      </c>
      <c r="AO1114" s="270" t="str">
        <f t="shared" si="282"/>
        <v>-</v>
      </c>
      <c r="AP1114" s="265">
        <f>BJ1114</f>
        <v>60</v>
      </c>
      <c r="AQ1114" s="26" t="str">
        <f t="shared" si="289"/>
        <v>INNER BASIN CREEK (Black C)Coho</v>
      </c>
      <c r="AR1114" s="26">
        <f t="shared" si="283"/>
        <v>0</v>
      </c>
      <c r="AS1114" s="33">
        <f t="shared" si="284"/>
        <v>0</v>
      </c>
      <c r="AX1114" s="47" t="str">
        <f t="shared" si="285"/>
        <v>INNER BASIN CREEK (Black C)Coho</v>
      </c>
      <c r="AY1114" s="49">
        <f t="shared" si="286"/>
        <v>0</v>
      </c>
      <c r="AZ1114" s="49">
        <f t="shared" si="287"/>
        <v>0</v>
      </c>
      <c r="BA1114" s="31">
        <v>2014</v>
      </c>
      <c r="BB1114" s="188">
        <f t="shared" si="290"/>
        <v>0</v>
      </c>
      <c r="BC1114" s="188" t="str">
        <f t="shared" si="294"/>
        <v xml:space="preserve"> </v>
      </c>
      <c r="BD1114" s="188" t="str">
        <f t="shared" si="295"/>
        <v xml:space="preserve"> </v>
      </c>
      <c r="BE1114" s="188" t="str">
        <f t="shared" si="296"/>
        <v xml:space="preserve"> </v>
      </c>
      <c r="BF1114" s="50" t="str">
        <f t="shared" si="288"/>
        <v>INNER BASIN CREEK (Black C)_Coho</v>
      </c>
      <c r="BG1114" s="50" t="str">
        <f>IFERROR(VLOOKUP(BF1114,'[1]WCVI Esc'!$C$5:$W$514,18,FALSE),"-")</f>
        <v>-</v>
      </c>
      <c r="BH1114" s="50" t="str">
        <f t="shared" si="291"/>
        <v>-</v>
      </c>
      <c r="BI1114" s="50">
        <f>IFERROR(VLOOKUP(BF1114,'[1]WCVI Esc'!$C$5:$W$514,19,FALSE),"-")</f>
        <v>63.5</v>
      </c>
      <c r="BJ1114" s="50">
        <f t="shared" si="292"/>
        <v>60</v>
      </c>
    </row>
    <row r="1115" spans="1:62" hidden="1" x14ac:dyDescent="0.2">
      <c r="A1115" s="28">
        <v>4</v>
      </c>
      <c r="B1115" s="28">
        <v>3</v>
      </c>
      <c r="C1115" s="11">
        <v>25</v>
      </c>
      <c r="D1115" s="13" t="s">
        <v>298</v>
      </c>
      <c r="E1115" s="10" t="s">
        <v>236</v>
      </c>
      <c r="F1115" s="10" t="s">
        <v>208</v>
      </c>
      <c r="G1115" s="10"/>
      <c r="H1115" s="152"/>
      <c r="I1115" s="164"/>
      <c r="J1115" s="94"/>
      <c r="K1115" s="62"/>
      <c r="L1115" s="177"/>
      <c r="M1115" s="176"/>
      <c r="N1115" s="106"/>
      <c r="O1115" s="62"/>
      <c r="P1115" s="62"/>
      <c r="Q1115" s="64"/>
      <c r="R1115" s="164"/>
      <c r="S1115" s="62"/>
      <c r="T1115" s="62"/>
      <c r="U1115" s="62"/>
      <c r="V1115" s="177"/>
      <c r="W1115" s="171"/>
      <c r="X1115" s="62"/>
      <c r="Y1115" s="45"/>
      <c r="Z1115" s="45"/>
      <c r="AA1115" s="100"/>
      <c r="AB1115" s="100"/>
      <c r="AC1115" s="24"/>
      <c r="AD1115" s="24"/>
      <c r="AE1115" s="24"/>
      <c r="AF1115" s="24"/>
      <c r="AG1115" s="18">
        <v>25</v>
      </c>
      <c r="AH1115" s="69" t="s">
        <v>298</v>
      </c>
      <c r="AI1115" s="243" t="s">
        <v>236</v>
      </c>
      <c r="AJ1115" s="243" t="s">
        <v>419</v>
      </c>
      <c r="AK1115" s="246"/>
      <c r="AL1115" s="43" t="str">
        <f t="shared" si="293"/>
        <v>-</v>
      </c>
      <c r="AM1115" s="43">
        <f t="shared" si="281"/>
        <v>0</v>
      </c>
      <c r="AN1115" s="193">
        <f t="shared" si="281"/>
        <v>0</v>
      </c>
      <c r="AO1115" s="270" t="str">
        <f t="shared" si="282"/>
        <v>-</v>
      </c>
      <c r="AP1115" s="266"/>
      <c r="AQ1115" s="26" t="str">
        <f t="shared" si="289"/>
        <v>INNER BASIN CREEK (Black C)Pink</v>
      </c>
      <c r="AR1115" s="26">
        <f t="shared" si="283"/>
        <v>0</v>
      </c>
      <c r="AS1115" s="33">
        <f t="shared" si="284"/>
        <v>0</v>
      </c>
      <c r="AX1115" s="47" t="str">
        <f t="shared" si="285"/>
        <v>INNER BASIN CREEK (Black C)Pink</v>
      </c>
      <c r="AY1115" s="49">
        <f t="shared" si="286"/>
        <v>0</v>
      </c>
      <c r="AZ1115" s="49">
        <f t="shared" si="287"/>
        <v>0</v>
      </c>
      <c r="BA1115" s="31">
        <v>0</v>
      </c>
      <c r="BB1115" s="188">
        <f t="shared" si="290"/>
        <v>0</v>
      </c>
      <c r="BC1115" s="188" t="str">
        <f t="shared" si="294"/>
        <v xml:space="preserve"> </v>
      </c>
      <c r="BD1115" s="188" t="str">
        <f t="shared" si="295"/>
        <v xml:space="preserve"> </v>
      </c>
      <c r="BE1115" s="188" t="str">
        <f t="shared" si="296"/>
        <v xml:space="preserve"> </v>
      </c>
      <c r="BF1115" s="50" t="str">
        <f t="shared" si="288"/>
        <v>INNER BASIN CREEK (Black C)_Pink</v>
      </c>
      <c r="BG1115" s="50" t="str">
        <f>IFERROR(VLOOKUP(BF1115,'[1]WCVI Esc'!$C$5:$W$514,18,FALSE),"-")</f>
        <v>-</v>
      </c>
      <c r="BH1115" s="50" t="str">
        <f t="shared" si="291"/>
        <v>-</v>
      </c>
      <c r="BI1115" s="50" t="str">
        <f>IFERROR(VLOOKUP(BF1115,'[1]WCVI Esc'!$C$5:$W$514,19,FALSE),"-")</f>
        <v>-</v>
      </c>
      <c r="BJ1115" s="50" t="str">
        <f t="shared" si="292"/>
        <v>-</v>
      </c>
    </row>
    <row r="1116" spans="1:62" hidden="1" x14ac:dyDescent="0.2">
      <c r="A1116" s="28">
        <v>4</v>
      </c>
      <c r="B1116" s="28">
        <v>4</v>
      </c>
      <c r="C1116" s="11">
        <v>25</v>
      </c>
      <c r="D1116" s="13" t="s">
        <v>298</v>
      </c>
      <c r="E1116" s="10" t="s">
        <v>236</v>
      </c>
      <c r="F1116" s="10" t="s">
        <v>209</v>
      </c>
      <c r="G1116" s="10"/>
      <c r="H1116" s="152"/>
      <c r="I1116" s="164"/>
      <c r="J1116" s="94"/>
      <c r="K1116" s="62"/>
      <c r="L1116" s="177"/>
      <c r="M1116" s="176"/>
      <c r="N1116" s="106"/>
      <c r="O1116" s="62"/>
      <c r="P1116" s="62"/>
      <c r="Q1116" s="64"/>
      <c r="R1116" s="164"/>
      <c r="S1116" s="62"/>
      <c r="T1116" s="62"/>
      <c r="U1116" s="62"/>
      <c r="V1116" s="177"/>
      <c r="W1116" s="171"/>
      <c r="X1116" s="62"/>
      <c r="Y1116" s="45"/>
      <c r="Z1116" s="45"/>
      <c r="AA1116" s="100">
        <f>Y1116/AP1116</f>
        <v>0</v>
      </c>
      <c r="AB1116" s="100">
        <f>AS1116/AP1116</f>
        <v>0</v>
      </c>
      <c r="AC1116" s="24"/>
      <c r="AD1116" s="24"/>
      <c r="AE1116" s="24"/>
      <c r="AF1116" s="24"/>
      <c r="AG1116" s="18">
        <v>25</v>
      </c>
      <c r="AH1116" s="69" t="s">
        <v>298</v>
      </c>
      <c r="AI1116" s="243" t="s">
        <v>236</v>
      </c>
      <c r="AJ1116" s="243" t="s">
        <v>419</v>
      </c>
      <c r="AK1116" s="246"/>
      <c r="AL1116" s="43" t="str">
        <f t="shared" si="293"/>
        <v>-</v>
      </c>
      <c r="AM1116" s="43">
        <f t="shared" si="281"/>
        <v>0</v>
      </c>
      <c r="AN1116" s="193">
        <f t="shared" si="281"/>
        <v>0</v>
      </c>
      <c r="AO1116" s="270" t="str">
        <f t="shared" si="282"/>
        <v>-</v>
      </c>
      <c r="AP1116" s="265">
        <f>BJ1116</f>
        <v>3360</v>
      </c>
      <c r="AQ1116" s="26" t="str">
        <f t="shared" si="289"/>
        <v>INNER BASIN CREEK (Black C)Chum</v>
      </c>
      <c r="AR1116" s="26">
        <f t="shared" si="283"/>
        <v>0</v>
      </c>
      <c r="AS1116" s="33">
        <f t="shared" si="284"/>
        <v>0</v>
      </c>
      <c r="AX1116" s="47" t="str">
        <f t="shared" si="285"/>
        <v>INNER BASIN CREEK (Black C)Chum</v>
      </c>
      <c r="AY1116" s="49">
        <f t="shared" si="286"/>
        <v>0</v>
      </c>
      <c r="AZ1116" s="49">
        <f t="shared" si="287"/>
        <v>0</v>
      </c>
      <c r="BA1116" s="31">
        <v>2014</v>
      </c>
      <c r="BB1116" s="188">
        <f t="shared" si="290"/>
        <v>0</v>
      </c>
      <c r="BC1116" s="188" t="str">
        <f t="shared" si="294"/>
        <v xml:space="preserve"> </v>
      </c>
      <c r="BD1116" s="188" t="str">
        <f t="shared" si="295"/>
        <v xml:space="preserve"> </v>
      </c>
      <c r="BE1116" s="188" t="str">
        <f t="shared" si="296"/>
        <v xml:space="preserve"> </v>
      </c>
      <c r="BF1116" s="50" t="str">
        <f t="shared" si="288"/>
        <v>INNER BASIN CREEK (Black C)_Chum</v>
      </c>
      <c r="BG1116" s="50" t="str">
        <f>IFERROR(VLOOKUP(BF1116,'[1]WCVI Esc'!$C$5:$W$514,18,FALSE),"-")</f>
        <v>-</v>
      </c>
      <c r="BH1116" s="50" t="str">
        <f t="shared" si="291"/>
        <v>-</v>
      </c>
      <c r="BI1116" s="50">
        <f>IFERROR(VLOOKUP(BF1116,'[1]WCVI Esc'!$C$5:$W$514,19,FALSE),"-")</f>
        <v>3362.5</v>
      </c>
      <c r="BJ1116" s="50">
        <f t="shared" si="292"/>
        <v>3360</v>
      </c>
    </row>
    <row r="1117" spans="1:62" x14ac:dyDescent="0.2">
      <c r="A1117" s="28">
        <v>4</v>
      </c>
      <c r="B1117" s="28">
        <v>5</v>
      </c>
      <c r="C1117" s="11">
        <v>25</v>
      </c>
      <c r="D1117" s="13" t="s">
        <v>298</v>
      </c>
      <c r="E1117" s="10" t="s">
        <v>236</v>
      </c>
      <c r="F1117" s="10" t="s">
        <v>210</v>
      </c>
      <c r="G1117" s="10"/>
      <c r="H1117" s="152"/>
      <c r="I1117" s="164"/>
      <c r="J1117" s="94"/>
      <c r="K1117" s="62"/>
      <c r="L1117" s="177"/>
      <c r="M1117" s="176"/>
      <c r="N1117" s="106"/>
      <c r="O1117" s="62"/>
      <c r="P1117" s="62"/>
      <c r="Q1117" s="64"/>
      <c r="R1117" s="164"/>
      <c r="S1117" s="62"/>
      <c r="T1117" s="62"/>
      <c r="U1117" s="62"/>
      <c r="V1117" s="177"/>
      <c r="W1117" s="171"/>
      <c r="X1117" s="62"/>
      <c r="Y1117" s="45"/>
      <c r="Z1117" s="45"/>
      <c r="AA1117" s="100"/>
      <c r="AB1117" s="100"/>
      <c r="AC1117" s="24"/>
      <c r="AD1117" s="24"/>
      <c r="AE1117" s="24"/>
      <c r="AF1117" s="24"/>
      <c r="AG1117" s="18">
        <v>25</v>
      </c>
      <c r="AH1117" s="69" t="s">
        <v>298</v>
      </c>
      <c r="AI1117" s="243" t="s">
        <v>236</v>
      </c>
      <c r="AJ1117" s="243" t="s">
        <v>419</v>
      </c>
      <c r="AK1117" s="246"/>
      <c r="AL1117" s="43" t="str">
        <f t="shared" si="293"/>
        <v>-</v>
      </c>
      <c r="AM1117" s="43">
        <f t="shared" si="281"/>
        <v>0</v>
      </c>
      <c r="AN1117" s="193">
        <f t="shared" si="281"/>
        <v>0</v>
      </c>
      <c r="AO1117" s="270" t="str">
        <f t="shared" si="282"/>
        <v>-</v>
      </c>
      <c r="AP1117" s="266"/>
      <c r="AQ1117" s="26" t="str">
        <f t="shared" si="289"/>
        <v>INNER BASIN CREEK (Black C)Chinook</v>
      </c>
      <c r="AR1117" s="26">
        <f t="shared" si="283"/>
        <v>0</v>
      </c>
      <c r="AS1117" s="33">
        <f t="shared" si="284"/>
        <v>0</v>
      </c>
      <c r="AX1117" s="47" t="str">
        <f t="shared" si="285"/>
        <v>INNER BASIN CREEK (Black C)Chinook</v>
      </c>
      <c r="AY1117" s="49">
        <f t="shared" si="286"/>
        <v>0</v>
      </c>
      <c r="AZ1117" s="49">
        <f t="shared" si="287"/>
        <v>0</v>
      </c>
      <c r="BA1117" s="31">
        <v>0</v>
      </c>
      <c r="BB1117" s="188">
        <f t="shared" si="290"/>
        <v>0</v>
      </c>
      <c r="BC1117" s="188" t="str">
        <f t="shared" si="294"/>
        <v xml:space="preserve"> </v>
      </c>
      <c r="BD1117" s="188" t="str">
        <f t="shared" si="295"/>
        <v xml:space="preserve"> </v>
      </c>
      <c r="BE1117" s="188" t="str">
        <f t="shared" si="296"/>
        <v xml:space="preserve"> </v>
      </c>
      <c r="BF1117" s="50" t="str">
        <f t="shared" si="288"/>
        <v>INNER BASIN CREEK (Black C)_Chinook</v>
      </c>
      <c r="BG1117" s="50" t="str">
        <f>IFERROR(VLOOKUP(BF1117,'[1]WCVI Esc'!$C$5:$W$514,18,FALSE),"-")</f>
        <v>-</v>
      </c>
      <c r="BH1117" s="50" t="str">
        <f t="shared" si="291"/>
        <v>-</v>
      </c>
      <c r="BI1117" s="50" t="str">
        <f>IFERROR(VLOOKUP(BF1117,'[1]WCVI Esc'!$C$5:$W$514,19,FALSE),"-")</f>
        <v>-</v>
      </c>
      <c r="BJ1117" s="50" t="str">
        <f t="shared" si="292"/>
        <v>-</v>
      </c>
    </row>
    <row r="1118" spans="1:62" hidden="1" x14ac:dyDescent="0.2">
      <c r="A1118" s="28">
        <v>4</v>
      </c>
      <c r="B1118" s="28">
        <v>6</v>
      </c>
      <c r="C1118" s="11">
        <v>25</v>
      </c>
      <c r="D1118" s="13" t="s">
        <v>298</v>
      </c>
      <c r="E1118" s="10" t="s">
        <v>236</v>
      </c>
      <c r="F1118" s="10" t="s">
        <v>211</v>
      </c>
      <c r="G1118" s="10"/>
      <c r="H1118" s="152"/>
      <c r="I1118" s="164"/>
      <c r="J1118" s="94"/>
      <c r="K1118" s="62"/>
      <c r="L1118" s="177"/>
      <c r="M1118" s="176"/>
      <c r="N1118" s="106"/>
      <c r="O1118" s="62"/>
      <c r="P1118" s="62"/>
      <c r="Q1118" s="64"/>
      <c r="R1118" s="164"/>
      <c r="S1118" s="62"/>
      <c r="T1118" s="62"/>
      <c r="U1118" s="62"/>
      <c r="V1118" s="177"/>
      <c r="W1118" s="171"/>
      <c r="X1118" s="62"/>
      <c r="Y1118" s="45"/>
      <c r="Z1118" s="45"/>
      <c r="AA1118" s="100"/>
      <c r="AB1118" s="100"/>
      <c r="AC1118" s="24"/>
      <c r="AD1118" s="24"/>
      <c r="AE1118" s="24"/>
      <c r="AF1118" s="24"/>
      <c r="AG1118" s="18">
        <v>25</v>
      </c>
      <c r="AH1118" s="69" t="s">
        <v>298</v>
      </c>
      <c r="AI1118" s="243" t="s">
        <v>236</v>
      </c>
      <c r="AJ1118" s="243" t="s">
        <v>419</v>
      </c>
      <c r="AK1118" s="246"/>
      <c r="AL1118" s="43" t="str">
        <f t="shared" si="293"/>
        <v>-</v>
      </c>
      <c r="AM1118" s="43">
        <f t="shared" si="281"/>
        <v>0</v>
      </c>
      <c r="AN1118" s="193">
        <f t="shared" si="281"/>
        <v>0</v>
      </c>
      <c r="AO1118" s="270" t="str">
        <f t="shared" si="282"/>
        <v>-</v>
      </c>
      <c r="AP1118" s="266"/>
      <c r="AQ1118" s="26" t="str">
        <f t="shared" si="289"/>
        <v>INNER BASIN CREEK (Black C)Steelhead</v>
      </c>
      <c r="AR1118" s="26">
        <f t="shared" si="283"/>
        <v>0</v>
      </c>
      <c r="AS1118" s="33">
        <f t="shared" si="284"/>
        <v>0</v>
      </c>
      <c r="AX1118" s="47" t="str">
        <f t="shared" si="285"/>
        <v>INNER BASIN CREEK (Black C)Steelhead</v>
      </c>
      <c r="AY1118" s="49">
        <f t="shared" si="286"/>
        <v>0</v>
      </c>
      <c r="AZ1118" s="49">
        <f t="shared" si="287"/>
        <v>0</v>
      </c>
      <c r="BA1118" s="31">
        <v>0</v>
      </c>
      <c r="BB1118" s="188">
        <f t="shared" si="290"/>
        <v>0</v>
      </c>
      <c r="BC1118" s="188" t="str">
        <f t="shared" si="294"/>
        <v xml:space="preserve"> </v>
      </c>
      <c r="BD1118" s="188" t="str">
        <f t="shared" si="295"/>
        <v xml:space="preserve"> </v>
      </c>
      <c r="BE1118" s="188" t="str">
        <f t="shared" si="296"/>
        <v xml:space="preserve"> </v>
      </c>
      <c r="BF1118" s="50" t="str">
        <f t="shared" si="288"/>
        <v>INNER BASIN CREEK (Black C)_Steelhead</v>
      </c>
      <c r="BG1118" s="50" t="str">
        <f>IFERROR(VLOOKUP(BF1118,'[1]WCVI Esc'!$C$5:$W$514,18,FALSE),"-")</f>
        <v>-</v>
      </c>
      <c r="BH1118" s="50" t="str">
        <f t="shared" si="291"/>
        <v>-</v>
      </c>
      <c r="BI1118" s="50" t="str">
        <f>IFERROR(VLOOKUP(BF1118,'[1]WCVI Esc'!$C$5:$W$514,19,FALSE),"-")</f>
        <v>-</v>
      </c>
      <c r="BJ1118" s="50" t="str">
        <f t="shared" si="292"/>
        <v>-</v>
      </c>
    </row>
    <row r="1119" spans="1:62" hidden="1" x14ac:dyDescent="0.2">
      <c r="A1119" s="28">
        <v>4</v>
      </c>
      <c r="B1119" s="29">
        <v>1</v>
      </c>
      <c r="C1119" s="13">
        <v>25</v>
      </c>
      <c r="D1119" s="13" t="s">
        <v>298</v>
      </c>
      <c r="E1119" s="10" t="s">
        <v>196</v>
      </c>
      <c r="F1119" s="10" t="s">
        <v>207</v>
      </c>
      <c r="G1119" s="10"/>
      <c r="H1119" s="152"/>
      <c r="I1119" s="164"/>
      <c r="J1119" s="94"/>
      <c r="K1119" s="62"/>
      <c r="L1119" s="177"/>
      <c r="M1119" s="176"/>
      <c r="N1119" s="106"/>
      <c r="O1119" s="62"/>
      <c r="P1119" s="62"/>
      <c r="Q1119" s="64"/>
      <c r="R1119" s="164"/>
      <c r="S1119" s="62"/>
      <c r="T1119" s="62"/>
      <c r="U1119" s="62"/>
      <c r="V1119" s="177"/>
      <c r="W1119" s="171"/>
      <c r="X1119" s="62"/>
      <c r="Y1119" s="45"/>
      <c r="Z1119" s="45"/>
      <c r="AA1119" s="100" t="e">
        <f>Y1119/AP1119</f>
        <v>#VALUE!</v>
      </c>
      <c r="AB1119" s="100" t="e">
        <f>AS1119/AP1119</f>
        <v>#VALUE!</v>
      </c>
      <c r="AC1119" s="24"/>
      <c r="AD1119" s="24"/>
      <c r="AE1119" s="24"/>
      <c r="AF1119" s="24"/>
      <c r="AG1119" s="69">
        <v>25</v>
      </c>
      <c r="AH1119" s="69" t="s">
        <v>298</v>
      </c>
      <c r="AI1119" s="243" t="s">
        <v>196</v>
      </c>
      <c r="AJ1119" s="243" t="s">
        <v>419</v>
      </c>
      <c r="AK1119" s="246"/>
      <c r="AL1119" s="43" t="str">
        <f t="shared" si="293"/>
        <v>-</v>
      </c>
      <c r="AM1119" s="43">
        <f t="shared" si="281"/>
        <v>0</v>
      </c>
      <c r="AN1119" s="193">
        <f t="shared" si="281"/>
        <v>0</v>
      </c>
      <c r="AO1119" s="270" t="str">
        <f t="shared" si="282"/>
        <v>-</v>
      </c>
      <c r="AP1119" s="265" t="str">
        <f>BJ1119</f>
        <v>-</v>
      </c>
      <c r="AQ1119" s="26" t="str">
        <f t="shared" si="289"/>
        <v>INNER BASIN RIVER (Ransom C)Sockeye</v>
      </c>
      <c r="AR1119" s="26">
        <f t="shared" si="283"/>
        <v>0</v>
      </c>
      <c r="AS1119" s="33">
        <f t="shared" si="284"/>
        <v>0</v>
      </c>
      <c r="AX1119" s="47" t="str">
        <f t="shared" si="285"/>
        <v>INNER BASIN RIVER (Ransom C)Sockeye</v>
      </c>
      <c r="AY1119" s="49">
        <f t="shared" si="286"/>
        <v>0</v>
      </c>
      <c r="AZ1119" s="49">
        <f t="shared" si="287"/>
        <v>0</v>
      </c>
      <c r="BA1119" s="31">
        <v>2009</v>
      </c>
      <c r="BB1119" s="188">
        <f t="shared" si="290"/>
        <v>0</v>
      </c>
      <c r="BC1119" s="188" t="str">
        <f t="shared" si="294"/>
        <v xml:space="preserve"> </v>
      </c>
      <c r="BD1119" s="188" t="str">
        <f t="shared" si="295"/>
        <v xml:space="preserve"> </v>
      </c>
      <c r="BE1119" s="188" t="str">
        <f t="shared" si="296"/>
        <v xml:space="preserve"> </v>
      </c>
      <c r="BF1119" s="50" t="str">
        <f t="shared" si="288"/>
        <v>INNER BASIN RIVER (Ransom C)_Sockeye</v>
      </c>
      <c r="BG1119" s="50" t="str">
        <f>IFERROR(VLOOKUP(BF1119,'[1]WCVI Esc'!$C$5:$W$514,18,FALSE),"-")</f>
        <v>-</v>
      </c>
      <c r="BH1119" s="50" t="str">
        <f t="shared" si="291"/>
        <v>-</v>
      </c>
      <c r="BI1119" s="50" t="str">
        <f>IFERROR(VLOOKUP(BF1119,'[1]WCVI Esc'!$C$5:$W$514,19,FALSE),"-")</f>
        <v>-</v>
      </c>
      <c r="BJ1119" s="50" t="str">
        <f t="shared" si="292"/>
        <v>-</v>
      </c>
    </row>
    <row r="1120" spans="1:62" hidden="1" x14ac:dyDescent="0.2">
      <c r="A1120" s="28">
        <v>4</v>
      </c>
      <c r="B1120" s="29">
        <v>2</v>
      </c>
      <c r="C1120" s="13">
        <v>25</v>
      </c>
      <c r="D1120" s="13" t="s">
        <v>298</v>
      </c>
      <c r="E1120" s="10" t="s">
        <v>196</v>
      </c>
      <c r="F1120" s="10" t="s">
        <v>219</v>
      </c>
      <c r="G1120" s="10"/>
      <c r="H1120" s="152"/>
      <c r="I1120" s="164"/>
      <c r="J1120" s="94"/>
      <c r="K1120" s="62"/>
      <c r="L1120" s="177"/>
      <c r="M1120" s="176"/>
      <c r="N1120" s="106"/>
      <c r="O1120" s="62"/>
      <c r="P1120" s="62"/>
      <c r="Q1120" s="64"/>
      <c r="R1120" s="164"/>
      <c r="S1120" s="62"/>
      <c r="T1120" s="62"/>
      <c r="U1120" s="62"/>
      <c r="V1120" s="177"/>
      <c r="W1120" s="171"/>
      <c r="X1120" s="62"/>
      <c r="Y1120" s="45"/>
      <c r="Z1120" s="45"/>
      <c r="AA1120" s="100">
        <f>Y1120/AP1120</f>
        <v>0</v>
      </c>
      <c r="AB1120" s="100">
        <f>AS1120/AP1120</f>
        <v>0</v>
      </c>
      <c r="AC1120" s="24"/>
      <c r="AD1120" s="24"/>
      <c r="AE1120" s="24"/>
      <c r="AF1120" s="24"/>
      <c r="AG1120" s="69">
        <v>25</v>
      </c>
      <c r="AH1120" s="69" t="s">
        <v>298</v>
      </c>
      <c r="AI1120" s="243" t="s">
        <v>196</v>
      </c>
      <c r="AJ1120" s="243" t="s">
        <v>419</v>
      </c>
      <c r="AK1120" s="246"/>
      <c r="AL1120" s="43" t="str">
        <f t="shared" si="293"/>
        <v>-</v>
      </c>
      <c r="AM1120" s="43">
        <f t="shared" si="281"/>
        <v>0</v>
      </c>
      <c r="AN1120" s="193">
        <f t="shared" si="281"/>
        <v>0</v>
      </c>
      <c r="AO1120" s="270" t="str">
        <f t="shared" si="282"/>
        <v>-</v>
      </c>
      <c r="AP1120" s="265">
        <f>BJ1120</f>
        <v>150</v>
      </c>
      <c r="AQ1120" s="26" t="str">
        <f t="shared" si="289"/>
        <v>INNER BASIN RIVER (Ransom C)Coho</v>
      </c>
      <c r="AR1120" s="26">
        <f t="shared" si="283"/>
        <v>0</v>
      </c>
      <c r="AS1120" s="33">
        <f t="shared" si="284"/>
        <v>0</v>
      </c>
      <c r="AX1120" s="47" t="str">
        <f t="shared" si="285"/>
        <v>INNER BASIN RIVER (Ransom C)Coho</v>
      </c>
      <c r="AY1120" s="49">
        <f t="shared" si="286"/>
        <v>0</v>
      </c>
      <c r="AZ1120" s="49">
        <f t="shared" si="287"/>
        <v>0</v>
      </c>
      <c r="BA1120" s="31">
        <v>2011</v>
      </c>
      <c r="BB1120" s="188">
        <f t="shared" si="290"/>
        <v>0</v>
      </c>
      <c r="BC1120" s="188" t="str">
        <f t="shared" si="294"/>
        <v xml:space="preserve"> </v>
      </c>
      <c r="BD1120" s="188" t="str">
        <f t="shared" si="295"/>
        <v xml:space="preserve"> </v>
      </c>
      <c r="BE1120" s="188" t="str">
        <f t="shared" si="296"/>
        <v xml:space="preserve"> </v>
      </c>
      <c r="BF1120" s="50" t="str">
        <f t="shared" si="288"/>
        <v>INNER BASIN RIVER (Ransom C)_Coho</v>
      </c>
      <c r="BG1120" s="50" t="str">
        <f>IFERROR(VLOOKUP(BF1120,'[1]WCVI Esc'!$C$5:$W$514,18,FALSE),"-")</f>
        <v>-</v>
      </c>
      <c r="BH1120" s="50" t="str">
        <f t="shared" si="291"/>
        <v>-</v>
      </c>
      <c r="BI1120" s="50">
        <f>IFERROR(VLOOKUP(BF1120,'[1]WCVI Esc'!$C$5:$W$514,19,FALSE),"-")</f>
        <v>145</v>
      </c>
      <c r="BJ1120" s="50">
        <f t="shared" si="292"/>
        <v>150</v>
      </c>
    </row>
    <row r="1121" spans="1:62" hidden="1" x14ac:dyDescent="0.2">
      <c r="A1121" s="28">
        <v>4</v>
      </c>
      <c r="B1121" s="29">
        <v>3</v>
      </c>
      <c r="C1121" s="13">
        <v>25</v>
      </c>
      <c r="D1121" s="13" t="s">
        <v>298</v>
      </c>
      <c r="E1121" s="10" t="s">
        <v>196</v>
      </c>
      <c r="F1121" s="10" t="s">
        <v>208</v>
      </c>
      <c r="G1121" s="10"/>
      <c r="H1121" s="152"/>
      <c r="I1121" s="164"/>
      <c r="J1121" s="94"/>
      <c r="K1121" s="62"/>
      <c r="L1121" s="177"/>
      <c r="M1121" s="176"/>
      <c r="N1121" s="106"/>
      <c r="O1121" s="62"/>
      <c r="P1121" s="62"/>
      <c r="Q1121" s="64"/>
      <c r="R1121" s="164"/>
      <c r="S1121" s="62"/>
      <c r="T1121" s="62"/>
      <c r="U1121" s="62"/>
      <c r="V1121" s="177"/>
      <c r="W1121" s="171"/>
      <c r="X1121" s="62"/>
      <c r="Y1121" s="45"/>
      <c r="Z1121" s="45"/>
      <c r="AA1121" s="100"/>
      <c r="AB1121" s="100"/>
      <c r="AC1121" s="24"/>
      <c r="AD1121" s="24"/>
      <c r="AE1121" s="24"/>
      <c r="AF1121" s="24"/>
      <c r="AG1121" s="69">
        <v>25</v>
      </c>
      <c r="AH1121" s="69" t="s">
        <v>298</v>
      </c>
      <c r="AI1121" s="243" t="s">
        <v>196</v>
      </c>
      <c r="AJ1121" s="243" t="s">
        <v>419</v>
      </c>
      <c r="AK1121" s="246"/>
      <c r="AL1121" s="43" t="str">
        <f t="shared" si="293"/>
        <v>-</v>
      </c>
      <c r="AM1121" s="43">
        <f t="shared" si="281"/>
        <v>0</v>
      </c>
      <c r="AN1121" s="193">
        <f t="shared" si="281"/>
        <v>0</v>
      </c>
      <c r="AO1121" s="270" t="str">
        <f t="shared" si="282"/>
        <v>-</v>
      </c>
      <c r="AP1121" s="266"/>
      <c r="AQ1121" s="26" t="str">
        <f t="shared" si="289"/>
        <v>INNER BASIN RIVER (Ransom C)Pink</v>
      </c>
      <c r="AR1121" s="26">
        <f t="shared" si="283"/>
        <v>0</v>
      </c>
      <c r="AS1121" s="33">
        <f t="shared" si="284"/>
        <v>0</v>
      </c>
      <c r="AX1121" s="47" t="str">
        <f t="shared" si="285"/>
        <v>INNER BASIN RIVER (Ransom C)Pink</v>
      </c>
      <c r="AY1121" s="49">
        <f t="shared" si="286"/>
        <v>0</v>
      </c>
      <c r="AZ1121" s="49">
        <f t="shared" si="287"/>
        <v>0</v>
      </c>
      <c r="BA1121" s="31">
        <v>0</v>
      </c>
      <c r="BB1121" s="188">
        <f t="shared" si="290"/>
        <v>0</v>
      </c>
      <c r="BC1121" s="188" t="str">
        <f t="shared" si="294"/>
        <v xml:space="preserve"> </v>
      </c>
      <c r="BD1121" s="188" t="str">
        <f t="shared" si="295"/>
        <v xml:space="preserve"> </v>
      </c>
      <c r="BE1121" s="188" t="str">
        <f t="shared" si="296"/>
        <v xml:space="preserve"> </v>
      </c>
      <c r="BF1121" s="50" t="str">
        <f t="shared" si="288"/>
        <v>INNER BASIN RIVER (Ransom C)_Pink</v>
      </c>
      <c r="BG1121" s="50" t="str">
        <f>IFERROR(VLOOKUP(BF1121,'[1]WCVI Esc'!$C$5:$W$514,18,FALSE),"-")</f>
        <v>-</v>
      </c>
      <c r="BH1121" s="50" t="str">
        <f t="shared" si="291"/>
        <v>-</v>
      </c>
      <c r="BI1121" s="50" t="str">
        <f>IFERROR(VLOOKUP(BF1121,'[1]WCVI Esc'!$C$5:$W$514,19,FALSE),"-")</f>
        <v>-</v>
      </c>
      <c r="BJ1121" s="50" t="str">
        <f t="shared" si="292"/>
        <v>-</v>
      </c>
    </row>
    <row r="1122" spans="1:62" hidden="1" x14ac:dyDescent="0.2">
      <c r="A1122" s="28">
        <v>4</v>
      </c>
      <c r="B1122" s="29">
        <v>4</v>
      </c>
      <c r="C1122" s="13">
        <v>25</v>
      </c>
      <c r="D1122" s="13" t="s">
        <v>298</v>
      </c>
      <c r="E1122" s="10" t="s">
        <v>196</v>
      </c>
      <c r="F1122" s="10" t="s">
        <v>209</v>
      </c>
      <c r="G1122" s="10"/>
      <c r="H1122" s="152"/>
      <c r="I1122" s="164"/>
      <c r="J1122" s="94"/>
      <c r="K1122" s="62"/>
      <c r="L1122" s="177"/>
      <c r="M1122" s="176"/>
      <c r="N1122" s="106"/>
      <c r="O1122" s="62"/>
      <c r="P1122" s="62"/>
      <c r="Q1122" s="64"/>
      <c r="R1122" s="164"/>
      <c r="S1122" s="62"/>
      <c r="T1122" s="62"/>
      <c r="U1122" s="62"/>
      <c r="V1122" s="177"/>
      <c r="W1122" s="171"/>
      <c r="X1122" s="62"/>
      <c r="Y1122" s="45"/>
      <c r="Z1122" s="45"/>
      <c r="AA1122" s="100">
        <f>Y1122/AP1122</f>
        <v>0</v>
      </c>
      <c r="AB1122" s="100">
        <f>AS1122/AP1122</f>
        <v>0</v>
      </c>
      <c r="AC1122" s="24"/>
      <c r="AD1122" s="24"/>
      <c r="AE1122" s="24"/>
      <c r="AF1122" s="24"/>
      <c r="AG1122" s="69">
        <v>25</v>
      </c>
      <c r="AH1122" s="69" t="s">
        <v>298</v>
      </c>
      <c r="AI1122" s="243" t="s">
        <v>196</v>
      </c>
      <c r="AJ1122" s="243" t="s">
        <v>419</v>
      </c>
      <c r="AK1122" s="246"/>
      <c r="AL1122" s="43" t="str">
        <f t="shared" si="293"/>
        <v>-</v>
      </c>
      <c r="AM1122" s="43">
        <f t="shared" si="281"/>
        <v>0</v>
      </c>
      <c r="AN1122" s="193">
        <f t="shared" si="281"/>
        <v>0</v>
      </c>
      <c r="AO1122" s="270" t="str">
        <f t="shared" si="282"/>
        <v>-</v>
      </c>
      <c r="AP1122" s="265">
        <f>BJ1122</f>
        <v>140</v>
      </c>
      <c r="AQ1122" s="26" t="str">
        <f t="shared" si="289"/>
        <v>INNER BASIN RIVER (Ransom C)Chum</v>
      </c>
      <c r="AR1122" s="26">
        <f t="shared" si="283"/>
        <v>0</v>
      </c>
      <c r="AS1122" s="33">
        <f t="shared" si="284"/>
        <v>0</v>
      </c>
      <c r="AX1122" s="47" t="str">
        <f t="shared" si="285"/>
        <v>INNER BASIN RIVER (Ransom C)Chum</v>
      </c>
      <c r="AY1122" s="49">
        <f t="shared" si="286"/>
        <v>0</v>
      </c>
      <c r="AZ1122" s="49">
        <f t="shared" si="287"/>
        <v>0</v>
      </c>
      <c r="BA1122" s="31">
        <v>2011</v>
      </c>
      <c r="BB1122" s="188">
        <f t="shared" si="290"/>
        <v>0</v>
      </c>
      <c r="BC1122" s="188" t="str">
        <f t="shared" si="294"/>
        <v xml:space="preserve"> </v>
      </c>
      <c r="BD1122" s="188" t="str">
        <f t="shared" si="295"/>
        <v xml:space="preserve"> </v>
      </c>
      <c r="BE1122" s="188" t="str">
        <f t="shared" si="296"/>
        <v xml:space="preserve"> </v>
      </c>
      <c r="BF1122" s="50" t="str">
        <f t="shared" si="288"/>
        <v>INNER BASIN RIVER (Ransom C)_Chum</v>
      </c>
      <c r="BG1122" s="50" t="str">
        <f>IFERROR(VLOOKUP(BF1122,'[1]WCVI Esc'!$C$5:$W$514,18,FALSE),"-")</f>
        <v>-</v>
      </c>
      <c r="BH1122" s="50" t="str">
        <f t="shared" si="291"/>
        <v>-</v>
      </c>
      <c r="BI1122" s="50">
        <f>IFERROR(VLOOKUP(BF1122,'[1]WCVI Esc'!$C$5:$W$514,19,FALSE),"-")</f>
        <v>140</v>
      </c>
      <c r="BJ1122" s="50">
        <f t="shared" si="292"/>
        <v>140</v>
      </c>
    </row>
    <row r="1123" spans="1:62" x14ac:dyDescent="0.2">
      <c r="A1123" s="28">
        <v>4</v>
      </c>
      <c r="B1123" s="29">
        <v>5</v>
      </c>
      <c r="C1123" s="13">
        <v>25</v>
      </c>
      <c r="D1123" s="13" t="s">
        <v>298</v>
      </c>
      <c r="E1123" s="10" t="s">
        <v>196</v>
      </c>
      <c r="F1123" s="10" t="s">
        <v>210</v>
      </c>
      <c r="G1123" s="10"/>
      <c r="H1123" s="152"/>
      <c r="I1123" s="164"/>
      <c r="J1123" s="94"/>
      <c r="K1123" s="62"/>
      <c r="L1123" s="177"/>
      <c r="M1123" s="176"/>
      <c r="N1123" s="106"/>
      <c r="O1123" s="62"/>
      <c r="P1123" s="62"/>
      <c r="Q1123" s="64"/>
      <c r="R1123" s="164"/>
      <c r="S1123" s="62"/>
      <c r="T1123" s="62"/>
      <c r="U1123" s="62"/>
      <c r="V1123" s="177"/>
      <c r="W1123" s="171"/>
      <c r="X1123" s="62"/>
      <c r="Y1123" s="45"/>
      <c r="Z1123" s="45"/>
      <c r="AA1123" s="100"/>
      <c r="AB1123" s="100"/>
      <c r="AC1123" s="24"/>
      <c r="AD1123" s="24"/>
      <c r="AE1123" s="24"/>
      <c r="AF1123" s="24"/>
      <c r="AG1123" s="69">
        <v>25</v>
      </c>
      <c r="AH1123" s="69" t="s">
        <v>298</v>
      </c>
      <c r="AI1123" s="243" t="s">
        <v>196</v>
      </c>
      <c r="AJ1123" s="243" t="s">
        <v>419</v>
      </c>
      <c r="AK1123" s="246"/>
      <c r="AL1123" s="43" t="str">
        <f t="shared" si="293"/>
        <v>-</v>
      </c>
      <c r="AM1123" s="43">
        <f t="shared" si="281"/>
        <v>0</v>
      </c>
      <c r="AN1123" s="193">
        <f t="shared" si="281"/>
        <v>0</v>
      </c>
      <c r="AO1123" s="270" t="str">
        <f t="shared" si="282"/>
        <v>-</v>
      </c>
      <c r="AP1123" s="265">
        <f>BJ1123</f>
        <v>0</v>
      </c>
      <c r="AQ1123" s="26" t="str">
        <f t="shared" si="289"/>
        <v>INNER BASIN RIVER (Ransom C)Chinook</v>
      </c>
      <c r="AR1123" s="26">
        <f t="shared" si="283"/>
        <v>0</v>
      </c>
      <c r="AS1123" s="33">
        <f t="shared" si="284"/>
        <v>0</v>
      </c>
      <c r="AX1123" s="47" t="str">
        <f t="shared" si="285"/>
        <v>INNER BASIN RIVER (Ransom C)Chinook</v>
      </c>
      <c r="AY1123" s="49">
        <f t="shared" si="286"/>
        <v>0</v>
      </c>
      <c r="AZ1123" s="49">
        <f t="shared" si="287"/>
        <v>0</v>
      </c>
      <c r="BA1123" s="31">
        <v>2011</v>
      </c>
      <c r="BB1123" s="188">
        <f t="shared" si="290"/>
        <v>0</v>
      </c>
      <c r="BC1123" s="188" t="str">
        <f t="shared" si="294"/>
        <v xml:space="preserve"> </v>
      </c>
      <c r="BD1123" s="188" t="str">
        <f t="shared" si="295"/>
        <v xml:space="preserve"> </v>
      </c>
      <c r="BE1123" s="188" t="str">
        <f t="shared" si="296"/>
        <v xml:space="preserve"> </v>
      </c>
      <c r="BF1123" s="50" t="str">
        <f t="shared" si="288"/>
        <v>INNER BASIN RIVER (Ransom C)_Chinook</v>
      </c>
      <c r="BG1123" s="50" t="str">
        <f>IFERROR(VLOOKUP(BF1123,'[1]WCVI Esc'!$C$5:$W$514,18,FALSE),"-")</f>
        <v>-</v>
      </c>
      <c r="BH1123" s="50" t="str">
        <f t="shared" si="291"/>
        <v>-</v>
      </c>
      <c r="BI1123" s="50">
        <f>IFERROR(VLOOKUP(BF1123,'[1]WCVI Esc'!$C$5:$W$514,19,FALSE),"-")</f>
        <v>1</v>
      </c>
      <c r="BJ1123" s="50">
        <f t="shared" si="292"/>
        <v>0</v>
      </c>
    </row>
    <row r="1124" spans="1:62" hidden="1" x14ac:dyDescent="0.2">
      <c r="A1124" s="28">
        <v>4</v>
      </c>
      <c r="B1124" s="29">
        <v>6</v>
      </c>
      <c r="C1124" s="13">
        <v>25</v>
      </c>
      <c r="D1124" s="13" t="s">
        <v>298</v>
      </c>
      <c r="E1124" s="10" t="s">
        <v>196</v>
      </c>
      <c r="F1124" s="10" t="s">
        <v>211</v>
      </c>
      <c r="G1124" s="10"/>
      <c r="H1124" s="152"/>
      <c r="I1124" s="164"/>
      <c r="J1124" s="94"/>
      <c r="K1124" s="62"/>
      <c r="L1124" s="177"/>
      <c r="M1124" s="176"/>
      <c r="N1124" s="106"/>
      <c r="O1124" s="62"/>
      <c r="P1124" s="62"/>
      <c r="Q1124" s="64"/>
      <c r="R1124" s="164"/>
      <c r="S1124" s="62"/>
      <c r="T1124" s="62"/>
      <c r="U1124" s="62"/>
      <c r="V1124" s="177"/>
      <c r="W1124" s="171"/>
      <c r="X1124" s="62"/>
      <c r="Y1124" s="45"/>
      <c r="Z1124" s="45"/>
      <c r="AA1124" s="100"/>
      <c r="AB1124" s="100"/>
      <c r="AC1124" s="24"/>
      <c r="AD1124" s="24"/>
      <c r="AE1124" s="24"/>
      <c r="AF1124" s="24"/>
      <c r="AG1124" s="69">
        <v>25</v>
      </c>
      <c r="AH1124" s="69" t="s">
        <v>298</v>
      </c>
      <c r="AI1124" s="243" t="s">
        <v>196</v>
      </c>
      <c r="AJ1124" s="243" t="s">
        <v>419</v>
      </c>
      <c r="AK1124" s="246"/>
      <c r="AL1124" s="43" t="str">
        <f t="shared" si="293"/>
        <v>-</v>
      </c>
      <c r="AM1124" s="43">
        <f t="shared" si="281"/>
        <v>0</v>
      </c>
      <c r="AN1124" s="193">
        <f t="shared" si="281"/>
        <v>0</v>
      </c>
      <c r="AO1124" s="270" t="str">
        <f t="shared" si="282"/>
        <v>-</v>
      </c>
      <c r="AP1124" s="266"/>
      <c r="AQ1124" s="26" t="str">
        <f t="shared" si="289"/>
        <v>INNER BASIN RIVER (Ransom C)Steelhead</v>
      </c>
      <c r="AR1124" s="26">
        <f t="shared" si="283"/>
        <v>0</v>
      </c>
      <c r="AS1124" s="33">
        <f t="shared" si="284"/>
        <v>0</v>
      </c>
      <c r="AX1124" s="47" t="str">
        <f t="shared" si="285"/>
        <v>INNER BASIN RIVER (Ransom C)Steelhead</v>
      </c>
      <c r="AY1124" s="49">
        <f t="shared" si="286"/>
        <v>0</v>
      </c>
      <c r="AZ1124" s="49">
        <f t="shared" si="287"/>
        <v>0</v>
      </c>
      <c r="BA1124" s="31">
        <v>0</v>
      </c>
      <c r="BB1124" s="188">
        <f t="shared" si="290"/>
        <v>0</v>
      </c>
      <c r="BC1124" s="188" t="str">
        <f t="shared" si="294"/>
        <v xml:space="preserve"> </v>
      </c>
      <c r="BD1124" s="188" t="str">
        <f t="shared" si="295"/>
        <v xml:space="preserve"> </v>
      </c>
      <c r="BE1124" s="188" t="str">
        <f t="shared" si="296"/>
        <v xml:space="preserve"> </v>
      </c>
      <c r="BF1124" s="50" t="str">
        <f t="shared" si="288"/>
        <v>INNER BASIN RIVER (Ransom C)_Steelhead</v>
      </c>
      <c r="BG1124" s="50" t="str">
        <f>IFERROR(VLOOKUP(BF1124,'[1]WCVI Esc'!$C$5:$W$514,18,FALSE),"-")</f>
        <v>-</v>
      </c>
      <c r="BH1124" s="50" t="str">
        <f t="shared" si="291"/>
        <v>-</v>
      </c>
      <c r="BI1124" s="50" t="str">
        <f>IFERROR(VLOOKUP(BF1124,'[1]WCVI Esc'!$C$5:$W$514,19,FALSE),"-")</f>
        <v>-</v>
      </c>
      <c r="BJ1124" s="50" t="str">
        <f t="shared" si="292"/>
        <v>-</v>
      </c>
    </row>
    <row r="1125" spans="1:62" hidden="1" x14ac:dyDescent="0.2">
      <c r="A1125" s="28">
        <v>4</v>
      </c>
      <c r="B1125" s="28">
        <v>1</v>
      </c>
      <c r="C1125" s="11">
        <v>25</v>
      </c>
      <c r="D1125" s="13" t="s">
        <v>299</v>
      </c>
      <c r="E1125" s="10" t="s">
        <v>141</v>
      </c>
      <c r="F1125" s="10" t="s">
        <v>207</v>
      </c>
      <c r="G1125" s="10"/>
      <c r="H1125" s="152"/>
      <c r="I1125" s="164"/>
      <c r="J1125" s="94"/>
      <c r="K1125" s="62"/>
      <c r="L1125" s="177"/>
      <c r="M1125" s="176"/>
      <c r="N1125" s="106"/>
      <c r="O1125" s="62"/>
      <c r="P1125" s="62"/>
      <c r="Q1125" s="64"/>
      <c r="R1125" s="164"/>
      <c r="S1125" s="62"/>
      <c r="T1125" s="62"/>
      <c r="U1125" s="62"/>
      <c r="V1125" s="177"/>
      <c r="W1125" s="171"/>
      <c r="X1125" s="62"/>
      <c r="Y1125" s="45"/>
      <c r="Z1125" s="45"/>
      <c r="AA1125" s="100"/>
      <c r="AB1125" s="100"/>
      <c r="AC1125" s="24"/>
      <c r="AD1125" s="24"/>
      <c r="AE1125" s="24"/>
      <c r="AF1125" s="24"/>
      <c r="AG1125" s="18">
        <v>25</v>
      </c>
      <c r="AH1125" s="69" t="s">
        <v>299</v>
      </c>
      <c r="AI1125" s="243" t="s">
        <v>141</v>
      </c>
      <c r="AJ1125" s="243" t="s">
        <v>419</v>
      </c>
      <c r="AK1125" s="246"/>
      <c r="AL1125" s="43" t="str">
        <f t="shared" si="293"/>
        <v>-</v>
      </c>
      <c r="AM1125" s="43">
        <f t="shared" si="281"/>
        <v>0</v>
      </c>
      <c r="AN1125" s="193">
        <f t="shared" si="281"/>
        <v>0</v>
      </c>
      <c r="AO1125" s="270" t="str">
        <f t="shared" si="282"/>
        <v>-</v>
      </c>
      <c r="AP1125" s="271"/>
      <c r="AQ1125" s="26" t="str">
        <f t="shared" si="289"/>
        <v>KENDRICK CREEKSockeye</v>
      </c>
      <c r="AR1125" s="26">
        <f t="shared" si="283"/>
        <v>0</v>
      </c>
      <c r="AS1125" s="33">
        <f t="shared" si="284"/>
        <v>0</v>
      </c>
      <c r="AX1125" s="47" t="str">
        <f t="shared" si="285"/>
        <v>KENDRICK CREEKSockeye</v>
      </c>
      <c r="AY1125" s="49">
        <f t="shared" si="286"/>
        <v>0</v>
      </c>
      <c r="AZ1125" s="49">
        <f t="shared" si="287"/>
        <v>0</v>
      </c>
      <c r="BA1125" s="31">
        <v>0</v>
      </c>
      <c r="BB1125" s="188">
        <f t="shared" si="290"/>
        <v>0</v>
      </c>
      <c r="BC1125" s="188" t="str">
        <f t="shared" si="294"/>
        <v xml:space="preserve"> </v>
      </c>
      <c r="BD1125" s="188" t="str">
        <f t="shared" si="295"/>
        <v xml:space="preserve"> </v>
      </c>
      <c r="BE1125" s="188" t="str">
        <f t="shared" si="296"/>
        <v xml:space="preserve"> </v>
      </c>
      <c r="BF1125" s="50" t="str">
        <f t="shared" si="288"/>
        <v>KENDRICK CREEK_Sockeye</v>
      </c>
      <c r="BG1125" s="50" t="str">
        <f>IFERROR(VLOOKUP(BF1125,'[1]WCVI Esc'!$C$5:$W$514,18,FALSE),"-")</f>
        <v>-</v>
      </c>
      <c r="BH1125" s="50" t="str">
        <f t="shared" si="291"/>
        <v>-</v>
      </c>
      <c r="BI1125" s="50" t="str">
        <f>IFERROR(VLOOKUP(BF1125,'[1]WCVI Esc'!$C$5:$W$514,19,FALSE),"-")</f>
        <v>-</v>
      </c>
      <c r="BJ1125" s="50" t="str">
        <f t="shared" si="292"/>
        <v>-</v>
      </c>
    </row>
    <row r="1126" spans="1:62" hidden="1" x14ac:dyDescent="0.2">
      <c r="A1126" s="28">
        <v>4</v>
      </c>
      <c r="B1126" s="28">
        <v>2</v>
      </c>
      <c r="C1126" s="11">
        <v>25</v>
      </c>
      <c r="D1126" s="13" t="s">
        <v>299</v>
      </c>
      <c r="E1126" s="10" t="s">
        <v>141</v>
      </c>
      <c r="F1126" s="10" t="s">
        <v>219</v>
      </c>
      <c r="G1126" s="10"/>
      <c r="H1126" s="152"/>
      <c r="I1126" s="164"/>
      <c r="J1126" s="94"/>
      <c r="K1126" s="62"/>
      <c r="L1126" s="177"/>
      <c r="M1126" s="176"/>
      <c r="N1126" s="106"/>
      <c r="O1126" s="62"/>
      <c r="P1126" s="62"/>
      <c r="Q1126" s="64"/>
      <c r="R1126" s="164"/>
      <c r="S1126" s="62"/>
      <c r="T1126" s="62"/>
      <c r="U1126" s="62"/>
      <c r="V1126" s="177"/>
      <c r="W1126" s="171"/>
      <c r="X1126" s="62"/>
      <c r="Y1126" s="45"/>
      <c r="Z1126" s="45"/>
      <c r="AA1126" s="100">
        <f>Y1126/AP1126</f>
        <v>0</v>
      </c>
      <c r="AB1126" s="100">
        <f>AS1126/AP1126</f>
        <v>0</v>
      </c>
      <c r="AC1126" s="24"/>
      <c r="AD1126" s="24"/>
      <c r="AE1126" s="24"/>
      <c r="AF1126" s="24"/>
      <c r="AG1126" s="18">
        <v>25</v>
      </c>
      <c r="AH1126" s="69" t="s">
        <v>299</v>
      </c>
      <c r="AI1126" s="243" t="s">
        <v>141</v>
      </c>
      <c r="AJ1126" s="243" t="s">
        <v>419</v>
      </c>
      <c r="AK1126" s="246"/>
      <c r="AL1126" s="43" t="str">
        <f t="shared" si="293"/>
        <v>-</v>
      </c>
      <c r="AM1126" s="43">
        <f t="shared" si="281"/>
        <v>0</v>
      </c>
      <c r="AN1126" s="193">
        <f t="shared" si="281"/>
        <v>0</v>
      </c>
      <c r="AO1126" s="270" t="str">
        <f t="shared" si="282"/>
        <v>-</v>
      </c>
      <c r="AP1126" s="265">
        <f>BJ1126</f>
        <v>30</v>
      </c>
      <c r="AQ1126" s="26" t="str">
        <f t="shared" si="289"/>
        <v>KENDRICK CREEKCoho</v>
      </c>
      <c r="AR1126" s="26">
        <f t="shared" si="283"/>
        <v>0</v>
      </c>
      <c r="AS1126" s="33">
        <f t="shared" si="284"/>
        <v>0</v>
      </c>
      <c r="AX1126" s="47" t="str">
        <f t="shared" si="285"/>
        <v>KENDRICK CREEKCoho</v>
      </c>
      <c r="AY1126" s="49">
        <f t="shared" si="286"/>
        <v>0</v>
      </c>
      <c r="AZ1126" s="49">
        <f t="shared" si="287"/>
        <v>0</v>
      </c>
      <c r="BA1126" s="31">
        <v>2011</v>
      </c>
      <c r="BB1126" s="188">
        <f t="shared" si="290"/>
        <v>0</v>
      </c>
      <c r="BC1126" s="188" t="str">
        <f t="shared" si="294"/>
        <v xml:space="preserve"> </v>
      </c>
      <c r="BD1126" s="188" t="str">
        <f t="shared" si="295"/>
        <v xml:space="preserve"> </v>
      </c>
      <c r="BE1126" s="188" t="str">
        <f t="shared" si="296"/>
        <v xml:space="preserve"> </v>
      </c>
      <c r="BF1126" s="50" t="str">
        <f t="shared" si="288"/>
        <v>KENDRICK CREEK_Coho</v>
      </c>
      <c r="BG1126" s="50" t="str">
        <f>IFERROR(VLOOKUP(BF1126,'[1]WCVI Esc'!$C$5:$W$514,18,FALSE),"-")</f>
        <v>-</v>
      </c>
      <c r="BH1126" s="50" t="str">
        <f t="shared" si="291"/>
        <v>-</v>
      </c>
      <c r="BI1126" s="50">
        <f>IFERROR(VLOOKUP(BF1126,'[1]WCVI Esc'!$C$5:$W$514,19,FALSE),"-")</f>
        <v>28</v>
      </c>
      <c r="BJ1126" s="50">
        <f t="shared" si="292"/>
        <v>30</v>
      </c>
    </row>
    <row r="1127" spans="1:62" hidden="1" x14ac:dyDescent="0.2">
      <c r="A1127" s="28">
        <v>4</v>
      </c>
      <c r="B1127" s="28">
        <v>3</v>
      </c>
      <c r="C1127" s="11">
        <v>25</v>
      </c>
      <c r="D1127" s="13" t="s">
        <v>299</v>
      </c>
      <c r="E1127" s="10" t="s">
        <v>141</v>
      </c>
      <c r="F1127" s="10" t="s">
        <v>208</v>
      </c>
      <c r="G1127" s="10"/>
      <c r="H1127" s="152"/>
      <c r="I1127" s="164"/>
      <c r="J1127" s="94"/>
      <c r="K1127" s="62"/>
      <c r="L1127" s="177"/>
      <c r="M1127" s="176"/>
      <c r="N1127" s="106"/>
      <c r="O1127" s="62"/>
      <c r="P1127" s="62"/>
      <c r="Q1127" s="64"/>
      <c r="R1127" s="164"/>
      <c r="S1127" s="62"/>
      <c r="T1127" s="62"/>
      <c r="U1127" s="62"/>
      <c r="V1127" s="177"/>
      <c r="W1127" s="171"/>
      <c r="X1127" s="62"/>
      <c r="Y1127" s="45"/>
      <c r="Z1127" s="45"/>
      <c r="AA1127" s="100"/>
      <c r="AB1127" s="100"/>
      <c r="AC1127" s="24"/>
      <c r="AD1127" s="24"/>
      <c r="AE1127" s="24"/>
      <c r="AF1127" s="24"/>
      <c r="AG1127" s="18">
        <v>25</v>
      </c>
      <c r="AH1127" s="69" t="s">
        <v>299</v>
      </c>
      <c r="AI1127" s="243" t="s">
        <v>141</v>
      </c>
      <c r="AJ1127" s="243" t="s">
        <v>419</v>
      </c>
      <c r="AK1127" s="246"/>
      <c r="AL1127" s="43" t="str">
        <f t="shared" si="293"/>
        <v>-</v>
      </c>
      <c r="AM1127" s="43">
        <f t="shared" si="281"/>
        <v>0</v>
      </c>
      <c r="AN1127" s="193">
        <f t="shared" si="281"/>
        <v>0</v>
      </c>
      <c r="AO1127" s="270" t="str">
        <f t="shared" si="282"/>
        <v>-</v>
      </c>
      <c r="AP1127" s="266"/>
      <c r="AQ1127" s="26" t="str">
        <f t="shared" si="289"/>
        <v>KENDRICK CREEKPink</v>
      </c>
      <c r="AR1127" s="26">
        <f t="shared" si="283"/>
        <v>0</v>
      </c>
      <c r="AS1127" s="33">
        <f t="shared" si="284"/>
        <v>0</v>
      </c>
      <c r="AX1127" s="47" t="str">
        <f t="shared" si="285"/>
        <v>KENDRICK CREEKPink</v>
      </c>
      <c r="AY1127" s="49">
        <f t="shared" si="286"/>
        <v>0</v>
      </c>
      <c r="AZ1127" s="49">
        <f t="shared" si="287"/>
        <v>0</v>
      </c>
      <c r="BA1127" s="31">
        <v>0</v>
      </c>
      <c r="BB1127" s="188">
        <f t="shared" si="290"/>
        <v>0</v>
      </c>
      <c r="BC1127" s="188" t="str">
        <f t="shared" si="294"/>
        <v xml:space="preserve"> </v>
      </c>
      <c r="BD1127" s="188" t="str">
        <f t="shared" si="295"/>
        <v xml:space="preserve"> </v>
      </c>
      <c r="BE1127" s="188" t="str">
        <f t="shared" si="296"/>
        <v xml:space="preserve"> </v>
      </c>
      <c r="BF1127" s="50" t="str">
        <f t="shared" si="288"/>
        <v>KENDRICK CREEK_Pink</v>
      </c>
      <c r="BG1127" s="50" t="str">
        <f>IFERROR(VLOOKUP(BF1127,'[1]WCVI Esc'!$C$5:$W$514,18,FALSE),"-")</f>
        <v>-</v>
      </c>
      <c r="BH1127" s="50" t="str">
        <f t="shared" si="291"/>
        <v>-</v>
      </c>
      <c r="BI1127" s="50" t="str">
        <f>IFERROR(VLOOKUP(BF1127,'[1]WCVI Esc'!$C$5:$W$514,19,FALSE),"-")</f>
        <v>-</v>
      </c>
      <c r="BJ1127" s="50" t="str">
        <f t="shared" si="292"/>
        <v>-</v>
      </c>
    </row>
    <row r="1128" spans="1:62" hidden="1" x14ac:dyDescent="0.2">
      <c r="A1128" s="28">
        <v>4</v>
      </c>
      <c r="B1128" s="28">
        <v>4</v>
      </c>
      <c r="C1128" s="11">
        <v>25</v>
      </c>
      <c r="D1128" s="13" t="s">
        <v>299</v>
      </c>
      <c r="E1128" s="10" t="s">
        <v>141</v>
      </c>
      <c r="F1128" s="10" t="s">
        <v>209</v>
      </c>
      <c r="G1128" s="10"/>
      <c r="H1128" s="152"/>
      <c r="I1128" s="164"/>
      <c r="J1128" s="94"/>
      <c r="K1128" s="62"/>
      <c r="L1128" s="177"/>
      <c r="M1128" s="176"/>
      <c r="N1128" s="106"/>
      <c r="O1128" s="62"/>
      <c r="P1128" s="62"/>
      <c r="Q1128" s="64"/>
      <c r="R1128" s="164"/>
      <c r="S1128" s="62"/>
      <c r="T1128" s="62"/>
      <c r="U1128" s="62"/>
      <c r="V1128" s="177"/>
      <c r="W1128" s="171"/>
      <c r="X1128" s="62"/>
      <c r="Y1128" s="45"/>
      <c r="Z1128" s="45"/>
      <c r="AA1128" s="100">
        <f>Y1128/AP1128</f>
        <v>0</v>
      </c>
      <c r="AB1128" s="100">
        <f>AS1128/AP1128</f>
        <v>0</v>
      </c>
      <c r="AC1128" s="24"/>
      <c r="AD1128" s="24"/>
      <c r="AE1128" s="24"/>
      <c r="AF1128" s="24"/>
      <c r="AG1128" s="18">
        <v>25</v>
      </c>
      <c r="AH1128" s="69" t="s">
        <v>299</v>
      </c>
      <c r="AI1128" s="243" t="s">
        <v>141</v>
      </c>
      <c r="AJ1128" s="243" t="s">
        <v>419</v>
      </c>
      <c r="AK1128" s="246"/>
      <c r="AL1128" s="43" t="str">
        <f t="shared" si="293"/>
        <v>-</v>
      </c>
      <c r="AM1128" s="43">
        <f t="shared" si="281"/>
        <v>0</v>
      </c>
      <c r="AN1128" s="193">
        <f t="shared" si="281"/>
        <v>0</v>
      </c>
      <c r="AO1128" s="270" t="str">
        <f t="shared" si="282"/>
        <v>-</v>
      </c>
      <c r="AP1128" s="265">
        <f>BJ1128</f>
        <v>660</v>
      </c>
      <c r="AQ1128" s="26" t="str">
        <f t="shared" si="289"/>
        <v>KENDRICK CREEKChum</v>
      </c>
      <c r="AR1128" s="26">
        <f t="shared" si="283"/>
        <v>0</v>
      </c>
      <c r="AS1128" s="33">
        <f t="shared" si="284"/>
        <v>0</v>
      </c>
      <c r="AX1128" s="47" t="str">
        <f t="shared" si="285"/>
        <v>KENDRICK CREEKChum</v>
      </c>
      <c r="AY1128" s="49">
        <f t="shared" si="286"/>
        <v>0</v>
      </c>
      <c r="AZ1128" s="49">
        <f t="shared" si="287"/>
        <v>0</v>
      </c>
      <c r="BA1128" s="31">
        <v>2011</v>
      </c>
      <c r="BB1128" s="188">
        <f t="shared" si="290"/>
        <v>0</v>
      </c>
      <c r="BC1128" s="188" t="str">
        <f t="shared" si="294"/>
        <v xml:space="preserve"> </v>
      </c>
      <c r="BD1128" s="188" t="str">
        <f t="shared" si="295"/>
        <v xml:space="preserve"> </v>
      </c>
      <c r="BE1128" s="188" t="str">
        <f t="shared" si="296"/>
        <v xml:space="preserve"> </v>
      </c>
      <c r="BF1128" s="50" t="str">
        <f t="shared" si="288"/>
        <v>KENDRICK CREEK_Chum</v>
      </c>
      <c r="BG1128" s="50" t="str">
        <f>IFERROR(VLOOKUP(BF1128,'[1]WCVI Esc'!$C$5:$W$514,18,FALSE),"-")</f>
        <v>-</v>
      </c>
      <c r="BH1128" s="50" t="str">
        <f t="shared" si="291"/>
        <v>-</v>
      </c>
      <c r="BI1128" s="50">
        <f>IFERROR(VLOOKUP(BF1128,'[1]WCVI Esc'!$C$5:$W$514,19,FALSE),"-")</f>
        <v>656</v>
      </c>
      <c r="BJ1128" s="50">
        <f t="shared" si="292"/>
        <v>660</v>
      </c>
    </row>
    <row r="1129" spans="1:62" x14ac:dyDescent="0.2">
      <c r="A1129" s="28">
        <v>4</v>
      </c>
      <c r="B1129" s="28">
        <v>5</v>
      </c>
      <c r="C1129" s="11">
        <v>25</v>
      </c>
      <c r="D1129" s="13" t="s">
        <v>299</v>
      </c>
      <c r="E1129" s="10" t="s">
        <v>141</v>
      </c>
      <c r="F1129" s="10" t="s">
        <v>210</v>
      </c>
      <c r="G1129" s="10"/>
      <c r="H1129" s="152"/>
      <c r="I1129" s="164"/>
      <c r="J1129" s="94"/>
      <c r="K1129" s="62"/>
      <c r="L1129" s="177"/>
      <c r="M1129" s="176"/>
      <c r="N1129" s="106"/>
      <c r="O1129" s="62"/>
      <c r="P1129" s="62"/>
      <c r="Q1129" s="64"/>
      <c r="R1129" s="164"/>
      <c r="S1129" s="62"/>
      <c r="T1129" s="62"/>
      <c r="U1129" s="62"/>
      <c r="V1129" s="177"/>
      <c r="W1129" s="171"/>
      <c r="X1129" s="62"/>
      <c r="Y1129" s="45"/>
      <c r="Z1129" s="45"/>
      <c r="AA1129" s="100"/>
      <c r="AB1129" s="100"/>
      <c r="AC1129" s="24"/>
      <c r="AD1129" s="24"/>
      <c r="AE1129" s="24"/>
      <c r="AF1129" s="24"/>
      <c r="AG1129" s="18">
        <v>25</v>
      </c>
      <c r="AH1129" s="69" t="s">
        <v>299</v>
      </c>
      <c r="AI1129" s="243" t="s">
        <v>141</v>
      </c>
      <c r="AJ1129" s="243" t="s">
        <v>419</v>
      </c>
      <c r="AK1129" s="246"/>
      <c r="AL1129" s="43" t="str">
        <f t="shared" si="293"/>
        <v>-</v>
      </c>
      <c r="AM1129" s="43">
        <f t="shared" si="281"/>
        <v>0</v>
      </c>
      <c r="AN1129" s="193">
        <f t="shared" si="281"/>
        <v>0</v>
      </c>
      <c r="AO1129" s="270" t="str">
        <f t="shared" si="282"/>
        <v>-</v>
      </c>
      <c r="AP1129" s="271"/>
      <c r="AQ1129" s="26" t="str">
        <f t="shared" si="289"/>
        <v>KENDRICK CREEKChinook</v>
      </c>
      <c r="AR1129" s="26">
        <f t="shared" si="283"/>
        <v>0</v>
      </c>
      <c r="AS1129" s="33">
        <f t="shared" si="284"/>
        <v>0</v>
      </c>
      <c r="AX1129" s="47" t="str">
        <f t="shared" si="285"/>
        <v>KENDRICK CREEKChinook</v>
      </c>
      <c r="AY1129" s="49">
        <f t="shared" si="286"/>
        <v>0</v>
      </c>
      <c r="AZ1129" s="49">
        <f t="shared" si="287"/>
        <v>0</v>
      </c>
      <c r="BA1129" s="31">
        <v>0</v>
      </c>
      <c r="BB1129" s="188">
        <f t="shared" si="290"/>
        <v>0</v>
      </c>
      <c r="BC1129" s="188" t="str">
        <f t="shared" si="294"/>
        <v xml:space="preserve"> </v>
      </c>
      <c r="BD1129" s="188" t="str">
        <f t="shared" si="295"/>
        <v xml:space="preserve"> </v>
      </c>
      <c r="BE1129" s="188" t="str">
        <f t="shared" si="296"/>
        <v xml:space="preserve"> </v>
      </c>
      <c r="BF1129" s="50" t="str">
        <f t="shared" si="288"/>
        <v>KENDRICK CREEK_Chinook</v>
      </c>
      <c r="BG1129" s="50" t="str">
        <f>IFERROR(VLOOKUP(BF1129,'[1]WCVI Esc'!$C$5:$W$514,18,FALSE),"-")</f>
        <v>-</v>
      </c>
      <c r="BH1129" s="50" t="str">
        <f t="shared" si="291"/>
        <v>-</v>
      </c>
      <c r="BI1129" s="50" t="str">
        <f>IFERROR(VLOOKUP(BF1129,'[1]WCVI Esc'!$C$5:$W$514,19,FALSE),"-")</f>
        <v>-</v>
      </c>
      <c r="BJ1129" s="50" t="str">
        <f t="shared" si="292"/>
        <v>-</v>
      </c>
    </row>
    <row r="1130" spans="1:62" hidden="1" x14ac:dyDescent="0.2">
      <c r="A1130" s="28">
        <v>4</v>
      </c>
      <c r="B1130" s="28">
        <v>6</v>
      </c>
      <c r="C1130" s="11">
        <v>25</v>
      </c>
      <c r="D1130" s="13" t="s">
        <v>299</v>
      </c>
      <c r="E1130" s="10" t="s">
        <v>141</v>
      </c>
      <c r="F1130" s="10" t="s">
        <v>211</v>
      </c>
      <c r="G1130" s="10"/>
      <c r="H1130" s="152"/>
      <c r="I1130" s="164"/>
      <c r="J1130" s="94"/>
      <c r="K1130" s="62"/>
      <c r="L1130" s="177"/>
      <c r="M1130" s="176"/>
      <c r="N1130" s="106"/>
      <c r="O1130" s="62"/>
      <c r="P1130" s="62"/>
      <c r="Q1130" s="64"/>
      <c r="R1130" s="164"/>
      <c r="S1130" s="62"/>
      <c r="T1130" s="62"/>
      <c r="U1130" s="62"/>
      <c r="V1130" s="177"/>
      <c r="W1130" s="171"/>
      <c r="X1130" s="62"/>
      <c r="Y1130" s="45"/>
      <c r="Z1130" s="45"/>
      <c r="AA1130" s="100"/>
      <c r="AB1130" s="100"/>
      <c r="AC1130" s="24"/>
      <c r="AD1130" s="24"/>
      <c r="AE1130" s="24"/>
      <c r="AF1130" s="24"/>
      <c r="AG1130" s="18">
        <v>25</v>
      </c>
      <c r="AH1130" s="69" t="s">
        <v>299</v>
      </c>
      <c r="AI1130" s="243" t="s">
        <v>141</v>
      </c>
      <c r="AJ1130" s="243" t="s">
        <v>419</v>
      </c>
      <c r="AK1130" s="246"/>
      <c r="AL1130" s="43" t="str">
        <f t="shared" si="293"/>
        <v>-</v>
      </c>
      <c r="AM1130" s="43">
        <f t="shared" si="281"/>
        <v>0</v>
      </c>
      <c r="AN1130" s="193">
        <f t="shared" si="281"/>
        <v>0</v>
      </c>
      <c r="AO1130" s="270" t="str">
        <f t="shared" si="282"/>
        <v>-</v>
      </c>
      <c r="AP1130" s="266"/>
      <c r="AQ1130" s="26" t="str">
        <f t="shared" si="289"/>
        <v>KENDRICK CREEKSteelhead</v>
      </c>
      <c r="AR1130" s="26">
        <f t="shared" si="283"/>
        <v>0</v>
      </c>
      <c r="AS1130" s="33">
        <f t="shared" si="284"/>
        <v>0</v>
      </c>
      <c r="AX1130" s="47" t="str">
        <f t="shared" si="285"/>
        <v>KENDRICK CREEKSteelhead</v>
      </c>
      <c r="AY1130" s="49">
        <f t="shared" si="286"/>
        <v>0</v>
      </c>
      <c r="AZ1130" s="49">
        <f t="shared" si="287"/>
        <v>0</v>
      </c>
      <c r="BA1130" s="31">
        <v>0</v>
      </c>
      <c r="BB1130" s="188">
        <f t="shared" si="290"/>
        <v>0</v>
      </c>
      <c r="BC1130" s="188" t="str">
        <f t="shared" si="294"/>
        <v xml:space="preserve"> </v>
      </c>
      <c r="BD1130" s="188" t="str">
        <f t="shared" si="295"/>
        <v xml:space="preserve"> </v>
      </c>
      <c r="BE1130" s="188" t="str">
        <f t="shared" si="296"/>
        <v xml:space="preserve"> </v>
      </c>
      <c r="BF1130" s="50" t="str">
        <f t="shared" si="288"/>
        <v>KENDRICK CREEK_Steelhead</v>
      </c>
      <c r="BG1130" s="50" t="str">
        <f>IFERROR(VLOOKUP(BF1130,'[1]WCVI Esc'!$C$5:$W$514,18,FALSE),"-")</f>
        <v>-</v>
      </c>
      <c r="BH1130" s="50" t="str">
        <f t="shared" si="291"/>
        <v>-</v>
      </c>
      <c r="BI1130" s="50" t="str">
        <f>IFERROR(VLOOKUP(BF1130,'[1]WCVI Esc'!$C$5:$W$514,19,FALSE),"-")</f>
        <v>-</v>
      </c>
      <c r="BJ1130" s="50" t="str">
        <f t="shared" si="292"/>
        <v>-</v>
      </c>
    </row>
    <row r="1131" spans="1:62" hidden="1" x14ac:dyDescent="0.2">
      <c r="A1131" s="28">
        <v>4</v>
      </c>
      <c r="B1131" s="28">
        <v>1</v>
      </c>
      <c r="C1131" s="11">
        <v>25</v>
      </c>
      <c r="D1131" s="13" t="s">
        <v>299</v>
      </c>
      <c r="E1131" s="10" t="s">
        <v>142</v>
      </c>
      <c r="F1131" s="10" t="s">
        <v>207</v>
      </c>
      <c r="G1131" s="10"/>
      <c r="H1131" s="152"/>
      <c r="I1131" s="155"/>
      <c r="J1131" s="106"/>
      <c r="K1131" s="94"/>
      <c r="L1131" s="180"/>
      <c r="M1131" s="173"/>
      <c r="N1131" s="106"/>
      <c r="O1131" s="106"/>
      <c r="P1131" s="63"/>
      <c r="Q1131" s="162"/>
      <c r="R1131" s="164"/>
      <c r="S1131" s="62"/>
      <c r="T1131" s="63"/>
      <c r="U1131" s="62"/>
      <c r="V1131" s="177"/>
      <c r="W1131" s="171"/>
      <c r="X1131" s="62"/>
      <c r="Y1131" s="45"/>
      <c r="Z1131" s="44"/>
      <c r="AA1131" s="100">
        <f>Y1131/AP1131</f>
        <v>0</v>
      </c>
      <c r="AB1131" s="100">
        <f>AS1131/AP1131</f>
        <v>0</v>
      </c>
      <c r="AC1131" s="123"/>
      <c r="AD1131" s="123"/>
      <c r="AE1131" s="123"/>
      <c r="AF1131" s="123"/>
      <c r="AG1131" s="18">
        <v>25</v>
      </c>
      <c r="AH1131" s="69" t="s">
        <v>299</v>
      </c>
      <c r="AI1131" s="243" t="s">
        <v>142</v>
      </c>
      <c r="AJ1131" s="243" t="s">
        <v>419</v>
      </c>
      <c r="AK1131" s="246"/>
      <c r="AL1131" s="43" t="str">
        <f t="shared" si="293"/>
        <v>-</v>
      </c>
      <c r="AM1131" s="43">
        <f t="shared" si="281"/>
        <v>0</v>
      </c>
      <c r="AN1131" s="193">
        <f t="shared" si="281"/>
        <v>0</v>
      </c>
      <c r="AO1131" s="264" t="str">
        <f t="shared" si="282"/>
        <v>-</v>
      </c>
      <c r="AP1131" s="265">
        <f>BJ1131</f>
        <v>30</v>
      </c>
      <c r="AQ1131" s="26" t="str">
        <f t="shared" si="289"/>
        <v>KLEEPTEE CREEKSockeye</v>
      </c>
      <c r="AR1131" s="26">
        <f t="shared" si="283"/>
        <v>0</v>
      </c>
      <c r="AS1131" s="33">
        <f t="shared" si="284"/>
        <v>0</v>
      </c>
      <c r="AX1131" s="47" t="str">
        <f t="shared" si="285"/>
        <v>KLEEPTEE CREEKSockeye</v>
      </c>
      <c r="AY1131" s="49">
        <f t="shared" si="286"/>
        <v>0</v>
      </c>
      <c r="AZ1131" s="49">
        <f t="shared" si="287"/>
        <v>0</v>
      </c>
      <c r="BA1131" s="31">
        <v>2011</v>
      </c>
      <c r="BB1131" s="188">
        <f t="shared" si="290"/>
        <v>0</v>
      </c>
      <c r="BC1131" s="188" t="str">
        <f t="shared" si="294"/>
        <v xml:space="preserve"> </v>
      </c>
      <c r="BD1131" s="188" t="str">
        <f t="shared" si="295"/>
        <v xml:space="preserve"> </v>
      </c>
      <c r="BE1131" s="188" t="str">
        <f t="shared" si="296"/>
        <v xml:space="preserve"> </v>
      </c>
      <c r="BF1131" s="50" t="str">
        <f t="shared" si="288"/>
        <v>KLEEPTEE CREEK_Sockeye</v>
      </c>
      <c r="BG1131" s="50" t="str">
        <f>IFERROR(VLOOKUP(BF1131,'[1]WCVI Esc'!$C$5:$W$534,18,FALSE),"-")</f>
        <v>-</v>
      </c>
      <c r="BH1131" s="50" t="str">
        <f t="shared" si="291"/>
        <v>-</v>
      </c>
      <c r="BI1131" s="50">
        <f>IFERROR(VLOOKUP(BF1131,'[1]WCVI Esc'!$C$5:$W$534,19,FALSE),"-")</f>
        <v>26.5</v>
      </c>
      <c r="BJ1131" s="50">
        <f t="shared" si="292"/>
        <v>30</v>
      </c>
    </row>
    <row r="1132" spans="1:62" hidden="1" x14ac:dyDescent="0.2">
      <c r="A1132" s="28">
        <v>4</v>
      </c>
      <c r="B1132" s="28">
        <v>2</v>
      </c>
      <c r="C1132" s="11">
        <v>25</v>
      </c>
      <c r="D1132" s="13" t="s">
        <v>299</v>
      </c>
      <c r="E1132" s="10" t="s">
        <v>142</v>
      </c>
      <c r="F1132" s="10" t="s">
        <v>219</v>
      </c>
      <c r="G1132" s="10"/>
      <c r="H1132" s="152"/>
      <c r="I1132" s="155"/>
      <c r="J1132" s="106"/>
      <c r="K1132" s="94"/>
      <c r="L1132" s="180"/>
      <c r="M1132" s="173"/>
      <c r="N1132" s="106"/>
      <c r="O1132" s="106"/>
      <c r="P1132" s="63"/>
      <c r="Q1132" s="162"/>
      <c r="R1132" s="164"/>
      <c r="S1132" s="62"/>
      <c r="T1132" s="63"/>
      <c r="U1132" s="62"/>
      <c r="V1132" s="177"/>
      <c r="W1132" s="171"/>
      <c r="X1132" s="62"/>
      <c r="Y1132" s="45"/>
      <c r="Z1132" s="44"/>
      <c r="AA1132" s="100">
        <f>Y1132/AP1132</f>
        <v>0</v>
      </c>
      <c r="AB1132" s="100">
        <f>AS1132/AP1132</f>
        <v>0</v>
      </c>
      <c r="AC1132" s="123">
        <v>3</v>
      </c>
      <c r="AD1132" s="123"/>
      <c r="AE1132" s="123"/>
      <c r="AF1132" s="123"/>
      <c r="AG1132" s="18">
        <v>25</v>
      </c>
      <c r="AH1132" s="69" t="s">
        <v>299</v>
      </c>
      <c r="AI1132" s="243" t="s">
        <v>142</v>
      </c>
      <c r="AJ1132" s="243" t="s">
        <v>419</v>
      </c>
      <c r="AK1132" s="246"/>
      <c r="AL1132" s="43" t="str">
        <f t="shared" si="293"/>
        <v>-</v>
      </c>
      <c r="AM1132" s="43">
        <f t="shared" si="281"/>
        <v>0</v>
      </c>
      <c r="AN1132" s="193">
        <f t="shared" si="281"/>
        <v>0</v>
      </c>
      <c r="AO1132" s="264" t="str">
        <f t="shared" si="282"/>
        <v>-</v>
      </c>
      <c r="AP1132" s="265">
        <f>BJ1132</f>
        <v>150</v>
      </c>
      <c r="AQ1132" s="26" t="str">
        <f t="shared" si="289"/>
        <v>KLEEPTEE CREEKCoho</v>
      </c>
      <c r="AR1132" s="26">
        <f t="shared" si="283"/>
        <v>0</v>
      </c>
      <c r="AS1132" s="33">
        <f t="shared" si="284"/>
        <v>0</v>
      </c>
      <c r="AX1132" s="47" t="str">
        <f t="shared" si="285"/>
        <v>KLEEPTEE CREEKCoho</v>
      </c>
      <c r="AY1132" s="49">
        <f t="shared" si="286"/>
        <v>0</v>
      </c>
      <c r="AZ1132" s="49">
        <f t="shared" si="287"/>
        <v>0</v>
      </c>
      <c r="BA1132" s="31">
        <v>2011</v>
      </c>
      <c r="BB1132" s="188">
        <f t="shared" si="290"/>
        <v>0</v>
      </c>
      <c r="BC1132" s="188" t="str">
        <f t="shared" si="294"/>
        <v xml:space="preserve"> </v>
      </c>
      <c r="BD1132" s="188" t="str">
        <f t="shared" si="295"/>
        <v xml:space="preserve"> </v>
      </c>
      <c r="BE1132" s="188" t="str">
        <f t="shared" si="296"/>
        <v xml:space="preserve"> </v>
      </c>
      <c r="BF1132" s="50" t="str">
        <f t="shared" si="288"/>
        <v>KLEEPTEE CREEK_Coho</v>
      </c>
      <c r="BG1132" s="50" t="str">
        <f>IFERROR(VLOOKUP(BF1132,'[1]WCVI Esc'!$C$5:$W$534,18,FALSE),"-")</f>
        <v>-</v>
      </c>
      <c r="BH1132" s="50" t="str">
        <f t="shared" si="291"/>
        <v>-</v>
      </c>
      <c r="BI1132" s="50">
        <f>IFERROR(VLOOKUP(BF1132,'[1]WCVI Esc'!$C$5:$W$534,19,FALSE),"-")</f>
        <v>148</v>
      </c>
      <c r="BJ1132" s="50">
        <f t="shared" si="292"/>
        <v>150</v>
      </c>
    </row>
    <row r="1133" spans="1:62" hidden="1" x14ac:dyDescent="0.2">
      <c r="A1133" s="28">
        <v>4</v>
      </c>
      <c r="B1133" s="28">
        <v>3</v>
      </c>
      <c r="C1133" s="11">
        <v>25</v>
      </c>
      <c r="D1133" s="13" t="s">
        <v>299</v>
      </c>
      <c r="E1133" s="10" t="s">
        <v>142</v>
      </c>
      <c r="F1133" s="10" t="s">
        <v>208</v>
      </c>
      <c r="G1133" s="10"/>
      <c r="H1133" s="152"/>
      <c r="I1133" s="155"/>
      <c r="J1133" s="106"/>
      <c r="K1133" s="94"/>
      <c r="L1133" s="180"/>
      <c r="M1133" s="173"/>
      <c r="N1133" s="106"/>
      <c r="O1133" s="106"/>
      <c r="P1133" s="63"/>
      <c r="Q1133" s="162"/>
      <c r="R1133" s="164"/>
      <c r="S1133" s="62"/>
      <c r="T1133" s="63"/>
      <c r="U1133" s="62"/>
      <c r="V1133" s="177"/>
      <c r="W1133" s="171"/>
      <c r="X1133" s="62"/>
      <c r="Y1133" s="45"/>
      <c r="Z1133" s="44"/>
      <c r="AA1133" s="100"/>
      <c r="AB1133" s="100"/>
      <c r="AG1133" s="18">
        <v>25</v>
      </c>
      <c r="AH1133" s="69" t="s">
        <v>299</v>
      </c>
      <c r="AI1133" s="243" t="s">
        <v>142</v>
      </c>
      <c r="AJ1133" s="243" t="s">
        <v>419</v>
      </c>
      <c r="AK1133" s="246"/>
      <c r="AL1133" s="43" t="str">
        <f t="shared" si="293"/>
        <v>-</v>
      </c>
      <c r="AM1133" s="43">
        <f t="shared" si="281"/>
        <v>0</v>
      </c>
      <c r="AN1133" s="193">
        <f t="shared" si="281"/>
        <v>0</v>
      </c>
      <c r="AO1133" s="264" t="str">
        <f t="shared" si="282"/>
        <v>-</v>
      </c>
      <c r="AP1133" s="266"/>
      <c r="AQ1133" s="26" t="str">
        <f t="shared" si="289"/>
        <v>KLEEPTEE CREEKPink</v>
      </c>
      <c r="AR1133" s="26">
        <f t="shared" si="283"/>
        <v>0</v>
      </c>
      <c r="AS1133" s="33">
        <f t="shared" si="284"/>
        <v>0</v>
      </c>
      <c r="AX1133" s="47" t="str">
        <f t="shared" si="285"/>
        <v>KLEEPTEE CREEKPink</v>
      </c>
      <c r="AY1133" s="49">
        <f t="shared" si="286"/>
        <v>0</v>
      </c>
      <c r="AZ1133" s="49">
        <f t="shared" si="287"/>
        <v>0</v>
      </c>
      <c r="BA1133" s="31">
        <v>0</v>
      </c>
      <c r="BB1133" s="188">
        <f t="shared" si="290"/>
        <v>0</v>
      </c>
      <c r="BC1133" s="188" t="str">
        <f t="shared" si="294"/>
        <v xml:space="preserve"> </v>
      </c>
      <c r="BD1133" s="188" t="str">
        <f t="shared" si="295"/>
        <v xml:space="preserve"> </v>
      </c>
      <c r="BE1133" s="188" t="str">
        <f t="shared" si="296"/>
        <v xml:space="preserve"> </v>
      </c>
      <c r="BF1133" s="50" t="str">
        <f t="shared" si="288"/>
        <v>KLEEPTEE CREEK_Pink</v>
      </c>
      <c r="BG1133" s="50" t="str">
        <f>IFERROR(VLOOKUP(BF1133,'[1]WCVI Esc'!$C$5:$W$534,18,FALSE),"-")</f>
        <v>-</v>
      </c>
      <c r="BH1133" s="50" t="str">
        <f t="shared" si="291"/>
        <v>-</v>
      </c>
      <c r="BI1133" s="50" t="str">
        <f>IFERROR(VLOOKUP(BF1133,'[1]WCVI Esc'!$C$5:$W$534,19,FALSE),"-")</f>
        <v>-</v>
      </c>
      <c r="BJ1133" s="50" t="str">
        <f t="shared" si="292"/>
        <v>-</v>
      </c>
    </row>
    <row r="1134" spans="1:62" hidden="1" x14ac:dyDescent="0.2">
      <c r="A1134" s="28">
        <v>4</v>
      </c>
      <c r="B1134" s="28">
        <v>4</v>
      </c>
      <c r="C1134" s="11">
        <v>25</v>
      </c>
      <c r="D1134" s="13" t="s">
        <v>299</v>
      </c>
      <c r="E1134" s="10" t="s">
        <v>142</v>
      </c>
      <c r="F1134" s="10" t="s">
        <v>209</v>
      </c>
      <c r="G1134" s="10"/>
      <c r="H1134" s="152"/>
      <c r="I1134" s="155"/>
      <c r="J1134" s="106"/>
      <c r="K1134" s="94"/>
      <c r="L1134" s="180"/>
      <c r="M1134" s="173"/>
      <c r="N1134" s="106"/>
      <c r="O1134" s="106"/>
      <c r="P1134" s="63"/>
      <c r="Q1134" s="162"/>
      <c r="R1134" s="164"/>
      <c r="S1134" s="62"/>
      <c r="T1134" s="63"/>
      <c r="U1134" s="62"/>
      <c r="V1134" s="177"/>
      <c r="W1134" s="171"/>
      <c r="X1134" s="62"/>
      <c r="Y1134" s="45"/>
      <c r="Z1134" s="44"/>
      <c r="AA1134" s="100">
        <f>Y1134/AP1134</f>
        <v>0</v>
      </c>
      <c r="AB1134" s="100">
        <f>AS1134/AP1134</f>
        <v>0</v>
      </c>
      <c r="AC1134" s="123">
        <v>3</v>
      </c>
      <c r="AD1134" s="123"/>
      <c r="AE1134" s="123"/>
      <c r="AF1134" s="123"/>
      <c r="AG1134" s="18">
        <v>25</v>
      </c>
      <c r="AH1134" s="69" t="s">
        <v>299</v>
      </c>
      <c r="AI1134" s="243" t="s">
        <v>142</v>
      </c>
      <c r="AJ1134" s="243" t="s">
        <v>419</v>
      </c>
      <c r="AK1134" s="246"/>
      <c r="AL1134" s="43" t="str">
        <f t="shared" si="293"/>
        <v>-</v>
      </c>
      <c r="AM1134" s="43">
        <f t="shared" si="281"/>
        <v>0</v>
      </c>
      <c r="AN1134" s="193">
        <f t="shared" si="281"/>
        <v>0</v>
      </c>
      <c r="AO1134" s="264">
        <f t="shared" si="282"/>
        <v>20</v>
      </c>
      <c r="AP1134" s="265">
        <f>BJ1134</f>
        <v>820</v>
      </c>
      <c r="AQ1134" s="26" t="str">
        <f t="shared" si="289"/>
        <v>KLEEPTEE CREEKChum</v>
      </c>
      <c r="AR1134" s="26">
        <f t="shared" si="283"/>
        <v>0</v>
      </c>
      <c r="AS1134" s="33">
        <f t="shared" si="284"/>
        <v>0</v>
      </c>
      <c r="AX1134" s="47" t="str">
        <f t="shared" si="285"/>
        <v>KLEEPTEE CREEKChum</v>
      </c>
      <c r="AY1134" s="49">
        <f t="shared" si="286"/>
        <v>0</v>
      </c>
      <c r="AZ1134" s="49">
        <f t="shared" si="287"/>
        <v>0</v>
      </c>
      <c r="BA1134" s="31">
        <v>2012</v>
      </c>
      <c r="BB1134" s="188">
        <f t="shared" si="290"/>
        <v>0</v>
      </c>
      <c r="BC1134" s="188" t="str">
        <f t="shared" si="294"/>
        <v xml:space="preserve"> </v>
      </c>
      <c r="BD1134" s="188" t="str">
        <f t="shared" si="295"/>
        <v xml:space="preserve"> </v>
      </c>
      <c r="BE1134" s="188" t="str">
        <f t="shared" si="296"/>
        <v xml:space="preserve"> </v>
      </c>
      <c r="BF1134" s="50" t="str">
        <f t="shared" si="288"/>
        <v>KLEEPTEE CREEK_Chum</v>
      </c>
      <c r="BG1134" s="50">
        <f>IFERROR(VLOOKUP(BF1134,'[1]WCVI Esc'!$C$5:$W$534,18,FALSE),"-")</f>
        <v>16</v>
      </c>
      <c r="BH1134" s="50">
        <f t="shared" si="291"/>
        <v>20</v>
      </c>
      <c r="BI1134" s="50">
        <f>IFERROR(VLOOKUP(BF1134,'[1]WCVI Esc'!$C$5:$W$534,19,FALSE),"-")</f>
        <v>820.75</v>
      </c>
      <c r="BJ1134" s="50">
        <f t="shared" si="292"/>
        <v>820</v>
      </c>
    </row>
    <row r="1135" spans="1:62" x14ac:dyDescent="0.2">
      <c r="A1135" s="28">
        <v>4</v>
      </c>
      <c r="B1135" s="28">
        <v>5</v>
      </c>
      <c r="C1135" s="11">
        <v>25</v>
      </c>
      <c r="D1135" s="13" t="s">
        <v>299</v>
      </c>
      <c r="E1135" s="10" t="s">
        <v>142</v>
      </c>
      <c r="F1135" s="10" t="s">
        <v>210</v>
      </c>
      <c r="G1135" s="10"/>
      <c r="H1135" s="152"/>
      <c r="I1135" s="155"/>
      <c r="J1135" s="106"/>
      <c r="K1135" s="94"/>
      <c r="L1135" s="180"/>
      <c r="M1135" s="173"/>
      <c r="N1135" s="106"/>
      <c r="O1135" s="106"/>
      <c r="P1135" s="63"/>
      <c r="Q1135" s="162"/>
      <c r="R1135" s="164"/>
      <c r="S1135" s="62"/>
      <c r="T1135" s="63"/>
      <c r="U1135" s="62"/>
      <c r="V1135" s="177"/>
      <c r="W1135" s="171"/>
      <c r="X1135" s="62"/>
      <c r="Y1135" s="45"/>
      <c r="Z1135" s="44"/>
      <c r="AA1135" s="100">
        <f>Y1135/AP1135</f>
        <v>0</v>
      </c>
      <c r="AB1135" s="100">
        <f>AS1135/AP1135</f>
        <v>0</v>
      </c>
      <c r="AC1135" s="123">
        <v>2</v>
      </c>
      <c r="AD1135" s="123"/>
      <c r="AE1135" s="123"/>
      <c r="AF1135" s="123">
        <f>Y1135</f>
        <v>0</v>
      </c>
      <c r="AG1135" s="18">
        <v>25</v>
      </c>
      <c r="AH1135" s="69" t="s">
        <v>299</v>
      </c>
      <c r="AI1135" s="243" t="s">
        <v>142</v>
      </c>
      <c r="AJ1135" s="243" t="s">
        <v>419</v>
      </c>
      <c r="AK1135" s="246"/>
      <c r="AL1135" s="43" t="str">
        <f t="shared" si="293"/>
        <v>-</v>
      </c>
      <c r="AM1135" s="43">
        <f t="shared" si="281"/>
        <v>0</v>
      </c>
      <c r="AN1135" s="193">
        <f t="shared" si="281"/>
        <v>0</v>
      </c>
      <c r="AO1135" s="264">
        <f t="shared" si="282"/>
        <v>20</v>
      </c>
      <c r="AP1135" s="265">
        <f>BJ1135</f>
        <v>30</v>
      </c>
      <c r="AQ1135" s="26" t="str">
        <f t="shared" si="289"/>
        <v>KLEEPTEE CREEKChinook</v>
      </c>
      <c r="AR1135" s="26">
        <f t="shared" si="283"/>
        <v>0</v>
      </c>
      <c r="AS1135" s="33">
        <f t="shared" si="284"/>
        <v>0</v>
      </c>
      <c r="AX1135" s="47" t="str">
        <f t="shared" si="285"/>
        <v>KLEEPTEE CREEKChinook</v>
      </c>
      <c r="AY1135" s="49">
        <f t="shared" si="286"/>
        <v>0</v>
      </c>
      <c r="AZ1135" s="49">
        <f t="shared" si="287"/>
        <v>0</v>
      </c>
      <c r="BA1135" s="31">
        <v>2011</v>
      </c>
      <c r="BB1135" s="188">
        <f t="shared" si="290"/>
        <v>0</v>
      </c>
      <c r="BC1135" s="188" t="str">
        <f t="shared" si="294"/>
        <v xml:space="preserve"> </v>
      </c>
      <c r="BD1135" s="188" t="str">
        <f t="shared" si="295"/>
        <v xml:space="preserve"> </v>
      </c>
      <c r="BE1135" s="188" t="str">
        <f t="shared" si="296"/>
        <v xml:space="preserve"> </v>
      </c>
      <c r="BF1135" s="50" t="str">
        <f t="shared" si="288"/>
        <v>KLEEPTEE CREEK_Chinook</v>
      </c>
      <c r="BG1135" s="50">
        <f>IFERROR(VLOOKUP(BF1135,'[1]WCVI Esc'!$C$5:$W$534,18,FALSE),"-")</f>
        <v>23</v>
      </c>
      <c r="BH1135" s="50">
        <f t="shared" si="291"/>
        <v>20</v>
      </c>
      <c r="BI1135" s="50">
        <f>IFERROR(VLOOKUP(BF1135,'[1]WCVI Esc'!$C$5:$W$534,19,FALSE),"-")</f>
        <v>28.333333333333332</v>
      </c>
      <c r="BJ1135" s="50">
        <f t="shared" si="292"/>
        <v>30</v>
      </c>
    </row>
    <row r="1136" spans="1:62" hidden="1" x14ac:dyDescent="0.2">
      <c r="A1136" s="28">
        <v>4</v>
      </c>
      <c r="B1136" s="28">
        <v>6</v>
      </c>
      <c r="C1136" s="11">
        <v>25</v>
      </c>
      <c r="D1136" s="13" t="s">
        <v>299</v>
      </c>
      <c r="E1136" s="10" t="s">
        <v>142</v>
      </c>
      <c r="F1136" s="10" t="s">
        <v>211</v>
      </c>
      <c r="G1136" s="10"/>
      <c r="H1136" s="152"/>
      <c r="I1136" s="155"/>
      <c r="J1136" s="106"/>
      <c r="K1136" s="94"/>
      <c r="L1136" s="180"/>
      <c r="M1136" s="173"/>
      <c r="N1136" s="106"/>
      <c r="O1136" s="106"/>
      <c r="P1136" s="63"/>
      <c r="Q1136" s="162"/>
      <c r="R1136" s="164"/>
      <c r="S1136" s="62"/>
      <c r="T1136" s="63"/>
      <c r="U1136" s="62"/>
      <c r="V1136" s="177"/>
      <c r="W1136" s="171"/>
      <c r="X1136" s="62"/>
      <c r="Y1136" s="45"/>
      <c r="Z1136" s="44"/>
      <c r="AA1136" s="100"/>
      <c r="AB1136" s="100"/>
      <c r="AG1136" s="18">
        <v>25</v>
      </c>
      <c r="AH1136" s="69" t="s">
        <v>299</v>
      </c>
      <c r="AI1136" s="243" t="s">
        <v>142</v>
      </c>
      <c r="AJ1136" s="243" t="s">
        <v>419</v>
      </c>
      <c r="AK1136" s="246"/>
      <c r="AL1136" s="43" t="str">
        <f t="shared" si="293"/>
        <v>-</v>
      </c>
      <c r="AM1136" s="43">
        <f t="shared" si="281"/>
        <v>0</v>
      </c>
      <c r="AN1136" s="193">
        <f t="shared" si="281"/>
        <v>0</v>
      </c>
      <c r="AO1136" s="264" t="str">
        <f t="shared" si="282"/>
        <v>-</v>
      </c>
      <c r="AP1136" s="266"/>
      <c r="AQ1136" s="26" t="str">
        <f t="shared" si="289"/>
        <v>KLEEPTEE CREEKSteelhead</v>
      </c>
      <c r="AR1136" s="26">
        <f t="shared" si="283"/>
        <v>0</v>
      </c>
      <c r="AS1136" s="33">
        <f t="shared" si="284"/>
        <v>0</v>
      </c>
      <c r="AX1136" s="47" t="str">
        <f t="shared" si="285"/>
        <v>KLEEPTEE CREEKSteelhead</v>
      </c>
      <c r="AY1136" s="49">
        <f t="shared" si="286"/>
        <v>0</v>
      </c>
      <c r="AZ1136" s="49">
        <f t="shared" si="287"/>
        <v>0</v>
      </c>
      <c r="BA1136" s="31">
        <v>0</v>
      </c>
      <c r="BB1136" s="188">
        <f t="shared" si="290"/>
        <v>0</v>
      </c>
      <c r="BC1136" s="188" t="str">
        <f t="shared" si="294"/>
        <v xml:space="preserve"> </v>
      </c>
      <c r="BD1136" s="188" t="str">
        <f t="shared" si="295"/>
        <v xml:space="preserve"> </v>
      </c>
      <c r="BE1136" s="188" t="str">
        <f t="shared" si="296"/>
        <v xml:space="preserve"> </v>
      </c>
      <c r="BF1136" s="50" t="str">
        <f t="shared" si="288"/>
        <v>KLEEPTEE CREEK_Steelhead</v>
      </c>
      <c r="BG1136" s="50" t="str">
        <f>IFERROR(VLOOKUP(BF1136,'[1]WCVI Esc'!$C$5:$W$534,18,FALSE),"-")</f>
        <v>-</v>
      </c>
      <c r="BH1136" s="50" t="str">
        <f t="shared" si="291"/>
        <v>-</v>
      </c>
      <c r="BI1136" s="50" t="str">
        <f>IFERROR(VLOOKUP(BF1136,'[1]WCVI Esc'!$C$5:$W$534,19,FALSE),"-")</f>
        <v>-</v>
      </c>
      <c r="BJ1136" s="50" t="str">
        <f t="shared" si="292"/>
        <v>-</v>
      </c>
    </row>
    <row r="1137" spans="1:62" hidden="1" x14ac:dyDescent="0.2">
      <c r="A1137" s="28">
        <v>4</v>
      </c>
      <c r="B1137" s="28">
        <v>1</v>
      </c>
      <c r="C1137" s="11">
        <v>25</v>
      </c>
      <c r="D1137" s="13" t="s">
        <v>298</v>
      </c>
      <c r="E1137" s="10" t="s">
        <v>144</v>
      </c>
      <c r="F1137" s="10" t="s">
        <v>207</v>
      </c>
      <c r="G1137" s="10"/>
      <c r="H1137" s="152"/>
      <c r="I1137" s="164"/>
      <c r="J1137" s="94"/>
      <c r="K1137" s="62"/>
      <c r="L1137" s="177"/>
      <c r="M1137" s="176"/>
      <c r="N1137" s="106"/>
      <c r="O1137" s="62"/>
      <c r="P1137" s="62"/>
      <c r="Q1137" s="64"/>
      <c r="R1137" s="164"/>
      <c r="S1137" s="62"/>
      <c r="T1137" s="62"/>
      <c r="U1137" s="62"/>
      <c r="V1137" s="177"/>
      <c r="W1137" s="171"/>
      <c r="X1137" s="62"/>
      <c r="Y1137" s="45"/>
      <c r="Z1137" s="45"/>
      <c r="AA1137" s="100">
        <f>Y1137/AP1137</f>
        <v>0</v>
      </c>
      <c r="AB1137" s="100">
        <f>AS1137/AP1137</f>
        <v>0</v>
      </c>
      <c r="AC1137" s="24"/>
      <c r="AD1137" s="24"/>
      <c r="AE1137" s="24"/>
      <c r="AF1137" s="24"/>
      <c r="AG1137" s="18">
        <v>25</v>
      </c>
      <c r="AH1137" s="69" t="s">
        <v>298</v>
      </c>
      <c r="AI1137" s="243" t="s">
        <v>144</v>
      </c>
      <c r="AJ1137" s="243" t="s">
        <v>419</v>
      </c>
      <c r="AK1137" s="246"/>
      <c r="AL1137" s="43" t="str">
        <f t="shared" si="293"/>
        <v>-</v>
      </c>
      <c r="AM1137" s="43">
        <f t="shared" si="281"/>
        <v>0</v>
      </c>
      <c r="AN1137" s="193">
        <f t="shared" si="281"/>
        <v>0</v>
      </c>
      <c r="AO1137" s="270" t="str">
        <f t="shared" si="282"/>
        <v>-</v>
      </c>
      <c r="AP1137" s="265">
        <f>BJ1137</f>
        <v>10</v>
      </c>
      <c r="AQ1137" s="26" t="str">
        <f t="shared" si="289"/>
        <v>LORD CREEKSockeye</v>
      </c>
      <c r="AR1137" s="26">
        <f t="shared" si="283"/>
        <v>0</v>
      </c>
      <c r="AS1137" s="33">
        <f t="shared" si="284"/>
        <v>0</v>
      </c>
      <c r="AX1137" s="47" t="str">
        <f t="shared" si="285"/>
        <v>LORD CREEKSockeye</v>
      </c>
      <c r="AY1137" s="49">
        <f t="shared" si="286"/>
        <v>0</v>
      </c>
      <c r="AZ1137" s="49">
        <f t="shared" si="287"/>
        <v>0</v>
      </c>
      <c r="BA1137" s="31">
        <v>2011</v>
      </c>
      <c r="BB1137" s="188">
        <f t="shared" si="290"/>
        <v>0</v>
      </c>
      <c r="BC1137" s="188" t="str">
        <f t="shared" si="294"/>
        <v xml:space="preserve"> </v>
      </c>
      <c r="BD1137" s="188" t="str">
        <f t="shared" si="295"/>
        <v xml:space="preserve"> </v>
      </c>
      <c r="BE1137" s="188" t="str">
        <f t="shared" si="296"/>
        <v xml:space="preserve"> </v>
      </c>
      <c r="BF1137" s="50" t="str">
        <f t="shared" si="288"/>
        <v>LORD CREEK_Sockeye</v>
      </c>
      <c r="BG1137" s="50" t="str">
        <f>IFERROR(VLOOKUP(BF1137,'[1]WCVI Esc'!$C$5:$W$514,18,FALSE),"-")</f>
        <v>-</v>
      </c>
      <c r="BH1137" s="50" t="str">
        <f t="shared" si="291"/>
        <v>-</v>
      </c>
      <c r="BI1137" s="50">
        <f>IFERROR(VLOOKUP(BF1137,'[1]WCVI Esc'!$C$5:$W$514,19,FALSE),"-")</f>
        <v>8</v>
      </c>
      <c r="BJ1137" s="50">
        <f t="shared" si="292"/>
        <v>10</v>
      </c>
    </row>
    <row r="1138" spans="1:62" hidden="1" x14ac:dyDescent="0.2">
      <c r="A1138" s="28">
        <v>4</v>
      </c>
      <c r="B1138" s="28">
        <v>2</v>
      </c>
      <c r="C1138" s="11">
        <v>25</v>
      </c>
      <c r="D1138" s="13" t="s">
        <v>298</v>
      </c>
      <c r="E1138" s="10" t="s">
        <v>144</v>
      </c>
      <c r="F1138" s="10" t="s">
        <v>219</v>
      </c>
      <c r="G1138" s="10"/>
      <c r="H1138" s="152"/>
      <c r="I1138" s="164"/>
      <c r="J1138" s="94"/>
      <c r="K1138" s="62"/>
      <c r="L1138" s="177"/>
      <c r="M1138" s="176"/>
      <c r="N1138" s="106"/>
      <c r="O1138" s="62"/>
      <c r="P1138" s="62"/>
      <c r="Q1138" s="64"/>
      <c r="R1138" s="164"/>
      <c r="S1138" s="62"/>
      <c r="T1138" s="62"/>
      <c r="U1138" s="62"/>
      <c r="V1138" s="177"/>
      <c r="W1138" s="171"/>
      <c r="X1138" s="62"/>
      <c r="Y1138" s="45"/>
      <c r="Z1138" s="45"/>
      <c r="AA1138" s="100">
        <f>Y1138/AP1138</f>
        <v>0</v>
      </c>
      <c r="AB1138" s="100">
        <f>AS1138/AP1138</f>
        <v>0</v>
      </c>
      <c r="AC1138" s="24"/>
      <c r="AD1138" s="24"/>
      <c r="AE1138" s="24"/>
      <c r="AF1138" s="24"/>
      <c r="AG1138" s="18">
        <v>25</v>
      </c>
      <c r="AH1138" s="69" t="s">
        <v>298</v>
      </c>
      <c r="AI1138" s="243" t="s">
        <v>144</v>
      </c>
      <c r="AJ1138" s="243" t="s">
        <v>419</v>
      </c>
      <c r="AK1138" s="246"/>
      <c r="AL1138" s="43" t="str">
        <f t="shared" si="293"/>
        <v>-</v>
      </c>
      <c r="AM1138" s="43">
        <f t="shared" si="281"/>
        <v>0</v>
      </c>
      <c r="AN1138" s="193">
        <f t="shared" si="281"/>
        <v>0</v>
      </c>
      <c r="AO1138" s="270" t="str">
        <f t="shared" si="282"/>
        <v>-</v>
      </c>
      <c r="AP1138" s="265">
        <f>BJ1138</f>
        <v>210</v>
      </c>
      <c r="AQ1138" s="26" t="str">
        <f t="shared" si="289"/>
        <v>LORD CREEKCoho</v>
      </c>
      <c r="AR1138" s="26">
        <f t="shared" si="283"/>
        <v>0</v>
      </c>
      <c r="AS1138" s="33">
        <f t="shared" si="284"/>
        <v>0</v>
      </c>
      <c r="AX1138" s="47" t="str">
        <f t="shared" si="285"/>
        <v>LORD CREEKCoho</v>
      </c>
      <c r="AY1138" s="49">
        <f t="shared" si="286"/>
        <v>0</v>
      </c>
      <c r="AZ1138" s="49">
        <f t="shared" si="287"/>
        <v>0</v>
      </c>
      <c r="BA1138" s="31">
        <v>2011</v>
      </c>
      <c r="BB1138" s="188">
        <f t="shared" si="290"/>
        <v>0</v>
      </c>
      <c r="BC1138" s="188" t="str">
        <f t="shared" si="294"/>
        <v xml:space="preserve"> </v>
      </c>
      <c r="BD1138" s="188" t="str">
        <f t="shared" si="295"/>
        <v xml:space="preserve"> </v>
      </c>
      <c r="BE1138" s="188" t="str">
        <f t="shared" si="296"/>
        <v xml:space="preserve"> </v>
      </c>
      <c r="BF1138" s="50" t="str">
        <f t="shared" si="288"/>
        <v>LORD CREEK_Coho</v>
      </c>
      <c r="BG1138" s="50" t="str">
        <f>IFERROR(VLOOKUP(BF1138,'[1]WCVI Esc'!$C$5:$W$514,18,FALSE),"-")</f>
        <v>-</v>
      </c>
      <c r="BH1138" s="50" t="str">
        <f t="shared" si="291"/>
        <v>-</v>
      </c>
      <c r="BI1138" s="50">
        <f>IFERROR(VLOOKUP(BF1138,'[1]WCVI Esc'!$C$5:$W$514,19,FALSE),"-")</f>
        <v>205</v>
      </c>
      <c r="BJ1138" s="50">
        <f t="shared" si="292"/>
        <v>210</v>
      </c>
    </row>
    <row r="1139" spans="1:62" hidden="1" x14ac:dyDescent="0.2">
      <c r="A1139" s="28">
        <v>4</v>
      </c>
      <c r="B1139" s="28">
        <v>3</v>
      </c>
      <c r="C1139" s="11">
        <v>25</v>
      </c>
      <c r="D1139" s="13" t="s">
        <v>298</v>
      </c>
      <c r="E1139" s="10" t="s">
        <v>144</v>
      </c>
      <c r="F1139" s="10" t="s">
        <v>208</v>
      </c>
      <c r="G1139" s="10"/>
      <c r="H1139" s="152"/>
      <c r="I1139" s="164"/>
      <c r="J1139" s="94"/>
      <c r="K1139" s="62"/>
      <c r="L1139" s="177"/>
      <c r="M1139" s="176"/>
      <c r="N1139" s="106"/>
      <c r="O1139" s="62"/>
      <c r="P1139" s="62"/>
      <c r="Q1139" s="64"/>
      <c r="R1139" s="164"/>
      <c r="S1139" s="62"/>
      <c r="T1139" s="62"/>
      <c r="U1139" s="62"/>
      <c r="V1139" s="177"/>
      <c r="W1139" s="171"/>
      <c r="X1139" s="62"/>
      <c r="Y1139" s="45"/>
      <c r="Z1139" s="45"/>
      <c r="AA1139" s="100"/>
      <c r="AB1139" s="100"/>
      <c r="AC1139" s="24"/>
      <c r="AD1139" s="24"/>
      <c r="AE1139" s="24"/>
      <c r="AF1139" s="24"/>
      <c r="AG1139" s="18">
        <v>25</v>
      </c>
      <c r="AH1139" s="69" t="s">
        <v>298</v>
      </c>
      <c r="AI1139" s="243" t="s">
        <v>144</v>
      </c>
      <c r="AJ1139" s="243" t="s">
        <v>419</v>
      </c>
      <c r="AK1139" s="246"/>
      <c r="AL1139" s="43" t="str">
        <f t="shared" si="293"/>
        <v>-</v>
      </c>
      <c r="AM1139" s="43">
        <f t="shared" si="281"/>
        <v>0</v>
      </c>
      <c r="AN1139" s="193">
        <f t="shared" si="281"/>
        <v>0</v>
      </c>
      <c r="AO1139" s="270" t="str">
        <f t="shared" si="282"/>
        <v>-</v>
      </c>
      <c r="AP1139" s="266"/>
      <c r="AQ1139" s="26" t="str">
        <f t="shared" si="289"/>
        <v>LORD CREEKPink</v>
      </c>
      <c r="AR1139" s="26">
        <f t="shared" si="283"/>
        <v>0</v>
      </c>
      <c r="AS1139" s="33">
        <f t="shared" si="284"/>
        <v>0</v>
      </c>
      <c r="AX1139" s="47" t="str">
        <f t="shared" si="285"/>
        <v>LORD CREEKPink</v>
      </c>
      <c r="AY1139" s="49">
        <f t="shared" si="286"/>
        <v>0</v>
      </c>
      <c r="AZ1139" s="49">
        <f t="shared" si="287"/>
        <v>0</v>
      </c>
      <c r="BA1139" s="31">
        <v>0</v>
      </c>
      <c r="BB1139" s="188">
        <f t="shared" si="290"/>
        <v>0</v>
      </c>
      <c r="BC1139" s="188" t="str">
        <f t="shared" si="294"/>
        <v xml:space="preserve"> </v>
      </c>
      <c r="BD1139" s="188" t="str">
        <f t="shared" si="295"/>
        <v xml:space="preserve"> </v>
      </c>
      <c r="BE1139" s="188" t="str">
        <f t="shared" si="296"/>
        <v xml:space="preserve"> </v>
      </c>
      <c r="BF1139" s="50" t="str">
        <f t="shared" si="288"/>
        <v>LORD CREEK_Pink</v>
      </c>
      <c r="BG1139" s="50" t="str">
        <f>IFERROR(VLOOKUP(BF1139,'[1]WCVI Esc'!$C$5:$W$514,18,FALSE),"-")</f>
        <v>-</v>
      </c>
      <c r="BH1139" s="50" t="str">
        <f t="shared" si="291"/>
        <v>-</v>
      </c>
      <c r="BI1139" s="50" t="str">
        <f>IFERROR(VLOOKUP(BF1139,'[1]WCVI Esc'!$C$5:$W$514,19,FALSE),"-")</f>
        <v>-</v>
      </c>
      <c r="BJ1139" s="50" t="str">
        <f t="shared" si="292"/>
        <v>-</v>
      </c>
    </row>
    <row r="1140" spans="1:62" hidden="1" x14ac:dyDescent="0.2">
      <c r="A1140" s="28">
        <v>4</v>
      </c>
      <c r="B1140" s="28">
        <v>4</v>
      </c>
      <c r="C1140" s="11">
        <v>25</v>
      </c>
      <c r="D1140" s="13" t="s">
        <v>298</v>
      </c>
      <c r="E1140" s="10" t="s">
        <v>144</v>
      </c>
      <c r="F1140" s="10" t="s">
        <v>209</v>
      </c>
      <c r="G1140" s="10"/>
      <c r="H1140" s="152"/>
      <c r="I1140" s="164"/>
      <c r="J1140" s="94"/>
      <c r="K1140" s="62"/>
      <c r="L1140" s="177"/>
      <c r="M1140" s="176"/>
      <c r="N1140" s="106"/>
      <c r="O1140" s="62"/>
      <c r="P1140" s="62"/>
      <c r="Q1140" s="64"/>
      <c r="R1140" s="164"/>
      <c r="S1140" s="62"/>
      <c r="T1140" s="62"/>
      <c r="U1140" s="62"/>
      <c r="V1140" s="177"/>
      <c r="W1140" s="171"/>
      <c r="X1140" s="62"/>
      <c r="Y1140" s="45"/>
      <c r="Z1140" s="45"/>
      <c r="AA1140" s="100">
        <f>Y1140/AP1140</f>
        <v>0</v>
      </c>
      <c r="AB1140" s="100">
        <f>AS1140/AP1140</f>
        <v>0</v>
      </c>
      <c r="AC1140" s="24"/>
      <c r="AD1140" s="24"/>
      <c r="AE1140" s="24"/>
      <c r="AF1140" s="24"/>
      <c r="AG1140" s="18">
        <v>25</v>
      </c>
      <c r="AH1140" s="69" t="s">
        <v>298</v>
      </c>
      <c r="AI1140" s="243" t="s">
        <v>144</v>
      </c>
      <c r="AJ1140" s="243" t="s">
        <v>419</v>
      </c>
      <c r="AK1140" s="246"/>
      <c r="AL1140" s="43" t="str">
        <f t="shared" si="293"/>
        <v>-</v>
      </c>
      <c r="AM1140" s="43">
        <f t="shared" si="281"/>
        <v>0</v>
      </c>
      <c r="AN1140" s="193">
        <f t="shared" si="281"/>
        <v>0</v>
      </c>
      <c r="AO1140" s="270" t="str">
        <f t="shared" si="282"/>
        <v>-</v>
      </c>
      <c r="AP1140" s="265">
        <f>BJ1140</f>
        <v>70</v>
      </c>
      <c r="AQ1140" s="26" t="str">
        <f t="shared" si="289"/>
        <v>LORD CREEKChum</v>
      </c>
      <c r="AR1140" s="26">
        <f t="shared" si="283"/>
        <v>0</v>
      </c>
      <c r="AS1140" s="33">
        <f t="shared" si="284"/>
        <v>0</v>
      </c>
      <c r="AX1140" s="47" t="str">
        <f t="shared" si="285"/>
        <v>LORD CREEKChum</v>
      </c>
      <c r="AY1140" s="49">
        <f t="shared" si="286"/>
        <v>0</v>
      </c>
      <c r="AZ1140" s="49">
        <f t="shared" si="287"/>
        <v>0</v>
      </c>
      <c r="BA1140" s="31">
        <v>2011</v>
      </c>
      <c r="BB1140" s="188">
        <f t="shared" si="290"/>
        <v>0</v>
      </c>
      <c r="BC1140" s="188" t="str">
        <f t="shared" si="294"/>
        <v xml:space="preserve"> </v>
      </c>
      <c r="BD1140" s="188" t="str">
        <f t="shared" si="295"/>
        <v xml:space="preserve"> </v>
      </c>
      <c r="BE1140" s="188" t="str">
        <f t="shared" si="296"/>
        <v xml:space="preserve"> </v>
      </c>
      <c r="BF1140" s="50" t="str">
        <f t="shared" si="288"/>
        <v>LORD CREEK_Chum</v>
      </c>
      <c r="BG1140" s="50" t="str">
        <f>IFERROR(VLOOKUP(BF1140,'[1]WCVI Esc'!$C$5:$W$514,18,FALSE),"-")</f>
        <v>-</v>
      </c>
      <c r="BH1140" s="50" t="str">
        <f t="shared" si="291"/>
        <v>-</v>
      </c>
      <c r="BI1140" s="50">
        <f>IFERROR(VLOOKUP(BF1140,'[1]WCVI Esc'!$C$5:$W$514,19,FALSE),"-")</f>
        <v>68</v>
      </c>
      <c r="BJ1140" s="50">
        <f t="shared" si="292"/>
        <v>70</v>
      </c>
    </row>
    <row r="1141" spans="1:62" x14ac:dyDescent="0.2">
      <c r="A1141" s="28">
        <v>4</v>
      </c>
      <c r="B1141" s="28">
        <v>5</v>
      </c>
      <c r="C1141" s="11">
        <v>25</v>
      </c>
      <c r="D1141" s="13" t="s">
        <v>298</v>
      </c>
      <c r="E1141" s="10" t="s">
        <v>144</v>
      </c>
      <c r="F1141" s="10" t="s">
        <v>210</v>
      </c>
      <c r="G1141" s="10"/>
      <c r="H1141" s="152"/>
      <c r="I1141" s="164"/>
      <c r="J1141" s="94"/>
      <c r="K1141" s="62"/>
      <c r="L1141" s="177"/>
      <c r="M1141" s="176"/>
      <c r="N1141" s="106"/>
      <c r="O1141" s="62"/>
      <c r="P1141" s="62"/>
      <c r="Q1141" s="64"/>
      <c r="R1141" s="164"/>
      <c r="S1141" s="62"/>
      <c r="T1141" s="62"/>
      <c r="U1141" s="62"/>
      <c r="V1141" s="177"/>
      <c r="W1141" s="171"/>
      <c r="X1141" s="62"/>
      <c r="Y1141" s="45"/>
      <c r="Z1141" s="45"/>
      <c r="AA1141" s="100"/>
      <c r="AB1141" s="100"/>
      <c r="AC1141" s="24"/>
      <c r="AD1141" s="24"/>
      <c r="AE1141" s="24"/>
      <c r="AF1141" s="24"/>
      <c r="AG1141" s="18">
        <v>25</v>
      </c>
      <c r="AH1141" s="69" t="s">
        <v>298</v>
      </c>
      <c r="AI1141" s="243" t="s">
        <v>144</v>
      </c>
      <c r="AJ1141" s="243" t="s">
        <v>419</v>
      </c>
      <c r="AK1141" s="246"/>
      <c r="AL1141" s="43" t="str">
        <f t="shared" si="293"/>
        <v>-</v>
      </c>
      <c r="AM1141" s="43">
        <f t="shared" si="281"/>
        <v>0</v>
      </c>
      <c r="AN1141" s="193">
        <f t="shared" si="281"/>
        <v>0</v>
      </c>
      <c r="AO1141" s="270" t="str">
        <f t="shared" si="282"/>
        <v>-</v>
      </c>
      <c r="AP1141" s="266"/>
      <c r="AQ1141" s="26" t="str">
        <f t="shared" si="289"/>
        <v>LORD CREEKChinook</v>
      </c>
      <c r="AR1141" s="26">
        <f t="shared" si="283"/>
        <v>0</v>
      </c>
      <c r="AS1141" s="33">
        <f t="shared" si="284"/>
        <v>0</v>
      </c>
      <c r="AX1141" s="47" t="str">
        <f t="shared" si="285"/>
        <v>LORD CREEKChinook</v>
      </c>
      <c r="AY1141" s="49">
        <f t="shared" si="286"/>
        <v>0</v>
      </c>
      <c r="AZ1141" s="49">
        <f t="shared" si="287"/>
        <v>0</v>
      </c>
      <c r="BA1141" s="31">
        <v>0</v>
      </c>
      <c r="BB1141" s="188">
        <f t="shared" si="290"/>
        <v>0</v>
      </c>
      <c r="BC1141" s="188" t="str">
        <f t="shared" si="294"/>
        <v xml:space="preserve"> </v>
      </c>
      <c r="BD1141" s="188" t="str">
        <f t="shared" si="295"/>
        <v xml:space="preserve"> </v>
      </c>
      <c r="BE1141" s="188" t="str">
        <f t="shared" si="296"/>
        <v xml:space="preserve"> </v>
      </c>
      <c r="BF1141" s="50" t="str">
        <f t="shared" si="288"/>
        <v>LORD CREEK_Chinook</v>
      </c>
      <c r="BG1141" s="50" t="str">
        <f>IFERROR(VLOOKUP(BF1141,'[1]WCVI Esc'!$C$5:$W$514,18,FALSE),"-")</f>
        <v>-</v>
      </c>
      <c r="BH1141" s="50" t="str">
        <f t="shared" si="291"/>
        <v>-</v>
      </c>
      <c r="BI1141" s="50" t="str">
        <f>IFERROR(VLOOKUP(BF1141,'[1]WCVI Esc'!$C$5:$W$514,19,FALSE),"-")</f>
        <v>-</v>
      </c>
      <c r="BJ1141" s="50" t="str">
        <f t="shared" si="292"/>
        <v>-</v>
      </c>
    </row>
    <row r="1142" spans="1:62" hidden="1" x14ac:dyDescent="0.2">
      <c r="A1142" s="28">
        <v>4</v>
      </c>
      <c r="B1142" s="28">
        <v>6</v>
      </c>
      <c r="C1142" s="11">
        <v>25</v>
      </c>
      <c r="D1142" s="13" t="s">
        <v>298</v>
      </c>
      <c r="E1142" s="10" t="s">
        <v>144</v>
      </c>
      <c r="F1142" s="10" t="s">
        <v>211</v>
      </c>
      <c r="G1142" s="10"/>
      <c r="H1142" s="152"/>
      <c r="I1142" s="164"/>
      <c r="J1142" s="94"/>
      <c r="K1142" s="62"/>
      <c r="L1142" s="177"/>
      <c r="M1142" s="176"/>
      <c r="N1142" s="106"/>
      <c r="O1142" s="62"/>
      <c r="P1142" s="62"/>
      <c r="Q1142" s="64"/>
      <c r="R1142" s="164"/>
      <c r="S1142" s="62"/>
      <c r="T1142" s="62"/>
      <c r="U1142" s="62"/>
      <c r="V1142" s="177"/>
      <c r="W1142" s="171"/>
      <c r="X1142" s="62"/>
      <c r="Y1142" s="45"/>
      <c r="Z1142" s="45"/>
      <c r="AA1142" s="100"/>
      <c r="AB1142" s="100"/>
      <c r="AC1142" s="24"/>
      <c r="AD1142" s="24"/>
      <c r="AE1142" s="24"/>
      <c r="AF1142" s="24"/>
      <c r="AG1142" s="18">
        <v>25</v>
      </c>
      <c r="AH1142" s="69" t="s">
        <v>298</v>
      </c>
      <c r="AI1142" s="243" t="s">
        <v>144</v>
      </c>
      <c r="AJ1142" s="243" t="s">
        <v>419</v>
      </c>
      <c r="AK1142" s="246"/>
      <c r="AL1142" s="43" t="str">
        <f t="shared" si="293"/>
        <v>-</v>
      </c>
      <c r="AM1142" s="43">
        <f t="shared" si="281"/>
        <v>0</v>
      </c>
      <c r="AN1142" s="193">
        <f t="shared" si="281"/>
        <v>0</v>
      </c>
      <c r="AO1142" s="270" t="str">
        <f t="shared" si="282"/>
        <v>-</v>
      </c>
      <c r="AP1142" s="266"/>
      <c r="AQ1142" s="26" t="str">
        <f t="shared" si="289"/>
        <v>LORD CREEKSteelhead</v>
      </c>
      <c r="AR1142" s="26">
        <f t="shared" si="283"/>
        <v>0</v>
      </c>
      <c r="AS1142" s="33">
        <f t="shared" si="284"/>
        <v>0</v>
      </c>
      <c r="AX1142" s="47" t="str">
        <f t="shared" si="285"/>
        <v>LORD CREEKSteelhead</v>
      </c>
      <c r="AY1142" s="49">
        <f t="shared" si="286"/>
        <v>0</v>
      </c>
      <c r="AZ1142" s="49">
        <f t="shared" si="287"/>
        <v>0</v>
      </c>
      <c r="BA1142" s="31">
        <v>0</v>
      </c>
      <c r="BB1142" s="188">
        <f t="shared" si="290"/>
        <v>0</v>
      </c>
      <c r="BC1142" s="188" t="str">
        <f t="shared" si="294"/>
        <v xml:space="preserve"> </v>
      </c>
      <c r="BD1142" s="188" t="str">
        <f t="shared" si="295"/>
        <v xml:space="preserve"> </v>
      </c>
      <c r="BE1142" s="188" t="str">
        <f t="shared" si="296"/>
        <v xml:space="preserve"> </v>
      </c>
      <c r="BF1142" s="50" t="str">
        <f t="shared" si="288"/>
        <v>LORD CREEK_Steelhead</v>
      </c>
      <c r="BG1142" s="50" t="str">
        <f>IFERROR(VLOOKUP(BF1142,'[1]WCVI Esc'!$C$5:$W$514,18,FALSE),"-")</f>
        <v>-</v>
      </c>
      <c r="BH1142" s="50" t="str">
        <f t="shared" si="291"/>
        <v>-</v>
      </c>
      <c r="BI1142" s="50" t="str">
        <f>IFERROR(VLOOKUP(BF1142,'[1]WCVI Esc'!$C$5:$W$514,19,FALSE),"-")</f>
        <v>-</v>
      </c>
      <c r="BJ1142" s="50" t="str">
        <f t="shared" si="292"/>
        <v>-</v>
      </c>
    </row>
    <row r="1143" spans="1:62" hidden="1" x14ac:dyDescent="0.2">
      <c r="A1143" s="28">
        <v>4</v>
      </c>
      <c r="B1143" s="28">
        <v>1</v>
      </c>
      <c r="C1143" s="11">
        <v>25</v>
      </c>
      <c r="D1143" s="13" t="s">
        <v>300</v>
      </c>
      <c r="E1143" s="10" t="s">
        <v>145</v>
      </c>
      <c r="F1143" s="10" t="s">
        <v>207</v>
      </c>
      <c r="G1143" s="10"/>
      <c r="H1143" s="152"/>
      <c r="I1143" s="164"/>
      <c r="J1143" s="94"/>
      <c r="K1143" s="62"/>
      <c r="L1143" s="177"/>
      <c r="M1143" s="176"/>
      <c r="N1143" s="106"/>
      <c r="O1143" s="62"/>
      <c r="P1143" s="62"/>
      <c r="Q1143" s="64"/>
      <c r="R1143" s="164"/>
      <c r="S1143" s="62"/>
      <c r="T1143" s="62"/>
      <c r="U1143" s="62"/>
      <c r="V1143" s="177"/>
      <c r="W1143" s="171"/>
      <c r="X1143" s="62"/>
      <c r="Y1143" s="45"/>
      <c r="Z1143" s="45"/>
      <c r="AA1143" s="100"/>
      <c r="AB1143" s="100"/>
      <c r="AC1143" s="24"/>
      <c r="AD1143" s="24"/>
      <c r="AE1143" s="24"/>
      <c r="AF1143" s="24"/>
      <c r="AG1143" s="18">
        <v>25</v>
      </c>
      <c r="AH1143" s="69" t="s">
        <v>300</v>
      </c>
      <c r="AI1143" s="243" t="s">
        <v>145</v>
      </c>
      <c r="AJ1143" s="243" t="s">
        <v>419</v>
      </c>
      <c r="AK1143" s="246"/>
      <c r="AL1143" s="43" t="str">
        <f t="shared" si="293"/>
        <v>-</v>
      </c>
      <c r="AM1143" s="43">
        <f t="shared" si="281"/>
        <v>0</v>
      </c>
      <c r="AN1143" s="193">
        <f t="shared" si="281"/>
        <v>0</v>
      </c>
      <c r="AO1143" s="270" t="str">
        <f t="shared" si="282"/>
        <v>-</v>
      </c>
      <c r="AP1143" s="266"/>
      <c r="AQ1143" s="26" t="str">
        <f t="shared" si="289"/>
        <v>MAMAT CREEKSockeye</v>
      </c>
      <c r="AR1143" s="26">
        <f t="shared" si="283"/>
        <v>0</v>
      </c>
      <c r="AS1143" s="33">
        <f t="shared" si="284"/>
        <v>0</v>
      </c>
      <c r="AX1143" s="47" t="str">
        <f t="shared" si="285"/>
        <v>MAMAT CREEKSockeye</v>
      </c>
      <c r="AY1143" s="49">
        <f t="shared" si="286"/>
        <v>0</v>
      </c>
      <c r="AZ1143" s="49">
        <f t="shared" si="287"/>
        <v>0</v>
      </c>
      <c r="BA1143" s="31">
        <v>0</v>
      </c>
      <c r="BB1143" s="188">
        <f t="shared" si="290"/>
        <v>0</v>
      </c>
      <c r="BC1143" s="188" t="str">
        <f t="shared" si="294"/>
        <v xml:space="preserve"> </v>
      </c>
      <c r="BD1143" s="188" t="str">
        <f t="shared" si="295"/>
        <v xml:space="preserve"> </v>
      </c>
      <c r="BE1143" s="188" t="str">
        <f t="shared" si="296"/>
        <v xml:space="preserve"> </v>
      </c>
      <c r="BF1143" s="50" t="str">
        <f t="shared" si="288"/>
        <v>MAMAT CREEK_Sockeye</v>
      </c>
      <c r="BG1143" s="50" t="str">
        <f>IFERROR(VLOOKUP(BF1143,'[1]WCVI Esc'!$C$5:$W$514,18,FALSE),"-")</f>
        <v>-</v>
      </c>
      <c r="BH1143" s="50" t="str">
        <f t="shared" si="291"/>
        <v>-</v>
      </c>
      <c r="BI1143" s="50" t="str">
        <f>IFERROR(VLOOKUP(BF1143,'[1]WCVI Esc'!$C$5:$W$514,19,FALSE),"-")</f>
        <v>-</v>
      </c>
      <c r="BJ1143" s="50" t="str">
        <f t="shared" si="292"/>
        <v>-</v>
      </c>
    </row>
    <row r="1144" spans="1:62" hidden="1" x14ac:dyDescent="0.2">
      <c r="A1144" s="28">
        <v>4</v>
      </c>
      <c r="B1144" s="28">
        <v>2</v>
      </c>
      <c r="C1144" s="11">
        <v>25</v>
      </c>
      <c r="D1144" s="13" t="s">
        <v>300</v>
      </c>
      <c r="E1144" s="10" t="s">
        <v>145</v>
      </c>
      <c r="F1144" s="10" t="s">
        <v>219</v>
      </c>
      <c r="G1144" s="10"/>
      <c r="H1144" s="152"/>
      <c r="I1144" s="164"/>
      <c r="J1144" s="94"/>
      <c r="K1144" s="62"/>
      <c r="L1144" s="177"/>
      <c r="M1144" s="176"/>
      <c r="N1144" s="106"/>
      <c r="O1144" s="62"/>
      <c r="P1144" s="62"/>
      <c r="Q1144" s="64"/>
      <c r="R1144" s="164"/>
      <c r="S1144" s="62"/>
      <c r="T1144" s="62"/>
      <c r="U1144" s="62"/>
      <c r="V1144" s="177"/>
      <c r="W1144" s="171"/>
      <c r="X1144" s="62"/>
      <c r="Y1144" s="45"/>
      <c r="Z1144" s="45"/>
      <c r="AA1144" s="100">
        <f>Y1144/AP1144</f>
        <v>0</v>
      </c>
      <c r="AB1144" s="100">
        <f>AS1144/AP1144</f>
        <v>0</v>
      </c>
      <c r="AC1144" s="24"/>
      <c r="AD1144" s="24"/>
      <c r="AE1144" s="24"/>
      <c r="AF1144" s="24"/>
      <c r="AG1144" s="18">
        <v>25</v>
      </c>
      <c r="AH1144" s="69" t="s">
        <v>300</v>
      </c>
      <c r="AI1144" s="243" t="s">
        <v>145</v>
      </c>
      <c r="AJ1144" s="243" t="s">
        <v>419</v>
      </c>
      <c r="AK1144" s="246"/>
      <c r="AL1144" s="43" t="str">
        <f t="shared" si="293"/>
        <v>-</v>
      </c>
      <c r="AM1144" s="43">
        <f t="shared" si="281"/>
        <v>0</v>
      </c>
      <c r="AN1144" s="193">
        <f t="shared" si="281"/>
        <v>0</v>
      </c>
      <c r="AO1144" s="270" t="str">
        <f t="shared" si="282"/>
        <v>-</v>
      </c>
      <c r="AP1144" s="265">
        <f>BJ1144</f>
        <v>120</v>
      </c>
      <c r="AQ1144" s="26" t="str">
        <f t="shared" si="289"/>
        <v>MAMAT CREEKCoho</v>
      </c>
      <c r="AR1144" s="26">
        <f t="shared" si="283"/>
        <v>0</v>
      </c>
      <c r="AS1144" s="33">
        <f t="shared" si="284"/>
        <v>0</v>
      </c>
      <c r="AX1144" s="47" t="str">
        <f t="shared" si="285"/>
        <v>MAMAT CREEKCoho</v>
      </c>
      <c r="AY1144" s="49">
        <f t="shared" si="286"/>
        <v>0</v>
      </c>
      <c r="AZ1144" s="49">
        <f t="shared" si="287"/>
        <v>0</v>
      </c>
      <c r="BA1144" s="31">
        <v>2011</v>
      </c>
      <c r="BB1144" s="188">
        <f t="shared" si="290"/>
        <v>0</v>
      </c>
      <c r="BC1144" s="188" t="str">
        <f t="shared" si="294"/>
        <v xml:space="preserve"> </v>
      </c>
      <c r="BD1144" s="188" t="str">
        <f t="shared" si="295"/>
        <v xml:space="preserve"> </v>
      </c>
      <c r="BE1144" s="188" t="str">
        <f t="shared" si="296"/>
        <v xml:space="preserve"> </v>
      </c>
      <c r="BF1144" s="50" t="str">
        <f t="shared" si="288"/>
        <v>MAMAT CREEK_Coho</v>
      </c>
      <c r="BG1144" s="50" t="str">
        <f>IFERROR(VLOOKUP(BF1144,'[1]WCVI Esc'!$C$5:$W$514,18,FALSE),"-")</f>
        <v>-</v>
      </c>
      <c r="BH1144" s="50" t="str">
        <f t="shared" si="291"/>
        <v>-</v>
      </c>
      <c r="BI1144" s="50">
        <f>IFERROR(VLOOKUP(BF1144,'[1]WCVI Esc'!$C$5:$W$514,19,FALSE),"-")</f>
        <v>117.5</v>
      </c>
      <c r="BJ1144" s="50">
        <f t="shared" si="292"/>
        <v>120</v>
      </c>
    </row>
    <row r="1145" spans="1:62" hidden="1" x14ac:dyDescent="0.2">
      <c r="A1145" s="28">
        <v>4</v>
      </c>
      <c r="B1145" s="28">
        <v>3</v>
      </c>
      <c r="C1145" s="11">
        <v>25</v>
      </c>
      <c r="D1145" s="13" t="s">
        <v>300</v>
      </c>
      <c r="E1145" s="10" t="s">
        <v>145</v>
      </c>
      <c r="F1145" s="10" t="s">
        <v>208</v>
      </c>
      <c r="G1145" s="10"/>
      <c r="H1145" s="152"/>
      <c r="I1145" s="164"/>
      <c r="J1145" s="94"/>
      <c r="K1145" s="62"/>
      <c r="L1145" s="177"/>
      <c r="M1145" s="176"/>
      <c r="N1145" s="106"/>
      <c r="O1145" s="62"/>
      <c r="P1145" s="62"/>
      <c r="Q1145" s="64"/>
      <c r="R1145" s="164"/>
      <c r="S1145" s="62"/>
      <c r="T1145" s="62"/>
      <c r="U1145" s="62"/>
      <c r="V1145" s="177"/>
      <c r="W1145" s="171"/>
      <c r="X1145" s="62"/>
      <c r="Y1145" s="45"/>
      <c r="Z1145" s="45"/>
      <c r="AA1145" s="100"/>
      <c r="AB1145" s="100"/>
      <c r="AC1145" s="24"/>
      <c r="AD1145" s="24"/>
      <c r="AE1145" s="24"/>
      <c r="AF1145" s="24"/>
      <c r="AG1145" s="18">
        <v>25</v>
      </c>
      <c r="AH1145" s="69" t="s">
        <v>300</v>
      </c>
      <c r="AI1145" s="243" t="s">
        <v>145</v>
      </c>
      <c r="AJ1145" s="243" t="s">
        <v>419</v>
      </c>
      <c r="AK1145" s="246"/>
      <c r="AL1145" s="43" t="str">
        <f t="shared" si="293"/>
        <v>-</v>
      </c>
      <c r="AM1145" s="43">
        <f t="shared" si="281"/>
        <v>0</v>
      </c>
      <c r="AN1145" s="193">
        <f t="shared" si="281"/>
        <v>0</v>
      </c>
      <c r="AO1145" s="270" t="str">
        <f t="shared" si="282"/>
        <v>-</v>
      </c>
      <c r="AP1145" s="266"/>
      <c r="AQ1145" s="26" t="str">
        <f t="shared" si="289"/>
        <v>MAMAT CREEKPink</v>
      </c>
      <c r="AR1145" s="26">
        <f t="shared" si="283"/>
        <v>0</v>
      </c>
      <c r="AS1145" s="33">
        <f t="shared" si="284"/>
        <v>0</v>
      </c>
      <c r="AX1145" s="47" t="str">
        <f t="shared" si="285"/>
        <v>MAMAT CREEKPink</v>
      </c>
      <c r="AY1145" s="49">
        <f t="shared" si="286"/>
        <v>0</v>
      </c>
      <c r="AZ1145" s="49">
        <f t="shared" si="287"/>
        <v>0</v>
      </c>
      <c r="BA1145" s="31">
        <v>0</v>
      </c>
      <c r="BB1145" s="188">
        <f t="shared" si="290"/>
        <v>0</v>
      </c>
      <c r="BC1145" s="188" t="str">
        <f t="shared" si="294"/>
        <v xml:space="preserve"> </v>
      </c>
      <c r="BD1145" s="188" t="str">
        <f t="shared" si="295"/>
        <v xml:space="preserve"> </v>
      </c>
      <c r="BE1145" s="188" t="str">
        <f t="shared" si="296"/>
        <v xml:space="preserve"> </v>
      </c>
      <c r="BF1145" s="50" t="str">
        <f t="shared" si="288"/>
        <v>MAMAT CREEK_Pink</v>
      </c>
      <c r="BG1145" s="50" t="str">
        <f>IFERROR(VLOOKUP(BF1145,'[1]WCVI Esc'!$C$5:$W$514,18,FALSE),"-")</f>
        <v>-</v>
      </c>
      <c r="BH1145" s="50" t="str">
        <f t="shared" si="291"/>
        <v>-</v>
      </c>
      <c r="BI1145" s="50" t="str">
        <f>IFERROR(VLOOKUP(BF1145,'[1]WCVI Esc'!$C$5:$W$514,19,FALSE),"-")</f>
        <v>-</v>
      </c>
      <c r="BJ1145" s="50" t="str">
        <f t="shared" si="292"/>
        <v>-</v>
      </c>
    </row>
    <row r="1146" spans="1:62" hidden="1" x14ac:dyDescent="0.2">
      <c r="A1146" s="28">
        <v>4</v>
      </c>
      <c r="B1146" s="28">
        <v>4</v>
      </c>
      <c r="C1146" s="11">
        <v>25</v>
      </c>
      <c r="D1146" s="13" t="s">
        <v>300</v>
      </c>
      <c r="E1146" s="10" t="s">
        <v>145</v>
      </c>
      <c r="F1146" s="10" t="s">
        <v>209</v>
      </c>
      <c r="G1146" s="10"/>
      <c r="H1146" s="152"/>
      <c r="I1146" s="164"/>
      <c r="J1146" s="94"/>
      <c r="K1146" s="62"/>
      <c r="L1146" s="177"/>
      <c r="M1146" s="176"/>
      <c r="N1146" s="106"/>
      <c r="O1146" s="62"/>
      <c r="P1146" s="62"/>
      <c r="Q1146" s="64"/>
      <c r="R1146" s="164"/>
      <c r="S1146" s="62"/>
      <c r="T1146" s="62"/>
      <c r="U1146" s="62"/>
      <c r="V1146" s="177"/>
      <c r="W1146" s="171"/>
      <c r="X1146" s="62"/>
      <c r="Y1146" s="45"/>
      <c r="Z1146" s="45"/>
      <c r="AA1146" s="100">
        <f>Y1146/AP1146</f>
        <v>0</v>
      </c>
      <c r="AB1146" s="100">
        <f>AS1146/AP1146</f>
        <v>0</v>
      </c>
      <c r="AC1146" s="24"/>
      <c r="AD1146" s="24"/>
      <c r="AE1146" s="24"/>
      <c r="AF1146" s="24"/>
      <c r="AG1146" s="18">
        <v>25</v>
      </c>
      <c r="AH1146" s="69" t="s">
        <v>300</v>
      </c>
      <c r="AI1146" s="243" t="s">
        <v>145</v>
      </c>
      <c r="AJ1146" s="243" t="s">
        <v>419</v>
      </c>
      <c r="AK1146" s="246"/>
      <c r="AL1146" s="43" t="str">
        <f t="shared" si="293"/>
        <v>-</v>
      </c>
      <c r="AM1146" s="43">
        <f t="shared" si="281"/>
        <v>0</v>
      </c>
      <c r="AN1146" s="193">
        <f t="shared" si="281"/>
        <v>0</v>
      </c>
      <c r="AO1146" s="270" t="str">
        <f t="shared" si="282"/>
        <v>-</v>
      </c>
      <c r="AP1146" s="265">
        <f>BJ1146</f>
        <v>1700</v>
      </c>
      <c r="AQ1146" s="26" t="str">
        <f t="shared" si="289"/>
        <v>MAMAT CREEKChum</v>
      </c>
      <c r="AR1146" s="26">
        <f t="shared" si="283"/>
        <v>0</v>
      </c>
      <c r="AS1146" s="33">
        <f t="shared" si="284"/>
        <v>0</v>
      </c>
      <c r="AX1146" s="47" t="str">
        <f t="shared" si="285"/>
        <v>MAMAT CREEKChum</v>
      </c>
      <c r="AY1146" s="49">
        <f t="shared" si="286"/>
        <v>0</v>
      </c>
      <c r="AZ1146" s="49">
        <f t="shared" si="287"/>
        <v>0</v>
      </c>
      <c r="BA1146" s="31">
        <v>2011</v>
      </c>
      <c r="BB1146" s="188">
        <f t="shared" si="290"/>
        <v>0</v>
      </c>
      <c r="BC1146" s="188" t="str">
        <f t="shared" si="294"/>
        <v xml:space="preserve"> </v>
      </c>
      <c r="BD1146" s="188" t="str">
        <f t="shared" si="295"/>
        <v xml:space="preserve"> </v>
      </c>
      <c r="BE1146" s="188" t="str">
        <f t="shared" si="296"/>
        <v xml:space="preserve"> </v>
      </c>
      <c r="BF1146" s="50" t="str">
        <f t="shared" si="288"/>
        <v>MAMAT CREEK_Chum</v>
      </c>
      <c r="BG1146" s="50" t="str">
        <f>IFERROR(VLOOKUP(BF1146,'[1]WCVI Esc'!$C$5:$W$514,18,FALSE),"-")</f>
        <v>-</v>
      </c>
      <c r="BH1146" s="50" t="str">
        <f t="shared" si="291"/>
        <v>-</v>
      </c>
      <c r="BI1146" s="50">
        <f>IFERROR(VLOOKUP(BF1146,'[1]WCVI Esc'!$C$5:$W$514,19,FALSE),"-")</f>
        <v>1698.5</v>
      </c>
      <c r="BJ1146" s="50">
        <f t="shared" si="292"/>
        <v>1700</v>
      </c>
    </row>
    <row r="1147" spans="1:62" x14ac:dyDescent="0.2">
      <c r="A1147" s="28">
        <v>4</v>
      </c>
      <c r="B1147" s="28">
        <v>5</v>
      </c>
      <c r="C1147" s="11">
        <v>25</v>
      </c>
      <c r="D1147" s="13" t="s">
        <v>300</v>
      </c>
      <c r="E1147" s="10" t="s">
        <v>145</v>
      </c>
      <c r="F1147" s="10" t="s">
        <v>210</v>
      </c>
      <c r="G1147" s="10"/>
      <c r="H1147" s="152"/>
      <c r="I1147" s="164"/>
      <c r="J1147" s="94"/>
      <c r="K1147" s="62"/>
      <c r="L1147" s="177"/>
      <c r="M1147" s="176"/>
      <c r="N1147" s="106"/>
      <c r="O1147" s="62"/>
      <c r="P1147" s="62"/>
      <c r="Q1147" s="64"/>
      <c r="R1147" s="164"/>
      <c r="S1147" s="62"/>
      <c r="T1147" s="62"/>
      <c r="U1147" s="62"/>
      <c r="V1147" s="177"/>
      <c r="W1147" s="171"/>
      <c r="X1147" s="62"/>
      <c r="Y1147" s="45"/>
      <c r="Z1147" s="45"/>
      <c r="AA1147" s="100"/>
      <c r="AB1147" s="100"/>
      <c r="AC1147" s="24"/>
      <c r="AD1147" s="24"/>
      <c r="AE1147" s="24"/>
      <c r="AF1147" s="24"/>
      <c r="AG1147" s="18">
        <v>25</v>
      </c>
      <c r="AH1147" s="69" t="s">
        <v>300</v>
      </c>
      <c r="AI1147" s="243" t="s">
        <v>145</v>
      </c>
      <c r="AJ1147" s="243" t="s">
        <v>419</v>
      </c>
      <c r="AK1147" s="246"/>
      <c r="AL1147" s="43" t="str">
        <f t="shared" si="293"/>
        <v>-</v>
      </c>
      <c r="AM1147" s="43">
        <f t="shared" si="281"/>
        <v>0</v>
      </c>
      <c r="AN1147" s="193">
        <f t="shared" si="281"/>
        <v>0</v>
      </c>
      <c r="AO1147" s="270" t="str">
        <f t="shared" si="282"/>
        <v>-</v>
      </c>
      <c r="AP1147" s="266"/>
      <c r="AQ1147" s="26" t="str">
        <f t="shared" si="289"/>
        <v>MAMAT CREEKChinook</v>
      </c>
      <c r="AR1147" s="26">
        <f t="shared" si="283"/>
        <v>0</v>
      </c>
      <c r="AS1147" s="33">
        <f t="shared" si="284"/>
        <v>0</v>
      </c>
      <c r="AX1147" s="47" t="str">
        <f t="shared" si="285"/>
        <v>MAMAT CREEKChinook</v>
      </c>
      <c r="AY1147" s="49">
        <f t="shared" si="286"/>
        <v>0</v>
      </c>
      <c r="AZ1147" s="49">
        <f t="shared" si="287"/>
        <v>0</v>
      </c>
      <c r="BA1147" s="31">
        <v>1975</v>
      </c>
      <c r="BB1147" s="188">
        <f t="shared" si="290"/>
        <v>0</v>
      </c>
      <c r="BC1147" s="188" t="str">
        <f t="shared" si="294"/>
        <v xml:space="preserve"> </v>
      </c>
      <c r="BD1147" s="188" t="str">
        <f t="shared" si="295"/>
        <v xml:space="preserve"> </v>
      </c>
      <c r="BE1147" s="188" t="str">
        <f t="shared" si="296"/>
        <v xml:space="preserve"> </v>
      </c>
      <c r="BF1147" s="50" t="str">
        <f t="shared" si="288"/>
        <v>MAMAT CREEK_Chinook</v>
      </c>
      <c r="BG1147" s="50" t="str">
        <f>IFERROR(VLOOKUP(BF1147,'[1]WCVI Esc'!$C$5:$W$514,18,FALSE),"-")</f>
        <v>-</v>
      </c>
      <c r="BH1147" s="50" t="str">
        <f t="shared" si="291"/>
        <v>-</v>
      </c>
      <c r="BI1147" s="50" t="str">
        <f>IFERROR(VLOOKUP(BF1147,'[1]WCVI Esc'!$C$5:$W$514,19,FALSE),"-")</f>
        <v>-</v>
      </c>
      <c r="BJ1147" s="50" t="str">
        <f t="shared" si="292"/>
        <v>-</v>
      </c>
    </row>
    <row r="1148" spans="1:62" hidden="1" x14ac:dyDescent="0.2">
      <c r="A1148" s="28">
        <v>4</v>
      </c>
      <c r="B1148" s="28">
        <v>6</v>
      </c>
      <c r="C1148" s="11">
        <v>25</v>
      </c>
      <c r="D1148" s="13" t="s">
        <v>300</v>
      </c>
      <c r="E1148" s="10" t="s">
        <v>145</v>
      </c>
      <c r="F1148" s="10" t="s">
        <v>211</v>
      </c>
      <c r="G1148" s="10"/>
      <c r="H1148" s="152"/>
      <c r="I1148" s="164"/>
      <c r="J1148" s="94"/>
      <c r="K1148" s="62"/>
      <c r="L1148" s="177"/>
      <c r="M1148" s="176"/>
      <c r="N1148" s="106"/>
      <c r="O1148" s="62"/>
      <c r="P1148" s="62"/>
      <c r="Q1148" s="64"/>
      <c r="R1148" s="164"/>
      <c r="S1148" s="62"/>
      <c r="T1148" s="62"/>
      <c r="U1148" s="62"/>
      <c r="V1148" s="177"/>
      <c r="W1148" s="171"/>
      <c r="X1148" s="62"/>
      <c r="Y1148" s="45"/>
      <c r="Z1148" s="45"/>
      <c r="AA1148" s="100"/>
      <c r="AB1148" s="100"/>
      <c r="AC1148" s="24"/>
      <c r="AD1148" s="24"/>
      <c r="AE1148" s="24"/>
      <c r="AF1148" s="24"/>
      <c r="AG1148" s="18">
        <v>25</v>
      </c>
      <c r="AH1148" s="69" t="s">
        <v>300</v>
      </c>
      <c r="AI1148" s="243" t="s">
        <v>145</v>
      </c>
      <c r="AJ1148" s="243" t="s">
        <v>419</v>
      </c>
      <c r="AK1148" s="246"/>
      <c r="AL1148" s="43" t="str">
        <f t="shared" si="293"/>
        <v>-</v>
      </c>
      <c r="AM1148" s="43">
        <f t="shared" si="281"/>
        <v>0</v>
      </c>
      <c r="AN1148" s="193">
        <f t="shared" si="281"/>
        <v>0</v>
      </c>
      <c r="AO1148" s="270" t="str">
        <f t="shared" si="282"/>
        <v>-</v>
      </c>
      <c r="AP1148" s="266"/>
      <c r="AQ1148" s="26" t="str">
        <f t="shared" si="289"/>
        <v>MAMAT CREEKSteelhead</v>
      </c>
      <c r="AR1148" s="26">
        <f t="shared" si="283"/>
        <v>0</v>
      </c>
      <c r="AS1148" s="33">
        <f t="shared" si="284"/>
        <v>0</v>
      </c>
      <c r="AX1148" s="47" t="str">
        <f t="shared" si="285"/>
        <v>MAMAT CREEKSteelhead</v>
      </c>
      <c r="AY1148" s="49">
        <f t="shared" si="286"/>
        <v>0</v>
      </c>
      <c r="AZ1148" s="49">
        <f t="shared" si="287"/>
        <v>0</v>
      </c>
      <c r="BA1148" s="31">
        <v>0</v>
      </c>
      <c r="BB1148" s="188">
        <f t="shared" si="290"/>
        <v>0</v>
      </c>
      <c r="BC1148" s="188" t="str">
        <f t="shared" si="294"/>
        <v xml:space="preserve"> </v>
      </c>
      <c r="BD1148" s="188" t="str">
        <f t="shared" si="295"/>
        <v xml:space="preserve"> </v>
      </c>
      <c r="BE1148" s="188" t="str">
        <f t="shared" si="296"/>
        <v xml:space="preserve"> </v>
      </c>
      <c r="BF1148" s="50" t="str">
        <f t="shared" si="288"/>
        <v>MAMAT CREEK_Steelhead</v>
      </c>
      <c r="BG1148" s="50" t="str">
        <f>IFERROR(VLOOKUP(BF1148,'[1]WCVI Esc'!$C$5:$W$514,18,FALSE),"-")</f>
        <v>-</v>
      </c>
      <c r="BH1148" s="50" t="str">
        <f t="shared" si="291"/>
        <v>-</v>
      </c>
      <c r="BI1148" s="50" t="str">
        <f>IFERROR(VLOOKUP(BF1148,'[1]WCVI Esc'!$C$5:$W$514,19,FALSE),"-")</f>
        <v>-</v>
      </c>
      <c r="BJ1148" s="50" t="str">
        <f t="shared" si="292"/>
        <v>-</v>
      </c>
    </row>
    <row r="1149" spans="1:62" hidden="1" x14ac:dyDescent="0.2">
      <c r="A1149" s="28">
        <v>4</v>
      </c>
      <c r="B1149" s="28">
        <v>1</v>
      </c>
      <c r="C1149" s="11">
        <v>25</v>
      </c>
      <c r="D1149" s="13" t="s">
        <v>299</v>
      </c>
      <c r="E1149" s="10" t="s">
        <v>146</v>
      </c>
      <c r="F1149" s="10" t="s">
        <v>207</v>
      </c>
      <c r="G1149" s="10"/>
      <c r="H1149" s="152"/>
      <c r="I1149" s="164"/>
      <c r="J1149" s="94"/>
      <c r="K1149" s="62"/>
      <c r="L1149" s="177"/>
      <c r="M1149" s="176"/>
      <c r="N1149" s="106"/>
      <c r="O1149" s="62"/>
      <c r="P1149" s="62"/>
      <c r="Q1149" s="64"/>
      <c r="R1149" s="164"/>
      <c r="S1149" s="62"/>
      <c r="T1149" s="62"/>
      <c r="U1149" s="62"/>
      <c r="V1149" s="177"/>
      <c r="W1149" s="171"/>
      <c r="X1149" s="62"/>
      <c r="Y1149" s="45"/>
      <c r="Z1149" s="45"/>
      <c r="AA1149" s="100"/>
      <c r="AB1149" s="100"/>
      <c r="AC1149" s="24"/>
      <c r="AD1149" s="24"/>
      <c r="AE1149" s="24"/>
      <c r="AF1149" s="24"/>
      <c r="AG1149" s="18">
        <v>25</v>
      </c>
      <c r="AH1149" s="69" t="s">
        <v>299</v>
      </c>
      <c r="AI1149" s="243" t="s">
        <v>146</v>
      </c>
      <c r="AJ1149" s="243" t="s">
        <v>419</v>
      </c>
      <c r="AK1149" s="246"/>
      <c r="AL1149" s="43" t="str">
        <f t="shared" si="293"/>
        <v>-</v>
      </c>
      <c r="AM1149" s="43">
        <f t="shared" si="281"/>
        <v>0</v>
      </c>
      <c r="AN1149" s="193">
        <f t="shared" si="281"/>
        <v>0</v>
      </c>
      <c r="AO1149" s="270" t="str">
        <f t="shared" si="282"/>
        <v>-</v>
      </c>
      <c r="AP1149" s="265" t="str">
        <f>BJ1149</f>
        <v>-</v>
      </c>
      <c r="AQ1149" s="26" t="str">
        <f t="shared" si="289"/>
        <v>MARVINAS BAY CREEKSockeye</v>
      </c>
      <c r="AR1149" s="26">
        <f t="shared" si="283"/>
        <v>0</v>
      </c>
      <c r="AS1149" s="33">
        <f t="shared" si="284"/>
        <v>0</v>
      </c>
      <c r="AX1149" s="47" t="str">
        <f t="shared" si="285"/>
        <v>MARVINAS BAY CREEKSockeye</v>
      </c>
      <c r="AY1149" s="49">
        <f t="shared" si="286"/>
        <v>0</v>
      </c>
      <c r="AZ1149" s="49">
        <f t="shared" si="287"/>
        <v>0</v>
      </c>
      <c r="BA1149" s="31">
        <v>2010</v>
      </c>
      <c r="BB1149" s="188">
        <f t="shared" si="290"/>
        <v>0</v>
      </c>
      <c r="BC1149" s="188" t="str">
        <f t="shared" si="294"/>
        <v xml:space="preserve"> </v>
      </c>
      <c r="BD1149" s="188" t="str">
        <f t="shared" si="295"/>
        <v xml:space="preserve"> </v>
      </c>
      <c r="BE1149" s="188" t="str">
        <f t="shared" si="296"/>
        <v xml:space="preserve"> </v>
      </c>
      <c r="BF1149" s="50" t="str">
        <f t="shared" si="288"/>
        <v>MARVINAS BAY CREEK_Sockeye</v>
      </c>
      <c r="BG1149" s="50" t="str">
        <f>IFERROR(VLOOKUP(BF1149,'[1]WCVI Esc'!$C$5:$W$514,18,FALSE),"-")</f>
        <v>-</v>
      </c>
      <c r="BH1149" s="50" t="str">
        <f t="shared" si="291"/>
        <v>-</v>
      </c>
      <c r="BI1149" s="50" t="str">
        <f>IFERROR(VLOOKUP(BF1149,'[1]WCVI Esc'!$C$5:$W$514,19,FALSE),"-")</f>
        <v>-</v>
      </c>
      <c r="BJ1149" s="50" t="str">
        <f t="shared" si="292"/>
        <v>-</v>
      </c>
    </row>
    <row r="1150" spans="1:62" hidden="1" x14ac:dyDescent="0.2">
      <c r="A1150" s="28">
        <v>4</v>
      </c>
      <c r="B1150" s="28">
        <v>2</v>
      </c>
      <c r="C1150" s="11">
        <v>25</v>
      </c>
      <c r="D1150" s="13" t="s">
        <v>299</v>
      </c>
      <c r="E1150" s="10" t="s">
        <v>146</v>
      </c>
      <c r="F1150" s="10" t="s">
        <v>219</v>
      </c>
      <c r="G1150" s="10"/>
      <c r="H1150" s="152"/>
      <c r="I1150" s="164"/>
      <c r="J1150" s="94"/>
      <c r="K1150" s="62"/>
      <c r="L1150" s="177"/>
      <c r="M1150" s="176"/>
      <c r="N1150" s="106"/>
      <c r="O1150" s="62"/>
      <c r="P1150" s="62"/>
      <c r="Q1150" s="64"/>
      <c r="R1150" s="164"/>
      <c r="S1150" s="62"/>
      <c r="T1150" s="62"/>
      <c r="U1150" s="62"/>
      <c r="V1150" s="177"/>
      <c r="W1150" s="171"/>
      <c r="X1150" s="62"/>
      <c r="Y1150" s="45"/>
      <c r="Z1150" s="45"/>
      <c r="AA1150" s="100">
        <f>Y1150/AP1150</f>
        <v>0</v>
      </c>
      <c r="AB1150" s="100">
        <f>AS1150/AP1150</f>
        <v>0</v>
      </c>
      <c r="AC1150" s="24"/>
      <c r="AD1150" s="24"/>
      <c r="AE1150" s="24"/>
      <c r="AF1150" s="24"/>
      <c r="AG1150" s="18">
        <v>25</v>
      </c>
      <c r="AH1150" s="69" t="s">
        <v>299</v>
      </c>
      <c r="AI1150" s="243" t="s">
        <v>146</v>
      </c>
      <c r="AJ1150" s="243" t="s">
        <v>419</v>
      </c>
      <c r="AK1150" s="246"/>
      <c r="AL1150" s="43" t="str">
        <f t="shared" si="293"/>
        <v>-</v>
      </c>
      <c r="AM1150" s="43">
        <f t="shared" si="281"/>
        <v>0</v>
      </c>
      <c r="AN1150" s="193">
        <f t="shared" si="281"/>
        <v>0</v>
      </c>
      <c r="AO1150" s="270" t="str">
        <f t="shared" si="282"/>
        <v>-</v>
      </c>
      <c r="AP1150" s="265">
        <f>BJ1150</f>
        <v>90</v>
      </c>
      <c r="AQ1150" s="26" t="str">
        <f t="shared" si="289"/>
        <v>MARVINAS BAY CREEKCoho</v>
      </c>
      <c r="AR1150" s="26">
        <f t="shared" si="283"/>
        <v>0</v>
      </c>
      <c r="AS1150" s="33">
        <f t="shared" si="284"/>
        <v>0</v>
      </c>
      <c r="AX1150" s="47" t="str">
        <f t="shared" si="285"/>
        <v>MARVINAS BAY CREEKCoho</v>
      </c>
      <c r="AY1150" s="49">
        <f t="shared" si="286"/>
        <v>0</v>
      </c>
      <c r="AZ1150" s="49">
        <f t="shared" si="287"/>
        <v>0</v>
      </c>
      <c r="BA1150" s="31">
        <v>2011</v>
      </c>
      <c r="BB1150" s="188">
        <f t="shared" si="290"/>
        <v>0</v>
      </c>
      <c r="BC1150" s="188" t="str">
        <f t="shared" si="294"/>
        <v xml:space="preserve"> </v>
      </c>
      <c r="BD1150" s="188" t="str">
        <f t="shared" si="295"/>
        <v xml:space="preserve"> </v>
      </c>
      <c r="BE1150" s="188" t="str">
        <f t="shared" si="296"/>
        <v xml:space="preserve"> </v>
      </c>
      <c r="BF1150" s="50" t="str">
        <f t="shared" si="288"/>
        <v>MARVINAS BAY CREEK_Coho</v>
      </c>
      <c r="BG1150" s="50" t="str">
        <f>IFERROR(VLOOKUP(BF1150,'[1]WCVI Esc'!$C$5:$W$514,18,FALSE),"-")</f>
        <v>-</v>
      </c>
      <c r="BH1150" s="50" t="str">
        <f t="shared" si="291"/>
        <v>-</v>
      </c>
      <c r="BI1150" s="50">
        <f>IFERROR(VLOOKUP(BF1150,'[1]WCVI Esc'!$C$5:$W$514,19,FALSE),"-")</f>
        <v>94</v>
      </c>
      <c r="BJ1150" s="50">
        <f t="shared" si="292"/>
        <v>90</v>
      </c>
    </row>
    <row r="1151" spans="1:62" hidden="1" x14ac:dyDescent="0.2">
      <c r="A1151" s="28">
        <v>4</v>
      </c>
      <c r="B1151" s="28">
        <v>3</v>
      </c>
      <c r="C1151" s="11">
        <v>25</v>
      </c>
      <c r="D1151" s="13" t="s">
        <v>299</v>
      </c>
      <c r="E1151" s="10" t="s">
        <v>146</v>
      </c>
      <c r="F1151" s="10" t="s">
        <v>208</v>
      </c>
      <c r="G1151" s="10"/>
      <c r="H1151" s="152"/>
      <c r="I1151" s="164"/>
      <c r="J1151" s="94"/>
      <c r="K1151" s="62"/>
      <c r="L1151" s="177"/>
      <c r="M1151" s="176"/>
      <c r="N1151" s="106"/>
      <c r="O1151" s="62"/>
      <c r="P1151" s="62"/>
      <c r="Q1151" s="64"/>
      <c r="R1151" s="164"/>
      <c r="S1151" s="62"/>
      <c r="T1151" s="62"/>
      <c r="U1151" s="62"/>
      <c r="V1151" s="177"/>
      <c r="W1151" s="171"/>
      <c r="X1151" s="62"/>
      <c r="Y1151" s="45"/>
      <c r="Z1151" s="45"/>
      <c r="AA1151" s="100"/>
      <c r="AB1151" s="100"/>
      <c r="AC1151" s="24"/>
      <c r="AD1151" s="24"/>
      <c r="AE1151" s="24"/>
      <c r="AF1151" s="24"/>
      <c r="AG1151" s="18">
        <v>25</v>
      </c>
      <c r="AH1151" s="69" t="s">
        <v>299</v>
      </c>
      <c r="AI1151" s="243" t="s">
        <v>146</v>
      </c>
      <c r="AJ1151" s="243" t="s">
        <v>419</v>
      </c>
      <c r="AK1151" s="246"/>
      <c r="AL1151" s="43" t="str">
        <f t="shared" si="293"/>
        <v>-</v>
      </c>
      <c r="AM1151" s="43">
        <f t="shared" ref="AM1151:AN1214" si="297">AR1151</f>
        <v>0</v>
      </c>
      <c r="AN1151" s="193">
        <f t="shared" si="297"/>
        <v>0</v>
      </c>
      <c r="AO1151" s="270" t="str">
        <f t="shared" ref="AO1151:AO1214" si="298">BH1151</f>
        <v>-</v>
      </c>
      <c r="AP1151" s="267"/>
      <c r="AQ1151" s="26" t="str">
        <f t="shared" si="289"/>
        <v>MARVINAS BAY CREEKPink</v>
      </c>
      <c r="AR1151" s="26">
        <f t="shared" ref="AR1151:AR1214" si="299">COUNT(G1151:X1151)</f>
        <v>0</v>
      </c>
      <c r="AS1151" s="33">
        <f t="shared" ref="AS1151:AS1214" si="300">MAX(G1151:X1151)</f>
        <v>0</v>
      </c>
      <c r="AX1151" s="47" t="str">
        <f t="shared" ref="AX1151:AX1214" si="301">CONCATENATE(E1151,F1151)</f>
        <v>MARVINAS BAY CREEKPink</v>
      </c>
      <c r="AY1151" s="49">
        <f t="shared" ref="AY1151:AY1214" si="302">Z1151</f>
        <v>0</v>
      </c>
      <c r="AZ1151" s="49">
        <f t="shared" ref="AZ1151:AZ1214" si="303">Y1151</f>
        <v>0</v>
      </c>
      <c r="BA1151" s="31">
        <v>0</v>
      </c>
      <c r="BB1151" s="188">
        <f t="shared" si="290"/>
        <v>0</v>
      </c>
      <c r="BC1151" s="188" t="str">
        <f t="shared" si="294"/>
        <v xml:space="preserve"> </v>
      </c>
      <c r="BD1151" s="188" t="str">
        <f t="shared" si="295"/>
        <v xml:space="preserve"> </v>
      </c>
      <c r="BE1151" s="188" t="str">
        <f t="shared" si="296"/>
        <v xml:space="preserve"> </v>
      </c>
      <c r="BF1151" s="50" t="str">
        <f t="shared" ref="BF1151:BF1214" si="304">CONCATENATE(E1151,"_",F1151)</f>
        <v>MARVINAS BAY CREEK_Pink</v>
      </c>
      <c r="BG1151" s="50" t="str">
        <f>IFERROR(VLOOKUP(BF1151,'[1]WCVI Esc'!$C$5:$W$514,18,FALSE),"-")</f>
        <v>-</v>
      </c>
      <c r="BH1151" s="50" t="str">
        <f t="shared" si="291"/>
        <v>-</v>
      </c>
      <c r="BI1151" s="50" t="str">
        <f>IFERROR(VLOOKUP(BF1151,'[1]WCVI Esc'!$C$5:$W$514,19,FALSE),"-")</f>
        <v>-</v>
      </c>
      <c r="BJ1151" s="50" t="str">
        <f t="shared" si="292"/>
        <v>-</v>
      </c>
    </row>
    <row r="1152" spans="1:62" hidden="1" x14ac:dyDescent="0.2">
      <c r="A1152" s="28">
        <v>4</v>
      </c>
      <c r="B1152" s="28">
        <v>4</v>
      </c>
      <c r="C1152" s="11">
        <v>25</v>
      </c>
      <c r="D1152" s="13" t="s">
        <v>299</v>
      </c>
      <c r="E1152" s="10" t="s">
        <v>146</v>
      </c>
      <c r="F1152" s="10" t="s">
        <v>209</v>
      </c>
      <c r="G1152" s="10"/>
      <c r="H1152" s="152"/>
      <c r="I1152" s="164"/>
      <c r="J1152" s="94"/>
      <c r="K1152" s="62"/>
      <c r="L1152" s="177"/>
      <c r="M1152" s="176"/>
      <c r="N1152" s="106"/>
      <c r="O1152" s="62"/>
      <c r="P1152" s="62"/>
      <c r="Q1152" s="64"/>
      <c r="R1152" s="164"/>
      <c r="S1152" s="62"/>
      <c r="T1152" s="62"/>
      <c r="U1152" s="62"/>
      <c r="V1152" s="177"/>
      <c r="W1152" s="171"/>
      <c r="X1152" s="62"/>
      <c r="Y1152" s="45"/>
      <c r="Z1152" s="45"/>
      <c r="AA1152" s="100">
        <f>Y1152/AP1152</f>
        <v>0</v>
      </c>
      <c r="AB1152" s="100">
        <f>AS1152/AP1152</f>
        <v>0</v>
      </c>
      <c r="AC1152" s="24"/>
      <c r="AD1152" s="24"/>
      <c r="AE1152" s="24"/>
      <c r="AF1152" s="24"/>
      <c r="AG1152" s="18">
        <v>25</v>
      </c>
      <c r="AH1152" s="69" t="s">
        <v>299</v>
      </c>
      <c r="AI1152" s="243" t="s">
        <v>146</v>
      </c>
      <c r="AJ1152" s="243" t="s">
        <v>419</v>
      </c>
      <c r="AK1152" s="246"/>
      <c r="AL1152" s="43" t="str">
        <f t="shared" si="293"/>
        <v>-</v>
      </c>
      <c r="AM1152" s="43">
        <f t="shared" si="297"/>
        <v>0</v>
      </c>
      <c r="AN1152" s="193">
        <f t="shared" si="297"/>
        <v>0</v>
      </c>
      <c r="AO1152" s="270" t="str">
        <f t="shared" si="298"/>
        <v>-</v>
      </c>
      <c r="AP1152" s="265">
        <f>BJ1152</f>
        <v>140</v>
      </c>
      <c r="AQ1152" s="26" t="str">
        <f t="shared" si="289"/>
        <v>MARVINAS BAY CREEKChum</v>
      </c>
      <c r="AR1152" s="26">
        <f t="shared" si="299"/>
        <v>0</v>
      </c>
      <c r="AS1152" s="33">
        <f t="shared" si="300"/>
        <v>0</v>
      </c>
      <c r="AX1152" s="47" t="str">
        <f t="shared" si="301"/>
        <v>MARVINAS BAY CREEKChum</v>
      </c>
      <c r="AY1152" s="49">
        <f t="shared" si="302"/>
        <v>0</v>
      </c>
      <c r="AZ1152" s="49">
        <f t="shared" si="303"/>
        <v>0</v>
      </c>
      <c r="BA1152" s="31">
        <v>2011</v>
      </c>
      <c r="BB1152" s="188">
        <f t="shared" si="290"/>
        <v>0</v>
      </c>
      <c r="BC1152" s="188" t="str">
        <f t="shared" si="294"/>
        <v xml:space="preserve"> </v>
      </c>
      <c r="BD1152" s="188" t="str">
        <f t="shared" si="295"/>
        <v xml:space="preserve"> </v>
      </c>
      <c r="BE1152" s="188" t="str">
        <f t="shared" si="296"/>
        <v xml:space="preserve"> </v>
      </c>
      <c r="BF1152" s="50" t="str">
        <f t="shared" si="304"/>
        <v>MARVINAS BAY CREEK_Chum</v>
      </c>
      <c r="BG1152" s="50" t="str">
        <f>IFERROR(VLOOKUP(BF1152,'[1]WCVI Esc'!$C$5:$W$514,18,FALSE),"-")</f>
        <v>-</v>
      </c>
      <c r="BH1152" s="50" t="str">
        <f t="shared" si="291"/>
        <v>-</v>
      </c>
      <c r="BI1152" s="50">
        <f>IFERROR(VLOOKUP(BF1152,'[1]WCVI Esc'!$C$5:$W$514,19,FALSE),"-")</f>
        <v>135</v>
      </c>
      <c r="BJ1152" s="50">
        <f t="shared" si="292"/>
        <v>140</v>
      </c>
    </row>
    <row r="1153" spans="1:62" x14ac:dyDescent="0.2">
      <c r="A1153" s="28">
        <v>4</v>
      </c>
      <c r="B1153" s="28">
        <v>5</v>
      </c>
      <c r="C1153" s="11">
        <v>25</v>
      </c>
      <c r="D1153" s="13" t="s">
        <v>299</v>
      </c>
      <c r="E1153" s="10" t="s">
        <v>146</v>
      </c>
      <c r="F1153" s="10" t="s">
        <v>210</v>
      </c>
      <c r="G1153" s="10"/>
      <c r="H1153" s="152"/>
      <c r="I1153" s="164"/>
      <c r="J1153" s="94"/>
      <c r="K1153" s="62"/>
      <c r="L1153" s="177"/>
      <c r="M1153" s="176"/>
      <c r="N1153" s="106"/>
      <c r="O1153" s="62"/>
      <c r="P1153" s="62"/>
      <c r="Q1153" s="64"/>
      <c r="R1153" s="164"/>
      <c r="S1153" s="62"/>
      <c r="T1153" s="62"/>
      <c r="U1153" s="62"/>
      <c r="V1153" s="177"/>
      <c r="W1153" s="171"/>
      <c r="X1153" s="62"/>
      <c r="Y1153" s="45"/>
      <c r="Z1153" s="45"/>
      <c r="AA1153" s="100"/>
      <c r="AB1153" s="100"/>
      <c r="AC1153" s="24"/>
      <c r="AD1153" s="24"/>
      <c r="AE1153" s="24"/>
      <c r="AF1153" s="24"/>
      <c r="AG1153" s="18">
        <v>25</v>
      </c>
      <c r="AH1153" s="69" t="s">
        <v>299</v>
      </c>
      <c r="AI1153" s="243" t="s">
        <v>146</v>
      </c>
      <c r="AJ1153" s="243" t="s">
        <v>419</v>
      </c>
      <c r="AK1153" s="246"/>
      <c r="AL1153" s="43" t="str">
        <f t="shared" si="293"/>
        <v>-</v>
      </c>
      <c r="AM1153" s="43">
        <f t="shared" si="297"/>
        <v>0</v>
      </c>
      <c r="AN1153" s="193">
        <f t="shared" si="297"/>
        <v>0</v>
      </c>
      <c r="AO1153" s="270" t="str">
        <f t="shared" si="298"/>
        <v>-</v>
      </c>
      <c r="AP1153" s="265">
        <f>BJ1153</f>
        <v>0</v>
      </c>
      <c r="AQ1153" s="26" t="str">
        <f t="shared" si="289"/>
        <v>MARVINAS BAY CREEKChinook</v>
      </c>
      <c r="AR1153" s="26">
        <f t="shared" si="299"/>
        <v>0</v>
      </c>
      <c r="AS1153" s="33">
        <f t="shared" si="300"/>
        <v>0</v>
      </c>
      <c r="AX1153" s="47" t="str">
        <f t="shared" si="301"/>
        <v>MARVINAS BAY CREEKChinook</v>
      </c>
      <c r="AY1153" s="49">
        <f t="shared" si="302"/>
        <v>0</v>
      </c>
      <c r="AZ1153" s="49">
        <f t="shared" si="303"/>
        <v>0</v>
      </c>
      <c r="BA1153" s="31">
        <v>2011</v>
      </c>
      <c r="BB1153" s="188">
        <f t="shared" si="290"/>
        <v>0</v>
      </c>
      <c r="BC1153" s="188" t="str">
        <f t="shared" si="294"/>
        <v xml:space="preserve"> </v>
      </c>
      <c r="BD1153" s="188" t="str">
        <f t="shared" si="295"/>
        <v xml:space="preserve"> </v>
      </c>
      <c r="BE1153" s="188" t="str">
        <f t="shared" si="296"/>
        <v xml:space="preserve"> </v>
      </c>
      <c r="BF1153" s="50" t="str">
        <f t="shared" si="304"/>
        <v>MARVINAS BAY CREEK_Chinook</v>
      </c>
      <c r="BG1153" s="50" t="str">
        <f>IFERROR(VLOOKUP(BF1153,'[1]WCVI Esc'!$C$5:$W$514,18,FALSE),"-")</f>
        <v>-</v>
      </c>
      <c r="BH1153" s="50" t="str">
        <f t="shared" si="291"/>
        <v>-</v>
      </c>
      <c r="BI1153" s="50">
        <f>IFERROR(VLOOKUP(BF1153,'[1]WCVI Esc'!$C$5:$W$514,19,FALSE),"-")</f>
        <v>3</v>
      </c>
      <c r="BJ1153" s="50">
        <f t="shared" si="292"/>
        <v>0</v>
      </c>
    </row>
    <row r="1154" spans="1:62" hidden="1" x14ac:dyDescent="0.2">
      <c r="A1154" s="28">
        <v>4</v>
      </c>
      <c r="B1154" s="28">
        <v>6</v>
      </c>
      <c r="C1154" s="11">
        <v>25</v>
      </c>
      <c r="D1154" s="13" t="s">
        <v>299</v>
      </c>
      <c r="E1154" s="10" t="s">
        <v>146</v>
      </c>
      <c r="F1154" s="10" t="s">
        <v>211</v>
      </c>
      <c r="G1154" s="10"/>
      <c r="H1154" s="152"/>
      <c r="I1154" s="164"/>
      <c r="J1154" s="94"/>
      <c r="K1154" s="62"/>
      <c r="L1154" s="177"/>
      <c r="M1154" s="176"/>
      <c r="N1154" s="106"/>
      <c r="O1154" s="62"/>
      <c r="P1154" s="62"/>
      <c r="Q1154" s="64"/>
      <c r="R1154" s="164"/>
      <c r="S1154" s="62"/>
      <c r="T1154" s="62"/>
      <c r="U1154" s="62"/>
      <c r="V1154" s="177"/>
      <c r="W1154" s="171"/>
      <c r="X1154" s="62"/>
      <c r="Y1154" s="45"/>
      <c r="Z1154" s="45"/>
      <c r="AA1154" s="100"/>
      <c r="AB1154" s="100"/>
      <c r="AC1154" s="24"/>
      <c r="AD1154" s="24"/>
      <c r="AE1154" s="24"/>
      <c r="AF1154" s="24"/>
      <c r="AG1154" s="18">
        <v>25</v>
      </c>
      <c r="AH1154" s="69" t="s">
        <v>299</v>
      </c>
      <c r="AI1154" s="243" t="s">
        <v>146</v>
      </c>
      <c r="AJ1154" s="243" t="s">
        <v>419</v>
      </c>
      <c r="AK1154" s="246"/>
      <c r="AL1154" s="43" t="str">
        <f t="shared" si="293"/>
        <v>-</v>
      </c>
      <c r="AM1154" s="43">
        <f t="shared" si="297"/>
        <v>0</v>
      </c>
      <c r="AN1154" s="193">
        <f t="shared" si="297"/>
        <v>0</v>
      </c>
      <c r="AO1154" s="270" t="str">
        <f t="shared" si="298"/>
        <v>-</v>
      </c>
      <c r="AP1154" s="267"/>
      <c r="AQ1154" s="26" t="str">
        <f t="shared" si="289"/>
        <v>MARVINAS BAY CREEKSteelhead</v>
      </c>
      <c r="AR1154" s="26">
        <f t="shared" si="299"/>
        <v>0</v>
      </c>
      <c r="AS1154" s="33">
        <f t="shared" si="300"/>
        <v>0</v>
      </c>
      <c r="AX1154" s="47" t="str">
        <f t="shared" si="301"/>
        <v>MARVINAS BAY CREEKSteelhead</v>
      </c>
      <c r="AY1154" s="49">
        <f t="shared" si="302"/>
        <v>0</v>
      </c>
      <c r="AZ1154" s="49">
        <f t="shared" si="303"/>
        <v>0</v>
      </c>
      <c r="BA1154" s="31">
        <v>0</v>
      </c>
      <c r="BB1154" s="188">
        <f t="shared" si="290"/>
        <v>0</v>
      </c>
      <c r="BC1154" s="188" t="str">
        <f t="shared" si="294"/>
        <v xml:space="preserve"> </v>
      </c>
      <c r="BD1154" s="188" t="str">
        <f t="shared" si="295"/>
        <v xml:space="preserve"> </v>
      </c>
      <c r="BE1154" s="188" t="str">
        <f t="shared" si="296"/>
        <v xml:space="preserve"> </v>
      </c>
      <c r="BF1154" s="50" t="str">
        <f t="shared" si="304"/>
        <v>MARVINAS BAY CREEK_Steelhead</v>
      </c>
      <c r="BG1154" s="50" t="str">
        <f>IFERROR(VLOOKUP(BF1154,'[1]WCVI Esc'!$C$5:$W$514,18,FALSE),"-")</f>
        <v>-</v>
      </c>
      <c r="BH1154" s="50" t="str">
        <f t="shared" si="291"/>
        <v>-</v>
      </c>
      <c r="BI1154" s="50" t="str">
        <f>IFERROR(VLOOKUP(BF1154,'[1]WCVI Esc'!$C$5:$W$514,19,FALSE),"-")</f>
        <v>-</v>
      </c>
      <c r="BJ1154" s="50" t="str">
        <f t="shared" si="292"/>
        <v>-</v>
      </c>
    </row>
    <row r="1155" spans="1:62" hidden="1" x14ac:dyDescent="0.2">
      <c r="A1155" s="28">
        <v>4</v>
      </c>
      <c r="B1155" s="29">
        <v>1</v>
      </c>
      <c r="C1155" s="13">
        <v>25</v>
      </c>
      <c r="D1155" s="13" t="s">
        <v>299</v>
      </c>
      <c r="E1155" s="10" t="s">
        <v>197</v>
      </c>
      <c r="F1155" s="10" t="s">
        <v>207</v>
      </c>
      <c r="G1155" s="10"/>
      <c r="H1155" s="152"/>
      <c r="I1155" s="164"/>
      <c r="J1155" s="94"/>
      <c r="K1155" s="62"/>
      <c r="L1155" s="177"/>
      <c r="M1155" s="176"/>
      <c r="N1155" s="106"/>
      <c r="O1155" s="62"/>
      <c r="P1155" s="62"/>
      <c r="Q1155" s="64"/>
      <c r="R1155" s="164"/>
      <c r="S1155" s="62"/>
      <c r="T1155" s="62"/>
      <c r="U1155" s="62"/>
      <c r="V1155" s="177"/>
      <c r="W1155" s="171"/>
      <c r="X1155" s="62"/>
      <c r="Y1155" s="45"/>
      <c r="Z1155" s="45"/>
      <c r="AA1155" s="100"/>
      <c r="AB1155" s="100"/>
      <c r="AC1155" s="24"/>
      <c r="AD1155" s="24"/>
      <c r="AE1155" s="24"/>
      <c r="AF1155" s="24"/>
      <c r="AG1155" s="69">
        <v>25</v>
      </c>
      <c r="AH1155" s="69" t="s">
        <v>299</v>
      </c>
      <c r="AI1155" s="243" t="s">
        <v>197</v>
      </c>
      <c r="AJ1155" s="243" t="s">
        <v>419</v>
      </c>
      <c r="AK1155" s="246"/>
      <c r="AL1155" s="43" t="str">
        <f t="shared" si="293"/>
        <v>-</v>
      </c>
      <c r="AM1155" s="43">
        <f t="shared" si="297"/>
        <v>0</v>
      </c>
      <c r="AN1155" s="193">
        <f t="shared" si="297"/>
        <v>0</v>
      </c>
      <c r="AO1155" s="270" t="str">
        <f t="shared" si="298"/>
        <v>-</v>
      </c>
      <c r="AP1155" s="268"/>
      <c r="AQ1155" s="26" t="str">
        <f t="shared" ref="AQ1155:AQ1218" si="305">CONCATENATE(E1155,F1155)</f>
        <v>MCCURDY CREEKSockeye</v>
      </c>
      <c r="AR1155" s="26">
        <f t="shared" si="299"/>
        <v>0</v>
      </c>
      <c r="AS1155" s="33">
        <f t="shared" si="300"/>
        <v>0</v>
      </c>
      <c r="AX1155" s="47" t="str">
        <f t="shared" si="301"/>
        <v>MCCURDY CREEKSockeye</v>
      </c>
      <c r="AY1155" s="49">
        <f t="shared" si="302"/>
        <v>0</v>
      </c>
      <c r="AZ1155" s="49">
        <f t="shared" si="303"/>
        <v>0</v>
      </c>
      <c r="BA1155" s="31">
        <v>0</v>
      </c>
      <c r="BB1155" s="188">
        <f t="shared" si="290"/>
        <v>0</v>
      </c>
      <c r="BC1155" s="188" t="str">
        <f t="shared" si="294"/>
        <v xml:space="preserve"> </v>
      </c>
      <c r="BD1155" s="188" t="str">
        <f t="shared" si="295"/>
        <v xml:space="preserve"> </v>
      </c>
      <c r="BE1155" s="188" t="str">
        <f t="shared" si="296"/>
        <v xml:space="preserve"> </v>
      </c>
      <c r="BF1155" s="50" t="str">
        <f t="shared" si="304"/>
        <v>MCCURDY CREEK_Sockeye</v>
      </c>
      <c r="BG1155" s="50" t="str">
        <f>IFERROR(VLOOKUP(BF1155,'[1]WCVI Esc'!$C$5:$W$514,18,FALSE),"-")</f>
        <v>-</v>
      </c>
      <c r="BH1155" s="50" t="str">
        <f t="shared" si="291"/>
        <v>-</v>
      </c>
      <c r="BI1155" s="50" t="str">
        <f>IFERROR(VLOOKUP(BF1155,'[1]WCVI Esc'!$C$5:$W$514,19,FALSE),"-")</f>
        <v>-</v>
      </c>
      <c r="BJ1155" s="50" t="str">
        <f t="shared" si="292"/>
        <v>-</v>
      </c>
    </row>
    <row r="1156" spans="1:62" hidden="1" x14ac:dyDescent="0.2">
      <c r="A1156" s="28">
        <v>4</v>
      </c>
      <c r="B1156" s="29">
        <v>2</v>
      </c>
      <c r="C1156" s="13">
        <v>25</v>
      </c>
      <c r="D1156" s="13" t="s">
        <v>299</v>
      </c>
      <c r="E1156" s="10" t="s">
        <v>197</v>
      </c>
      <c r="F1156" s="10" t="s">
        <v>219</v>
      </c>
      <c r="G1156" s="10"/>
      <c r="H1156" s="152"/>
      <c r="I1156" s="164"/>
      <c r="J1156" s="94"/>
      <c r="K1156" s="62"/>
      <c r="L1156" s="177"/>
      <c r="M1156" s="176"/>
      <c r="N1156" s="106"/>
      <c r="O1156" s="62"/>
      <c r="P1156" s="62"/>
      <c r="Q1156" s="64"/>
      <c r="R1156" s="164"/>
      <c r="S1156" s="62"/>
      <c r="T1156" s="62"/>
      <c r="U1156" s="62"/>
      <c r="V1156" s="177"/>
      <c r="W1156" s="171"/>
      <c r="X1156" s="62"/>
      <c r="Y1156" s="45"/>
      <c r="Z1156" s="45"/>
      <c r="AA1156" s="100"/>
      <c r="AB1156" s="100"/>
      <c r="AC1156" s="24"/>
      <c r="AD1156" s="24"/>
      <c r="AE1156" s="24"/>
      <c r="AF1156" s="24"/>
      <c r="AG1156" s="69">
        <v>25</v>
      </c>
      <c r="AH1156" s="69" t="s">
        <v>299</v>
      </c>
      <c r="AI1156" s="243" t="s">
        <v>197</v>
      </c>
      <c r="AJ1156" s="243" t="s">
        <v>419</v>
      </c>
      <c r="AK1156" s="246"/>
      <c r="AL1156" s="43" t="str">
        <f t="shared" si="293"/>
        <v>-</v>
      </c>
      <c r="AM1156" s="43">
        <f t="shared" si="297"/>
        <v>0</v>
      </c>
      <c r="AN1156" s="193">
        <f t="shared" si="297"/>
        <v>0</v>
      </c>
      <c r="AO1156" s="270" t="str">
        <f t="shared" si="298"/>
        <v>-</v>
      </c>
      <c r="AP1156" s="268"/>
      <c r="AQ1156" s="26" t="str">
        <f t="shared" si="305"/>
        <v>MCCURDY CREEKCoho</v>
      </c>
      <c r="AR1156" s="26">
        <f t="shared" si="299"/>
        <v>0</v>
      </c>
      <c r="AS1156" s="33">
        <f t="shared" si="300"/>
        <v>0</v>
      </c>
      <c r="AX1156" s="47" t="str">
        <f t="shared" si="301"/>
        <v>MCCURDY CREEKCoho</v>
      </c>
      <c r="AY1156" s="49">
        <f t="shared" si="302"/>
        <v>0</v>
      </c>
      <c r="AZ1156" s="49">
        <f t="shared" si="303"/>
        <v>0</v>
      </c>
      <c r="BA1156" s="31">
        <v>1966</v>
      </c>
      <c r="BB1156" s="188">
        <f t="shared" si="290"/>
        <v>0</v>
      </c>
      <c r="BC1156" s="188" t="str">
        <f t="shared" si="294"/>
        <v xml:space="preserve"> </v>
      </c>
      <c r="BD1156" s="188" t="str">
        <f t="shared" si="295"/>
        <v xml:space="preserve"> </v>
      </c>
      <c r="BE1156" s="188" t="str">
        <f t="shared" si="296"/>
        <v xml:space="preserve"> </v>
      </c>
      <c r="BF1156" s="50" t="str">
        <f t="shared" si="304"/>
        <v>MCCURDY CREEK_Coho</v>
      </c>
      <c r="BG1156" s="50" t="str">
        <f>IFERROR(VLOOKUP(BF1156,'[1]WCVI Esc'!$C$5:$W$514,18,FALSE),"-")</f>
        <v>-</v>
      </c>
      <c r="BH1156" s="50" t="str">
        <f t="shared" si="291"/>
        <v>-</v>
      </c>
      <c r="BI1156" s="50" t="str">
        <f>IFERROR(VLOOKUP(BF1156,'[1]WCVI Esc'!$C$5:$W$514,19,FALSE),"-")</f>
        <v>-</v>
      </c>
      <c r="BJ1156" s="50" t="str">
        <f t="shared" si="292"/>
        <v>-</v>
      </c>
    </row>
    <row r="1157" spans="1:62" hidden="1" x14ac:dyDescent="0.2">
      <c r="A1157" s="28">
        <v>4</v>
      </c>
      <c r="B1157" s="29">
        <v>3</v>
      </c>
      <c r="C1157" s="13">
        <v>25</v>
      </c>
      <c r="D1157" s="13" t="s">
        <v>299</v>
      </c>
      <c r="E1157" s="10" t="s">
        <v>197</v>
      </c>
      <c r="F1157" s="10" t="s">
        <v>208</v>
      </c>
      <c r="G1157" s="10"/>
      <c r="H1157" s="152"/>
      <c r="I1157" s="164"/>
      <c r="J1157" s="94"/>
      <c r="K1157" s="62"/>
      <c r="L1157" s="177"/>
      <c r="M1157" s="176"/>
      <c r="N1157" s="106"/>
      <c r="O1157" s="62"/>
      <c r="P1157" s="62"/>
      <c r="Q1157" s="64"/>
      <c r="R1157" s="164"/>
      <c r="S1157" s="62"/>
      <c r="T1157" s="62"/>
      <c r="U1157" s="62"/>
      <c r="V1157" s="177"/>
      <c r="W1157" s="171"/>
      <c r="X1157" s="62"/>
      <c r="Y1157" s="45"/>
      <c r="Z1157" s="45"/>
      <c r="AA1157" s="100"/>
      <c r="AB1157" s="100"/>
      <c r="AC1157" s="24"/>
      <c r="AD1157" s="24"/>
      <c r="AE1157" s="24"/>
      <c r="AF1157" s="24"/>
      <c r="AG1157" s="69">
        <v>25</v>
      </c>
      <c r="AH1157" s="69" t="s">
        <v>299</v>
      </c>
      <c r="AI1157" s="243" t="s">
        <v>197</v>
      </c>
      <c r="AJ1157" s="243" t="s">
        <v>419</v>
      </c>
      <c r="AK1157" s="246"/>
      <c r="AL1157" s="43" t="str">
        <f t="shared" si="293"/>
        <v>-</v>
      </c>
      <c r="AM1157" s="43">
        <f t="shared" si="297"/>
        <v>0</v>
      </c>
      <c r="AN1157" s="193">
        <f t="shared" si="297"/>
        <v>0</v>
      </c>
      <c r="AO1157" s="270" t="str">
        <f t="shared" si="298"/>
        <v>-</v>
      </c>
      <c r="AP1157" s="267"/>
      <c r="AQ1157" s="26" t="str">
        <f t="shared" si="305"/>
        <v>MCCURDY CREEKPink</v>
      </c>
      <c r="AR1157" s="26">
        <f t="shared" si="299"/>
        <v>0</v>
      </c>
      <c r="AS1157" s="33">
        <f t="shared" si="300"/>
        <v>0</v>
      </c>
      <c r="AX1157" s="47" t="str">
        <f t="shared" si="301"/>
        <v>MCCURDY CREEKPink</v>
      </c>
      <c r="AY1157" s="49">
        <f t="shared" si="302"/>
        <v>0</v>
      </c>
      <c r="AZ1157" s="49">
        <f t="shared" si="303"/>
        <v>0</v>
      </c>
      <c r="BA1157" s="31">
        <v>0</v>
      </c>
      <c r="BB1157" s="188">
        <f t="shared" si="290"/>
        <v>0</v>
      </c>
      <c r="BC1157" s="188" t="str">
        <f t="shared" si="294"/>
        <v xml:space="preserve"> </v>
      </c>
      <c r="BD1157" s="188" t="str">
        <f t="shared" si="295"/>
        <v xml:space="preserve"> </v>
      </c>
      <c r="BE1157" s="188" t="str">
        <f t="shared" si="296"/>
        <v xml:space="preserve"> </v>
      </c>
      <c r="BF1157" s="50" t="str">
        <f t="shared" si="304"/>
        <v>MCCURDY CREEK_Pink</v>
      </c>
      <c r="BG1157" s="50" t="str">
        <f>IFERROR(VLOOKUP(BF1157,'[1]WCVI Esc'!$C$5:$W$514,18,FALSE),"-")</f>
        <v>-</v>
      </c>
      <c r="BH1157" s="50" t="str">
        <f t="shared" si="291"/>
        <v>-</v>
      </c>
      <c r="BI1157" s="50" t="str">
        <f>IFERROR(VLOOKUP(BF1157,'[1]WCVI Esc'!$C$5:$W$514,19,FALSE),"-")</f>
        <v>-</v>
      </c>
      <c r="BJ1157" s="50" t="str">
        <f t="shared" si="292"/>
        <v>-</v>
      </c>
    </row>
    <row r="1158" spans="1:62" hidden="1" x14ac:dyDescent="0.2">
      <c r="A1158" s="28">
        <v>4</v>
      </c>
      <c r="B1158" s="29">
        <v>4</v>
      </c>
      <c r="C1158" s="13">
        <v>25</v>
      </c>
      <c r="D1158" s="13" t="s">
        <v>299</v>
      </c>
      <c r="E1158" s="10" t="s">
        <v>197</v>
      </c>
      <c r="F1158" s="10" t="s">
        <v>209</v>
      </c>
      <c r="G1158" s="10"/>
      <c r="H1158" s="152"/>
      <c r="I1158" s="164"/>
      <c r="J1158" s="94"/>
      <c r="K1158" s="62"/>
      <c r="L1158" s="177"/>
      <c r="M1158" s="176"/>
      <c r="N1158" s="106"/>
      <c r="O1158" s="62"/>
      <c r="P1158" s="62"/>
      <c r="Q1158" s="64"/>
      <c r="R1158" s="164"/>
      <c r="S1158" s="62"/>
      <c r="T1158" s="62"/>
      <c r="U1158" s="62"/>
      <c r="V1158" s="177"/>
      <c r="W1158" s="171"/>
      <c r="X1158" s="62"/>
      <c r="Y1158" s="45"/>
      <c r="Z1158" s="45"/>
      <c r="AA1158" s="100">
        <f>Y1158/AP1158</f>
        <v>0</v>
      </c>
      <c r="AB1158" s="100">
        <f>AS1158/AP1158</f>
        <v>0</v>
      </c>
      <c r="AC1158" s="24"/>
      <c r="AD1158" s="24"/>
      <c r="AE1158" s="24"/>
      <c r="AF1158" s="24"/>
      <c r="AG1158" s="69">
        <v>25</v>
      </c>
      <c r="AH1158" s="69" t="s">
        <v>299</v>
      </c>
      <c r="AI1158" s="243" t="s">
        <v>197</v>
      </c>
      <c r="AJ1158" s="243" t="s">
        <v>419</v>
      </c>
      <c r="AK1158" s="246"/>
      <c r="AL1158" s="43" t="str">
        <f t="shared" si="293"/>
        <v>-</v>
      </c>
      <c r="AM1158" s="43">
        <f t="shared" si="297"/>
        <v>0</v>
      </c>
      <c r="AN1158" s="193">
        <f t="shared" si="297"/>
        <v>0</v>
      </c>
      <c r="AO1158" s="270" t="str">
        <f t="shared" si="298"/>
        <v>-</v>
      </c>
      <c r="AP1158" s="265">
        <f>BJ1158</f>
        <v>10</v>
      </c>
      <c r="AQ1158" s="26" t="str">
        <f t="shared" si="305"/>
        <v>MCCURDY CREEKChum</v>
      </c>
      <c r="AR1158" s="26">
        <f t="shared" si="299"/>
        <v>0</v>
      </c>
      <c r="AS1158" s="33">
        <f t="shared" si="300"/>
        <v>0</v>
      </c>
      <c r="AX1158" s="47" t="str">
        <f t="shared" si="301"/>
        <v>MCCURDY CREEKChum</v>
      </c>
      <c r="AY1158" s="49">
        <f t="shared" si="302"/>
        <v>0</v>
      </c>
      <c r="AZ1158" s="49">
        <f t="shared" si="303"/>
        <v>0</v>
      </c>
      <c r="BA1158" s="31">
        <v>2011</v>
      </c>
      <c r="BB1158" s="188">
        <f t="shared" si="290"/>
        <v>0</v>
      </c>
      <c r="BC1158" s="188" t="str">
        <f t="shared" si="294"/>
        <v xml:space="preserve"> </v>
      </c>
      <c r="BD1158" s="188" t="str">
        <f t="shared" si="295"/>
        <v xml:space="preserve"> </v>
      </c>
      <c r="BE1158" s="188" t="str">
        <f t="shared" si="296"/>
        <v xml:space="preserve"> </v>
      </c>
      <c r="BF1158" s="50" t="str">
        <f t="shared" si="304"/>
        <v>MCCURDY CREEK_Chum</v>
      </c>
      <c r="BG1158" s="50" t="str">
        <f>IFERROR(VLOOKUP(BF1158,'[1]WCVI Esc'!$C$5:$W$514,18,FALSE),"-")</f>
        <v>-</v>
      </c>
      <c r="BH1158" s="50" t="str">
        <f t="shared" si="291"/>
        <v>-</v>
      </c>
      <c r="BI1158" s="50">
        <f>IFERROR(VLOOKUP(BF1158,'[1]WCVI Esc'!$C$5:$W$514,19,FALSE),"-")</f>
        <v>13</v>
      </c>
      <c r="BJ1158" s="50">
        <f t="shared" si="292"/>
        <v>10</v>
      </c>
    </row>
    <row r="1159" spans="1:62" x14ac:dyDescent="0.2">
      <c r="A1159" s="28">
        <v>4</v>
      </c>
      <c r="B1159" s="29">
        <v>5</v>
      </c>
      <c r="C1159" s="13">
        <v>25</v>
      </c>
      <c r="D1159" s="13" t="s">
        <v>299</v>
      </c>
      <c r="E1159" s="10" t="s">
        <v>197</v>
      </c>
      <c r="F1159" s="10" t="s">
        <v>210</v>
      </c>
      <c r="G1159" s="10"/>
      <c r="H1159" s="152"/>
      <c r="I1159" s="164"/>
      <c r="J1159" s="94"/>
      <c r="K1159" s="62"/>
      <c r="L1159" s="177"/>
      <c r="M1159" s="176"/>
      <c r="N1159" s="106"/>
      <c r="O1159" s="62"/>
      <c r="P1159" s="62"/>
      <c r="Q1159" s="64"/>
      <c r="R1159" s="164"/>
      <c r="S1159" s="62"/>
      <c r="T1159" s="62"/>
      <c r="U1159" s="62"/>
      <c r="V1159" s="177"/>
      <c r="W1159" s="171"/>
      <c r="X1159" s="62"/>
      <c r="Y1159" s="45"/>
      <c r="Z1159" s="45"/>
      <c r="AA1159" s="100"/>
      <c r="AB1159" s="100"/>
      <c r="AC1159" s="24"/>
      <c r="AD1159" s="24"/>
      <c r="AE1159" s="24"/>
      <c r="AF1159" s="24"/>
      <c r="AG1159" s="69">
        <v>25</v>
      </c>
      <c r="AH1159" s="69" t="s">
        <v>299</v>
      </c>
      <c r="AI1159" s="243" t="s">
        <v>197</v>
      </c>
      <c r="AJ1159" s="243" t="s">
        <v>419</v>
      </c>
      <c r="AK1159" s="246"/>
      <c r="AL1159" s="43" t="str">
        <f t="shared" si="293"/>
        <v>-</v>
      </c>
      <c r="AM1159" s="43">
        <f t="shared" si="297"/>
        <v>0</v>
      </c>
      <c r="AN1159" s="193">
        <f t="shared" si="297"/>
        <v>0</v>
      </c>
      <c r="AO1159" s="270" t="str">
        <f t="shared" si="298"/>
        <v>-</v>
      </c>
      <c r="AP1159" s="268"/>
      <c r="AQ1159" s="26" t="str">
        <f t="shared" si="305"/>
        <v>MCCURDY CREEKChinook</v>
      </c>
      <c r="AR1159" s="26">
        <f t="shared" si="299"/>
        <v>0</v>
      </c>
      <c r="AS1159" s="33">
        <f t="shared" si="300"/>
        <v>0</v>
      </c>
      <c r="AX1159" s="47" t="str">
        <f t="shared" si="301"/>
        <v>MCCURDY CREEKChinook</v>
      </c>
      <c r="AY1159" s="49">
        <f t="shared" si="302"/>
        <v>0</v>
      </c>
      <c r="AZ1159" s="49">
        <f t="shared" si="303"/>
        <v>0</v>
      </c>
      <c r="BA1159" s="31">
        <v>0</v>
      </c>
      <c r="BB1159" s="188">
        <f t="shared" si="290"/>
        <v>0</v>
      </c>
      <c r="BC1159" s="188" t="str">
        <f t="shared" si="294"/>
        <v xml:space="preserve"> </v>
      </c>
      <c r="BD1159" s="188" t="str">
        <f t="shared" si="295"/>
        <v xml:space="preserve"> </v>
      </c>
      <c r="BE1159" s="188" t="str">
        <f t="shared" si="296"/>
        <v xml:space="preserve"> </v>
      </c>
      <c r="BF1159" s="50" t="str">
        <f t="shared" si="304"/>
        <v>MCCURDY CREEK_Chinook</v>
      </c>
      <c r="BG1159" s="50" t="str">
        <f>IFERROR(VLOOKUP(BF1159,'[1]WCVI Esc'!$C$5:$W$514,18,FALSE),"-")</f>
        <v>-</v>
      </c>
      <c r="BH1159" s="50" t="str">
        <f t="shared" si="291"/>
        <v>-</v>
      </c>
      <c r="BI1159" s="50" t="str">
        <f>IFERROR(VLOOKUP(BF1159,'[1]WCVI Esc'!$C$5:$W$514,19,FALSE),"-")</f>
        <v>-</v>
      </c>
      <c r="BJ1159" s="50" t="str">
        <f t="shared" si="292"/>
        <v>-</v>
      </c>
    </row>
    <row r="1160" spans="1:62" hidden="1" x14ac:dyDescent="0.2">
      <c r="A1160" s="28">
        <v>4</v>
      </c>
      <c r="B1160" s="29">
        <v>6</v>
      </c>
      <c r="C1160" s="13">
        <v>25</v>
      </c>
      <c r="D1160" s="13" t="s">
        <v>299</v>
      </c>
      <c r="E1160" s="10" t="s">
        <v>197</v>
      </c>
      <c r="F1160" s="10" t="s">
        <v>211</v>
      </c>
      <c r="G1160" s="10"/>
      <c r="H1160" s="152"/>
      <c r="I1160" s="164"/>
      <c r="J1160" s="94"/>
      <c r="K1160" s="62"/>
      <c r="L1160" s="177"/>
      <c r="M1160" s="176"/>
      <c r="N1160" s="106"/>
      <c r="O1160" s="62"/>
      <c r="P1160" s="62"/>
      <c r="Q1160" s="64"/>
      <c r="R1160" s="164"/>
      <c r="S1160" s="62"/>
      <c r="T1160" s="62"/>
      <c r="U1160" s="62"/>
      <c r="V1160" s="177"/>
      <c r="W1160" s="171"/>
      <c r="X1160" s="62"/>
      <c r="Y1160" s="45"/>
      <c r="Z1160" s="45"/>
      <c r="AA1160" s="100"/>
      <c r="AB1160" s="100"/>
      <c r="AC1160" s="24"/>
      <c r="AD1160" s="24"/>
      <c r="AE1160" s="24"/>
      <c r="AF1160" s="24"/>
      <c r="AG1160" s="69">
        <v>25</v>
      </c>
      <c r="AH1160" s="69" t="s">
        <v>299</v>
      </c>
      <c r="AI1160" s="243" t="s">
        <v>197</v>
      </c>
      <c r="AJ1160" s="243" t="s">
        <v>419</v>
      </c>
      <c r="AK1160" s="246"/>
      <c r="AL1160" s="43" t="str">
        <f t="shared" si="293"/>
        <v>-</v>
      </c>
      <c r="AM1160" s="43">
        <f t="shared" si="297"/>
        <v>0</v>
      </c>
      <c r="AN1160" s="193">
        <f t="shared" si="297"/>
        <v>0</v>
      </c>
      <c r="AO1160" s="270" t="str">
        <f t="shared" si="298"/>
        <v>-</v>
      </c>
      <c r="AP1160" s="266"/>
      <c r="AQ1160" s="26" t="str">
        <f t="shared" si="305"/>
        <v>MCCURDY CREEKSteelhead</v>
      </c>
      <c r="AR1160" s="26">
        <f t="shared" si="299"/>
        <v>0</v>
      </c>
      <c r="AS1160" s="33">
        <f t="shared" si="300"/>
        <v>0</v>
      </c>
      <c r="AX1160" s="47" t="str">
        <f t="shared" si="301"/>
        <v>MCCURDY CREEKSteelhead</v>
      </c>
      <c r="AY1160" s="49">
        <f t="shared" si="302"/>
        <v>0</v>
      </c>
      <c r="AZ1160" s="49">
        <f t="shared" si="303"/>
        <v>0</v>
      </c>
      <c r="BA1160" s="31">
        <v>0</v>
      </c>
      <c r="BB1160" s="188">
        <f t="shared" si="290"/>
        <v>0</v>
      </c>
      <c r="BC1160" s="188" t="str">
        <f t="shared" si="294"/>
        <v xml:space="preserve"> </v>
      </c>
      <c r="BD1160" s="188" t="str">
        <f t="shared" si="295"/>
        <v xml:space="preserve"> </v>
      </c>
      <c r="BE1160" s="188" t="str">
        <f t="shared" si="296"/>
        <v xml:space="preserve"> </v>
      </c>
      <c r="BF1160" s="50" t="str">
        <f t="shared" si="304"/>
        <v>MCCURDY CREEK_Steelhead</v>
      </c>
      <c r="BG1160" s="50" t="str">
        <f>IFERROR(VLOOKUP(BF1160,'[1]WCVI Esc'!$C$5:$W$514,18,FALSE),"-")</f>
        <v>-</v>
      </c>
      <c r="BH1160" s="50" t="str">
        <f t="shared" si="291"/>
        <v>-</v>
      </c>
      <c r="BI1160" s="50" t="str">
        <f>IFERROR(VLOOKUP(BF1160,'[1]WCVI Esc'!$C$5:$W$514,19,FALSE),"-")</f>
        <v>-</v>
      </c>
      <c r="BJ1160" s="50" t="str">
        <f t="shared" si="292"/>
        <v>-</v>
      </c>
    </row>
    <row r="1161" spans="1:62" hidden="1" x14ac:dyDescent="0.2">
      <c r="A1161" s="28">
        <v>4</v>
      </c>
      <c r="B1161" s="29">
        <v>1</v>
      </c>
      <c r="C1161" s="13">
        <v>25</v>
      </c>
      <c r="D1161" s="13" t="s">
        <v>300</v>
      </c>
      <c r="E1161" s="10" t="s">
        <v>198</v>
      </c>
      <c r="F1161" s="10" t="s">
        <v>207</v>
      </c>
      <c r="G1161" s="10"/>
      <c r="H1161" s="152"/>
      <c r="I1161" s="164"/>
      <c r="J1161" s="94"/>
      <c r="K1161" s="62"/>
      <c r="L1161" s="177"/>
      <c r="M1161" s="176"/>
      <c r="N1161" s="106"/>
      <c r="O1161" s="62"/>
      <c r="P1161" s="62"/>
      <c r="Q1161" s="64"/>
      <c r="R1161" s="164"/>
      <c r="S1161" s="62"/>
      <c r="T1161" s="62"/>
      <c r="U1161" s="62"/>
      <c r="V1161" s="177"/>
      <c r="W1161" s="171"/>
      <c r="X1161" s="62"/>
      <c r="Y1161" s="45"/>
      <c r="Z1161" s="45"/>
      <c r="AA1161" s="100"/>
      <c r="AB1161" s="100"/>
      <c r="AC1161" s="24"/>
      <c r="AD1161" s="24"/>
      <c r="AE1161" s="24"/>
      <c r="AF1161" s="24"/>
      <c r="AG1161" s="69">
        <v>25</v>
      </c>
      <c r="AH1161" s="69" t="s">
        <v>300</v>
      </c>
      <c r="AI1161" s="243" t="s">
        <v>198</v>
      </c>
      <c r="AJ1161" s="243" t="s">
        <v>419</v>
      </c>
      <c r="AK1161" s="246"/>
      <c r="AL1161" s="43" t="str">
        <f t="shared" si="293"/>
        <v>-</v>
      </c>
      <c r="AM1161" s="43">
        <f t="shared" si="297"/>
        <v>0</v>
      </c>
      <c r="AN1161" s="193">
        <f t="shared" si="297"/>
        <v>0</v>
      </c>
      <c r="AO1161" s="270" t="str">
        <f t="shared" si="298"/>
        <v>-</v>
      </c>
      <c r="AP1161" s="268"/>
      <c r="AQ1161" s="26" t="str">
        <f t="shared" si="305"/>
        <v>MIDDLE ELIZA CREEKSockeye</v>
      </c>
      <c r="AR1161" s="26">
        <f t="shared" si="299"/>
        <v>0</v>
      </c>
      <c r="AS1161" s="33">
        <f t="shared" si="300"/>
        <v>0</v>
      </c>
      <c r="AX1161" s="47" t="str">
        <f t="shared" si="301"/>
        <v>MIDDLE ELIZA CREEKSockeye</v>
      </c>
      <c r="AY1161" s="49">
        <f t="shared" si="302"/>
        <v>0</v>
      </c>
      <c r="AZ1161" s="49">
        <f t="shared" si="303"/>
        <v>0</v>
      </c>
      <c r="BA1161" s="31">
        <v>0</v>
      </c>
      <c r="BB1161" s="188">
        <f t="shared" ref="BB1161:BB1224" si="306">AK1161</f>
        <v>0</v>
      </c>
      <c r="BC1161" s="188" t="str">
        <f t="shared" si="294"/>
        <v xml:space="preserve"> </v>
      </c>
      <c r="BD1161" s="188" t="str">
        <f t="shared" si="295"/>
        <v xml:space="preserve"> </v>
      </c>
      <c r="BE1161" s="188" t="str">
        <f t="shared" si="296"/>
        <v xml:space="preserve"> </v>
      </c>
      <c r="BF1161" s="50" t="str">
        <f t="shared" si="304"/>
        <v>MIDDLE ELIZA CREEK_Sockeye</v>
      </c>
      <c r="BG1161" s="50" t="str">
        <f>IFERROR(VLOOKUP(BF1161,'[1]WCVI Esc'!$C$5:$W$514,18,FALSE),"-")</f>
        <v>-</v>
      </c>
      <c r="BH1161" s="50" t="str">
        <f t="shared" ref="BH1161:BH1224" si="307">IFERROR(ROUND(BG1161,-1),"-")</f>
        <v>-</v>
      </c>
      <c r="BI1161" s="50" t="str">
        <f>IFERROR(VLOOKUP(BF1161,'[1]WCVI Esc'!$C$5:$W$514,19,FALSE),"-")</f>
        <v>-</v>
      </c>
      <c r="BJ1161" s="50" t="str">
        <f t="shared" ref="BJ1161:BJ1224" si="308">IFERROR(ROUND(BI1161,-1),"-")</f>
        <v>-</v>
      </c>
    </row>
    <row r="1162" spans="1:62" hidden="1" x14ac:dyDescent="0.2">
      <c r="A1162" s="28">
        <v>4</v>
      </c>
      <c r="B1162" s="29">
        <v>2</v>
      </c>
      <c r="C1162" s="13">
        <v>25</v>
      </c>
      <c r="D1162" s="13" t="s">
        <v>300</v>
      </c>
      <c r="E1162" s="10" t="s">
        <v>198</v>
      </c>
      <c r="F1162" s="10" t="s">
        <v>219</v>
      </c>
      <c r="G1162" s="10"/>
      <c r="H1162" s="152"/>
      <c r="I1162" s="164"/>
      <c r="J1162" s="94"/>
      <c r="K1162" s="62"/>
      <c r="L1162" s="177"/>
      <c r="M1162" s="176"/>
      <c r="N1162" s="106"/>
      <c r="O1162" s="62"/>
      <c r="P1162" s="62"/>
      <c r="Q1162" s="64"/>
      <c r="R1162" s="164"/>
      <c r="S1162" s="62"/>
      <c r="T1162" s="62"/>
      <c r="U1162" s="62"/>
      <c r="V1162" s="177"/>
      <c r="W1162" s="171"/>
      <c r="X1162" s="62"/>
      <c r="Y1162" s="45"/>
      <c r="Z1162" s="45"/>
      <c r="AA1162" s="100"/>
      <c r="AB1162" s="100"/>
      <c r="AC1162" s="24"/>
      <c r="AD1162" s="24"/>
      <c r="AE1162" s="24"/>
      <c r="AF1162" s="24"/>
      <c r="AG1162" s="69">
        <v>25</v>
      </c>
      <c r="AH1162" s="69" t="s">
        <v>300</v>
      </c>
      <c r="AI1162" s="243" t="s">
        <v>198</v>
      </c>
      <c r="AJ1162" s="243" t="s">
        <v>419</v>
      </c>
      <c r="AK1162" s="246"/>
      <c r="AL1162" s="43" t="str">
        <f t="shared" ref="AL1162:AL1225" si="309">IF(BE1162=" ",IF(BD1162=" ", IF(BC1162=" ","-",BC1162),BD1162), BE1162)</f>
        <v>-</v>
      </c>
      <c r="AM1162" s="43">
        <f t="shared" si="297"/>
        <v>0</v>
      </c>
      <c r="AN1162" s="193">
        <f t="shared" si="297"/>
        <v>0</v>
      </c>
      <c r="AO1162" s="270" t="str">
        <f t="shared" si="298"/>
        <v>-</v>
      </c>
      <c r="AP1162" s="268"/>
      <c r="AQ1162" s="26" t="str">
        <f t="shared" si="305"/>
        <v>MIDDLE ELIZA CREEKCoho</v>
      </c>
      <c r="AR1162" s="26">
        <f t="shared" si="299"/>
        <v>0</v>
      </c>
      <c r="AS1162" s="33">
        <f t="shared" si="300"/>
        <v>0</v>
      </c>
      <c r="AX1162" s="47" t="str">
        <f t="shared" si="301"/>
        <v>MIDDLE ELIZA CREEKCoho</v>
      </c>
      <c r="AY1162" s="49">
        <f t="shared" si="302"/>
        <v>0</v>
      </c>
      <c r="AZ1162" s="49">
        <f t="shared" si="303"/>
        <v>0</v>
      </c>
      <c r="BA1162" s="31">
        <v>1997</v>
      </c>
      <c r="BB1162" s="188">
        <f t="shared" si="306"/>
        <v>0</v>
      </c>
      <c r="BC1162" s="188" t="str">
        <f t="shared" ref="BC1162:BC1225" si="310">IF(ISNUMBER(M1162),M$8,IF(ISNUMBER(L1162),L$8,IF(ISNUMBER(K1162),K$8,IF(ISNUMBER(J1162),J$8,IF(ISNUMBER(I1162),I$8,IF(ISNUMBER(H1162),H$8, IF(ISNUMBER(G1162),G$8," ")))))))</f>
        <v xml:space="preserve"> </v>
      </c>
      <c r="BD1162" s="188" t="str">
        <f t="shared" ref="BD1162:BD1225" si="311">IF(ISNUMBER(S1162),S$8,IF(ISNUMBER(R1162),R$8,IF(ISNUMBER(Q1162),Q$8,IF(ISNUMBER(P1162),P$8,IF(ISNUMBER(O1162),O$8,IF(ISNUMBER(N1162),N$8," "))))))</f>
        <v xml:space="preserve"> </v>
      </c>
      <c r="BE1162" s="188" t="str">
        <f t="shared" ref="BE1162:BE1225" si="312">IF(ISNUMBER(X1162),X$8,IF(ISNUMBER(W1162),W$8,IF(ISNUMBER(V1162),V$8,IF(ISNUMBER(U1162),U$8,IF(ISNUMBER(T1162),T$8," ")))))</f>
        <v xml:space="preserve"> </v>
      </c>
      <c r="BF1162" s="50" t="str">
        <f t="shared" si="304"/>
        <v>MIDDLE ELIZA CREEK_Coho</v>
      </c>
      <c r="BG1162" s="50" t="str">
        <f>IFERROR(VLOOKUP(BF1162,'[1]WCVI Esc'!$C$5:$W$514,18,FALSE),"-")</f>
        <v>-</v>
      </c>
      <c r="BH1162" s="50" t="str">
        <f t="shared" si="307"/>
        <v>-</v>
      </c>
      <c r="BI1162" s="50" t="str">
        <f>IFERROR(VLOOKUP(BF1162,'[1]WCVI Esc'!$C$5:$W$514,19,FALSE),"-")</f>
        <v>-</v>
      </c>
      <c r="BJ1162" s="50" t="str">
        <f t="shared" si="308"/>
        <v>-</v>
      </c>
    </row>
    <row r="1163" spans="1:62" hidden="1" x14ac:dyDescent="0.2">
      <c r="A1163" s="28">
        <v>4</v>
      </c>
      <c r="B1163" s="29">
        <v>3</v>
      </c>
      <c r="C1163" s="13">
        <v>25</v>
      </c>
      <c r="D1163" s="13" t="s">
        <v>300</v>
      </c>
      <c r="E1163" s="10" t="s">
        <v>198</v>
      </c>
      <c r="F1163" s="10" t="s">
        <v>208</v>
      </c>
      <c r="G1163" s="10"/>
      <c r="H1163" s="152"/>
      <c r="I1163" s="164"/>
      <c r="J1163" s="94"/>
      <c r="K1163" s="62"/>
      <c r="L1163" s="177"/>
      <c r="M1163" s="176"/>
      <c r="N1163" s="106"/>
      <c r="O1163" s="62"/>
      <c r="P1163" s="62"/>
      <c r="Q1163" s="64"/>
      <c r="R1163" s="164"/>
      <c r="S1163" s="62"/>
      <c r="T1163" s="62"/>
      <c r="U1163" s="62"/>
      <c r="V1163" s="177"/>
      <c r="W1163" s="171"/>
      <c r="X1163" s="62"/>
      <c r="Y1163" s="45"/>
      <c r="Z1163" s="45"/>
      <c r="AA1163" s="100"/>
      <c r="AB1163" s="100"/>
      <c r="AC1163" s="24"/>
      <c r="AD1163" s="24"/>
      <c r="AE1163" s="24"/>
      <c r="AF1163" s="24"/>
      <c r="AG1163" s="69">
        <v>25</v>
      </c>
      <c r="AH1163" s="69" t="s">
        <v>300</v>
      </c>
      <c r="AI1163" s="243" t="s">
        <v>198</v>
      </c>
      <c r="AJ1163" s="243" t="s">
        <v>419</v>
      </c>
      <c r="AK1163" s="246"/>
      <c r="AL1163" s="43" t="str">
        <f t="shared" si="309"/>
        <v>-</v>
      </c>
      <c r="AM1163" s="43">
        <f t="shared" si="297"/>
        <v>0</v>
      </c>
      <c r="AN1163" s="193">
        <f t="shared" si="297"/>
        <v>0</v>
      </c>
      <c r="AO1163" s="270" t="str">
        <f t="shared" si="298"/>
        <v>-</v>
      </c>
      <c r="AP1163" s="267"/>
      <c r="AQ1163" s="26" t="str">
        <f t="shared" si="305"/>
        <v>MIDDLE ELIZA CREEKPink</v>
      </c>
      <c r="AR1163" s="26">
        <f t="shared" si="299"/>
        <v>0</v>
      </c>
      <c r="AS1163" s="33">
        <f t="shared" si="300"/>
        <v>0</v>
      </c>
      <c r="AX1163" s="47" t="str">
        <f t="shared" si="301"/>
        <v>MIDDLE ELIZA CREEKPink</v>
      </c>
      <c r="AY1163" s="49">
        <f t="shared" si="302"/>
        <v>0</v>
      </c>
      <c r="AZ1163" s="49">
        <f t="shared" si="303"/>
        <v>0</v>
      </c>
      <c r="BA1163" s="31">
        <v>0</v>
      </c>
      <c r="BB1163" s="188">
        <f t="shared" si="306"/>
        <v>0</v>
      </c>
      <c r="BC1163" s="188" t="str">
        <f t="shared" si="310"/>
        <v xml:space="preserve"> </v>
      </c>
      <c r="BD1163" s="188" t="str">
        <f t="shared" si="311"/>
        <v xml:space="preserve"> </v>
      </c>
      <c r="BE1163" s="188" t="str">
        <f t="shared" si="312"/>
        <v xml:space="preserve"> </v>
      </c>
      <c r="BF1163" s="50" t="str">
        <f t="shared" si="304"/>
        <v>MIDDLE ELIZA CREEK_Pink</v>
      </c>
      <c r="BG1163" s="50" t="str">
        <f>IFERROR(VLOOKUP(BF1163,'[1]WCVI Esc'!$C$5:$W$514,18,FALSE),"-")</f>
        <v>-</v>
      </c>
      <c r="BH1163" s="50" t="str">
        <f t="shared" si="307"/>
        <v>-</v>
      </c>
      <c r="BI1163" s="50" t="str">
        <f>IFERROR(VLOOKUP(BF1163,'[1]WCVI Esc'!$C$5:$W$514,19,FALSE),"-")</f>
        <v>-</v>
      </c>
      <c r="BJ1163" s="50" t="str">
        <f t="shared" si="308"/>
        <v>-</v>
      </c>
    </row>
    <row r="1164" spans="1:62" hidden="1" x14ac:dyDescent="0.2">
      <c r="A1164" s="28">
        <v>4</v>
      </c>
      <c r="B1164" s="29">
        <v>4</v>
      </c>
      <c r="C1164" s="13">
        <v>25</v>
      </c>
      <c r="D1164" s="147" t="s">
        <v>300</v>
      </c>
      <c r="E1164" s="10" t="s">
        <v>198</v>
      </c>
      <c r="F1164" s="10" t="s">
        <v>209</v>
      </c>
      <c r="G1164" s="10"/>
      <c r="H1164" s="152"/>
      <c r="I1164" s="164"/>
      <c r="J1164" s="94"/>
      <c r="K1164" s="62"/>
      <c r="L1164" s="177"/>
      <c r="M1164" s="176"/>
      <c r="N1164" s="106"/>
      <c r="O1164" s="62"/>
      <c r="P1164" s="62"/>
      <c r="Q1164" s="64"/>
      <c r="R1164" s="164"/>
      <c r="S1164" s="62"/>
      <c r="T1164" s="62"/>
      <c r="U1164" s="62"/>
      <c r="V1164" s="177"/>
      <c r="W1164" s="171"/>
      <c r="X1164" s="62"/>
      <c r="Y1164" s="45"/>
      <c r="Z1164" s="45"/>
      <c r="AA1164" s="100"/>
      <c r="AB1164" s="100"/>
      <c r="AC1164" s="24"/>
      <c r="AD1164" s="24"/>
      <c r="AE1164" s="24"/>
      <c r="AF1164" s="24"/>
      <c r="AG1164" s="69">
        <v>25</v>
      </c>
      <c r="AH1164" s="69" t="s">
        <v>300</v>
      </c>
      <c r="AI1164" s="243" t="s">
        <v>198</v>
      </c>
      <c r="AJ1164" s="243" t="s">
        <v>419</v>
      </c>
      <c r="AK1164" s="246"/>
      <c r="AL1164" s="43" t="str">
        <f t="shared" si="309"/>
        <v>-</v>
      </c>
      <c r="AM1164" s="43">
        <f t="shared" si="297"/>
        <v>0</v>
      </c>
      <c r="AN1164" s="193">
        <f t="shared" si="297"/>
        <v>0</v>
      </c>
      <c r="AO1164" s="270" t="str">
        <f t="shared" si="298"/>
        <v>-</v>
      </c>
      <c r="AP1164" s="268"/>
      <c r="AQ1164" s="26" t="str">
        <f t="shared" si="305"/>
        <v>MIDDLE ELIZA CREEKChum</v>
      </c>
      <c r="AR1164" s="26">
        <f t="shared" si="299"/>
        <v>0</v>
      </c>
      <c r="AS1164" s="33">
        <f t="shared" si="300"/>
        <v>0</v>
      </c>
      <c r="AX1164" s="47" t="str">
        <f t="shared" si="301"/>
        <v>MIDDLE ELIZA CREEKChum</v>
      </c>
      <c r="AY1164" s="49">
        <f t="shared" si="302"/>
        <v>0</v>
      </c>
      <c r="AZ1164" s="49">
        <f t="shared" si="303"/>
        <v>0</v>
      </c>
      <c r="BA1164" s="31">
        <v>1997</v>
      </c>
      <c r="BB1164" s="188">
        <f t="shared" si="306"/>
        <v>0</v>
      </c>
      <c r="BC1164" s="188" t="str">
        <f t="shared" si="310"/>
        <v xml:space="preserve"> </v>
      </c>
      <c r="BD1164" s="188" t="str">
        <f t="shared" si="311"/>
        <v xml:space="preserve"> </v>
      </c>
      <c r="BE1164" s="188" t="str">
        <f t="shared" si="312"/>
        <v xml:space="preserve"> </v>
      </c>
      <c r="BF1164" s="50" t="str">
        <f t="shared" si="304"/>
        <v>MIDDLE ELIZA CREEK_Chum</v>
      </c>
      <c r="BG1164" s="50" t="str">
        <f>IFERROR(VLOOKUP(BF1164,'[1]WCVI Esc'!$C$5:$W$514,18,FALSE),"-")</f>
        <v>-</v>
      </c>
      <c r="BH1164" s="50" t="str">
        <f t="shared" si="307"/>
        <v>-</v>
      </c>
      <c r="BI1164" s="50" t="str">
        <f>IFERROR(VLOOKUP(BF1164,'[1]WCVI Esc'!$C$5:$W$514,19,FALSE),"-")</f>
        <v>-</v>
      </c>
      <c r="BJ1164" s="50" t="str">
        <f t="shared" si="308"/>
        <v>-</v>
      </c>
    </row>
    <row r="1165" spans="1:62" x14ac:dyDescent="0.2">
      <c r="A1165" s="28">
        <v>4</v>
      </c>
      <c r="B1165" s="29">
        <v>5</v>
      </c>
      <c r="C1165" s="13">
        <v>25</v>
      </c>
      <c r="D1165" s="147" t="s">
        <v>300</v>
      </c>
      <c r="E1165" s="10" t="s">
        <v>198</v>
      </c>
      <c r="F1165" s="10" t="s">
        <v>210</v>
      </c>
      <c r="G1165" s="10"/>
      <c r="H1165" s="152"/>
      <c r="I1165" s="164"/>
      <c r="J1165" s="94"/>
      <c r="K1165" s="62"/>
      <c r="L1165" s="177"/>
      <c r="M1165" s="176"/>
      <c r="N1165" s="106"/>
      <c r="O1165" s="62"/>
      <c r="P1165" s="62"/>
      <c r="Q1165" s="64"/>
      <c r="R1165" s="164"/>
      <c r="S1165" s="62"/>
      <c r="T1165" s="62"/>
      <c r="U1165" s="62"/>
      <c r="V1165" s="177"/>
      <c r="W1165" s="171"/>
      <c r="X1165" s="62"/>
      <c r="Y1165" s="45"/>
      <c r="Z1165" s="45"/>
      <c r="AA1165" s="100"/>
      <c r="AB1165" s="100"/>
      <c r="AC1165" s="24"/>
      <c r="AD1165" s="24"/>
      <c r="AE1165" s="24"/>
      <c r="AF1165" s="24"/>
      <c r="AG1165" s="69">
        <v>25</v>
      </c>
      <c r="AH1165" s="69" t="s">
        <v>300</v>
      </c>
      <c r="AI1165" s="243" t="s">
        <v>198</v>
      </c>
      <c r="AJ1165" s="243" t="s">
        <v>419</v>
      </c>
      <c r="AK1165" s="246"/>
      <c r="AL1165" s="43" t="str">
        <f t="shared" si="309"/>
        <v>-</v>
      </c>
      <c r="AM1165" s="43">
        <f t="shared" si="297"/>
        <v>0</v>
      </c>
      <c r="AN1165" s="193">
        <f t="shared" si="297"/>
        <v>0</v>
      </c>
      <c r="AO1165" s="270" t="str">
        <f t="shared" si="298"/>
        <v>-</v>
      </c>
      <c r="AP1165" s="268"/>
      <c r="AQ1165" s="26" t="str">
        <f t="shared" si="305"/>
        <v>MIDDLE ELIZA CREEKChinook</v>
      </c>
      <c r="AR1165" s="26">
        <f t="shared" si="299"/>
        <v>0</v>
      </c>
      <c r="AS1165" s="33">
        <f t="shared" si="300"/>
        <v>0</v>
      </c>
      <c r="AX1165" s="47" t="str">
        <f t="shared" si="301"/>
        <v>MIDDLE ELIZA CREEKChinook</v>
      </c>
      <c r="AY1165" s="49">
        <f t="shared" si="302"/>
        <v>0</v>
      </c>
      <c r="AZ1165" s="49">
        <f t="shared" si="303"/>
        <v>0</v>
      </c>
      <c r="BA1165" s="31">
        <v>0</v>
      </c>
      <c r="BB1165" s="188">
        <f t="shared" si="306"/>
        <v>0</v>
      </c>
      <c r="BC1165" s="188" t="str">
        <f t="shared" si="310"/>
        <v xml:space="preserve"> </v>
      </c>
      <c r="BD1165" s="188" t="str">
        <f t="shared" si="311"/>
        <v xml:space="preserve"> </v>
      </c>
      <c r="BE1165" s="188" t="str">
        <f t="shared" si="312"/>
        <v xml:space="preserve"> </v>
      </c>
      <c r="BF1165" s="50" t="str">
        <f t="shared" si="304"/>
        <v>MIDDLE ELIZA CREEK_Chinook</v>
      </c>
      <c r="BG1165" s="50" t="str">
        <f>IFERROR(VLOOKUP(BF1165,'[1]WCVI Esc'!$C$5:$W$514,18,FALSE),"-")</f>
        <v>-</v>
      </c>
      <c r="BH1165" s="50" t="str">
        <f t="shared" si="307"/>
        <v>-</v>
      </c>
      <c r="BI1165" s="50" t="str">
        <f>IFERROR(VLOOKUP(BF1165,'[1]WCVI Esc'!$C$5:$W$514,19,FALSE),"-")</f>
        <v>-</v>
      </c>
      <c r="BJ1165" s="50" t="str">
        <f t="shared" si="308"/>
        <v>-</v>
      </c>
    </row>
    <row r="1166" spans="1:62" hidden="1" x14ac:dyDescent="0.2">
      <c r="A1166" s="28">
        <v>4</v>
      </c>
      <c r="B1166" s="29">
        <v>6</v>
      </c>
      <c r="C1166" s="13">
        <v>25</v>
      </c>
      <c r="D1166" s="147" t="s">
        <v>300</v>
      </c>
      <c r="E1166" s="10" t="s">
        <v>198</v>
      </c>
      <c r="F1166" s="10" t="s">
        <v>211</v>
      </c>
      <c r="G1166" s="10"/>
      <c r="H1166" s="152"/>
      <c r="I1166" s="164"/>
      <c r="J1166" s="94"/>
      <c r="K1166" s="62"/>
      <c r="L1166" s="177"/>
      <c r="M1166" s="176"/>
      <c r="N1166" s="106"/>
      <c r="O1166" s="62"/>
      <c r="P1166" s="62"/>
      <c r="Q1166" s="64"/>
      <c r="R1166" s="164"/>
      <c r="S1166" s="62"/>
      <c r="T1166" s="62"/>
      <c r="U1166" s="62"/>
      <c r="V1166" s="177"/>
      <c r="W1166" s="171"/>
      <c r="X1166" s="62"/>
      <c r="Y1166" s="45"/>
      <c r="Z1166" s="45"/>
      <c r="AA1166" s="100"/>
      <c r="AB1166" s="100"/>
      <c r="AC1166" s="24"/>
      <c r="AD1166" s="24"/>
      <c r="AE1166" s="24"/>
      <c r="AF1166" s="24"/>
      <c r="AG1166" s="69">
        <v>25</v>
      </c>
      <c r="AH1166" s="69" t="s">
        <v>300</v>
      </c>
      <c r="AI1166" s="243" t="s">
        <v>198</v>
      </c>
      <c r="AJ1166" s="243" t="s">
        <v>419</v>
      </c>
      <c r="AK1166" s="246"/>
      <c r="AL1166" s="43" t="str">
        <f t="shared" si="309"/>
        <v>-</v>
      </c>
      <c r="AM1166" s="43">
        <f t="shared" si="297"/>
        <v>0</v>
      </c>
      <c r="AN1166" s="193">
        <f t="shared" si="297"/>
        <v>0</v>
      </c>
      <c r="AO1166" s="270" t="str">
        <f t="shared" si="298"/>
        <v>-</v>
      </c>
      <c r="AP1166" s="266"/>
      <c r="AQ1166" s="26" t="str">
        <f t="shared" si="305"/>
        <v>MIDDLE ELIZA CREEKSteelhead</v>
      </c>
      <c r="AR1166" s="26">
        <f t="shared" si="299"/>
        <v>0</v>
      </c>
      <c r="AS1166" s="33">
        <f t="shared" si="300"/>
        <v>0</v>
      </c>
      <c r="AX1166" s="47" t="str">
        <f t="shared" si="301"/>
        <v>MIDDLE ELIZA CREEKSteelhead</v>
      </c>
      <c r="AY1166" s="49">
        <f t="shared" si="302"/>
        <v>0</v>
      </c>
      <c r="AZ1166" s="49">
        <f t="shared" si="303"/>
        <v>0</v>
      </c>
      <c r="BA1166" s="31">
        <v>0</v>
      </c>
      <c r="BB1166" s="188">
        <f t="shared" si="306"/>
        <v>0</v>
      </c>
      <c r="BC1166" s="188" t="str">
        <f t="shared" si="310"/>
        <v xml:space="preserve"> </v>
      </c>
      <c r="BD1166" s="188" t="str">
        <f t="shared" si="311"/>
        <v xml:space="preserve"> </v>
      </c>
      <c r="BE1166" s="188" t="str">
        <f t="shared" si="312"/>
        <v xml:space="preserve"> </v>
      </c>
      <c r="BF1166" s="50" t="str">
        <f t="shared" si="304"/>
        <v>MIDDLE ELIZA CREEK_Steelhead</v>
      </c>
      <c r="BG1166" s="50" t="str">
        <f>IFERROR(VLOOKUP(BF1166,'[1]WCVI Esc'!$C$5:$W$514,18,FALSE),"-")</f>
        <v>-</v>
      </c>
      <c r="BH1166" s="50" t="str">
        <f t="shared" si="307"/>
        <v>-</v>
      </c>
      <c r="BI1166" s="50" t="str">
        <f>IFERROR(VLOOKUP(BF1166,'[1]WCVI Esc'!$C$5:$W$514,19,FALSE),"-")</f>
        <v>-</v>
      </c>
      <c r="BJ1166" s="50" t="str">
        <f t="shared" si="308"/>
        <v>-</v>
      </c>
    </row>
    <row r="1167" spans="1:62" hidden="1" x14ac:dyDescent="0.2">
      <c r="A1167" s="28">
        <v>4</v>
      </c>
      <c r="B1167" s="28">
        <v>1</v>
      </c>
      <c r="C1167" s="11">
        <v>25</v>
      </c>
      <c r="D1167" s="147" t="s">
        <v>299</v>
      </c>
      <c r="E1167" s="10" t="s">
        <v>147</v>
      </c>
      <c r="F1167" s="10" t="s">
        <v>207</v>
      </c>
      <c r="G1167" s="10"/>
      <c r="H1167" s="152"/>
      <c r="I1167" s="155"/>
      <c r="J1167" s="106"/>
      <c r="K1167" s="94"/>
      <c r="L1167" s="180"/>
      <c r="M1167" s="173"/>
      <c r="N1167" s="106"/>
      <c r="O1167" s="106"/>
      <c r="P1167" s="63"/>
      <c r="Q1167" s="162"/>
      <c r="R1167" s="164"/>
      <c r="S1167" s="62"/>
      <c r="T1167" s="63"/>
      <c r="U1167" s="62"/>
      <c r="V1167" s="177"/>
      <c r="W1167" s="171"/>
      <c r="X1167" s="62"/>
      <c r="Y1167" s="45"/>
      <c r="Z1167" s="44"/>
      <c r="AA1167" s="100">
        <f>Y1167/AP1167</f>
        <v>0</v>
      </c>
      <c r="AB1167" s="100">
        <f>AS1167/AP1167</f>
        <v>0</v>
      </c>
      <c r="AG1167" s="18">
        <v>25</v>
      </c>
      <c r="AH1167" s="69" t="s">
        <v>299</v>
      </c>
      <c r="AI1167" s="243" t="s">
        <v>147</v>
      </c>
      <c r="AJ1167" s="243" t="s">
        <v>419</v>
      </c>
      <c r="AK1167" s="246"/>
      <c r="AL1167" s="43" t="str">
        <f t="shared" si="309"/>
        <v>-</v>
      </c>
      <c r="AM1167" s="43">
        <f t="shared" si="297"/>
        <v>0</v>
      </c>
      <c r="AN1167" s="193">
        <f t="shared" si="297"/>
        <v>0</v>
      </c>
      <c r="AO1167" s="264">
        <f t="shared" si="298"/>
        <v>0</v>
      </c>
      <c r="AP1167" s="265">
        <f>BJ1167</f>
        <v>20</v>
      </c>
      <c r="AQ1167" s="26" t="str">
        <f t="shared" si="305"/>
        <v>MOOYAH RIVERSockeye</v>
      </c>
      <c r="AR1167" s="26">
        <f t="shared" si="299"/>
        <v>0</v>
      </c>
      <c r="AS1167" s="33">
        <f t="shared" si="300"/>
        <v>0</v>
      </c>
      <c r="AX1167" s="47" t="str">
        <f t="shared" si="301"/>
        <v>MOOYAH RIVERSockeye</v>
      </c>
      <c r="AY1167" s="49">
        <f t="shared" si="302"/>
        <v>0</v>
      </c>
      <c r="AZ1167" s="49">
        <f t="shared" si="303"/>
        <v>0</v>
      </c>
      <c r="BA1167" s="31">
        <v>2011</v>
      </c>
      <c r="BB1167" s="188">
        <f t="shared" si="306"/>
        <v>0</v>
      </c>
      <c r="BC1167" s="188" t="str">
        <f t="shared" si="310"/>
        <v xml:space="preserve"> </v>
      </c>
      <c r="BD1167" s="188" t="str">
        <f t="shared" si="311"/>
        <v xml:space="preserve"> </v>
      </c>
      <c r="BE1167" s="188" t="str">
        <f t="shared" si="312"/>
        <v xml:space="preserve"> </v>
      </c>
      <c r="BF1167" s="50" t="str">
        <f t="shared" si="304"/>
        <v>MOOYAH RIVER_Sockeye</v>
      </c>
      <c r="BG1167" s="50">
        <f>IFERROR(VLOOKUP(BF1167,'[1]WCVI Esc'!$C$5:$W$534,18,FALSE),"-")</f>
        <v>2</v>
      </c>
      <c r="BH1167" s="50">
        <f t="shared" si="307"/>
        <v>0</v>
      </c>
      <c r="BI1167" s="50">
        <f>IFERROR(VLOOKUP(BF1167,'[1]WCVI Esc'!$C$5:$W$534,19,FALSE),"-")</f>
        <v>23.5</v>
      </c>
      <c r="BJ1167" s="50">
        <f t="shared" si="308"/>
        <v>20</v>
      </c>
    </row>
    <row r="1168" spans="1:62" hidden="1" x14ac:dyDescent="0.2">
      <c r="A1168" s="28">
        <v>4</v>
      </c>
      <c r="B1168" s="28">
        <v>2</v>
      </c>
      <c r="C1168" s="11">
        <v>25</v>
      </c>
      <c r="D1168" s="147" t="s">
        <v>299</v>
      </c>
      <c r="E1168" s="10" t="s">
        <v>147</v>
      </c>
      <c r="F1168" s="10" t="s">
        <v>219</v>
      </c>
      <c r="G1168" s="10"/>
      <c r="H1168" s="152"/>
      <c r="I1168" s="155"/>
      <c r="J1168" s="106"/>
      <c r="K1168" s="94"/>
      <c r="L1168" s="180"/>
      <c r="M1168" s="173"/>
      <c r="N1168" s="106"/>
      <c r="O1168" s="106"/>
      <c r="P1168" s="63"/>
      <c r="Q1168" s="162"/>
      <c r="R1168" s="164"/>
      <c r="S1168" s="62"/>
      <c r="T1168" s="63"/>
      <c r="U1168" s="62"/>
      <c r="V1168" s="177"/>
      <c r="W1168" s="171"/>
      <c r="X1168" s="62"/>
      <c r="Y1168" s="45"/>
      <c r="Z1168" s="44"/>
      <c r="AA1168" s="100">
        <f>Y1168/AP1168</f>
        <v>0</v>
      </c>
      <c r="AB1168" s="100">
        <f>AS1168/AP1168</f>
        <v>0</v>
      </c>
      <c r="AG1168" s="18">
        <v>25</v>
      </c>
      <c r="AH1168" s="69" t="s">
        <v>299</v>
      </c>
      <c r="AI1168" s="243" t="s">
        <v>147</v>
      </c>
      <c r="AJ1168" s="243" t="s">
        <v>419</v>
      </c>
      <c r="AK1168" s="246"/>
      <c r="AL1168" s="43" t="str">
        <f t="shared" si="309"/>
        <v>-</v>
      </c>
      <c r="AM1168" s="43">
        <f t="shared" si="297"/>
        <v>0</v>
      </c>
      <c r="AN1168" s="193">
        <f t="shared" si="297"/>
        <v>0</v>
      </c>
      <c r="AO1168" s="264" t="str">
        <f t="shared" si="298"/>
        <v>-</v>
      </c>
      <c r="AP1168" s="265">
        <f>BJ1168</f>
        <v>220</v>
      </c>
      <c r="AQ1168" s="26" t="str">
        <f t="shared" si="305"/>
        <v>MOOYAH RIVERCoho</v>
      </c>
      <c r="AR1168" s="26">
        <f t="shared" si="299"/>
        <v>0</v>
      </c>
      <c r="AS1168" s="33">
        <f t="shared" si="300"/>
        <v>0</v>
      </c>
      <c r="AX1168" s="47" t="str">
        <f t="shared" si="301"/>
        <v>MOOYAH RIVERCoho</v>
      </c>
      <c r="AY1168" s="49">
        <f t="shared" si="302"/>
        <v>0</v>
      </c>
      <c r="AZ1168" s="49">
        <f t="shared" si="303"/>
        <v>0</v>
      </c>
      <c r="BA1168" s="31">
        <v>2011</v>
      </c>
      <c r="BB1168" s="188">
        <f t="shared" si="306"/>
        <v>0</v>
      </c>
      <c r="BC1168" s="188" t="str">
        <f t="shared" si="310"/>
        <v xml:space="preserve"> </v>
      </c>
      <c r="BD1168" s="188" t="str">
        <f t="shared" si="311"/>
        <v xml:space="preserve"> </v>
      </c>
      <c r="BE1168" s="188" t="str">
        <f t="shared" si="312"/>
        <v xml:space="preserve"> </v>
      </c>
      <c r="BF1168" s="50" t="str">
        <f t="shared" si="304"/>
        <v>MOOYAH RIVER_Coho</v>
      </c>
      <c r="BG1168" s="50" t="str">
        <f>IFERROR(VLOOKUP(BF1168,'[1]WCVI Esc'!$C$5:$W$534,18,FALSE),"-")</f>
        <v>-</v>
      </c>
      <c r="BH1168" s="50" t="str">
        <f t="shared" si="307"/>
        <v>-</v>
      </c>
      <c r="BI1168" s="50">
        <f>IFERROR(VLOOKUP(BF1168,'[1]WCVI Esc'!$C$5:$W$534,19,FALSE),"-")</f>
        <v>223</v>
      </c>
      <c r="BJ1168" s="50">
        <f t="shared" si="308"/>
        <v>220</v>
      </c>
    </row>
    <row r="1169" spans="1:62" hidden="1" x14ac:dyDescent="0.2">
      <c r="A1169" s="28">
        <v>4</v>
      </c>
      <c r="B1169" s="28">
        <v>3</v>
      </c>
      <c r="C1169" s="11">
        <v>25</v>
      </c>
      <c r="D1169" s="147" t="s">
        <v>299</v>
      </c>
      <c r="E1169" s="10" t="s">
        <v>147</v>
      </c>
      <c r="F1169" s="10" t="s">
        <v>208</v>
      </c>
      <c r="G1169" s="10"/>
      <c r="H1169" s="152"/>
      <c r="I1169" s="155"/>
      <c r="J1169" s="106"/>
      <c r="K1169" s="94"/>
      <c r="L1169" s="180"/>
      <c r="M1169" s="173"/>
      <c r="N1169" s="106"/>
      <c r="O1169" s="106"/>
      <c r="P1169" s="63"/>
      <c r="Q1169" s="162"/>
      <c r="R1169" s="164"/>
      <c r="S1169" s="62"/>
      <c r="T1169" s="63"/>
      <c r="U1169" s="62"/>
      <c r="V1169" s="177"/>
      <c r="W1169" s="171"/>
      <c r="X1169" s="62"/>
      <c r="Y1169" s="45"/>
      <c r="Z1169" s="44"/>
      <c r="AA1169" s="100"/>
      <c r="AB1169" s="100"/>
      <c r="AG1169" s="18">
        <v>25</v>
      </c>
      <c r="AH1169" s="69" t="s">
        <v>299</v>
      </c>
      <c r="AI1169" s="243" t="s">
        <v>147</v>
      </c>
      <c r="AJ1169" s="243" t="s">
        <v>419</v>
      </c>
      <c r="AK1169" s="246"/>
      <c r="AL1169" s="43" t="str">
        <f t="shared" si="309"/>
        <v>-</v>
      </c>
      <c r="AM1169" s="43">
        <f t="shared" si="297"/>
        <v>0</v>
      </c>
      <c r="AN1169" s="193">
        <f t="shared" si="297"/>
        <v>0</v>
      </c>
      <c r="AO1169" s="264" t="str">
        <f t="shared" si="298"/>
        <v>-</v>
      </c>
      <c r="AP1169" s="266"/>
      <c r="AQ1169" s="26" t="str">
        <f t="shared" si="305"/>
        <v>MOOYAH RIVERPink</v>
      </c>
      <c r="AR1169" s="26">
        <f t="shared" si="299"/>
        <v>0</v>
      </c>
      <c r="AS1169" s="33">
        <f t="shared" si="300"/>
        <v>0</v>
      </c>
      <c r="AX1169" s="47" t="str">
        <f t="shared" si="301"/>
        <v>MOOYAH RIVERPink</v>
      </c>
      <c r="AY1169" s="49">
        <f t="shared" si="302"/>
        <v>0</v>
      </c>
      <c r="AZ1169" s="49">
        <f t="shared" si="303"/>
        <v>0</v>
      </c>
      <c r="BA1169" s="31">
        <v>0</v>
      </c>
      <c r="BB1169" s="188">
        <f t="shared" si="306"/>
        <v>0</v>
      </c>
      <c r="BC1169" s="188" t="str">
        <f t="shared" si="310"/>
        <v xml:space="preserve"> </v>
      </c>
      <c r="BD1169" s="188" t="str">
        <f t="shared" si="311"/>
        <v xml:space="preserve"> </v>
      </c>
      <c r="BE1169" s="188" t="str">
        <f t="shared" si="312"/>
        <v xml:space="preserve"> </v>
      </c>
      <c r="BF1169" s="50" t="str">
        <f t="shared" si="304"/>
        <v>MOOYAH RIVER_Pink</v>
      </c>
      <c r="BG1169" s="50" t="str">
        <f>IFERROR(VLOOKUP(BF1169,'[1]WCVI Esc'!$C$5:$W$534,18,FALSE),"-")</f>
        <v>-</v>
      </c>
      <c r="BH1169" s="50" t="str">
        <f t="shared" si="307"/>
        <v>-</v>
      </c>
      <c r="BI1169" s="50" t="str">
        <f>IFERROR(VLOOKUP(BF1169,'[1]WCVI Esc'!$C$5:$W$534,19,FALSE),"-")</f>
        <v>-</v>
      </c>
      <c r="BJ1169" s="50" t="str">
        <f t="shared" si="308"/>
        <v>-</v>
      </c>
    </row>
    <row r="1170" spans="1:62" hidden="1" x14ac:dyDescent="0.2">
      <c r="A1170" s="28">
        <v>4</v>
      </c>
      <c r="B1170" s="28">
        <v>4</v>
      </c>
      <c r="C1170" s="11">
        <v>25</v>
      </c>
      <c r="D1170" s="147" t="s">
        <v>299</v>
      </c>
      <c r="E1170" s="10" t="s">
        <v>147</v>
      </c>
      <c r="F1170" s="10" t="s">
        <v>209</v>
      </c>
      <c r="G1170" s="10"/>
      <c r="H1170" s="152"/>
      <c r="I1170" s="155"/>
      <c r="J1170" s="106"/>
      <c r="K1170" s="94"/>
      <c r="L1170" s="180"/>
      <c r="M1170" s="173"/>
      <c r="N1170" s="106"/>
      <c r="O1170" s="106"/>
      <c r="P1170" s="63"/>
      <c r="Q1170" s="162"/>
      <c r="R1170" s="164"/>
      <c r="S1170" s="62"/>
      <c r="T1170" s="63"/>
      <c r="U1170" s="62"/>
      <c r="V1170" s="177"/>
      <c r="W1170" s="171"/>
      <c r="X1170" s="62"/>
      <c r="Y1170" s="45"/>
      <c r="Z1170" s="44"/>
      <c r="AA1170" s="100">
        <f>Y1170/AP1170</f>
        <v>0</v>
      </c>
      <c r="AB1170" s="100">
        <f>AS1170/AP1170</f>
        <v>0</v>
      </c>
      <c r="AG1170" s="18">
        <v>25</v>
      </c>
      <c r="AH1170" s="69" t="s">
        <v>299</v>
      </c>
      <c r="AI1170" s="243" t="s">
        <v>147</v>
      </c>
      <c r="AJ1170" s="243" t="s">
        <v>419</v>
      </c>
      <c r="AK1170" s="246"/>
      <c r="AL1170" s="43" t="str">
        <f t="shared" si="309"/>
        <v>-</v>
      </c>
      <c r="AM1170" s="43">
        <f t="shared" si="297"/>
        <v>0</v>
      </c>
      <c r="AN1170" s="193">
        <f t="shared" si="297"/>
        <v>0</v>
      </c>
      <c r="AO1170" s="264">
        <f t="shared" si="298"/>
        <v>40</v>
      </c>
      <c r="AP1170" s="265">
        <f>BJ1170</f>
        <v>160</v>
      </c>
      <c r="AQ1170" s="26" t="str">
        <f t="shared" si="305"/>
        <v>MOOYAH RIVERChum</v>
      </c>
      <c r="AR1170" s="26">
        <f t="shared" si="299"/>
        <v>0</v>
      </c>
      <c r="AS1170" s="33">
        <f t="shared" si="300"/>
        <v>0</v>
      </c>
      <c r="AX1170" s="47" t="str">
        <f t="shared" si="301"/>
        <v>MOOYAH RIVERChum</v>
      </c>
      <c r="AY1170" s="49">
        <f t="shared" si="302"/>
        <v>0</v>
      </c>
      <c r="AZ1170" s="49">
        <f t="shared" si="303"/>
        <v>0</v>
      </c>
      <c r="BA1170" s="31">
        <v>2011</v>
      </c>
      <c r="BB1170" s="188">
        <f t="shared" si="306"/>
        <v>0</v>
      </c>
      <c r="BC1170" s="188" t="str">
        <f t="shared" si="310"/>
        <v xml:space="preserve"> </v>
      </c>
      <c r="BD1170" s="188" t="str">
        <f t="shared" si="311"/>
        <v xml:space="preserve"> </v>
      </c>
      <c r="BE1170" s="188" t="str">
        <f t="shared" si="312"/>
        <v xml:space="preserve"> </v>
      </c>
      <c r="BF1170" s="50" t="str">
        <f t="shared" si="304"/>
        <v>MOOYAH RIVER_Chum</v>
      </c>
      <c r="BG1170" s="50">
        <f>IFERROR(VLOOKUP(BF1170,'[1]WCVI Esc'!$C$5:$W$534,18,FALSE),"-")</f>
        <v>40</v>
      </c>
      <c r="BH1170" s="50">
        <f t="shared" si="307"/>
        <v>40</v>
      </c>
      <c r="BI1170" s="50">
        <f>IFERROR(VLOOKUP(BF1170,'[1]WCVI Esc'!$C$5:$W$534,19,FALSE),"-")</f>
        <v>161</v>
      </c>
      <c r="BJ1170" s="50">
        <f t="shared" si="308"/>
        <v>160</v>
      </c>
    </row>
    <row r="1171" spans="1:62" x14ac:dyDescent="0.2">
      <c r="A1171" s="28">
        <v>4</v>
      </c>
      <c r="B1171" s="28">
        <v>5</v>
      </c>
      <c r="C1171" s="11">
        <v>25</v>
      </c>
      <c r="D1171" s="147" t="s">
        <v>299</v>
      </c>
      <c r="E1171" s="10" t="s">
        <v>147</v>
      </c>
      <c r="F1171" s="10" t="s">
        <v>210</v>
      </c>
      <c r="G1171" s="10"/>
      <c r="H1171" s="152"/>
      <c r="I1171" s="155"/>
      <c r="J1171" s="106"/>
      <c r="K1171" s="94"/>
      <c r="L1171" s="180"/>
      <c r="M1171" s="173"/>
      <c r="N1171" s="106"/>
      <c r="O1171" s="106"/>
      <c r="P1171" s="63"/>
      <c r="Q1171" s="162"/>
      <c r="R1171" s="164"/>
      <c r="S1171" s="62"/>
      <c r="T1171" s="63"/>
      <c r="U1171" s="62"/>
      <c r="V1171" s="177"/>
      <c r="W1171" s="171"/>
      <c r="X1171" s="62"/>
      <c r="Y1171" s="45"/>
      <c r="Z1171" s="44"/>
      <c r="AA1171" s="100">
        <f>Y1171/AP1171</f>
        <v>0</v>
      </c>
      <c r="AB1171" s="100">
        <f>AS1171/AP1171</f>
        <v>0</v>
      </c>
      <c r="AF1171" s="123">
        <f>Y1171</f>
        <v>0</v>
      </c>
      <c r="AG1171" s="18">
        <v>25</v>
      </c>
      <c r="AH1171" s="69" t="s">
        <v>299</v>
      </c>
      <c r="AI1171" s="243" t="s">
        <v>147</v>
      </c>
      <c r="AJ1171" s="243" t="s">
        <v>419</v>
      </c>
      <c r="AK1171" s="246"/>
      <c r="AL1171" s="43" t="str">
        <f t="shared" si="309"/>
        <v>-</v>
      </c>
      <c r="AM1171" s="43">
        <f t="shared" si="297"/>
        <v>0</v>
      </c>
      <c r="AN1171" s="193">
        <f t="shared" si="297"/>
        <v>0</v>
      </c>
      <c r="AO1171" s="264" t="str">
        <f t="shared" si="298"/>
        <v>-</v>
      </c>
      <c r="AP1171" s="265">
        <f>BJ1171</f>
        <v>20</v>
      </c>
      <c r="AQ1171" s="26" t="str">
        <f t="shared" si="305"/>
        <v>MOOYAH RIVERChinook</v>
      </c>
      <c r="AR1171" s="26">
        <f t="shared" si="299"/>
        <v>0</v>
      </c>
      <c r="AS1171" s="33">
        <f t="shared" si="300"/>
        <v>0</v>
      </c>
      <c r="AX1171" s="47" t="str">
        <f t="shared" si="301"/>
        <v>MOOYAH RIVERChinook</v>
      </c>
      <c r="AY1171" s="49">
        <f t="shared" si="302"/>
        <v>0</v>
      </c>
      <c r="AZ1171" s="49">
        <f t="shared" si="303"/>
        <v>0</v>
      </c>
      <c r="BA1171" s="31">
        <v>2011</v>
      </c>
      <c r="BB1171" s="188">
        <f t="shared" si="306"/>
        <v>0</v>
      </c>
      <c r="BC1171" s="188" t="str">
        <f t="shared" si="310"/>
        <v xml:space="preserve"> </v>
      </c>
      <c r="BD1171" s="188" t="str">
        <f t="shared" si="311"/>
        <v xml:space="preserve"> </v>
      </c>
      <c r="BE1171" s="188" t="str">
        <f t="shared" si="312"/>
        <v xml:space="preserve"> </v>
      </c>
      <c r="BF1171" s="50" t="str">
        <f t="shared" si="304"/>
        <v>MOOYAH RIVER_Chinook</v>
      </c>
      <c r="BG1171" s="50" t="str">
        <f>IFERROR(VLOOKUP(BF1171,'[1]WCVI Esc'!$C$5:$W$534,18,FALSE),"-")</f>
        <v>-</v>
      </c>
      <c r="BH1171" s="50" t="str">
        <f t="shared" si="307"/>
        <v>-</v>
      </c>
      <c r="BI1171" s="50">
        <f>IFERROR(VLOOKUP(BF1171,'[1]WCVI Esc'!$C$5:$W$534,19,FALSE),"-")</f>
        <v>17</v>
      </c>
      <c r="BJ1171" s="50">
        <f t="shared" si="308"/>
        <v>20</v>
      </c>
    </row>
    <row r="1172" spans="1:62" hidden="1" x14ac:dyDescent="0.2">
      <c r="A1172" s="28">
        <v>4</v>
      </c>
      <c r="B1172" s="28">
        <v>6</v>
      </c>
      <c r="C1172" s="11">
        <v>25</v>
      </c>
      <c r="D1172" s="147" t="s">
        <v>299</v>
      </c>
      <c r="E1172" s="10" t="s">
        <v>147</v>
      </c>
      <c r="F1172" s="10" t="s">
        <v>211</v>
      </c>
      <c r="G1172" s="10"/>
      <c r="H1172" s="152"/>
      <c r="I1172" s="155"/>
      <c r="J1172" s="106"/>
      <c r="K1172" s="94"/>
      <c r="L1172" s="180"/>
      <c r="M1172" s="173"/>
      <c r="N1172" s="106"/>
      <c r="O1172" s="106"/>
      <c r="P1172" s="63"/>
      <c r="Q1172" s="162"/>
      <c r="R1172" s="164"/>
      <c r="S1172" s="62"/>
      <c r="T1172" s="63"/>
      <c r="U1172" s="62"/>
      <c r="V1172" s="177"/>
      <c r="W1172" s="171"/>
      <c r="X1172" s="62"/>
      <c r="Y1172" s="45"/>
      <c r="Z1172" s="44"/>
      <c r="AA1172" s="100"/>
      <c r="AB1172" s="100"/>
      <c r="AG1172" s="18">
        <v>25</v>
      </c>
      <c r="AH1172" s="69" t="s">
        <v>299</v>
      </c>
      <c r="AI1172" s="243" t="s">
        <v>147</v>
      </c>
      <c r="AJ1172" s="243" t="s">
        <v>419</v>
      </c>
      <c r="AK1172" s="246"/>
      <c r="AL1172" s="43" t="str">
        <f t="shared" si="309"/>
        <v>-</v>
      </c>
      <c r="AM1172" s="43">
        <f t="shared" si="297"/>
        <v>0</v>
      </c>
      <c r="AN1172" s="193">
        <f t="shared" si="297"/>
        <v>0</v>
      </c>
      <c r="AO1172" s="264" t="str">
        <f t="shared" si="298"/>
        <v>-</v>
      </c>
      <c r="AP1172" s="267"/>
      <c r="AQ1172" s="26" t="str">
        <f t="shared" si="305"/>
        <v>MOOYAH RIVERSteelhead</v>
      </c>
      <c r="AR1172" s="26">
        <f t="shared" si="299"/>
        <v>0</v>
      </c>
      <c r="AS1172" s="33">
        <f t="shared" si="300"/>
        <v>0</v>
      </c>
      <c r="AX1172" s="47" t="str">
        <f t="shared" si="301"/>
        <v>MOOYAH RIVERSteelhead</v>
      </c>
      <c r="AY1172" s="49">
        <f t="shared" si="302"/>
        <v>0</v>
      </c>
      <c r="AZ1172" s="49">
        <f t="shared" si="303"/>
        <v>0</v>
      </c>
      <c r="BA1172" s="31">
        <v>0</v>
      </c>
      <c r="BB1172" s="188">
        <f t="shared" si="306"/>
        <v>0</v>
      </c>
      <c r="BC1172" s="188" t="str">
        <f t="shared" si="310"/>
        <v xml:space="preserve"> </v>
      </c>
      <c r="BD1172" s="188" t="str">
        <f t="shared" si="311"/>
        <v xml:space="preserve"> </v>
      </c>
      <c r="BE1172" s="188" t="str">
        <f t="shared" si="312"/>
        <v xml:space="preserve"> </v>
      </c>
      <c r="BF1172" s="50" t="str">
        <f t="shared" si="304"/>
        <v>MOOYAH RIVER_Steelhead</v>
      </c>
      <c r="BG1172" s="50" t="str">
        <f>IFERROR(VLOOKUP(BF1172,'[1]WCVI Esc'!$C$5:$W$534,18,FALSE),"-")</f>
        <v>-</v>
      </c>
      <c r="BH1172" s="50" t="str">
        <f t="shared" si="307"/>
        <v>-</v>
      </c>
      <c r="BI1172" s="50" t="str">
        <f>IFERROR(VLOOKUP(BF1172,'[1]WCVI Esc'!$C$5:$W$534,19,FALSE),"-")</f>
        <v>-</v>
      </c>
      <c r="BJ1172" s="50" t="str">
        <f t="shared" si="308"/>
        <v>-</v>
      </c>
    </row>
    <row r="1173" spans="1:62" hidden="1" x14ac:dyDescent="0.2">
      <c r="A1173" s="28">
        <v>4</v>
      </c>
      <c r="B1173" s="28">
        <v>1</v>
      </c>
      <c r="C1173" s="11">
        <v>25</v>
      </c>
      <c r="D1173" s="147" t="s">
        <v>299</v>
      </c>
      <c r="E1173" s="10" t="s">
        <v>49</v>
      </c>
      <c r="F1173" s="10" t="s">
        <v>207</v>
      </c>
      <c r="G1173" s="10"/>
      <c r="H1173" s="152"/>
      <c r="I1173" s="164"/>
      <c r="J1173" s="94"/>
      <c r="K1173" s="62"/>
      <c r="L1173" s="177"/>
      <c r="M1173" s="176"/>
      <c r="N1173" s="106"/>
      <c r="O1173" s="62"/>
      <c r="P1173" s="62"/>
      <c r="Q1173" s="64"/>
      <c r="R1173" s="164"/>
      <c r="S1173" s="62"/>
      <c r="T1173" s="62"/>
      <c r="U1173" s="62"/>
      <c r="V1173" s="177"/>
      <c r="W1173" s="171"/>
      <c r="X1173" s="62"/>
      <c r="Y1173" s="45"/>
      <c r="Z1173" s="45"/>
      <c r="AA1173" s="100"/>
      <c r="AB1173" s="100"/>
      <c r="AC1173" s="24"/>
      <c r="AD1173" s="24"/>
      <c r="AE1173" s="24"/>
      <c r="AF1173" s="24"/>
      <c r="AG1173" s="18">
        <v>25</v>
      </c>
      <c r="AH1173" s="69" t="s">
        <v>299</v>
      </c>
      <c r="AI1173" s="243" t="s">
        <v>49</v>
      </c>
      <c r="AJ1173" s="243" t="s">
        <v>419</v>
      </c>
      <c r="AK1173" s="246"/>
      <c r="AL1173" s="43" t="str">
        <f t="shared" si="309"/>
        <v>-</v>
      </c>
      <c r="AM1173" s="43">
        <f t="shared" si="297"/>
        <v>0</v>
      </c>
      <c r="AN1173" s="193">
        <f t="shared" si="297"/>
        <v>0</v>
      </c>
      <c r="AO1173" s="270">
        <f t="shared" si="298"/>
        <v>80</v>
      </c>
      <c r="AP1173" s="271"/>
      <c r="AQ1173" s="26" t="str">
        <f t="shared" si="305"/>
        <v>MUCHALAT RIVERSockeye</v>
      </c>
      <c r="AR1173" s="26">
        <f t="shared" si="299"/>
        <v>0</v>
      </c>
      <c r="AS1173" s="33">
        <f t="shared" si="300"/>
        <v>0</v>
      </c>
      <c r="AX1173" s="47" t="str">
        <f t="shared" si="301"/>
        <v>MUCHALAT RIVERSockeye</v>
      </c>
      <c r="AY1173" s="49">
        <f t="shared" si="302"/>
        <v>0</v>
      </c>
      <c r="AZ1173" s="49">
        <f t="shared" si="303"/>
        <v>0</v>
      </c>
      <c r="BA1173" s="31">
        <v>2001</v>
      </c>
      <c r="BB1173" s="188">
        <f t="shared" si="306"/>
        <v>0</v>
      </c>
      <c r="BC1173" s="188" t="str">
        <f t="shared" si="310"/>
        <v xml:space="preserve"> </v>
      </c>
      <c r="BD1173" s="188" t="str">
        <f t="shared" si="311"/>
        <v xml:space="preserve"> </v>
      </c>
      <c r="BE1173" s="188" t="str">
        <f t="shared" si="312"/>
        <v xml:space="preserve"> </v>
      </c>
      <c r="BF1173" s="50" t="str">
        <f t="shared" si="304"/>
        <v>MUCHALAT RIVER_Sockeye</v>
      </c>
      <c r="BG1173" s="50">
        <f>IFERROR(VLOOKUP(BF1173,'[1]WCVI Esc'!$C$5:$W$514,18,FALSE),"-")</f>
        <v>76.5</v>
      </c>
      <c r="BH1173" s="50">
        <f t="shared" si="307"/>
        <v>80</v>
      </c>
      <c r="BI1173" s="50">
        <f>IFERROR(VLOOKUP(BF1173,'[1]WCVI Esc'!$C$5:$W$514,19,FALSE),"-")</f>
        <v>76.5</v>
      </c>
      <c r="BJ1173" s="50">
        <f t="shared" si="308"/>
        <v>80</v>
      </c>
    </row>
    <row r="1174" spans="1:62" hidden="1" x14ac:dyDescent="0.2">
      <c r="A1174" s="28">
        <v>4</v>
      </c>
      <c r="B1174" s="28">
        <v>2</v>
      </c>
      <c r="C1174" s="11">
        <v>25</v>
      </c>
      <c r="D1174" s="147" t="s">
        <v>299</v>
      </c>
      <c r="E1174" s="10" t="s">
        <v>49</v>
      </c>
      <c r="F1174" s="10" t="s">
        <v>219</v>
      </c>
      <c r="G1174" s="10"/>
      <c r="H1174" s="152"/>
      <c r="I1174" s="164"/>
      <c r="J1174" s="94"/>
      <c r="K1174" s="62"/>
      <c r="L1174" s="177"/>
      <c r="M1174" s="176"/>
      <c r="N1174" s="106"/>
      <c r="O1174" s="62"/>
      <c r="P1174" s="62"/>
      <c r="Q1174" s="64"/>
      <c r="R1174" s="164"/>
      <c r="S1174" s="62"/>
      <c r="T1174" s="62"/>
      <c r="U1174" s="62"/>
      <c r="V1174" s="177"/>
      <c r="W1174" s="171"/>
      <c r="X1174" s="62"/>
      <c r="Y1174" s="45"/>
      <c r="Z1174" s="45"/>
      <c r="AA1174" s="100"/>
      <c r="AB1174" s="100"/>
      <c r="AC1174" s="24"/>
      <c r="AD1174" s="24"/>
      <c r="AE1174" s="24"/>
      <c r="AF1174" s="24"/>
      <c r="AG1174" s="18">
        <v>25</v>
      </c>
      <c r="AH1174" s="69" t="s">
        <v>299</v>
      </c>
      <c r="AI1174" s="243" t="s">
        <v>49</v>
      </c>
      <c r="AJ1174" s="243" t="s">
        <v>419</v>
      </c>
      <c r="AK1174" s="246"/>
      <c r="AL1174" s="43" t="str">
        <f t="shared" si="309"/>
        <v>-</v>
      </c>
      <c r="AM1174" s="43">
        <f t="shared" si="297"/>
        <v>0</v>
      </c>
      <c r="AN1174" s="193">
        <f t="shared" si="297"/>
        <v>0</v>
      </c>
      <c r="AO1174" s="270">
        <f t="shared" si="298"/>
        <v>60</v>
      </c>
      <c r="AP1174" s="271"/>
      <c r="AQ1174" s="26" t="str">
        <f t="shared" si="305"/>
        <v>MUCHALAT RIVERCoho</v>
      </c>
      <c r="AR1174" s="26">
        <f t="shared" si="299"/>
        <v>0</v>
      </c>
      <c r="AS1174" s="33">
        <f t="shared" si="300"/>
        <v>0</v>
      </c>
      <c r="AX1174" s="47" t="str">
        <f t="shared" si="301"/>
        <v>MUCHALAT RIVERCoho</v>
      </c>
      <c r="AY1174" s="49">
        <f t="shared" si="302"/>
        <v>0</v>
      </c>
      <c r="AZ1174" s="49">
        <f t="shared" si="303"/>
        <v>0</v>
      </c>
      <c r="BA1174" s="31">
        <v>2001</v>
      </c>
      <c r="BB1174" s="188">
        <f t="shared" si="306"/>
        <v>0</v>
      </c>
      <c r="BC1174" s="188" t="str">
        <f t="shared" si="310"/>
        <v xml:space="preserve"> </v>
      </c>
      <c r="BD1174" s="188" t="str">
        <f t="shared" si="311"/>
        <v xml:space="preserve"> </v>
      </c>
      <c r="BE1174" s="188" t="str">
        <f t="shared" si="312"/>
        <v xml:space="preserve"> </v>
      </c>
      <c r="BF1174" s="50" t="str">
        <f t="shared" si="304"/>
        <v>MUCHALAT RIVER_Coho</v>
      </c>
      <c r="BG1174" s="50">
        <f>IFERROR(VLOOKUP(BF1174,'[1]WCVI Esc'!$C$5:$W$514,18,FALSE),"-")</f>
        <v>62.25</v>
      </c>
      <c r="BH1174" s="50">
        <f t="shared" si="307"/>
        <v>60</v>
      </c>
      <c r="BI1174" s="50">
        <f>IFERROR(VLOOKUP(BF1174,'[1]WCVI Esc'!$C$5:$W$514,19,FALSE),"-")</f>
        <v>62.25</v>
      </c>
      <c r="BJ1174" s="50">
        <f t="shared" si="308"/>
        <v>60</v>
      </c>
    </row>
    <row r="1175" spans="1:62" hidden="1" x14ac:dyDescent="0.2">
      <c r="A1175" s="28">
        <v>4</v>
      </c>
      <c r="B1175" s="28">
        <v>3</v>
      </c>
      <c r="C1175" s="11">
        <v>25</v>
      </c>
      <c r="D1175" s="147" t="s">
        <v>299</v>
      </c>
      <c r="E1175" s="10" t="s">
        <v>49</v>
      </c>
      <c r="F1175" s="10" t="s">
        <v>208</v>
      </c>
      <c r="G1175" s="10"/>
      <c r="H1175" s="152"/>
      <c r="I1175" s="164"/>
      <c r="J1175" s="94"/>
      <c r="K1175" s="62"/>
      <c r="L1175" s="177"/>
      <c r="M1175" s="176"/>
      <c r="N1175" s="106"/>
      <c r="O1175" s="62"/>
      <c r="P1175" s="62"/>
      <c r="Q1175" s="64"/>
      <c r="R1175" s="164"/>
      <c r="S1175" s="62"/>
      <c r="T1175" s="62"/>
      <c r="U1175" s="62"/>
      <c r="V1175" s="177"/>
      <c r="W1175" s="171"/>
      <c r="X1175" s="62"/>
      <c r="Y1175" s="45"/>
      <c r="Z1175" s="45"/>
      <c r="AA1175" s="100"/>
      <c r="AB1175" s="100"/>
      <c r="AC1175" s="24"/>
      <c r="AD1175" s="24"/>
      <c r="AE1175" s="24"/>
      <c r="AF1175" s="24"/>
      <c r="AG1175" s="18">
        <v>25</v>
      </c>
      <c r="AH1175" s="69" t="s">
        <v>299</v>
      </c>
      <c r="AI1175" s="243" t="s">
        <v>49</v>
      </c>
      <c r="AJ1175" s="243" t="s">
        <v>419</v>
      </c>
      <c r="AK1175" s="246"/>
      <c r="AL1175" s="43" t="str">
        <f t="shared" si="309"/>
        <v>-</v>
      </c>
      <c r="AM1175" s="43">
        <f t="shared" si="297"/>
        <v>0</v>
      </c>
      <c r="AN1175" s="193">
        <f t="shared" si="297"/>
        <v>0</v>
      </c>
      <c r="AO1175" s="270" t="str">
        <f t="shared" si="298"/>
        <v>-</v>
      </c>
      <c r="AP1175" s="266"/>
      <c r="AQ1175" s="26" t="str">
        <f t="shared" si="305"/>
        <v>MUCHALAT RIVERPink</v>
      </c>
      <c r="AR1175" s="26">
        <f t="shared" si="299"/>
        <v>0</v>
      </c>
      <c r="AS1175" s="33">
        <f t="shared" si="300"/>
        <v>0</v>
      </c>
      <c r="AX1175" s="47" t="str">
        <f t="shared" si="301"/>
        <v>MUCHALAT RIVERPink</v>
      </c>
      <c r="AY1175" s="49">
        <f t="shared" si="302"/>
        <v>0</v>
      </c>
      <c r="AZ1175" s="49">
        <f t="shared" si="303"/>
        <v>0</v>
      </c>
      <c r="BA1175" s="31">
        <v>0</v>
      </c>
      <c r="BB1175" s="188">
        <f t="shared" si="306"/>
        <v>0</v>
      </c>
      <c r="BC1175" s="188" t="str">
        <f t="shared" si="310"/>
        <v xml:space="preserve"> </v>
      </c>
      <c r="BD1175" s="188" t="str">
        <f t="shared" si="311"/>
        <v xml:space="preserve"> </v>
      </c>
      <c r="BE1175" s="188" t="str">
        <f t="shared" si="312"/>
        <v xml:space="preserve"> </v>
      </c>
      <c r="BF1175" s="50" t="str">
        <f t="shared" si="304"/>
        <v>MUCHALAT RIVER_Pink</v>
      </c>
      <c r="BG1175" s="50" t="str">
        <f>IFERROR(VLOOKUP(BF1175,'[1]WCVI Esc'!$C$5:$W$514,18,FALSE),"-")</f>
        <v>-</v>
      </c>
      <c r="BH1175" s="50" t="str">
        <f t="shared" si="307"/>
        <v>-</v>
      </c>
      <c r="BI1175" s="50" t="str">
        <f>IFERROR(VLOOKUP(BF1175,'[1]WCVI Esc'!$C$5:$W$514,19,FALSE),"-")</f>
        <v>-</v>
      </c>
      <c r="BJ1175" s="50" t="str">
        <f t="shared" si="308"/>
        <v>-</v>
      </c>
    </row>
    <row r="1176" spans="1:62" hidden="1" x14ac:dyDescent="0.2">
      <c r="A1176" s="28">
        <v>4</v>
      </c>
      <c r="B1176" s="28">
        <v>4</v>
      </c>
      <c r="C1176" s="11">
        <v>25</v>
      </c>
      <c r="D1176" s="147" t="s">
        <v>299</v>
      </c>
      <c r="E1176" s="10" t="s">
        <v>49</v>
      </c>
      <c r="F1176" s="10" t="s">
        <v>209</v>
      </c>
      <c r="G1176" s="10"/>
      <c r="H1176" s="152"/>
      <c r="I1176" s="164"/>
      <c r="J1176" s="94"/>
      <c r="K1176" s="62"/>
      <c r="L1176" s="177"/>
      <c r="M1176" s="176"/>
      <c r="N1176" s="106"/>
      <c r="O1176" s="62"/>
      <c r="P1176" s="62"/>
      <c r="Q1176" s="64"/>
      <c r="R1176" s="164"/>
      <c r="S1176" s="62"/>
      <c r="T1176" s="62"/>
      <c r="U1176" s="62"/>
      <c r="V1176" s="177"/>
      <c r="W1176" s="171"/>
      <c r="X1176" s="62"/>
      <c r="Y1176" s="45"/>
      <c r="Z1176" s="45"/>
      <c r="AA1176" s="100"/>
      <c r="AB1176" s="100"/>
      <c r="AC1176" s="24"/>
      <c r="AD1176" s="24"/>
      <c r="AE1176" s="24"/>
      <c r="AF1176" s="24"/>
      <c r="AG1176" s="18">
        <v>25</v>
      </c>
      <c r="AH1176" s="69" t="s">
        <v>299</v>
      </c>
      <c r="AI1176" s="243" t="s">
        <v>49</v>
      </c>
      <c r="AJ1176" s="243" t="s">
        <v>419</v>
      </c>
      <c r="AK1176" s="246"/>
      <c r="AL1176" s="43" t="str">
        <f t="shared" si="309"/>
        <v>-</v>
      </c>
      <c r="AM1176" s="43">
        <f t="shared" si="297"/>
        <v>0</v>
      </c>
      <c r="AN1176" s="193">
        <f t="shared" si="297"/>
        <v>0</v>
      </c>
      <c r="AO1176" s="270">
        <f t="shared" si="298"/>
        <v>20</v>
      </c>
      <c r="AP1176" s="271"/>
      <c r="AQ1176" s="26" t="str">
        <f t="shared" si="305"/>
        <v>MUCHALAT RIVERChum</v>
      </c>
      <c r="AR1176" s="26">
        <f t="shared" si="299"/>
        <v>0</v>
      </c>
      <c r="AS1176" s="33">
        <f t="shared" si="300"/>
        <v>0</v>
      </c>
      <c r="AX1176" s="47" t="str">
        <f t="shared" si="301"/>
        <v>MUCHALAT RIVERChum</v>
      </c>
      <c r="AY1176" s="49">
        <f t="shared" si="302"/>
        <v>0</v>
      </c>
      <c r="AZ1176" s="49">
        <f t="shared" si="303"/>
        <v>0</v>
      </c>
      <c r="BA1176" s="31">
        <v>2002</v>
      </c>
      <c r="BB1176" s="188">
        <f t="shared" si="306"/>
        <v>0</v>
      </c>
      <c r="BC1176" s="188" t="str">
        <f t="shared" si="310"/>
        <v xml:space="preserve"> </v>
      </c>
      <c r="BD1176" s="188" t="str">
        <f t="shared" si="311"/>
        <v xml:space="preserve"> </v>
      </c>
      <c r="BE1176" s="188" t="str">
        <f t="shared" si="312"/>
        <v xml:space="preserve"> </v>
      </c>
      <c r="BF1176" s="50" t="str">
        <f t="shared" si="304"/>
        <v>MUCHALAT RIVER_Chum</v>
      </c>
      <c r="BG1176" s="50">
        <f>IFERROR(VLOOKUP(BF1176,'[1]WCVI Esc'!$C$5:$W$514,18,FALSE),"-")</f>
        <v>23</v>
      </c>
      <c r="BH1176" s="50">
        <f t="shared" si="307"/>
        <v>20</v>
      </c>
      <c r="BI1176" s="50">
        <f>IFERROR(VLOOKUP(BF1176,'[1]WCVI Esc'!$C$5:$W$514,19,FALSE),"-")</f>
        <v>23</v>
      </c>
      <c r="BJ1176" s="50">
        <f t="shared" si="308"/>
        <v>20</v>
      </c>
    </row>
    <row r="1177" spans="1:62" x14ac:dyDescent="0.2">
      <c r="A1177" s="28">
        <v>4</v>
      </c>
      <c r="B1177" s="28">
        <v>5</v>
      </c>
      <c r="C1177" s="11">
        <v>25</v>
      </c>
      <c r="D1177" s="147" t="s">
        <v>299</v>
      </c>
      <c r="E1177" s="10" t="s">
        <v>49</v>
      </c>
      <c r="F1177" s="10" t="s">
        <v>210</v>
      </c>
      <c r="G1177" s="10"/>
      <c r="H1177" s="152"/>
      <c r="I1177" s="164"/>
      <c r="J1177" s="94"/>
      <c r="K1177" s="62"/>
      <c r="L1177" s="177"/>
      <c r="M1177" s="176"/>
      <c r="N1177" s="106"/>
      <c r="O1177" s="62"/>
      <c r="P1177" s="62"/>
      <c r="Q1177" s="64"/>
      <c r="R1177" s="164"/>
      <c r="S1177" s="62"/>
      <c r="T1177" s="62"/>
      <c r="U1177" s="62"/>
      <c r="V1177" s="177"/>
      <c r="W1177" s="171"/>
      <c r="X1177" s="62"/>
      <c r="Y1177" s="45"/>
      <c r="Z1177" s="45"/>
      <c r="AA1177" s="100"/>
      <c r="AB1177" s="100"/>
      <c r="AC1177" s="24"/>
      <c r="AD1177" s="24"/>
      <c r="AE1177" s="24"/>
      <c r="AF1177" s="24"/>
      <c r="AG1177" s="18">
        <v>25</v>
      </c>
      <c r="AH1177" s="69" t="s">
        <v>299</v>
      </c>
      <c r="AI1177" s="243" t="s">
        <v>49</v>
      </c>
      <c r="AJ1177" s="243" t="s">
        <v>419</v>
      </c>
      <c r="AK1177" s="246"/>
      <c r="AL1177" s="43" t="str">
        <f t="shared" si="309"/>
        <v>-</v>
      </c>
      <c r="AM1177" s="43">
        <f t="shared" si="297"/>
        <v>0</v>
      </c>
      <c r="AN1177" s="193">
        <f t="shared" si="297"/>
        <v>0</v>
      </c>
      <c r="AO1177" s="270">
        <f t="shared" si="298"/>
        <v>430</v>
      </c>
      <c r="AP1177" s="271"/>
      <c r="AQ1177" s="26" t="str">
        <f t="shared" si="305"/>
        <v>MUCHALAT RIVERChinook</v>
      </c>
      <c r="AR1177" s="26">
        <f t="shared" si="299"/>
        <v>0</v>
      </c>
      <c r="AS1177" s="33">
        <f t="shared" si="300"/>
        <v>0</v>
      </c>
      <c r="AT1177" s="34">
        <f>AS1177*1.14</f>
        <v>0</v>
      </c>
      <c r="AU1177" s="34">
        <f>AS1177*2.88</f>
        <v>0</v>
      </c>
      <c r="AV1177" s="35" t="s">
        <v>234</v>
      </c>
      <c r="AX1177" s="47" t="str">
        <f t="shared" si="301"/>
        <v>MUCHALAT RIVERChinook</v>
      </c>
      <c r="AY1177" s="49">
        <f t="shared" si="302"/>
        <v>0</v>
      </c>
      <c r="AZ1177" s="49">
        <f t="shared" si="303"/>
        <v>0</v>
      </c>
      <c r="BA1177" s="31">
        <v>2001</v>
      </c>
      <c r="BB1177" s="188">
        <f t="shared" si="306"/>
        <v>0</v>
      </c>
      <c r="BC1177" s="188" t="str">
        <f t="shared" si="310"/>
        <v xml:space="preserve"> </v>
      </c>
      <c r="BD1177" s="188" t="str">
        <f t="shared" si="311"/>
        <v xml:space="preserve"> </v>
      </c>
      <c r="BE1177" s="188" t="str">
        <f t="shared" si="312"/>
        <v xml:space="preserve"> </v>
      </c>
      <c r="BF1177" s="50" t="str">
        <f t="shared" si="304"/>
        <v>MUCHALAT RIVER_Chinook</v>
      </c>
      <c r="BG1177" s="50">
        <f>IFERROR(VLOOKUP(BF1177,'[1]WCVI Esc'!$C$5:$W$514,18,FALSE),"-")</f>
        <v>427.5</v>
      </c>
      <c r="BH1177" s="50">
        <f t="shared" si="307"/>
        <v>430</v>
      </c>
      <c r="BI1177" s="50">
        <f>IFERROR(VLOOKUP(BF1177,'[1]WCVI Esc'!$C$5:$W$514,19,FALSE),"-")</f>
        <v>427.5</v>
      </c>
      <c r="BJ1177" s="50">
        <f t="shared" si="308"/>
        <v>430</v>
      </c>
    </row>
    <row r="1178" spans="1:62" hidden="1" x14ac:dyDescent="0.2">
      <c r="A1178" s="28">
        <v>4</v>
      </c>
      <c r="B1178" s="28">
        <v>6</v>
      </c>
      <c r="C1178" s="11">
        <v>25</v>
      </c>
      <c r="D1178" s="147" t="s">
        <v>299</v>
      </c>
      <c r="E1178" s="10" t="s">
        <v>49</v>
      </c>
      <c r="F1178" s="10" t="s">
        <v>211</v>
      </c>
      <c r="G1178" s="10"/>
      <c r="H1178" s="152"/>
      <c r="I1178" s="164"/>
      <c r="J1178" s="94"/>
      <c r="K1178" s="62"/>
      <c r="L1178" s="177"/>
      <c r="M1178" s="176"/>
      <c r="N1178" s="106"/>
      <c r="O1178" s="62"/>
      <c r="P1178" s="62"/>
      <c r="Q1178" s="64"/>
      <c r="R1178" s="164"/>
      <c r="S1178" s="62"/>
      <c r="T1178" s="62"/>
      <c r="U1178" s="62"/>
      <c r="V1178" s="177"/>
      <c r="W1178" s="171"/>
      <c r="X1178" s="62"/>
      <c r="Y1178" s="45"/>
      <c r="Z1178" s="45"/>
      <c r="AA1178" s="100"/>
      <c r="AB1178" s="100"/>
      <c r="AC1178" s="24"/>
      <c r="AD1178" s="24"/>
      <c r="AE1178" s="24"/>
      <c r="AF1178" s="24"/>
      <c r="AG1178" s="18">
        <v>25</v>
      </c>
      <c r="AH1178" s="69" t="s">
        <v>299</v>
      </c>
      <c r="AI1178" s="243" t="s">
        <v>49</v>
      </c>
      <c r="AJ1178" s="243" t="s">
        <v>419</v>
      </c>
      <c r="AK1178" s="246"/>
      <c r="AL1178" s="43" t="str">
        <f t="shared" si="309"/>
        <v>-</v>
      </c>
      <c r="AM1178" s="43">
        <f t="shared" si="297"/>
        <v>0</v>
      </c>
      <c r="AN1178" s="193">
        <f t="shared" si="297"/>
        <v>0</v>
      </c>
      <c r="AO1178" s="270" t="str">
        <f t="shared" si="298"/>
        <v>-</v>
      </c>
      <c r="AP1178" s="266"/>
      <c r="AQ1178" s="26" t="str">
        <f t="shared" si="305"/>
        <v>MUCHALAT RIVERSteelhead</v>
      </c>
      <c r="AR1178" s="26">
        <f t="shared" si="299"/>
        <v>0</v>
      </c>
      <c r="AS1178" s="33">
        <f t="shared" si="300"/>
        <v>0</v>
      </c>
      <c r="AX1178" s="47" t="str">
        <f t="shared" si="301"/>
        <v>MUCHALAT RIVERSteelhead</v>
      </c>
      <c r="AY1178" s="49">
        <f t="shared" si="302"/>
        <v>0</v>
      </c>
      <c r="AZ1178" s="49">
        <f t="shared" si="303"/>
        <v>0</v>
      </c>
      <c r="BA1178" s="31">
        <v>0</v>
      </c>
      <c r="BB1178" s="188">
        <f t="shared" si="306"/>
        <v>0</v>
      </c>
      <c r="BC1178" s="188" t="str">
        <f t="shared" si="310"/>
        <v xml:space="preserve"> </v>
      </c>
      <c r="BD1178" s="188" t="str">
        <f t="shared" si="311"/>
        <v xml:space="preserve"> </v>
      </c>
      <c r="BE1178" s="188" t="str">
        <f t="shared" si="312"/>
        <v xml:space="preserve"> </v>
      </c>
      <c r="BF1178" s="50" t="str">
        <f t="shared" si="304"/>
        <v>MUCHALAT RIVER_Steelhead</v>
      </c>
      <c r="BG1178" s="50" t="str">
        <f>IFERROR(VLOOKUP(BF1178,'[1]WCVI Esc'!$C$5:$W$514,18,FALSE),"-")</f>
        <v>-</v>
      </c>
      <c r="BH1178" s="50" t="str">
        <f t="shared" si="307"/>
        <v>-</v>
      </c>
      <c r="BI1178" s="50" t="str">
        <f>IFERROR(VLOOKUP(BF1178,'[1]WCVI Esc'!$C$5:$W$514,19,FALSE),"-")</f>
        <v>-</v>
      </c>
      <c r="BJ1178" s="50" t="str">
        <f t="shared" si="308"/>
        <v>-</v>
      </c>
    </row>
    <row r="1179" spans="1:62" hidden="1" x14ac:dyDescent="0.2">
      <c r="A1179" s="28">
        <v>4</v>
      </c>
      <c r="B1179" s="29">
        <v>1</v>
      </c>
      <c r="C1179" s="13">
        <v>25</v>
      </c>
      <c r="D1179" s="147" t="s">
        <v>298</v>
      </c>
      <c r="E1179" s="10" t="s">
        <v>199</v>
      </c>
      <c r="F1179" s="10" t="s">
        <v>207</v>
      </c>
      <c r="G1179" s="10"/>
      <c r="H1179" s="152"/>
      <c r="I1179" s="164"/>
      <c r="J1179" s="94"/>
      <c r="K1179" s="62"/>
      <c r="L1179" s="177"/>
      <c r="M1179" s="176"/>
      <c r="N1179" s="106"/>
      <c r="O1179" s="62"/>
      <c r="P1179" s="62"/>
      <c r="Q1179" s="64"/>
      <c r="R1179" s="164"/>
      <c r="S1179" s="62"/>
      <c r="T1179" s="62"/>
      <c r="U1179" s="62"/>
      <c r="V1179" s="177"/>
      <c r="W1179" s="171"/>
      <c r="X1179" s="62"/>
      <c r="Y1179" s="45"/>
      <c r="Z1179" s="45"/>
      <c r="AA1179" s="100"/>
      <c r="AB1179" s="100"/>
      <c r="AC1179" s="24"/>
      <c r="AD1179" s="24"/>
      <c r="AE1179" s="24"/>
      <c r="AF1179" s="24"/>
      <c r="AG1179" s="69">
        <v>25</v>
      </c>
      <c r="AH1179" s="69" t="s">
        <v>298</v>
      </c>
      <c r="AI1179" s="243" t="s">
        <v>199</v>
      </c>
      <c r="AJ1179" s="243" t="s">
        <v>419</v>
      </c>
      <c r="AK1179" s="246"/>
      <c r="AL1179" s="43" t="str">
        <f t="shared" si="309"/>
        <v>-</v>
      </c>
      <c r="AM1179" s="43">
        <f t="shared" si="297"/>
        <v>0</v>
      </c>
      <c r="AN1179" s="193">
        <f t="shared" si="297"/>
        <v>0</v>
      </c>
      <c r="AO1179" s="270" t="str">
        <f t="shared" si="298"/>
        <v>-</v>
      </c>
      <c r="AP1179" s="266"/>
      <c r="AQ1179" s="26" t="str">
        <f t="shared" si="305"/>
        <v>OWOSSITSA CREEKSockeye</v>
      </c>
      <c r="AR1179" s="26">
        <f t="shared" si="299"/>
        <v>0</v>
      </c>
      <c r="AS1179" s="33">
        <f t="shared" si="300"/>
        <v>0</v>
      </c>
      <c r="AX1179" s="47" t="str">
        <f t="shared" si="301"/>
        <v>OWOSSITSA CREEKSockeye</v>
      </c>
      <c r="AY1179" s="49">
        <f t="shared" si="302"/>
        <v>0</v>
      </c>
      <c r="AZ1179" s="49">
        <f t="shared" si="303"/>
        <v>0</v>
      </c>
      <c r="BA1179" s="31">
        <v>1997</v>
      </c>
      <c r="BB1179" s="188">
        <f t="shared" si="306"/>
        <v>0</v>
      </c>
      <c r="BC1179" s="188" t="str">
        <f t="shared" si="310"/>
        <v xml:space="preserve"> </v>
      </c>
      <c r="BD1179" s="188" t="str">
        <f t="shared" si="311"/>
        <v xml:space="preserve"> </v>
      </c>
      <c r="BE1179" s="188" t="str">
        <f t="shared" si="312"/>
        <v xml:space="preserve"> </v>
      </c>
      <c r="BF1179" s="50" t="str">
        <f t="shared" si="304"/>
        <v>OWOSSITSA CREEK_Sockeye</v>
      </c>
      <c r="BG1179" s="50" t="str">
        <f>IFERROR(VLOOKUP(BF1179,'[1]WCVI Esc'!$C$5:$W$514,18,FALSE),"-")</f>
        <v>-</v>
      </c>
      <c r="BH1179" s="50" t="str">
        <f t="shared" si="307"/>
        <v>-</v>
      </c>
      <c r="BI1179" s="50" t="str">
        <f>IFERROR(VLOOKUP(BF1179,'[1]WCVI Esc'!$C$5:$W$514,19,FALSE),"-")</f>
        <v>-</v>
      </c>
      <c r="BJ1179" s="50" t="str">
        <f t="shared" si="308"/>
        <v>-</v>
      </c>
    </row>
    <row r="1180" spans="1:62" hidden="1" x14ac:dyDescent="0.2">
      <c r="A1180" s="28">
        <v>4</v>
      </c>
      <c r="B1180" s="29">
        <v>2</v>
      </c>
      <c r="C1180" s="13">
        <v>25</v>
      </c>
      <c r="D1180" s="147" t="s">
        <v>298</v>
      </c>
      <c r="E1180" s="10" t="s">
        <v>199</v>
      </c>
      <c r="F1180" s="10" t="s">
        <v>219</v>
      </c>
      <c r="G1180" s="10"/>
      <c r="H1180" s="152"/>
      <c r="I1180" s="164"/>
      <c r="J1180" s="94"/>
      <c r="K1180" s="62"/>
      <c r="L1180" s="177"/>
      <c r="M1180" s="176"/>
      <c r="N1180" s="106"/>
      <c r="O1180" s="62"/>
      <c r="P1180" s="62"/>
      <c r="Q1180" s="64"/>
      <c r="R1180" s="164"/>
      <c r="S1180" s="62"/>
      <c r="T1180" s="62"/>
      <c r="U1180" s="62"/>
      <c r="V1180" s="177"/>
      <c r="W1180" s="171"/>
      <c r="X1180" s="62"/>
      <c r="Y1180" s="45"/>
      <c r="Z1180" s="45"/>
      <c r="AA1180" s="100" t="e">
        <f>Y1180/AP1180</f>
        <v>#DIV/0!</v>
      </c>
      <c r="AB1180" s="100" t="e">
        <f>AS1180/AP1180</f>
        <v>#DIV/0!</v>
      </c>
      <c r="AC1180" s="24"/>
      <c r="AD1180" s="24"/>
      <c r="AE1180" s="24"/>
      <c r="AF1180" s="24"/>
      <c r="AG1180" s="69">
        <v>25</v>
      </c>
      <c r="AH1180" s="69" t="s">
        <v>298</v>
      </c>
      <c r="AI1180" s="243" t="s">
        <v>199</v>
      </c>
      <c r="AJ1180" s="243" t="s">
        <v>419</v>
      </c>
      <c r="AK1180" s="246"/>
      <c r="AL1180" s="43" t="str">
        <f t="shared" si="309"/>
        <v>-</v>
      </c>
      <c r="AM1180" s="43">
        <f t="shared" si="297"/>
        <v>0</v>
      </c>
      <c r="AN1180" s="193">
        <f t="shared" si="297"/>
        <v>0</v>
      </c>
      <c r="AO1180" s="270" t="str">
        <f t="shared" si="298"/>
        <v>-</v>
      </c>
      <c r="AP1180" s="265">
        <f>BJ1180</f>
        <v>0</v>
      </c>
      <c r="AQ1180" s="26" t="str">
        <f t="shared" si="305"/>
        <v>OWOSSITSA CREEKCoho</v>
      </c>
      <c r="AR1180" s="26">
        <f t="shared" si="299"/>
        <v>0</v>
      </c>
      <c r="AS1180" s="33">
        <f t="shared" si="300"/>
        <v>0</v>
      </c>
      <c r="AX1180" s="47" t="str">
        <f t="shared" si="301"/>
        <v>OWOSSITSA CREEKCoho</v>
      </c>
      <c r="AY1180" s="49">
        <f t="shared" si="302"/>
        <v>0</v>
      </c>
      <c r="AZ1180" s="49">
        <f t="shared" si="303"/>
        <v>0</v>
      </c>
      <c r="BA1180" s="31">
        <v>2011</v>
      </c>
      <c r="BB1180" s="188">
        <f t="shared" si="306"/>
        <v>0</v>
      </c>
      <c r="BC1180" s="188" t="str">
        <f t="shared" si="310"/>
        <v xml:space="preserve"> </v>
      </c>
      <c r="BD1180" s="188" t="str">
        <f t="shared" si="311"/>
        <v xml:space="preserve"> </v>
      </c>
      <c r="BE1180" s="188" t="str">
        <f t="shared" si="312"/>
        <v xml:space="preserve"> </v>
      </c>
      <c r="BF1180" s="50" t="str">
        <f t="shared" si="304"/>
        <v>OWOSSITSA CREEK_Coho</v>
      </c>
      <c r="BG1180" s="50" t="str">
        <f>IFERROR(VLOOKUP(BF1180,'[1]WCVI Esc'!$C$5:$W$514,18,FALSE),"-")</f>
        <v>-</v>
      </c>
      <c r="BH1180" s="50" t="str">
        <f t="shared" si="307"/>
        <v>-</v>
      </c>
      <c r="BI1180" s="50">
        <f>IFERROR(VLOOKUP(BF1180,'[1]WCVI Esc'!$C$5:$W$514,19,FALSE),"-")</f>
        <v>4</v>
      </c>
      <c r="BJ1180" s="50">
        <f t="shared" si="308"/>
        <v>0</v>
      </c>
    </row>
    <row r="1181" spans="1:62" hidden="1" x14ac:dyDescent="0.2">
      <c r="A1181" s="28">
        <v>4</v>
      </c>
      <c r="B1181" s="29">
        <v>3</v>
      </c>
      <c r="C1181" s="13">
        <v>25</v>
      </c>
      <c r="D1181" s="147" t="s">
        <v>298</v>
      </c>
      <c r="E1181" s="10" t="s">
        <v>199</v>
      </c>
      <c r="F1181" s="10" t="s">
        <v>208</v>
      </c>
      <c r="G1181" s="10"/>
      <c r="H1181" s="152"/>
      <c r="I1181" s="164"/>
      <c r="J1181" s="94"/>
      <c r="K1181" s="62"/>
      <c r="L1181" s="177"/>
      <c r="M1181" s="176"/>
      <c r="N1181" s="106"/>
      <c r="O1181" s="62"/>
      <c r="P1181" s="62"/>
      <c r="Q1181" s="64"/>
      <c r="R1181" s="164"/>
      <c r="S1181" s="62"/>
      <c r="T1181" s="62"/>
      <c r="U1181" s="62"/>
      <c r="V1181" s="177"/>
      <c r="W1181" s="171"/>
      <c r="X1181" s="62"/>
      <c r="Y1181" s="45"/>
      <c r="Z1181" s="45"/>
      <c r="AA1181" s="100"/>
      <c r="AB1181" s="100"/>
      <c r="AC1181" s="24"/>
      <c r="AD1181" s="24"/>
      <c r="AE1181" s="24"/>
      <c r="AF1181" s="24"/>
      <c r="AG1181" s="69">
        <v>25</v>
      </c>
      <c r="AH1181" s="69" t="s">
        <v>298</v>
      </c>
      <c r="AI1181" s="243" t="s">
        <v>199</v>
      </c>
      <c r="AJ1181" s="243" t="s">
        <v>419</v>
      </c>
      <c r="AK1181" s="246"/>
      <c r="AL1181" s="43" t="str">
        <f t="shared" si="309"/>
        <v>-</v>
      </c>
      <c r="AM1181" s="43">
        <f t="shared" si="297"/>
        <v>0</v>
      </c>
      <c r="AN1181" s="193">
        <f t="shared" si="297"/>
        <v>0</v>
      </c>
      <c r="AO1181" s="270" t="str">
        <f t="shared" si="298"/>
        <v>-</v>
      </c>
      <c r="AP1181" s="266"/>
      <c r="AQ1181" s="26" t="str">
        <f t="shared" si="305"/>
        <v>OWOSSITSA CREEKPink</v>
      </c>
      <c r="AR1181" s="26">
        <f t="shared" si="299"/>
        <v>0</v>
      </c>
      <c r="AS1181" s="33">
        <f t="shared" si="300"/>
        <v>0</v>
      </c>
      <c r="AX1181" s="47" t="str">
        <f t="shared" si="301"/>
        <v>OWOSSITSA CREEKPink</v>
      </c>
      <c r="AY1181" s="49">
        <f t="shared" si="302"/>
        <v>0</v>
      </c>
      <c r="AZ1181" s="49">
        <f t="shared" si="303"/>
        <v>0</v>
      </c>
      <c r="BA1181" s="31">
        <v>0</v>
      </c>
      <c r="BB1181" s="188">
        <f t="shared" si="306"/>
        <v>0</v>
      </c>
      <c r="BC1181" s="188" t="str">
        <f t="shared" si="310"/>
        <v xml:space="preserve"> </v>
      </c>
      <c r="BD1181" s="188" t="str">
        <f t="shared" si="311"/>
        <v xml:space="preserve"> </v>
      </c>
      <c r="BE1181" s="188" t="str">
        <f t="shared" si="312"/>
        <v xml:space="preserve"> </v>
      </c>
      <c r="BF1181" s="50" t="str">
        <f t="shared" si="304"/>
        <v>OWOSSITSA CREEK_Pink</v>
      </c>
      <c r="BG1181" s="50" t="str">
        <f>IFERROR(VLOOKUP(BF1181,'[1]WCVI Esc'!$C$5:$W$514,18,FALSE),"-")</f>
        <v>-</v>
      </c>
      <c r="BH1181" s="50" t="str">
        <f t="shared" si="307"/>
        <v>-</v>
      </c>
      <c r="BI1181" s="50" t="str">
        <f>IFERROR(VLOOKUP(BF1181,'[1]WCVI Esc'!$C$5:$W$514,19,FALSE),"-")</f>
        <v>-</v>
      </c>
      <c r="BJ1181" s="50" t="str">
        <f t="shared" si="308"/>
        <v>-</v>
      </c>
    </row>
    <row r="1182" spans="1:62" hidden="1" x14ac:dyDescent="0.2">
      <c r="A1182" s="28">
        <v>4</v>
      </c>
      <c r="B1182" s="29">
        <v>4</v>
      </c>
      <c r="C1182" s="13">
        <v>25</v>
      </c>
      <c r="D1182" s="147" t="s">
        <v>298</v>
      </c>
      <c r="E1182" s="10" t="s">
        <v>199</v>
      </c>
      <c r="F1182" s="10" t="s">
        <v>209</v>
      </c>
      <c r="G1182" s="10"/>
      <c r="H1182" s="152"/>
      <c r="I1182" s="164"/>
      <c r="J1182" s="94"/>
      <c r="K1182" s="62"/>
      <c r="L1182" s="177"/>
      <c r="M1182" s="176"/>
      <c r="N1182" s="106"/>
      <c r="O1182" s="62"/>
      <c r="P1182" s="62"/>
      <c r="Q1182" s="64"/>
      <c r="R1182" s="164"/>
      <c r="S1182" s="62"/>
      <c r="T1182" s="62"/>
      <c r="U1182" s="62"/>
      <c r="V1182" s="177"/>
      <c r="W1182" s="171"/>
      <c r="X1182" s="62"/>
      <c r="Y1182" s="45"/>
      <c r="Z1182" s="45"/>
      <c r="AA1182" s="100">
        <f>Y1182/AP1182</f>
        <v>0</v>
      </c>
      <c r="AB1182" s="100">
        <f>AS1182/AP1182</f>
        <v>0</v>
      </c>
      <c r="AC1182" s="24"/>
      <c r="AD1182" s="24"/>
      <c r="AE1182" s="24"/>
      <c r="AF1182" s="24"/>
      <c r="AG1182" s="69">
        <v>25</v>
      </c>
      <c r="AH1182" s="69" t="s">
        <v>298</v>
      </c>
      <c r="AI1182" s="243" t="s">
        <v>199</v>
      </c>
      <c r="AJ1182" s="243" t="s">
        <v>419</v>
      </c>
      <c r="AK1182" s="246"/>
      <c r="AL1182" s="43" t="str">
        <f t="shared" si="309"/>
        <v>-</v>
      </c>
      <c r="AM1182" s="43">
        <f t="shared" si="297"/>
        <v>0</v>
      </c>
      <c r="AN1182" s="193">
        <f t="shared" si="297"/>
        <v>0</v>
      </c>
      <c r="AO1182" s="270" t="str">
        <f t="shared" si="298"/>
        <v>-</v>
      </c>
      <c r="AP1182" s="265">
        <f>BJ1182</f>
        <v>540</v>
      </c>
      <c r="AQ1182" s="26" t="str">
        <f t="shared" si="305"/>
        <v>OWOSSITSA CREEKChum</v>
      </c>
      <c r="AR1182" s="26">
        <f t="shared" si="299"/>
        <v>0</v>
      </c>
      <c r="AS1182" s="33">
        <f t="shared" si="300"/>
        <v>0</v>
      </c>
      <c r="AX1182" s="47" t="str">
        <f t="shared" si="301"/>
        <v>OWOSSITSA CREEKChum</v>
      </c>
      <c r="AY1182" s="49">
        <f t="shared" si="302"/>
        <v>0</v>
      </c>
      <c r="AZ1182" s="49">
        <f t="shared" si="303"/>
        <v>0</v>
      </c>
      <c r="BA1182" s="31">
        <v>2011</v>
      </c>
      <c r="BB1182" s="188">
        <f t="shared" si="306"/>
        <v>0</v>
      </c>
      <c r="BC1182" s="188" t="str">
        <f t="shared" si="310"/>
        <v xml:space="preserve"> </v>
      </c>
      <c r="BD1182" s="188" t="str">
        <f t="shared" si="311"/>
        <v xml:space="preserve"> </v>
      </c>
      <c r="BE1182" s="188" t="str">
        <f t="shared" si="312"/>
        <v xml:space="preserve"> </v>
      </c>
      <c r="BF1182" s="50" t="str">
        <f t="shared" si="304"/>
        <v>OWOSSITSA CREEK_Chum</v>
      </c>
      <c r="BG1182" s="50" t="str">
        <f>IFERROR(VLOOKUP(BF1182,'[1]WCVI Esc'!$C$5:$W$514,18,FALSE),"-")</f>
        <v>-</v>
      </c>
      <c r="BH1182" s="50" t="str">
        <f t="shared" si="307"/>
        <v>-</v>
      </c>
      <c r="BI1182" s="50">
        <f>IFERROR(VLOOKUP(BF1182,'[1]WCVI Esc'!$C$5:$W$514,19,FALSE),"-")</f>
        <v>537</v>
      </c>
      <c r="BJ1182" s="50">
        <f t="shared" si="308"/>
        <v>540</v>
      </c>
    </row>
    <row r="1183" spans="1:62" x14ac:dyDescent="0.2">
      <c r="A1183" s="28">
        <v>4</v>
      </c>
      <c r="B1183" s="29">
        <v>5</v>
      </c>
      <c r="C1183" s="13">
        <v>25</v>
      </c>
      <c r="D1183" s="147" t="s">
        <v>298</v>
      </c>
      <c r="E1183" s="10" t="s">
        <v>199</v>
      </c>
      <c r="F1183" s="10" t="s">
        <v>210</v>
      </c>
      <c r="G1183" s="10"/>
      <c r="H1183" s="152"/>
      <c r="I1183" s="164"/>
      <c r="J1183" s="94"/>
      <c r="K1183" s="62"/>
      <c r="L1183" s="177"/>
      <c r="M1183" s="176"/>
      <c r="N1183" s="106"/>
      <c r="O1183" s="62"/>
      <c r="P1183" s="62"/>
      <c r="Q1183" s="64"/>
      <c r="R1183" s="164"/>
      <c r="S1183" s="62"/>
      <c r="T1183" s="62"/>
      <c r="U1183" s="62"/>
      <c r="V1183" s="177"/>
      <c r="W1183" s="171"/>
      <c r="X1183" s="62"/>
      <c r="Y1183" s="45"/>
      <c r="Z1183" s="45"/>
      <c r="AA1183" s="100"/>
      <c r="AB1183" s="100"/>
      <c r="AC1183" s="24"/>
      <c r="AD1183" s="24"/>
      <c r="AE1183" s="24"/>
      <c r="AF1183" s="24"/>
      <c r="AG1183" s="69">
        <v>25</v>
      </c>
      <c r="AH1183" s="69" t="s">
        <v>298</v>
      </c>
      <c r="AI1183" s="243" t="s">
        <v>199</v>
      </c>
      <c r="AJ1183" s="243" t="s">
        <v>419</v>
      </c>
      <c r="AK1183" s="246"/>
      <c r="AL1183" s="43" t="str">
        <f t="shared" si="309"/>
        <v>-</v>
      </c>
      <c r="AM1183" s="43">
        <f t="shared" si="297"/>
        <v>0</v>
      </c>
      <c r="AN1183" s="193">
        <f t="shared" si="297"/>
        <v>0</v>
      </c>
      <c r="AO1183" s="270" t="str">
        <f t="shared" si="298"/>
        <v>-</v>
      </c>
      <c r="AP1183" s="266"/>
      <c r="AQ1183" s="26" t="str">
        <f t="shared" si="305"/>
        <v>OWOSSITSA CREEKChinook</v>
      </c>
      <c r="AR1183" s="26">
        <f t="shared" si="299"/>
        <v>0</v>
      </c>
      <c r="AS1183" s="33">
        <f t="shared" si="300"/>
        <v>0</v>
      </c>
      <c r="AX1183" s="47" t="str">
        <f t="shared" si="301"/>
        <v>OWOSSITSA CREEKChinook</v>
      </c>
      <c r="AY1183" s="49">
        <f t="shared" si="302"/>
        <v>0</v>
      </c>
      <c r="AZ1183" s="49">
        <f t="shared" si="303"/>
        <v>0</v>
      </c>
      <c r="BA1183" s="31">
        <v>1980</v>
      </c>
      <c r="BB1183" s="188">
        <f t="shared" si="306"/>
        <v>0</v>
      </c>
      <c r="BC1183" s="188" t="str">
        <f t="shared" si="310"/>
        <v xml:space="preserve"> </v>
      </c>
      <c r="BD1183" s="188" t="str">
        <f t="shared" si="311"/>
        <v xml:space="preserve"> </v>
      </c>
      <c r="BE1183" s="188" t="str">
        <f t="shared" si="312"/>
        <v xml:space="preserve"> </v>
      </c>
      <c r="BF1183" s="50" t="str">
        <f t="shared" si="304"/>
        <v>OWOSSITSA CREEK_Chinook</v>
      </c>
      <c r="BG1183" s="50" t="str">
        <f>IFERROR(VLOOKUP(BF1183,'[1]WCVI Esc'!$C$5:$W$514,18,FALSE),"-")</f>
        <v>-</v>
      </c>
      <c r="BH1183" s="50" t="str">
        <f t="shared" si="307"/>
        <v>-</v>
      </c>
      <c r="BI1183" s="50" t="str">
        <f>IFERROR(VLOOKUP(BF1183,'[1]WCVI Esc'!$C$5:$W$514,19,FALSE),"-")</f>
        <v>-</v>
      </c>
      <c r="BJ1183" s="50" t="str">
        <f t="shared" si="308"/>
        <v>-</v>
      </c>
    </row>
    <row r="1184" spans="1:62" hidden="1" x14ac:dyDescent="0.2">
      <c r="A1184" s="28">
        <v>4</v>
      </c>
      <c r="B1184" s="29">
        <v>6</v>
      </c>
      <c r="C1184" s="13">
        <v>25</v>
      </c>
      <c r="D1184" s="147" t="s">
        <v>298</v>
      </c>
      <c r="E1184" s="10" t="s">
        <v>199</v>
      </c>
      <c r="F1184" s="10" t="s">
        <v>211</v>
      </c>
      <c r="G1184" s="10"/>
      <c r="H1184" s="152"/>
      <c r="I1184" s="164"/>
      <c r="J1184" s="94"/>
      <c r="K1184" s="62"/>
      <c r="L1184" s="177"/>
      <c r="M1184" s="176"/>
      <c r="N1184" s="106"/>
      <c r="O1184" s="62"/>
      <c r="P1184" s="62"/>
      <c r="Q1184" s="64"/>
      <c r="R1184" s="164"/>
      <c r="S1184" s="62"/>
      <c r="T1184" s="62"/>
      <c r="U1184" s="62"/>
      <c r="V1184" s="177"/>
      <c r="W1184" s="171"/>
      <c r="X1184" s="62"/>
      <c r="Y1184" s="45"/>
      <c r="Z1184" s="45"/>
      <c r="AA1184" s="100"/>
      <c r="AB1184" s="100"/>
      <c r="AC1184" s="24"/>
      <c r="AD1184" s="24"/>
      <c r="AE1184" s="24"/>
      <c r="AF1184" s="24"/>
      <c r="AG1184" s="69">
        <v>25</v>
      </c>
      <c r="AH1184" s="69" t="s">
        <v>298</v>
      </c>
      <c r="AI1184" s="243" t="s">
        <v>199</v>
      </c>
      <c r="AJ1184" s="243" t="s">
        <v>419</v>
      </c>
      <c r="AK1184" s="246"/>
      <c r="AL1184" s="43" t="str">
        <f t="shared" si="309"/>
        <v>-</v>
      </c>
      <c r="AM1184" s="43">
        <f t="shared" si="297"/>
        <v>0</v>
      </c>
      <c r="AN1184" s="193">
        <f t="shared" si="297"/>
        <v>0</v>
      </c>
      <c r="AO1184" s="270" t="str">
        <f t="shared" si="298"/>
        <v>-</v>
      </c>
      <c r="AP1184" s="266"/>
      <c r="AQ1184" s="26" t="str">
        <f t="shared" si="305"/>
        <v>OWOSSITSA CREEKSteelhead</v>
      </c>
      <c r="AR1184" s="26">
        <f t="shared" si="299"/>
        <v>0</v>
      </c>
      <c r="AS1184" s="33">
        <f t="shared" si="300"/>
        <v>0</v>
      </c>
      <c r="AX1184" s="47" t="str">
        <f t="shared" si="301"/>
        <v>OWOSSITSA CREEKSteelhead</v>
      </c>
      <c r="AY1184" s="49">
        <f t="shared" si="302"/>
        <v>0</v>
      </c>
      <c r="AZ1184" s="49">
        <f t="shared" si="303"/>
        <v>0</v>
      </c>
      <c r="BA1184" s="31">
        <v>0</v>
      </c>
      <c r="BB1184" s="188">
        <f t="shared" si="306"/>
        <v>0</v>
      </c>
      <c r="BC1184" s="188" t="str">
        <f t="shared" si="310"/>
        <v xml:space="preserve"> </v>
      </c>
      <c r="BD1184" s="188" t="str">
        <f t="shared" si="311"/>
        <v xml:space="preserve"> </v>
      </c>
      <c r="BE1184" s="188" t="str">
        <f t="shared" si="312"/>
        <v xml:space="preserve"> </v>
      </c>
      <c r="BF1184" s="50" t="str">
        <f t="shared" si="304"/>
        <v>OWOSSITSA CREEK_Steelhead</v>
      </c>
      <c r="BG1184" s="50" t="str">
        <f>IFERROR(VLOOKUP(BF1184,'[1]WCVI Esc'!$C$5:$W$514,18,FALSE),"-")</f>
        <v>-</v>
      </c>
      <c r="BH1184" s="50" t="str">
        <f t="shared" si="307"/>
        <v>-</v>
      </c>
      <c r="BI1184" s="50" t="str">
        <f>IFERROR(VLOOKUP(BF1184,'[1]WCVI Esc'!$C$5:$W$514,19,FALSE),"-")</f>
        <v>-</v>
      </c>
      <c r="BJ1184" s="50" t="str">
        <f t="shared" si="308"/>
        <v>-</v>
      </c>
    </row>
    <row r="1185" spans="1:65" hidden="1" x14ac:dyDescent="0.2">
      <c r="A1185" s="28">
        <v>4</v>
      </c>
      <c r="B1185" s="28">
        <v>1</v>
      </c>
      <c r="C1185" s="11">
        <v>26</v>
      </c>
      <c r="D1185" s="149" t="s">
        <v>301</v>
      </c>
      <c r="E1185" s="10" t="s">
        <v>56</v>
      </c>
      <c r="F1185" s="10" t="s">
        <v>207</v>
      </c>
      <c r="G1185" s="10"/>
      <c r="H1185" s="152"/>
      <c r="I1185" s="155"/>
      <c r="J1185" s="106"/>
      <c r="K1185" s="94"/>
      <c r="L1185" s="180"/>
      <c r="M1185" s="173"/>
      <c r="N1185" s="106"/>
      <c r="O1185" s="96"/>
      <c r="P1185" s="63"/>
      <c r="Q1185" s="163"/>
      <c r="R1185" s="164"/>
      <c r="S1185" s="95"/>
      <c r="T1185" s="63"/>
      <c r="U1185" s="95"/>
      <c r="V1185" s="177"/>
      <c r="W1185" s="171"/>
      <c r="X1185" s="62"/>
      <c r="Y1185" s="45"/>
      <c r="Z1185" s="45"/>
      <c r="AA1185" s="100"/>
      <c r="AB1185" s="100"/>
      <c r="AC1185" s="24"/>
      <c r="AD1185" s="24"/>
      <c r="AE1185" s="24"/>
      <c r="AF1185" s="24"/>
      <c r="AG1185" s="18">
        <v>26</v>
      </c>
      <c r="AH1185" s="69" t="s">
        <v>301</v>
      </c>
      <c r="AI1185" s="243" t="s">
        <v>56</v>
      </c>
      <c r="AJ1185" s="243" t="s">
        <v>419</v>
      </c>
      <c r="AK1185" s="246"/>
      <c r="AL1185" s="43" t="str">
        <f t="shared" si="309"/>
        <v>-</v>
      </c>
      <c r="AM1185" s="43">
        <f t="shared" si="297"/>
        <v>0</v>
      </c>
      <c r="AN1185" s="193">
        <f t="shared" si="297"/>
        <v>0</v>
      </c>
      <c r="AO1185" s="270">
        <f t="shared" si="298"/>
        <v>0</v>
      </c>
      <c r="AP1185" s="269"/>
      <c r="AQ1185" s="26" t="str">
        <f t="shared" si="305"/>
        <v>AMAI CREEKSockeye</v>
      </c>
      <c r="AR1185" s="26">
        <f t="shared" si="299"/>
        <v>0</v>
      </c>
      <c r="AS1185" s="33">
        <f t="shared" si="300"/>
        <v>0</v>
      </c>
      <c r="AX1185" s="47" t="str">
        <f t="shared" si="301"/>
        <v>AMAI CREEKSockeye</v>
      </c>
      <c r="AY1185" s="49">
        <f t="shared" si="302"/>
        <v>0</v>
      </c>
      <c r="AZ1185" s="49">
        <f t="shared" si="303"/>
        <v>0</v>
      </c>
      <c r="BA1185" s="31">
        <v>1998</v>
      </c>
      <c r="BB1185" s="188">
        <f t="shared" si="306"/>
        <v>0</v>
      </c>
      <c r="BC1185" s="188" t="str">
        <f t="shared" si="310"/>
        <v xml:space="preserve"> </v>
      </c>
      <c r="BD1185" s="188" t="str">
        <f t="shared" si="311"/>
        <v xml:space="preserve"> </v>
      </c>
      <c r="BE1185" s="188" t="str">
        <f t="shared" si="312"/>
        <v xml:space="preserve"> </v>
      </c>
      <c r="BF1185" s="50" t="str">
        <f t="shared" si="304"/>
        <v>AMAI CREEK_Sockeye</v>
      </c>
      <c r="BG1185" s="50">
        <f>IFERROR(VLOOKUP(BF1185,'[1]WCVI Esc'!$C$5:$W$514,18,FALSE),"-")</f>
        <v>4</v>
      </c>
      <c r="BH1185" s="50">
        <f t="shared" si="307"/>
        <v>0</v>
      </c>
      <c r="BI1185" s="50">
        <f>IFERROR(VLOOKUP(BF1185,'[1]WCVI Esc'!$C$5:$W$514,19,FALSE),"-")</f>
        <v>4</v>
      </c>
      <c r="BJ1185" s="50">
        <f t="shared" si="308"/>
        <v>0</v>
      </c>
    </row>
    <row r="1186" spans="1:65" hidden="1" x14ac:dyDescent="0.2">
      <c r="A1186" s="28">
        <v>4</v>
      </c>
      <c r="B1186" s="28">
        <v>2</v>
      </c>
      <c r="C1186" s="11">
        <v>26</v>
      </c>
      <c r="D1186" s="149" t="s">
        <v>301</v>
      </c>
      <c r="E1186" s="10" t="s">
        <v>56</v>
      </c>
      <c r="F1186" s="10" t="s">
        <v>219</v>
      </c>
      <c r="G1186" s="10"/>
      <c r="H1186" s="152"/>
      <c r="I1186" s="155"/>
      <c r="J1186" s="106"/>
      <c r="K1186" s="94"/>
      <c r="L1186" s="180"/>
      <c r="M1186" s="173"/>
      <c r="N1186" s="106"/>
      <c r="O1186" s="96"/>
      <c r="P1186" s="63"/>
      <c r="Q1186" s="163"/>
      <c r="R1186" s="164"/>
      <c r="S1186" s="95"/>
      <c r="T1186" s="63"/>
      <c r="U1186" s="95"/>
      <c r="V1186" s="177"/>
      <c r="W1186" s="171"/>
      <c r="X1186" s="62"/>
      <c r="Y1186" s="45"/>
      <c r="Z1186" s="45"/>
      <c r="AA1186" s="100">
        <f>Y1186/AP1186</f>
        <v>0</v>
      </c>
      <c r="AB1186" s="100">
        <f>AS1186/AP1186</f>
        <v>0</v>
      </c>
      <c r="AC1186" s="100"/>
      <c r="AD1186" s="100"/>
      <c r="AE1186" s="100"/>
      <c r="AF1186" s="100"/>
      <c r="AG1186" s="18">
        <v>26</v>
      </c>
      <c r="AH1186" s="69" t="s">
        <v>301</v>
      </c>
      <c r="AI1186" s="243" t="s">
        <v>56</v>
      </c>
      <c r="AJ1186" s="243" t="s">
        <v>419</v>
      </c>
      <c r="AK1186" s="246"/>
      <c r="AL1186" s="43" t="str">
        <f t="shared" si="309"/>
        <v>-</v>
      </c>
      <c r="AM1186" s="43">
        <f t="shared" si="297"/>
        <v>0</v>
      </c>
      <c r="AN1186" s="193">
        <f t="shared" si="297"/>
        <v>0</v>
      </c>
      <c r="AO1186" s="270">
        <f t="shared" si="298"/>
        <v>50</v>
      </c>
      <c r="AP1186" s="265">
        <f>BJ1186</f>
        <v>190</v>
      </c>
      <c r="AQ1186" s="26" t="str">
        <f t="shared" si="305"/>
        <v>AMAI CREEKCoho</v>
      </c>
      <c r="AR1186" s="26">
        <f t="shared" si="299"/>
        <v>0</v>
      </c>
      <c r="AS1186" s="33">
        <f t="shared" si="300"/>
        <v>0</v>
      </c>
      <c r="AX1186" s="47" t="str">
        <f t="shared" si="301"/>
        <v>AMAI CREEKCoho</v>
      </c>
      <c r="AY1186" s="49">
        <f t="shared" si="302"/>
        <v>0</v>
      </c>
      <c r="AZ1186" s="49">
        <f t="shared" si="303"/>
        <v>0</v>
      </c>
      <c r="BA1186" s="31">
        <v>2015</v>
      </c>
      <c r="BB1186" s="188">
        <f t="shared" si="306"/>
        <v>0</v>
      </c>
      <c r="BC1186" s="188" t="str">
        <f t="shared" si="310"/>
        <v xml:space="preserve"> </v>
      </c>
      <c r="BD1186" s="188" t="str">
        <f t="shared" si="311"/>
        <v xml:space="preserve"> </v>
      </c>
      <c r="BE1186" s="188" t="str">
        <f t="shared" si="312"/>
        <v xml:space="preserve"> </v>
      </c>
      <c r="BF1186" s="50" t="str">
        <f t="shared" si="304"/>
        <v>AMAI CREEK_Coho</v>
      </c>
      <c r="BG1186" s="50">
        <f>IFERROR(VLOOKUP(BF1186,'[1]WCVI Esc'!$C$5:$W$514,18,FALSE),"-")</f>
        <v>53</v>
      </c>
      <c r="BH1186" s="50">
        <f t="shared" si="307"/>
        <v>50</v>
      </c>
      <c r="BI1186" s="50">
        <f>IFERROR(VLOOKUP(BF1186,'[1]WCVI Esc'!$C$5:$W$514,19,FALSE),"-")</f>
        <v>192.85714285714286</v>
      </c>
      <c r="BJ1186" s="50">
        <f t="shared" si="308"/>
        <v>190</v>
      </c>
    </row>
    <row r="1187" spans="1:65" hidden="1" x14ac:dyDescent="0.2">
      <c r="A1187" s="28">
        <v>4</v>
      </c>
      <c r="B1187" s="28">
        <v>3</v>
      </c>
      <c r="C1187" s="11">
        <v>26</v>
      </c>
      <c r="D1187" s="149" t="s">
        <v>301</v>
      </c>
      <c r="E1187" s="10" t="s">
        <v>56</v>
      </c>
      <c r="F1187" s="10" t="s">
        <v>208</v>
      </c>
      <c r="G1187" s="10"/>
      <c r="H1187" s="152"/>
      <c r="I1187" s="155"/>
      <c r="J1187" s="106"/>
      <c r="K1187" s="94"/>
      <c r="L1187" s="180"/>
      <c r="M1187" s="173"/>
      <c r="N1187" s="106"/>
      <c r="O1187" s="96"/>
      <c r="P1187" s="63"/>
      <c r="Q1187" s="163"/>
      <c r="R1187" s="164"/>
      <c r="S1187" s="95"/>
      <c r="T1187" s="63"/>
      <c r="U1187" s="95"/>
      <c r="V1187" s="177"/>
      <c r="W1187" s="171"/>
      <c r="X1187" s="62"/>
      <c r="Y1187" s="45"/>
      <c r="Z1187" s="45"/>
      <c r="AA1187" s="100"/>
      <c r="AB1187" s="100"/>
      <c r="AC1187" s="24"/>
      <c r="AD1187" s="24"/>
      <c r="AE1187" s="24"/>
      <c r="AF1187" s="24"/>
      <c r="AG1187" s="18">
        <v>26</v>
      </c>
      <c r="AH1187" s="69" t="s">
        <v>301</v>
      </c>
      <c r="AI1187" s="243" t="s">
        <v>56</v>
      </c>
      <c r="AJ1187" s="243" t="s">
        <v>419</v>
      </c>
      <c r="AK1187" s="246"/>
      <c r="AL1187" s="43" t="str">
        <f t="shared" si="309"/>
        <v>-</v>
      </c>
      <c r="AM1187" s="43">
        <f t="shared" si="297"/>
        <v>0</v>
      </c>
      <c r="AN1187" s="193">
        <f t="shared" si="297"/>
        <v>0</v>
      </c>
      <c r="AO1187" s="270" t="str">
        <f t="shared" si="298"/>
        <v>-</v>
      </c>
      <c r="AP1187" s="268"/>
      <c r="AQ1187" s="26" t="str">
        <f t="shared" si="305"/>
        <v>AMAI CREEKPink</v>
      </c>
      <c r="AR1187" s="26">
        <f t="shared" si="299"/>
        <v>0</v>
      </c>
      <c r="AS1187" s="33">
        <f t="shared" si="300"/>
        <v>0</v>
      </c>
      <c r="AX1187" s="47" t="str">
        <f t="shared" si="301"/>
        <v>AMAI CREEKPink</v>
      </c>
      <c r="AY1187" s="49">
        <f t="shared" si="302"/>
        <v>0</v>
      </c>
      <c r="AZ1187" s="49">
        <f t="shared" si="303"/>
        <v>0</v>
      </c>
      <c r="BA1187" s="31">
        <v>0</v>
      </c>
      <c r="BB1187" s="188">
        <f t="shared" si="306"/>
        <v>0</v>
      </c>
      <c r="BC1187" s="188" t="str">
        <f t="shared" si="310"/>
        <v xml:space="preserve"> </v>
      </c>
      <c r="BD1187" s="188" t="str">
        <f t="shared" si="311"/>
        <v xml:space="preserve"> </v>
      </c>
      <c r="BE1187" s="188" t="str">
        <f t="shared" si="312"/>
        <v xml:space="preserve"> </v>
      </c>
      <c r="BF1187" s="50" t="str">
        <f t="shared" si="304"/>
        <v>AMAI CREEK_Pink</v>
      </c>
      <c r="BG1187" s="50" t="str">
        <f>IFERROR(VLOOKUP(BF1187,'[1]WCVI Esc'!$C$5:$W$514,18,FALSE),"-")</f>
        <v>-</v>
      </c>
      <c r="BH1187" s="50" t="str">
        <f t="shared" si="307"/>
        <v>-</v>
      </c>
      <c r="BI1187" s="50" t="str">
        <f>IFERROR(VLOOKUP(BF1187,'[1]WCVI Esc'!$C$5:$W$514,19,FALSE),"-")</f>
        <v>-</v>
      </c>
      <c r="BJ1187" s="50" t="str">
        <f t="shared" si="308"/>
        <v>-</v>
      </c>
    </row>
    <row r="1188" spans="1:65" hidden="1" x14ac:dyDescent="0.2">
      <c r="A1188" s="28">
        <v>4</v>
      </c>
      <c r="B1188" s="28">
        <v>4</v>
      </c>
      <c r="C1188" s="11">
        <v>26</v>
      </c>
      <c r="D1188" s="149" t="s">
        <v>301</v>
      </c>
      <c r="E1188" s="10" t="s">
        <v>56</v>
      </c>
      <c r="F1188" s="10" t="s">
        <v>209</v>
      </c>
      <c r="G1188" s="10"/>
      <c r="H1188" s="152"/>
      <c r="I1188" s="155"/>
      <c r="J1188" s="106"/>
      <c r="K1188" s="94"/>
      <c r="L1188" s="180"/>
      <c r="M1188" s="173"/>
      <c r="N1188" s="106"/>
      <c r="O1188" s="96"/>
      <c r="P1188" s="63"/>
      <c r="Q1188" s="163"/>
      <c r="R1188" s="164"/>
      <c r="S1188" s="95"/>
      <c r="T1188" s="63"/>
      <c r="U1188" s="95"/>
      <c r="V1188" s="177"/>
      <c r="W1188" s="171"/>
      <c r="X1188" s="62"/>
      <c r="Y1188" s="45"/>
      <c r="Z1188" s="45"/>
      <c r="AA1188" s="100">
        <f>Y1188/AP1188</f>
        <v>0</v>
      </c>
      <c r="AB1188" s="100">
        <f>AS1188/AP1188</f>
        <v>0</v>
      </c>
      <c r="AC1188" s="100"/>
      <c r="AD1188" s="100"/>
      <c r="AE1188" s="100"/>
      <c r="AF1188" s="100"/>
      <c r="AG1188" s="18">
        <v>26</v>
      </c>
      <c r="AH1188" s="69" t="s">
        <v>301</v>
      </c>
      <c r="AI1188" s="243" t="s">
        <v>56</v>
      </c>
      <c r="AJ1188" s="243" t="s">
        <v>419</v>
      </c>
      <c r="AK1188" s="246"/>
      <c r="AL1188" s="43" t="str">
        <f t="shared" si="309"/>
        <v>-</v>
      </c>
      <c r="AM1188" s="43">
        <f t="shared" si="297"/>
        <v>0</v>
      </c>
      <c r="AN1188" s="193">
        <f t="shared" si="297"/>
        <v>0</v>
      </c>
      <c r="AO1188" s="270">
        <f t="shared" si="298"/>
        <v>260</v>
      </c>
      <c r="AP1188" s="265">
        <f>BJ1188</f>
        <v>560</v>
      </c>
      <c r="AQ1188" s="26" t="str">
        <f t="shared" si="305"/>
        <v>AMAI CREEKChum</v>
      </c>
      <c r="AR1188" s="26">
        <f t="shared" si="299"/>
        <v>0</v>
      </c>
      <c r="AS1188" s="33">
        <f t="shared" si="300"/>
        <v>0</v>
      </c>
      <c r="AX1188" s="47" t="str">
        <f t="shared" si="301"/>
        <v>AMAI CREEKChum</v>
      </c>
      <c r="AY1188" s="49">
        <f t="shared" si="302"/>
        <v>0</v>
      </c>
      <c r="AZ1188" s="49">
        <f t="shared" si="303"/>
        <v>0</v>
      </c>
      <c r="BA1188" s="31">
        <v>2015</v>
      </c>
      <c r="BB1188" s="188">
        <f t="shared" si="306"/>
        <v>0</v>
      </c>
      <c r="BC1188" s="188" t="str">
        <f t="shared" si="310"/>
        <v xml:space="preserve"> </v>
      </c>
      <c r="BD1188" s="188" t="str">
        <f t="shared" si="311"/>
        <v xml:space="preserve"> </v>
      </c>
      <c r="BE1188" s="188" t="str">
        <f t="shared" si="312"/>
        <v xml:space="preserve"> </v>
      </c>
      <c r="BF1188" s="50" t="str">
        <f t="shared" si="304"/>
        <v>AMAI CREEK_Chum</v>
      </c>
      <c r="BG1188" s="50">
        <f>IFERROR(VLOOKUP(BF1188,'[1]WCVI Esc'!$C$5:$W$514,18,FALSE),"-")</f>
        <v>259</v>
      </c>
      <c r="BH1188" s="50">
        <f t="shared" si="307"/>
        <v>260</v>
      </c>
      <c r="BI1188" s="50">
        <f>IFERROR(VLOOKUP(BF1188,'[1]WCVI Esc'!$C$5:$W$514,19,FALSE),"-")</f>
        <v>560.28571428571433</v>
      </c>
      <c r="BJ1188" s="50">
        <f t="shared" si="308"/>
        <v>560</v>
      </c>
    </row>
    <row r="1189" spans="1:65" hidden="1" x14ac:dyDescent="0.2">
      <c r="A1189" s="28">
        <v>4</v>
      </c>
      <c r="B1189" s="28">
        <v>5</v>
      </c>
      <c r="C1189" s="11">
        <v>26</v>
      </c>
      <c r="D1189" s="149" t="s">
        <v>301</v>
      </c>
      <c r="E1189" s="10" t="s">
        <v>56</v>
      </c>
      <c r="F1189" s="10" t="s">
        <v>210</v>
      </c>
      <c r="G1189" s="10"/>
      <c r="H1189" s="152"/>
      <c r="I1189" s="155"/>
      <c r="J1189" s="106"/>
      <c r="K1189" s="94"/>
      <c r="L1189" s="180"/>
      <c r="M1189" s="173"/>
      <c r="N1189" s="106"/>
      <c r="O1189" s="96"/>
      <c r="P1189" s="63"/>
      <c r="Q1189" s="163"/>
      <c r="R1189" s="164"/>
      <c r="S1189" s="95"/>
      <c r="T1189" s="63"/>
      <c r="U1189" s="95"/>
      <c r="V1189" s="177"/>
      <c r="W1189" s="171"/>
      <c r="X1189" s="62"/>
      <c r="Y1189" s="45"/>
      <c r="Z1189" s="45"/>
      <c r="AA1189" s="100"/>
      <c r="AB1189" s="100"/>
      <c r="AC1189" s="24"/>
      <c r="AD1189" s="24"/>
      <c r="AE1189" s="24"/>
      <c r="AF1189" s="24"/>
      <c r="AG1189" s="18">
        <v>26</v>
      </c>
      <c r="AH1189" s="69" t="s">
        <v>301</v>
      </c>
      <c r="AI1189" s="243" t="s">
        <v>56</v>
      </c>
      <c r="AJ1189" s="243" t="s">
        <v>419</v>
      </c>
      <c r="AK1189" s="246"/>
      <c r="AL1189" s="43" t="str">
        <f t="shared" si="309"/>
        <v>-</v>
      </c>
      <c r="AM1189" s="43">
        <f t="shared" si="297"/>
        <v>0</v>
      </c>
      <c r="AN1189" s="193">
        <f t="shared" si="297"/>
        <v>0</v>
      </c>
      <c r="AO1189" s="270">
        <f t="shared" si="298"/>
        <v>10</v>
      </c>
      <c r="AP1189" s="268"/>
      <c r="AQ1189" s="26" t="str">
        <f t="shared" si="305"/>
        <v>AMAI CREEKChinook</v>
      </c>
      <c r="AR1189" s="26">
        <f t="shared" si="299"/>
        <v>0</v>
      </c>
      <c r="AS1189" s="33">
        <f t="shared" si="300"/>
        <v>0</v>
      </c>
      <c r="AX1189" s="47" t="str">
        <f t="shared" si="301"/>
        <v>AMAI CREEKChinook</v>
      </c>
      <c r="AY1189" s="49">
        <f t="shared" si="302"/>
        <v>0</v>
      </c>
      <c r="AZ1189" s="49">
        <f t="shared" si="303"/>
        <v>0</v>
      </c>
      <c r="BA1189" s="31">
        <v>1998</v>
      </c>
      <c r="BB1189" s="188">
        <f t="shared" si="306"/>
        <v>0</v>
      </c>
      <c r="BC1189" s="188" t="str">
        <f t="shared" si="310"/>
        <v xml:space="preserve"> </v>
      </c>
      <c r="BD1189" s="188" t="str">
        <f t="shared" si="311"/>
        <v xml:space="preserve"> </v>
      </c>
      <c r="BE1189" s="188" t="str">
        <f t="shared" si="312"/>
        <v xml:space="preserve"> </v>
      </c>
      <c r="BF1189" s="50" t="str">
        <f t="shared" si="304"/>
        <v>AMAI CREEK_Chinook</v>
      </c>
      <c r="BG1189" s="50">
        <f>IFERROR(VLOOKUP(BF1189,'[1]WCVI Esc'!$C$5:$W$514,18,FALSE),"-")</f>
        <v>7</v>
      </c>
      <c r="BH1189" s="50">
        <f t="shared" si="307"/>
        <v>10</v>
      </c>
      <c r="BI1189" s="50">
        <f>IFERROR(VLOOKUP(BF1189,'[1]WCVI Esc'!$C$5:$W$514,19,FALSE),"-")</f>
        <v>4.5</v>
      </c>
      <c r="BJ1189" s="50">
        <f t="shared" si="308"/>
        <v>0</v>
      </c>
      <c r="BK1189">
        <v>4</v>
      </c>
      <c r="BL1189" s="17" t="s">
        <v>460</v>
      </c>
      <c r="BM1189" s="31">
        <v>1</v>
      </c>
    </row>
    <row r="1190" spans="1:65" hidden="1" x14ac:dyDescent="0.2">
      <c r="A1190" s="28">
        <v>4</v>
      </c>
      <c r="B1190" s="28">
        <v>6</v>
      </c>
      <c r="C1190" s="11">
        <v>26</v>
      </c>
      <c r="D1190" s="149" t="s">
        <v>301</v>
      </c>
      <c r="E1190" s="10" t="s">
        <v>56</v>
      </c>
      <c r="F1190" s="10" t="s">
        <v>211</v>
      </c>
      <c r="G1190" s="10"/>
      <c r="H1190" s="152"/>
      <c r="I1190" s="155"/>
      <c r="J1190" s="106"/>
      <c r="K1190" s="94"/>
      <c r="L1190" s="180"/>
      <c r="M1190" s="173"/>
      <c r="N1190" s="106"/>
      <c r="O1190" s="96"/>
      <c r="P1190" s="63"/>
      <c r="Q1190" s="163"/>
      <c r="R1190" s="164"/>
      <c r="S1190" s="95"/>
      <c r="T1190" s="63"/>
      <c r="U1190" s="95"/>
      <c r="V1190" s="177"/>
      <c r="W1190" s="171"/>
      <c r="X1190" s="62"/>
      <c r="Y1190" s="45"/>
      <c r="Z1190" s="45"/>
      <c r="AA1190" s="100"/>
      <c r="AB1190" s="100"/>
      <c r="AC1190" s="24"/>
      <c r="AD1190" s="24"/>
      <c r="AE1190" s="24"/>
      <c r="AF1190" s="24"/>
      <c r="AG1190" s="18">
        <v>26</v>
      </c>
      <c r="AH1190" s="69" t="s">
        <v>301</v>
      </c>
      <c r="AI1190" s="243" t="s">
        <v>56</v>
      </c>
      <c r="AJ1190" s="243" t="s">
        <v>419</v>
      </c>
      <c r="AK1190" s="246"/>
      <c r="AL1190" s="43" t="str">
        <f t="shared" si="309"/>
        <v>-</v>
      </c>
      <c r="AM1190" s="43">
        <f t="shared" si="297"/>
        <v>0</v>
      </c>
      <c r="AN1190" s="193">
        <f t="shared" si="297"/>
        <v>0</v>
      </c>
      <c r="AO1190" s="270" t="str">
        <f t="shared" si="298"/>
        <v>-</v>
      </c>
      <c r="AP1190" s="266"/>
      <c r="AQ1190" s="26" t="str">
        <f t="shared" si="305"/>
        <v>AMAI CREEKSteelhead</v>
      </c>
      <c r="AR1190" s="26">
        <f t="shared" si="299"/>
        <v>0</v>
      </c>
      <c r="AS1190" s="33">
        <f t="shared" si="300"/>
        <v>0</v>
      </c>
      <c r="AX1190" s="47" t="str">
        <f t="shared" si="301"/>
        <v>AMAI CREEKSteelhead</v>
      </c>
      <c r="AY1190" s="49">
        <f t="shared" si="302"/>
        <v>0</v>
      </c>
      <c r="AZ1190" s="49">
        <f t="shared" si="303"/>
        <v>0</v>
      </c>
      <c r="BA1190" s="31">
        <v>0</v>
      </c>
      <c r="BB1190" s="188">
        <f t="shared" si="306"/>
        <v>0</v>
      </c>
      <c r="BC1190" s="188" t="str">
        <f t="shared" si="310"/>
        <v xml:space="preserve"> </v>
      </c>
      <c r="BD1190" s="188" t="str">
        <f t="shared" si="311"/>
        <v xml:space="preserve"> </v>
      </c>
      <c r="BE1190" s="188" t="str">
        <f t="shared" si="312"/>
        <v xml:space="preserve"> </v>
      </c>
      <c r="BF1190" s="50" t="str">
        <f t="shared" si="304"/>
        <v>AMAI CREEK_Steelhead</v>
      </c>
      <c r="BG1190" s="50" t="str">
        <f>IFERROR(VLOOKUP(BF1190,'[1]WCVI Esc'!$C$5:$W$514,18,FALSE),"-")</f>
        <v>-</v>
      </c>
      <c r="BH1190" s="50" t="str">
        <f t="shared" si="307"/>
        <v>-</v>
      </c>
      <c r="BI1190" s="50" t="str">
        <f>IFERROR(VLOOKUP(BF1190,'[1]WCVI Esc'!$C$5:$W$514,19,FALSE),"-")</f>
        <v>-</v>
      </c>
      <c r="BJ1190" s="50" t="str">
        <f t="shared" si="308"/>
        <v>-</v>
      </c>
    </row>
    <row r="1191" spans="1:65" hidden="1" x14ac:dyDescent="0.2">
      <c r="A1191" s="28">
        <v>4</v>
      </c>
      <c r="B1191" s="28">
        <v>1</v>
      </c>
      <c r="C1191" s="11">
        <v>26</v>
      </c>
      <c r="D1191" s="149" t="s">
        <v>301</v>
      </c>
      <c r="E1191" s="10" t="s">
        <v>58</v>
      </c>
      <c r="F1191" s="10" t="s">
        <v>207</v>
      </c>
      <c r="G1191" s="10"/>
      <c r="H1191" s="152"/>
      <c r="I1191" s="155"/>
      <c r="J1191" s="106"/>
      <c r="K1191" s="94"/>
      <c r="L1191" s="180"/>
      <c r="M1191" s="173"/>
      <c r="N1191" s="106"/>
      <c r="O1191" s="106"/>
      <c r="P1191" s="63"/>
      <c r="Q1191" s="162"/>
      <c r="R1191" s="164"/>
      <c r="S1191" s="62"/>
      <c r="T1191" s="63"/>
      <c r="U1191" s="62"/>
      <c r="V1191" s="177"/>
      <c r="W1191" s="171"/>
      <c r="X1191" s="62"/>
      <c r="Y1191" s="45"/>
      <c r="Z1191" s="45"/>
      <c r="AA1191" s="100"/>
      <c r="AB1191" s="100"/>
      <c r="AC1191" s="24"/>
      <c r="AD1191" s="24"/>
      <c r="AE1191" s="24"/>
      <c r="AF1191" s="24"/>
      <c r="AG1191" s="18">
        <v>26</v>
      </c>
      <c r="AH1191" s="69" t="s">
        <v>301</v>
      </c>
      <c r="AI1191" s="243" t="s">
        <v>58</v>
      </c>
      <c r="AJ1191" s="243" t="s">
        <v>419</v>
      </c>
      <c r="AK1191" s="246"/>
      <c r="AL1191" s="43" t="str">
        <f t="shared" si="309"/>
        <v>-</v>
      </c>
      <c r="AM1191" s="43">
        <f t="shared" si="297"/>
        <v>0</v>
      </c>
      <c r="AN1191" s="193">
        <f t="shared" si="297"/>
        <v>0</v>
      </c>
      <c r="AO1191" s="270" t="str">
        <f t="shared" si="298"/>
        <v>-</v>
      </c>
      <c r="AP1191" s="269"/>
      <c r="AQ1191" s="26" t="str">
        <f t="shared" si="305"/>
        <v>CACHALOT CREEKSockeye</v>
      </c>
      <c r="AR1191" s="26">
        <f t="shared" si="299"/>
        <v>0</v>
      </c>
      <c r="AS1191" s="33">
        <f t="shared" si="300"/>
        <v>0</v>
      </c>
      <c r="AX1191" s="47" t="str">
        <f t="shared" si="301"/>
        <v>CACHALOT CREEKSockeye</v>
      </c>
      <c r="AY1191" s="49">
        <f t="shared" si="302"/>
        <v>0</v>
      </c>
      <c r="AZ1191" s="49">
        <f t="shared" si="303"/>
        <v>0</v>
      </c>
      <c r="BA1191" s="31">
        <v>0</v>
      </c>
      <c r="BB1191" s="188">
        <f t="shared" si="306"/>
        <v>0</v>
      </c>
      <c r="BC1191" s="188" t="str">
        <f t="shared" si="310"/>
        <v xml:space="preserve"> </v>
      </c>
      <c r="BD1191" s="188" t="str">
        <f t="shared" si="311"/>
        <v xml:space="preserve"> </v>
      </c>
      <c r="BE1191" s="188" t="str">
        <f t="shared" si="312"/>
        <v xml:space="preserve"> </v>
      </c>
      <c r="BF1191" s="50" t="str">
        <f t="shared" si="304"/>
        <v>CACHALOT CREEK_Sockeye</v>
      </c>
      <c r="BG1191" s="50" t="str">
        <f>IFERROR(VLOOKUP(BF1191,'[1]WCVI Esc'!$C$5:$W$514,18,FALSE),"-")</f>
        <v>-</v>
      </c>
      <c r="BH1191" s="50" t="str">
        <f t="shared" si="307"/>
        <v>-</v>
      </c>
      <c r="BI1191" s="50" t="str">
        <f>IFERROR(VLOOKUP(BF1191,'[1]WCVI Esc'!$C$5:$W$514,19,FALSE),"-")</f>
        <v>-</v>
      </c>
      <c r="BJ1191" s="50" t="str">
        <f t="shared" si="308"/>
        <v>-</v>
      </c>
    </row>
    <row r="1192" spans="1:65" hidden="1" x14ac:dyDescent="0.2">
      <c r="A1192" s="28">
        <v>4</v>
      </c>
      <c r="B1192" s="28">
        <v>2</v>
      </c>
      <c r="C1192" s="11">
        <v>26</v>
      </c>
      <c r="D1192" s="149" t="s">
        <v>301</v>
      </c>
      <c r="E1192" s="10" t="s">
        <v>58</v>
      </c>
      <c r="F1192" s="10" t="s">
        <v>219</v>
      </c>
      <c r="G1192" s="10"/>
      <c r="H1192" s="152"/>
      <c r="I1192" s="155"/>
      <c r="J1192" s="106"/>
      <c r="K1192" s="94"/>
      <c r="L1192" s="180"/>
      <c r="M1192" s="173"/>
      <c r="N1192" s="106"/>
      <c r="O1192" s="106"/>
      <c r="P1192" s="63"/>
      <c r="Q1192" s="162"/>
      <c r="R1192" s="164"/>
      <c r="S1192" s="62"/>
      <c r="T1192" s="63"/>
      <c r="U1192" s="62"/>
      <c r="V1192" s="177"/>
      <c r="W1192" s="171"/>
      <c r="X1192" s="62"/>
      <c r="Y1192" s="45"/>
      <c r="Z1192" s="45"/>
      <c r="AA1192" s="100">
        <f>Y1192/AP1192</f>
        <v>0</v>
      </c>
      <c r="AB1192" s="100">
        <f>AS1192/AP1192</f>
        <v>0</v>
      </c>
      <c r="AC1192" s="100"/>
      <c r="AD1192" s="100"/>
      <c r="AE1192" s="100"/>
      <c r="AF1192" s="100"/>
      <c r="AG1192" s="18">
        <v>26</v>
      </c>
      <c r="AH1192" s="69" t="s">
        <v>301</v>
      </c>
      <c r="AI1192" s="243" t="s">
        <v>58</v>
      </c>
      <c r="AJ1192" s="243" t="s">
        <v>419</v>
      </c>
      <c r="AK1192" s="246"/>
      <c r="AL1192" s="43" t="str">
        <f t="shared" si="309"/>
        <v>-</v>
      </c>
      <c r="AM1192" s="43">
        <f t="shared" si="297"/>
        <v>0</v>
      </c>
      <c r="AN1192" s="193">
        <f t="shared" si="297"/>
        <v>0</v>
      </c>
      <c r="AO1192" s="270" t="str">
        <f t="shared" si="298"/>
        <v>-</v>
      </c>
      <c r="AP1192" s="265">
        <f>BJ1192</f>
        <v>40</v>
      </c>
      <c r="AQ1192" s="26" t="str">
        <f t="shared" si="305"/>
        <v>CACHALOT CREEKCoho</v>
      </c>
      <c r="AR1192" s="26">
        <f t="shared" si="299"/>
        <v>0</v>
      </c>
      <c r="AS1192" s="33">
        <f t="shared" si="300"/>
        <v>0</v>
      </c>
      <c r="AX1192" s="47" t="str">
        <f t="shared" si="301"/>
        <v>CACHALOT CREEKCoho</v>
      </c>
      <c r="AY1192" s="49">
        <f t="shared" si="302"/>
        <v>0</v>
      </c>
      <c r="AZ1192" s="49">
        <f t="shared" si="303"/>
        <v>0</v>
      </c>
      <c r="BA1192" s="31">
        <v>2015</v>
      </c>
      <c r="BB1192" s="188">
        <f t="shared" si="306"/>
        <v>0</v>
      </c>
      <c r="BC1192" s="188" t="str">
        <f t="shared" si="310"/>
        <v xml:space="preserve"> </v>
      </c>
      <c r="BD1192" s="188" t="str">
        <f t="shared" si="311"/>
        <v xml:space="preserve"> </v>
      </c>
      <c r="BE1192" s="188" t="str">
        <f t="shared" si="312"/>
        <v xml:space="preserve"> </v>
      </c>
      <c r="BF1192" s="50" t="str">
        <f t="shared" si="304"/>
        <v>CACHALOT CREEK_Coho</v>
      </c>
      <c r="BG1192" s="50" t="str">
        <f>IFERROR(VLOOKUP(BF1192,'[1]WCVI Esc'!$C$5:$W$514,18,FALSE),"-")</f>
        <v>-</v>
      </c>
      <c r="BH1192" s="50" t="str">
        <f t="shared" si="307"/>
        <v>-</v>
      </c>
      <c r="BI1192" s="50">
        <f>IFERROR(VLOOKUP(BF1192,'[1]WCVI Esc'!$C$5:$W$514,19,FALSE),"-")</f>
        <v>36.25</v>
      </c>
      <c r="BJ1192" s="50">
        <f t="shared" si="308"/>
        <v>40</v>
      </c>
    </row>
    <row r="1193" spans="1:65" hidden="1" x14ac:dyDescent="0.2">
      <c r="A1193" s="28">
        <v>4</v>
      </c>
      <c r="B1193" s="28">
        <v>3</v>
      </c>
      <c r="C1193" s="11">
        <v>26</v>
      </c>
      <c r="D1193" s="149" t="s">
        <v>301</v>
      </c>
      <c r="E1193" s="10" t="s">
        <v>58</v>
      </c>
      <c r="F1193" s="10" t="s">
        <v>208</v>
      </c>
      <c r="G1193" s="10"/>
      <c r="H1193" s="152"/>
      <c r="I1193" s="155"/>
      <c r="J1193" s="106"/>
      <c r="K1193" s="94"/>
      <c r="L1193" s="180"/>
      <c r="M1193" s="173"/>
      <c r="N1193" s="106"/>
      <c r="O1193" s="106"/>
      <c r="P1193" s="63"/>
      <c r="Q1193" s="162"/>
      <c r="R1193" s="164"/>
      <c r="S1193" s="62"/>
      <c r="T1193" s="63"/>
      <c r="U1193" s="62"/>
      <c r="V1193" s="177"/>
      <c r="W1193" s="171"/>
      <c r="X1193" s="62"/>
      <c r="Y1193" s="45"/>
      <c r="Z1193" s="45"/>
      <c r="AA1193" s="100"/>
      <c r="AB1193" s="100"/>
      <c r="AC1193" s="24"/>
      <c r="AD1193" s="24"/>
      <c r="AE1193" s="24"/>
      <c r="AF1193" s="24"/>
      <c r="AG1193" s="18">
        <v>26</v>
      </c>
      <c r="AH1193" s="69" t="s">
        <v>301</v>
      </c>
      <c r="AI1193" s="243" t="s">
        <v>58</v>
      </c>
      <c r="AJ1193" s="243" t="s">
        <v>419</v>
      </c>
      <c r="AK1193" s="246"/>
      <c r="AL1193" s="43" t="str">
        <f t="shared" si="309"/>
        <v>-</v>
      </c>
      <c r="AM1193" s="43">
        <f t="shared" si="297"/>
        <v>0</v>
      </c>
      <c r="AN1193" s="193">
        <f t="shared" si="297"/>
        <v>0</v>
      </c>
      <c r="AO1193" s="270" t="str">
        <f t="shared" si="298"/>
        <v>-</v>
      </c>
      <c r="AP1193" s="268"/>
      <c r="AQ1193" s="26" t="str">
        <f t="shared" si="305"/>
        <v>CACHALOT CREEKPink</v>
      </c>
      <c r="AR1193" s="26">
        <f t="shared" si="299"/>
        <v>0</v>
      </c>
      <c r="AS1193" s="33">
        <f t="shared" si="300"/>
        <v>0</v>
      </c>
      <c r="AX1193" s="47" t="str">
        <f t="shared" si="301"/>
        <v>CACHALOT CREEKPink</v>
      </c>
      <c r="AY1193" s="49">
        <f t="shared" si="302"/>
        <v>0</v>
      </c>
      <c r="AZ1193" s="49">
        <f t="shared" si="303"/>
        <v>0</v>
      </c>
      <c r="BA1193" s="31">
        <v>0</v>
      </c>
      <c r="BB1193" s="188">
        <f t="shared" si="306"/>
        <v>0</v>
      </c>
      <c r="BC1193" s="188" t="str">
        <f t="shared" si="310"/>
        <v xml:space="preserve"> </v>
      </c>
      <c r="BD1193" s="188" t="str">
        <f t="shared" si="311"/>
        <v xml:space="preserve"> </v>
      </c>
      <c r="BE1193" s="188" t="str">
        <f t="shared" si="312"/>
        <v xml:space="preserve"> </v>
      </c>
      <c r="BF1193" s="50" t="str">
        <f t="shared" si="304"/>
        <v>CACHALOT CREEK_Pink</v>
      </c>
      <c r="BG1193" s="50" t="str">
        <f>IFERROR(VLOOKUP(BF1193,'[1]WCVI Esc'!$C$5:$W$514,18,FALSE),"-")</f>
        <v>-</v>
      </c>
      <c r="BH1193" s="50" t="str">
        <f t="shared" si="307"/>
        <v>-</v>
      </c>
      <c r="BI1193" s="50" t="str">
        <f>IFERROR(VLOOKUP(BF1193,'[1]WCVI Esc'!$C$5:$W$514,19,FALSE),"-")</f>
        <v>-</v>
      </c>
      <c r="BJ1193" s="50" t="str">
        <f t="shared" si="308"/>
        <v>-</v>
      </c>
    </row>
    <row r="1194" spans="1:65" hidden="1" x14ac:dyDescent="0.2">
      <c r="A1194" s="28">
        <v>4</v>
      </c>
      <c r="B1194" s="28">
        <v>4</v>
      </c>
      <c r="C1194" s="11">
        <v>26</v>
      </c>
      <c r="D1194" s="149" t="s">
        <v>301</v>
      </c>
      <c r="E1194" s="10" t="s">
        <v>58</v>
      </c>
      <c r="F1194" s="10" t="s">
        <v>209</v>
      </c>
      <c r="G1194" s="10"/>
      <c r="H1194" s="152"/>
      <c r="I1194" s="155"/>
      <c r="J1194" s="106"/>
      <c r="K1194" s="94"/>
      <c r="L1194" s="180"/>
      <c r="M1194" s="173"/>
      <c r="N1194" s="106"/>
      <c r="O1194" s="106"/>
      <c r="P1194" s="63"/>
      <c r="Q1194" s="162"/>
      <c r="R1194" s="164"/>
      <c r="S1194" s="62"/>
      <c r="T1194" s="63"/>
      <c r="U1194" s="62"/>
      <c r="V1194" s="177"/>
      <c r="W1194" s="171"/>
      <c r="X1194" s="62"/>
      <c r="Y1194" s="45"/>
      <c r="Z1194" s="45"/>
      <c r="AA1194" s="100">
        <f>Y1194/AP1194</f>
        <v>0</v>
      </c>
      <c r="AB1194" s="100">
        <f>AS1194/AP1194</f>
        <v>0</v>
      </c>
      <c r="AC1194" s="100"/>
      <c r="AD1194" s="100"/>
      <c r="AE1194" s="100"/>
      <c r="AF1194" s="100"/>
      <c r="AG1194" s="18">
        <v>26</v>
      </c>
      <c r="AH1194" s="69" t="s">
        <v>301</v>
      </c>
      <c r="AI1194" s="243" t="s">
        <v>58</v>
      </c>
      <c r="AJ1194" s="243" t="s">
        <v>419</v>
      </c>
      <c r="AK1194" s="246"/>
      <c r="AL1194" s="43" t="str">
        <f t="shared" si="309"/>
        <v>-</v>
      </c>
      <c r="AM1194" s="43">
        <f t="shared" si="297"/>
        <v>0</v>
      </c>
      <c r="AN1194" s="193">
        <f t="shared" si="297"/>
        <v>0</v>
      </c>
      <c r="AO1194" s="270" t="str">
        <f t="shared" si="298"/>
        <v>-</v>
      </c>
      <c r="AP1194" s="265">
        <f>BJ1194</f>
        <v>300</v>
      </c>
      <c r="AQ1194" s="26" t="str">
        <f t="shared" si="305"/>
        <v>CACHALOT CREEKChum</v>
      </c>
      <c r="AR1194" s="26">
        <f t="shared" si="299"/>
        <v>0</v>
      </c>
      <c r="AS1194" s="33">
        <f t="shared" si="300"/>
        <v>0</v>
      </c>
      <c r="AX1194" s="47" t="str">
        <f t="shared" si="301"/>
        <v>CACHALOT CREEKChum</v>
      </c>
      <c r="AY1194" s="49">
        <f t="shared" si="302"/>
        <v>0</v>
      </c>
      <c r="AZ1194" s="49">
        <f t="shared" si="303"/>
        <v>0</v>
      </c>
      <c r="BA1194" s="31">
        <v>2015</v>
      </c>
      <c r="BB1194" s="188">
        <f t="shared" si="306"/>
        <v>0</v>
      </c>
      <c r="BC1194" s="188" t="str">
        <f t="shared" si="310"/>
        <v xml:space="preserve"> </v>
      </c>
      <c r="BD1194" s="188" t="str">
        <f t="shared" si="311"/>
        <v xml:space="preserve"> </v>
      </c>
      <c r="BE1194" s="188" t="str">
        <f t="shared" si="312"/>
        <v xml:space="preserve"> </v>
      </c>
      <c r="BF1194" s="50" t="str">
        <f t="shared" si="304"/>
        <v>CACHALOT CREEK_Chum</v>
      </c>
      <c r="BG1194" s="50" t="str">
        <f>IFERROR(VLOOKUP(BF1194,'[1]WCVI Esc'!$C$5:$W$514,18,FALSE),"-")</f>
        <v>-</v>
      </c>
      <c r="BH1194" s="50" t="str">
        <f t="shared" si="307"/>
        <v>-</v>
      </c>
      <c r="BI1194" s="50">
        <f>IFERROR(VLOOKUP(BF1194,'[1]WCVI Esc'!$C$5:$W$514,19,FALSE),"-")</f>
        <v>298.25</v>
      </c>
      <c r="BJ1194" s="50">
        <f t="shared" si="308"/>
        <v>300</v>
      </c>
    </row>
    <row r="1195" spans="1:65" hidden="1" x14ac:dyDescent="0.2">
      <c r="A1195" s="28">
        <v>4</v>
      </c>
      <c r="B1195" s="28">
        <v>5</v>
      </c>
      <c r="C1195" s="11">
        <v>26</v>
      </c>
      <c r="D1195" s="149" t="s">
        <v>301</v>
      </c>
      <c r="E1195" s="10" t="s">
        <v>58</v>
      </c>
      <c r="F1195" s="10" t="s">
        <v>210</v>
      </c>
      <c r="G1195" s="10"/>
      <c r="H1195" s="152"/>
      <c r="I1195" s="155"/>
      <c r="J1195" s="106"/>
      <c r="K1195" s="94"/>
      <c r="L1195" s="180"/>
      <c r="M1195" s="173"/>
      <c r="N1195" s="106"/>
      <c r="O1195" s="106"/>
      <c r="P1195" s="63"/>
      <c r="Q1195" s="162"/>
      <c r="R1195" s="164"/>
      <c r="S1195" s="62"/>
      <c r="T1195" s="63"/>
      <c r="U1195" s="62"/>
      <c r="V1195" s="177"/>
      <c r="W1195" s="171"/>
      <c r="X1195" s="62"/>
      <c r="Y1195" s="45"/>
      <c r="Z1195" s="45"/>
      <c r="AA1195" s="100"/>
      <c r="AB1195" s="100"/>
      <c r="AC1195" s="24"/>
      <c r="AD1195" s="24"/>
      <c r="AE1195" s="24"/>
      <c r="AF1195" s="24"/>
      <c r="AG1195" s="18">
        <v>26</v>
      </c>
      <c r="AH1195" s="69" t="s">
        <v>301</v>
      </c>
      <c r="AI1195" s="243" t="s">
        <v>58</v>
      </c>
      <c r="AJ1195" s="243" t="s">
        <v>419</v>
      </c>
      <c r="AK1195" s="246"/>
      <c r="AL1195" s="43" t="str">
        <f t="shared" si="309"/>
        <v>-</v>
      </c>
      <c r="AM1195" s="43">
        <f t="shared" si="297"/>
        <v>0</v>
      </c>
      <c r="AN1195" s="193">
        <f t="shared" si="297"/>
        <v>0</v>
      </c>
      <c r="AO1195" s="270" t="str">
        <f t="shared" si="298"/>
        <v>-</v>
      </c>
      <c r="AP1195" s="268"/>
      <c r="AQ1195" s="26" t="str">
        <f t="shared" si="305"/>
        <v>CACHALOT CREEKChinook</v>
      </c>
      <c r="AR1195" s="26">
        <f t="shared" si="299"/>
        <v>0</v>
      </c>
      <c r="AS1195" s="33">
        <f t="shared" si="300"/>
        <v>0</v>
      </c>
      <c r="AX1195" s="47" t="str">
        <f t="shared" si="301"/>
        <v>CACHALOT CREEKChinook</v>
      </c>
      <c r="AY1195" s="49">
        <f t="shared" si="302"/>
        <v>0</v>
      </c>
      <c r="AZ1195" s="49">
        <f t="shared" si="303"/>
        <v>0</v>
      </c>
      <c r="BA1195" s="31">
        <v>0</v>
      </c>
      <c r="BB1195" s="188">
        <f t="shared" si="306"/>
        <v>0</v>
      </c>
      <c r="BC1195" s="188" t="str">
        <f t="shared" si="310"/>
        <v xml:space="preserve"> </v>
      </c>
      <c r="BD1195" s="188" t="str">
        <f t="shared" si="311"/>
        <v xml:space="preserve"> </v>
      </c>
      <c r="BE1195" s="188" t="str">
        <f t="shared" si="312"/>
        <v xml:space="preserve"> </v>
      </c>
      <c r="BF1195" s="50" t="str">
        <f t="shared" si="304"/>
        <v>CACHALOT CREEK_Chinook</v>
      </c>
      <c r="BG1195" s="50" t="str">
        <f>IFERROR(VLOOKUP(BF1195,'[1]WCVI Esc'!$C$5:$W$514,18,FALSE),"-")</f>
        <v>-</v>
      </c>
      <c r="BH1195" s="50" t="str">
        <f t="shared" si="307"/>
        <v>-</v>
      </c>
      <c r="BI1195" s="50" t="str">
        <f>IFERROR(VLOOKUP(BF1195,'[1]WCVI Esc'!$C$5:$W$514,19,FALSE),"-")</f>
        <v>-</v>
      </c>
      <c r="BJ1195" s="50" t="str">
        <f t="shared" si="308"/>
        <v>-</v>
      </c>
    </row>
    <row r="1196" spans="1:65" hidden="1" x14ac:dyDescent="0.2">
      <c r="A1196" s="28">
        <v>4</v>
      </c>
      <c r="B1196" s="28">
        <v>6</v>
      </c>
      <c r="C1196" s="11">
        <v>26</v>
      </c>
      <c r="D1196" s="149" t="s">
        <v>301</v>
      </c>
      <c r="E1196" s="10" t="s">
        <v>58</v>
      </c>
      <c r="F1196" s="10" t="s">
        <v>211</v>
      </c>
      <c r="G1196" s="10"/>
      <c r="H1196" s="152"/>
      <c r="I1196" s="155"/>
      <c r="J1196" s="106"/>
      <c r="K1196" s="94"/>
      <c r="L1196" s="180"/>
      <c r="M1196" s="173"/>
      <c r="N1196" s="106"/>
      <c r="O1196" s="106"/>
      <c r="P1196" s="63"/>
      <c r="Q1196" s="162"/>
      <c r="R1196" s="164"/>
      <c r="S1196" s="62"/>
      <c r="T1196" s="63"/>
      <c r="U1196" s="62"/>
      <c r="V1196" s="177"/>
      <c r="W1196" s="171"/>
      <c r="X1196" s="62"/>
      <c r="Y1196" s="45"/>
      <c r="Z1196" s="45"/>
      <c r="AA1196" s="100"/>
      <c r="AB1196" s="100"/>
      <c r="AC1196" s="24"/>
      <c r="AD1196" s="24"/>
      <c r="AE1196" s="24"/>
      <c r="AF1196" s="24"/>
      <c r="AG1196" s="18">
        <v>26</v>
      </c>
      <c r="AH1196" s="69" t="s">
        <v>301</v>
      </c>
      <c r="AI1196" s="243" t="s">
        <v>58</v>
      </c>
      <c r="AJ1196" s="243" t="s">
        <v>419</v>
      </c>
      <c r="AK1196" s="246"/>
      <c r="AL1196" s="43" t="str">
        <f t="shared" si="309"/>
        <v>-</v>
      </c>
      <c r="AM1196" s="43">
        <f t="shared" si="297"/>
        <v>0</v>
      </c>
      <c r="AN1196" s="193">
        <f t="shared" si="297"/>
        <v>0</v>
      </c>
      <c r="AO1196" s="270" t="str">
        <f t="shared" si="298"/>
        <v>-</v>
      </c>
      <c r="AP1196" s="266"/>
      <c r="AQ1196" s="26" t="str">
        <f t="shared" si="305"/>
        <v>CACHALOT CREEKSteelhead</v>
      </c>
      <c r="AR1196" s="26">
        <f t="shared" si="299"/>
        <v>0</v>
      </c>
      <c r="AS1196" s="33">
        <f t="shared" si="300"/>
        <v>0</v>
      </c>
      <c r="AX1196" s="47" t="str">
        <f t="shared" si="301"/>
        <v>CACHALOT CREEKSteelhead</v>
      </c>
      <c r="AY1196" s="49">
        <f t="shared" si="302"/>
        <v>0</v>
      </c>
      <c r="AZ1196" s="49">
        <f t="shared" si="303"/>
        <v>0</v>
      </c>
      <c r="BA1196" s="31">
        <v>0</v>
      </c>
      <c r="BB1196" s="188">
        <f t="shared" si="306"/>
        <v>0</v>
      </c>
      <c r="BC1196" s="188" t="str">
        <f t="shared" si="310"/>
        <v xml:space="preserve"> </v>
      </c>
      <c r="BD1196" s="188" t="str">
        <f t="shared" si="311"/>
        <v xml:space="preserve"> </v>
      </c>
      <c r="BE1196" s="188" t="str">
        <f t="shared" si="312"/>
        <v xml:space="preserve"> </v>
      </c>
      <c r="BF1196" s="50" t="str">
        <f t="shared" si="304"/>
        <v>CACHALOT CREEK_Steelhead</v>
      </c>
      <c r="BG1196" s="50" t="str">
        <f>IFERROR(VLOOKUP(BF1196,'[1]WCVI Esc'!$C$5:$W$514,18,FALSE),"-")</f>
        <v>-</v>
      </c>
      <c r="BH1196" s="50" t="str">
        <f t="shared" si="307"/>
        <v>-</v>
      </c>
      <c r="BI1196" s="50" t="str">
        <f>IFERROR(VLOOKUP(BF1196,'[1]WCVI Esc'!$C$5:$W$514,19,FALSE),"-")</f>
        <v>-</v>
      </c>
      <c r="BJ1196" s="50" t="str">
        <f t="shared" si="308"/>
        <v>-</v>
      </c>
    </row>
    <row r="1197" spans="1:65" hidden="1" x14ac:dyDescent="0.2">
      <c r="A1197" s="28">
        <v>4</v>
      </c>
      <c r="B1197" s="28">
        <v>1</v>
      </c>
      <c r="C1197" s="11">
        <v>26</v>
      </c>
      <c r="D1197" s="149" t="s">
        <v>301</v>
      </c>
      <c r="E1197" s="10" t="s">
        <v>59</v>
      </c>
      <c r="F1197" s="10" t="s">
        <v>207</v>
      </c>
      <c r="G1197" s="10"/>
      <c r="H1197" s="152"/>
      <c r="I1197" s="155"/>
      <c r="J1197" s="106"/>
      <c r="K1197" s="94"/>
      <c r="L1197" s="180"/>
      <c r="M1197" s="173"/>
      <c r="N1197" s="96"/>
      <c r="O1197" s="106"/>
      <c r="P1197" s="142"/>
      <c r="Q1197" s="162"/>
      <c r="R1197" s="165"/>
      <c r="S1197" s="62"/>
      <c r="T1197" s="142"/>
      <c r="U1197" s="62"/>
      <c r="V1197" s="177"/>
      <c r="W1197" s="171"/>
      <c r="X1197" s="62"/>
      <c r="Y1197" s="45"/>
      <c r="Z1197" s="45"/>
      <c r="AA1197" s="100"/>
      <c r="AB1197" s="100"/>
      <c r="AC1197" s="24"/>
      <c r="AD1197" s="24"/>
      <c r="AE1197" s="24"/>
      <c r="AF1197" s="24"/>
      <c r="AG1197" s="18">
        <v>26</v>
      </c>
      <c r="AH1197" s="69" t="s">
        <v>301</v>
      </c>
      <c r="AI1197" s="243" t="s">
        <v>59</v>
      </c>
      <c r="AJ1197" s="243" t="s">
        <v>419</v>
      </c>
      <c r="AK1197" s="246"/>
      <c r="AL1197" s="43" t="str">
        <f t="shared" si="309"/>
        <v>-</v>
      </c>
      <c r="AM1197" s="43">
        <f t="shared" si="297"/>
        <v>0</v>
      </c>
      <c r="AN1197" s="193">
        <f t="shared" si="297"/>
        <v>0</v>
      </c>
      <c r="AO1197" s="270" t="str">
        <f t="shared" si="298"/>
        <v>-</v>
      </c>
      <c r="AP1197" s="266"/>
      <c r="AQ1197" s="26" t="str">
        <f t="shared" si="305"/>
        <v>CHAMISS CREEKSockeye</v>
      </c>
      <c r="AR1197" s="26">
        <f t="shared" si="299"/>
        <v>0</v>
      </c>
      <c r="AS1197" s="33">
        <f t="shared" si="300"/>
        <v>0</v>
      </c>
      <c r="AX1197" s="47" t="str">
        <f t="shared" si="301"/>
        <v>CHAMISS CREEKSockeye</v>
      </c>
      <c r="AY1197" s="49">
        <f t="shared" si="302"/>
        <v>0</v>
      </c>
      <c r="AZ1197" s="49">
        <f t="shared" si="303"/>
        <v>0</v>
      </c>
      <c r="BA1197" s="31">
        <v>0</v>
      </c>
      <c r="BB1197" s="188">
        <f t="shared" si="306"/>
        <v>0</v>
      </c>
      <c r="BC1197" s="188" t="str">
        <f t="shared" si="310"/>
        <v xml:space="preserve"> </v>
      </c>
      <c r="BD1197" s="188" t="str">
        <f t="shared" si="311"/>
        <v xml:space="preserve"> </v>
      </c>
      <c r="BE1197" s="188" t="str">
        <f t="shared" si="312"/>
        <v xml:space="preserve"> </v>
      </c>
      <c r="BF1197" s="50" t="str">
        <f t="shared" si="304"/>
        <v>CHAMISS CREEK_Sockeye</v>
      </c>
      <c r="BG1197" s="50" t="str">
        <f>IFERROR(VLOOKUP(BF1197,'[1]WCVI Esc'!$C$5:$W$514,18,FALSE),"-")</f>
        <v>-</v>
      </c>
      <c r="BH1197" s="50" t="str">
        <f t="shared" si="307"/>
        <v>-</v>
      </c>
      <c r="BI1197" s="50" t="str">
        <f>IFERROR(VLOOKUP(BF1197,'[1]WCVI Esc'!$C$5:$W$514,19,FALSE),"-")</f>
        <v>-</v>
      </c>
      <c r="BJ1197" s="50" t="str">
        <f t="shared" si="308"/>
        <v>-</v>
      </c>
    </row>
    <row r="1198" spans="1:65" hidden="1" x14ac:dyDescent="0.2">
      <c r="A1198" s="28">
        <v>4</v>
      </c>
      <c r="B1198" s="28">
        <v>2</v>
      </c>
      <c r="C1198" s="11">
        <v>26</v>
      </c>
      <c r="D1198" s="149" t="s">
        <v>301</v>
      </c>
      <c r="E1198" s="10" t="s">
        <v>59</v>
      </c>
      <c r="F1198" s="10" t="s">
        <v>219</v>
      </c>
      <c r="G1198" s="10"/>
      <c r="H1198" s="152"/>
      <c r="I1198" s="155"/>
      <c r="J1198" s="106"/>
      <c r="K1198" s="94"/>
      <c r="L1198" s="180"/>
      <c r="M1198" s="173"/>
      <c r="N1198" s="96"/>
      <c r="O1198" s="106"/>
      <c r="P1198" s="142"/>
      <c r="Q1198" s="162"/>
      <c r="R1198" s="165"/>
      <c r="S1198" s="62"/>
      <c r="T1198" s="142"/>
      <c r="U1198" s="62"/>
      <c r="V1198" s="177"/>
      <c r="W1198" s="171"/>
      <c r="X1198" s="62"/>
      <c r="Y1198" s="45"/>
      <c r="Z1198" s="45"/>
      <c r="AA1198" s="100">
        <f>Y1198/AP1198</f>
        <v>0</v>
      </c>
      <c r="AB1198" s="100">
        <f>AS1198/AP1198</f>
        <v>0</v>
      </c>
      <c r="AC1198" s="100"/>
      <c r="AD1198" s="100"/>
      <c r="AE1198" s="100"/>
      <c r="AF1198" s="100"/>
      <c r="AG1198" s="18">
        <v>26</v>
      </c>
      <c r="AH1198" s="69" t="s">
        <v>301</v>
      </c>
      <c r="AI1198" s="243" t="s">
        <v>59</v>
      </c>
      <c r="AJ1198" s="243" t="s">
        <v>419</v>
      </c>
      <c r="AK1198" s="246"/>
      <c r="AL1198" s="43" t="str">
        <f t="shared" si="309"/>
        <v>-</v>
      </c>
      <c r="AM1198" s="43">
        <f t="shared" si="297"/>
        <v>0</v>
      </c>
      <c r="AN1198" s="193">
        <f t="shared" si="297"/>
        <v>0</v>
      </c>
      <c r="AO1198" s="270">
        <f t="shared" si="298"/>
        <v>100</v>
      </c>
      <c r="AP1198" s="265">
        <f>BJ1198</f>
        <v>80</v>
      </c>
      <c r="AQ1198" s="26" t="str">
        <f t="shared" si="305"/>
        <v>CHAMISS CREEKCoho</v>
      </c>
      <c r="AR1198" s="26">
        <f t="shared" si="299"/>
        <v>0</v>
      </c>
      <c r="AS1198" s="33">
        <f t="shared" si="300"/>
        <v>0</v>
      </c>
      <c r="AX1198" s="47" t="str">
        <f t="shared" si="301"/>
        <v>CHAMISS CREEKCoho</v>
      </c>
      <c r="AY1198" s="49">
        <f t="shared" si="302"/>
        <v>0</v>
      </c>
      <c r="AZ1198" s="49">
        <f t="shared" si="303"/>
        <v>0</v>
      </c>
      <c r="BA1198" s="31">
        <v>2015</v>
      </c>
      <c r="BB1198" s="188">
        <f t="shared" si="306"/>
        <v>0</v>
      </c>
      <c r="BC1198" s="188" t="str">
        <f t="shared" si="310"/>
        <v xml:space="preserve"> </v>
      </c>
      <c r="BD1198" s="188" t="str">
        <f t="shared" si="311"/>
        <v xml:space="preserve"> </v>
      </c>
      <c r="BE1198" s="188" t="str">
        <f t="shared" si="312"/>
        <v xml:space="preserve"> </v>
      </c>
      <c r="BF1198" s="50" t="str">
        <f t="shared" si="304"/>
        <v>CHAMISS CREEK_Coho</v>
      </c>
      <c r="BG1198" s="50">
        <f>IFERROR(VLOOKUP(BF1198,'[1]WCVI Esc'!$C$5:$W$514,18,FALSE),"-")</f>
        <v>101.33333333333333</v>
      </c>
      <c r="BH1198" s="50">
        <f t="shared" si="307"/>
        <v>100</v>
      </c>
      <c r="BI1198" s="50">
        <f>IFERROR(VLOOKUP(BF1198,'[1]WCVI Esc'!$C$5:$W$514,19,FALSE),"-")</f>
        <v>78.625</v>
      </c>
      <c r="BJ1198" s="50">
        <f t="shared" si="308"/>
        <v>80</v>
      </c>
    </row>
    <row r="1199" spans="1:65" hidden="1" x14ac:dyDescent="0.2">
      <c r="A1199" s="28">
        <v>4</v>
      </c>
      <c r="B1199" s="28">
        <v>3</v>
      </c>
      <c r="C1199" s="11">
        <v>26</v>
      </c>
      <c r="D1199" s="149" t="s">
        <v>301</v>
      </c>
      <c r="E1199" s="10" t="s">
        <v>59</v>
      </c>
      <c r="F1199" s="10" t="s">
        <v>208</v>
      </c>
      <c r="G1199" s="10"/>
      <c r="H1199" s="152"/>
      <c r="I1199" s="155"/>
      <c r="J1199" s="106"/>
      <c r="K1199" s="94"/>
      <c r="L1199" s="180"/>
      <c r="M1199" s="173"/>
      <c r="N1199" s="96"/>
      <c r="O1199" s="106"/>
      <c r="P1199" s="142"/>
      <c r="Q1199" s="162"/>
      <c r="R1199" s="165"/>
      <c r="S1199" s="62"/>
      <c r="T1199" s="142"/>
      <c r="U1199" s="62"/>
      <c r="V1199" s="177"/>
      <c r="W1199" s="171"/>
      <c r="X1199" s="62"/>
      <c r="Y1199" s="45"/>
      <c r="Z1199" s="45"/>
      <c r="AA1199" s="100"/>
      <c r="AB1199" s="100"/>
      <c r="AC1199" s="24"/>
      <c r="AD1199" s="24"/>
      <c r="AE1199" s="24"/>
      <c r="AF1199" s="24"/>
      <c r="AG1199" s="18">
        <v>26</v>
      </c>
      <c r="AH1199" s="69" t="s">
        <v>301</v>
      </c>
      <c r="AI1199" s="243" t="s">
        <v>59</v>
      </c>
      <c r="AJ1199" s="243" t="s">
        <v>419</v>
      </c>
      <c r="AK1199" s="246"/>
      <c r="AL1199" s="43" t="str">
        <f t="shared" si="309"/>
        <v>-</v>
      </c>
      <c r="AM1199" s="43">
        <f t="shared" si="297"/>
        <v>0</v>
      </c>
      <c r="AN1199" s="193">
        <f t="shared" si="297"/>
        <v>0</v>
      </c>
      <c r="AO1199" s="270" t="str">
        <f t="shared" si="298"/>
        <v>-</v>
      </c>
      <c r="AP1199" s="266"/>
      <c r="AQ1199" s="26" t="str">
        <f t="shared" si="305"/>
        <v>CHAMISS CREEKPink</v>
      </c>
      <c r="AR1199" s="26">
        <f t="shared" si="299"/>
        <v>0</v>
      </c>
      <c r="AS1199" s="33">
        <f t="shared" si="300"/>
        <v>0</v>
      </c>
      <c r="AX1199" s="47" t="str">
        <f t="shared" si="301"/>
        <v>CHAMISS CREEKPink</v>
      </c>
      <c r="AY1199" s="49">
        <f t="shared" si="302"/>
        <v>0</v>
      </c>
      <c r="AZ1199" s="49">
        <f t="shared" si="303"/>
        <v>0</v>
      </c>
      <c r="BA1199" s="31">
        <v>0</v>
      </c>
      <c r="BB1199" s="188">
        <f t="shared" si="306"/>
        <v>0</v>
      </c>
      <c r="BC1199" s="188" t="str">
        <f t="shared" si="310"/>
        <v xml:space="preserve"> </v>
      </c>
      <c r="BD1199" s="188" t="str">
        <f t="shared" si="311"/>
        <v xml:space="preserve"> </v>
      </c>
      <c r="BE1199" s="188" t="str">
        <f t="shared" si="312"/>
        <v xml:space="preserve"> </v>
      </c>
      <c r="BF1199" s="50" t="str">
        <f t="shared" si="304"/>
        <v>CHAMISS CREEK_Pink</v>
      </c>
      <c r="BG1199" s="50" t="str">
        <f>IFERROR(VLOOKUP(BF1199,'[1]WCVI Esc'!$C$5:$W$514,18,FALSE),"-")</f>
        <v>-</v>
      </c>
      <c r="BH1199" s="50" t="str">
        <f t="shared" si="307"/>
        <v>-</v>
      </c>
      <c r="BI1199" s="50" t="str">
        <f>IFERROR(VLOOKUP(BF1199,'[1]WCVI Esc'!$C$5:$W$514,19,FALSE),"-")</f>
        <v>-</v>
      </c>
      <c r="BJ1199" s="50" t="str">
        <f t="shared" si="308"/>
        <v>-</v>
      </c>
    </row>
    <row r="1200" spans="1:65" hidden="1" x14ac:dyDescent="0.2">
      <c r="A1200" s="28">
        <v>4</v>
      </c>
      <c r="B1200" s="28">
        <v>4</v>
      </c>
      <c r="C1200" s="11">
        <v>26</v>
      </c>
      <c r="D1200" s="149" t="s">
        <v>301</v>
      </c>
      <c r="E1200" s="10" t="s">
        <v>59</v>
      </c>
      <c r="F1200" s="10" t="s">
        <v>209</v>
      </c>
      <c r="G1200" s="10"/>
      <c r="H1200" s="152"/>
      <c r="I1200" s="155"/>
      <c r="J1200" s="106"/>
      <c r="K1200" s="94"/>
      <c r="L1200" s="180"/>
      <c r="M1200" s="173"/>
      <c r="N1200" s="96"/>
      <c r="O1200" s="106"/>
      <c r="P1200" s="142"/>
      <c r="Q1200" s="162"/>
      <c r="R1200" s="165"/>
      <c r="S1200" s="62"/>
      <c r="T1200" s="142"/>
      <c r="U1200" s="62"/>
      <c r="V1200" s="177"/>
      <c r="W1200" s="171"/>
      <c r="X1200" s="62"/>
      <c r="Y1200" s="45"/>
      <c r="Z1200" s="45"/>
      <c r="AA1200" s="100">
        <f>Y1200/AP1200</f>
        <v>0</v>
      </c>
      <c r="AB1200" s="100">
        <f>AS1200/AP1200</f>
        <v>0</v>
      </c>
      <c r="AC1200" s="100"/>
      <c r="AD1200" s="100"/>
      <c r="AE1200" s="100"/>
      <c r="AF1200" s="100"/>
      <c r="AG1200" s="18">
        <v>26</v>
      </c>
      <c r="AH1200" s="69" t="s">
        <v>301</v>
      </c>
      <c r="AI1200" s="243" t="s">
        <v>59</v>
      </c>
      <c r="AJ1200" s="243" t="s">
        <v>419</v>
      </c>
      <c r="AK1200" s="246"/>
      <c r="AL1200" s="43" t="str">
        <f t="shared" si="309"/>
        <v>-</v>
      </c>
      <c r="AM1200" s="43">
        <f t="shared" si="297"/>
        <v>0</v>
      </c>
      <c r="AN1200" s="193">
        <f t="shared" si="297"/>
        <v>0</v>
      </c>
      <c r="AO1200" s="270">
        <f t="shared" si="298"/>
        <v>370</v>
      </c>
      <c r="AP1200" s="265">
        <f>BJ1200</f>
        <v>2380</v>
      </c>
      <c r="AQ1200" s="26" t="str">
        <f t="shared" si="305"/>
        <v>CHAMISS CREEKChum</v>
      </c>
      <c r="AR1200" s="26">
        <f t="shared" si="299"/>
        <v>0</v>
      </c>
      <c r="AS1200" s="33">
        <f t="shared" si="300"/>
        <v>0</v>
      </c>
      <c r="AX1200" s="47" t="str">
        <f t="shared" si="301"/>
        <v>CHAMISS CREEKChum</v>
      </c>
      <c r="AY1200" s="49">
        <f t="shared" si="302"/>
        <v>0</v>
      </c>
      <c r="AZ1200" s="49">
        <f t="shared" si="303"/>
        <v>0</v>
      </c>
      <c r="BA1200" s="31">
        <v>2015</v>
      </c>
      <c r="BB1200" s="188">
        <f t="shared" si="306"/>
        <v>0</v>
      </c>
      <c r="BC1200" s="188" t="str">
        <f t="shared" si="310"/>
        <v xml:space="preserve"> </v>
      </c>
      <c r="BD1200" s="188" t="str">
        <f t="shared" si="311"/>
        <v xml:space="preserve"> </v>
      </c>
      <c r="BE1200" s="188" t="str">
        <f t="shared" si="312"/>
        <v xml:space="preserve"> </v>
      </c>
      <c r="BF1200" s="50" t="str">
        <f t="shared" si="304"/>
        <v>CHAMISS CREEK_Chum</v>
      </c>
      <c r="BG1200" s="50">
        <f>IFERROR(VLOOKUP(BF1200,'[1]WCVI Esc'!$C$5:$W$514,18,FALSE),"-")</f>
        <v>372.66666666666669</v>
      </c>
      <c r="BH1200" s="50">
        <f t="shared" si="307"/>
        <v>370</v>
      </c>
      <c r="BI1200" s="50">
        <f>IFERROR(VLOOKUP(BF1200,'[1]WCVI Esc'!$C$5:$W$514,19,FALSE),"-")</f>
        <v>2383.625</v>
      </c>
      <c r="BJ1200" s="50">
        <f t="shared" si="308"/>
        <v>2380</v>
      </c>
    </row>
    <row r="1201" spans="1:65" hidden="1" x14ac:dyDescent="0.2">
      <c r="A1201" s="28">
        <v>4</v>
      </c>
      <c r="B1201" s="28">
        <v>5</v>
      </c>
      <c r="C1201" s="11">
        <v>26</v>
      </c>
      <c r="D1201" s="149" t="s">
        <v>301</v>
      </c>
      <c r="E1201" s="10" t="s">
        <v>59</v>
      </c>
      <c r="F1201" s="10" t="s">
        <v>210</v>
      </c>
      <c r="G1201" s="10"/>
      <c r="H1201" s="152"/>
      <c r="I1201" s="155"/>
      <c r="J1201" s="106"/>
      <c r="K1201" s="94"/>
      <c r="L1201" s="180"/>
      <c r="M1201" s="173"/>
      <c r="N1201" s="96"/>
      <c r="O1201" s="106"/>
      <c r="P1201" s="142"/>
      <c r="Q1201" s="162"/>
      <c r="R1201" s="165"/>
      <c r="S1201" s="62"/>
      <c r="T1201" s="142"/>
      <c r="U1201" s="62"/>
      <c r="V1201" s="177"/>
      <c r="W1201" s="171"/>
      <c r="X1201" s="62"/>
      <c r="Y1201" s="45"/>
      <c r="Z1201" s="45"/>
      <c r="AA1201" s="100"/>
      <c r="AB1201" s="100"/>
      <c r="AC1201" s="24"/>
      <c r="AD1201" s="24"/>
      <c r="AE1201" s="24"/>
      <c r="AF1201" s="24"/>
      <c r="AG1201" s="18">
        <v>26</v>
      </c>
      <c r="AH1201" s="69" t="s">
        <v>301</v>
      </c>
      <c r="AI1201" s="243" t="s">
        <v>59</v>
      </c>
      <c r="AJ1201" s="243" t="s">
        <v>419</v>
      </c>
      <c r="AK1201" s="246"/>
      <c r="AL1201" s="43" t="str">
        <f t="shared" si="309"/>
        <v>-</v>
      </c>
      <c r="AM1201" s="43">
        <f t="shared" si="297"/>
        <v>0</v>
      </c>
      <c r="AN1201" s="193">
        <f t="shared" si="297"/>
        <v>0</v>
      </c>
      <c r="AO1201" s="270" t="str">
        <f t="shared" si="298"/>
        <v>-</v>
      </c>
      <c r="AP1201" s="266"/>
      <c r="AQ1201" s="26" t="str">
        <f t="shared" si="305"/>
        <v>CHAMISS CREEKChinook</v>
      </c>
      <c r="AR1201" s="26">
        <f t="shared" si="299"/>
        <v>0</v>
      </c>
      <c r="AS1201" s="33">
        <f t="shared" si="300"/>
        <v>0</v>
      </c>
      <c r="AX1201" s="47" t="str">
        <f t="shared" si="301"/>
        <v>CHAMISS CREEKChinook</v>
      </c>
      <c r="AY1201" s="49">
        <f t="shared" si="302"/>
        <v>0</v>
      </c>
      <c r="AZ1201" s="49">
        <f t="shared" si="303"/>
        <v>0</v>
      </c>
      <c r="BA1201" s="31">
        <v>0</v>
      </c>
      <c r="BB1201" s="188">
        <f t="shared" si="306"/>
        <v>0</v>
      </c>
      <c r="BC1201" s="188" t="str">
        <f t="shared" si="310"/>
        <v xml:space="preserve"> </v>
      </c>
      <c r="BD1201" s="188" t="str">
        <f t="shared" si="311"/>
        <v xml:space="preserve"> </v>
      </c>
      <c r="BE1201" s="188" t="str">
        <f t="shared" si="312"/>
        <v xml:space="preserve"> </v>
      </c>
      <c r="BF1201" s="50" t="str">
        <f t="shared" si="304"/>
        <v>CHAMISS CREEK_Chinook</v>
      </c>
      <c r="BG1201" s="50" t="str">
        <f>IFERROR(VLOOKUP(BF1201,'[1]WCVI Esc'!$C$5:$W$514,18,FALSE),"-")</f>
        <v>-</v>
      </c>
      <c r="BH1201" s="50" t="str">
        <f t="shared" si="307"/>
        <v>-</v>
      </c>
      <c r="BI1201" s="50" t="str">
        <f>IFERROR(VLOOKUP(BF1201,'[1]WCVI Esc'!$C$5:$W$514,19,FALSE),"-")</f>
        <v>-</v>
      </c>
      <c r="BJ1201" s="50" t="str">
        <f t="shared" si="308"/>
        <v>-</v>
      </c>
      <c r="BK1201">
        <v>4</v>
      </c>
      <c r="BL1201" s="17" t="s">
        <v>460</v>
      </c>
      <c r="BM1201" s="31">
        <v>1</v>
      </c>
    </row>
    <row r="1202" spans="1:65" hidden="1" x14ac:dyDescent="0.2">
      <c r="A1202" s="28">
        <v>4</v>
      </c>
      <c r="B1202" s="28">
        <v>6</v>
      </c>
      <c r="C1202" s="11">
        <v>26</v>
      </c>
      <c r="D1202" s="149" t="s">
        <v>301</v>
      </c>
      <c r="E1202" s="10" t="s">
        <v>59</v>
      </c>
      <c r="F1202" s="10" t="s">
        <v>211</v>
      </c>
      <c r="G1202" s="10"/>
      <c r="H1202" s="152"/>
      <c r="I1202" s="155"/>
      <c r="J1202" s="106"/>
      <c r="K1202" s="94"/>
      <c r="L1202" s="180"/>
      <c r="M1202" s="173"/>
      <c r="N1202" s="96"/>
      <c r="O1202" s="106"/>
      <c r="P1202" s="142"/>
      <c r="Q1202" s="162"/>
      <c r="R1202" s="165"/>
      <c r="S1202" s="62"/>
      <c r="T1202" s="142"/>
      <c r="U1202" s="62"/>
      <c r="V1202" s="177"/>
      <c r="W1202" s="171"/>
      <c r="X1202" s="62"/>
      <c r="Y1202" s="45"/>
      <c r="Z1202" s="45"/>
      <c r="AA1202" s="100"/>
      <c r="AB1202" s="100"/>
      <c r="AC1202" s="24"/>
      <c r="AD1202" s="24"/>
      <c r="AE1202" s="24"/>
      <c r="AF1202" s="24"/>
      <c r="AG1202" s="18">
        <v>26</v>
      </c>
      <c r="AH1202" s="69" t="s">
        <v>301</v>
      </c>
      <c r="AI1202" s="243" t="s">
        <v>59</v>
      </c>
      <c r="AJ1202" s="243" t="s">
        <v>419</v>
      </c>
      <c r="AK1202" s="246"/>
      <c r="AL1202" s="43" t="str">
        <f t="shared" si="309"/>
        <v>-</v>
      </c>
      <c r="AM1202" s="43">
        <f t="shared" si="297"/>
        <v>0</v>
      </c>
      <c r="AN1202" s="193">
        <f t="shared" si="297"/>
        <v>0</v>
      </c>
      <c r="AO1202" s="270" t="str">
        <f t="shared" si="298"/>
        <v>-</v>
      </c>
      <c r="AP1202" s="266"/>
      <c r="AQ1202" s="26" t="str">
        <f t="shared" si="305"/>
        <v>CHAMISS CREEKSteelhead</v>
      </c>
      <c r="AR1202" s="26">
        <f t="shared" si="299"/>
        <v>0</v>
      </c>
      <c r="AS1202" s="33">
        <f t="shared" si="300"/>
        <v>0</v>
      </c>
      <c r="AX1202" s="47" t="str">
        <f t="shared" si="301"/>
        <v>CHAMISS CREEKSteelhead</v>
      </c>
      <c r="AY1202" s="49">
        <f t="shared" si="302"/>
        <v>0</v>
      </c>
      <c r="AZ1202" s="49">
        <f t="shared" si="303"/>
        <v>0</v>
      </c>
      <c r="BA1202" s="31">
        <v>0</v>
      </c>
      <c r="BB1202" s="188">
        <f t="shared" si="306"/>
        <v>0</v>
      </c>
      <c r="BC1202" s="188" t="str">
        <f t="shared" si="310"/>
        <v xml:space="preserve"> </v>
      </c>
      <c r="BD1202" s="188" t="str">
        <f t="shared" si="311"/>
        <v xml:space="preserve"> </v>
      </c>
      <c r="BE1202" s="188" t="str">
        <f t="shared" si="312"/>
        <v xml:space="preserve"> </v>
      </c>
      <c r="BF1202" s="50" t="str">
        <f t="shared" si="304"/>
        <v>CHAMISS CREEK_Steelhead</v>
      </c>
      <c r="BG1202" s="50" t="str">
        <f>IFERROR(VLOOKUP(BF1202,'[1]WCVI Esc'!$C$5:$W$514,18,FALSE),"-")</f>
        <v>-</v>
      </c>
      <c r="BH1202" s="50" t="str">
        <f t="shared" si="307"/>
        <v>-</v>
      </c>
      <c r="BI1202" s="50" t="str">
        <f>IFERROR(VLOOKUP(BF1202,'[1]WCVI Esc'!$C$5:$W$514,19,FALSE),"-")</f>
        <v>-</v>
      </c>
      <c r="BJ1202" s="50" t="str">
        <f t="shared" si="308"/>
        <v>-</v>
      </c>
    </row>
    <row r="1203" spans="1:65" hidden="1" x14ac:dyDescent="0.2">
      <c r="A1203" s="28">
        <v>4</v>
      </c>
      <c r="B1203" s="28">
        <v>1</v>
      </c>
      <c r="C1203" s="11">
        <v>26</v>
      </c>
      <c r="D1203" s="149" t="s">
        <v>301</v>
      </c>
      <c r="E1203" s="10" t="s">
        <v>231</v>
      </c>
      <c r="F1203" s="10" t="s">
        <v>207</v>
      </c>
      <c r="G1203" s="10"/>
      <c r="H1203" s="152"/>
      <c r="I1203" s="155"/>
      <c r="J1203" s="106"/>
      <c r="K1203" s="94"/>
      <c r="L1203" s="180"/>
      <c r="M1203" s="173"/>
      <c r="N1203" s="106"/>
      <c r="O1203" s="96"/>
      <c r="P1203" s="63"/>
      <c r="Q1203" s="163"/>
      <c r="R1203" s="164"/>
      <c r="S1203" s="95"/>
      <c r="T1203" s="63"/>
      <c r="U1203" s="95"/>
      <c r="V1203" s="177"/>
      <c r="W1203" s="171"/>
      <c r="X1203" s="62"/>
      <c r="Y1203" s="45"/>
      <c r="Z1203" s="45"/>
      <c r="AA1203" s="100"/>
      <c r="AB1203" s="100"/>
      <c r="AC1203" s="24"/>
      <c r="AD1203" s="24"/>
      <c r="AE1203" s="24"/>
      <c r="AF1203" s="24"/>
      <c r="AG1203" s="18">
        <v>26</v>
      </c>
      <c r="AH1203" s="69" t="s">
        <v>301</v>
      </c>
      <c r="AI1203" s="243" t="s">
        <v>231</v>
      </c>
      <c r="AJ1203" s="243" t="s">
        <v>419</v>
      </c>
      <c r="AK1203" s="246"/>
      <c r="AL1203" s="43" t="str">
        <f t="shared" si="309"/>
        <v>-</v>
      </c>
      <c r="AM1203" s="43">
        <f t="shared" si="297"/>
        <v>0</v>
      </c>
      <c r="AN1203" s="193">
        <f t="shared" si="297"/>
        <v>0</v>
      </c>
      <c r="AO1203" s="270" t="str">
        <f t="shared" si="298"/>
        <v>-</v>
      </c>
      <c r="AP1203" s="266"/>
      <c r="AQ1203" s="26" t="str">
        <f t="shared" si="305"/>
        <v>CLANNINICK CREEKSockeye</v>
      </c>
      <c r="AR1203" s="26">
        <f t="shared" si="299"/>
        <v>0</v>
      </c>
      <c r="AS1203" s="33">
        <f t="shared" si="300"/>
        <v>0</v>
      </c>
      <c r="AX1203" s="47" t="str">
        <f t="shared" si="301"/>
        <v>CLANNINICK CREEKSockeye</v>
      </c>
      <c r="AY1203" s="49">
        <f t="shared" si="302"/>
        <v>0</v>
      </c>
      <c r="AZ1203" s="49">
        <f t="shared" si="303"/>
        <v>0</v>
      </c>
      <c r="BA1203" s="31">
        <v>0</v>
      </c>
      <c r="BB1203" s="188">
        <f t="shared" si="306"/>
        <v>0</v>
      </c>
      <c r="BC1203" s="188" t="str">
        <f t="shared" si="310"/>
        <v xml:space="preserve"> </v>
      </c>
      <c r="BD1203" s="188" t="str">
        <f t="shared" si="311"/>
        <v xml:space="preserve"> </v>
      </c>
      <c r="BE1203" s="188" t="str">
        <f t="shared" si="312"/>
        <v xml:space="preserve"> </v>
      </c>
      <c r="BF1203" s="50" t="str">
        <f t="shared" si="304"/>
        <v>CLANNINICK CREEK_Sockeye</v>
      </c>
      <c r="BG1203" s="50" t="str">
        <f>IFERROR(VLOOKUP(BF1203,'[1]WCVI Esc'!$C$5:$W$514,18,FALSE),"-")</f>
        <v>-</v>
      </c>
      <c r="BH1203" s="50" t="str">
        <f t="shared" si="307"/>
        <v>-</v>
      </c>
      <c r="BI1203" s="50" t="str">
        <f>IFERROR(VLOOKUP(BF1203,'[1]WCVI Esc'!$C$5:$W$514,19,FALSE),"-")</f>
        <v>-</v>
      </c>
      <c r="BJ1203" s="50" t="str">
        <f t="shared" si="308"/>
        <v>-</v>
      </c>
    </row>
    <row r="1204" spans="1:65" hidden="1" x14ac:dyDescent="0.2">
      <c r="A1204" s="28">
        <v>4</v>
      </c>
      <c r="B1204" s="28">
        <v>2</v>
      </c>
      <c r="C1204" s="11">
        <v>26</v>
      </c>
      <c r="D1204" s="149" t="s">
        <v>301</v>
      </c>
      <c r="E1204" s="10" t="s">
        <v>231</v>
      </c>
      <c r="F1204" s="10" t="s">
        <v>219</v>
      </c>
      <c r="G1204" s="10"/>
      <c r="H1204" s="152"/>
      <c r="I1204" s="155"/>
      <c r="J1204" s="106"/>
      <c r="K1204" s="94"/>
      <c r="L1204" s="180"/>
      <c r="M1204" s="173"/>
      <c r="N1204" s="106"/>
      <c r="O1204" s="96"/>
      <c r="P1204" s="63"/>
      <c r="Q1204" s="163"/>
      <c r="R1204" s="164"/>
      <c r="S1204" s="95"/>
      <c r="T1204" s="63"/>
      <c r="U1204" s="95"/>
      <c r="V1204" s="177"/>
      <c r="W1204" s="171"/>
      <c r="X1204" s="62"/>
      <c r="Y1204" s="45"/>
      <c r="Z1204" s="45"/>
      <c r="AA1204" s="100">
        <f>Y1204/AP1204</f>
        <v>0</v>
      </c>
      <c r="AB1204" s="100">
        <f>AS1204/AP1204</f>
        <v>0</v>
      </c>
      <c r="AC1204" s="24"/>
      <c r="AD1204" s="24"/>
      <c r="AE1204" s="24"/>
      <c r="AF1204" s="24"/>
      <c r="AG1204" s="18">
        <v>26</v>
      </c>
      <c r="AH1204" s="69" t="s">
        <v>301</v>
      </c>
      <c r="AI1204" s="243" t="s">
        <v>231</v>
      </c>
      <c r="AJ1204" s="243" t="s">
        <v>419</v>
      </c>
      <c r="AK1204" s="246"/>
      <c r="AL1204" s="43" t="str">
        <f t="shared" si="309"/>
        <v>-</v>
      </c>
      <c r="AM1204" s="43">
        <f t="shared" si="297"/>
        <v>0</v>
      </c>
      <c r="AN1204" s="193">
        <f t="shared" si="297"/>
        <v>0</v>
      </c>
      <c r="AO1204" s="270">
        <f t="shared" si="298"/>
        <v>140</v>
      </c>
      <c r="AP1204" s="265">
        <f>BJ1204</f>
        <v>230</v>
      </c>
      <c r="AQ1204" s="26" t="str">
        <f t="shared" si="305"/>
        <v>CLANNINICK CREEKCoho</v>
      </c>
      <c r="AR1204" s="26">
        <f t="shared" si="299"/>
        <v>0</v>
      </c>
      <c r="AS1204" s="33">
        <f t="shared" si="300"/>
        <v>0</v>
      </c>
      <c r="AX1204" s="47" t="str">
        <f t="shared" si="301"/>
        <v>CLANNINICK CREEKCoho</v>
      </c>
      <c r="AY1204" s="49">
        <f t="shared" si="302"/>
        <v>0</v>
      </c>
      <c r="AZ1204" s="49">
        <f t="shared" si="303"/>
        <v>0</v>
      </c>
      <c r="BA1204" s="31">
        <v>2015</v>
      </c>
      <c r="BB1204" s="188">
        <f t="shared" si="306"/>
        <v>0</v>
      </c>
      <c r="BC1204" s="188" t="str">
        <f t="shared" si="310"/>
        <v xml:space="preserve"> </v>
      </c>
      <c r="BD1204" s="188" t="str">
        <f t="shared" si="311"/>
        <v xml:space="preserve"> </v>
      </c>
      <c r="BE1204" s="188" t="str">
        <f t="shared" si="312"/>
        <v xml:space="preserve"> </v>
      </c>
      <c r="BF1204" s="50" t="str">
        <f t="shared" si="304"/>
        <v>CLANNINICK CREEK_Coho</v>
      </c>
      <c r="BG1204" s="50">
        <f>IFERROR(VLOOKUP(BF1204,'[1]WCVI Esc'!$C$5:$W$514,18,FALSE),"-")</f>
        <v>138</v>
      </c>
      <c r="BH1204" s="50">
        <f t="shared" si="307"/>
        <v>140</v>
      </c>
      <c r="BI1204" s="50">
        <f>IFERROR(VLOOKUP(BF1204,'[1]WCVI Esc'!$C$5:$W$514,19,FALSE),"-")</f>
        <v>227.71428571428572</v>
      </c>
      <c r="BJ1204" s="50">
        <f t="shared" si="308"/>
        <v>230</v>
      </c>
    </row>
    <row r="1205" spans="1:65" hidden="1" x14ac:dyDescent="0.2">
      <c r="A1205" s="28">
        <v>4</v>
      </c>
      <c r="B1205" s="28">
        <v>3</v>
      </c>
      <c r="C1205" s="11">
        <v>26</v>
      </c>
      <c r="D1205" s="149" t="s">
        <v>301</v>
      </c>
      <c r="E1205" s="10" t="s">
        <v>231</v>
      </c>
      <c r="F1205" s="10" t="s">
        <v>208</v>
      </c>
      <c r="G1205" s="10"/>
      <c r="H1205" s="152"/>
      <c r="I1205" s="155"/>
      <c r="J1205" s="106"/>
      <c r="K1205" s="94"/>
      <c r="L1205" s="180"/>
      <c r="M1205" s="173"/>
      <c r="N1205" s="106"/>
      <c r="O1205" s="96"/>
      <c r="P1205" s="63"/>
      <c r="Q1205" s="163"/>
      <c r="R1205" s="164"/>
      <c r="S1205" s="95"/>
      <c r="T1205" s="63"/>
      <c r="U1205" s="95"/>
      <c r="V1205" s="177"/>
      <c r="W1205" s="171"/>
      <c r="X1205" s="62"/>
      <c r="Y1205" s="45"/>
      <c r="Z1205" s="45"/>
      <c r="AA1205" s="100"/>
      <c r="AB1205" s="100"/>
      <c r="AC1205" s="24"/>
      <c r="AD1205" s="24"/>
      <c r="AE1205" s="24"/>
      <c r="AF1205" s="24"/>
      <c r="AG1205" s="18">
        <v>26</v>
      </c>
      <c r="AH1205" s="69" t="s">
        <v>301</v>
      </c>
      <c r="AI1205" s="243" t="s">
        <v>231</v>
      </c>
      <c r="AJ1205" s="243" t="s">
        <v>419</v>
      </c>
      <c r="AK1205" s="246"/>
      <c r="AL1205" s="43" t="str">
        <f t="shared" si="309"/>
        <v>-</v>
      </c>
      <c r="AM1205" s="43">
        <f t="shared" si="297"/>
        <v>0</v>
      </c>
      <c r="AN1205" s="193">
        <f t="shared" si="297"/>
        <v>0</v>
      </c>
      <c r="AO1205" s="270" t="str">
        <f t="shared" si="298"/>
        <v>-</v>
      </c>
      <c r="AP1205" s="266"/>
      <c r="AQ1205" s="26" t="str">
        <f t="shared" si="305"/>
        <v>CLANNINICK CREEKPink</v>
      </c>
      <c r="AR1205" s="26">
        <f t="shared" si="299"/>
        <v>0</v>
      </c>
      <c r="AS1205" s="33">
        <f t="shared" si="300"/>
        <v>0</v>
      </c>
      <c r="AX1205" s="47" t="str">
        <f t="shared" si="301"/>
        <v>CLANNINICK CREEKPink</v>
      </c>
      <c r="AY1205" s="49">
        <f t="shared" si="302"/>
        <v>0</v>
      </c>
      <c r="AZ1205" s="49">
        <f t="shared" si="303"/>
        <v>0</v>
      </c>
      <c r="BA1205" s="31">
        <v>0</v>
      </c>
      <c r="BB1205" s="188">
        <f t="shared" si="306"/>
        <v>0</v>
      </c>
      <c r="BC1205" s="188" t="str">
        <f t="shared" si="310"/>
        <v xml:space="preserve"> </v>
      </c>
      <c r="BD1205" s="188" t="str">
        <f t="shared" si="311"/>
        <v xml:space="preserve"> </v>
      </c>
      <c r="BE1205" s="188" t="str">
        <f t="shared" si="312"/>
        <v xml:space="preserve"> </v>
      </c>
      <c r="BF1205" s="50" t="str">
        <f t="shared" si="304"/>
        <v>CLANNINICK CREEK_Pink</v>
      </c>
      <c r="BG1205" s="50" t="str">
        <f>IFERROR(VLOOKUP(BF1205,'[1]WCVI Esc'!$C$5:$W$514,18,FALSE),"-")</f>
        <v>-</v>
      </c>
      <c r="BH1205" s="50" t="str">
        <f t="shared" si="307"/>
        <v>-</v>
      </c>
      <c r="BI1205" s="50" t="str">
        <f>IFERROR(VLOOKUP(BF1205,'[1]WCVI Esc'!$C$5:$W$514,19,FALSE),"-")</f>
        <v>-</v>
      </c>
      <c r="BJ1205" s="50" t="str">
        <f t="shared" si="308"/>
        <v>-</v>
      </c>
    </row>
    <row r="1206" spans="1:65" hidden="1" x14ac:dyDescent="0.2">
      <c r="A1206" s="28">
        <v>4</v>
      </c>
      <c r="B1206" s="28">
        <v>4</v>
      </c>
      <c r="C1206" s="11">
        <v>26</v>
      </c>
      <c r="D1206" s="149" t="s">
        <v>301</v>
      </c>
      <c r="E1206" s="10" t="s">
        <v>231</v>
      </c>
      <c r="F1206" s="10" t="s">
        <v>209</v>
      </c>
      <c r="G1206" s="10"/>
      <c r="H1206" s="152"/>
      <c r="I1206" s="155"/>
      <c r="J1206" s="106"/>
      <c r="K1206" s="94"/>
      <c r="L1206" s="180"/>
      <c r="M1206" s="173"/>
      <c r="N1206" s="106"/>
      <c r="O1206" s="96"/>
      <c r="P1206" s="63"/>
      <c r="Q1206" s="163"/>
      <c r="R1206" s="164"/>
      <c r="S1206" s="95"/>
      <c r="T1206" s="63"/>
      <c r="U1206" s="95"/>
      <c r="V1206" s="177"/>
      <c r="W1206" s="171"/>
      <c r="X1206" s="62"/>
      <c r="Y1206" s="45"/>
      <c r="Z1206" s="45"/>
      <c r="AA1206" s="100">
        <f>Y1206/AP1206</f>
        <v>0</v>
      </c>
      <c r="AB1206" s="100">
        <f>AS1206/AP1206</f>
        <v>0</v>
      </c>
      <c r="AC1206" s="24"/>
      <c r="AD1206" s="24"/>
      <c r="AE1206" s="24"/>
      <c r="AF1206" s="24"/>
      <c r="AG1206" s="18">
        <v>26</v>
      </c>
      <c r="AH1206" s="69" t="s">
        <v>301</v>
      </c>
      <c r="AI1206" s="243" t="s">
        <v>231</v>
      </c>
      <c r="AJ1206" s="243" t="s">
        <v>419</v>
      </c>
      <c r="AK1206" s="246"/>
      <c r="AL1206" s="43" t="str">
        <f t="shared" si="309"/>
        <v>-</v>
      </c>
      <c r="AM1206" s="43">
        <f t="shared" si="297"/>
        <v>0</v>
      </c>
      <c r="AN1206" s="193">
        <f t="shared" si="297"/>
        <v>0</v>
      </c>
      <c r="AO1206" s="270">
        <f t="shared" si="298"/>
        <v>250</v>
      </c>
      <c r="AP1206" s="265">
        <f>BJ1206</f>
        <v>4720</v>
      </c>
      <c r="AQ1206" s="26" t="str">
        <f t="shared" si="305"/>
        <v>CLANNINICK CREEKChum</v>
      </c>
      <c r="AR1206" s="26">
        <f t="shared" si="299"/>
        <v>0</v>
      </c>
      <c r="AS1206" s="33">
        <f t="shared" si="300"/>
        <v>0</v>
      </c>
      <c r="AX1206" s="47" t="str">
        <f t="shared" si="301"/>
        <v>CLANNINICK CREEKChum</v>
      </c>
      <c r="AY1206" s="49">
        <f t="shared" si="302"/>
        <v>0</v>
      </c>
      <c r="AZ1206" s="49">
        <f t="shared" si="303"/>
        <v>0</v>
      </c>
      <c r="BA1206" s="31">
        <v>2013</v>
      </c>
      <c r="BB1206" s="188">
        <f t="shared" si="306"/>
        <v>0</v>
      </c>
      <c r="BC1206" s="188" t="str">
        <f t="shared" si="310"/>
        <v xml:space="preserve"> </v>
      </c>
      <c r="BD1206" s="188" t="str">
        <f t="shared" si="311"/>
        <v xml:space="preserve"> </v>
      </c>
      <c r="BE1206" s="188" t="str">
        <f t="shared" si="312"/>
        <v xml:space="preserve"> </v>
      </c>
      <c r="BF1206" s="50" t="str">
        <f t="shared" si="304"/>
        <v>CLANNINICK CREEK_Chum</v>
      </c>
      <c r="BG1206" s="50">
        <f>IFERROR(VLOOKUP(BF1206,'[1]WCVI Esc'!$C$5:$W$514,18,FALSE),"-")</f>
        <v>254</v>
      </c>
      <c r="BH1206" s="50">
        <f t="shared" si="307"/>
        <v>250</v>
      </c>
      <c r="BI1206" s="50">
        <f>IFERROR(VLOOKUP(BF1206,'[1]WCVI Esc'!$C$5:$W$514,19,FALSE),"-")</f>
        <v>4723.2</v>
      </c>
      <c r="BJ1206" s="50">
        <f t="shared" si="308"/>
        <v>4720</v>
      </c>
    </row>
    <row r="1207" spans="1:65" hidden="1" x14ac:dyDescent="0.2">
      <c r="A1207" s="28">
        <v>4</v>
      </c>
      <c r="B1207" s="28">
        <v>5</v>
      </c>
      <c r="C1207" s="11">
        <v>26</v>
      </c>
      <c r="D1207" s="149" t="s">
        <v>301</v>
      </c>
      <c r="E1207" s="10" t="s">
        <v>231</v>
      </c>
      <c r="F1207" s="10" t="s">
        <v>210</v>
      </c>
      <c r="G1207" s="10"/>
      <c r="H1207" s="152"/>
      <c r="I1207" s="155"/>
      <c r="J1207" s="106"/>
      <c r="K1207" s="94"/>
      <c r="L1207" s="180"/>
      <c r="M1207" s="173"/>
      <c r="N1207" s="106"/>
      <c r="O1207" s="96"/>
      <c r="P1207" s="63"/>
      <c r="Q1207" s="163"/>
      <c r="R1207" s="164"/>
      <c r="S1207" s="95"/>
      <c r="T1207" s="63"/>
      <c r="U1207" s="95"/>
      <c r="V1207" s="177"/>
      <c r="W1207" s="171"/>
      <c r="X1207" s="62"/>
      <c r="Y1207" s="45"/>
      <c r="Z1207" s="45"/>
      <c r="AA1207" s="100"/>
      <c r="AB1207" s="100"/>
      <c r="AC1207" s="24"/>
      <c r="AD1207" s="24"/>
      <c r="AE1207" s="24"/>
      <c r="AF1207" s="24"/>
      <c r="AG1207" s="18">
        <v>26</v>
      </c>
      <c r="AH1207" s="69" t="s">
        <v>301</v>
      </c>
      <c r="AI1207" s="243" t="s">
        <v>231</v>
      </c>
      <c r="AJ1207" s="243" t="s">
        <v>419</v>
      </c>
      <c r="AK1207" s="246"/>
      <c r="AL1207" s="43" t="str">
        <f t="shared" si="309"/>
        <v>-</v>
      </c>
      <c r="AM1207" s="43">
        <f t="shared" si="297"/>
        <v>0</v>
      </c>
      <c r="AN1207" s="193">
        <f t="shared" si="297"/>
        <v>0</v>
      </c>
      <c r="AO1207" s="270" t="str">
        <f t="shared" si="298"/>
        <v>-</v>
      </c>
      <c r="AP1207" s="266"/>
      <c r="AQ1207" s="26" t="str">
        <f t="shared" si="305"/>
        <v>CLANNINICK CREEKChinook</v>
      </c>
      <c r="AR1207" s="26">
        <f t="shared" si="299"/>
        <v>0</v>
      </c>
      <c r="AS1207" s="33">
        <f t="shared" si="300"/>
        <v>0</v>
      </c>
      <c r="AX1207" s="47" t="str">
        <f t="shared" si="301"/>
        <v>CLANNINICK CREEKChinook</v>
      </c>
      <c r="AY1207" s="49">
        <f t="shared" si="302"/>
        <v>0</v>
      </c>
      <c r="AZ1207" s="49">
        <f t="shared" si="303"/>
        <v>0</v>
      </c>
      <c r="BA1207" s="31">
        <v>0</v>
      </c>
      <c r="BB1207" s="188">
        <f t="shared" si="306"/>
        <v>0</v>
      </c>
      <c r="BC1207" s="188" t="str">
        <f t="shared" si="310"/>
        <v xml:space="preserve"> </v>
      </c>
      <c r="BD1207" s="188" t="str">
        <f t="shared" si="311"/>
        <v xml:space="preserve"> </v>
      </c>
      <c r="BE1207" s="188" t="str">
        <f t="shared" si="312"/>
        <v xml:space="preserve"> </v>
      </c>
      <c r="BF1207" s="50" t="str">
        <f t="shared" si="304"/>
        <v>CLANNINICK CREEK_Chinook</v>
      </c>
      <c r="BG1207" s="50" t="str">
        <f>IFERROR(VLOOKUP(BF1207,'[1]WCVI Esc'!$C$5:$W$514,18,FALSE),"-")</f>
        <v>-</v>
      </c>
      <c r="BH1207" s="50" t="str">
        <f t="shared" si="307"/>
        <v>-</v>
      </c>
      <c r="BI1207" s="50" t="str">
        <f>IFERROR(VLOOKUP(BF1207,'[1]WCVI Esc'!$C$5:$W$514,19,FALSE),"-")</f>
        <v>-</v>
      </c>
      <c r="BJ1207" s="50" t="str">
        <f t="shared" si="308"/>
        <v>-</v>
      </c>
      <c r="BK1207">
        <v>4</v>
      </c>
      <c r="BL1207" s="17" t="s">
        <v>460</v>
      </c>
      <c r="BM1207" s="31">
        <v>1</v>
      </c>
    </row>
    <row r="1208" spans="1:65" hidden="1" x14ac:dyDescent="0.2">
      <c r="A1208" s="28">
        <v>4</v>
      </c>
      <c r="B1208" s="28">
        <v>6</v>
      </c>
      <c r="C1208" s="11">
        <v>26</v>
      </c>
      <c r="D1208" s="149" t="s">
        <v>301</v>
      </c>
      <c r="E1208" s="10" t="s">
        <v>231</v>
      </c>
      <c r="F1208" s="10" t="s">
        <v>211</v>
      </c>
      <c r="G1208" s="10"/>
      <c r="H1208" s="152"/>
      <c r="I1208" s="155"/>
      <c r="J1208" s="106"/>
      <c r="K1208" s="94"/>
      <c r="L1208" s="180"/>
      <c r="M1208" s="173"/>
      <c r="N1208" s="106"/>
      <c r="O1208" s="96"/>
      <c r="P1208" s="63"/>
      <c r="Q1208" s="163"/>
      <c r="R1208" s="164"/>
      <c r="S1208" s="95"/>
      <c r="T1208" s="63"/>
      <c r="U1208" s="95"/>
      <c r="V1208" s="177"/>
      <c r="W1208" s="171"/>
      <c r="X1208" s="62"/>
      <c r="Y1208" s="45"/>
      <c r="Z1208" s="45"/>
      <c r="AA1208" s="100"/>
      <c r="AB1208" s="100"/>
      <c r="AC1208" s="24"/>
      <c r="AD1208" s="24"/>
      <c r="AE1208" s="24"/>
      <c r="AF1208" s="24"/>
      <c r="AG1208" s="18">
        <v>26</v>
      </c>
      <c r="AH1208" s="69" t="s">
        <v>301</v>
      </c>
      <c r="AI1208" s="243" t="s">
        <v>231</v>
      </c>
      <c r="AJ1208" s="243" t="s">
        <v>419</v>
      </c>
      <c r="AK1208" s="246"/>
      <c r="AL1208" s="43" t="str">
        <f t="shared" si="309"/>
        <v>-</v>
      </c>
      <c r="AM1208" s="43">
        <f t="shared" si="297"/>
        <v>0</v>
      </c>
      <c r="AN1208" s="193">
        <f t="shared" si="297"/>
        <v>0</v>
      </c>
      <c r="AO1208" s="270" t="str">
        <f t="shared" si="298"/>
        <v>-</v>
      </c>
      <c r="AP1208" s="266"/>
      <c r="AQ1208" s="26" t="str">
        <f t="shared" si="305"/>
        <v>CLANNINICK CREEKSteelhead</v>
      </c>
      <c r="AR1208" s="26">
        <f t="shared" si="299"/>
        <v>0</v>
      </c>
      <c r="AS1208" s="33">
        <f t="shared" si="300"/>
        <v>0</v>
      </c>
      <c r="AX1208" s="47" t="str">
        <f t="shared" si="301"/>
        <v>CLANNINICK CREEKSteelhead</v>
      </c>
      <c r="AY1208" s="49">
        <f t="shared" si="302"/>
        <v>0</v>
      </c>
      <c r="AZ1208" s="49">
        <f t="shared" si="303"/>
        <v>0</v>
      </c>
      <c r="BA1208" s="31">
        <v>0</v>
      </c>
      <c r="BB1208" s="188">
        <f t="shared" si="306"/>
        <v>0</v>
      </c>
      <c r="BC1208" s="188" t="str">
        <f t="shared" si="310"/>
        <v xml:space="preserve"> </v>
      </c>
      <c r="BD1208" s="188" t="str">
        <f t="shared" si="311"/>
        <v xml:space="preserve"> </v>
      </c>
      <c r="BE1208" s="188" t="str">
        <f t="shared" si="312"/>
        <v xml:space="preserve"> </v>
      </c>
      <c r="BF1208" s="50" t="str">
        <f t="shared" si="304"/>
        <v>CLANNINICK CREEK_Steelhead</v>
      </c>
      <c r="BG1208" s="50" t="str">
        <f>IFERROR(VLOOKUP(BF1208,'[1]WCVI Esc'!$C$5:$W$514,18,FALSE),"-")</f>
        <v>-</v>
      </c>
      <c r="BH1208" s="50" t="str">
        <f t="shared" si="307"/>
        <v>-</v>
      </c>
      <c r="BI1208" s="50" t="str">
        <f>IFERROR(VLOOKUP(BF1208,'[1]WCVI Esc'!$C$5:$W$514,19,FALSE),"-")</f>
        <v>-</v>
      </c>
      <c r="BJ1208" s="50" t="str">
        <f t="shared" si="308"/>
        <v>-</v>
      </c>
    </row>
    <row r="1209" spans="1:65" hidden="1" x14ac:dyDescent="0.2">
      <c r="A1209" s="28">
        <v>4</v>
      </c>
      <c r="B1209" s="28">
        <v>1</v>
      </c>
      <c r="C1209" s="11">
        <v>26</v>
      </c>
      <c r="D1209" s="149" t="s">
        <v>301</v>
      </c>
      <c r="E1209" s="10" t="s">
        <v>60</v>
      </c>
      <c r="F1209" s="10" t="s">
        <v>207</v>
      </c>
      <c r="G1209" s="10"/>
      <c r="H1209" s="152"/>
      <c r="I1209" s="155"/>
      <c r="J1209" s="106"/>
      <c r="K1209" s="94"/>
      <c r="L1209" s="180"/>
      <c r="M1209" s="173"/>
      <c r="N1209" s="96"/>
      <c r="O1209" s="106"/>
      <c r="P1209" s="142"/>
      <c r="Q1209" s="162"/>
      <c r="R1209" s="165"/>
      <c r="S1209" s="62"/>
      <c r="T1209" s="142"/>
      <c r="U1209" s="62"/>
      <c r="V1209" s="177"/>
      <c r="W1209" s="171"/>
      <c r="X1209" s="62"/>
      <c r="Y1209" s="45"/>
      <c r="Z1209" s="45"/>
      <c r="AA1209" s="100"/>
      <c r="AB1209" s="100"/>
      <c r="AC1209" s="24"/>
      <c r="AD1209" s="24"/>
      <c r="AE1209" s="24"/>
      <c r="AF1209" s="24"/>
      <c r="AG1209" s="18">
        <v>26</v>
      </c>
      <c r="AH1209" s="69" t="s">
        <v>301</v>
      </c>
      <c r="AI1209" s="243" t="s">
        <v>60</v>
      </c>
      <c r="AJ1209" s="243" t="s">
        <v>419</v>
      </c>
      <c r="AK1209" s="246"/>
      <c r="AL1209" s="43" t="str">
        <f t="shared" si="309"/>
        <v>-</v>
      </c>
      <c r="AM1209" s="43">
        <f t="shared" si="297"/>
        <v>0</v>
      </c>
      <c r="AN1209" s="193">
        <f t="shared" si="297"/>
        <v>0</v>
      </c>
      <c r="AO1209" s="270" t="str">
        <f t="shared" si="298"/>
        <v>-</v>
      </c>
      <c r="AP1209" s="266"/>
      <c r="AQ1209" s="26" t="str">
        <f t="shared" si="305"/>
        <v>EASY CREEKSockeye</v>
      </c>
      <c r="AR1209" s="26">
        <f t="shared" si="299"/>
        <v>0</v>
      </c>
      <c r="AS1209" s="33">
        <f t="shared" si="300"/>
        <v>0</v>
      </c>
      <c r="AX1209" s="47" t="str">
        <f t="shared" si="301"/>
        <v>EASY CREEKSockeye</v>
      </c>
      <c r="AY1209" s="49">
        <f t="shared" si="302"/>
        <v>0</v>
      </c>
      <c r="AZ1209" s="49">
        <f t="shared" si="303"/>
        <v>0</v>
      </c>
      <c r="BA1209" s="31">
        <v>0</v>
      </c>
      <c r="BB1209" s="188">
        <f t="shared" si="306"/>
        <v>0</v>
      </c>
      <c r="BC1209" s="188" t="str">
        <f t="shared" si="310"/>
        <v xml:space="preserve"> </v>
      </c>
      <c r="BD1209" s="188" t="str">
        <f t="shared" si="311"/>
        <v xml:space="preserve"> </v>
      </c>
      <c r="BE1209" s="188" t="str">
        <f t="shared" si="312"/>
        <v xml:space="preserve"> </v>
      </c>
      <c r="BF1209" s="50" t="str">
        <f t="shared" si="304"/>
        <v>EASY CREEK_Sockeye</v>
      </c>
      <c r="BG1209" s="50" t="str">
        <f>IFERROR(VLOOKUP(BF1209,'[1]WCVI Esc'!$C$5:$W$514,18,FALSE),"-")</f>
        <v>-</v>
      </c>
      <c r="BH1209" s="50" t="str">
        <f t="shared" si="307"/>
        <v>-</v>
      </c>
      <c r="BI1209" s="50" t="str">
        <f>IFERROR(VLOOKUP(BF1209,'[1]WCVI Esc'!$C$5:$W$514,19,FALSE),"-")</f>
        <v>-</v>
      </c>
      <c r="BJ1209" s="50" t="str">
        <f t="shared" si="308"/>
        <v>-</v>
      </c>
    </row>
    <row r="1210" spans="1:65" hidden="1" x14ac:dyDescent="0.2">
      <c r="A1210" s="28">
        <v>4</v>
      </c>
      <c r="B1210" s="28">
        <v>2</v>
      </c>
      <c r="C1210" s="11">
        <v>26</v>
      </c>
      <c r="D1210" s="149" t="s">
        <v>301</v>
      </c>
      <c r="E1210" s="10" t="s">
        <v>60</v>
      </c>
      <c r="F1210" s="10" t="s">
        <v>219</v>
      </c>
      <c r="G1210" s="10"/>
      <c r="H1210" s="152"/>
      <c r="I1210" s="155"/>
      <c r="J1210" s="106"/>
      <c r="K1210" s="94"/>
      <c r="L1210" s="180"/>
      <c r="M1210" s="173"/>
      <c r="N1210" s="96"/>
      <c r="O1210" s="106"/>
      <c r="P1210" s="142"/>
      <c r="Q1210" s="162"/>
      <c r="R1210" s="165"/>
      <c r="S1210" s="62"/>
      <c r="T1210" s="142"/>
      <c r="U1210" s="62"/>
      <c r="V1210" s="177"/>
      <c r="W1210" s="171"/>
      <c r="X1210" s="62"/>
      <c r="Y1210" s="45"/>
      <c r="Z1210" s="45"/>
      <c r="AA1210" s="100">
        <f>Y1210/AP1210</f>
        <v>0</v>
      </c>
      <c r="AB1210" s="100">
        <f>AS1210/AP1210</f>
        <v>0</v>
      </c>
      <c r="AC1210" s="100"/>
      <c r="AD1210" s="100"/>
      <c r="AE1210" s="100"/>
      <c r="AF1210" s="100"/>
      <c r="AG1210" s="18">
        <v>26</v>
      </c>
      <c r="AH1210" s="69" t="s">
        <v>301</v>
      </c>
      <c r="AI1210" s="243" t="s">
        <v>60</v>
      </c>
      <c r="AJ1210" s="243" t="s">
        <v>419</v>
      </c>
      <c r="AK1210" s="246"/>
      <c r="AL1210" s="43" t="str">
        <f t="shared" si="309"/>
        <v>-</v>
      </c>
      <c r="AM1210" s="43">
        <f t="shared" si="297"/>
        <v>0</v>
      </c>
      <c r="AN1210" s="193">
        <f t="shared" si="297"/>
        <v>0</v>
      </c>
      <c r="AO1210" s="270">
        <f t="shared" si="298"/>
        <v>50</v>
      </c>
      <c r="AP1210" s="265">
        <f>BJ1210</f>
        <v>170</v>
      </c>
      <c r="AQ1210" s="26" t="str">
        <f t="shared" si="305"/>
        <v>EASY CREEKCoho</v>
      </c>
      <c r="AR1210" s="26">
        <f t="shared" si="299"/>
        <v>0</v>
      </c>
      <c r="AS1210" s="33">
        <f t="shared" si="300"/>
        <v>0</v>
      </c>
      <c r="AX1210" s="47" t="str">
        <f t="shared" si="301"/>
        <v>EASY CREEKCoho</v>
      </c>
      <c r="AY1210" s="49">
        <f t="shared" si="302"/>
        <v>0</v>
      </c>
      <c r="AZ1210" s="49">
        <f t="shared" si="303"/>
        <v>0</v>
      </c>
      <c r="BA1210" s="31">
        <v>2015</v>
      </c>
      <c r="BB1210" s="188">
        <f t="shared" si="306"/>
        <v>0</v>
      </c>
      <c r="BC1210" s="188" t="str">
        <f t="shared" si="310"/>
        <v xml:space="preserve"> </v>
      </c>
      <c r="BD1210" s="188" t="str">
        <f t="shared" si="311"/>
        <v xml:space="preserve"> </v>
      </c>
      <c r="BE1210" s="188" t="str">
        <f t="shared" si="312"/>
        <v xml:space="preserve"> </v>
      </c>
      <c r="BF1210" s="50" t="str">
        <f t="shared" si="304"/>
        <v>EASY CREEK_Coho</v>
      </c>
      <c r="BG1210" s="50">
        <f>IFERROR(VLOOKUP(BF1210,'[1]WCVI Esc'!$C$5:$W$514,18,FALSE),"-")</f>
        <v>53</v>
      </c>
      <c r="BH1210" s="50">
        <f t="shared" si="307"/>
        <v>50</v>
      </c>
      <c r="BI1210" s="50">
        <f>IFERROR(VLOOKUP(BF1210,'[1]WCVI Esc'!$C$5:$W$514,19,FALSE),"-")</f>
        <v>173</v>
      </c>
      <c r="BJ1210" s="50">
        <f t="shared" si="308"/>
        <v>170</v>
      </c>
    </row>
    <row r="1211" spans="1:65" hidden="1" x14ac:dyDescent="0.2">
      <c r="A1211" s="28">
        <v>4</v>
      </c>
      <c r="B1211" s="28">
        <v>3</v>
      </c>
      <c r="C1211" s="11">
        <v>26</v>
      </c>
      <c r="D1211" s="149" t="s">
        <v>301</v>
      </c>
      <c r="E1211" s="10" t="s">
        <v>60</v>
      </c>
      <c r="F1211" s="10" t="s">
        <v>208</v>
      </c>
      <c r="G1211" s="10"/>
      <c r="H1211" s="152"/>
      <c r="I1211" s="155"/>
      <c r="J1211" s="106"/>
      <c r="K1211" s="94"/>
      <c r="L1211" s="180"/>
      <c r="M1211" s="173"/>
      <c r="N1211" s="96"/>
      <c r="O1211" s="106"/>
      <c r="P1211" s="142"/>
      <c r="Q1211" s="162"/>
      <c r="R1211" s="165"/>
      <c r="S1211" s="62"/>
      <c r="T1211" s="142"/>
      <c r="U1211" s="62"/>
      <c r="V1211" s="177"/>
      <c r="W1211" s="171"/>
      <c r="X1211" s="62"/>
      <c r="Y1211" s="45"/>
      <c r="Z1211" s="45"/>
      <c r="AA1211" s="100"/>
      <c r="AB1211" s="100"/>
      <c r="AC1211" s="24"/>
      <c r="AD1211" s="24"/>
      <c r="AE1211" s="24"/>
      <c r="AF1211" s="24"/>
      <c r="AG1211" s="18">
        <v>26</v>
      </c>
      <c r="AH1211" s="69" t="s">
        <v>301</v>
      </c>
      <c r="AI1211" s="243" t="s">
        <v>60</v>
      </c>
      <c r="AJ1211" s="243" t="s">
        <v>419</v>
      </c>
      <c r="AK1211" s="246"/>
      <c r="AL1211" s="43" t="str">
        <f t="shared" si="309"/>
        <v>-</v>
      </c>
      <c r="AM1211" s="43">
        <f t="shared" si="297"/>
        <v>0</v>
      </c>
      <c r="AN1211" s="193">
        <f t="shared" si="297"/>
        <v>0</v>
      </c>
      <c r="AO1211" s="270" t="str">
        <f t="shared" si="298"/>
        <v>-</v>
      </c>
      <c r="AP1211" s="266"/>
      <c r="AQ1211" s="26" t="str">
        <f t="shared" si="305"/>
        <v>EASY CREEKPink</v>
      </c>
      <c r="AR1211" s="26">
        <f t="shared" si="299"/>
        <v>0</v>
      </c>
      <c r="AS1211" s="33">
        <f t="shared" si="300"/>
        <v>0</v>
      </c>
      <c r="AX1211" s="47" t="str">
        <f t="shared" si="301"/>
        <v>EASY CREEKPink</v>
      </c>
      <c r="AY1211" s="49">
        <f t="shared" si="302"/>
        <v>0</v>
      </c>
      <c r="AZ1211" s="49">
        <f t="shared" si="303"/>
        <v>0</v>
      </c>
      <c r="BA1211" s="31">
        <v>0</v>
      </c>
      <c r="BB1211" s="188">
        <f t="shared" si="306"/>
        <v>0</v>
      </c>
      <c r="BC1211" s="188" t="str">
        <f t="shared" si="310"/>
        <v xml:space="preserve"> </v>
      </c>
      <c r="BD1211" s="188" t="str">
        <f t="shared" si="311"/>
        <v xml:space="preserve"> </v>
      </c>
      <c r="BE1211" s="188" t="str">
        <f t="shared" si="312"/>
        <v xml:space="preserve"> </v>
      </c>
      <c r="BF1211" s="50" t="str">
        <f t="shared" si="304"/>
        <v>EASY CREEK_Pink</v>
      </c>
      <c r="BG1211" s="50" t="str">
        <f>IFERROR(VLOOKUP(BF1211,'[1]WCVI Esc'!$C$5:$W$514,18,FALSE),"-")</f>
        <v>-</v>
      </c>
      <c r="BH1211" s="50" t="str">
        <f t="shared" si="307"/>
        <v>-</v>
      </c>
      <c r="BI1211" s="50" t="str">
        <f>IFERROR(VLOOKUP(BF1211,'[1]WCVI Esc'!$C$5:$W$514,19,FALSE),"-")</f>
        <v>-</v>
      </c>
      <c r="BJ1211" s="50" t="str">
        <f t="shared" si="308"/>
        <v>-</v>
      </c>
    </row>
    <row r="1212" spans="1:65" hidden="1" x14ac:dyDescent="0.2">
      <c r="A1212" s="28">
        <v>4</v>
      </c>
      <c r="B1212" s="28">
        <v>4</v>
      </c>
      <c r="C1212" s="11">
        <v>26</v>
      </c>
      <c r="D1212" s="149" t="s">
        <v>301</v>
      </c>
      <c r="E1212" s="10" t="s">
        <v>60</v>
      </c>
      <c r="F1212" s="10" t="s">
        <v>209</v>
      </c>
      <c r="G1212" s="10"/>
      <c r="H1212" s="152"/>
      <c r="I1212" s="155"/>
      <c r="J1212" s="106"/>
      <c r="K1212" s="94"/>
      <c r="L1212" s="180"/>
      <c r="M1212" s="173"/>
      <c r="N1212" s="96"/>
      <c r="O1212" s="106"/>
      <c r="P1212" s="142"/>
      <c r="Q1212" s="162"/>
      <c r="R1212" s="165"/>
      <c r="S1212" s="62"/>
      <c r="T1212" s="142"/>
      <c r="U1212" s="62"/>
      <c r="V1212" s="177"/>
      <c r="W1212" s="171"/>
      <c r="X1212" s="62"/>
      <c r="Y1212" s="45"/>
      <c r="Z1212" s="45"/>
      <c r="AA1212" s="100">
        <f>Y1212/AP1212</f>
        <v>0</v>
      </c>
      <c r="AB1212" s="100">
        <f>AS1212/AP1212</f>
        <v>0</v>
      </c>
      <c r="AC1212" s="100"/>
      <c r="AD1212" s="100"/>
      <c r="AE1212" s="100"/>
      <c r="AF1212" s="100"/>
      <c r="AG1212" s="18">
        <v>26</v>
      </c>
      <c r="AH1212" s="69" t="s">
        <v>301</v>
      </c>
      <c r="AI1212" s="243" t="s">
        <v>60</v>
      </c>
      <c r="AJ1212" s="243" t="s">
        <v>419</v>
      </c>
      <c r="AK1212" s="246"/>
      <c r="AL1212" s="43" t="str">
        <f t="shared" si="309"/>
        <v>-</v>
      </c>
      <c r="AM1212" s="43">
        <f t="shared" si="297"/>
        <v>0</v>
      </c>
      <c r="AN1212" s="193">
        <f t="shared" si="297"/>
        <v>0</v>
      </c>
      <c r="AO1212" s="270">
        <f t="shared" si="298"/>
        <v>200</v>
      </c>
      <c r="AP1212" s="265">
        <f>BJ1212</f>
        <v>2370</v>
      </c>
      <c r="AQ1212" s="26" t="str">
        <f t="shared" si="305"/>
        <v>EASY CREEKChum</v>
      </c>
      <c r="AR1212" s="26">
        <f t="shared" si="299"/>
        <v>0</v>
      </c>
      <c r="AS1212" s="33">
        <f t="shared" si="300"/>
        <v>0</v>
      </c>
      <c r="AX1212" s="47" t="str">
        <f t="shared" si="301"/>
        <v>EASY CREEKChum</v>
      </c>
      <c r="AY1212" s="49">
        <f t="shared" si="302"/>
        <v>0</v>
      </c>
      <c r="AZ1212" s="49">
        <f t="shared" si="303"/>
        <v>0</v>
      </c>
      <c r="BA1212" s="31">
        <v>2015</v>
      </c>
      <c r="BB1212" s="188">
        <f t="shared" si="306"/>
        <v>0</v>
      </c>
      <c r="BC1212" s="188" t="str">
        <f t="shared" si="310"/>
        <v xml:space="preserve"> </v>
      </c>
      <c r="BD1212" s="188" t="str">
        <f t="shared" si="311"/>
        <v xml:space="preserve"> </v>
      </c>
      <c r="BE1212" s="188" t="str">
        <f t="shared" si="312"/>
        <v xml:space="preserve"> </v>
      </c>
      <c r="BF1212" s="50" t="str">
        <f t="shared" si="304"/>
        <v>EASY CREEK_Chum</v>
      </c>
      <c r="BG1212" s="50">
        <f>IFERROR(VLOOKUP(BF1212,'[1]WCVI Esc'!$C$5:$W$514,18,FALSE),"-")</f>
        <v>196</v>
      </c>
      <c r="BH1212" s="50">
        <f t="shared" si="307"/>
        <v>200</v>
      </c>
      <c r="BI1212" s="50">
        <f>IFERROR(VLOOKUP(BF1212,'[1]WCVI Esc'!$C$5:$W$514,19,FALSE),"-")</f>
        <v>2370.8888888888887</v>
      </c>
      <c r="BJ1212" s="50">
        <f t="shared" si="308"/>
        <v>2370</v>
      </c>
    </row>
    <row r="1213" spans="1:65" hidden="1" x14ac:dyDescent="0.2">
      <c r="A1213" s="28">
        <v>4</v>
      </c>
      <c r="B1213" s="28">
        <v>5</v>
      </c>
      <c r="C1213" s="11">
        <v>26</v>
      </c>
      <c r="D1213" s="149" t="s">
        <v>301</v>
      </c>
      <c r="E1213" s="10" t="s">
        <v>60</v>
      </c>
      <c r="F1213" s="10" t="s">
        <v>210</v>
      </c>
      <c r="G1213" s="10"/>
      <c r="H1213" s="152"/>
      <c r="I1213" s="155"/>
      <c r="J1213" s="106"/>
      <c r="K1213" s="94"/>
      <c r="L1213" s="180"/>
      <c r="M1213" s="173"/>
      <c r="N1213" s="96"/>
      <c r="O1213" s="106"/>
      <c r="P1213" s="142"/>
      <c r="Q1213" s="162"/>
      <c r="R1213" s="165"/>
      <c r="S1213" s="62"/>
      <c r="T1213" s="142"/>
      <c r="U1213" s="62"/>
      <c r="V1213" s="177"/>
      <c r="W1213" s="171"/>
      <c r="X1213" s="62"/>
      <c r="Y1213" s="45"/>
      <c r="Z1213" s="45"/>
      <c r="AA1213" s="100">
        <f>Y1213/AP1213</f>
        <v>0</v>
      </c>
      <c r="AB1213" s="100">
        <f>AS1213/AP1213</f>
        <v>0</v>
      </c>
      <c r="AC1213" s="24"/>
      <c r="AD1213" s="24"/>
      <c r="AE1213" s="24"/>
      <c r="AF1213" s="24"/>
      <c r="AG1213" s="18">
        <v>26</v>
      </c>
      <c r="AH1213" s="69" t="s">
        <v>301</v>
      </c>
      <c r="AI1213" s="243" t="s">
        <v>60</v>
      </c>
      <c r="AJ1213" s="243" t="s">
        <v>419</v>
      </c>
      <c r="AK1213" s="246"/>
      <c r="AL1213" s="43" t="str">
        <f t="shared" si="309"/>
        <v>-</v>
      </c>
      <c r="AM1213" s="43">
        <f t="shared" si="297"/>
        <v>0</v>
      </c>
      <c r="AN1213" s="193">
        <f t="shared" si="297"/>
        <v>0</v>
      </c>
      <c r="AO1213" s="270">
        <f t="shared" si="298"/>
        <v>10</v>
      </c>
      <c r="AP1213" s="265">
        <f>BJ1213</f>
        <v>10</v>
      </c>
      <c r="AQ1213" s="26" t="str">
        <f t="shared" si="305"/>
        <v>EASY CREEKChinook</v>
      </c>
      <c r="AR1213" s="26">
        <f t="shared" si="299"/>
        <v>0</v>
      </c>
      <c r="AS1213" s="33">
        <f t="shared" si="300"/>
        <v>0</v>
      </c>
      <c r="AX1213" s="47" t="str">
        <f t="shared" si="301"/>
        <v>EASY CREEKChinook</v>
      </c>
      <c r="AY1213" s="49">
        <f t="shared" si="302"/>
        <v>0</v>
      </c>
      <c r="AZ1213" s="49">
        <f t="shared" si="303"/>
        <v>0</v>
      </c>
      <c r="BA1213" s="31">
        <v>2013</v>
      </c>
      <c r="BB1213" s="188">
        <f t="shared" si="306"/>
        <v>0</v>
      </c>
      <c r="BC1213" s="188" t="str">
        <f t="shared" si="310"/>
        <v xml:space="preserve"> </v>
      </c>
      <c r="BD1213" s="188" t="str">
        <f t="shared" si="311"/>
        <v xml:space="preserve"> </v>
      </c>
      <c r="BE1213" s="188" t="str">
        <f t="shared" si="312"/>
        <v xml:space="preserve"> </v>
      </c>
      <c r="BF1213" s="50" t="str">
        <f t="shared" si="304"/>
        <v>EASY CREEK_Chinook</v>
      </c>
      <c r="BG1213" s="50">
        <f>IFERROR(VLOOKUP(BF1213,'[1]WCVI Esc'!$C$5:$W$514,18,FALSE),"-")</f>
        <v>7.666666666666667</v>
      </c>
      <c r="BH1213" s="50">
        <f t="shared" si="307"/>
        <v>10</v>
      </c>
      <c r="BI1213" s="50">
        <f>IFERROR(VLOOKUP(BF1213,'[1]WCVI Esc'!$C$5:$W$514,19,FALSE),"-")</f>
        <v>11.666666666666666</v>
      </c>
      <c r="BJ1213" s="50">
        <f t="shared" si="308"/>
        <v>10</v>
      </c>
      <c r="BK1213">
        <v>4</v>
      </c>
      <c r="BL1213" s="17" t="s">
        <v>460</v>
      </c>
      <c r="BM1213" s="31">
        <v>1</v>
      </c>
    </row>
    <row r="1214" spans="1:65" hidden="1" x14ac:dyDescent="0.2">
      <c r="A1214" s="28">
        <v>4</v>
      </c>
      <c r="B1214" s="28">
        <v>6</v>
      </c>
      <c r="C1214" s="11">
        <v>26</v>
      </c>
      <c r="D1214" s="149" t="s">
        <v>301</v>
      </c>
      <c r="E1214" s="10" t="s">
        <v>60</v>
      </c>
      <c r="F1214" s="10" t="s">
        <v>211</v>
      </c>
      <c r="G1214" s="10"/>
      <c r="H1214" s="152"/>
      <c r="I1214" s="155"/>
      <c r="J1214" s="106"/>
      <c r="K1214" s="94"/>
      <c r="L1214" s="180"/>
      <c r="M1214" s="173"/>
      <c r="N1214" s="96"/>
      <c r="O1214" s="106"/>
      <c r="P1214" s="142"/>
      <c r="Q1214" s="162"/>
      <c r="R1214" s="165"/>
      <c r="S1214" s="62"/>
      <c r="T1214" s="142"/>
      <c r="U1214" s="62"/>
      <c r="V1214" s="177"/>
      <c r="W1214" s="171"/>
      <c r="X1214" s="62"/>
      <c r="Y1214" s="45"/>
      <c r="Z1214" s="45"/>
      <c r="AA1214" s="100"/>
      <c r="AB1214" s="100"/>
      <c r="AC1214" s="24"/>
      <c r="AD1214" s="24"/>
      <c r="AE1214" s="24"/>
      <c r="AF1214" s="24"/>
      <c r="AG1214" s="18">
        <v>26</v>
      </c>
      <c r="AH1214" s="69" t="s">
        <v>301</v>
      </c>
      <c r="AI1214" s="243" t="s">
        <v>60</v>
      </c>
      <c r="AJ1214" s="243" t="s">
        <v>419</v>
      </c>
      <c r="AK1214" s="246"/>
      <c r="AL1214" s="43" t="str">
        <f t="shared" si="309"/>
        <v>-</v>
      </c>
      <c r="AM1214" s="43">
        <f t="shared" si="297"/>
        <v>0</v>
      </c>
      <c r="AN1214" s="193">
        <f t="shared" si="297"/>
        <v>0</v>
      </c>
      <c r="AO1214" s="270" t="str">
        <f t="shared" si="298"/>
        <v>-</v>
      </c>
      <c r="AP1214" s="266"/>
      <c r="AQ1214" s="26" t="str">
        <f t="shared" si="305"/>
        <v>EASY CREEKSteelhead</v>
      </c>
      <c r="AR1214" s="26">
        <f t="shared" si="299"/>
        <v>0</v>
      </c>
      <c r="AS1214" s="33">
        <f t="shared" si="300"/>
        <v>0</v>
      </c>
      <c r="AX1214" s="47" t="str">
        <f t="shared" si="301"/>
        <v>EASY CREEKSteelhead</v>
      </c>
      <c r="AY1214" s="49">
        <f t="shared" si="302"/>
        <v>0</v>
      </c>
      <c r="AZ1214" s="49">
        <f t="shared" si="303"/>
        <v>0</v>
      </c>
      <c r="BA1214" s="31">
        <v>0</v>
      </c>
      <c r="BB1214" s="188">
        <f t="shared" si="306"/>
        <v>0</v>
      </c>
      <c r="BC1214" s="188" t="str">
        <f t="shared" si="310"/>
        <v xml:space="preserve"> </v>
      </c>
      <c r="BD1214" s="188" t="str">
        <f t="shared" si="311"/>
        <v xml:space="preserve"> </v>
      </c>
      <c r="BE1214" s="188" t="str">
        <f t="shared" si="312"/>
        <v xml:space="preserve"> </v>
      </c>
      <c r="BF1214" s="50" t="str">
        <f t="shared" si="304"/>
        <v>EASY CREEK_Steelhead</v>
      </c>
      <c r="BG1214" s="50" t="str">
        <f>IFERROR(VLOOKUP(BF1214,'[1]WCVI Esc'!$C$5:$W$514,18,FALSE),"-")</f>
        <v>-</v>
      </c>
      <c r="BH1214" s="50" t="str">
        <f t="shared" si="307"/>
        <v>-</v>
      </c>
      <c r="BI1214" s="50" t="str">
        <f>IFERROR(VLOOKUP(BF1214,'[1]WCVI Esc'!$C$5:$W$514,19,FALSE),"-")</f>
        <v>-</v>
      </c>
      <c r="BJ1214" s="50" t="str">
        <f t="shared" si="308"/>
        <v>-</v>
      </c>
    </row>
    <row r="1215" spans="1:65" hidden="1" x14ac:dyDescent="0.2">
      <c r="A1215" s="28">
        <v>4</v>
      </c>
      <c r="B1215" s="28">
        <v>1</v>
      </c>
      <c r="C1215" s="11">
        <v>26</v>
      </c>
      <c r="D1215" s="149" t="s">
        <v>301</v>
      </c>
      <c r="E1215" s="10" t="s">
        <v>65</v>
      </c>
      <c r="F1215" s="10" t="s">
        <v>207</v>
      </c>
      <c r="G1215" s="10"/>
      <c r="H1215" s="152"/>
      <c r="I1215" s="155"/>
      <c r="J1215" s="106"/>
      <c r="K1215" s="94"/>
      <c r="L1215" s="180"/>
      <c r="M1215" s="173"/>
      <c r="N1215" s="106"/>
      <c r="O1215" s="106"/>
      <c r="P1215" s="63"/>
      <c r="Q1215" s="162"/>
      <c r="R1215" s="164"/>
      <c r="S1215" s="62"/>
      <c r="T1215" s="63"/>
      <c r="U1215" s="62"/>
      <c r="V1215" s="177"/>
      <c r="W1215" s="171"/>
      <c r="X1215" s="62"/>
      <c r="Y1215" s="45"/>
      <c r="Z1215" s="45"/>
      <c r="AA1215" s="100"/>
      <c r="AB1215" s="100"/>
      <c r="AC1215" s="24"/>
      <c r="AD1215" s="24"/>
      <c r="AE1215" s="24"/>
      <c r="AF1215" s="24"/>
      <c r="AG1215" s="18">
        <v>26</v>
      </c>
      <c r="AH1215" s="69" t="s">
        <v>301</v>
      </c>
      <c r="AI1215" s="243" t="s">
        <v>65</v>
      </c>
      <c r="AJ1215" s="243" t="s">
        <v>419</v>
      </c>
      <c r="AK1215" s="246"/>
      <c r="AL1215" s="43" t="str">
        <f t="shared" si="309"/>
        <v>-</v>
      </c>
      <c r="AM1215" s="43">
        <f t="shared" ref="AM1215:AN1238" si="313">AR1215</f>
        <v>0</v>
      </c>
      <c r="AN1215" s="193">
        <f t="shared" si="313"/>
        <v>0</v>
      </c>
      <c r="AO1215" s="270" t="str">
        <f t="shared" ref="AO1215:AO1238" si="314">BH1215</f>
        <v>-</v>
      </c>
      <c r="AP1215" s="265"/>
      <c r="AQ1215" s="26" t="str">
        <f t="shared" si="305"/>
        <v>NARROWGUT CREEKSockeye</v>
      </c>
      <c r="AR1215" s="26">
        <f t="shared" ref="AR1215:AR1238" si="315">COUNT(G1215:X1215)</f>
        <v>0</v>
      </c>
      <c r="AS1215" s="33">
        <f t="shared" ref="AS1215:AS1238" si="316">MAX(G1215:X1215)</f>
        <v>0</v>
      </c>
      <c r="AX1215" s="47" t="str">
        <f t="shared" ref="AX1215:AX1241" si="317">CONCATENATE(E1215,F1215)</f>
        <v>NARROWGUT CREEKSockeye</v>
      </c>
      <c r="AY1215" s="49">
        <f t="shared" ref="AY1215:AY1241" si="318">Z1215</f>
        <v>0</v>
      </c>
      <c r="AZ1215" s="49">
        <f t="shared" ref="AZ1215:AZ1241" si="319">Y1215</f>
        <v>0</v>
      </c>
      <c r="BA1215" s="31">
        <v>1998</v>
      </c>
      <c r="BB1215" s="188">
        <f t="shared" si="306"/>
        <v>0</v>
      </c>
      <c r="BC1215" s="188" t="str">
        <f t="shared" si="310"/>
        <v xml:space="preserve"> </v>
      </c>
      <c r="BD1215" s="188" t="str">
        <f t="shared" si="311"/>
        <v xml:space="preserve"> </v>
      </c>
      <c r="BE1215" s="188" t="str">
        <f t="shared" si="312"/>
        <v xml:space="preserve"> </v>
      </c>
      <c r="BF1215" s="50" t="str">
        <f t="shared" ref="BF1215:BF1241" si="320">CONCATENATE(E1215,"_",F1215)</f>
        <v>NARROWGUT CREEK_Sockeye</v>
      </c>
      <c r="BG1215" s="50" t="str">
        <f>IFERROR(VLOOKUP(BF1215,'[1]WCVI Esc'!$C$5:$W$514,18,FALSE),"-")</f>
        <v>-</v>
      </c>
      <c r="BH1215" s="50" t="str">
        <f t="shared" si="307"/>
        <v>-</v>
      </c>
      <c r="BI1215" s="50" t="str">
        <f>IFERROR(VLOOKUP(BF1215,'[1]WCVI Esc'!$C$5:$W$514,19,FALSE),"-")</f>
        <v>-</v>
      </c>
      <c r="BJ1215" s="50" t="str">
        <f t="shared" si="308"/>
        <v>-</v>
      </c>
    </row>
    <row r="1216" spans="1:65" hidden="1" x14ac:dyDescent="0.2">
      <c r="A1216" s="28">
        <v>4</v>
      </c>
      <c r="B1216" s="28">
        <v>2</v>
      </c>
      <c r="C1216" s="11">
        <v>26</v>
      </c>
      <c r="D1216" s="149" t="s">
        <v>301</v>
      </c>
      <c r="E1216" s="10" t="s">
        <v>65</v>
      </c>
      <c r="F1216" s="10" t="s">
        <v>219</v>
      </c>
      <c r="G1216" s="10"/>
      <c r="H1216" s="152"/>
      <c r="I1216" s="155"/>
      <c r="J1216" s="106"/>
      <c r="K1216" s="94"/>
      <c r="L1216" s="180"/>
      <c r="M1216" s="173"/>
      <c r="N1216" s="106"/>
      <c r="O1216" s="106"/>
      <c r="P1216" s="63"/>
      <c r="Q1216" s="162"/>
      <c r="R1216" s="164"/>
      <c r="S1216" s="62"/>
      <c r="T1216" s="63"/>
      <c r="U1216" s="62"/>
      <c r="V1216" s="177"/>
      <c r="W1216" s="171"/>
      <c r="X1216" s="62"/>
      <c r="Y1216" s="45"/>
      <c r="Z1216" s="45"/>
      <c r="AA1216" s="100" t="e">
        <f>Y1216/AP1216</f>
        <v>#VALUE!</v>
      </c>
      <c r="AB1216" s="100" t="e">
        <f>AS1216/AP1216</f>
        <v>#VALUE!</v>
      </c>
      <c r="AC1216" s="100"/>
      <c r="AD1216" s="100"/>
      <c r="AE1216" s="100"/>
      <c r="AF1216" s="100"/>
      <c r="AG1216" s="18">
        <v>26</v>
      </c>
      <c r="AH1216" s="69" t="s">
        <v>301</v>
      </c>
      <c r="AI1216" s="243" t="s">
        <v>65</v>
      </c>
      <c r="AJ1216" s="243" t="s">
        <v>419</v>
      </c>
      <c r="AK1216" s="246"/>
      <c r="AL1216" s="43" t="str">
        <f t="shared" si="309"/>
        <v>-</v>
      </c>
      <c r="AM1216" s="43">
        <f t="shared" si="313"/>
        <v>0</v>
      </c>
      <c r="AN1216" s="193">
        <f t="shared" si="313"/>
        <v>0</v>
      </c>
      <c r="AO1216" s="270" t="str">
        <f t="shared" si="314"/>
        <v>-</v>
      </c>
      <c r="AP1216" s="265" t="str">
        <f>BJ1216</f>
        <v>-</v>
      </c>
      <c r="AQ1216" s="26" t="str">
        <f t="shared" si="305"/>
        <v>NARROWGUT CREEKCoho</v>
      </c>
      <c r="AR1216" s="26">
        <f t="shared" si="315"/>
        <v>0</v>
      </c>
      <c r="AS1216" s="33">
        <f t="shared" si="316"/>
        <v>0</v>
      </c>
      <c r="AX1216" s="47" t="str">
        <f t="shared" si="317"/>
        <v>NARROWGUT CREEKCoho</v>
      </c>
      <c r="AY1216" s="49">
        <f t="shared" si="318"/>
        <v>0</v>
      </c>
      <c r="AZ1216" s="49">
        <f t="shared" si="319"/>
        <v>0</v>
      </c>
      <c r="BA1216" s="31">
        <v>2015</v>
      </c>
      <c r="BB1216" s="188">
        <f t="shared" si="306"/>
        <v>0</v>
      </c>
      <c r="BC1216" s="188" t="str">
        <f t="shared" si="310"/>
        <v xml:space="preserve"> </v>
      </c>
      <c r="BD1216" s="188" t="str">
        <f t="shared" si="311"/>
        <v xml:space="preserve"> </v>
      </c>
      <c r="BE1216" s="188" t="str">
        <f t="shared" si="312"/>
        <v xml:space="preserve"> </v>
      </c>
      <c r="BF1216" s="50" t="str">
        <f t="shared" si="320"/>
        <v>NARROWGUT CREEK_Coho</v>
      </c>
      <c r="BG1216" s="50" t="str">
        <f>IFERROR(VLOOKUP(BF1216,'[1]WCVI Esc'!$C$5:$W$514,18,FALSE),"-")</f>
        <v>-</v>
      </c>
      <c r="BH1216" s="50" t="str">
        <f t="shared" si="307"/>
        <v>-</v>
      </c>
      <c r="BI1216" s="50" t="str">
        <f>IFERROR(VLOOKUP(BF1216,'[1]WCVI Esc'!$C$5:$W$514,19,FALSE),"-")</f>
        <v>-</v>
      </c>
      <c r="BJ1216" s="50" t="str">
        <f t="shared" si="308"/>
        <v>-</v>
      </c>
    </row>
    <row r="1217" spans="1:62" hidden="1" x14ac:dyDescent="0.2">
      <c r="A1217" s="28">
        <v>4</v>
      </c>
      <c r="B1217" s="28">
        <v>3</v>
      </c>
      <c r="C1217" s="11">
        <v>26</v>
      </c>
      <c r="D1217" s="149" t="s">
        <v>301</v>
      </c>
      <c r="E1217" s="10" t="s">
        <v>65</v>
      </c>
      <c r="F1217" s="10" t="s">
        <v>208</v>
      </c>
      <c r="G1217" s="10"/>
      <c r="H1217" s="152"/>
      <c r="I1217" s="155"/>
      <c r="J1217" s="106"/>
      <c r="K1217" s="94"/>
      <c r="L1217" s="180"/>
      <c r="M1217" s="173"/>
      <c r="N1217" s="106"/>
      <c r="O1217" s="106"/>
      <c r="P1217" s="63"/>
      <c r="Q1217" s="162"/>
      <c r="R1217" s="164"/>
      <c r="S1217" s="62"/>
      <c r="T1217" s="63"/>
      <c r="U1217" s="62"/>
      <c r="V1217" s="177"/>
      <c r="W1217" s="171"/>
      <c r="X1217" s="62"/>
      <c r="Y1217" s="45"/>
      <c r="Z1217" s="45"/>
      <c r="AA1217" s="100"/>
      <c r="AB1217" s="100"/>
      <c r="AC1217" s="24"/>
      <c r="AD1217" s="24"/>
      <c r="AE1217" s="24"/>
      <c r="AF1217" s="24"/>
      <c r="AG1217" s="18">
        <v>26</v>
      </c>
      <c r="AH1217" s="69" t="s">
        <v>301</v>
      </c>
      <c r="AI1217" s="243" t="s">
        <v>65</v>
      </c>
      <c r="AJ1217" s="243" t="s">
        <v>419</v>
      </c>
      <c r="AK1217" s="246"/>
      <c r="AL1217" s="43" t="str">
        <f t="shared" si="309"/>
        <v>-</v>
      </c>
      <c r="AM1217" s="43">
        <f t="shared" si="313"/>
        <v>0</v>
      </c>
      <c r="AN1217" s="193">
        <f t="shared" si="313"/>
        <v>0</v>
      </c>
      <c r="AO1217" s="270" t="str">
        <f t="shared" si="314"/>
        <v>-</v>
      </c>
      <c r="AP1217" s="265"/>
      <c r="AQ1217" s="26" t="str">
        <f t="shared" si="305"/>
        <v>NARROWGUT CREEKPink</v>
      </c>
      <c r="AR1217" s="26">
        <f t="shared" si="315"/>
        <v>0</v>
      </c>
      <c r="AS1217" s="33">
        <f t="shared" si="316"/>
        <v>0</v>
      </c>
      <c r="AX1217" s="47" t="str">
        <f t="shared" si="317"/>
        <v>NARROWGUT CREEKPink</v>
      </c>
      <c r="AY1217" s="49">
        <f t="shared" si="318"/>
        <v>0</v>
      </c>
      <c r="AZ1217" s="49">
        <f t="shared" si="319"/>
        <v>0</v>
      </c>
      <c r="BA1217" s="31">
        <v>0</v>
      </c>
      <c r="BB1217" s="188">
        <f t="shared" si="306"/>
        <v>0</v>
      </c>
      <c r="BC1217" s="188" t="str">
        <f t="shared" si="310"/>
        <v xml:space="preserve"> </v>
      </c>
      <c r="BD1217" s="188" t="str">
        <f t="shared" si="311"/>
        <v xml:space="preserve"> </v>
      </c>
      <c r="BE1217" s="188" t="str">
        <f t="shared" si="312"/>
        <v xml:space="preserve"> </v>
      </c>
      <c r="BF1217" s="50" t="str">
        <f t="shared" si="320"/>
        <v>NARROWGUT CREEK_Pink</v>
      </c>
      <c r="BG1217" s="50" t="str">
        <f>IFERROR(VLOOKUP(BF1217,'[1]WCVI Esc'!$C$5:$W$514,18,FALSE),"-")</f>
        <v>-</v>
      </c>
      <c r="BH1217" s="50" t="str">
        <f t="shared" si="307"/>
        <v>-</v>
      </c>
      <c r="BI1217" s="50" t="str">
        <f>IFERROR(VLOOKUP(BF1217,'[1]WCVI Esc'!$C$5:$W$514,19,FALSE),"-")</f>
        <v>-</v>
      </c>
      <c r="BJ1217" s="50" t="str">
        <f t="shared" si="308"/>
        <v>-</v>
      </c>
    </row>
    <row r="1218" spans="1:62" hidden="1" x14ac:dyDescent="0.2">
      <c r="A1218" s="28">
        <v>4</v>
      </c>
      <c r="B1218" s="28">
        <v>4</v>
      </c>
      <c r="C1218" s="11">
        <v>26</v>
      </c>
      <c r="D1218" s="149" t="s">
        <v>301</v>
      </c>
      <c r="E1218" s="10" t="s">
        <v>65</v>
      </c>
      <c r="F1218" s="10" t="s">
        <v>209</v>
      </c>
      <c r="G1218" s="10"/>
      <c r="H1218" s="152"/>
      <c r="I1218" s="155"/>
      <c r="J1218" s="106"/>
      <c r="K1218" s="94"/>
      <c r="L1218" s="180"/>
      <c r="M1218" s="173"/>
      <c r="N1218" s="106"/>
      <c r="O1218" s="106"/>
      <c r="P1218" s="63"/>
      <c r="Q1218" s="162"/>
      <c r="R1218" s="164"/>
      <c r="S1218" s="62"/>
      <c r="T1218" s="63"/>
      <c r="U1218" s="62"/>
      <c r="V1218" s="177"/>
      <c r="W1218" s="171"/>
      <c r="X1218" s="62"/>
      <c r="Y1218" s="45"/>
      <c r="Z1218" s="45"/>
      <c r="AA1218" s="100">
        <f>Y1218/AP1218</f>
        <v>0</v>
      </c>
      <c r="AB1218" s="100">
        <f>AS1218/AP1218</f>
        <v>0</v>
      </c>
      <c r="AC1218" s="100"/>
      <c r="AD1218" s="100"/>
      <c r="AE1218" s="100"/>
      <c r="AF1218" s="100"/>
      <c r="AG1218" s="18">
        <v>26</v>
      </c>
      <c r="AH1218" s="69" t="s">
        <v>301</v>
      </c>
      <c r="AI1218" s="243" t="s">
        <v>65</v>
      </c>
      <c r="AJ1218" s="243" t="s">
        <v>419</v>
      </c>
      <c r="AK1218" s="246"/>
      <c r="AL1218" s="43" t="str">
        <f t="shared" si="309"/>
        <v>-</v>
      </c>
      <c r="AM1218" s="43">
        <f t="shared" si="313"/>
        <v>0</v>
      </c>
      <c r="AN1218" s="193">
        <f t="shared" si="313"/>
        <v>0</v>
      </c>
      <c r="AO1218" s="270" t="str">
        <f t="shared" si="314"/>
        <v>-</v>
      </c>
      <c r="AP1218" s="265">
        <f>BJ1218</f>
        <v>1660</v>
      </c>
      <c r="AQ1218" s="26" t="str">
        <f t="shared" si="305"/>
        <v>NARROWGUT CREEKChum</v>
      </c>
      <c r="AR1218" s="26">
        <f t="shared" si="315"/>
        <v>0</v>
      </c>
      <c r="AS1218" s="33">
        <f t="shared" si="316"/>
        <v>0</v>
      </c>
      <c r="AX1218" s="47" t="str">
        <f t="shared" si="317"/>
        <v>NARROWGUT CREEKChum</v>
      </c>
      <c r="AY1218" s="49">
        <f t="shared" si="318"/>
        <v>0</v>
      </c>
      <c r="AZ1218" s="49">
        <f t="shared" si="319"/>
        <v>0</v>
      </c>
      <c r="BA1218" s="31">
        <v>2014</v>
      </c>
      <c r="BB1218" s="188">
        <f t="shared" si="306"/>
        <v>0</v>
      </c>
      <c r="BC1218" s="188" t="str">
        <f t="shared" si="310"/>
        <v xml:space="preserve"> </v>
      </c>
      <c r="BD1218" s="188" t="str">
        <f t="shared" si="311"/>
        <v xml:space="preserve"> </v>
      </c>
      <c r="BE1218" s="188" t="str">
        <f t="shared" si="312"/>
        <v xml:space="preserve"> </v>
      </c>
      <c r="BF1218" s="50" t="str">
        <f t="shared" si="320"/>
        <v>NARROWGUT CREEK_Chum</v>
      </c>
      <c r="BG1218" s="50" t="str">
        <f>IFERROR(VLOOKUP(BF1218,'[1]WCVI Esc'!$C$5:$W$514,18,FALSE),"-")</f>
        <v>-</v>
      </c>
      <c r="BH1218" s="50" t="str">
        <f t="shared" si="307"/>
        <v>-</v>
      </c>
      <c r="BI1218" s="50">
        <f>IFERROR(VLOOKUP(BF1218,'[1]WCVI Esc'!$C$5:$W$514,19,FALSE),"-")</f>
        <v>1658.25</v>
      </c>
      <c r="BJ1218" s="50">
        <f t="shared" si="308"/>
        <v>1660</v>
      </c>
    </row>
    <row r="1219" spans="1:62" hidden="1" x14ac:dyDescent="0.2">
      <c r="A1219" s="28">
        <v>4</v>
      </c>
      <c r="B1219" s="28">
        <v>5</v>
      </c>
      <c r="C1219" s="11">
        <v>26</v>
      </c>
      <c r="D1219" s="149" t="s">
        <v>301</v>
      </c>
      <c r="E1219" s="10" t="s">
        <v>65</v>
      </c>
      <c r="F1219" s="10" t="s">
        <v>210</v>
      </c>
      <c r="G1219" s="10"/>
      <c r="H1219" s="152"/>
      <c r="I1219" s="155"/>
      <c r="J1219" s="106"/>
      <c r="K1219" s="94"/>
      <c r="L1219" s="180"/>
      <c r="M1219" s="173"/>
      <c r="N1219" s="106"/>
      <c r="O1219" s="106"/>
      <c r="P1219" s="63"/>
      <c r="Q1219" s="162"/>
      <c r="R1219" s="164"/>
      <c r="S1219" s="62"/>
      <c r="T1219" s="63"/>
      <c r="U1219" s="62"/>
      <c r="V1219" s="177"/>
      <c r="W1219" s="171"/>
      <c r="X1219" s="62"/>
      <c r="Y1219" s="45"/>
      <c r="Z1219" s="45"/>
      <c r="AA1219" s="100"/>
      <c r="AB1219" s="100"/>
      <c r="AC1219" s="100"/>
      <c r="AD1219" s="100"/>
      <c r="AE1219" s="100"/>
      <c r="AF1219" s="100"/>
      <c r="AG1219" s="18">
        <v>26</v>
      </c>
      <c r="AH1219" s="69" t="s">
        <v>301</v>
      </c>
      <c r="AI1219" s="243" t="s">
        <v>65</v>
      </c>
      <c r="AJ1219" s="243" t="s">
        <v>419</v>
      </c>
      <c r="AK1219" s="246"/>
      <c r="AL1219" s="43" t="str">
        <f t="shared" si="309"/>
        <v>-</v>
      </c>
      <c r="AM1219" s="43">
        <f t="shared" si="313"/>
        <v>0</v>
      </c>
      <c r="AN1219" s="193">
        <f t="shared" si="313"/>
        <v>0</v>
      </c>
      <c r="AO1219" s="270" t="str">
        <f t="shared" si="314"/>
        <v>-</v>
      </c>
      <c r="AP1219" s="265">
        <f>BJ1219</f>
        <v>0</v>
      </c>
      <c r="AQ1219" s="26" t="str">
        <f t="shared" ref="AQ1219:AQ1241" si="321">CONCATENATE(E1219,F1219)</f>
        <v>NARROWGUT CREEKChinook</v>
      </c>
      <c r="AR1219" s="26">
        <f t="shared" si="315"/>
        <v>0</v>
      </c>
      <c r="AS1219" s="33">
        <f t="shared" si="316"/>
        <v>0</v>
      </c>
      <c r="AX1219" s="47" t="str">
        <f t="shared" si="317"/>
        <v>NARROWGUT CREEKChinook</v>
      </c>
      <c r="AY1219" s="49">
        <f t="shared" si="318"/>
        <v>0</v>
      </c>
      <c r="AZ1219" s="49">
        <f t="shared" si="319"/>
        <v>0</v>
      </c>
      <c r="BA1219" s="31">
        <v>2011</v>
      </c>
      <c r="BB1219" s="188">
        <f t="shared" si="306"/>
        <v>0</v>
      </c>
      <c r="BC1219" s="188" t="str">
        <f t="shared" si="310"/>
        <v xml:space="preserve"> </v>
      </c>
      <c r="BD1219" s="188" t="str">
        <f t="shared" si="311"/>
        <v xml:space="preserve"> </v>
      </c>
      <c r="BE1219" s="188" t="str">
        <f t="shared" si="312"/>
        <v xml:space="preserve"> </v>
      </c>
      <c r="BF1219" s="50" t="str">
        <f t="shared" si="320"/>
        <v>NARROWGUT CREEK_Chinook</v>
      </c>
      <c r="BG1219" s="50" t="str">
        <f>IFERROR(VLOOKUP(BF1219,'[1]WCVI Esc'!$C$5:$W$514,18,FALSE),"-")</f>
        <v>-</v>
      </c>
      <c r="BH1219" s="50" t="str">
        <f t="shared" si="307"/>
        <v>-</v>
      </c>
      <c r="BI1219" s="50">
        <f>IFERROR(VLOOKUP(BF1219,'[1]WCVI Esc'!$C$5:$W$514,19,FALSE),"-")</f>
        <v>2</v>
      </c>
      <c r="BJ1219" s="50">
        <f t="shared" si="308"/>
        <v>0</v>
      </c>
    </row>
    <row r="1220" spans="1:62" hidden="1" x14ac:dyDescent="0.2">
      <c r="A1220" s="28">
        <v>4</v>
      </c>
      <c r="B1220" s="28">
        <v>6</v>
      </c>
      <c r="C1220" s="11">
        <v>26</v>
      </c>
      <c r="D1220" s="149" t="s">
        <v>301</v>
      </c>
      <c r="E1220" s="10" t="s">
        <v>65</v>
      </c>
      <c r="F1220" s="10" t="s">
        <v>211</v>
      </c>
      <c r="G1220" s="10"/>
      <c r="H1220" s="152"/>
      <c r="I1220" s="155"/>
      <c r="J1220" s="106"/>
      <c r="K1220" s="94"/>
      <c r="L1220" s="180"/>
      <c r="M1220" s="173"/>
      <c r="N1220" s="106"/>
      <c r="O1220" s="106"/>
      <c r="P1220" s="63"/>
      <c r="Q1220" s="162"/>
      <c r="R1220" s="164"/>
      <c r="S1220" s="62"/>
      <c r="T1220" s="63"/>
      <c r="U1220" s="62"/>
      <c r="V1220" s="177"/>
      <c r="W1220" s="171"/>
      <c r="X1220" s="62"/>
      <c r="Y1220" s="45"/>
      <c r="Z1220" s="45"/>
      <c r="AA1220" s="100"/>
      <c r="AB1220" s="100"/>
      <c r="AC1220" s="24"/>
      <c r="AD1220" s="24"/>
      <c r="AE1220" s="24"/>
      <c r="AF1220" s="24"/>
      <c r="AG1220" s="18">
        <v>26</v>
      </c>
      <c r="AH1220" s="69" t="s">
        <v>301</v>
      </c>
      <c r="AI1220" s="243" t="s">
        <v>65</v>
      </c>
      <c r="AJ1220" s="243" t="s">
        <v>419</v>
      </c>
      <c r="AK1220" s="246"/>
      <c r="AL1220" s="43" t="str">
        <f t="shared" si="309"/>
        <v>-</v>
      </c>
      <c r="AM1220" s="43">
        <f t="shared" si="313"/>
        <v>0</v>
      </c>
      <c r="AN1220" s="193">
        <f t="shared" si="313"/>
        <v>0</v>
      </c>
      <c r="AO1220" s="270" t="str">
        <f t="shared" si="314"/>
        <v>-</v>
      </c>
      <c r="AP1220" s="265"/>
      <c r="AQ1220" s="26" t="str">
        <f t="shared" si="321"/>
        <v>NARROWGUT CREEKSteelhead</v>
      </c>
      <c r="AR1220" s="26">
        <f t="shared" si="315"/>
        <v>0</v>
      </c>
      <c r="AS1220" s="33">
        <f t="shared" si="316"/>
        <v>0</v>
      </c>
      <c r="AX1220" s="47" t="str">
        <f t="shared" si="317"/>
        <v>NARROWGUT CREEKSteelhead</v>
      </c>
      <c r="AY1220" s="49">
        <f t="shared" si="318"/>
        <v>0</v>
      </c>
      <c r="AZ1220" s="49">
        <f t="shared" si="319"/>
        <v>0</v>
      </c>
      <c r="BA1220" s="31">
        <v>0</v>
      </c>
      <c r="BB1220" s="188">
        <f t="shared" si="306"/>
        <v>0</v>
      </c>
      <c r="BC1220" s="188" t="str">
        <f t="shared" si="310"/>
        <v xml:space="preserve"> </v>
      </c>
      <c r="BD1220" s="188" t="str">
        <f t="shared" si="311"/>
        <v xml:space="preserve"> </v>
      </c>
      <c r="BE1220" s="188" t="str">
        <f t="shared" si="312"/>
        <v xml:space="preserve"> </v>
      </c>
      <c r="BF1220" s="50" t="str">
        <f t="shared" si="320"/>
        <v>NARROWGUT CREEK_Steelhead</v>
      </c>
      <c r="BG1220" s="50" t="str">
        <f>IFERROR(VLOOKUP(BF1220,'[1]WCVI Esc'!$C$5:$W$514,18,FALSE),"-")</f>
        <v>-</v>
      </c>
      <c r="BH1220" s="50" t="str">
        <f t="shared" si="307"/>
        <v>-</v>
      </c>
      <c r="BI1220" s="50" t="str">
        <f>IFERROR(VLOOKUP(BF1220,'[1]WCVI Esc'!$C$5:$W$514,19,FALSE),"-")</f>
        <v>-</v>
      </c>
      <c r="BJ1220" s="50" t="str">
        <f t="shared" si="308"/>
        <v>-</v>
      </c>
    </row>
    <row r="1221" spans="1:62" hidden="1" x14ac:dyDescent="0.2">
      <c r="A1221" s="28">
        <v>4</v>
      </c>
      <c r="B1221" s="28">
        <v>1</v>
      </c>
      <c r="C1221" s="11">
        <v>26</v>
      </c>
      <c r="D1221" s="149" t="s">
        <v>301</v>
      </c>
      <c r="E1221" s="10" t="s">
        <v>230</v>
      </c>
      <c r="F1221" s="10" t="s">
        <v>207</v>
      </c>
      <c r="G1221" s="10"/>
      <c r="H1221" s="152"/>
      <c r="I1221" s="155"/>
      <c r="J1221" s="106"/>
      <c r="K1221" s="94"/>
      <c r="L1221" s="180"/>
      <c r="M1221" s="173"/>
      <c r="N1221" s="106"/>
      <c r="O1221" s="106"/>
      <c r="P1221" s="63"/>
      <c r="Q1221" s="162"/>
      <c r="R1221" s="164"/>
      <c r="S1221" s="62"/>
      <c r="T1221" s="63"/>
      <c r="U1221" s="62"/>
      <c r="V1221" s="177"/>
      <c r="W1221" s="171"/>
      <c r="X1221" s="62"/>
      <c r="Y1221" s="45"/>
      <c r="Z1221" s="45"/>
      <c r="AA1221" s="100"/>
      <c r="AB1221" s="100"/>
      <c r="AC1221" s="24"/>
      <c r="AD1221" s="24"/>
      <c r="AE1221" s="24"/>
      <c r="AF1221" s="24"/>
      <c r="AG1221" s="18">
        <v>26</v>
      </c>
      <c r="AH1221" s="69" t="s">
        <v>301</v>
      </c>
      <c r="AI1221" s="243" t="s">
        <v>230</v>
      </c>
      <c r="AJ1221" s="243" t="s">
        <v>419</v>
      </c>
      <c r="AK1221" s="246"/>
      <c r="AL1221" s="43" t="str">
        <f t="shared" si="309"/>
        <v>-</v>
      </c>
      <c r="AM1221" s="43">
        <f t="shared" si="313"/>
        <v>0</v>
      </c>
      <c r="AN1221" s="193">
        <f t="shared" si="313"/>
        <v>0</v>
      </c>
      <c r="AO1221" s="270" t="str">
        <f t="shared" si="314"/>
        <v>-</v>
      </c>
      <c r="AP1221" s="271"/>
      <c r="AQ1221" s="26" t="str">
        <f t="shared" si="321"/>
        <v>OUOUKINSH RIVERSockeye</v>
      </c>
      <c r="AR1221" s="26">
        <f t="shared" si="315"/>
        <v>0</v>
      </c>
      <c r="AS1221" s="33">
        <f t="shared" si="316"/>
        <v>0</v>
      </c>
      <c r="AX1221" s="47" t="str">
        <f t="shared" si="317"/>
        <v>OUOUKINSH RIVERSockeye</v>
      </c>
      <c r="AY1221" s="49">
        <f t="shared" si="318"/>
        <v>0</v>
      </c>
      <c r="AZ1221" s="49">
        <f t="shared" si="319"/>
        <v>0</v>
      </c>
      <c r="BA1221" s="31">
        <v>0</v>
      </c>
      <c r="BB1221" s="188">
        <f t="shared" si="306"/>
        <v>0</v>
      </c>
      <c r="BC1221" s="188" t="str">
        <f t="shared" si="310"/>
        <v xml:space="preserve"> </v>
      </c>
      <c r="BD1221" s="188" t="str">
        <f t="shared" si="311"/>
        <v xml:space="preserve"> </v>
      </c>
      <c r="BE1221" s="188" t="str">
        <f t="shared" si="312"/>
        <v xml:space="preserve"> </v>
      </c>
      <c r="BF1221" s="50" t="str">
        <f t="shared" si="320"/>
        <v>OUOUKINSH RIVER_Sockeye</v>
      </c>
      <c r="BG1221" s="50" t="str">
        <f>IFERROR(VLOOKUP(BF1221,'[1]WCVI Esc'!$C$5:$W$514,18,FALSE),"-")</f>
        <v>-</v>
      </c>
      <c r="BH1221" s="50" t="str">
        <f t="shared" si="307"/>
        <v>-</v>
      </c>
      <c r="BI1221" s="50" t="str">
        <f>IFERROR(VLOOKUP(BF1221,'[1]WCVI Esc'!$C$5:$W$514,19,FALSE),"-")</f>
        <v>-</v>
      </c>
      <c r="BJ1221" s="50" t="str">
        <f t="shared" si="308"/>
        <v>-</v>
      </c>
    </row>
    <row r="1222" spans="1:62" hidden="1" x14ac:dyDescent="0.2">
      <c r="A1222" s="28">
        <v>4</v>
      </c>
      <c r="B1222" s="28">
        <v>2</v>
      </c>
      <c r="C1222" s="11">
        <v>26</v>
      </c>
      <c r="D1222" s="149" t="s">
        <v>301</v>
      </c>
      <c r="E1222" s="10" t="s">
        <v>230</v>
      </c>
      <c r="F1222" s="10" t="s">
        <v>219</v>
      </c>
      <c r="G1222" s="10"/>
      <c r="H1222" s="152"/>
      <c r="I1222" s="155"/>
      <c r="J1222" s="106"/>
      <c r="K1222" s="94"/>
      <c r="L1222" s="180"/>
      <c r="M1222" s="173"/>
      <c r="N1222" s="106"/>
      <c r="O1222" s="106"/>
      <c r="P1222" s="63"/>
      <c r="Q1222" s="162"/>
      <c r="R1222" s="164"/>
      <c r="S1222" s="62"/>
      <c r="T1222" s="63"/>
      <c r="U1222" s="62"/>
      <c r="V1222" s="177"/>
      <c r="W1222" s="171"/>
      <c r="X1222" s="62"/>
      <c r="Y1222" s="45"/>
      <c r="Z1222" s="45"/>
      <c r="AA1222" s="100" t="e">
        <f>Y1222/AP1222</f>
        <v>#VALUE!</v>
      </c>
      <c r="AB1222" s="100" t="e">
        <f>AS1222/AP1222</f>
        <v>#VALUE!</v>
      </c>
      <c r="AC1222" s="24"/>
      <c r="AD1222" s="24"/>
      <c r="AE1222" s="24"/>
      <c r="AF1222" s="24"/>
      <c r="AG1222" s="18">
        <v>26</v>
      </c>
      <c r="AH1222" s="69" t="s">
        <v>301</v>
      </c>
      <c r="AI1222" s="243" t="s">
        <v>230</v>
      </c>
      <c r="AJ1222" s="243" t="s">
        <v>419</v>
      </c>
      <c r="AK1222" s="246"/>
      <c r="AL1222" s="43" t="str">
        <f t="shared" si="309"/>
        <v>-</v>
      </c>
      <c r="AM1222" s="43">
        <f t="shared" si="313"/>
        <v>0</v>
      </c>
      <c r="AN1222" s="193">
        <f t="shared" si="313"/>
        <v>0</v>
      </c>
      <c r="AO1222" s="270" t="str">
        <f t="shared" si="314"/>
        <v>-</v>
      </c>
      <c r="AP1222" s="265" t="str">
        <f>BJ1222</f>
        <v>-</v>
      </c>
      <c r="AQ1222" s="26" t="str">
        <f t="shared" si="321"/>
        <v>OUOUKINSH RIVERCoho</v>
      </c>
      <c r="AR1222" s="26">
        <f t="shared" si="315"/>
        <v>0</v>
      </c>
      <c r="AS1222" s="33">
        <f t="shared" si="316"/>
        <v>0</v>
      </c>
      <c r="AX1222" s="47" t="str">
        <f t="shared" si="317"/>
        <v>OUOUKINSH RIVERCoho</v>
      </c>
      <c r="AY1222" s="49">
        <f t="shared" si="318"/>
        <v>0</v>
      </c>
      <c r="AZ1222" s="49">
        <f t="shared" si="319"/>
        <v>0</v>
      </c>
      <c r="BA1222" s="31">
        <v>2011</v>
      </c>
      <c r="BB1222" s="188">
        <f t="shared" si="306"/>
        <v>0</v>
      </c>
      <c r="BC1222" s="188" t="str">
        <f t="shared" si="310"/>
        <v xml:space="preserve"> </v>
      </c>
      <c r="BD1222" s="188" t="str">
        <f t="shared" si="311"/>
        <v xml:space="preserve"> </v>
      </c>
      <c r="BE1222" s="188" t="str">
        <f t="shared" si="312"/>
        <v xml:space="preserve"> </v>
      </c>
      <c r="BF1222" s="50" t="str">
        <f t="shared" si="320"/>
        <v>OUOUKINSH RIVER_Coho</v>
      </c>
      <c r="BG1222" s="50" t="str">
        <f>IFERROR(VLOOKUP(BF1222,'[1]WCVI Esc'!$C$5:$W$514,18,FALSE),"-")</f>
        <v>-</v>
      </c>
      <c r="BH1222" s="50" t="str">
        <f t="shared" si="307"/>
        <v>-</v>
      </c>
      <c r="BI1222" s="50" t="str">
        <f>IFERROR(VLOOKUP(BF1222,'[1]WCVI Esc'!$C$5:$W$514,19,FALSE),"-")</f>
        <v>-</v>
      </c>
      <c r="BJ1222" s="50" t="str">
        <f t="shared" si="308"/>
        <v>-</v>
      </c>
    </row>
    <row r="1223" spans="1:62" hidden="1" x14ac:dyDescent="0.2">
      <c r="A1223" s="28">
        <v>4</v>
      </c>
      <c r="B1223" s="28">
        <v>3</v>
      </c>
      <c r="C1223" s="11">
        <v>26</v>
      </c>
      <c r="D1223" s="149" t="s">
        <v>301</v>
      </c>
      <c r="E1223" s="10" t="s">
        <v>230</v>
      </c>
      <c r="F1223" s="10" t="s">
        <v>208</v>
      </c>
      <c r="G1223" s="10"/>
      <c r="H1223" s="152"/>
      <c r="I1223" s="155"/>
      <c r="J1223" s="106"/>
      <c r="K1223" s="94"/>
      <c r="L1223" s="180"/>
      <c r="M1223" s="173"/>
      <c r="N1223" s="106"/>
      <c r="O1223" s="106"/>
      <c r="P1223" s="63"/>
      <c r="Q1223" s="162"/>
      <c r="R1223" s="164"/>
      <c r="S1223" s="62"/>
      <c r="T1223" s="63"/>
      <c r="U1223" s="62"/>
      <c r="V1223" s="177"/>
      <c r="W1223" s="171"/>
      <c r="X1223" s="62"/>
      <c r="Y1223" s="45"/>
      <c r="Z1223" s="45"/>
      <c r="AA1223" s="100"/>
      <c r="AB1223" s="100"/>
      <c r="AC1223" s="24"/>
      <c r="AD1223" s="24"/>
      <c r="AE1223" s="24"/>
      <c r="AF1223" s="24"/>
      <c r="AG1223" s="18">
        <v>26</v>
      </c>
      <c r="AH1223" s="69" t="s">
        <v>301</v>
      </c>
      <c r="AI1223" s="243" t="s">
        <v>230</v>
      </c>
      <c r="AJ1223" s="243" t="s">
        <v>419</v>
      </c>
      <c r="AK1223" s="246"/>
      <c r="AL1223" s="43" t="str">
        <f t="shared" si="309"/>
        <v>-</v>
      </c>
      <c r="AM1223" s="43">
        <f t="shared" si="313"/>
        <v>0</v>
      </c>
      <c r="AN1223" s="193">
        <f t="shared" si="313"/>
        <v>0</v>
      </c>
      <c r="AO1223" s="270" t="str">
        <f t="shared" si="314"/>
        <v>-</v>
      </c>
      <c r="AP1223" s="266"/>
      <c r="AQ1223" s="26" t="str">
        <f t="shared" si="321"/>
        <v>OUOUKINSH RIVERPink</v>
      </c>
      <c r="AR1223" s="26">
        <f t="shared" si="315"/>
        <v>0</v>
      </c>
      <c r="AS1223" s="33">
        <f t="shared" si="316"/>
        <v>0</v>
      </c>
      <c r="AX1223" s="47" t="str">
        <f t="shared" si="317"/>
        <v>OUOUKINSH RIVERPink</v>
      </c>
      <c r="AY1223" s="49">
        <f t="shared" si="318"/>
        <v>0</v>
      </c>
      <c r="AZ1223" s="49">
        <f t="shared" si="319"/>
        <v>0</v>
      </c>
      <c r="BA1223" s="31">
        <v>0</v>
      </c>
      <c r="BB1223" s="188">
        <f t="shared" si="306"/>
        <v>0</v>
      </c>
      <c r="BC1223" s="188" t="str">
        <f t="shared" si="310"/>
        <v xml:space="preserve"> </v>
      </c>
      <c r="BD1223" s="188" t="str">
        <f t="shared" si="311"/>
        <v xml:space="preserve"> </v>
      </c>
      <c r="BE1223" s="188" t="str">
        <f t="shared" si="312"/>
        <v xml:space="preserve"> </v>
      </c>
      <c r="BF1223" s="50" t="str">
        <f t="shared" si="320"/>
        <v>OUOUKINSH RIVER_Pink</v>
      </c>
      <c r="BG1223" s="50" t="str">
        <f>IFERROR(VLOOKUP(BF1223,'[1]WCVI Esc'!$C$5:$W$514,18,FALSE),"-")</f>
        <v>-</v>
      </c>
      <c r="BH1223" s="50" t="str">
        <f t="shared" si="307"/>
        <v>-</v>
      </c>
      <c r="BI1223" s="50" t="str">
        <f>IFERROR(VLOOKUP(BF1223,'[1]WCVI Esc'!$C$5:$W$514,19,FALSE),"-")</f>
        <v>-</v>
      </c>
      <c r="BJ1223" s="50" t="str">
        <f t="shared" si="308"/>
        <v>-</v>
      </c>
    </row>
    <row r="1224" spans="1:62" hidden="1" x14ac:dyDescent="0.2">
      <c r="A1224" s="28">
        <v>4</v>
      </c>
      <c r="B1224" s="28">
        <v>4</v>
      </c>
      <c r="C1224" s="11">
        <v>26</v>
      </c>
      <c r="D1224" s="148" t="s">
        <v>301</v>
      </c>
      <c r="E1224" s="10" t="s">
        <v>230</v>
      </c>
      <c r="F1224" s="10" t="s">
        <v>209</v>
      </c>
      <c r="G1224" s="10"/>
      <c r="H1224" s="152"/>
      <c r="I1224" s="155"/>
      <c r="J1224" s="106"/>
      <c r="K1224" s="94"/>
      <c r="L1224" s="180"/>
      <c r="M1224" s="173"/>
      <c r="N1224" s="106"/>
      <c r="O1224" s="106"/>
      <c r="P1224" s="63"/>
      <c r="Q1224" s="162"/>
      <c r="R1224" s="164"/>
      <c r="S1224" s="62"/>
      <c r="T1224" s="63"/>
      <c r="U1224" s="62"/>
      <c r="V1224" s="177"/>
      <c r="W1224" s="171"/>
      <c r="X1224" s="62"/>
      <c r="Y1224" s="45"/>
      <c r="Z1224" s="45"/>
      <c r="AA1224" s="100" t="e">
        <f>Y1224/AP1224</f>
        <v>#VALUE!</v>
      </c>
      <c r="AB1224" s="100" t="e">
        <f>AS1224/AP1224</f>
        <v>#VALUE!</v>
      </c>
      <c r="AC1224" s="24"/>
      <c r="AD1224" s="24"/>
      <c r="AE1224" s="24"/>
      <c r="AF1224" s="24"/>
      <c r="AG1224" s="18">
        <v>26</v>
      </c>
      <c r="AH1224" s="69" t="s">
        <v>301</v>
      </c>
      <c r="AI1224" s="243" t="s">
        <v>230</v>
      </c>
      <c r="AJ1224" s="243" t="s">
        <v>419</v>
      </c>
      <c r="AK1224" s="246"/>
      <c r="AL1224" s="43" t="str">
        <f t="shared" si="309"/>
        <v>-</v>
      </c>
      <c r="AM1224" s="43">
        <f t="shared" si="313"/>
        <v>0</v>
      </c>
      <c r="AN1224" s="193">
        <f t="shared" si="313"/>
        <v>0</v>
      </c>
      <c r="AO1224" s="270" t="str">
        <f t="shared" si="314"/>
        <v>-</v>
      </c>
      <c r="AP1224" s="265" t="str">
        <f t="shared" ref="AP1224:AP1238" si="322">BJ1224</f>
        <v>-</v>
      </c>
      <c r="AQ1224" s="26" t="str">
        <f t="shared" si="321"/>
        <v>OUOUKINSH RIVERChum</v>
      </c>
      <c r="AR1224" s="26">
        <f t="shared" si="315"/>
        <v>0</v>
      </c>
      <c r="AS1224" s="33">
        <f t="shared" si="316"/>
        <v>0</v>
      </c>
      <c r="AX1224" s="47" t="str">
        <f t="shared" si="317"/>
        <v>OUOUKINSH RIVERChum</v>
      </c>
      <c r="AY1224" s="49">
        <f t="shared" si="318"/>
        <v>0</v>
      </c>
      <c r="AZ1224" s="49">
        <f t="shared" si="319"/>
        <v>0</v>
      </c>
      <c r="BA1224" s="31">
        <v>2011</v>
      </c>
      <c r="BB1224" s="188">
        <f t="shared" si="306"/>
        <v>0</v>
      </c>
      <c r="BC1224" s="188" t="str">
        <f t="shared" si="310"/>
        <v xml:space="preserve"> </v>
      </c>
      <c r="BD1224" s="188" t="str">
        <f t="shared" si="311"/>
        <v xml:space="preserve"> </v>
      </c>
      <c r="BE1224" s="188" t="str">
        <f t="shared" si="312"/>
        <v xml:space="preserve"> </v>
      </c>
      <c r="BF1224" s="50" t="str">
        <f t="shared" si="320"/>
        <v>OUOUKINSH RIVER_Chum</v>
      </c>
      <c r="BG1224" s="50" t="str">
        <f>IFERROR(VLOOKUP(BF1224,'[1]WCVI Esc'!$C$5:$W$514,18,FALSE),"-")</f>
        <v>-</v>
      </c>
      <c r="BH1224" s="50" t="str">
        <f t="shared" si="307"/>
        <v>-</v>
      </c>
      <c r="BI1224" s="50" t="str">
        <f>IFERROR(VLOOKUP(BF1224,'[1]WCVI Esc'!$C$5:$W$514,19,FALSE),"-")</f>
        <v>-</v>
      </c>
      <c r="BJ1224" s="50" t="str">
        <f t="shared" si="308"/>
        <v>-</v>
      </c>
    </row>
    <row r="1225" spans="1:62" hidden="1" x14ac:dyDescent="0.2">
      <c r="A1225" s="28">
        <v>4</v>
      </c>
      <c r="B1225" s="28">
        <v>5</v>
      </c>
      <c r="C1225" s="11">
        <v>26</v>
      </c>
      <c r="D1225" s="148" t="s">
        <v>301</v>
      </c>
      <c r="E1225" s="10" t="s">
        <v>230</v>
      </c>
      <c r="F1225" s="10" t="s">
        <v>210</v>
      </c>
      <c r="G1225" s="10"/>
      <c r="H1225" s="152"/>
      <c r="I1225" s="155"/>
      <c r="J1225" s="106"/>
      <c r="K1225" s="94"/>
      <c r="L1225" s="180"/>
      <c r="M1225" s="173"/>
      <c r="N1225" s="106"/>
      <c r="O1225" s="106"/>
      <c r="P1225" s="63"/>
      <c r="Q1225" s="162"/>
      <c r="R1225" s="164"/>
      <c r="S1225" s="62"/>
      <c r="T1225" s="63"/>
      <c r="U1225" s="62"/>
      <c r="V1225" s="177"/>
      <c r="W1225" s="171"/>
      <c r="X1225" s="62"/>
      <c r="Y1225" s="45"/>
      <c r="Z1225" s="45"/>
      <c r="AA1225" s="100" t="e">
        <f>Y1225/AP1225</f>
        <v>#VALUE!</v>
      </c>
      <c r="AB1225" s="100" t="e">
        <f>AS1225/AP1225</f>
        <v>#VALUE!</v>
      </c>
      <c r="AC1225" s="24"/>
      <c r="AD1225" s="24"/>
      <c r="AE1225" s="24"/>
      <c r="AF1225" s="24"/>
      <c r="AG1225" s="18">
        <v>26</v>
      </c>
      <c r="AH1225" s="69" t="s">
        <v>301</v>
      </c>
      <c r="AI1225" s="243" t="s">
        <v>230</v>
      </c>
      <c r="AJ1225" s="243" t="s">
        <v>419</v>
      </c>
      <c r="AK1225" s="246"/>
      <c r="AL1225" s="43" t="str">
        <f t="shared" si="309"/>
        <v>-</v>
      </c>
      <c r="AM1225" s="43">
        <f t="shared" si="313"/>
        <v>0</v>
      </c>
      <c r="AN1225" s="193">
        <f t="shared" si="313"/>
        <v>0</v>
      </c>
      <c r="AO1225" s="270" t="str">
        <f t="shared" si="314"/>
        <v>-</v>
      </c>
      <c r="AP1225" s="265" t="str">
        <f t="shared" si="322"/>
        <v>-</v>
      </c>
      <c r="AQ1225" s="26" t="str">
        <f t="shared" si="321"/>
        <v>OUOUKINSH RIVERChinook</v>
      </c>
      <c r="AR1225" s="26">
        <f t="shared" si="315"/>
        <v>0</v>
      </c>
      <c r="AS1225" s="33">
        <f t="shared" si="316"/>
        <v>0</v>
      </c>
      <c r="AX1225" s="47" t="str">
        <f t="shared" si="317"/>
        <v>OUOUKINSH RIVERChinook</v>
      </c>
      <c r="AY1225" s="49">
        <f t="shared" si="318"/>
        <v>0</v>
      </c>
      <c r="AZ1225" s="49">
        <f t="shared" si="319"/>
        <v>0</v>
      </c>
      <c r="BA1225" s="31">
        <v>2011</v>
      </c>
      <c r="BB1225" s="188">
        <f t="shared" ref="BB1225:BB1241" si="323">AK1225</f>
        <v>0</v>
      </c>
      <c r="BC1225" s="188" t="str">
        <f t="shared" si="310"/>
        <v xml:space="preserve"> </v>
      </c>
      <c r="BD1225" s="188" t="str">
        <f t="shared" si="311"/>
        <v xml:space="preserve"> </v>
      </c>
      <c r="BE1225" s="188" t="str">
        <f t="shared" si="312"/>
        <v xml:space="preserve"> </v>
      </c>
      <c r="BF1225" s="50" t="str">
        <f t="shared" si="320"/>
        <v>OUOUKINSH RIVER_Chinook</v>
      </c>
      <c r="BG1225" s="50" t="str">
        <f>IFERROR(VLOOKUP(BF1225,'[1]WCVI Esc'!$C$5:$W$514,18,FALSE),"-")</f>
        <v>-</v>
      </c>
      <c r="BH1225" s="50" t="str">
        <f t="shared" ref="BH1225:BH1241" si="324">IFERROR(ROUND(BG1225,-1),"-")</f>
        <v>-</v>
      </c>
      <c r="BI1225" s="50" t="str">
        <f>IFERROR(VLOOKUP(BF1225,'[1]WCVI Esc'!$C$5:$W$514,19,FALSE),"-")</f>
        <v>-</v>
      </c>
      <c r="BJ1225" s="50" t="str">
        <f t="shared" ref="BJ1225:BJ1241" si="325">IFERROR(ROUND(BI1225,-1),"-")</f>
        <v>-</v>
      </c>
    </row>
    <row r="1226" spans="1:62" hidden="1" x14ac:dyDescent="0.2">
      <c r="A1226" s="28">
        <v>4</v>
      </c>
      <c r="B1226" s="28">
        <v>6</v>
      </c>
      <c r="C1226" s="11">
        <v>26</v>
      </c>
      <c r="D1226" s="148" t="s">
        <v>301</v>
      </c>
      <c r="E1226" s="10" t="s">
        <v>230</v>
      </c>
      <c r="F1226" s="10" t="s">
        <v>211</v>
      </c>
      <c r="G1226" s="10"/>
      <c r="H1226" s="152"/>
      <c r="I1226" s="155"/>
      <c r="J1226" s="106"/>
      <c r="K1226" s="94"/>
      <c r="L1226" s="180"/>
      <c r="M1226" s="173"/>
      <c r="N1226" s="106"/>
      <c r="O1226" s="106"/>
      <c r="P1226" s="63"/>
      <c r="Q1226" s="162"/>
      <c r="R1226" s="164"/>
      <c r="S1226" s="62"/>
      <c r="T1226" s="63"/>
      <c r="U1226" s="62"/>
      <c r="V1226" s="177"/>
      <c r="W1226" s="171"/>
      <c r="X1226" s="62"/>
      <c r="Y1226" s="45"/>
      <c r="Z1226" s="45"/>
      <c r="AA1226" s="100"/>
      <c r="AB1226" s="100"/>
      <c r="AC1226" s="24"/>
      <c r="AD1226" s="24"/>
      <c r="AE1226" s="24"/>
      <c r="AF1226" s="24"/>
      <c r="AG1226" s="18">
        <v>26</v>
      </c>
      <c r="AH1226" s="69" t="s">
        <v>301</v>
      </c>
      <c r="AI1226" s="243" t="s">
        <v>230</v>
      </c>
      <c r="AJ1226" s="243" t="s">
        <v>419</v>
      </c>
      <c r="AK1226" s="246"/>
      <c r="AL1226" s="43" t="str">
        <f t="shared" ref="AL1226:AL1238" si="326">IF(BE1226=" ",IF(BD1226=" ", IF(BC1226=" ","-",BC1226),BD1226), BE1226)</f>
        <v>-</v>
      </c>
      <c r="AM1226" s="43">
        <f t="shared" si="313"/>
        <v>0</v>
      </c>
      <c r="AN1226" s="193">
        <f t="shared" si="313"/>
        <v>0</v>
      </c>
      <c r="AO1226" s="270" t="str">
        <f t="shared" si="314"/>
        <v>-</v>
      </c>
      <c r="AP1226" s="265" t="str">
        <f t="shared" si="322"/>
        <v>-</v>
      </c>
      <c r="AQ1226" s="26" t="str">
        <f t="shared" si="321"/>
        <v>OUOUKINSH RIVERSteelhead</v>
      </c>
      <c r="AR1226" s="26">
        <f t="shared" si="315"/>
        <v>0</v>
      </c>
      <c r="AS1226" s="33">
        <f t="shared" si="316"/>
        <v>0</v>
      </c>
      <c r="AX1226" s="47" t="str">
        <f t="shared" si="317"/>
        <v>OUOUKINSH RIVERSteelhead</v>
      </c>
      <c r="AY1226" s="49">
        <f t="shared" si="318"/>
        <v>0</v>
      </c>
      <c r="AZ1226" s="49">
        <f t="shared" si="319"/>
        <v>0</v>
      </c>
      <c r="BA1226" s="31">
        <v>0</v>
      </c>
      <c r="BB1226" s="188">
        <f t="shared" si="323"/>
        <v>0</v>
      </c>
      <c r="BC1226" s="188" t="str">
        <f t="shared" ref="BC1226:BC1241" si="327">IF(ISNUMBER(M1226),M$8,IF(ISNUMBER(L1226),L$8,IF(ISNUMBER(K1226),K$8,IF(ISNUMBER(J1226),J$8,IF(ISNUMBER(I1226),I$8,IF(ISNUMBER(H1226),H$8, IF(ISNUMBER(G1226),G$8," ")))))))</f>
        <v xml:space="preserve"> </v>
      </c>
      <c r="BD1226" s="188" t="str">
        <f t="shared" ref="BD1226:BD1241" si="328">IF(ISNUMBER(S1226),S$8,IF(ISNUMBER(R1226),R$8,IF(ISNUMBER(Q1226),Q$8,IF(ISNUMBER(P1226),P$8,IF(ISNUMBER(O1226),O$8,IF(ISNUMBER(N1226),N$8," "))))))</f>
        <v xml:space="preserve"> </v>
      </c>
      <c r="BE1226" s="188" t="str">
        <f t="shared" ref="BE1226:BE1241" si="329">IF(ISNUMBER(X1226),X$8,IF(ISNUMBER(W1226),W$8,IF(ISNUMBER(V1226),V$8,IF(ISNUMBER(U1226),U$8,IF(ISNUMBER(T1226),T$8," ")))))</f>
        <v xml:space="preserve"> </v>
      </c>
      <c r="BF1226" s="50" t="str">
        <f t="shared" si="320"/>
        <v>OUOUKINSH RIVER_Steelhead</v>
      </c>
      <c r="BG1226" s="50" t="str">
        <f>IFERROR(VLOOKUP(BF1226,'[1]WCVI Esc'!$C$5:$W$514,18,FALSE),"-")</f>
        <v>-</v>
      </c>
      <c r="BH1226" s="50" t="str">
        <f t="shared" si="324"/>
        <v>-</v>
      </c>
      <c r="BI1226" s="50" t="str">
        <f>IFERROR(VLOOKUP(BF1226,'[1]WCVI Esc'!$C$5:$W$514,19,FALSE),"-")</f>
        <v>-</v>
      </c>
      <c r="BJ1226" s="50" t="str">
        <f t="shared" si="325"/>
        <v>-</v>
      </c>
    </row>
    <row r="1227" spans="1:62" hidden="1" x14ac:dyDescent="0.2">
      <c r="A1227" s="28">
        <v>4</v>
      </c>
      <c r="B1227" s="28">
        <v>1</v>
      </c>
      <c r="C1227" s="11">
        <v>27</v>
      </c>
      <c r="D1227" s="13" t="s">
        <v>302</v>
      </c>
      <c r="E1227" s="10" t="s">
        <v>67</v>
      </c>
      <c r="F1227" s="10" t="s">
        <v>207</v>
      </c>
      <c r="G1227" s="10"/>
      <c r="H1227" s="152"/>
      <c r="I1227" s="155"/>
      <c r="J1227" s="106"/>
      <c r="K1227" s="94"/>
      <c r="L1227" s="180"/>
      <c r="M1227" s="173"/>
      <c r="N1227" s="106"/>
      <c r="O1227" s="106"/>
      <c r="P1227" s="63"/>
      <c r="Q1227" s="162"/>
      <c r="R1227" s="164"/>
      <c r="S1227" s="62"/>
      <c r="T1227" s="63"/>
      <c r="U1227" s="62"/>
      <c r="V1227" s="177"/>
      <c r="W1227" s="171"/>
      <c r="X1227" s="62"/>
      <c r="Y1227" s="45"/>
      <c r="Z1227" s="45"/>
      <c r="AA1227" s="100"/>
      <c r="AB1227" s="100"/>
      <c r="AC1227" s="24"/>
      <c r="AD1227" s="24"/>
      <c r="AE1227" s="24"/>
      <c r="AF1227" s="24"/>
      <c r="AG1227" s="18">
        <v>27</v>
      </c>
      <c r="AH1227" s="69" t="s">
        <v>302</v>
      </c>
      <c r="AI1227" s="243" t="s">
        <v>67</v>
      </c>
      <c r="AJ1227" s="243" t="s">
        <v>419</v>
      </c>
      <c r="AK1227" s="246"/>
      <c r="AL1227" s="43" t="str">
        <f t="shared" si="326"/>
        <v>-</v>
      </c>
      <c r="AM1227" s="43">
        <f t="shared" si="313"/>
        <v>0</v>
      </c>
      <c r="AN1227" s="193">
        <f t="shared" si="313"/>
        <v>0</v>
      </c>
      <c r="AO1227" s="270" t="str">
        <f t="shared" si="314"/>
        <v>-</v>
      </c>
      <c r="AP1227" s="265" t="str">
        <f t="shared" si="322"/>
        <v>-</v>
      </c>
      <c r="AQ1227" s="26" t="str">
        <f t="shared" si="321"/>
        <v>BENSON RIVERSockeye</v>
      </c>
      <c r="AR1227" s="26">
        <f t="shared" si="315"/>
        <v>0</v>
      </c>
      <c r="AS1227" s="33">
        <f t="shared" si="316"/>
        <v>0</v>
      </c>
      <c r="AX1227" s="47" t="str">
        <f t="shared" si="317"/>
        <v>BENSON RIVERSockeye</v>
      </c>
      <c r="AY1227" s="49">
        <f t="shared" si="318"/>
        <v>0</v>
      </c>
      <c r="AZ1227" s="49">
        <f t="shared" si="319"/>
        <v>0</v>
      </c>
      <c r="BA1227" s="31">
        <v>0</v>
      </c>
      <c r="BB1227" s="188">
        <f t="shared" si="323"/>
        <v>0</v>
      </c>
      <c r="BC1227" s="188" t="str">
        <f t="shared" si="327"/>
        <v xml:space="preserve"> </v>
      </c>
      <c r="BD1227" s="188" t="str">
        <f t="shared" si="328"/>
        <v xml:space="preserve"> </v>
      </c>
      <c r="BE1227" s="188" t="str">
        <f t="shared" si="329"/>
        <v xml:space="preserve"> </v>
      </c>
      <c r="BF1227" s="50" t="str">
        <f t="shared" si="320"/>
        <v>BENSON RIVER_Sockeye</v>
      </c>
      <c r="BG1227" s="50" t="str">
        <f>IFERROR(VLOOKUP(BF1227,'[1]WCVI Esc'!$C$5:$W$514,18,FALSE),"-")</f>
        <v>-</v>
      </c>
      <c r="BH1227" s="50" t="str">
        <f t="shared" si="324"/>
        <v>-</v>
      </c>
      <c r="BI1227" s="50" t="str">
        <f>IFERROR(VLOOKUP(BF1227,'[1]WCVI Esc'!$C$5:$W$514,19,FALSE),"-")</f>
        <v>-</v>
      </c>
      <c r="BJ1227" s="50" t="str">
        <f t="shared" si="325"/>
        <v>-</v>
      </c>
    </row>
    <row r="1228" spans="1:62" hidden="1" x14ac:dyDescent="0.2">
      <c r="A1228" s="28">
        <v>4</v>
      </c>
      <c r="B1228" s="28">
        <v>2</v>
      </c>
      <c r="C1228" s="11">
        <v>27</v>
      </c>
      <c r="D1228" s="13" t="s">
        <v>302</v>
      </c>
      <c r="E1228" s="10" t="s">
        <v>67</v>
      </c>
      <c r="F1228" s="10" t="s">
        <v>219</v>
      </c>
      <c r="G1228" s="10"/>
      <c r="H1228" s="152"/>
      <c r="I1228" s="155"/>
      <c r="J1228" s="106"/>
      <c r="K1228" s="94"/>
      <c r="L1228" s="180"/>
      <c r="M1228" s="173"/>
      <c r="N1228" s="106"/>
      <c r="O1228" s="106"/>
      <c r="P1228" s="63"/>
      <c r="Q1228" s="162"/>
      <c r="R1228" s="164"/>
      <c r="S1228" s="62"/>
      <c r="T1228" s="63"/>
      <c r="U1228" s="62"/>
      <c r="V1228" s="177"/>
      <c r="W1228" s="171"/>
      <c r="X1228" s="62"/>
      <c r="Y1228" s="45"/>
      <c r="Z1228" s="45"/>
      <c r="AA1228" s="100" t="e">
        <f>Y1228/AP1228</f>
        <v>#VALUE!</v>
      </c>
      <c r="AB1228" s="100" t="e">
        <f>AS1228/AP1228</f>
        <v>#VALUE!</v>
      </c>
      <c r="AC1228" s="24"/>
      <c r="AD1228" s="24"/>
      <c r="AE1228" s="24"/>
      <c r="AF1228" s="24"/>
      <c r="AG1228" s="18">
        <v>27</v>
      </c>
      <c r="AH1228" s="69" t="s">
        <v>302</v>
      </c>
      <c r="AI1228" s="243" t="s">
        <v>67</v>
      </c>
      <c r="AJ1228" s="243" t="s">
        <v>419</v>
      </c>
      <c r="AK1228" s="246"/>
      <c r="AL1228" s="43" t="str">
        <f t="shared" si="326"/>
        <v>-</v>
      </c>
      <c r="AM1228" s="43">
        <f t="shared" si="313"/>
        <v>0</v>
      </c>
      <c r="AN1228" s="193">
        <f t="shared" si="313"/>
        <v>0</v>
      </c>
      <c r="AO1228" s="270" t="str">
        <f t="shared" si="314"/>
        <v>-</v>
      </c>
      <c r="AP1228" s="265" t="str">
        <f t="shared" si="322"/>
        <v>-</v>
      </c>
      <c r="AQ1228" s="26" t="str">
        <f t="shared" si="321"/>
        <v>BENSON RIVERCoho</v>
      </c>
      <c r="AR1228" s="26">
        <f t="shared" si="315"/>
        <v>0</v>
      </c>
      <c r="AS1228" s="33">
        <f t="shared" si="316"/>
        <v>0</v>
      </c>
      <c r="AU1228" s="34"/>
      <c r="AX1228" s="47" t="str">
        <f t="shared" si="317"/>
        <v>BENSON RIVERCoho</v>
      </c>
      <c r="AY1228" s="49">
        <f t="shared" si="318"/>
        <v>0</v>
      </c>
      <c r="AZ1228" s="49">
        <f t="shared" si="319"/>
        <v>0</v>
      </c>
      <c r="BA1228" s="31">
        <v>2011</v>
      </c>
      <c r="BB1228" s="188">
        <f t="shared" si="323"/>
        <v>0</v>
      </c>
      <c r="BC1228" s="188" t="str">
        <f t="shared" si="327"/>
        <v xml:space="preserve"> </v>
      </c>
      <c r="BD1228" s="188" t="str">
        <f t="shared" si="328"/>
        <v xml:space="preserve"> </v>
      </c>
      <c r="BE1228" s="188" t="str">
        <f t="shared" si="329"/>
        <v xml:space="preserve"> </v>
      </c>
      <c r="BF1228" s="50" t="str">
        <f t="shared" si="320"/>
        <v>BENSON RIVER_Coho</v>
      </c>
      <c r="BG1228" s="50" t="str">
        <f>IFERROR(VLOOKUP(BF1228,'[1]WCVI Esc'!$C$5:$W$514,18,FALSE),"-")</f>
        <v>-</v>
      </c>
      <c r="BH1228" s="50" t="str">
        <f t="shared" si="324"/>
        <v>-</v>
      </c>
      <c r="BI1228" s="50" t="str">
        <f>IFERROR(VLOOKUP(BF1228,'[1]WCVI Esc'!$C$5:$W$514,19,FALSE),"-")</f>
        <v>-</v>
      </c>
      <c r="BJ1228" s="50" t="str">
        <f t="shared" si="325"/>
        <v>-</v>
      </c>
    </row>
    <row r="1229" spans="1:62" hidden="1" x14ac:dyDescent="0.2">
      <c r="A1229" s="28">
        <v>4</v>
      </c>
      <c r="B1229" s="28">
        <v>3</v>
      </c>
      <c r="C1229" s="11">
        <v>27</v>
      </c>
      <c r="D1229" s="13" t="s">
        <v>302</v>
      </c>
      <c r="E1229" s="10" t="s">
        <v>67</v>
      </c>
      <c r="F1229" s="10" t="s">
        <v>208</v>
      </c>
      <c r="G1229" s="10"/>
      <c r="H1229" s="152"/>
      <c r="I1229" s="155"/>
      <c r="J1229" s="106"/>
      <c r="K1229" s="94"/>
      <c r="L1229" s="180"/>
      <c r="M1229" s="173"/>
      <c r="N1229" s="106"/>
      <c r="O1229" s="106"/>
      <c r="P1229" s="63"/>
      <c r="Q1229" s="162"/>
      <c r="R1229" s="164"/>
      <c r="S1229" s="62"/>
      <c r="T1229" s="63"/>
      <c r="U1229" s="62"/>
      <c r="V1229" s="177"/>
      <c r="W1229" s="171"/>
      <c r="X1229" s="62"/>
      <c r="Y1229" s="45"/>
      <c r="Z1229" s="45"/>
      <c r="AA1229" s="100"/>
      <c r="AB1229" s="100"/>
      <c r="AC1229" s="24"/>
      <c r="AD1229" s="24"/>
      <c r="AE1229" s="24"/>
      <c r="AF1229" s="24"/>
      <c r="AG1229" s="18">
        <v>27</v>
      </c>
      <c r="AH1229" s="69" t="s">
        <v>302</v>
      </c>
      <c r="AI1229" s="243" t="s">
        <v>67</v>
      </c>
      <c r="AJ1229" s="243" t="s">
        <v>419</v>
      </c>
      <c r="AK1229" s="246"/>
      <c r="AL1229" s="43" t="str">
        <f t="shared" si="326"/>
        <v>-</v>
      </c>
      <c r="AM1229" s="43">
        <f t="shared" si="313"/>
        <v>0</v>
      </c>
      <c r="AN1229" s="193">
        <f t="shared" si="313"/>
        <v>0</v>
      </c>
      <c r="AO1229" s="270" t="str">
        <f t="shared" si="314"/>
        <v>-</v>
      </c>
      <c r="AP1229" s="265" t="str">
        <f t="shared" si="322"/>
        <v>-</v>
      </c>
      <c r="AQ1229" s="26" t="str">
        <f t="shared" si="321"/>
        <v>BENSON RIVERPink</v>
      </c>
      <c r="AR1229" s="26">
        <f t="shared" si="315"/>
        <v>0</v>
      </c>
      <c r="AS1229" s="33">
        <f t="shared" si="316"/>
        <v>0</v>
      </c>
      <c r="AU1229" s="34"/>
      <c r="AX1229" s="47" t="str">
        <f t="shared" si="317"/>
        <v>BENSON RIVERPink</v>
      </c>
      <c r="AY1229" s="49">
        <f t="shared" si="318"/>
        <v>0</v>
      </c>
      <c r="AZ1229" s="49">
        <f t="shared" si="319"/>
        <v>0</v>
      </c>
      <c r="BA1229" s="31">
        <v>0</v>
      </c>
      <c r="BB1229" s="188">
        <f t="shared" si="323"/>
        <v>0</v>
      </c>
      <c r="BC1229" s="188" t="str">
        <f t="shared" si="327"/>
        <v xml:space="preserve"> </v>
      </c>
      <c r="BD1229" s="188" t="str">
        <f t="shared" si="328"/>
        <v xml:space="preserve"> </v>
      </c>
      <c r="BE1229" s="188" t="str">
        <f t="shared" si="329"/>
        <v xml:space="preserve"> </v>
      </c>
      <c r="BF1229" s="50" t="str">
        <f t="shared" si="320"/>
        <v>BENSON RIVER_Pink</v>
      </c>
      <c r="BG1229" s="50" t="str">
        <f>IFERROR(VLOOKUP(BF1229,'[1]WCVI Esc'!$C$5:$W$514,18,FALSE),"-")</f>
        <v>-</v>
      </c>
      <c r="BH1229" s="50" t="str">
        <f t="shared" si="324"/>
        <v>-</v>
      </c>
      <c r="BI1229" s="50" t="str">
        <f>IFERROR(VLOOKUP(BF1229,'[1]WCVI Esc'!$C$5:$W$514,19,FALSE),"-")</f>
        <v>-</v>
      </c>
      <c r="BJ1229" s="50" t="str">
        <f t="shared" si="325"/>
        <v>-</v>
      </c>
    </row>
    <row r="1230" spans="1:62" hidden="1" x14ac:dyDescent="0.2">
      <c r="A1230" s="28">
        <v>4</v>
      </c>
      <c r="B1230" s="28">
        <v>4</v>
      </c>
      <c r="C1230" s="11">
        <v>27</v>
      </c>
      <c r="D1230" s="13" t="s">
        <v>302</v>
      </c>
      <c r="E1230" s="10" t="s">
        <v>67</v>
      </c>
      <c r="F1230" s="10" t="s">
        <v>209</v>
      </c>
      <c r="G1230" s="10"/>
      <c r="H1230" s="152"/>
      <c r="I1230" s="155"/>
      <c r="J1230" s="106"/>
      <c r="K1230" s="94"/>
      <c r="L1230" s="180"/>
      <c r="M1230" s="173"/>
      <c r="N1230" s="106"/>
      <c r="O1230" s="106"/>
      <c r="P1230" s="63"/>
      <c r="Q1230" s="162"/>
      <c r="R1230" s="164"/>
      <c r="S1230" s="62"/>
      <c r="T1230" s="63"/>
      <c r="U1230" s="62"/>
      <c r="V1230" s="177"/>
      <c r="W1230" s="171"/>
      <c r="X1230" s="62"/>
      <c r="Y1230" s="45"/>
      <c r="Z1230" s="45"/>
      <c r="AA1230" s="100"/>
      <c r="AB1230" s="100"/>
      <c r="AC1230" s="24"/>
      <c r="AD1230" s="24"/>
      <c r="AE1230" s="24"/>
      <c r="AF1230" s="24"/>
      <c r="AG1230" s="18">
        <v>27</v>
      </c>
      <c r="AH1230" s="69" t="s">
        <v>302</v>
      </c>
      <c r="AI1230" s="243" t="s">
        <v>67</v>
      </c>
      <c r="AJ1230" s="243" t="s">
        <v>419</v>
      </c>
      <c r="AK1230" s="246"/>
      <c r="AL1230" s="43" t="str">
        <f t="shared" si="326"/>
        <v>-</v>
      </c>
      <c r="AM1230" s="43">
        <f t="shared" si="313"/>
        <v>0</v>
      </c>
      <c r="AN1230" s="193">
        <f t="shared" si="313"/>
        <v>0</v>
      </c>
      <c r="AO1230" s="270" t="str">
        <f t="shared" si="314"/>
        <v>-</v>
      </c>
      <c r="AP1230" s="265" t="str">
        <f t="shared" si="322"/>
        <v>-</v>
      </c>
      <c r="AQ1230" s="26" t="str">
        <f t="shared" si="321"/>
        <v>BENSON RIVERChum</v>
      </c>
      <c r="AR1230" s="26">
        <f t="shared" si="315"/>
        <v>0</v>
      </c>
      <c r="AS1230" s="33">
        <f t="shared" si="316"/>
        <v>0</v>
      </c>
      <c r="AU1230" s="34"/>
      <c r="AX1230" s="47" t="str">
        <f t="shared" si="317"/>
        <v>BENSON RIVERChum</v>
      </c>
      <c r="AY1230" s="49">
        <f t="shared" si="318"/>
        <v>0</v>
      </c>
      <c r="AZ1230" s="49">
        <f t="shared" si="319"/>
        <v>0</v>
      </c>
      <c r="BA1230" s="31">
        <v>0</v>
      </c>
      <c r="BB1230" s="188">
        <f t="shared" si="323"/>
        <v>0</v>
      </c>
      <c r="BC1230" s="188" t="str">
        <f t="shared" si="327"/>
        <v xml:space="preserve"> </v>
      </c>
      <c r="BD1230" s="188" t="str">
        <f t="shared" si="328"/>
        <v xml:space="preserve"> </v>
      </c>
      <c r="BE1230" s="188" t="str">
        <f t="shared" si="329"/>
        <v xml:space="preserve"> </v>
      </c>
      <c r="BF1230" s="50" t="str">
        <f t="shared" si="320"/>
        <v>BENSON RIVER_Chum</v>
      </c>
      <c r="BG1230" s="50" t="str">
        <f>IFERROR(VLOOKUP(BF1230,'[1]WCVI Esc'!$C$5:$W$514,18,FALSE),"-")</f>
        <v>-</v>
      </c>
      <c r="BH1230" s="50" t="str">
        <f t="shared" si="324"/>
        <v>-</v>
      </c>
      <c r="BI1230" s="50" t="str">
        <f>IFERROR(VLOOKUP(BF1230,'[1]WCVI Esc'!$C$5:$W$514,19,FALSE),"-")</f>
        <v>-</v>
      </c>
      <c r="BJ1230" s="50" t="str">
        <f t="shared" si="325"/>
        <v>-</v>
      </c>
    </row>
    <row r="1231" spans="1:62" hidden="1" x14ac:dyDescent="0.2">
      <c r="A1231" s="28">
        <v>4</v>
      </c>
      <c r="B1231" s="28">
        <v>5</v>
      </c>
      <c r="C1231" s="11">
        <v>27</v>
      </c>
      <c r="D1231" s="13" t="s">
        <v>302</v>
      </c>
      <c r="E1231" s="10" t="s">
        <v>67</v>
      </c>
      <c r="F1231" s="10" t="s">
        <v>210</v>
      </c>
      <c r="G1231" s="10"/>
      <c r="H1231" s="152"/>
      <c r="I1231" s="155"/>
      <c r="J1231" s="106"/>
      <c r="K1231" s="94"/>
      <c r="L1231" s="180"/>
      <c r="M1231" s="173"/>
      <c r="N1231" s="106"/>
      <c r="O1231" s="106"/>
      <c r="P1231" s="63"/>
      <c r="Q1231" s="162"/>
      <c r="R1231" s="164"/>
      <c r="S1231" s="62"/>
      <c r="T1231" s="63"/>
      <c r="U1231" s="62"/>
      <c r="V1231" s="177"/>
      <c r="W1231" s="171"/>
      <c r="X1231" s="62"/>
      <c r="Y1231" s="45"/>
      <c r="Z1231" s="45"/>
      <c r="AA1231" s="100"/>
      <c r="AB1231" s="100"/>
      <c r="AC1231" s="24"/>
      <c r="AD1231" s="24"/>
      <c r="AE1231" s="24"/>
      <c r="AF1231" s="24"/>
      <c r="AG1231" s="18">
        <v>27</v>
      </c>
      <c r="AH1231" s="69" t="s">
        <v>302</v>
      </c>
      <c r="AI1231" s="243" t="s">
        <v>67</v>
      </c>
      <c r="AJ1231" s="243" t="s">
        <v>419</v>
      </c>
      <c r="AK1231" s="246"/>
      <c r="AL1231" s="43" t="str">
        <f t="shared" si="326"/>
        <v>-</v>
      </c>
      <c r="AM1231" s="43">
        <f t="shared" si="313"/>
        <v>0</v>
      </c>
      <c r="AN1231" s="193">
        <f t="shared" si="313"/>
        <v>0</v>
      </c>
      <c r="AO1231" s="270" t="str">
        <f t="shared" si="314"/>
        <v>-</v>
      </c>
      <c r="AP1231" s="265" t="str">
        <f t="shared" si="322"/>
        <v>-</v>
      </c>
      <c r="AQ1231" s="26" t="str">
        <f t="shared" si="321"/>
        <v>BENSON RIVERChinook</v>
      </c>
      <c r="AR1231" s="26">
        <f t="shared" si="315"/>
        <v>0</v>
      </c>
      <c r="AS1231" s="33">
        <f t="shared" si="316"/>
        <v>0</v>
      </c>
      <c r="AU1231" s="34"/>
      <c r="AX1231" s="47" t="str">
        <f t="shared" si="317"/>
        <v>BENSON RIVERChinook</v>
      </c>
      <c r="AY1231" s="49">
        <f t="shared" si="318"/>
        <v>0</v>
      </c>
      <c r="AZ1231" s="49">
        <f t="shared" si="319"/>
        <v>0</v>
      </c>
      <c r="BA1231" s="31">
        <v>2011</v>
      </c>
      <c r="BB1231" s="188">
        <f t="shared" si="323"/>
        <v>0</v>
      </c>
      <c r="BC1231" s="188" t="str">
        <f t="shared" si="327"/>
        <v xml:space="preserve"> </v>
      </c>
      <c r="BD1231" s="188" t="str">
        <f t="shared" si="328"/>
        <v xml:space="preserve"> </v>
      </c>
      <c r="BE1231" s="188" t="str">
        <f t="shared" si="329"/>
        <v xml:space="preserve"> </v>
      </c>
      <c r="BF1231" s="50" t="str">
        <f t="shared" si="320"/>
        <v>BENSON RIVER_Chinook</v>
      </c>
      <c r="BG1231" s="50" t="str">
        <f>IFERROR(VLOOKUP(BF1231,'[1]WCVI Esc'!$C$5:$W$514,18,FALSE),"-")</f>
        <v>-</v>
      </c>
      <c r="BH1231" s="50" t="str">
        <f t="shared" si="324"/>
        <v>-</v>
      </c>
      <c r="BI1231" s="50" t="str">
        <f>IFERROR(VLOOKUP(BF1231,'[1]WCVI Esc'!$C$5:$W$514,19,FALSE),"-")</f>
        <v>-</v>
      </c>
      <c r="BJ1231" s="50" t="str">
        <f t="shared" si="325"/>
        <v>-</v>
      </c>
    </row>
    <row r="1232" spans="1:62" hidden="1" x14ac:dyDescent="0.2">
      <c r="A1232" s="28">
        <v>4</v>
      </c>
      <c r="B1232" s="28">
        <v>6</v>
      </c>
      <c r="C1232" s="11">
        <v>27</v>
      </c>
      <c r="D1232" s="13" t="s">
        <v>302</v>
      </c>
      <c r="E1232" s="10" t="s">
        <v>67</v>
      </c>
      <c r="F1232" s="10" t="s">
        <v>211</v>
      </c>
      <c r="G1232" s="10"/>
      <c r="H1232" s="152"/>
      <c r="I1232" s="155"/>
      <c r="J1232" s="106"/>
      <c r="K1232" s="94"/>
      <c r="L1232" s="180"/>
      <c r="M1232" s="173"/>
      <c r="N1232" s="106"/>
      <c r="O1232" s="106"/>
      <c r="P1232" s="63"/>
      <c r="Q1232" s="162"/>
      <c r="R1232" s="164"/>
      <c r="S1232" s="62"/>
      <c r="T1232" s="63"/>
      <c r="U1232" s="62"/>
      <c r="V1232" s="177"/>
      <c r="W1232" s="171"/>
      <c r="X1232" s="62"/>
      <c r="Y1232" s="45"/>
      <c r="Z1232" s="45"/>
      <c r="AA1232" s="100"/>
      <c r="AB1232" s="100"/>
      <c r="AC1232" s="24"/>
      <c r="AD1232" s="24"/>
      <c r="AE1232" s="24"/>
      <c r="AF1232" s="24"/>
      <c r="AG1232" s="18">
        <v>27</v>
      </c>
      <c r="AH1232" s="69" t="s">
        <v>302</v>
      </c>
      <c r="AI1232" s="243" t="s">
        <v>67</v>
      </c>
      <c r="AJ1232" s="243" t="s">
        <v>419</v>
      </c>
      <c r="AK1232" s="246"/>
      <c r="AL1232" s="43" t="str">
        <f t="shared" si="326"/>
        <v>-</v>
      </c>
      <c r="AM1232" s="43">
        <f t="shared" si="313"/>
        <v>0</v>
      </c>
      <c r="AN1232" s="193">
        <f t="shared" si="313"/>
        <v>0</v>
      </c>
      <c r="AO1232" s="270" t="str">
        <f t="shared" si="314"/>
        <v>-</v>
      </c>
      <c r="AP1232" s="265" t="str">
        <f t="shared" si="322"/>
        <v>-</v>
      </c>
      <c r="AQ1232" s="26" t="str">
        <f t="shared" si="321"/>
        <v>BENSON RIVERSteelhead</v>
      </c>
      <c r="AR1232" s="26">
        <f t="shared" si="315"/>
        <v>0</v>
      </c>
      <c r="AS1232" s="33">
        <f t="shared" si="316"/>
        <v>0</v>
      </c>
      <c r="AU1232" s="34"/>
      <c r="AX1232" s="47" t="str">
        <f t="shared" si="317"/>
        <v>BENSON RIVERSteelhead</v>
      </c>
      <c r="AY1232" s="49">
        <f t="shared" si="318"/>
        <v>0</v>
      </c>
      <c r="AZ1232" s="49">
        <f t="shared" si="319"/>
        <v>0</v>
      </c>
      <c r="BA1232" s="31">
        <v>0</v>
      </c>
      <c r="BB1232" s="188">
        <f t="shared" si="323"/>
        <v>0</v>
      </c>
      <c r="BC1232" s="188" t="str">
        <f t="shared" si="327"/>
        <v xml:space="preserve"> </v>
      </c>
      <c r="BD1232" s="188" t="str">
        <f t="shared" si="328"/>
        <v xml:space="preserve"> </v>
      </c>
      <c r="BE1232" s="188" t="str">
        <f t="shared" si="329"/>
        <v xml:space="preserve"> </v>
      </c>
      <c r="BF1232" s="50" t="str">
        <f t="shared" si="320"/>
        <v>BENSON RIVER_Steelhead</v>
      </c>
      <c r="BG1232" s="50" t="str">
        <f>IFERROR(VLOOKUP(BF1232,'[1]WCVI Esc'!$C$5:$W$514,18,FALSE),"-")</f>
        <v>-</v>
      </c>
      <c r="BH1232" s="50" t="str">
        <f t="shared" si="324"/>
        <v>-</v>
      </c>
      <c r="BI1232" s="50" t="str">
        <f>IFERROR(VLOOKUP(BF1232,'[1]WCVI Esc'!$C$5:$W$514,19,FALSE),"-")</f>
        <v>-</v>
      </c>
      <c r="BJ1232" s="50" t="str">
        <f t="shared" si="325"/>
        <v>-</v>
      </c>
    </row>
    <row r="1233" spans="1:62" hidden="1" x14ac:dyDescent="0.2">
      <c r="A1233" s="28">
        <v>4</v>
      </c>
      <c r="B1233" s="28">
        <v>1</v>
      </c>
      <c r="C1233" s="11">
        <v>27</v>
      </c>
      <c r="D1233" s="13" t="s">
        <v>302</v>
      </c>
      <c r="E1233" s="10" t="s">
        <v>69</v>
      </c>
      <c r="F1233" s="10" t="s">
        <v>207</v>
      </c>
      <c r="G1233" s="10"/>
      <c r="H1233" s="152"/>
      <c r="I1233" s="155"/>
      <c r="J1233" s="106"/>
      <c r="K1233" s="94"/>
      <c r="L1233" s="180"/>
      <c r="M1233" s="173"/>
      <c r="N1233" s="106"/>
      <c r="O1233" s="106"/>
      <c r="P1233" s="63"/>
      <c r="Q1233" s="162"/>
      <c r="R1233" s="164"/>
      <c r="S1233" s="62"/>
      <c r="T1233" s="63"/>
      <c r="U1233" s="62"/>
      <c r="V1233" s="177"/>
      <c r="W1233" s="171"/>
      <c r="X1233" s="62"/>
      <c r="Y1233" s="45"/>
      <c r="Z1233" s="45"/>
      <c r="AA1233" s="100"/>
      <c r="AB1233" s="100"/>
      <c r="AC1233" s="24"/>
      <c r="AD1233" s="24"/>
      <c r="AE1233" s="24"/>
      <c r="AF1233" s="24"/>
      <c r="AG1233" s="18">
        <v>27</v>
      </c>
      <c r="AH1233" s="69" t="s">
        <v>302</v>
      </c>
      <c r="AI1233" s="243" t="s">
        <v>69</v>
      </c>
      <c r="AJ1233" s="243" t="s">
        <v>419</v>
      </c>
      <c r="AK1233" s="256"/>
      <c r="AL1233" s="43" t="str">
        <f t="shared" si="326"/>
        <v>-</v>
      </c>
      <c r="AM1233" s="43">
        <f t="shared" si="313"/>
        <v>0</v>
      </c>
      <c r="AN1233" s="193">
        <f t="shared" si="313"/>
        <v>0</v>
      </c>
      <c r="AO1233" s="264" t="str">
        <f t="shared" si="314"/>
        <v>-</v>
      </c>
      <c r="AP1233" s="265" t="str">
        <f t="shared" si="322"/>
        <v>-</v>
      </c>
      <c r="AQ1233" s="26" t="str">
        <f t="shared" si="321"/>
        <v>LINK RIVERSockeye</v>
      </c>
      <c r="AR1233" s="26">
        <f t="shared" si="315"/>
        <v>0</v>
      </c>
      <c r="AS1233" s="33">
        <f t="shared" si="316"/>
        <v>0</v>
      </c>
      <c r="AX1233" s="47" t="str">
        <f t="shared" si="317"/>
        <v>LINK RIVERSockeye</v>
      </c>
      <c r="AY1233" s="49">
        <f t="shared" si="318"/>
        <v>0</v>
      </c>
      <c r="AZ1233" s="49">
        <f t="shared" si="319"/>
        <v>0</v>
      </c>
      <c r="BA1233" s="31">
        <v>0</v>
      </c>
      <c r="BB1233" s="188">
        <f t="shared" si="323"/>
        <v>0</v>
      </c>
      <c r="BC1233" s="188" t="str">
        <f t="shared" si="327"/>
        <v xml:space="preserve"> </v>
      </c>
      <c r="BD1233" s="188" t="str">
        <f t="shared" si="328"/>
        <v xml:space="preserve"> </v>
      </c>
      <c r="BE1233" s="188" t="str">
        <f t="shared" si="329"/>
        <v xml:space="preserve"> </v>
      </c>
      <c r="BF1233" s="50" t="str">
        <f t="shared" si="320"/>
        <v>LINK RIVER_Sockeye</v>
      </c>
      <c r="BG1233" s="50" t="str">
        <f>IFERROR(VLOOKUP(BF1233,'[1]WCVI Esc'!$C$5:$W$514,18,FALSE),"-")</f>
        <v>-</v>
      </c>
      <c r="BH1233" s="50" t="str">
        <f t="shared" si="324"/>
        <v>-</v>
      </c>
      <c r="BI1233" s="50" t="str">
        <f>IFERROR(VLOOKUP(BF1233,'[1]WCVI Esc'!$C$5:$W$514,19,FALSE),"-")</f>
        <v>-</v>
      </c>
      <c r="BJ1233" s="50" t="str">
        <f t="shared" si="325"/>
        <v>-</v>
      </c>
    </row>
    <row r="1234" spans="1:62" hidden="1" x14ac:dyDescent="0.2">
      <c r="A1234" s="28">
        <v>4</v>
      </c>
      <c r="B1234" s="28">
        <v>2</v>
      </c>
      <c r="C1234" s="11">
        <v>27</v>
      </c>
      <c r="D1234" s="13" t="s">
        <v>302</v>
      </c>
      <c r="E1234" s="10" t="s">
        <v>69</v>
      </c>
      <c r="F1234" s="10" t="s">
        <v>219</v>
      </c>
      <c r="G1234" s="10"/>
      <c r="H1234" s="152"/>
      <c r="I1234" s="155"/>
      <c r="J1234" s="106"/>
      <c r="K1234" s="94"/>
      <c r="L1234" s="180"/>
      <c r="M1234" s="173"/>
      <c r="N1234" s="106"/>
      <c r="O1234" s="106"/>
      <c r="P1234" s="63"/>
      <c r="Q1234" s="162"/>
      <c r="R1234" s="164"/>
      <c r="S1234" s="62"/>
      <c r="T1234" s="63"/>
      <c r="U1234" s="62"/>
      <c r="V1234" s="177"/>
      <c r="W1234" s="171"/>
      <c r="X1234" s="62"/>
      <c r="Y1234" s="45"/>
      <c r="Z1234" s="45"/>
      <c r="AA1234" s="100"/>
      <c r="AB1234" s="100"/>
      <c r="AC1234" s="24"/>
      <c r="AD1234" s="24"/>
      <c r="AE1234" s="24"/>
      <c r="AF1234" s="24"/>
      <c r="AG1234" s="18">
        <v>27</v>
      </c>
      <c r="AH1234" s="69" t="s">
        <v>302</v>
      </c>
      <c r="AI1234" s="243" t="s">
        <v>69</v>
      </c>
      <c r="AJ1234" s="243" t="s">
        <v>419</v>
      </c>
      <c r="AK1234" s="256"/>
      <c r="AL1234" s="43" t="str">
        <f t="shared" si="326"/>
        <v>-</v>
      </c>
      <c r="AM1234" s="43">
        <f t="shared" si="313"/>
        <v>0</v>
      </c>
      <c r="AN1234" s="193">
        <f t="shared" si="313"/>
        <v>0</v>
      </c>
      <c r="AO1234" s="264" t="str">
        <f t="shared" si="314"/>
        <v>-</v>
      </c>
      <c r="AP1234" s="265" t="str">
        <f t="shared" si="322"/>
        <v>-</v>
      </c>
      <c r="AQ1234" s="26" t="str">
        <f t="shared" si="321"/>
        <v>LINK RIVERCoho</v>
      </c>
      <c r="AR1234" s="26">
        <f t="shared" si="315"/>
        <v>0</v>
      </c>
      <c r="AS1234" s="33">
        <f t="shared" si="316"/>
        <v>0</v>
      </c>
      <c r="AX1234" s="47" t="str">
        <f t="shared" si="317"/>
        <v>LINK RIVERCoho</v>
      </c>
      <c r="AY1234" s="49">
        <f t="shared" si="318"/>
        <v>0</v>
      </c>
      <c r="AZ1234" s="49">
        <f t="shared" si="319"/>
        <v>0</v>
      </c>
      <c r="BA1234" s="31">
        <v>2005</v>
      </c>
      <c r="BB1234" s="188">
        <f t="shared" si="323"/>
        <v>0</v>
      </c>
      <c r="BC1234" s="188" t="str">
        <f t="shared" si="327"/>
        <v xml:space="preserve"> </v>
      </c>
      <c r="BD1234" s="188" t="str">
        <f t="shared" si="328"/>
        <v xml:space="preserve"> </v>
      </c>
      <c r="BE1234" s="188" t="str">
        <f t="shared" si="329"/>
        <v xml:space="preserve"> </v>
      </c>
      <c r="BF1234" s="50" t="str">
        <f t="shared" si="320"/>
        <v>LINK RIVER_Coho</v>
      </c>
      <c r="BG1234" s="50" t="str">
        <f>IFERROR(VLOOKUP(BF1234,'[1]WCVI Esc'!$C$5:$W$514,18,FALSE),"-")</f>
        <v>-</v>
      </c>
      <c r="BH1234" s="50" t="str">
        <f t="shared" si="324"/>
        <v>-</v>
      </c>
      <c r="BI1234" s="50" t="str">
        <f>IFERROR(VLOOKUP(BF1234,'[1]WCVI Esc'!$C$5:$W$514,19,FALSE),"-")</f>
        <v>-</v>
      </c>
      <c r="BJ1234" s="50" t="str">
        <f t="shared" si="325"/>
        <v>-</v>
      </c>
    </row>
    <row r="1235" spans="1:62" hidden="1" x14ac:dyDescent="0.2">
      <c r="A1235" s="28">
        <v>4</v>
      </c>
      <c r="B1235" s="28">
        <v>3</v>
      </c>
      <c r="C1235" s="11">
        <v>27</v>
      </c>
      <c r="D1235" s="13" t="s">
        <v>302</v>
      </c>
      <c r="E1235" s="10" t="s">
        <v>69</v>
      </c>
      <c r="F1235" s="10" t="s">
        <v>208</v>
      </c>
      <c r="G1235" s="10"/>
      <c r="H1235" s="152"/>
      <c r="I1235" s="155"/>
      <c r="J1235" s="106"/>
      <c r="K1235" s="94"/>
      <c r="L1235" s="180"/>
      <c r="M1235" s="173"/>
      <c r="N1235" s="106"/>
      <c r="O1235" s="106"/>
      <c r="P1235" s="63"/>
      <c r="Q1235" s="162"/>
      <c r="R1235" s="164"/>
      <c r="S1235" s="62"/>
      <c r="T1235" s="63"/>
      <c r="U1235" s="62"/>
      <c r="V1235" s="177"/>
      <c r="W1235" s="171"/>
      <c r="X1235" s="62"/>
      <c r="Y1235" s="45"/>
      <c r="Z1235" s="45"/>
      <c r="AA1235" s="100"/>
      <c r="AB1235" s="100"/>
      <c r="AC1235" s="24"/>
      <c r="AD1235" s="24"/>
      <c r="AE1235" s="24"/>
      <c r="AF1235" s="24"/>
      <c r="AG1235" s="18">
        <v>27</v>
      </c>
      <c r="AH1235" s="69" t="s">
        <v>302</v>
      </c>
      <c r="AI1235" s="243" t="s">
        <v>69</v>
      </c>
      <c r="AJ1235" s="243" t="s">
        <v>419</v>
      </c>
      <c r="AK1235" s="256"/>
      <c r="AL1235" s="43" t="str">
        <f t="shared" si="326"/>
        <v>-</v>
      </c>
      <c r="AM1235" s="43">
        <f t="shared" si="313"/>
        <v>0</v>
      </c>
      <c r="AN1235" s="193">
        <f t="shared" si="313"/>
        <v>0</v>
      </c>
      <c r="AO1235" s="264" t="str">
        <f t="shared" si="314"/>
        <v>-</v>
      </c>
      <c r="AP1235" s="265" t="str">
        <f t="shared" si="322"/>
        <v>-</v>
      </c>
      <c r="AQ1235" s="26" t="str">
        <f t="shared" si="321"/>
        <v>LINK RIVERPink</v>
      </c>
      <c r="AR1235" s="26">
        <f t="shared" si="315"/>
        <v>0</v>
      </c>
      <c r="AS1235" s="33">
        <f t="shared" si="316"/>
        <v>0</v>
      </c>
      <c r="AX1235" s="47" t="str">
        <f t="shared" si="317"/>
        <v>LINK RIVERPink</v>
      </c>
      <c r="AY1235" s="49">
        <f t="shared" si="318"/>
        <v>0</v>
      </c>
      <c r="AZ1235" s="49">
        <f t="shared" si="319"/>
        <v>0</v>
      </c>
      <c r="BA1235" s="31">
        <v>0</v>
      </c>
      <c r="BB1235" s="188">
        <f t="shared" si="323"/>
        <v>0</v>
      </c>
      <c r="BC1235" s="188" t="str">
        <f t="shared" si="327"/>
        <v xml:space="preserve"> </v>
      </c>
      <c r="BD1235" s="188" t="str">
        <f t="shared" si="328"/>
        <v xml:space="preserve"> </v>
      </c>
      <c r="BE1235" s="188" t="str">
        <f t="shared" si="329"/>
        <v xml:space="preserve"> </v>
      </c>
      <c r="BF1235" s="50" t="str">
        <f t="shared" si="320"/>
        <v>LINK RIVER_Pink</v>
      </c>
      <c r="BG1235" s="50" t="str">
        <f>IFERROR(VLOOKUP(BF1235,'[1]WCVI Esc'!$C$5:$W$514,18,FALSE),"-")</f>
        <v>-</v>
      </c>
      <c r="BH1235" s="50" t="str">
        <f t="shared" si="324"/>
        <v>-</v>
      </c>
      <c r="BI1235" s="50" t="str">
        <f>IFERROR(VLOOKUP(BF1235,'[1]WCVI Esc'!$C$5:$W$514,19,FALSE),"-")</f>
        <v>-</v>
      </c>
      <c r="BJ1235" s="50" t="str">
        <f t="shared" si="325"/>
        <v>-</v>
      </c>
    </row>
    <row r="1236" spans="1:62" hidden="1" x14ac:dyDescent="0.2">
      <c r="A1236" s="28">
        <v>4</v>
      </c>
      <c r="B1236" s="28">
        <v>4</v>
      </c>
      <c r="C1236" s="11">
        <v>27</v>
      </c>
      <c r="D1236" s="13" t="s">
        <v>302</v>
      </c>
      <c r="E1236" s="10" t="s">
        <v>69</v>
      </c>
      <c r="F1236" s="10" t="s">
        <v>209</v>
      </c>
      <c r="G1236" s="10"/>
      <c r="H1236" s="152"/>
      <c r="I1236" s="155"/>
      <c r="J1236" s="106"/>
      <c r="K1236" s="94"/>
      <c r="L1236" s="180"/>
      <c r="M1236" s="173"/>
      <c r="N1236" s="106"/>
      <c r="O1236" s="106"/>
      <c r="P1236" s="63"/>
      <c r="Q1236" s="162"/>
      <c r="R1236" s="164"/>
      <c r="S1236" s="62"/>
      <c r="T1236" s="63"/>
      <c r="U1236" s="62"/>
      <c r="V1236" s="177"/>
      <c r="W1236" s="171"/>
      <c r="X1236" s="62"/>
      <c r="Y1236" s="45"/>
      <c r="Z1236" s="45"/>
      <c r="AA1236" s="100"/>
      <c r="AB1236" s="100"/>
      <c r="AC1236" s="24"/>
      <c r="AD1236" s="24"/>
      <c r="AE1236" s="24"/>
      <c r="AF1236" s="24"/>
      <c r="AG1236" s="18">
        <v>27</v>
      </c>
      <c r="AH1236" s="69" t="s">
        <v>302</v>
      </c>
      <c r="AI1236" s="243" t="s">
        <v>69</v>
      </c>
      <c r="AJ1236" s="243" t="s">
        <v>419</v>
      </c>
      <c r="AK1236" s="256"/>
      <c r="AL1236" s="43" t="str">
        <f t="shared" si="326"/>
        <v>-</v>
      </c>
      <c r="AM1236" s="43">
        <f t="shared" si="313"/>
        <v>0</v>
      </c>
      <c r="AN1236" s="193">
        <f t="shared" si="313"/>
        <v>0</v>
      </c>
      <c r="AO1236" s="264" t="str">
        <f t="shared" si="314"/>
        <v>-</v>
      </c>
      <c r="AP1236" s="265" t="str">
        <f t="shared" si="322"/>
        <v>-</v>
      </c>
      <c r="AQ1236" s="26" t="str">
        <f t="shared" si="321"/>
        <v>LINK RIVERChum</v>
      </c>
      <c r="AR1236" s="26">
        <f t="shared" si="315"/>
        <v>0</v>
      </c>
      <c r="AS1236" s="33">
        <f t="shared" si="316"/>
        <v>0</v>
      </c>
      <c r="AX1236" s="47" t="str">
        <f t="shared" si="317"/>
        <v>LINK RIVERChum</v>
      </c>
      <c r="AY1236" s="49">
        <f t="shared" si="318"/>
        <v>0</v>
      </c>
      <c r="AZ1236" s="49">
        <f t="shared" si="319"/>
        <v>0</v>
      </c>
      <c r="BA1236" s="31">
        <v>0</v>
      </c>
      <c r="BB1236" s="188">
        <f t="shared" si="323"/>
        <v>0</v>
      </c>
      <c r="BC1236" s="188" t="str">
        <f t="shared" si="327"/>
        <v xml:space="preserve"> </v>
      </c>
      <c r="BD1236" s="188" t="str">
        <f t="shared" si="328"/>
        <v xml:space="preserve"> </v>
      </c>
      <c r="BE1236" s="188" t="str">
        <f t="shared" si="329"/>
        <v xml:space="preserve"> </v>
      </c>
      <c r="BF1236" s="50" t="str">
        <f t="shared" si="320"/>
        <v>LINK RIVER_Chum</v>
      </c>
      <c r="BG1236" s="50" t="str">
        <f>IFERROR(VLOOKUP(BF1236,'[1]WCVI Esc'!$C$5:$W$514,18,FALSE),"-")</f>
        <v>-</v>
      </c>
      <c r="BH1236" s="50" t="str">
        <f t="shared" si="324"/>
        <v>-</v>
      </c>
      <c r="BI1236" s="50" t="str">
        <f>IFERROR(VLOOKUP(BF1236,'[1]WCVI Esc'!$C$5:$W$514,19,FALSE),"-")</f>
        <v>-</v>
      </c>
      <c r="BJ1236" s="50" t="str">
        <f t="shared" si="325"/>
        <v>-</v>
      </c>
    </row>
    <row r="1237" spans="1:62" hidden="1" x14ac:dyDescent="0.2">
      <c r="A1237" s="28">
        <v>4</v>
      </c>
      <c r="B1237" s="28">
        <v>5</v>
      </c>
      <c r="C1237" s="11">
        <v>27</v>
      </c>
      <c r="D1237" s="13" t="s">
        <v>302</v>
      </c>
      <c r="E1237" s="10" t="s">
        <v>69</v>
      </c>
      <c r="F1237" s="10" t="s">
        <v>210</v>
      </c>
      <c r="G1237" s="10"/>
      <c r="H1237" s="152"/>
      <c r="I1237" s="155"/>
      <c r="J1237" s="106"/>
      <c r="K1237" s="94"/>
      <c r="L1237" s="180"/>
      <c r="M1237" s="173"/>
      <c r="N1237" s="106"/>
      <c r="O1237" s="106"/>
      <c r="P1237" s="63"/>
      <c r="Q1237" s="162"/>
      <c r="R1237" s="164"/>
      <c r="S1237" s="62"/>
      <c r="T1237" s="63"/>
      <c r="U1237" s="62"/>
      <c r="V1237" s="177"/>
      <c r="W1237" s="171"/>
      <c r="X1237" s="62"/>
      <c r="Y1237" s="45"/>
      <c r="Z1237" s="45"/>
      <c r="AA1237" s="100"/>
      <c r="AB1237" s="100"/>
      <c r="AC1237" s="24"/>
      <c r="AD1237" s="24"/>
      <c r="AE1237" s="24"/>
      <c r="AF1237" s="24"/>
      <c r="AG1237" s="18">
        <v>27</v>
      </c>
      <c r="AH1237" s="69" t="s">
        <v>302</v>
      </c>
      <c r="AI1237" s="243" t="s">
        <v>69</v>
      </c>
      <c r="AJ1237" s="243" t="s">
        <v>419</v>
      </c>
      <c r="AK1237" s="256"/>
      <c r="AL1237" s="43" t="str">
        <f t="shared" si="326"/>
        <v>-</v>
      </c>
      <c r="AM1237" s="43">
        <f t="shared" si="313"/>
        <v>0</v>
      </c>
      <c r="AN1237" s="193">
        <f t="shared" si="313"/>
        <v>0</v>
      </c>
      <c r="AO1237" s="264" t="str">
        <f t="shared" si="314"/>
        <v>-</v>
      </c>
      <c r="AP1237" s="265" t="str">
        <f t="shared" si="322"/>
        <v>-</v>
      </c>
      <c r="AQ1237" s="26" t="str">
        <f t="shared" si="321"/>
        <v>LINK RIVERChinook</v>
      </c>
      <c r="AR1237" s="26">
        <f t="shared" si="315"/>
        <v>0</v>
      </c>
      <c r="AS1237" s="33">
        <f t="shared" si="316"/>
        <v>0</v>
      </c>
      <c r="AX1237" s="47" t="str">
        <f t="shared" si="317"/>
        <v>LINK RIVERChinook</v>
      </c>
      <c r="AY1237" s="49">
        <f t="shared" si="318"/>
        <v>0</v>
      </c>
      <c r="AZ1237" s="49">
        <f t="shared" si="319"/>
        <v>0</v>
      </c>
      <c r="BA1237" s="31">
        <v>0</v>
      </c>
      <c r="BB1237" s="188">
        <f t="shared" si="323"/>
        <v>0</v>
      </c>
      <c r="BC1237" s="188" t="str">
        <f t="shared" si="327"/>
        <v xml:space="preserve"> </v>
      </c>
      <c r="BD1237" s="188" t="str">
        <f t="shared" si="328"/>
        <v xml:space="preserve"> </v>
      </c>
      <c r="BE1237" s="188" t="str">
        <f t="shared" si="329"/>
        <v xml:space="preserve"> </v>
      </c>
      <c r="BF1237" s="50" t="str">
        <f t="shared" si="320"/>
        <v>LINK RIVER_Chinook</v>
      </c>
      <c r="BG1237" s="50" t="str">
        <f>IFERROR(VLOOKUP(BF1237,'[1]WCVI Esc'!$C$5:$W$514,18,FALSE),"-")</f>
        <v>-</v>
      </c>
      <c r="BH1237" s="50" t="str">
        <f t="shared" si="324"/>
        <v>-</v>
      </c>
      <c r="BI1237" s="50" t="str">
        <f>IFERROR(VLOOKUP(BF1237,'[1]WCVI Esc'!$C$5:$W$514,19,FALSE),"-")</f>
        <v>-</v>
      </c>
      <c r="BJ1237" s="50" t="str">
        <f t="shared" si="325"/>
        <v>-</v>
      </c>
    </row>
    <row r="1238" spans="1:62" hidden="1" x14ac:dyDescent="0.2">
      <c r="A1238" s="28">
        <v>4</v>
      </c>
      <c r="B1238" s="28">
        <v>6</v>
      </c>
      <c r="C1238" s="11">
        <v>27</v>
      </c>
      <c r="D1238" s="13" t="s">
        <v>302</v>
      </c>
      <c r="E1238" s="10" t="s">
        <v>69</v>
      </c>
      <c r="F1238" s="10" t="s">
        <v>211</v>
      </c>
      <c r="G1238" s="10"/>
      <c r="H1238" s="152"/>
      <c r="I1238" s="155"/>
      <c r="J1238" s="106"/>
      <c r="K1238" s="94"/>
      <c r="L1238" s="180"/>
      <c r="M1238" s="173"/>
      <c r="N1238" s="106"/>
      <c r="O1238" s="106"/>
      <c r="P1238" s="63"/>
      <c r="Q1238" s="162"/>
      <c r="R1238" s="164"/>
      <c r="S1238" s="62"/>
      <c r="T1238" s="63"/>
      <c r="U1238" s="62"/>
      <c r="V1238" s="177"/>
      <c r="W1238" s="171"/>
      <c r="X1238" s="62"/>
      <c r="Y1238" s="45"/>
      <c r="Z1238" s="45"/>
      <c r="AA1238" s="100"/>
      <c r="AB1238" s="100"/>
      <c r="AC1238" s="24"/>
      <c r="AD1238" s="24"/>
      <c r="AE1238" s="24"/>
      <c r="AF1238" s="24"/>
      <c r="AG1238" s="18">
        <v>27</v>
      </c>
      <c r="AH1238" s="69" t="s">
        <v>302</v>
      </c>
      <c r="AI1238" s="243" t="s">
        <v>69</v>
      </c>
      <c r="AJ1238" s="243" t="s">
        <v>419</v>
      </c>
      <c r="AK1238" s="256"/>
      <c r="AL1238" s="43" t="str">
        <f t="shared" si="326"/>
        <v>-</v>
      </c>
      <c r="AM1238" s="43">
        <f t="shared" si="313"/>
        <v>0</v>
      </c>
      <c r="AN1238" s="193">
        <f t="shared" si="313"/>
        <v>0</v>
      </c>
      <c r="AO1238" s="264" t="str">
        <f t="shared" si="314"/>
        <v>-</v>
      </c>
      <c r="AP1238" s="265" t="str">
        <f t="shared" si="322"/>
        <v>-</v>
      </c>
      <c r="AQ1238" s="26" t="str">
        <f t="shared" si="321"/>
        <v>LINK RIVERSteelhead</v>
      </c>
      <c r="AR1238" s="26">
        <f t="shared" si="315"/>
        <v>0</v>
      </c>
      <c r="AS1238" s="33">
        <f t="shared" si="316"/>
        <v>0</v>
      </c>
      <c r="AX1238" s="47" t="str">
        <f t="shared" si="317"/>
        <v>LINK RIVERSteelhead</v>
      </c>
      <c r="AY1238" s="49">
        <f t="shared" si="318"/>
        <v>0</v>
      </c>
      <c r="AZ1238" s="49">
        <f t="shared" si="319"/>
        <v>0</v>
      </c>
      <c r="BA1238" s="31">
        <v>0</v>
      </c>
      <c r="BB1238" s="188">
        <f t="shared" si="323"/>
        <v>0</v>
      </c>
      <c r="BC1238" s="188" t="str">
        <f t="shared" si="327"/>
        <v xml:space="preserve"> </v>
      </c>
      <c r="BD1238" s="188" t="str">
        <f t="shared" si="328"/>
        <v xml:space="preserve"> </v>
      </c>
      <c r="BE1238" s="188" t="str">
        <f t="shared" si="329"/>
        <v xml:space="preserve"> </v>
      </c>
      <c r="BF1238" s="50" t="str">
        <f t="shared" si="320"/>
        <v>LINK RIVER_Steelhead</v>
      </c>
      <c r="BG1238" s="50" t="str">
        <f>IFERROR(VLOOKUP(BF1238,'[1]WCVI Esc'!$C$5:$W$514,18,FALSE),"-")</f>
        <v>-</v>
      </c>
      <c r="BH1238" s="50" t="str">
        <f t="shared" si="324"/>
        <v>-</v>
      </c>
      <c r="BI1238" s="50" t="str">
        <f>IFERROR(VLOOKUP(BF1238,'[1]WCVI Esc'!$C$5:$W$514,19,FALSE),"-")</f>
        <v>-</v>
      </c>
      <c r="BJ1238" s="50" t="str">
        <f t="shared" si="325"/>
        <v>-</v>
      </c>
    </row>
    <row r="1239" spans="1:62" ht="25.5" hidden="1" x14ac:dyDescent="0.2">
      <c r="A1239" s="28">
        <v>4</v>
      </c>
      <c r="B1239" s="59" t="s">
        <v>212</v>
      </c>
      <c r="C1239" s="199" t="s">
        <v>16</v>
      </c>
      <c r="D1239" s="199"/>
      <c r="E1239" s="199" t="s">
        <v>15</v>
      </c>
      <c r="F1239" s="203" t="s">
        <v>206</v>
      </c>
      <c r="G1239" s="204" t="s">
        <v>332</v>
      </c>
      <c r="H1239" s="206" t="s">
        <v>334</v>
      </c>
      <c r="I1239" s="208" t="s">
        <v>333</v>
      </c>
      <c r="J1239" s="204" t="s">
        <v>335</v>
      </c>
      <c r="K1239" s="204" t="s">
        <v>336</v>
      </c>
      <c r="L1239" s="226" t="s">
        <v>337</v>
      </c>
      <c r="M1239" s="230" t="s">
        <v>338</v>
      </c>
      <c r="N1239" s="204" t="s">
        <v>339</v>
      </c>
      <c r="O1239" s="204" t="s">
        <v>340</v>
      </c>
      <c r="P1239" s="204" t="s">
        <v>341</v>
      </c>
      <c r="Q1239" s="206" t="s">
        <v>342</v>
      </c>
      <c r="R1239" s="208" t="s">
        <v>343</v>
      </c>
      <c r="S1239" s="204" t="s">
        <v>344</v>
      </c>
      <c r="T1239" s="204" t="s">
        <v>345</v>
      </c>
      <c r="U1239" s="204" t="s">
        <v>346</v>
      </c>
      <c r="V1239" s="226" t="s">
        <v>347</v>
      </c>
      <c r="W1239" s="230" t="s">
        <v>348</v>
      </c>
      <c r="X1239" s="204" t="s">
        <v>349</v>
      </c>
      <c r="Y1239" s="133"/>
      <c r="Z1239" s="133"/>
      <c r="AA1239" s="100"/>
      <c r="AB1239" s="100"/>
      <c r="AC1239" s="100"/>
      <c r="AD1239" s="100"/>
      <c r="AE1239" s="100"/>
      <c r="AF1239" s="100"/>
      <c r="AG1239" s="194"/>
      <c r="AH1239" s="194"/>
      <c r="AI1239" s="194"/>
      <c r="AJ1239" s="194"/>
      <c r="AK1239" s="31"/>
      <c r="AL1239" s="43"/>
      <c r="AM1239" s="43"/>
      <c r="AN1239" s="193"/>
      <c r="AO1239" s="259"/>
      <c r="AP1239" s="12"/>
      <c r="AQ1239" s="26" t="str">
        <f t="shared" si="321"/>
        <v>SystemSpecies</v>
      </c>
      <c r="AR1239" s="26"/>
      <c r="AS1239" s="33"/>
      <c r="AX1239" s="47" t="str">
        <f t="shared" si="317"/>
        <v>SystemSpecies</v>
      </c>
      <c r="AY1239" s="49">
        <f t="shared" si="318"/>
        <v>0</v>
      </c>
      <c r="AZ1239" s="49">
        <f t="shared" si="319"/>
        <v>0</v>
      </c>
      <c r="BA1239" s="31">
        <v>0</v>
      </c>
      <c r="BB1239" s="188">
        <f t="shared" si="323"/>
        <v>0</v>
      </c>
      <c r="BC1239" s="188" t="str">
        <f t="shared" si="327"/>
        <v xml:space="preserve"> </v>
      </c>
      <c r="BD1239" s="188" t="str">
        <f t="shared" si="328"/>
        <v xml:space="preserve"> </v>
      </c>
      <c r="BE1239" s="188" t="str">
        <f t="shared" si="329"/>
        <v xml:space="preserve"> </v>
      </c>
      <c r="BF1239" s="50" t="str">
        <f t="shared" si="320"/>
        <v>System_Species</v>
      </c>
      <c r="BG1239" s="50" t="str">
        <f>IFERROR(VLOOKUP(BF1239,'[1]WCVI Esc'!$C$5:$W$534,18,FALSE),"-")</f>
        <v>-</v>
      </c>
      <c r="BH1239" s="50" t="str">
        <f t="shared" si="324"/>
        <v>-</v>
      </c>
      <c r="BI1239" s="50" t="str">
        <f>IFERROR(VLOOKUP(BF1239,'[1]WCVI Esc'!$C$5:$W$534,19,FALSE),"-")</f>
        <v>-</v>
      </c>
      <c r="BJ1239" s="50" t="str">
        <f t="shared" si="325"/>
        <v>-</v>
      </c>
    </row>
    <row r="1240" spans="1:62" ht="15" hidden="1" x14ac:dyDescent="0.25">
      <c r="A1240" s="28">
        <v>4</v>
      </c>
      <c r="B1240" s="197"/>
      <c r="C1240" s="220" t="s">
        <v>202</v>
      </c>
      <c r="D1240" s="220"/>
      <c r="E1240" s="67"/>
      <c r="F1240" s="202"/>
      <c r="G1240" s="202"/>
      <c r="H1240" s="205"/>
      <c r="I1240" s="221"/>
      <c r="J1240" s="68"/>
      <c r="K1240" s="68"/>
      <c r="L1240" s="227"/>
      <c r="M1240" s="231"/>
      <c r="N1240" s="212"/>
      <c r="O1240" s="212"/>
      <c r="P1240" s="212"/>
      <c r="Q1240" s="209"/>
      <c r="R1240" s="213"/>
      <c r="S1240" s="215"/>
      <c r="T1240" s="212"/>
      <c r="U1240" s="67"/>
      <c r="V1240" s="237"/>
      <c r="W1240" s="239"/>
      <c r="X1240" s="67"/>
      <c r="Y1240" s="12"/>
      <c r="Z1240" s="12"/>
      <c r="AA1240" s="100"/>
      <c r="AB1240" s="100"/>
      <c r="AC1240" s="100"/>
      <c r="AD1240" s="100"/>
      <c r="AE1240" s="100"/>
      <c r="AF1240" s="100"/>
      <c r="AG1240" s="60"/>
      <c r="AH1240" s="60"/>
      <c r="AI1240" s="15"/>
      <c r="AJ1240" s="15"/>
      <c r="AK1240" s="31"/>
      <c r="AL1240" s="43"/>
      <c r="AM1240" s="43"/>
      <c r="AN1240" s="193"/>
      <c r="AO1240" s="259"/>
      <c r="AP1240" s="12"/>
      <c r="AQ1240" s="26" t="str">
        <f t="shared" si="321"/>
        <v/>
      </c>
      <c r="AR1240" s="26"/>
      <c r="AS1240" s="33"/>
      <c r="AX1240" s="47" t="str">
        <f t="shared" si="317"/>
        <v/>
      </c>
      <c r="AY1240" s="49">
        <f t="shared" si="318"/>
        <v>0</v>
      </c>
      <c r="AZ1240" s="49">
        <f t="shared" si="319"/>
        <v>0</v>
      </c>
      <c r="BA1240" s="31">
        <v>0</v>
      </c>
      <c r="BB1240" s="188">
        <f t="shared" si="323"/>
        <v>0</v>
      </c>
      <c r="BC1240" s="188" t="str">
        <f t="shared" si="327"/>
        <v xml:space="preserve"> </v>
      </c>
      <c r="BD1240" s="188" t="str">
        <f t="shared" si="328"/>
        <v xml:space="preserve"> </v>
      </c>
      <c r="BE1240" s="188" t="str">
        <f t="shared" si="329"/>
        <v xml:space="preserve"> </v>
      </c>
      <c r="BF1240" s="50" t="str">
        <f t="shared" si="320"/>
        <v>_</v>
      </c>
      <c r="BG1240" s="50" t="str">
        <f>IFERROR(VLOOKUP(BF1240,'[1]WCVI Esc'!$C$5:$W$534,18,FALSE),"-")</f>
        <v>-</v>
      </c>
      <c r="BH1240" s="50" t="str">
        <f t="shared" si="324"/>
        <v>-</v>
      </c>
      <c r="BI1240" s="50" t="str">
        <f>IFERROR(VLOOKUP(BF1240,'[1]WCVI Esc'!$C$5:$W$534,19,FALSE),"-")</f>
        <v>-</v>
      </c>
      <c r="BJ1240" s="50" t="str">
        <f t="shared" si="325"/>
        <v>-</v>
      </c>
    </row>
    <row r="1241" spans="1:62" hidden="1" x14ac:dyDescent="0.2">
      <c r="A1241" s="28">
        <v>4</v>
      </c>
      <c r="B1241" s="197"/>
      <c r="C1241" s="11"/>
      <c r="D1241" s="11"/>
      <c r="E1241" s="10"/>
      <c r="F1241" s="202"/>
      <c r="G1241" s="202"/>
      <c r="H1241" s="205"/>
      <c r="I1241" s="210"/>
      <c r="J1241" s="10"/>
      <c r="K1241" s="10"/>
      <c r="L1241" s="225"/>
      <c r="M1241" s="84"/>
      <c r="N1241" s="10"/>
      <c r="O1241" s="10"/>
      <c r="P1241" s="10"/>
      <c r="Q1241" s="21"/>
      <c r="R1241" s="210"/>
      <c r="S1241" s="236"/>
      <c r="T1241" s="236"/>
      <c r="U1241" s="236"/>
      <c r="V1241" s="238"/>
      <c r="W1241" s="240"/>
      <c r="X1241" s="236"/>
      <c r="Y1241" s="20"/>
      <c r="Z1241" s="20"/>
      <c r="AA1241" s="100"/>
      <c r="AB1241" s="100"/>
      <c r="AC1241" s="100"/>
      <c r="AD1241" s="100"/>
      <c r="AE1241" s="100"/>
      <c r="AF1241" s="100"/>
      <c r="AG1241" s="18"/>
      <c r="AH1241" s="18"/>
      <c r="AI1241" s="19"/>
      <c r="AJ1241" s="19"/>
      <c r="AK1241" s="31"/>
      <c r="AL1241" s="43"/>
      <c r="AM1241" s="43"/>
      <c r="AN1241" s="193"/>
      <c r="AO1241" s="259"/>
      <c r="AP1241" s="12"/>
      <c r="AQ1241" s="26" t="str">
        <f t="shared" si="321"/>
        <v/>
      </c>
      <c r="AR1241" s="26"/>
      <c r="AS1241" s="33"/>
      <c r="AX1241" s="47" t="str">
        <f t="shared" si="317"/>
        <v/>
      </c>
      <c r="AY1241" s="49">
        <f t="shared" si="318"/>
        <v>0</v>
      </c>
      <c r="AZ1241" s="49">
        <f t="shared" si="319"/>
        <v>0</v>
      </c>
      <c r="BA1241" s="31">
        <v>0</v>
      </c>
      <c r="BB1241" s="188">
        <f t="shared" si="323"/>
        <v>0</v>
      </c>
      <c r="BC1241" s="188" t="str">
        <f t="shared" si="327"/>
        <v xml:space="preserve"> </v>
      </c>
      <c r="BD1241" s="188" t="str">
        <f t="shared" si="328"/>
        <v xml:space="preserve"> </v>
      </c>
      <c r="BE1241" s="188" t="str">
        <f t="shared" si="329"/>
        <v xml:space="preserve"> </v>
      </c>
      <c r="BF1241" s="50" t="str">
        <f t="shared" si="320"/>
        <v>_</v>
      </c>
      <c r="BG1241" s="50" t="str">
        <f>IFERROR(VLOOKUP(BF1241,'[1]WCVI Esc'!$C$5:$W$534,18,FALSE),"-")</f>
        <v>-</v>
      </c>
      <c r="BH1241" s="50" t="str">
        <f t="shared" si="324"/>
        <v>-</v>
      </c>
      <c r="BI1241" s="50" t="str">
        <f>IFERROR(VLOOKUP(BF1241,'[1]WCVI Esc'!$C$5:$W$534,19,FALSE),"-")</f>
        <v>-</v>
      </c>
      <c r="BJ1241" s="50" t="str">
        <f t="shared" si="325"/>
        <v>-</v>
      </c>
    </row>
    <row r="1242" spans="1:62" x14ac:dyDescent="0.2">
      <c r="Y1242" s="12"/>
      <c r="Z1242" s="12"/>
      <c r="AA1242" s="12"/>
      <c r="AB1242" s="12"/>
      <c r="AC1242" s="124"/>
      <c r="AD1242" s="124"/>
      <c r="AE1242" s="124"/>
      <c r="AF1242" s="124"/>
      <c r="AG1242" s="250"/>
      <c r="AH1242" s="250"/>
      <c r="AI1242" s="250"/>
      <c r="AJ1242" s="250"/>
      <c r="AK1242" s="251"/>
      <c r="AL1242" s="251"/>
      <c r="AM1242" s="251"/>
      <c r="AN1242" s="251"/>
      <c r="AO1242" s="260"/>
      <c r="AP1242" s="255"/>
      <c r="AS1242" s="24"/>
    </row>
    <row r="1243" spans="1:62" x14ac:dyDescent="0.2">
      <c r="L1243" s="14"/>
      <c r="M1243" s="14"/>
      <c r="N1243" s="56"/>
      <c r="Y1243" s="12"/>
      <c r="Z1243" s="12"/>
      <c r="AA1243" s="12"/>
      <c r="AB1243" s="12"/>
      <c r="AC1243" s="124"/>
      <c r="AD1243" s="124"/>
      <c r="AE1243" s="124"/>
      <c r="AF1243" s="124"/>
      <c r="AG1243" s="124"/>
      <c r="AH1243" s="124"/>
      <c r="AI1243" s="124"/>
      <c r="AJ1243" s="124"/>
      <c r="AK1243" s="12"/>
      <c r="AL1243" s="12"/>
      <c r="AM1243" s="12"/>
      <c r="AN1243" s="12"/>
      <c r="AO1243" s="261"/>
      <c r="AP1243" s="247"/>
      <c r="AS1243" s="24"/>
    </row>
    <row r="1244" spans="1:62" x14ac:dyDescent="0.2">
      <c r="L1244" s="14"/>
      <c r="M1244" s="14"/>
      <c r="Y1244" s="12"/>
      <c r="Z1244" s="12"/>
      <c r="AA1244" s="12"/>
      <c r="AB1244" s="12"/>
      <c r="AC1244" s="124"/>
      <c r="AD1244" s="124"/>
      <c r="AE1244" s="124"/>
      <c r="AF1244" s="124"/>
      <c r="AG1244" s="124"/>
      <c r="AH1244" s="124"/>
      <c r="AI1244" s="124"/>
      <c r="AJ1244" s="124"/>
      <c r="AK1244" s="12"/>
      <c r="AL1244" s="12"/>
      <c r="AM1244" s="12"/>
      <c r="AN1244" s="12"/>
      <c r="AO1244" s="261"/>
      <c r="AP1244" s="247"/>
      <c r="AS1244" s="24"/>
    </row>
    <row r="1245" spans="1:62" x14ac:dyDescent="0.2">
      <c r="L1245" s="14"/>
      <c r="M1245" s="14"/>
      <c r="Y1245" s="12"/>
      <c r="Z1245" s="12"/>
      <c r="AA1245" s="12"/>
      <c r="AB1245" s="12"/>
      <c r="AC1245" s="124"/>
      <c r="AD1245" s="124"/>
      <c r="AE1245" s="124"/>
      <c r="AF1245" s="124"/>
      <c r="AG1245" s="124"/>
      <c r="AH1245" s="124"/>
      <c r="AI1245" s="124"/>
      <c r="AJ1245" s="124"/>
      <c r="AK1245" s="12"/>
      <c r="AL1245" s="12"/>
      <c r="AM1245" s="12"/>
      <c r="AN1245" s="12"/>
      <c r="AO1245" s="261"/>
      <c r="AP1245" s="247"/>
      <c r="AS1245" s="24"/>
    </row>
    <row r="1246" spans="1:62" x14ac:dyDescent="0.2">
      <c r="L1246" s="14"/>
      <c r="M1246" s="14"/>
      <c r="Y1246" s="12"/>
      <c r="Z1246" s="12"/>
      <c r="AA1246" s="12"/>
      <c r="AB1246" s="12"/>
      <c r="AC1246" s="124"/>
      <c r="AD1246" s="124"/>
      <c r="AE1246" s="124"/>
      <c r="AF1246" s="124"/>
      <c r="AG1246" s="124"/>
      <c r="AH1246" s="124"/>
      <c r="AI1246" s="124"/>
      <c r="AJ1246" s="124"/>
      <c r="AK1246" s="12"/>
      <c r="AL1246" s="12"/>
      <c r="AM1246" s="12"/>
      <c r="AN1246" s="12"/>
      <c r="AO1246" s="261"/>
      <c r="AP1246" s="247"/>
      <c r="AS1246" s="24"/>
    </row>
    <row r="1247" spans="1:62" x14ac:dyDescent="0.2">
      <c r="L1247" s="14"/>
      <c r="M1247" s="14"/>
      <c r="Y1247" s="12"/>
      <c r="Z1247" s="12"/>
      <c r="AA1247" s="12"/>
      <c r="AB1247" s="12"/>
      <c r="AC1247" s="124"/>
      <c r="AD1247" s="124"/>
      <c r="AE1247" s="124"/>
      <c r="AF1247" s="124"/>
      <c r="AG1247" s="124"/>
      <c r="AH1247" s="124"/>
      <c r="AI1247" s="124"/>
      <c r="AJ1247" s="124"/>
      <c r="AK1247" s="12"/>
      <c r="AL1247" s="12"/>
      <c r="AM1247" s="12"/>
      <c r="AN1247" s="12"/>
      <c r="AO1247" s="261"/>
      <c r="AP1247" s="247"/>
      <c r="AS1247" s="24"/>
    </row>
    <row r="1248" spans="1:62" x14ac:dyDescent="0.2">
      <c r="L1248" s="14"/>
      <c r="M1248" s="14"/>
      <c r="Y1248" s="12"/>
      <c r="Z1248" s="12"/>
      <c r="AA1248" s="12"/>
      <c r="AB1248" s="12"/>
      <c r="AC1248" s="124"/>
      <c r="AD1248" s="124"/>
      <c r="AE1248" s="124"/>
      <c r="AF1248" s="124"/>
      <c r="AG1248" s="124"/>
      <c r="AH1248" s="124"/>
      <c r="AI1248" s="124"/>
      <c r="AJ1248" s="124"/>
      <c r="AK1248" s="12"/>
      <c r="AL1248" s="12"/>
      <c r="AM1248" s="12"/>
      <c r="AN1248" s="12"/>
      <c r="AO1248" s="261"/>
      <c r="AP1248" s="247"/>
      <c r="AS1248" s="24"/>
    </row>
    <row r="1249" spans="8:45" x14ac:dyDescent="0.2">
      <c r="L1249" s="14"/>
      <c r="M1249" s="14"/>
      <c r="Y1249" s="12"/>
      <c r="Z1249" s="12"/>
      <c r="AA1249" s="12"/>
      <c r="AB1249" s="12"/>
      <c r="AC1249" s="124"/>
      <c r="AD1249" s="124"/>
      <c r="AE1249" s="124"/>
      <c r="AF1249" s="124"/>
      <c r="AG1249" s="124"/>
      <c r="AH1249" s="124"/>
      <c r="AI1249" s="124"/>
      <c r="AJ1249" s="124"/>
      <c r="AK1249" s="12"/>
      <c r="AL1249" s="12"/>
      <c r="AM1249" s="12"/>
      <c r="AN1249" s="12"/>
      <c r="AO1249" s="261"/>
      <c r="AP1249" s="247"/>
      <c r="AS1249" s="24"/>
    </row>
    <row r="1250" spans="8:45" x14ac:dyDescent="0.2">
      <c r="L1250" s="14"/>
      <c r="M1250" s="14"/>
      <c r="Y1250" s="12"/>
      <c r="Z1250" s="12"/>
      <c r="AA1250" s="12"/>
      <c r="AB1250" s="12"/>
      <c r="AC1250" s="124"/>
      <c r="AD1250" s="124"/>
      <c r="AE1250" s="124"/>
      <c r="AF1250" s="124"/>
      <c r="AG1250" s="124"/>
      <c r="AH1250" s="124"/>
      <c r="AI1250" s="124"/>
      <c r="AJ1250" s="124"/>
      <c r="AK1250" s="12"/>
      <c r="AL1250" s="12"/>
      <c r="AM1250" s="12"/>
      <c r="AN1250" s="12"/>
      <c r="AO1250" s="261"/>
      <c r="AP1250" s="247"/>
      <c r="AS1250" s="24"/>
    </row>
    <row r="1251" spans="8:45" x14ac:dyDescent="0.2">
      <c r="L1251" s="14"/>
      <c r="M1251" s="14"/>
      <c r="Y1251" s="12"/>
      <c r="Z1251" s="12"/>
      <c r="AA1251" s="12"/>
      <c r="AB1251" s="12"/>
      <c r="AC1251" s="124"/>
      <c r="AD1251" s="124"/>
      <c r="AE1251" s="124"/>
      <c r="AF1251" s="124"/>
      <c r="AG1251" s="124"/>
      <c r="AH1251" s="124"/>
      <c r="AI1251" s="124"/>
      <c r="AJ1251" s="124"/>
      <c r="AK1251" s="12"/>
      <c r="AL1251" s="12"/>
      <c r="AM1251" s="12"/>
      <c r="AN1251" s="12"/>
      <c r="AO1251" s="261"/>
      <c r="AP1251" s="247"/>
      <c r="AS1251" s="24"/>
    </row>
    <row r="1252" spans="8:45" x14ac:dyDescent="0.2">
      <c r="H1252" s="39"/>
      <c r="I1252" s="124"/>
      <c r="L1252" s="14"/>
      <c r="M1252" s="14"/>
      <c r="Y1252" s="12"/>
      <c r="Z1252" s="12"/>
      <c r="AA1252" s="12"/>
      <c r="AB1252" s="12"/>
      <c r="AC1252" s="124"/>
      <c r="AD1252" s="124"/>
      <c r="AE1252" s="124"/>
      <c r="AF1252" s="124"/>
      <c r="AG1252" s="124"/>
      <c r="AH1252" s="124"/>
      <c r="AI1252" s="124"/>
      <c r="AJ1252" s="124"/>
      <c r="AK1252" s="12"/>
      <c r="AL1252" s="12"/>
      <c r="AM1252" s="12"/>
      <c r="AN1252" s="12"/>
      <c r="AO1252" s="261"/>
      <c r="AP1252" s="247"/>
      <c r="AS1252" s="24"/>
    </row>
    <row r="1253" spans="8:45" x14ac:dyDescent="0.2">
      <c r="L1253" s="14"/>
      <c r="M1253" s="14"/>
      <c r="Y1253" s="12"/>
      <c r="Z1253" s="12"/>
      <c r="AA1253" s="12"/>
      <c r="AB1253" s="12"/>
      <c r="AC1253" s="124"/>
      <c r="AD1253" s="124"/>
      <c r="AE1253" s="124"/>
      <c r="AF1253" s="124"/>
      <c r="AG1253" s="124"/>
      <c r="AH1253" s="124"/>
      <c r="AI1253" s="124"/>
      <c r="AJ1253" s="124"/>
      <c r="AK1253" s="12"/>
      <c r="AL1253" s="12"/>
      <c r="AM1253" s="12"/>
      <c r="AN1253" s="12"/>
      <c r="AO1253" s="261"/>
      <c r="AP1253" s="247"/>
      <c r="AS1253" s="24"/>
    </row>
    <row r="1254" spans="8:45" x14ac:dyDescent="0.2">
      <c r="Y1254" s="12"/>
      <c r="Z1254" s="12"/>
      <c r="AA1254" s="12"/>
      <c r="AB1254" s="12"/>
      <c r="AC1254" s="124"/>
      <c r="AD1254" s="124"/>
      <c r="AE1254" s="124"/>
      <c r="AF1254" s="124"/>
      <c r="AG1254" s="124"/>
      <c r="AH1254" s="124"/>
      <c r="AI1254" s="124"/>
      <c r="AJ1254" s="124"/>
      <c r="AK1254" s="12"/>
      <c r="AL1254" s="12"/>
      <c r="AM1254" s="12"/>
      <c r="AN1254" s="12"/>
      <c r="AO1254" s="261"/>
      <c r="AP1254" s="247"/>
      <c r="AS1254" s="24"/>
    </row>
    <row r="1255" spans="8:45" x14ac:dyDescent="0.2">
      <c r="Y1255" s="12"/>
      <c r="Z1255" s="12"/>
      <c r="AA1255" s="12"/>
      <c r="AB1255" s="12"/>
      <c r="AC1255" s="124"/>
      <c r="AD1255" s="124"/>
      <c r="AE1255" s="124"/>
      <c r="AF1255" s="124"/>
      <c r="AG1255" s="124"/>
      <c r="AH1255" s="124"/>
      <c r="AI1255" s="124"/>
      <c r="AJ1255" s="124"/>
      <c r="AK1255" s="12"/>
      <c r="AL1255" s="12"/>
      <c r="AM1255" s="12"/>
      <c r="AN1255" s="12"/>
      <c r="AO1255" s="261"/>
      <c r="AP1255" s="247"/>
      <c r="AS1255" s="24"/>
    </row>
    <row r="1256" spans="8:45" x14ac:dyDescent="0.2">
      <c r="Y1256" s="12"/>
      <c r="Z1256" s="12"/>
      <c r="AA1256" s="12"/>
      <c r="AB1256" s="12"/>
      <c r="AC1256" s="124"/>
      <c r="AD1256" s="124"/>
      <c r="AE1256" s="124"/>
      <c r="AF1256" s="124"/>
      <c r="AG1256" s="124"/>
      <c r="AH1256" s="124"/>
      <c r="AI1256" s="124"/>
      <c r="AJ1256" s="124"/>
      <c r="AK1256" s="12"/>
      <c r="AL1256" s="12"/>
      <c r="AM1256" s="12"/>
      <c r="AN1256" s="12"/>
      <c r="AO1256" s="261"/>
      <c r="AP1256" s="247"/>
      <c r="AS1256" s="24"/>
    </row>
    <row r="1257" spans="8:45" x14ac:dyDescent="0.2">
      <c r="Y1257" s="12"/>
      <c r="Z1257" s="12"/>
      <c r="AA1257" s="12"/>
      <c r="AB1257" s="12"/>
      <c r="AC1257" s="124"/>
      <c r="AD1257" s="124"/>
      <c r="AE1257" s="124"/>
      <c r="AF1257" s="124"/>
      <c r="AG1257" s="124"/>
      <c r="AH1257" s="124"/>
      <c r="AI1257" s="124"/>
      <c r="AJ1257" s="124"/>
      <c r="AK1257" s="12"/>
      <c r="AL1257" s="12"/>
      <c r="AM1257" s="12"/>
      <c r="AN1257" s="12"/>
      <c r="AO1257" s="261"/>
      <c r="AP1257" s="247"/>
      <c r="AS1257" s="24"/>
    </row>
    <row r="1258" spans="8:45" x14ac:dyDescent="0.2">
      <c r="Y1258" s="12"/>
      <c r="Z1258" s="12"/>
      <c r="AA1258" s="12"/>
      <c r="AB1258" s="12"/>
      <c r="AC1258" s="124"/>
      <c r="AD1258" s="124"/>
      <c r="AE1258" s="124"/>
      <c r="AF1258" s="124"/>
      <c r="AG1258" s="124"/>
      <c r="AH1258" s="124"/>
      <c r="AI1258" s="124"/>
      <c r="AJ1258" s="124"/>
      <c r="AK1258" s="12"/>
      <c r="AL1258" s="12"/>
      <c r="AM1258" s="12"/>
      <c r="AN1258" s="12"/>
      <c r="AO1258" s="261"/>
      <c r="AP1258" s="247"/>
      <c r="AS1258" s="24"/>
    </row>
    <row r="1259" spans="8:45" x14ac:dyDescent="0.2">
      <c r="Y1259" s="12"/>
      <c r="Z1259" s="12"/>
      <c r="AA1259" s="12"/>
      <c r="AB1259" s="12"/>
      <c r="AC1259" s="124"/>
      <c r="AD1259" s="124"/>
      <c r="AE1259" s="124"/>
      <c r="AF1259" s="124"/>
      <c r="AG1259" s="124"/>
      <c r="AH1259" s="124"/>
      <c r="AI1259" s="124"/>
      <c r="AJ1259" s="124"/>
      <c r="AK1259" s="12"/>
      <c r="AL1259" s="12"/>
      <c r="AM1259" s="12"/>
      <c r="AN1259" s="12"/>
      <c r="AO1259" s="261"/>
      <c r="AP1259" s="247"/>
      <c r="AS1259" s="24"/>
    </row>
    <row r="1260" spans="8:45" x14ac:dyDescent="0.2">
      <c r="Y1260" s="12"/>
      <c r="Z1260" s="12"/>
      <c r="AA1260" s="12"/>
      <c r="AB1260" s="12"/>
      <c r="AC1260" s="124"/>
      <c r="AD1260" s="124"/>
      <c r="AE1260" s="124"/>
      <c r="AF1260" s="124"/>
      <c r="AG1260" s="124"/>
      <c r="AH1260" s="124"/>
      <c r="AI1260" s="124"/>
      <c r="AJ1260" s="124"/>
      <c r="AK1260" s="12"/>
      <c r="AL1260" s="12"/>
      <c r="AM1260" s="12"/>
      <c r="AN1260" s="12"/>
      <c r="AO1260" s="261"/>
      <c r="AP1260" s="247"/>
      <c r="AS1260" s="24"/>
    </row>
    <row r="1261" spans="8:45" x14ac:dyDescent="0.2">
      <c r="Y1261" s="12"/>
      <c r="Z1261" s="12"/>
      <c r="AA1261" s="12"/>
      <c r="AB1261" s="12"/>
      <c r="AC1261" s="124"/>
      <c r="AD1261" s="124"/>
      <c r="AE1261" s="124"/>
      <c r="AF1261" s="124"/>
      <c r="AG1261" s="124"/>
      <c r="AH1261" s="124"/>
      <c r="AI1261" s="124"/>
      <c r="AJ1261" s="124"/>
      <c r="AK1261" s="12"/>
      <c r="AL1261" s="12"/>
      <c r="AM1261" s="12"/>
      <c r="AN1261" s="12"/>
      <c r="AO1261" s="261"/>
      <c r="AP1261" s="247"/>
      <c r="AS1261" s="24"/>
    </row>
    <row r="1262" spans="8:45" x14ac:dyDescent="0.2">
      <c r="Y1262" s="12"/>
      <c r="Z1262" s="12"/>
      <c r="AA1262" s="12"/>
      <c r="AB1262" s="12"/>
      <c r="AC1262" s="124"/>
      <c r="AD1262" s="124"/>
      <c r="AE1262" s="124"/>
      <c r="AF1262" s="124"/>
      <c r="AG1262" s="124"/>
      <c r="AH1262" s="124"/>
      <c r="AI1262" s="124"/>
      <c r="AJ1262" s="124"/>
      <c r="AK1262" s="12"/>
      <c r="AL1262" s="12"/>
      <c r="AM1262" s="12"/>
      <c r="AN1262" s="12"/>
      <c r="AO1262" s="261"/>
      <c r="AP1262" s="247"/>
      <c r="AS1262" s="24"/>
    </row>
    <row r="1263" spans="8:45" x14ac:dyDescent="0.2">
      <c r="Y1263" s="12"/>
      <c r="Z1263" s="12"/>
      <c r="AA1263" s="12"/>
      <c r="AB1263" s="12"/>
      <c r="AC1263" s="124"/>
      <c r="AD1263" s="124"/>
      <c r="AE1263" s="124"/>
      <c r="AF1263" s="124"/>
      <c r="AG1263" s="124"/>
      <c r="AH1263" s="124"/>
      <c r="AI1263" s="124"/>
      <c r="AJ1263" s="124"/>
      <c r="AK1263" s="12"/>
      <c r="AL1263" s="12"/>
      <c r="AM1263" s="12"/>
      <c r="AN1263" s="12"/>
      <c r="AO1263" s="261"/>
      <c r="AP1263" s="247"/>
      <c r="AS1263" s="24"/>
    </row>
    <row r="1264" spans="8:45" x14ac:dyDescent="0.2">
      <c r="Y1264" s="12"/>
      <c r="Z1264" s="12"/>
      <c r="AA1264" s="12"/>
      <c r="AB1264" s="12"/>
      <c r="AC1264" s="124"/>
      <c r="AD1264" s="124"/>
      <c r="AE1264" s="124"/>
      <c r="AF1264" s="124"/>
      <c r="AG1264" s="124"/>
      <c r="AH1264" s="124"/>
      <c r="AI1264" s="124"/>
      <c r="AJ1264" s="124"/>
      <c r="AK1264" s="12"/>
      <c r="AL1264" s="12"/>
      <c r="AM1264" s="12"/>
      <c r="AN1264" s="12"/>
      <c r="AO1264" s="261"/>
      <c r="AP1264" s="247"/>
      <c r="AS1264" s="24"/>
    </row>
    <row r="1265" spans="25:45" x14ac:dyDescent="0.2">
      <c r="Y1265" s="12"/>
      <c r="Z1265" s="12"/>
      <c r="AA1265" s="12"/>
      <c r="AB1265" s="12"/>
      <c r="AC1265" s="124"/>
      <c r="AD1265" s="124"/>
      <c r="AE1265" s="124"/>
      <c r="AF1265" s="124"/>
      <c r="AG1265" s="124"/>
      <c r="AH1265" s="124"/>
      <c r="AI1265" s="124"/>
      <c r="AJ1265" s="124"/>
      <c r="AK1265" s="12"/>
      <c r="AL1265" s="12"/>
      <c r="AM1265" s="12"/>
      <c r="AN1265" s="12"/>
      <c r="AO1265" s="261"/>
      <c r="AP1265" s="247"/>
      <c r="AS1265" s="24"/>
    </row>
    <row r="1266" spans="25:45" x14ac:dyDescent="0.2">
      <c r="Y1266" s="12"/>
      <c r="Z1266" s="12"/>
      <c r="AA1266" s="12"/>
      <c r="AB1266" s="12"/>
      <c r="AC1266" s="124"/>
      <c r="AD1266" s="124"/>
      <c r="AE1266" s="124"/>
      <c r="AF1266" s="124"/>
      <c r="AG1266" s="124"/>
      <c r="AH1266" s="124"/>
      <c r="AI1266" s="124"/>
      <c r="AJ1266" s="124"/>
      <c r="AK1266" s="12"/>
      <c r="AL1266" s="12"/>
      <c r="AM1266" s="12"/>
      <c r="AN1266" s="12"/>
      <c r="AO1266" s="261"/>
      <c r="AP1266" s="247"/>
      <c r="AS1266" s="24"/>
    </row>
    <row r="1267" spans="25:45" x14ac:dyDescent="0.2">
      <c r="Y1267" s="12"/>
      <c r="Z1267" s="12"/>
      <c r="AA1267" s="12"/>
      <c r="AB1267" s="12"/>
      <c r="AC1267" s="124"/>
      <c r="AD1267" s="124"/>
      <c r="AE1267" s="124"/>
      <c r="AF1267" s="124"/>
      <c r="AG1267" s="124"/>
      <c r="AH1267" s="124"/>
      <c r="AI1267" s="124"/>
      <c r="AJ1267" s="124"/>
      <c r="AK1267" s="12"/>
      <c r="AL1267" s="12"/>
      <c r="AM1267" s="12"/>
      <c r="AN1267" s="12"/>
      <c r="AO1267" s="261"/>
      <c r="AP1267" s="247"/>
      <c r="AS1267" s="24"/>
    </row>
    <row r="1268" spans="25:45" x14ac:dyDescent="0.2">
      <c r="Y1268" s="12"/>
      <c r="Z1268" s="12"/>
      <c r="AA1268" s="12"/>
      <c r="AB1268" s="12"/>
      <c r="AC1268" s="124"/>
      <c r="AD1268" s="124"/>
      <c r="AE1268" s="124"/>
      <c r="AF1268" s="124"/>
      <c r="AG1268" s="124"/>
      <c r="AH1268" s="124"/>
      <c r="AI1268" s="124"/>
      <c r="AJ1268" s="124"/>
      <c r="AK1268" s="12"/>
      <c r="AL1268" s="12"/>
      <c r="AM1268" s="12"/>
      <c r="AN1268" s="12"/>
      <c r="AO1268" s="261"/>
      <c r="AP1268" s="247"/>
      <c r="AS1268" s="24"/>
    </row>
    <row r="1269" spans="25:45" x14ac:dyDescent="0.2">
      <c r="Y1269" s="12"/>
      <c r="Z1269" s="12"/>
      <c r="AA1269" s="12"/>
      <c r="AB1269" s="12"/>
      <c r="AC1269" s="124"/>
      <c r="AD1269" s="124"/>
      <c r="AE1269" s="124"/>
      <c r="AF1269" s="124"/>
      <c r="AG1269" s="124"/>
      <c r="AH1269" s="124"/>
      <c r="AI1269" s="124"/>
      <c r="AJ1269" s="124"/>
      <c r="AK1269" s="12"/>
      <c r="AL1269" s="12"/>
      <c r="AM1269" s="12"/>
      <c r="AN1269" s="12"/>
      <c r="AO1269" s="261"/>
      <c r="AP1269" s="247"/>
      <c r="AS1269" s="24"/>
    </row>
    <row r="1270" spans="25:45" x14ac:dyDescent="0.2">
      <c r="Y1270" s="12"/>
      <c r="Z1270" s="12"/>
      <c r="AA1270" s="12"/>
      <c r="AB1270" s="12"/>
      <c r="AC1270" s="124"/>
      <c r="AD1270" s="124"/>
      <c r="AE1270" s="124"/>
      <c r="AF1270" s="124"/>
      <c r="AG1270" s="124"/>
      <c r="AH1270" s="124"/>
      <c r="AI1270" s="124"/>
      <c r="AJ1270" s="124"/>
      <c r="AK1270" s="12"/>
      <c r="AL1270" s="12"/>
      <c r="AM1270" s="12"/>
      <c r="AN1270" s="12"/>
      <c r="AO1270" s="261"/>
      <c r="AP1270" s="247"/>
      <c r="AS1270" s="24"/>
    </row>
    <row r="1271" spans="25:45" x14ac:dyDescent="0.2">
      <c r="Y1271" s="12"/>
      <c r="Z1271" s="12"/>
      <c r="AA1271" s="12"/>
      <c r="AB1271" s="12"/>
      <c r="AC1271" s="124"/>
      <c r="AD1271" s="124"/>
      <c r="AE1271" s="124"/>
      <c r="AF1271" s="124"/>
      <c r="AG1271" s="124"/>
      <c r="AH1271" s="124"/>
      <c r="AI1271" s="124"/>
      <c r="AJ1271" s="124"/>
      <c r="AK1271" s="12"/>
      <c r="AL1271" s="12"/>
      <c r="AM1271" s="12"/>
      <c r="AN1271" s="12"/>
      <c r="AO1271" s="261"/>
      <c r="AP1271" s="247"/>
      <c r="AS1271" s="24"/>
    </row>
    <row r="1272" spans="25:45" x14ac:dyDescent="0.2">
      <c r="Y1272" s="12"/>
      <c r="Z1272" s="12"/>
      <c r="AA1272" s="12"/>
      <c r="AB1272" s="12"/>
      <c r="AC1272" s="124"/>
      <c r="AD1272" s="124"/>
      <c r="AE1272" s="124"/>
      <c r="AF1272" s="124"/>
      <c r="AG1272" s="124"/>
      <c r="AH1272" s="124"/>
      <c r="AI1272" s="124"/>
      <c r="AJ1272" s="124"/>
      <c r="AK1272" s="12"/>
      <c r="AL1272" s="12"/>
      <c r="AM1272" s="12"/>
      <c r="AN1272" s="12"/>
      <c r="AO1272" s="261"/>
      <c r="AP1272" s="247"/>
      <c r="AS1272" s="24"/>
    </row>
    <row r="1273" spans="25:45" x14ac:dyDescent="0.2">
      <c r="Y1273" s="12"/>
      <c r="Z1273" s="12"/>
      <c r="AA1273" s="12"/>
      <c r="AB1273" s="12"/>
      <c r="AC1273" s="124"/>
      <c r="AD1273" s="124"/>
      <c r="AE1273" s="124"/>
      <c r="AF1273" s="124"/>
      <c r="AG1273" s="124"/>
      <c r="AH1273" s="124"/>
      <c r="AI1273" s="124"/>
      <c r="AJ1273" s="124"/>
      <c r="AK1273" s="12"/>
      <c r="AL1273" s="12"/>
      <c r="AM1273" s="12"/>
      <c r="AN1273" s="12"/>
      <c r="AO1273" s="261"/>
      <c r="AP1273" s="247"/>
      <c r="AS1273" s="24"/>
    </row>
    <row r="1274" spans="25:45" x14ac:dyDescent="0.2">
      <c r="Y1274" s="12"/>
      <c r="Z1274" s="12"/>
      <c r="AA1274" s="12"/>
      <c r="AB1274" s="12"/>
      <c r="AC1274" s="124"/>
      <c r="AD1274" s="124"/>
      <c r="AE1274" s="124"/>
      <c r="AF1274" s="124"/>
      <c r="AG1274" s="124"/>
      <c r="AH1274" s="124"/>
      <c r="AI1274" s="124"/>
      <c r="AJ1274" s="124"/>
      <c r="AK1274" s="12"/>
      <c r="AL1274" s="12"/>
      <c r="AM1274" s="12"/>
      <c r="AN1274" s="12"/>
      <c r="AO1274" s="261"/>
      <c r="AP1274" s="247"/>
      <c r="AS1274" s="24"/>
    </row>
    <row r="1275" spans="25:45" x14ac:dyDescent="0.2">
      <c r="Y1275" s="12"/>
      <c r="Z1275" s="12"/>
      <c r="AA1275" s="12"/>
      <c r="AB1275" s="12"/>
      <c r="AC1275" s="124"/>
      <c r="AD1275" s="124"/>
      <c r="AE1275" s="124"/>
      <c r="AF1275" s="124"/>
      <c r="AG1275" s="124"/>
      <c r="AH1275" s="124"/>
      <c r="AI1275" s="124"/>
      <c r="AJ1275" s="124"/>
      <c r="AK1275" s="12"/>
      <c r="AL1275" s="12"/>
      <c r="AM1275" s="12"/>
      <c r="AN1275" s="12"/>
      <c r="AO1275" s="261"/>
      <c r="AP1275" s="247"/>
      <c r="AS1275" s="24"/>
    </row>
    <row r="1276" spans="25:45" x14ac:dyDescent="0.2">
      <c r="Y1276" s="12"/>
      <c r="Z1276" s="12"/>
      <c r="AA1276" s="12"/>
      <c r="AB1276" s="12"/>
      <c r="AC1276" s="124"/>
      <c r="AD1276" s="124"/>
      <c r="AE1276" s="124"/>
      <c r="AF1276" s="124"/>
      <c r="AG1276" s="124"/>
      <c r="AH1276" s="124"/>
      <c r="AI1276" s="124"/>
      <c r="AJ1276" s="124"/>
      <c r="AK1276" s="12"/>
      <c r="AL1276" s="12"/>
      <c r="AM1276" s="12"/>
      <c r="AN1276" s="12"/>
      <c r="AO1276" s="261"/>
      <c r="AP1276" s="247"/>
      <c r="AS1276" s="24"/>
    </row>
    <row r="1277" spans="25:45" x14ac:dyDescent="0.2">
      <c r="Y1277" s="12"/>
      <c r="Z1277" s="12"/>
      <c r="AA1277" s="12"/>
      <c r="AB1277" s="12"/>
      <c r="AC1277" s="124"/>
      <c r="AD1277" s="124"/>
      <c r="AE1277" s="124"/>
      <c r="AF1277" s="124"/>
      <c r="AG1277" s="124"/>
      <c r="AH1277" s="124"/>
      <c r="AI1277" s="124"/>
      <c r="AJ1277" s="124"/>
      <c r="AK1277" s="12"/>
      <c r="AL1277" s="12"/>
      <c r="AM1277" s="12"/>
      <c r="AN1277" s="12"/>
      <c r="AO1277" s="261"/>
      <c r="AP1277" s="247"/>
      <c r="AS1277" s="24"/>
    </row>
    <row r="1278" spans="25:45" x14ac:dyDescent="0.2">
      <c r="Y1278" s="12"/>
      <c r="Z1278" s="12"/>
      <c r="AA1278" s="12"/>
      <c r="AB1278" s="12"/>
      <c r="AC1278" s="124"/>
      <c r="AD1278" s="124"/>
      <c r="AE1278" s="124"/>
      <c r="AF1278" s="124"/>
      <c r="AG1278" s="124"/>
      <c r="AH1278" s="124"/>
      <c r="AI1278" s="124"/>
      <c r="AJ1278" s="124"/>
      <c r="AK1278" s="12"/>
      <c r="AL1278" s="12"/>
      <c r="AM1278" s="12"/>
      <c r="AN1278" s="12"/>
      <c r="AO1278" s="261"/>
      <c r="AP1278" s="247"/>
      <c r="AS1278" s="24"/>
    </row>
    <row r="1279" spans="25:45" x14ac:dyDescent="0.2">
      <c r="Y1279" s="12"/>
      <c r="Z1279" s="12"/>
      <c r="AA1279" s="12"/>
      <c r="AB1279" s="12"/>
      <c r="AC1279" s="124"/>
      <c r="AD1279" s="124"/>
      <c r="AE1279" s="124"/>
      <c r="AF1279" s="124"/>
      <c r="AG1279" s="124"/>
      <c r="AH1279" s="124"/>
      <c r="AI1279" s="124"/>
      <c r="AJ1279" s="124"/>
      <c r="AK1279" s="12"/>
      <c r="AL1279" s="12"/>
      <c r="AM1279" s="12"/>
      <c r="AN1279" s="12"/>
      <c r="AO1279" s="261"/>
      <c r="AP1279" s="247"/>
      <c r="AS1279" s="24"/>
    </row>
    <row r="1280" spans="25:45" x14ac:dyDescent="0.2">
      <c r="Y1280" s="12"/>
      <c r="Z1280" s="12"/>
      <c r="AA1280" s="12"/>
      <c r="AB1280" s="12"/>
      <c r="AC1280" s="124"/>
      <c r="AD1280" s="124"/>
      <c r="AE1280" s="124"/>
      <c r="AF1280" s="124"/>
      <c r="AG1280" s="124"/>
      <c r="AH1280" s="124"/>
      <c r="AI1280" s="124"/>
      <c r="AJ1280" s="124"/>
      <c r="AK1280" s="12"/>
      <c r="AL1280" s="12"/>
      <c r="AM1280" s="12"/>
      <c r="AN1280" s="12"/>
      <c r="AO1280" s="261"/>
      <c r="AP1280" s="247"/>
      <c r="AS1280" s="24"/>
    </row>
    <row r="1281" spans="25:45" x14ac:dyDescent="0.2">
      <c r="Y1281" s="12"/>
      <c r="Z1281" s="12"/>
      <c r="AA1281" s="12"/>
      <c r="AB1281" s="12"/>
      <c r="AC1281" s="124"/>
      <c r="AD1281" s="124"/>
      <c r="AE1281" s="124"/>
      <c r="AF1281" s="124"/>
      <c r="AG1281" s="124"/>
      <c r="AH1281" s="124"/>
      <c r="AI1281" s="124"/>
      <c r="AJ1281" s="124"/>
      <c r="AK1281" s="12"/>
      <c r="AL1281" s="12"/>
      <c r="AM1281" s="12"/>
      <c r="AN1281" s="12"/>
      <c r="AO1281" s="261"/>
      <c r="AP1281" s="247"/>
      <c r="AS1281" s="24"/>
    </row>
    <row r="1282" spans="25:45" x14ac:dyDescent="0.2">
      <c r="Y1282" s="12"/>
      <c r="Z1282" s="12"/>
      <c r="AA1282" s="12"/>
      <c r="AB1282" s="12"/>
      <c r="AC1282" s="124"/>
      <c r="AD1282" s="124"/>
      <c r="AE1282" s="124"/>
      <c r="AF1282" s="124"/>
      <c r="AG1282" s="124"/>
      <c r="AH1282" s="124"/>
      <c r="AI1282" s="124"/>
      <c r="AJ1282" s="124"/>
      <c r="AK1282" s="12"/>
      <c r="AL1282" s="12"/>
      <c r="AM1282" s="12"/>
      <c r="AN1282" s="12"/>
      <c r="AO1282" s="261"/>
      <c r="AP1282" s="247"/>
      <c r="AS1282" s="24"/>
    </row>
    <row r="1283" spans="25:45" x14ac:dyDescent="0.2">
      <c r="Y1283" s="12"/>
      <c r="Z1283" s="12"/>
      <c r="AA1283" s="12"/>
      <c r="AB1283" s="12"/>
      <c r="AC1283" s="124"/>
      <c r="AD1283" s="124"/>
      <c r="AE1283" s="124"/>
      <c r="AF1283" s="124"/>
      <c r="AG1283" s="124"/>
      <c r="AH1283" s="124"/>
      <c r="AI1283" s="124"/>
      <c r="AJ1283" s="124"/>
      <c r="AK1283" s="12"/>
      <c r="AL1283" s="12"/>
      <c r="AM1283" s="12"/>
      <c r="AN1283" s="12"/>
      <c r="AO1283" s="261"/>
      <c r="AP1283" s="247"/>
      <c r="AS1283" s="24"/>
    </row>
    <row r="1284" spans="25:45" x14ac:dyDescent="0.2">
      <c r="Y1284" s="12"/>
      <c r="Z1284" s="12"/>
      <c r="AA1284" s="12"/>
      <c r="AB1284" s="12"/>
      <c r="AC1284" s="124"/>
      <c r="AD1284" s="124"/>
      <c r="AE1284" s="124"/>
      <c r="AF1284" s="124"/>
      <c r="AG1284" s="124"/>
      <c r="AH1284" s="124"/>
      <c r="AI1284" s="124"/>
      <c r="AJ1284" s="124"/>
      <c r="AK1284" s="12"/>
      <c r="AL1284" s="12"/>
      <c r="AM1284" s="12"/>
      <c r="AN1284" s="12"/>
      <c r="AO1284" s="261"/>
      <c r="AP1284" s="247"/>
      <c r="AS1284" s="24"/>
    </row>
    <row r="1285" spans="25:45" x14ac:dyDescent="0.2">
      <c r="Y1285" s="12"/>
      <c r="Z1285" s="12"/>
      <c r="AA1285" s="12"/>
      <c r="AB1285" s="12"/>
      <c r="AC1285" s="124"/>
      <c r="AD1285" s="124"/>
      <c r="AE1285" s="124"/>
      <c r="AF1285" s="124"/>
      <c r="AG1285" s="124"/>
      <c r="AH1285" s="124"/>
      <c r="AI1285" s="124"/>
      <c r="AJ1285" s="124"/>
      <c r="AK1285" s="12"/>
      <c r="AL1285" s="12"/>
      <c r="AM1285" s="12"/>
      <c r="AN1285" s="12"/>
      <c r="AO1285" s="261"/>
      <c r="AP1285" s="247"/>
      <c r="AS1285" s="24"/>
    </row>
    <row r="1286" spans="25:45" x14ac:dyDescent="0.2">
      <c r="Y1286" s="12"/>
      <c r="Z1286" s="12"/>
      <c r="AA1286" s="12"/>
      <c r="AB1286" s="12"/>
      <c r="AC1286" s="124"/>
      <c r="AD1286" s="124"/>
      <c r="AE1286" s="124"/>
      <c r="AF1286" s="124"/>
      <c r="AG1286" s="124"/>
      <c r="AH1286" s="124"/>
      <c r="AI1286" s="124"/>
      <c r="AJ1286" s="124"/>
      <c r="AK1286" s="12"/>
      <c r="AL1286" s="12"/>
      <c r="AM1286" s="12"/>
      <c r="AN1286" s="12"/>
      <c r="AO1286" s="261"/>
      <c r="AP1286" s="247"/>
      <c r="AS1286" s="24"/>
    </row>
    <row r="1287" spans="25:45" x14ac:dyDescent="0.2">
      <c r="Y1287" s="12"/>
      <c r="Z1287" s="12"/>
      <c r="AA1287" s="12"/>
      <c r="AB1287" s="12"/>
      <c r="AC1287" s="124"/>
      <c r="AD1287" s="124"/>
      <c r="AE1287" s="124"/>
      <c r="AF1287" s="124"/>
      <c r="AG1287" s="124"/>
      <c r="AH1287" s="124"/>
      <c r="AI1287" s="124"/>
      <c r="AJ1287" s="124"/>
      <c r="AK1287" s="12"/>
      <c r="AL1287" s="12"/>
      <c r="AM1287" s="12"/>
      <c r="AN1287" s="12"/>
      <c r="AO1287" s="261"/>
      <c r="AP1287" s="247"/>
      <c r="AS1287" s="24"/>
    </row>
    <row r="1288" spans="25:45" x14ac:dyDescent="0.2">
      <c r="Y1288" s="12"/>
      <c r="Z1288" s="12"/>
      <c r="AA1288" s="12"/>
      <c r="AB1288" s="12"/>
      <c r="AC1288" s="124"/>
      <c r="AD1288" s="124"/>
      <c r="AE1288" s="124"/>
      <c r="AF1288" s="124"/>
      <c r="AG1288" s="124"/>
      <c r="AH1288" s="124"/>
      <c r="AI1288" s="124"/>
      <c r="AJ1288" s="124"/>
      <c r="AK1288" s="12"/>
      <c r="AL1288" s="12"/>
      <c r="AM1288" s="12"/>
      <c r="AN1288" s="12"/>
      <c r="AO1288" s="261"/>
      <c r="AP1288" s="247"/>
      <c r="AS1288" s="24"/>
    </row>
    <row r="1289" spans="25:45" x14ac:dyDescent="0.2">
      <c r="Y1289" s="12"/>
      <c r="Z1289" s="12"/>
      <c r="AA1289" s="12"/>
      <c r="AB1289" s="12"/>
      <c r="AC1289" s="124"/>
      <c r="AD1289" s="124"/>
      <c r="AE1289" s="124"/>
      <c r="AF1289" s="124"/>
      <c r="AG1289" s="124"/>
      <c r="AH1289" s="124"/>
      <c r="AI1289" s="124"/>
      <c r="AJ1289" s="124"/>
      <c r="AK1289" s="12"/>
      <c r="AL1289" s="12"/>
      <c r="AM1289" s="12"/>
      <c r="AN1289" s="12"/>
      <c r="AO1289" s="261"/>
      <c r="AP1289" s="247"/>
      <c r="AS1289" s="24"/>
    </row>
    <row r="1290" spans="25:45" x14ac:dyDescent="0.2">
      <c r="Y1290" s="12"/>
      <c r="Z1290" s="12"/>
      <c r="AA1290" s="12"/>
      <c r="AB1290" s="12"/>
      <c r="AC1290" s="124"/>
      <c r="AD1290" s="124"/>
      <c r="AE1290" s="124"/>
      <c r="AF1290" s="124"/>
      <c r="AG1290" s="124"/>
      <c r="AH1290" s="124"/>
      <c r="AI1290" s="124"/>
      <c r="AJ1290" s="124"/>
      <c r="AK1290" s="12"/>
      <c r="AL1290" s="12"/>
      <c r="AM1290" s="12"/>
      <c r="AN1290" s="12"/>
      <c r="AO1290" s="261"/>
      <c r="AP1290" s="247"/>
      <c r="AS1290" s="24"/>
    </row>
    <row r="1291" spans="25:45" x14ac:dyDescent="0.2">
      <c r="Y1291" s="12"/>
      <c r="Z1291" s="12"/>
      <c r="AA1291" s="12"/>
      <c r="AB1291" s="12"/>
      <c r="AC1291" s="124"/>
      <c r="AD1291" s="124"/>
      <c r="AE1291" s="124"/>
      <c r="AF1291" s="124"/>
      <c r="AG1291" s="124"/>
      <c r="AH1291" s="124"/>
      <c r="AI1291" s="124"/>
      <c r="AJ1291" s="124"/>
      <c r="AK1291" s="12"/>
      <c r="AL1291" s="12"/>
      <c r="AM1291" s="12"/>
      <c r="AN1291" s="12"/>
      <c r="AO1291" s="261"/>
      <c r="AP1291" s="247"/>
      <c r="AS1291" s="24"/>
    </row>
    <row r="1292" spans="25:45" x14ac:dyDescent="0.2">
      <c r="Y1292" s="12"/>
      <c r="Z1292" s="12"/>
      <c r="AA1292" s="12"/>
      <c r="AB1292" s="12"/>
      <c r="AC1292" s="124"/>
      <c r="AD1292" s="124"/>
      <c r="AE1292" s="124"/>
      <c r="AF1292" s="124"/>
      <c r="AG1292" s="124"/>
      <c r="AH1292" s="124"/>
      <c r="AI1292" s="124"/>
      <c r="AJ1292" s="124"/>
      <c r="AK1292" s="12"/>
      <c r="AL1292" s="12"/>
      <c r="AM1292" s="12"/>
      <c r="AN1292" s="12"/>
      <c r="AO1292" s="261"/>
      <c r="AP1292" s="247"/>
      <c r="AS1292" s="24"/>
    </row>
    <row r="1293" spans="25:45" x14ac:dyDescent="0.2">
      <c r="Y1293" s="12"/>
      <c r="Z1293" s="12"/>
      <c r="AA1293" s="12"/>
      <c r="AB1293" s="12"/>
      <c r="AC1293" s="124"/>
      <c r="AD1293" s="124"/>
      <c r="AE1293" s="124"/>
      <c r="AF1293" s="124"/>
      <c r="AG1293" s="124"/>
      <c r="AH1293" s="124"/>
      <c r="AI1293" s="124"/>
      <c r="AJ1293" s="124"/>
      <c r="AK1293" s="12"/>
      <c r="AL1293" s="12"/>
      <c r="AM1293" s="12"/>
      <c r="AN1293" s="12"/>
      <c r="AO1293" s="261"/>
      <c r="AP1293" s="247"/>
      <c r="AS1293" s="24"/>
    </row>
    <row r="1294" spans="25:45" x14ac:dyDescent="0.2">
      <c r="Y1294" s="12"/>
      <c r="Z1294" s="12"/>
      <c r="AA1294" s="12"/>
      <c r="AB1294" s="12"/>
      <c r="AC1294" s="124"/>
      <c r="AD1294" s="124"/>
      <c r="AE1294" s="124"/>
      <c r="AF1294" s="124"/>
      <c r="AG1294" s="124"/>
      <c r="AH1294" s="124"/>
      <c r="AI1294" s="124"/>
      <c r="AJ1294" s="124"/>
      <c r="AK1294" s="12"/>
      <c r="AL1294" s="12"/>
      <c r="AM1294" s="12"/>
      <c r="AN1294" s="12"/>
      <c r="AO1294" s="261"/>
      <c r="AP1294" s="247"/>
      <c r="AS1294" s="24"/>
    </row>
    <row r="1295" spans="25:45" x14ac:dyDescent="0.2">
      <c r="Y1295" s="12"/>
      <c r="Z1295" s="12"/>
      <c r="AA1295" s="12"/>
      <c r="AB1295" s="12"/>
      <c r="AC1295" s="124"/>
      <c r="AD1295" s="124"/>
      <c r="AE1295" s="124"/>
      <c r="AF1295" s="124"/>
      <c r="AG1295" s="124"/>
      <c r="AH1295" s="124"/>
      <c r="AI1295" s="124"/>
      <c r="AJ1295" s="124"/>
      <c r="AK1295" s="12"/>
      <c r="AL1295" s="12"/>
      <c r="AM1295" s="12"/>
      <c r="AN1295" s="12"/>
      <c r="AO1295" s="261"/>
      <c r="AP1295" s="247"/>
      <c r="AS1295" s="24"/>
    </row>
    <row r="1296" spans="25:45" x14ac:dyDescent="0.2">
      <c r="Y1296" s="12"/>
      <c r="Z1296" s="12"/>
      <c r="AA1296" s="12"/>
      <c r="AB1296" s="12"/>
      <c r="AC1296" s="124"/>
      <c r="AD1296" s="124"/>
      <c r="AE1296" s="124"/>
      <c r="AF1296" s="124"/>
      <c r="AG1296" s="124"/>
      <c r="AH1296" s="124"/>
      <c r="AI1296" s="124"/>
      <c r="AJ1296" s="124"/>
      <c r="AK1296" s="12"/>
      <c r="AL1296" s="12"/>
      <c r="AM1296" s="12"/>
      <c r="AN1296" s="12"/>
      <c r="AO1296" s="261"/>
      <c r="AP1296" s="247"/>
      <c r="AS1296" s="24"/>
    </row>
    <row r="1297" spans="25:45" x14ac:dyDescent="0.2">
      <c r="Y1297" s="12"/>
      <c r="Z1297" s="12"/>
      <c r="AA1297" s="12"/>
      <c r="AB1297" s="12"/>
      <c r="AC1297" s="124"/>
      <c r="AD1297" s="124"/>
      <c r="AE1297" s="124"/>
      <c r="AF1297" s="124"/>
      <c r="AG1297" s="124"/>
      <c r="AH1297" s="124"/>
      <c r="AI1297" s="124"/>
      <c r="AJ1297" s="124"/>
      <c r="AK1297" s="12"/>
      <c r="AL1297" s="12"/>
      <c r="AM1297" s="12"/>
      <c r="AN1297" s="12"/>
      <c r="AO1297" s="261"/>
      <c r="AP1297" s="247"/>
      <c r="AS1297" s="24"/>
    </row>
    <row r="1298" spans="25:45" x14ac:dyDescent="0.2">
      <c r="Y1298" s="12"/>
      <c r="Z1298" s="12"/>
      <c r="AA1298" s="12"/>
      <c r="AB1298" s="12"/>
      <c r="AC1298" s="124"/>
      <c r="AD1298" s="124"/>
      <c r="AE1298" s="124"/>
      <c r="AF1298" s="124"/>
      <c r="AG1298" s="124"/>
      <c r="AH1298" s="124"/>
      <c r="AI1298" s="124"/>
      <c r="AJ1298" s="124"/>
      <c r="AK1298" s="12"/>
      <c r="AL1298" s="12"/>
      <c r="AM1298" s="12"/>
      <c r="AN1298" s="12"/>
      <c r="AO1298" s="261"/>
      <c r="AP1298" s="247"/>
      <c r="AS1298" s="24"/>
    </row>
    <row r="1299" spans="25:45" x14ac:dyDescent="0.2">
      <c r="Y1299" s="12"/>
      <c r="Z1299" s="12"/>
      <c r="AA1299" s="12"/>
      <c r="AB1299" s="12"/>
      <c r="AC1299" s="124"/>
      <c r="AD1299" s="124"/>
      <c r="AE1299" s="124"/>
      <c r="AF1299" s="124"/>
      <c r="AG1299" s="124"/>
      <c r="AH1299" s="124"/>
      <c r="AI1299" s="124"/>
      <c r="AJ1299" s="124"/>
      <c r="AK1299" s="12"/>
      <c r="AL1299" s="12"/>
      <c r="AM1299" s="12"/>
      <c r="AN1299" s="12"/>
      <c r="AO1299" s="261"/>
      <c r="AP1299" s="247"/>
      <c r="AS1299" s="24"/>
    </row>
    <row r="1300" spans="25:45" x14ac:dyDescent="0.2">
      <c r="Y1300" s="12"/>
      <c r="Z1300" s="12"/>
      <c r="AA1300" s="12"/>
      <c r="AB1300" s="12"/>
      <c r="AC1300" s="124"/>
      <c r="AD1300" s="124"/>
      <c r="AE1300" s="124"/>
      <c r="AF1300" s="124"/>
      <c r="AG1300" s="124"/>
      <c r="AH1300" s="124"/>
      <c r="AI1300" s="124"/>
      <c r="AJ1300" s="124"/>
      <c r="AK1300" s="12"/>
      <c r="AL1300" s="12"/>
      <c r="AM1300" s="12"/>
      <c r="AN1300" s="12"/>
      <c r="AO1300" s="261"/>
      <c r="AP1300" s="247"/>
      <c r="AS1300" s="24"/>
    </row>
    <row r="1301" spans="25:45" x14ac:dyDescent="0.2">
      <c r="Y1301" s="12"/>
      <c r="Z1301" s="12"/>
      <c r="AA1301" s="12"/>
      <c r="AB1301" s="12"/>
      <c r="AC1301" s="124"/>
      <c r="AD1301" s="124"/>
      <c r="AE1301" s="124"/>
      <c r="AF1301" s="124"/>
      <c r="AG1301" s="124"/>
      <c r="AH1301" s="124"/>
      <c r="AI1301" s="124"/>
      <c r="AJ1301" s="124"/>
      <c r="AK1301" s="12"/>
      <c r="AL1301" s="12"/>
      <c r="AM1301" s="12"/>
      <c r="AN1301" s="12"/>
      <c r="AO1301" s="261"/>
      <c r="AP1301" s="247"/>
      <c r="AS1301" s="24"/>
    </row>
    <row r="1302" spans="25:45" x14ac:dyDescent="0.2">
      <c r="Y1302" s="12"/>
      <c r="Z1302" s="12"/>
      <c r="AA1302" s="12"/>
      <c r="AB1302" s="12"/>
      <c r="AC1302" s="124"/>
      <c r="AD1302" s="124"/>
      <c r="AE1302" s="124"/>
      <c r="AF1302" s="124"/>
      <c r="AG1302" s="124"/>
      <c r="AH1302" s="124"/>
      <c r="AI1302" s="124"/>
      <c r="AJ1302" s="124"/>
      <c r="AK1302" s="12"/>
      <c r="AL1302" s="12"/>
      <c r="AM1302" s="12"/>
      <c r="AN1302" s="12"/>
      <c r="AO1302" s="261"/>
      <c r="AP1302" s="247"/>
      <c r="AS1302" s="24"/>
    </row>
    <row r="1303" spans="25:45" x14ac:dyDescent="0.2">
      <c r="Y1303" s="12"/>
      <c r="Z1303" s="12"/>
      <c r="AA1303" s="12"/>
      <c r="AB1303" s="12"/>
      <c r="AC1303" s="124"/>
      <c r="AD1303" s="124"/>
      <c r="AE1303" s="124"/>
      <c r="AF1303" s="124"/>
      <c r="AG1303" s="124"/>
      <c r="AH1303" s="124"/>
      <c r="AI1303" s="124"/>
      <c r="AJ1303" s="124"/>
      <c r="AK1303" s="12"/>
      <c r="AL1303" s="12"/>
      <c r="AM1303" s="12"/>
      <c r="AN1303" s="12"/>
      <c r="AO1303" s="261"/>
      <c r="AP1303" s="247"/>
      <c r="AS1303" s="24"/>
    </row>
    <row r="1304" spans="25:45" x14ac:dyDescent="0.2">
      <c r="Y1304" s="12"/>
      <c r="Z1304" s="12"/>
      <c r="AA1304" s="12"/>
      <c r="AB1304" s="12"/>
      <c r="AC1304" s="124"/>
      <c r="AD1304" s="124"/>
      <c r="AE1304" s="124"/>
      <c r="AF1304" s="124"/>
      <c r="AG1304" s="124"/>
      <c r="AH1304" s="124"/>
      <c r="AI1304" s="124"/>
      <c r="AJ1304" s="124"/>
      <c r="AK1304" s="12"/>
      <c r="AL1304" s="12"/>
      <c r="AM1304" s="12"/>
      <c r="AN1304" s="12"/>
      <c r="AO1304" s="261"/>
      <c r="AP1304" s="247"/>
      <c r="AS1304" s="24"/>
    </row>
    <row r="1305" spans="25:45" x14ac:dyDescent="0.2">
      <c r="Y1305" s="12"/>
      <c r="Z1305" s="12"/>
      <c r="AA1305" s="12"/>
      <c r="AB1305" s="12"/>
      <c r="AC1305" s="124"/>
      <c r="AD1305" s="124"/>
      <c r="AE1305" s="124"/>
      <c r="AF1305" s="124"/>
      <c r="AG1305" s="124"/>
      <c r="AH1305" s="124"/>
      <c r="AI1305" s="124"/>
      <c r="AJ1305" s="124"/>
      <c r="AK1305" s="12"/>
      <c r="AL1305" s="12"/>
      <c r="AM1305" s="12"/>
      <c r="AN1305" s="12"/>
      <c r="AO1305" s="261"/>
      <c r="AP1305" s="247"/>
      <c r="AS1305" s="24"/>
    </row>
    <row r="1306" spans="25:45" x14ac:dyDescent="0.2">
      <c r="Y1306" s="12"/>
      <c r="Z1306" s="12"/>
      <c r="AA1306" s="12"/>
      <c r="AB1306" s="12"/>
      <c r="AC1306" s="124"/>
      <c r="AD1306" s="124"/>
      <c r="AE1306" s="124"/>
      <c r="AF1306" s="124"/>
      <c r="AG1306" s="124"/>
      <c r="AH1306" s="124"/>
      <c r="AI1306" s="124"/>
      <c r="AJ1306" s="124"/>
      <c r="AK1306" s="12"/>
      <c r="AL1306" s="12"/>
      <c r="AM1306" s="12"/>
      <c r="AN1306" s="12"/>
      <c r="AO1306" s="261"/>
      <c r="AP1306" s="247"/>
      <c r="AS1306" s="24"/>
    </row>
    <row r="1307" spans="25:45" x14ac:dyDescent="0.2">
      <c r="Y1307" s="12"/>
      <c r="Z1307" s="12"/>
      <c r="AA1307" s="12"/>
      <c r="AB1307" s="12"/>
      <c r="AC1307" s="124"/>
      <c r="AD1307" s="124"/>
      <c r="AE1307" s="124"/>
      <c r="AF1307" s="124"/>
      <c r="AG1307" s="124"/>
      <c r="AH1307" s="124"/>
      <c r="AI1307" s="124"/>
      <c r="AJ1307" s="124"/>
      <c r="AK1307" s="12"/>
      <c r="AL1307" s="12"/>
      <c r="AM1307" s="12"/>
      <c r="AN1307" s="12"/>
      <c r="AO1307" s="261"/>
      <c r="AP1307" s="247"/>
      <c r="AS1307" s="24"/>
    </row>
    <row r="1308" spans="25:45" x14ac:dyDescent="0.2">
      <c r="Y1308" s="12"/>
      <c r="Z1308" s="12"/>
      <c r="AA1308" s="12"/>
      <c r="AB1308" s="12"/>
      <c r="AC1308" s="124"/>
      <c r="AD1308" s="124"/>
      <c r="AE1308" s="124"/>
      <c r="AF1308" s="124"/>
      <c r="AG1308" s="124"/>
      <c r="AH1308" s="124"/>
      <c r="AI1308" s="124"/>
      <c r="AJ1308" s="124"/>
      <c r="AK1308" s="12"/>
      <c r="AL1308" s="12"/>
      <c r="AM1308" s="12"/>
      <c r="AN1308" s="12"/>
      <c r="AO1308" s="261"/>
      <c r="AP1308" s="247"/>
      <c r="AS1308" s="24"/>
    </row>
    <row r="1309" spans="25:45" x14ac:dyDescent="0.2">
      <c r="Y1309" s="12"/>
      <c r="Z1309" s="12"/>
      <c r="AA1309" s="12"/>
      <c r="AB1309" s="12"/>
      <c r="AC1309" s="124"/>
      <c r="AD1309" s="124"/>
      <c r="AE1309" s="124"/>
      <c r="AF1309" s="124"/>
      <c r="AG1309" s="124"/>
      <c r="AH1309" s="124"/>
      <c r="AI1309" s="124"/>
      <c r="AJ1309" s="124"/>
      <c r="AK1309" s="12"/>
      <c r="AL1309" s="12"/>
      <c r="AM1309" s="12"/>
      <c r="AN1309" s="12"/>
      <c r="AO1309" s="261"/>
      <c r="AP1309" s="247"/>
      <c r="AS1309" s="24"/>
    </row>
    <row r="1310" spans="25:45" x14ac:dyDescent="0.2">
      <c r="Y1310" s="12"/>
      <c r="Z1310" s="12"/>
      <c r="AA1310" s="12"/>
      <c r="AB1310" s="12"/>
      <c r="AC1310" s="124"/>
      <c r="AD1310" s="124"/>
      <c r="AE1310" s="124"/>
      <c r="AF1310" s="124"/>
      <c r="AG1310" s="124"/>
      <c r="AH1310" s="124"/>
      <c r="AI1310" s="124"/>
      <c r="AJ1310" s="124"/>
      <c r="AK1310" s="12"/>
      <c r="AL1310" s="12"/>
      <c r="AM1310" s="12"/>
      <c r="AN1310" s="12"/>
      <c r="AO1310" s="261"/>
      <c r="AP1310" s="247"/>
      <c r="AS1310" s="24"/>
    </row>
    <row r="1311" spans="25:45" x14ac:dyDescent="0.2">
      <c r="Y1311" s="12"/>
      <c r="Z1311" s="12"/>
      <c r="AA1311" s="12"/>
      <c r="AB1311" s="12"/>
      <c r="AC1311" s="124"/>
      <c r="AD1311" s="124"/>
      <c r="AE1311" s="124"/>
      <c r="AF1311" s="124"/>
      <c r="AG1311" s="124"/>
      <c r="AH1311" s="124"/>
      <c r="AI1311" s="124"/>
      <c r="AJ1311" s="124"/>
      <c r="AK1311" s="12"/>
      <c r="AL1311" s="12"/>
      <c r="AM1311" s="12"/>
      <c r="AN1311" s="12"/>
      <c r="AO1311" s="261"/>
      <c r="AP1311" s="247"/>
      <c r="AS1311" s="24"/>
    </row>
    <row r="1312" spans="25:45" x14ac:dyDescent="0.2">
      <c r="Y1312" s="12"/>
      <c r="Z1312" s="12"/>
      <c r="AA1312" s="12"/>
      <c r="AB1312" s="12"/>
      <c r="AC1312" s="124"/>
      <c r="AD1312" s="124"/>
      <c r="AE1312" s="124"/>
      <c r="AF1312" s="124"/>
      <c r="AG1312" s="124"/>
      <c r="AH1312" s="124"/>
      <c r="AI1312" s="124"/>
      <c r="AJ1312" s="124"/>
      <c r="AK1312" s="12"/>
      <c r="AL1312" s="12"/>
      <c r="AM1312" s="12"/>
      <c r="AN1312" s="12"/>
      <c r="AO1312" s="261"/>
      <c r="AP1312" s="247"/>
      <c r="AS1312" s="24"/>
    </row>
    <row r="1313" spans="25:45" x14ac:dyDescent="0.2">
      <c r="Y1313" s="12"/>
      <c r="Z1313" s="12"/>
      <c r="AA1313" s="12"/>
      <c r="AB1313" s="12"/>
      <c r="AC1313" s="124"/>
      <c r="AD1313" s="124"/>
      <c r="AE1313" s="124"/>
      <c r="AF1313" s="124"/>
      <c r="AG1313" s="124"/>
      <c r="AH1313" s="124"/>
      <c r="AI1313" s="124"/>
      <c r="AJ1313" s="124"/>
      <c r="AK1313" s="12"/>
      <c r="AL1313" s="12"/>
      <c r="AM1313" s="12"/>
      <c r="AN1313" s="12"/>
      <c r="AO1313" s="261"/>
      <c r="AP1313" s="247"/>
      <c r="AS1313" s="24"/>
    </row>
    <row r="1314" spans="25:45" x14ac:dyDescent="0.2">
      <c r="Y1314" s="12"/>
      <c r="Z1314" s="12"/>
      <c r="AA1314" s="12"/>
      <c r="AB1314" s="12"/>
      <c r="AC1314" s="124"/>
      <c r="AD1314" s="124"/>
      <c r="AE1314" s="124"/>
      <c r="AF1314" s="124"/>
      <c r="AG1314" s="124"/>
      <c r="AH1314" s="124"/>
      <c r="AI1314" s="124"/>
      <c r="AJ1314" s="124"/>
      <c r="AK1314" s="12"/>
      <c r="AL1314" s="12"/>
      <c r="AM1314" s="12"/>
      <c r="AN1314" s="12"/>
      <c r="AO1314" s="261"/>
      <c r="AP1314" s="247"/>
      <c r="AS1314" s="24"/>
    </row>
    <row r="1315" spans="25:45" x14ac:dyDescent="0.2">
      <c r="Y1315" s="12"/>
      <c r="Z1315" s="12"/>
      <c r="AA1315" s="12"/>
      <c r="AB1315" s="12"/>
      <c r="AC1315" s="124"/>
      <c r="AD1315" s="124"/>
      <c r="AE1315" s="124"/>
      <c r="AF1315" s="124"/>
      <c r="AG1315" s="124"/>
      <c r="AH1315" s="124"/>
      <c r="AI1315" s="124"/>
      <c r="AJ1315" s="124"/>
      <c r="AK1315" s="12"/>
      <c r="AL1315" s="12"/>
      <c r="AM1315" s="12"/>
      <c r="AN1315" s="12"/>
      <c r="AO1315" s="261"/>
      <c r="AP1315" s="247"/>
      <c r="AS1315" s="24"/>
    </row>
    <row r="1316" spans="25:45" x14ac:dyDescent="0.2">
      <c r="Y1316" s="12"/>
      <c r="Z1316" s="12"/>
      <c r="AA1316" s="12"/>
      <c r="AB1316" s="12"/>
      <c r="AC1316" s="124"/>
      <c r="AD1316" s="124"/>
      <c r="AE1316" s="124"/>
      <c r="AF1316" s="124"/>
      <c r="AG1316" s="124"/>
      <c r="AH1316" s="124"/>
      <c r="AI1316" s="124"/>
      <c r="AJ1316" s="124"/>
      <c r="AK1316" s="12"/>
      <c r="AL1316" s="12"/>
      <c r="AM1316" s="12"/>
      <c r="AN1316" s="12"/>
      <c r="AO1316" s="261"/>
      <c r="AP1316" s="247"/>
      <c r="AS1316" s="24"/>
    </row>
    <row r="1317" spans="25:45" x14ac:dyDescent="0.2">
      <c r="Y1317" s="12"/>
      <c r="Z1317" s="12"/>
      <c r="AA1317" s="12"/>
      <c r="AB1317" s="12"/>
      <c r="AC1317" s="124"/>
      <c r="AD1317" s="124"/>
      <c r="AE1317" s="124"/>
      <c r="AF1317" s="124"/>
      <c r="AG1317" s="124"/>
      <c r="AH1317" s="124"/>
      <c r="AI1317" s="124"/>
      <c r="AJ1317" s="124"/>
      <c r="AK1317" s="12"/>
      <c r="AL1317" s="12"/>
      <c r="AM1317" s="12"/>
      <c r="AN1317" s="12"/>
      <c r="AO1317" s="261"/>
      <c r="AP1317" s="247"/>
      <c r="AS1317" s="24"/>
    </row>
    <row r="1318" spans="25:45" x14ac:dyDescent="0.2">
      <c r="Y1318" s="12"/>
      <c r="Z1318" s="12"/>
      <c r="AA1318" s="12"/>
      <c r="AB1318" s="12"/>
      <c r="AC1318" s="124"/>
      <c r="AD1318" s="124"/>
      <c r="AE1318" s="124"/>
      <c r="AF1318" s="124"/>
      <c r="AG1318" s="124"/>
      <c r="AH1318" s="124"/>
      <c r="AI1318" s="124"/>
      <c r="AJ1318" s="124"/>
      <c r="AK1318" s="12"/>
      <c r="AL1318" s="12"/>
      <c r="AM1318" s="12"/>
      <c r="AN1318" s="12"/>
      <c r="AO1318" s="261"/>
      <c r="AP1318" s="247"/>
      <c r="AS1318" s="24"/>
    </row>
    <row r="1319" spans="25:45" x14ac:dyDescent="0.2">
      <c r="Y1319" s="12"/>
      <c r="Z1319" s="12"/>
      <c r="AA1319" s="12"/>
      <c r="AB1319" s="12"/>
      <c r="AC1319" s="124"/>
      <c r="AD1319" s="124"/>
      <c r="AE1319" s="124"/>
      <c r="AF1319" s="124"/>
      <c r="AG1319" s="124"/>
      <c r="AH1319" s="124"/>
      <c r="AI1319" s="124"/>
      <c r="AJ1319" s="124"/>
      <c r="AK1319" s="12"/>
      <c r="AL1319" s="12"/>
      <c r="AM1319" s="12"/>
      <c r="AN1319" s="12"/>
      <c r="AO1319" s="261"/>
      <c r="AP1319" s="247"/>
      <c r="AS1319" s="24"/>
    </row>
    <row r="1320" spans="25:45" x14ac:dyDescent="0.2">
      <c r="Y1320" s="12"/>
      <c r="Z1320" s="12"/>
      <c r="AA1320" s="12"/>
      <c r="AB1320" s="12"/>
      <c r="AC1320" s="124"/>
      <c r="AD1320" s="124"/>
      <c r="AE1320" s="124"/>
      <c r="AF1320" s="124"/>
      <c r="AG1320" s="124"/>
      <c r="AH1320" s="124"/>
      <c r="AI1320" s="124"/>
      <c r="AJ1320" s="124"/>
      <c r="AK1320" s="12"/>
      <c r="AL1320" s="12"/>
      <c r="AM1320" s="12"/>
      <c r="AN1320" s="12"/>
      <c r="AO1320" s="261"/>
      <c r="AP1320" s="247"/>
      <c r="AS1320" s="24"/>
    </row>
    <row r="1321" spans="25:45" x14ac:dyDescent="0.2">
      <c r="Y1321" s="12"/>
      <c r="Z1321" s="12"/>
      <c r="AA1321" s="12"/>
      <c r="AB1321" s="12"/>
      <c r="AC1321" s="124"/>
      <c r="AD1321" s="124"/>
      <c r="AE1321" s="124"/>
      <c r="AF1321" s="124"/>
      <c r="AG1321" s="124"/>
      <c r="AH1321" s="124"/>
      <c r="AI1321" s="124"/>
      <c r="AJ1321" s="124"/>
      <c r="AK1321" s="12"/>
      <c r="AL1321" s="12"/>
      <c r="AM1321" s="12"/>
      <c r="AN1321" s="12"/>
      <c r="AO1321" s="261"/>
      <c r="AP1321" s="247"/>
      <c r="AS1321" s="24"/>
    </row>
    <row r="1322" spans="25:45" x14ac:dyDescent="0.2">
      <c r="Y1322" s="12"/>
      <c r="Z1322" s="12"/>
      <c r="AA1322" s="12"/>
      <c r="AB1322" s="12"/>
      <c r="AC1322" s="124"/>
      <c r="AD1322" s="124"/>
      <c r="AE1322" s="124"/>
      <c r="AF1322" s="124"/>
      <c r="AG1322" s="124"/>
      <c r="AH1322" s="124"/>
      <c r="AI1322" s="124"/>
      <c r="AJ1322" s="124"/>
      <c r="AK1322" s="12"/>
      <c r="AL1322" s="12"/>
      <c r="AM1322" s="12"/>
      <c r="AN1322" s="12"/>
      <c r="AO1322" s="261"/>
      <c r="AP1322" s="247"/>
      <c r="AS1322" s="24"/>
    </row>
    <row r="1323" spans="25:45" x14ac:dyDescent="0.2">
      <c r="Y1323" s="12"/>
      <c r="Z1323" s="12"/>
      <c r="AA1323" s="12"/>
      <c r="AB1323" s="12"/>
      <c r="AC1323" s="124"/>
      <c r="AD1323" s="124"/>
      <c r="AE1323" s="124"/>
      <c r="AF1323" s="124"/>
      <c r="AG1323" s="124"/>
      <c r="AH1323" s="124"/>
      <c r="AI1323" s="124"/>
      <c r="AJ1323" s="124"/>
      <c r="AK1323" s="12"/>
      <c r="AL1323" s="12"/>
      <c r="AM1323" s="12"/>
      <c r="AN1323" s="12"/>
      <c r="AO1323" s="261"/>
      <c r="AP1323" s="247"/>
      <c r="AS1323" s="24"/>
    </row>
    <row r="1324" spans="25:45" x14ac:dyDescent="0.2">
      <c r="Y1324" s="12"/>
      <c r="Z1324" s="12"/>
      <c r="AA1324" s="12"/>
      <c r="AB1324" s="12"/>
      <c r="AC1324" s="124"/>
      <c r="AD1324" s="124"/>
      <c r="AE1324" s="124"/>
      <c r="AF1324" s="124"/>
      <c r="AG1324" s="124"/>
      <c r="AH1324" s="124"/>
      <c r="AI1324" s="124"/>
      <c r="AJ1324" s="124"/>
      <c r="AK1324" s="12"/>
      <c r="AL1324" s="12"/>
      <c r="AM1324" s="12"/>
      <c r="AN1324" s="12"/>
      <c r="AO1324" s="261"/>
      <c r="AP1324" s="247"/>
      <c r="AS1324" s="24"/>
    </row>
    <row r="1325" spans="25:45" x14ac:dyDescent="0.2">
      <c r="Y1325" s="12"/>
      <c r="Z1325" s="12"/>
      <c r="AA1325" s="12"/>
      <c r="AB1325" s="12"/>
      <c r="AC1325" s="124"/>
      <c r="AD1325" s="124"/>
      <c r="AE1325" s="124"/>
      <c r="AF1325" s="124"/>
      <c r="AG1325" s="124"/>
      <c r="AH1325" s="124"/>
      <c r="AI1325" s="124"/>
      <c r="AJ1325" s="124"/>
      <c r="AK1325" s="12"/>
      <c r="AL1325" s="12"/>
      <c r="AM1325" s="12"/>
      <c r="AN1325" s="12"/>
      <c r="AO1325" s="261"/>
      <c r="AP1325" s="247"/>
      <c r="AS1325" s="24"/>
    </row>
    <row r="1326" spans="25:45" x14ac:dyDescent="0.2">
      <c r="Y1326" s="12"/>
      <c r="Z1326" s="12"/>
      <c r="AA1326" s="12"/>
      <c r="AB1326" s="12"/>
      <c r="AC1326" s="124"/>
      <c r="AD1326" s="124"/>
      <c r="AE1326" s="124"/>
      <c r="AF1326" s="124"/>
      <c r="AG1326" s="124"/>
      <c r="AH1326" s="124"/>
      <c r="AI1326" s="124"/>
      <c r="AJ1326" s="124"/>
      <c r="AK1326" s="12"/>
      <c r="AL1326" s="12"/>
      <c r="AM1326" s="12"/>
      <c r="AN1326" s="12"/>
      <c r="AO1326" s="261"/>
      <c r="AP1326" s="247"/>
      <c r="AS1326" s="24"/>
    </row>
    <row r="1327" spans="25:45" x14ac:dyDescent="0.2">
      <c r="Y1327" s="12"/>
      <c r="Z1327" s="12"/>
      <c r="AA1327" s="12"/>
      <c r="AB1327" s="12"/>
      <c r="AC1327" s="124"/>
      <c r="AD1327" s="124"/>
      <c r="AE1327" s="124"/>
      <c r="AF1327" s="124"/>
      <c r="AG1327" s="124"/>
      <c r="AH1327" s="124"/>
      <c r="AI1327" s="124"/>
      <c r="AJ1327" s="124"/>
      <c r="AK1327" s="12"/>
      <c r="AL1327" s="12"/>
      <c r="AM1327" s="12"/>
      <c r="AN1327" s="12"/>
      <c r="AO1327" s="261"/>
      <c r="AP1327" s="247"/>
      <c r="AS1327" s="24"/>
    </row>
    <row r="1328" spans="25:45" x14ac:dyDescent="0.2">
      <c r="Y1328" s="12"/>
      <c r="Z1328" s="12"/>
      <c r="AA1328" s="12"/>
      <c r="AB1328" s="12"/>
      <c r="AC1328" s="124"/>
      <c r="AD1328" s="124"/>
      <c r="AE1328" s="124"/>
      <c r="AF1328" s="124"/>
      <c r="AG1328" s="124"/>
      <c r="AH1328" s="124"/>
      <c r="AI1328" s="124"/>
      <c r="AJ1328" s="124"/>
      <c r="AK1328" s="12"/>
      <c r="AL1328" s="12"/>
      <c r="AM1328" s="12"/>
      <c r="AN1328" s="12"/>
      <c r="AO1328" s="261"/>
      <c r="AP1328" s="247"/>
      <c r="AS1328" s="24"/>
    </row>
    <row r="1329" spans="25:45" x14ac:dyDescent="0.2">
      <c r="Y1329" s="12"/>
      <c r="Z1329" s="12"/>
      <c r="AA1329" s="12"/>
      <c r="AB1329" s="12"/>
      <c r="AC1329" s="124"/>
      <c r="AD1329" s="124"/>
      <c r="AE1329" s="124"/>
      <c r="AF1329" s="124"/>
      <c r="AG1329" s="124"/>
      <c r="AH1329" s="124"/>
      <c r="AI1329" s="124"/>
      <c r="AJ1329" s="124"/>
      <c r="AK1329" s="12"/>
      <c r="AL1329" s="12"/>
      <c r="AM1329" s="12"/>
      <c r="AN1329" s="12"/>
      <c r="AO1329" s="261"/>
      <c r="AP1329" s="247"/>
      <c r="AS1329" s="24"/>
    </row>
    <row r="1330" spans="25:45" x14ac:dyDescent="0.2">
      <c r="Y1330" s="12"/>
      <c r="Z1330" s="12"/>
      <c r="AA1330" s="12"/>
      <c r="AB1330" s="12"/>
      <c r="AC1330" s="124"/>
      <c r="AD1330" s="124"/>
      <c r="AE1330" s="124"/>
      <c r="AF1330" s="124"/>
      <c r="AG1330" s="124"/>
      <c r="AH1330" s="124"/>
      <c r="AI1330" s="124"/>
      <c r="AJ1330" s="124"/>
      <c r="AK1330" s="12"/>
      <c r="AL1330" s="12"/>
      <c r="AM1330" s="12"/>
      <c r="AN1330" s="12"/>
      <c r="AO1330" s="261"/>
      <c r="AP1330" s="247"/>
      <c r="AS1330" s="24"/>
    </row>
    <row r="1331" spans="25:45" x14ac:dyDescent="0.2">
      <c r="Y1331" s="12"/>
      <c r="Z1331" s="12"/>
      <c r="AA1331" s="12"/>
      <c r="AB1331" s="12"/>
      <c r="AC1331" s="124"/>
      <c r="AD1331" s="124"/>
      <c r="AE1331" s="124"/>
      <c r="AF1331" s="124"/>
      <c r="AG1331" s="124"/>
      <c r="AH1331" s="124"/>
      <c r="AI1331" s="124"/>
      <c r="AJ1331" s="124"/>
      <c r="AK1331" s="12"/>
      <c r="AL1331" s="12"/>
      <c r="AM1331" s="12"/>
      <c r="AN1331" s="12"/>
      <c r="AO1331" s="261"/>
      <c r="AP1331" s="247"/>
      <c r="AS1331" s="24"/>
    </row>
    <row r="1332" spans="25:45" x14ac:dyDescent="0.2">
      <c r="Y1332" s="12"/>
      <c r="Z1332" s="12"/>
      <c r="AA1332" s="12"/>
      <c r="AB1332" s="12"/>
      <c r="AC1332" s="124"/>
      <c r="AD1332" s="124"/>
      <c r="AE1332" s="124"/>
      <c r="AF1332" s="124"/>
      <c r="AG1332" s="124"/>
      <c r="AH1332" s="124"/>
      <c r="AI1332" s="124"/>
      <c r="AJ1332" s="124"/>
      <c r="AK1332" s="12"/>
      <c r="AL1332" s="12"/>
      <c r="AM1332" s="12"/>
      <c r="AN1332" s="12"/>
      <c r="AO1332" s="261"/>
      <c r="AP1332" s="247"/>
      <c r="AS1332" s="24"/>
    </row>
    <row r="1333" spans="25:45" x14ac:dyDescent="0.2">
      <c r="Y1333" s="12"/>
      <c r="Z1333" s="12"/>
      <c r="AA1333" s="12"/>
      <c r="AB1333" s="12"/>
      <c r="AC1333" s="124"/>
      <c r="AD1333" s="124"/>
      <c r="AE1333" s="124"/>
      <c r="AF1333" s="124"/>
      <c r="AG1333" s="124"/>
      <c r="AH1333" s="124"/>
      <c r="AI1333" s="124"/>
      <c r="AJ1333" s="124"/>
      <c r="AK1333" s="12"/>
      <c r="AL1333" s="12"/>
      <c r="AM1333" s="12"/>
      <c r="AN1333" s="12"/>
      <c r="AO1333" s="261"/>
      <c r="AP1333" s="247"/>
      <c r="AS1333" s="24"/>
    </row>
    <row r="1334" spans="25:45" x14ac:dyDescent="0.2">
      <c r="Y1334" s="12"/>
      <c r="Z1334" s="12"/>
      <c r="AA1334" s="12"/>
      <c r="AB1334" s="12"/>
      <c r="AC1334" s="124"/>
      <c r="AD1334" s="124"/>
      <c r="AE1334" s="124"/>
      <c r="AF1334" s="124"/>
      <c r="AG1334" s="124"/>
      <c r="AH1334" s="124"/>
      <c r="AI1334" s="124"/>
      <c r="AJ1334" s="124"/>
      <c r="AK1334" s="12"/>
      <c r="AL1334" s="12"/>
      <c r="AM1334" s="12"/>
      <c r="AN1334" s="12"/>
      <c r="AO1334" s="261"/>
      <c r="AP1334" s="247"/>
      <c r="AS1334" s="24"/>
    </row>
    <row r="1335" spans="25:45" x14ac:dyDescent="0.2">
      <c r="Y1335" s="12"/>
      <c r="Z1335" s="12"/>
      <c r="AA1335" s="12"/>
      <c r="AB1335" s="12"/>
      <c r="AC1335" s="124"/>
      <c r="AD1335" s="124"/>
      <c r="AE1335" s="124"/>
      <c r="AF1335" s="124"/>
      <c r="AG1335" s="124"/>
      <c r="AH1335" s="124"/>
      <c r="AI1335" s="124"/>
      <c r="AJ1335" s="124"/>
      <c r="AK1335" s="12"/>
      <c r="AL1335" s="12"/>
      <c r="AM1335" s="12"/>
      <c r="AN1335" s="12"/>
      <c r="AO1335" s="261"/>
      <c r="AP1335" s="247"/>
      <c r="AS1335" s="24"/>
    </row>
    <row r="1336" spans="25:45" x14ac:dyDescent="0.2">
      <c r="Y1336" s="12"/>
      <c r="Z1336" s="12"/>
      <c r="AA1336" s="12"/>
      <c r="AB1336" s="12"/>
      <c r="AC1336" s="124"/>
      <c r="AD1336" s="124"/>
      <c r="AE1336" s="124"/>
      <c r="AF1336" s="124"/>
      <c r="AG1336" s="124"/>
      <c r="AH1336" s="124"/>
      <c r="AI1336" s="124"/>
      <c r="AJ1336" s="124"/>
      <c r="AK1336" s="12"/>
      <c r="AL1336" s="12"/>
      <c r="AM1336" s="12"/>
      <c r="AN1336" s="12"/>
      <c r="AO1336" s="261"/>
      <c r="AP1336" s="247"/>
      <c r="AS1336" s="24"/>
    </row>
    <row r="1337" spans="25:45" x14ac:dyDescent="0.2">
      <c r="Y1337" s="12"/>
      <c r="Z1337" s="12"/>
      <c r="AA1337" s="12"/>
      <c r="AB1337" s="12"/>
      <c r="AC1337" s="124"/>
      <c r="AD1337" s="124"/>
      <c r="AE1337" s="124"/>
      <c r="AF1337" s="124"/>
      <c r="AG1337" s="124"/>
      <c r="AH1337" s="124"/>
      <c r="AI1337" s="124"/>
      <c r="AJ1337" s="124"/>
      <c r="AK1337" s="12"/>
      <c r="AL1337" s="12"/>
      <c r="AM1337" s="12"/>
      <c r="AN1337" s="12"/>
      <c r="AO1337" s="261"/>
      <c r="AP1337" s="247"/>
      <c r="AS1337" s="24"/>
    </row>
    <row r="1338" spans="25:45" x14ac:dyDescent="0.2">
      <c r="Y1338" s="12"/>
      <c r="Z1338" s="12"/>
      <c r="AA1338" s="12"/>
      <c r="AB1338" s="12"/>
      <c r="AC1338" s="124"/>
      <c r="AD1338" s="124"/>
      <c r="AE1338" s="124"/>
      <c r="AF1338" s="124"/>
      <c r="AG1338" s="124"/>
      <c r="AH1338" s="124"/>
      <c r="AI1338" s="124"/>
      <c r="AJ1338" s="124"/>
      <c r="AK1338" s="12"/>
      <c r="AL1338" s="12"/>
      <c r="AM1338" s="12"/>
      <c r="AN1338" s="12"/>
      <c r="AO1338" s="261"/>
      <c r="AP1338" s="247"/>
      <c r="AS1338" s="24"/>
    </row>
    <row r="1339" spans="25:45" x14ac:dyDescent="0.2">
      <c r="Y1339" s="12"/>
      <c r="Z1339" s="12"/>
      <c r="AA1339" s="12"/>
      <c r="AB1339" s="12"/>
      <c r="AC1339" s="124"/>
      <c r="AD1339" s="124"/>
      <c r="AE1339" s="124"/>
      <c r="AF1339" s="124"/>
      <c r="AG1339" s="124"/>
      <c r="AH1339" s="124"/>
      <c r="AI1339" s="124"/>
      <c r="AJ1339" s="124"/>
      <c r="AK1339" s="12"/>
      <c r="AL1339" s="12"/>
      <c r="AM1339" s="12"/>
      <c r="AN1339" s="12"/>
      <c r="AO1339" s="261"/>
      <c r="AP1339" s="247"/>
      <c r="AS1339" s="24"/>
    </row>
    <row r="1340" spans="25:45" x14ac:dyDescent="0.2">
      <c r="Y1340" s="12"/>
      <c r="Z1340" s="12"/>
      <c r="AA1340" s="12"/>
      <c r="AB1340" s="12"/>
      <c r="AC1340" s="124"/>
      <c r="AD1340" s="124"/>
      <c r="AE1340" s="124"/>
      <c r="AF1340" s="124"/>
      <c r="AG1340" s="124"/>
      <c r="AH1340" s="124"/>
      <c r="AI1340" s="124"/>
      <c r="AJ1340" s="124"/>
      <c r="AK1340" s="12"/>
      <c r="AL1340" s="12"/>
      <c r="AM1340" s="12"/>
      <c r="AN1340" s="12"/>
      <c r="AO1340" s="261"/>
      <c r="AP1340" s="247"/>
      <c r="AS1340" s="24"/>
    </row>
    <row r="1341" spans="25:45" x14ac:dyDescent="0.2">
      <c r="Y1341" s="12"/>
      <c r="Z1341" s="12"/>
      <c r="AA1341" s="12"/>
      <c r="AB1341" s="12"/>
      <c r="AC1341" s="124"/>
      <c r="AD1341" s="124"/>
      <c r="AE1341" s="124"/>
      <c r="AF1341" s="124"/>
      <c r="AG1341" s="124"/>
      <c r="AH1341" s="124"/>
      <c r="AI1341" s="124"/>
      <c r="AJ1341" s="124"/>
      <c r="AK1341" s="12"/>
      <c r="AL1341" s="12"/>
      <c r="AM1341" s="12"/>
      <c r="AN1341" s="12"/>
      <c r="AO1341" s="261"/>
      <c r="AP1341" s="247"/>
      <c r="AS1341" s="24"/>
    </row>
    <row r="1342" spans="25:45" x14ac:dyDescent="0.2">
      <c r="Y1342" s="12"/>
      <c r="Z1342" s="12"/>
      <c r="AA1342" s="12"/>
      <c r="AB1342" s="12"/>
      <c r="AC1342" s="124"/>
      <c r="AD1342" s="124"/>
      <c r="AE1342" s="124"/>
      <c r="AF1342" s="124"/>
      <c r="AG1342" s="124"/>
      <c r="AH1342" s="124"/>
      <c r="AI1342" s="124"/>
      <c r="AJ1342" s="124"/>
      <c r="AK1342" s="12"/>
      <c r="AL1342" s="12"/>
      <c r="AM1342" s="12"/>
      <c r="AN1342" s="12"/>
      <c r="AO1342" s="261"/>
      <c r="AP1342" s="247"/>
      <c r="AS1342" s="24"/>
    </row>
    <row r="1343" spans="25:45" x14ac:dyDescent="0.2">
      <c r="Y1343" s="12"/>
      <c r="Z1343" s="12"/>
      <c r="AA1343" s="12"/>
      <c r="AB1343" s="12"/>
      <c r="AC1343" s="124"/>
      <c r="AD1343" s="124"/>
      <c r="AE1343" s="124"/>
      <c r="AF1343" s="124"/>
      <c r="AG1343" s="124"/>
      <c r="AH1343" s="124"/>
      <c r="AI1343" s="124"/>
      <c r="AJ1343" s="124"/>
      <c r="AK1343" s="12"/>
      <c r="AL1343" s="12"/>
      <c r="AM1343" s="12"/>
      <c r="AN1343" s="12"/>
      <c r="AO1343" s="261"/>
      <c r="AP1343" s="247"/>
      <c r="AS1343" s="24"/>
    </row>
    <row r="1344" spans="25:45" x14ac:dyDescent="0.2">
      <c r="Y1344" s="12"/>
      <c r="Z1344" s="12"/>
      <c r="AA1344" s="12"/>
      <c r="AB1344" s="12"/>
      <c r="AC1344" s="124"/>
      <c r="AD1344" s="124"/>
      <c r="AE1344" s="124"/>
      <c r="AF1344" s="124"/>
      <c r="AG1344" s="124"/>
      <c r="AH1344" s="124"/>
      <c r="AI1344" s="124"/>
      <c r="AJ1344" s="124"/>
      <c r="AK1344" s="12"/>
      <c r="AL1344" s="12"/>
      <c r="AM1344" s="12"/>
      <c r="AN1344" s="12"/>
      <c r="AO1344" s="261"/>
      <c r="AP1344" s="247"/>
      <c r="AS1344" s="24"/>
    </row>
    <row r="1345" spans="25:45" x14ac:dyDescent="0.2">
      <c r="Y1345" s="12"/>
      <c r="Z1345" s="12"/>
      <c r="AA1345" s="12"/>
      <c r="AB1345" s="12"/>
      <c r="AC1345" s="124"/>
      <c r="AD1345" s="124"/>
      <c r="AE1345" s="124"/>
      <c r="AF1345" s="124"/>
      <c r="AG1345" s="124"/>
      <c r="AH1345" s="124"/>
      <c r="AI1345" s="124"/>
      <c r="AJ1345" s="124"/>
      <c r="AK1345" s="12"/>
      <c r="AL1345" s="12"/>
      <c r="AM1345" s="12"/>
      <c r="AN1345" s="12"/>
      <c r="AO1345" s="261"/>
      <c r="AP1345" s="247"/>
      <c r="AS1345" s="24"/>
    </row>
    <row r="1346" spans="25:45" x14ac:dyDescent="0.2">
      <c r="Y1346" s="12"/>
      <c r="Z1346" s="12"/>
      <c r="AA1346" s="12"/>
      <c r="AB1346" s="12"/>
      <c r="AC1346" s="124"/>
      <c r="AD1346" s="124"/>
      <c r="AE1346" s="124"/>
      <c r="AF1346" s="124"/>
      <c r="AG1346" s="124"/>
      <c r="AH1346" s="124"/>
      <c r="AI1346" s="124"/>
      <c r="AJ1346" s="124"/>
      <c r="AK1346" s="12"/>
      <c r="AL1346" s="12"/>
      <c r="AM1346" s="12"/>
      <c r="AN1346" s="12"/>
      <c r="AO1346" s="261"/>
      <c r="AP1346" s="247"/>
      <c r="AS1346" s="24"/>
    </row>
    <row r="1347" spans="25:45" x14ac:dyDescent="0.2">
      <c r="Y1347" s="12"/>
      <c r="Z1347" s="12"/>
      <c r="AA1347" s="12"/>
      <c r="AB1347" s="12"/>
      <c r="AC1347" s="124"/>
      <c r="AD1347" s="124"/>
      <c r="AE1347" s="124"/>
      <c r="AF1347" s="124"/>
      <c r="AG1347" s="124"/>
      <c r="AH1347" s="124"/>
      <c r="AI1347" s="124"/>
      <c r="AJ1347" s="124"/>
      <c r="AK1347" s="12"/>
      <c r="AL1347" s="12"/>
      <c r="AM1347" s="12"/>
      <c r="AN1347" s="12"/>
      <c r="AO1347" s="261"/>
      <c r="AP1347" s="247"/>
      <c r="AS1347" s="24"/>
    </row>
    <row r="1348" spans="25:45" x14ac:dyDescent="0.2">
      <c r="Y1348" s="12"/>
      <c r="Z1348" s="12"/>
      <c r="AA1348" s="12"/>
      <c r="AB1348" s="12"/>
      <c r="AC1348" s="124"/>
      <c r="AD1348" s="124"/>
      <c r="AE1348" s="124"/>
      <c r="AF1348" s="124"/>
      <c r="AG1348" s="124"/>
      <c r="AH1348" s="124"/>
      <c r="AI1348" s="124"/>
      <c r="AJ1348" s="124"/>
      <c r="AK1348" s="12"/>
      <c r="AL1348" s="12"/>
      <c r="AM1348" s="12"/>
      <c r="AN1348" s="12"/>
      <c r="AO1348" s="261"/>
      <c r="AP1348" s="247"/>
      <c r="AS1348" s="24"/>
    </row>
    <row r="1349" spans="25:45" x14ac:dyDescent="0.2">
      <c r="Y1349" s="12"/>
      <c r="Z1349" s="12"/>
      <c r="AA1349" s="12"/>
      <c r="AB1349" s="12"/>
      <c r="AC1349" s="124"/>
      <c r="AD1349" s="124"/>
      <c r="AE1349" s="124"/>
      <c r="AF1349" s="124"/>
      <c r="AG1349" s="124"/>
      <c r="AH1349" s="124"/>
      <c r="AI1349" s="124"/>
      <c r="AJ1349" s="124"/>
      <c r="AK1349" s="12"/>
      <c r="AL1349" s="12"/>
      <c r="AM1349" s="12"/>
      <c r="AN1349" s="12"/>
      <c r="AO1349" s="261"/>
      <c r="AP1349" s="247"/>
      <c r="AS1349" s="24"/>
    </row>
    <row r="1350" spans="25:45" x14ac:dyDescent="0.2">
      <c r="Y1350" s="12"/>
      <c r="Z1350" s="12"/>
      <c r="AA1350" s="12"/>
      <c r="AB1350" s="12"/>
      <c r="AC1350" s="124"/>
      <c r="AD1350" s="124"/>
      <c r="AE1350" s="124"/>
      <c r="AF1350" s="124"/>
      <c r="AG1350" s="124"/>
      <c r="AH1350" s="124"/>
      <c r="AI1350" s="124"/>
      <c r="AJ1350" s="124"/>
      <c r="AK1350" s="12"/>
      <c r="AL1350" s="12"/>
      <c r="AM1350" s="12"/>
      <c r="AN1350" s="12"/>
      <c r="AO1350" s="261"/>
      <c r="AP1350" s="247"/>
      <c r="AS1350" s="24"/>
    </row>
    <row r="1351" spans="25:45" x14ac:dyDescent="0.2">
      <c r="Y1351" s="12"/>
      <c r="Z1351" s="12"/>
      <c r="AA1351" s="12"/>
      <c r="AB1351" s="12"/>
      <c r="AC1351" s="124"/>
      <c r="AD1351" s="124"/>
      <c r="AE1351" s="124"/>
      <c r="AF1351" s="124"/>
      <c r="AG1351" s="124"/>
      <c r="AH1351" s="124"/>
      <c r="AI1351" s="124"/>
      <c r="AJ1351" s="124"/>
      <c r="AK1351" s="12"/>
      <c r="AL1351" s="12"/>
      <c r="AM1351" s="12"/>
      <c r="AN1351" s="12"/>
      <c r="AO1351" s="261"/>
      <c r="AP1351" s="247"/>
      <c r="AS1351" s="24"/>
    </row>
    <row r="1352" spans="25:45" x14ac:dyDescent="0.2">
      <c r="Y1352" s="12"/>
      <c r="Z1352" s="12"/>
      <c r="AA1352" s="12"/>
      <c r="AB1352" s="12"/>
      <c r="AC1352" s="124"/>
      <c r="AD1352" s="124"/>
      <c r="AE1352" s="124"/>
      <c r="AF1352" s="124"/>
      <c r="AG1352" s="124"/>
      <c r="AH1352" s="124"/>
      <c r="AI1352" s="124"/>
      <c r="AJ1352" s="124"/>
      <c r="AK1352" s="12"/>
      <c r="AL1352" s="12"/>
      <c r="AM1352" s="12"/>
      <c r="AN1352" s="12"/>
      <c r="AO1352" s="261"/>
      <c r="AP1352" s="247"/>
      <c r="AS1352" s="24"/>
    </row>
    <row r="1353" spans="25:45" x14ac:dyDescent="0.2">
      <c r="Y1353" s="12"/>
      <c r="Z1353" s="12"/>
      <c r="AA1353" s="12"/>
      <c r="AB1353" s="12"/>
      <c r="AC1353" s="124"/>
      <c r="AD1353" s="124"/>
      <c r="AE1353" s="124"/>
      <c r="AF1353" s="124"/>
      <c r="AG1353" s="124"/>
      <c r="AH1353" s="124"/>
      <c r="AI1353" s="124"/>
      <c r="AJ1353" s="124"/>
      <c r="AK1353" s="12"/>
      <c r="AL1353" s="12"/>
      <c r="AM1353" s="12"/>
      <c r="AN1353" s="12"/>
      <c r="AO1353" s="261"/>
      <c r="AP1353" s="247"/>
      <c r="AS1353" s="24"/>
    </row>
    <row r="1354" spans="25:45" x14ac:dyDescent="0.2">
      <c r="Y1354" s="12"/>
      <c r="Z1354" s="12"/>
      <c r="AA1354" s="12"/>
      <c r="AB1354" s="12"/>
      <c r="AC1354" s="124"/>
      <c r="AD1354" s="124"/>
      <c r="AE1354" s="124"/>
      <c r="AF1354" s="124"/>
      <c r="AG1354" s="124"/>
      <c r="AH1354" s="124"/>
      <c r="AI1354" s="124"/>
      <c r="AJ1354" s="124"/>
      <c r="AK1354" s="12"/>
      <c r="AL1354" s="12"/>
      <c r="AM1354" s="12"/>
      <c r="AN1354" s="12"/>
      <c r="AO1354" s="261"/>
      <c r="AP1354" s="247"/>
      <c r="AS1354" s="24"/>
    </row>
    <row r="1355" spans="25:45" x14ac:dyDescent="0.2">
      <c r="Y1355" s="12"/>
      <c r="Z1355" s="12"/>
      <c r="AA1355" s="12"/>
      <c r="AB1355" s="12"/>
      <c r="AC1355" s="124"/>
      <c r="AD1355" s="124"/>
      <c r="AE1355" s="124"/>
      <c r="AF1355" s="124"/>
      <c r="AG1355" s="124"/>
      <c r="AH1355" s="124"/>
      <c r="AI1355" s="124"/>
      <c r="AJ1355" s="124"/>
      <c r="AK1355" s="12"/>
      <c r="AL1355" s="12"/>
      <c r="AM1355" s="12"/>
      <c r="AN1355" s="12"/>
      <c r="AO1355" s="261"/>
      <c r="AP1355" s="247"/>
      <c r="AS1355" s="24"/>
    </row>
    <row r="1356" spans="25:45" x14ac:dyDescent="0.2">
      <c r="Y1356" s="12"/>
      <c r="Z1356" s="12"/>
      <c r="AA1356" s="12"/>
      <c r="AB1356" s="12"/>
      <c r="AC1356" s="124"/>
      <c r="AD1356" s="124"/>
      <c r="AE1356" s="124"/>
      <c r="AF1356" s="124"/>
      <c r="AG1356" s="124"/>
      <c r="AH1356" s="124"/>
      <c r="AI1356" s="124"/>
      <c r="AJ1356" s="124"/>
      <c r="AK1356" s="12"/>
      <c r="AL1356" s="12"/>
      <c r="AM1356" s="12"/>
      <c r="AN1356" s="12"/>
      <c r="AO1356" s="261"/>
      <c r="AP1356" s="247"/>
      <c r="AS1356" s="24"/>
    </row>
    <row r="1357" spans="25:45" x14ac:dyDescent="0.2">
      <c r="Y1357" s="12"/>
      <c r="Z1357" s="12"/>
      <c r="AA1357" s="12"/>
      <c r="AB1357" s="12"/>
      <c r="AC1357" s="124"/>
      <c r="AD1357" s="124"/>
      <c r="AE1357" s="124"/>
      <c r="AF1357" s="124"/>
      <c r="AG1357" s="124"/>
      <c r="AH1357" s="124"/>
      <c r="AI1357" s="124"/>
      <c r="AJ1357" s="124"/>
      <c r="AK1357" s="12"/>
      <c r="AL1357" s="12"/>
      <c r="AM1357" s="12"/>
      <c r="AN1357" s="12"/>
      <c r="AO1357" s="261"/>
      <c r="AP1357" s="247"/>
      <c r="AS1357" s="24"/>
    </row>
    <row r="1358" spans="25:45" x14ac:dyDescent="0.2">
      <c r="Y1358" s="12"/>
      <c r="Z1358" s="12"/>
      <c r="AA1358" s="12"/>
      <c r="AB1358" s="12"/>
      <c r="AC1358" s="124"/>
      <c r="AD1358" s="124"/>
      <c r="AE1358" s="124"/>
      <c r="AF1358" s="124"/>
      <c r="AG1358" s="124"/>
      <c r="AH1358" s="124"/>
      <c r="AI1358" s="124"/>
      <c r="AJ1358" s="124"/>
      <c r="AK1358" s="12"/>
      <c r="AL1358" s="12"/>
      <c r="AM1358" s="12"/>
      <c r="AN1358" s="12"/>
      <c r="AO1358" s="261"/>
      <c r="AP1358" s="247"/>
      <c r="AS1358" s="24"/>
    </row>
    <row r="1359" spans="25:45" x14ac:dyDescent="0.2">
      <c r="Y1359" s="12"/>
      <c r="Z1359" s="12"/>
      <c r="AA1359" s="12"/>
      <c r="AB1359" s="12"/>
      <c r="AC1359" s="124"/>
      <c r="AD1359" s="124"/>
      <c r="AE1359" s="124"/>
      <c r="AF1359" s="124"/>
      <c r="AG1359" s="124"/>
      <c r="AH1359" s="124"/>
      <c r="AI1359" s="124"/>
      <c r="AJ1359" s="124"/>
      <c r="AK1359" s="12"/>
      <c r="AL1359" s="12"/>
      <c r="AM1359" s="12"/>
      <c r="AN1359" s="12"/>
      <c r="AO1359" s="261"/>
      <c r="AP1359" s="247"/>
      <c r="AS1359" s="24"/>
    </row>
    <row r="1360" spans="25:45" x14ac:dyDescent="0.2">
      <c r="Y1360" s="12"/>
      <c r="Z1360" s="12"/>
      <c r="AA1360" s="12"/>
      <c r="AB1360" s="12"/>
      <c r="AC1360" s="124"/>
      <c r="AD1360" s="124"/>
      <c r="AE1360" s="124"/>
      <c r="AF1360" s="124"/>
      <c r="AG1360" s="124"/>
      <c r="AH1360" s="124"/>
      <c r="AI1360" s="124"/>
      <c r="AJ1360" s="124"/>
      <c r="AK1360" s="12"/>
      <c r="AL1360" s="12"/>
      <c r="AM1360" s="12"/>
      <c r="AN1360" s="12"/>
      <c r="AO1360" s="261"/>
      <c r="AP1360" s="247"/>
      <c r="AS1360" s="24"/>
    </row>
    <row r="1361" spans="25:45" x14ac:dyDescent="0.2">
      <c r="Y1361" s="12"/>
      <c r="Z1361" s="12"/>
      <c r="AA1361" s="12"/>
      <c r="AB1361" s="12"/>
      <c r="AC1361" s="124"/>
      <c r="AD1361" s="124"/>
      <c r="AE1361" s="124"/>
      <c r="AF1361" s="124"/>
      <c r="AG1361" s="124"/>
      <c r="AH1361" s="124"/>
      <c r="AI1361" s="124"/>
      <c r="AJ1361" s="124"/>
      <c r="AK1361" s="12"/>
      <c r="AL1361" s="12"/>
      <c r="AM1361" s="12"/>
      <c r="AN1361" s="12"/>
      <c r="AO1361" s="261"/>
      <c r="AP1361" s="247"/>
      <c r="AS1361" s="24"/>
    </row>
    <row r="1362" spans="25:45" x14ac:dyDescent="0.2">
      <c r="Y1362" s="12"/>
      <c r="Z1362" s="12"/>
      <c r="AA1362" s="12"/>
      <c r="AB1362" s="12"/>
      <c r="AC1362" s="124"/>
      <c r="AD1362" s="124"/>
      <c r="AE1362" s="124"/>
      <c r="AF1362" s="124"/>
      <c r="AG1362" s="124"/>
      <c r="AH1362" s="124"/>
      <c r="AI1362" s="124"/>
      <c r="AJ1362" s="124"/>
      <c r="AK1362" s="12"/>
      <c r="AL1362" s="12"/>
      <c r="AM1362" s="12"/>
      <c r="AN1362" s="12"/>
      <c r="AO1362" s="261"/>
      <c r="AP1362" s="247"/>
      <c r="AS1362" s="24"/>
    </row>
    <row r="1363" spans="25:45" x14ac:dyDescent="0.2">
      <c r="Y1363" s="12"/>
      <c r="Z1363" s="12"/>
      <c r="AA1363" s="12"/>
      <c r="AB1363" s="12"/>
      <c r="AC1363" s="124"/>
      <c r="AD1363" s="124"/>
      <c r="AE1363" s="124"/>
      <c r="AF1363" s="124"/>
      <c r="AG1363" s="124"/>
      <c r="AH1363" s="124"/>
      <c r="AI1363" s="124"/>
      <c r="AJ1363" s="124"/>
      <c r="AK1363" s="12"/>
      <c r="AL1363" s="12"/>
      <c r="AM1363" s="12"/>
      <c r="AN1363" s="12"/>
      <c r="AO1363" s="261"/>
      <c r="AP1363" s="247"/>
      <c r="AS1363" s="24"/>
    </row>
    <row r="1364" spans="25:45" x14ac:dyDescent="0.2">
      <c r="Y1364" s="12"/>
      <c r="Z1364" s="12"/>
      <c r="AA1364" s="12"/>
      <c r="AB1364" s="12"/>
      <c r="AC1364" s="124"/>
      <c r="AD1364" s="124"/>
      <c r="AE1364" s="124"/>
      <c r="AF1364" s="124"/>
      <c r="AG1364" s="124"/>
      <c r="AH1364" s="124"/>
      <c r="AI1364" s="124"/>
      <c r="AJ1364" s="124"/>
      <c r="AK1364" s="12"/>
      <c r="AL1364" s="12"/>
      <c r="AM1364" s="12"/>
      <c r="AN1364" s="12"/>
      <c r="AO1364" s="261"/>
      <c r="AP1364" s="247"/>
      <c r="AS1364" s="24"/>
    </row>
    <row r="1365" spans="25:45" x14ac:dyDescent="0.2">
      <c r="Y1365" s="12"/>
      <c r="Z1365" s="12"/>
      <c r="AA1365" s="12"/>
      <c r="AB1365" s="12"/>
      <c r="AC1365" s="124"/>
      <c r="AD1365" s="124"/>
      <c r="AE1365" s="124"/>
      <c r="AF1365" s="124"/>
      <c r="AG1365" s="124"/>
      <c r="AH1365" s="124"/>
      <c r="AI1365" s="124"/>
      <c r="AJ1365" s="124"/>
      <c r="AK1365" s="12"/>
      <c r="AL1365" s="12"/>
      <c r="AM1365" s="12"/>
      <c r="AN1365" s="12"/>
      <c r="AO1365" s="261"/>
      <c r="AP1365" s="247"/>
      <c r="AS1365" s="24"/>
    </row>
    <row r="1366" spans="25:45" x14ac:dyDescent="0.2">
      <c r="Y1366" s="12"/>
      <c r="Z1366" s="12"/>
      <c r="AA1366" s="12"/>
      <c r="AB1366" s="12"/>
      <c r="AC1366" s="124"/>
      <c r="AD1366" s="124"/>
      <c r="AE1366" s="124"/>
      <c r="AF1366" s="124"/>
      <c r="AG1366" s="124"/>
      <c r="AH1366" s="124"/>
      <c r="AI1366" s="124"/>
      <c r="AJ1366" s="124"/>
      <c r="AK1366" s="12"/>
      <c r="AL1366" s="12"/>
      <c r="AM1366" s="12"/>
      <c r="AN1366" s="12"/>
      <c r="AO1366" s="261"/>
      <c r="AP1366" s="247"/>
      <c r="AS1366" s="24"/>
    </row>
    <row r="1367" spans="25:45" x14ac:dyDescent="0.2">
      <c r="Y1367" s="12"/>
      <c r="Z1367" s="12"/>
      <c r="AA1367" s="12"/>
      <c r="AB1367" s="12"/>
      <c r="AC1367" s="124"/>
      <c r="AD1367" s="124"/>
      <c r="AE1367" s="124"/>
      <c r="AF1367" s="124"/>
      <c r="AG1367" s="124"/>
      <c r="AH1367" s="124"/>
      <c r="AI1367" s="124"/>
      <c r="AJ1367" s="124"/>
      <c r="AK1367" s="12"/>
      <c r="AL1367" s="12"/>
      <c r="AM1367" s="12"/>
      <c r="AN1367" s="12"/>
      <c r="AO1367" s="261"/>
      <c r="AP1367" s="247"/>
      <c r="AS1367" s="24"/>
    </row>
    <row r="1368" spans="25:45" x14ac:dyDescent="0.2">
      <c r="Y1368" s="12"/>
      <c r="Z1368" s="12"/>
      <c r="AA1368" s="12"/>
      <c r="AB1368" s="12"/>
      <c r="AC1368" s="124"/>
      <c r="AD1368" s="124"/>
      <c r="AE1368" s="124"/>
      <c r="AF1368" s="124"/>
      <c r="AG1368" s="124"/>
      <c r="AH1368" s="124"/>
      <c r="AI1368" s="124"/>
      <c r="AJ1368" s="124"/>
      <c r="AK1368" s="12"/>
      <c r="AL1368" s="12"/>
      <c r="AM1368" s="12"/>
      <c r="AN1368" s="12"/>
      <c r="AO1368" s="261"/>
      <c r="AP1368" s="247"/>
      <c r="AS1368" s="24"/>
    </row>
    <row r="1369" spans="25:45" x14ac:dyDescent="0.2">
      <c r="Y1369" s="12"/>
      <c r="Z1369" s="12"/>
      <c r="AA1369" s="12"/>
      <c r="AB1369" s="12"/>
      <c r="AC1369" s="124"/>
      <c r="AD1369" s="124"/>
      <c r="AE1369" s="124"/>
      <c r="AF1369" s="124"/>
      <c r="AG1369" s="124"/>
      <c r="AH1369" s="124"/>
      <c r="AI1369" s="124"/>
      <c r="AJ1369" s="124"/>
      <c r="AK1369" s="12"/>
      <c r="AL1369" s="12"/>
      <c r="AM1369" s="12"/>
      <c r="AN1369" s="12"/>
      <c r="AO1369" s="261"/>
      <c r="AP1369" s="247"/>
      <c r="AS1369" s="24"/>
    </row>
    <row r="1370" spans="25:45" x14ac:dyDescent="0.2">
      <c r="Y1370" s="12"/>
      <c r="Z1370" s="12"/>
      <c r="AA1370" s="12"/>
      <c r="AB1370" s="12"/>
      <c r="AC1370" s="124"/>
      <c r="AD1370" s="124"/>
      <c r="AE1370" s="124"/>
      <c r="AF1370" s="124"/>
      <c r="AG1370" s="124"/>
      <c r="AH1370" s="124"/>
      <c r="AI1370" s="124"/>
      <c r="AJ1370" s="124"/>
      <c r="AK1370" s="12"/>
      <c r="AL1370" s="12"/>
      <c r="AM1370" s="12"/>
      <c r="AN1370" s="12"/>
      <c r="AO1370" s="261"/>
      <c r="AP1370" s="247"/>
      <c r="AS1370" s="24"/>
    </row>
    <row r="1371" spans="25:45" x14ac:dyDescent="0.2">
      <c r="Y1371" s="12"/>
      <c r="Z1371" s="12"/>
      <c r="AA1371" s="12"/>
      <c r="AB1371" s="12"/>
      <c r="AC1371" s="124"/>
      <c r="AD1371" s="124"/>
      <c r="AE1371" s="124"/>
      <c r="AF1371" s="124"/>
      <c r="AG1371" s="124"/>
      <c r="AH1371" s="124"/>
      <c r="AI1371" s="124"/>
      <c r="AJ1371" s="124"/>
      <c r="AK1371" s="12"/>
      <c r="AL1371" s="12"/>
      <c r="AM1371" s="12"/>
      <c r="AN1371" s="12"/>
      <c r="AO1371" s="261"/>
      <c r="AP1371" s="247"/>
      <c r="AS1371" s="24"/>
    </row>
    <row r="1372" spans="25:45" x14ac:dyDescent="0.2">
      <c r="Y1372" s="12"/>
      <c r="Z1372" s="12"/>
      <c r="AA1372" s="12"/>
      <c r="AB1372" s="12"/>
      <c r="AC1372" s="124"/>
      <c r="AD1372" s="124"/>
      <c r="AE1372" s="124"/>
      <c r="AF1372" s="124"/>
      <c r="AG1372" s="124"/>
      <c r="AH1372" s="124"/>
      <c r="AI1372" s="124"/>
      <c r="AJ1372" s="124"/>
      <c r="AK1372" s="12"/>
      <c r="AL1372" s="12"/>
      <c r="AM1372" s="12"/>
      <c r="AN1372" s="12"/>
      <c r="AO1372" s="261"/>
      <c r="AP1372" s="247"/>
      <c r="AS1372" s="24"/>
    </row>
    <row r="1373" spans="25:45" x14ac:dyDescent="0.2">
      <c r="Y1373" s="12"/>
      <c r="Z1373" s="12"/>
      <c r="AA1373" s="12"/>
      <c r="AB1373" s="12"/>
      <c r="AC1373" s="124"/>
      <c r="AD1373" s="124"/>
      <c r="AE1373" s="124"/>
      <c r="AF1373" s="124"/>
      <c r="AG1373" s="124"/>
      <c r="AH1373" s="124"/>
      <c r="AI1373" s="124"/>
      <c r="AJ1373" s="124"/>
      <c r="AK1373" s="12"/>
      <c r="AL1373" s="12"/>
      <c r="AM1373" s="12"/>
      <c r="AN1373" s="12"/>
      <c r="AO1373" s="261"/>
      <c r="AP1373" s="247"/>
      <c r="AS1373" s="24"/>
    </row>
    <row r="1374" spans="25:45" x14ac:dyDescent="0.2">
      <c r="Y1374" s="12"/>
      <c r="Z1374" s="12"/>
      <c r="AA1374" s="12"/>
      <c r="AB1374" s="12"/>
      <c r="AC1374" s="124"/>
      <c r="AD1374" s="124"/>
      <c r="AE1374" s="124"/>
      <c r="AF1374" s="124"/>
      <c r="AG1374" s="124"/>
      <c r="AH1374" s="124"/>
      <c r="AI1374" s="124"/>
      <c r="AJ1374" s="124"/>
      <c r="AK1374" s="12"/>
      <c r="AL1374" s="12"/>
      <c r="AM1374" s="12"/>
      <c r="AN1374" s="12"/>
      <c r="AO1374" s="261"/>
      <c r="AP1374" s="247"/>
      <c r="AS1374" s="24"/>
    </row>
    <row r="1375" spans="25:45" x14ac:dyDescent="0.2">
      <c r="Y1375" s="12"/>
      <c r="Z1375" s="12"/>
      <c r="AA1375" s="12"/>
      <c r="AB1375" s="12"/>
      <c r="AC1375" s="124"/>
      <c r="AD1375" s="124"/>
      <c r="AE1375" s="124"/>
      <c r="AF1375" s="124"/>
      <c r="AG1375" s="124"/>
      <c r="AH1375" s="124"/>
      <c r="AI1375" s="124"/>
      <c r="AJ1375" s="124"/>
      <c r="AK1375" s="12"/>
      <c r="AL1375" s="12"/>
      <c r="AM1375" s="12"/>
      <c r="AN1375" s="12"/>
      <c r="AO1375" s="261"/>
      <c r="AP1375" s="247"/>
      <c r="AS1375" s="24"/>
    </row>
    <row r="1376" spans="25:45" x14ac:dyDescent="0.2">
      <c r="Y1376" s="12"/>
      <c r="Z1376" s="12"/>
      <c r="AA1376" s="12"/>
      <c r="AB1376" s="12"/>
      <c r="AC1376" s="124"/>
      <c r="AD1376" s="124"/>
      <c r="AE1376" s="124"/>
      <c r="AF1376" s="124"/>
      <c r="AG1376" s="124"/>
      <c r="AH1376" s="124"/>
      <c r="AI1376" s="124"/>
      <c r="AJ1376" s="124"/>
      <c r="AK1376" s="12"/>
      <c r="AL1376" s="12"/>
      <c r="AM1376" s="12"/>
      <c r="AN1376" s="12"/>
      <c r="AO1376" s="261"/>
      <c r="AP1376" s="247"/>
      <c r="AS1376" s="24"/>
    </row>
    <row r="1377" spans="25:45" x14ac:dyDescent="0.2">
      <c r="Y1377" s="12"/>
      <c r="Z1377" s="12"/>
      <c r="AA1377" s="12"/>
      <c r="AB1377" s="12"/>
      <c r="AC1377" s="124"/>
      <c r="AD1377" s="124"/>
      <c r="AE1377" s="124"/>
      <c r="AF1377" s="124"/>
      <c r="AG1377" s="124"/>
      <c r="AH1377" s="124"/>
      <c r="AI1377" s="124"/>
      <c r="AJ1377" s="124"/>
      <c r="AK1377" s="12"/>
      <c r="AL1377" s="12"/>
      <c r="AM1377" s="12"/>
      <c r="AN1377" s="12"/>
      <c r="AO1377" s="261"/>
      <c r="AP1377" s="247"/>
      <c r="AS1377" s="24"/>
    </row>
    <row r="1378" spans="25:45" x14ac:dyDescent="0.2">
      <c r="Y1378" s="12"/>
      <c r="Z1378" s="12"/>
      <c r="AA1378" s="12"/>
      <c r="AB1378" s="12"/>
      <c r="AC1378" s="124"/>
      <c r="AD1378" s="124"/>
      <c r="AE1378" s="124"/>
      <c r="AF1378" s="124"/>
      <c r="AG1378" s="124"/>
      <c r="AH1378" s="124"/>
      <c r="AI1378" s="124"/>
      <c r="AJ1378" s="124"/>
      <c r="AK1378" s="12"/>
      <c r="AL1378" s="12"/>
      <c r="AM1378" s="12"/>
      <c r="AN1378" s="12"/>
      <c r="AO1378" s="261"/>
      <c r="AP1378" s="247"/>
      <c r="AS1378" s="24"/>
    </row>
    <row r="1379" spans="25:45" x14ac:dyDescent="0.2">
      <c r="Y1379" s="12"/>
      <c r="Z1379" s="12"/>
      <c r="AA1379" s="12"/>
      <c r="AB1379" s="12"/>
      <c r="AC1379" s="124"/>
      <c r="AD1379" s="124"/>
      <c r="AE1379" s="124"/>
      <c r="AF1379" s="124"/>
      <c r="AG1379" s="124"/>
      <c r="AH1379" s="124"/>
      <c r="AI1379" s="124"/>
      <c r="AJ1379" s="124"/>
      <c r="AK1379" s="12"/>
      <c r="AL1379" s="12"/>
      <c r="AM1379" s="12"/>
      <c r="AN1379" s="12"/>
      <c r="AO1379" s="261"/>
      <c r="AP1379" s="247"/>
      <c r="AS1379" s="24"/>
    </row>
    <row r="1380" spans="25:45" x14ac:dyDescent="0.2">
      <c r="Y1380" s="12"/>
      <c r="Z1380" s="12"/>
      <c r="AA1380" s="12"/>
      <c r="AB1380" s="12"/>
      <c r="AC1380" s="124"/>
      <c r="AD1380" s="124"/>
      <c r="AE1380" s="124"/>
      <c r="AF1380" s="124"/>
      <c r="AG1380" s="124"/>
      <c r="AH1380" s="124"/>
      <c r="AI1380" s="124"/>
      <c r="AJ1380" s="124"/>
      <c r="AK1380" s="12"/>
      <c r="AL1380" s="12"/>
      <c r="AM1380" s="12"/>
      <c r="AN1380" s="12"/>
      <c r="AO1380" s="261"/>
      <c r="AP1380" s="247"/>
      <c r="AS1380" s="24"/>
    </row>
    <row r="1381" spans="25:45" x14ac:dyDescent="0.2">
      <c r="Y1381" s="12"/>
      <c r="Z1381" s="12"/>
      <c r="AA1381" s="12"/>
      <c r="AB1381" s="12"/>
      <c r="AC1381" s="124"/>
      <c r="AD1381" s="124"/>
      <c r="AE1381" s="124"/>
      <c r="AF1381" s="124"/>
      <c r="AG1381" s="124"/>
      <c r="AH1381" s="124"/>
      <c r="AI1381" s="124"/>
      <c r="AJ1381" s="124"/>
      <c r="AK1381" s="12"/>
      <c r="AL1381" s="12"/>
      <c r="AM1381" s="12"/>
      <c r="AN1381" s="12"/>
      <c r="AO1381" s="261"/>
      <c r="AP1381" s="247"/>
      <c r="AS1381" s="24"/>
    </row>
    <row r="1382" spans="25:45" x14ac:dyDescent="0.2">
      <c r="Y1382" s="12"/>
      <c r="Z1382" s="12"/>
      <c r="AA1382" s="12"/>
      <c r="AB1382" s="12"/>
      <c r="AC1382" s="124"/>
      <c r="AD1382" s="124"/>
      <c r="AE1382" s="124"/>
      <c r="AF1382" s="124"/>
      <c r="AG1382" s="124"/>
      <c r="AH1382" s="124"/>
      <c r="AI1382" s="124"/>
      <c r="AJ1382" s="124"/>
      <c r="AK1382" s="12"/>
      <c r="AL1382" s="12"/>
      <c r="AM1382" s="12"/>
      <c r="AN1382" s="12"/>
      <c r="AO1382" s="261"/>
      <c r="AP1382" s="247"/>
      <c r="AS1382" s="24"/>
    </row>
    <row r="1383" spans="25:45" x14ac:dyDescent="0.2">
      <c r="Y1383" s="12"/>
      <c r="Z1383" s="12"/>
      <c r="AA1383" s="12"/>
      <c r="AB1383" s="12"/>
      <c r="AC1383" s="124"/>
      <c r="AD1383" s="124"/>
      <c r="AE1383" s="124"/>
      <c r="AF1383" s="124"/>
      <c r="AG1383" s="124"/>
      <c r="AH1383" s="124"/>
      <c r="AI1383" s="124"/>
      <c r="AJ1383" s="124"/>
      <c r="AK1383" s="12"/>
      <c r="AL1383" s="12"/>
      <c r="AM1383" s="12"/>
      <c r="AN1383" s="12"/>
      <c r="AO1383" s="261"/>
      <c r="AP1383" s="247"/>
      <c r="AS1383" s="24"/>
    </row>
    <row r="1384" spans="25:45" x14ac:dyDescent="0.2">
      <c r="Y1384" s="12"/>
      <c r="Z1384" s="12"/>
      <c r="AA1384" s="12"/>
      <c r="AB1384" s="12"/>
      <c r="AC1384" s="124"/>
      <c r="AD1384" s="124"/>
      <c r="AE1384" s="124"/>
      <c r="AF1384" s="124"/>
      <c r="AG1384" s="124"/>
      <c r="AH1384" s="124"/>
      <c r="AI1384" s="124"/>
      <c r="AJ1384" s="124"/>
      <c r="AK1384" s="12"/>
      <c r="AL1384" s="12"/>
      <c r="AM1384" s="12"/>
      <c r="AN1384" s="12"/>
      <c r="AO1384" s="261"/>
      <c r="AP1384" s="247"/>
      <c r="AS1384" s="24"/>
    </row>
    <row r="1385" spans="25:45" x14ac:dyDescent="0.2">
      <c r="Y1385" s="12"/>
      <c r="Z1385" s="12"/>
      <c r="AA1385" s="12"/>
      <c r="AB1385" s="12"/>
      <c r="AC1385" s="124"/>
      <c r="AD1385" s="124"/>
      <c r="AE1385" s="124"/>
      <c r="AF1385" s="124"/>
      <c r="AG1385" s="124"/>
      <c r="AH1385" s="124"/>
      <c r="AI1385" s="124"/>
      <c r="AJ1385" s="124"/>
      <c r="AK1385" s="12"/>
      <c r="AL1385" s="12"/>
      <c r="AM1385" s="12"/>
      <c r="AN1385" s="12"/>
      <c r="AO1385" s="261"/>
      <c r="AP1385" s="247"/>
      <c r="AS1385" s="24"/>
    </row>
    <row r="1386" spans="25:45" x14ac:dyDescent="0.2">
      <c r="Y1386" s="12"/>
      <c r="Z1386" s="12"/>
      <c r="AA1386" s="12"/>
      <c r="AB1386" s="12"/>
      <c r="AC1386" s="124"/>
      <c r="AD1386" s="124"/>
      <c r="AE1386" s="124"/>
      <c r="AF1386" s="124"/>
      <c r="AG1386" s="124"/>
      <c r="AH1386" s="124"/>
      <c r="AI1386" s="124"/>
      <c r="AJ1386" s="124"/>
      <c r="AK1386" s="12"/>
      <c r="AL1386" s="12"/>
      <c r="AM1386" s="12"/>
      <c r="AN1386" s="12"/>
      <c r="AO1386" s="261"/>
      <c r="AP1386" s="247"/>
      <c r="AS1386" s="24"/>
    </row>
    <row r="1387" spans="25:45" x14ac:dyDescent="0.2">
      <c r="Y1387" s="12"/>
      <c r="Z1387" s="12"/>
      <c r="AA1387" s="12"/>
      <c r="AB1387" s="12"/>
      <c r="AC1387" s="124"/>
      <c r="AD1387" s="124"/>
      <c r="AE1387" s="124"/>
      <c r="AF1387" s="124"/>
      <c r="AG1387" s="124"/>
      <c r="AH1387" s="124"/>
      <c r="AI1387" s="124"/>
      <c r="AJ1387" s="124"/>
      <c r="AK1387" s="12"/>
      <c r="AL1387" s="12"/>
      <c r="AM1387" s="12"/>
      <c r="AN1387" s="12"/>
      <c r="AO1387" s="261"/>
      <c r="AP1387" s="247"/>
      <c r="AS1387" s="24"/>
    </row>
    <row r="1388" spans="25:45" x14ac:dyDescent="0.2">
      <c r="Y1388" s="12"/>
      <c r="Z1388" s="12"/>
      <c r="AA1388" s="12"/>
      <c r="AB1388" s="12"/>
      <c r="AC1388" s="124"/>
      <c r="AD1388" s="124"/>
      <c r="AE1388" s="124"/>
      <c r="AF1388" s="124"/>
      <c r="AG1388" s="124"/>
      <c r="AH1388" s="124"/>
      <c r="AI1388" s="124"/>
      <c r="AJ1388" s="124"/>
      <c r="AK1388" s="12"/>
      <c r="AL1388" s="12"/>
      <c r="AM1388" s="12"/>
      <c r="AN1388" s="12"/>
      <c r="AO1388" s="261"/>
      <c r="AP1388" s="247"/>
      <c r="AS1388" s="24"/>
    </row>
    <row r="1389" spans="25:45" x14ac:dyDescent="0.2">
      <c r="Y1389" s="12"/>
      <c r="Z1389" s="12"/>
      <c r="AA1389" s="12"/>
      <c r="AB1389" s="12"/>
      <c r="AC1389" s="124"/>
      <c r="AD1389" s="124"/>
      <c r="AE1389" s="124"/>
      <c r="AF1389" s="124"/>
      <c r="AG1389" s="124"/>
      <c r="AH1389" s="124"/>
      <c r="AI1389" s="124"/>
      <c r="AJ1389" s="124"/>
      <c r="AK1389" s="12"/>
      <c r="AL1389" s="12"/>
      <c r="AM1389" s="12"/>
      <c r="AN1389" s="12"/>
      <c r="AO1389" s="261"/>
      <c r="AP1389" s="247"/>
      <c r="AS1389" s="24"/>
    </row>
    <row r="1390" spans="25:45" x14ac:dyDescent="0.2">
      <c r="Y1390" s="12"/>
      <c r="Z1390" s="12"/>
      <c r="AA1390" s="12"/>
      <c r="AB1390" s="12"/>
      <c r="AC1390" s="124"/>
      <c r="AD1390" s="124"/>
      <c r="AE1390" s="124"/>
      <c r="AF1390" s="124"/>
      <c r="AG1390" s="124"/>
      <c r="AH1390" s="124"/>
      <c r="AI1390" s="124"/>
      <c r="AJ1390" s="124"/>
      <c r="AK1390" s="12"/>
      <c r="AL1390" s="12"/>
      <c r="AM1390" s="12"/>
      <c r="AN1390" s="12"/>
      <c r="AO1390" s="261"/>
      <c r="AP1390" s="247"/>
      <c r="AS1390" s="24"/>
    </row>
    <row r="1391" spans="25:45" x14ac:dyDescent="0.2">
      <c r="Y1391" s="12"/>
      <c r="Z1391" s="12"/>
      <c r="AA1391" s="12"/>
      <c r="AB1391" s="12"/>
      <c r="AC1391" s="124"/>
      <c r="AD1391" s="124"/>
      <c r="AE1391" s="124"/>
      <c r="AF1391" s="124"/>
      <c r="AG1391" s="124"/>
      <c r="AH1391" s="124"/>
      <c r="AI1391" s="124"/>
      <c r="AJ1391" s="124"/>
      <c r="AK1391" s="12"/>
      <c r="AL1391" s="12"/>
      <c r="AM1391" s="12"/>
      <c r="AN1391" s="12"/>
      <c r="AO1391" s="261"/>
      <c r="AP1391" s="247"/>
      <c r="AS1391" s="24"/>
    </row>
    <row r="1392" spans="25:45" x14ac:dyDescent="0.2">
      <c r="Y1392" s="12"/>
      <c r="Z1392" s="12"/>
      <c r="AA1392" s="12"/>
      <c r="AB1392" s="12"/>
      <c r="AC1392" s="124"/>
      <c r="AD1392" s="124"/>
      <c r="AE1392" s="124"/>
      <c r="AF1392" s="124"/>
      <c r="AG1392" s="124"/>
      <c r="AH1392" s="124"/>
      <c r="AI1392" s="124"/>
      <c r="AJ1392" s="124"/>
      <c r="AK1392" s="12"/>
      <c r="AL1392" s="12"/>
      <c r="AM1392" s="12"/>
      <c r="AN1392" s="12"/>
      <c r="AO1392" s="261"/>
      <c r="AP1392" s="247"/>
      <c r="AS1392" s="24"/>
    </row>
    <row r="1393" spans="25:45" x14ac:dyDescent="0.2">
      <c r="Y1393" s="12"/>
      <c r="Z1393" s="12"/>
      <c r="AA1393" s="12"/>
      <c r="AB1393" s="12"/>
      <c r="AC1393" s="124"/>
      <c r="AD1393" s="124"/>
      <c r="AE1393" s="124"/>
      <c r="AF1393" s="124"/>
      <c r="AG1393" s="124"/>
      <c r="AH1393" s="124"/>
      <c r="AI1393" s="124"/>
      <c r="AJ1393" s="124"/>
      <c r="AK1393" s="12"/>
      <c r="AL1393" s="12"/>
      <c r="AM1393" s="12"/>
      <c r="AN1393" s="12"/>
      <c r="AO1393" s="261"/>
      <c r="AP1393" s="247"/>
      <c r="AS1393" s="24"/>
    </row>
    <row r="1394" spans="25:45" x14ac:dyDescent="0.2">
      <c r="Y1394" s="12"/>
      <c r="Z1394" s="12"/>
      <c r="AA1394" s="12"/>
      <c r="AB1394" s="12"/>
      <c r="AC1394" s="124"/>
      <c r="AD1394" s="124"/>
      <c r="AE1394" s="124"/>
      <c r="AF1394" s="124"/>
      <c r="AG1394" s="124"/>
      <c r="AH1394" s="124"/>
      <c r="AI1394" s="124"/>
      <c r="AJ1394" s="124"/>
      <c r="AK1394" s="12"/>
      <c r="AL1394" s="12"/>
      <c r="AM1394" s="12"/>
      <c r="AN1394" s="12"/>
      <c r="AO1394" s="261"/>
      <c r="AP1394" s="247"/>
      <c r="AS1394" s="24"/>
    </row>
    <row r="1395" spans="25:45" x14ac:dyDescent="0.2">
      <c r="Y1395" s="12"/>
      <c r="Z1395" s="12"/>
      <c r="AA1395" s="12"/>
      <c r="AB1395" s="12"/>
      <c r="AC1395" s="124"/>
      <c r="AD1395" s="124"/>
      <c r="AE1395" s="124"/>
      <c r="AF1395" s="124"/>
      <c r="AG1395" s="124"/>
      <c r="AH1395" s="124"/>
      <c r="AI1395" s="124"/>
      <c r="AJ1395" s="124"/>
      <c r="AK1395" s="12"/>
      <c r="AL1395" s="12"/>
      <c r="AM1395" s="12"/>
      <c r="AN1395" s="12"/>
      <c r="AO1395" s="261"/>
      <c r="AP1395" s="247"/>
    </row>
    <row r="1396" spans="25:45" x14ac:dyDescent="0.2">
      <c r="Y1396" s="12"/>
      <c r="Z1396" s="12"/>
      <c r="AA1396" s="12"/>
      <c r="AB1396" s="12"/>
      <c r="AC1396" s="124"/>
      <c r="AD1396" s="124"/>
      <c r="AE1396" s="124"/>
      <c r="AF1396" s="124"/>
      <c r="AG1396" s="124"/>
      <c r="AH1396" s="124"/>
      <c r="AI1396" s="124"/>
      <c r="AJ1396" s="124"/>
      <c r="AK1396" s="12"/>
      <c r="AL1396" s="12"/>
      <c r="AM1396" s="12"/>
      <c r="AN1396" s="12"/>
      <c r="AO1396" s="261"/>
      <c r="AP1396" s="247"/>
    </row>
    <row r="1397" spans="25:45" x14ac:dyDescent="0.2">
      <c r="Y1397" s="12"/>
      <c r="Z1397" s="12"/>
      <c r="AA1397" s="12"/>
      <c r="AB1397" s="12"/>
      <c r="AC1397" s="124"/>
      <c r="AD1397" s="124"/>
      <c r="AE1397" s="124"/>
      <c r="AF1397" s="124"/>
      <c r="AG1397" s="124"/>
      <c r="AH1397" s="124"/>
      <c r="AI1397" s="124"/>
      <c r="AJ1397" s="124"/>
      <c r="AK1397" s="12"/>
      <c r="AL1397" s="12"/>
      <c r="AM1397" s="12"/>
      <c r="AN1397" s="12"/>
      <c r="AO1397" s="261"/>
      <c r="AP1397" s="247"/>
    </row>
    <row r="1398" spans="25:45" x14ac:dyDescent="0.2">
      <c r="Y1398" s="12"/>
      <c r="Z1398" s="12"/>
      <c r="AA1398" s="12"/>
      <c r="AB1398" s="12"/>
      <c r="AC1398" s="124"/>
      <c r="AD1398" s="124"/>
      <c r="AE1398" s="124"/>
      <c r="AF1398" s="124"/>
      <c r="AG1398" s="124"/>
      <c r="AH1398" s="124"/>
      <c r="AI1398" s="124"/>
      <c r="AJ1398" s="124"/>
      <c r="AK1398" s="12"/>
      <c r="AL1398" s="12"/>
      <c r="AM1398" s="12"/>
      <c r="AN1398" s="12"/>
      <c r="AO1398" s="261"/>
      <c r="AP1398" s="247"/>
    </row>
    <row r="1399" spans="25:45" x14ac:dyDescent="0.2">
      <c r="Y1399" s="12"/>
      <c r="Z1399" s="12"/>
      <c r="AA1399" s="12"/>
      <c r="AB1399" s="12"/>
      <c r="AC1399" s="124"/>
      <c r="AD1399" s="124"/>
      <c r="AE1399" s="124"/>
      <c r="AF1399" s="124"/>
      <c r="AG1399" s="124"/>
      <c r="AH1399" s="124"/>
      <c r="AI1399" s="124"/>
      <c r="AJ1399" s="124"/>
      <c r="AK1399" s="12"/>
      <c r="AL1399" s="12"/>
      <c r="AM1399" s="12"/>
      <c r="AN1399" s="12"/>
      <c r="AO1399" s="261"/>
      <c r="AP1399" s="247"/>
    </row>
    <row r="1400" spans="25:45" x14ac:dyDescent="0.2">
      <c r="Y1400" s="12"/>
      <c r="Z1400" s="12"/>
      <c r="AA1400" s="12"/>
      <c r="AB1400" s="12"/>
      <c r="AC1400" s="124"/>
      <c r="AD1400" s="124"/>
      <c r="AE1400" s="124"/>
      <c r="AF1400" s="124"/>
      <c r="AG1400" s="124"/>
      <c r="AH1400" s="124"/>
      <c r="AI1400" s="124"/>
      <c r="AJ1400" s="124"/>
      <c r="AK1400" s="12"/>
      <c r="AL1400" s="12"/>
      <c r="AM1400" s="12"/>
      <c r="AN1400" s="12"/>
      <c r="AO1400" s="261"/>
      <c r="AP1400" s="247"/>
    </row>
    <row r="1401" spans="25:45" x14ac:dyDescent="0.2">
      <c r="Y1401" s="12"/>
      <c r="Z1401" s="12"/>
      <c r="AA1401" s="12"/>
      <c r="AB1401" s="12"/>
      <c r="AC1401" s="124"/>
      <c r="AD1401" s="124"/>
      <c r="AE1401" s="124"/>
      <c r="AF1401" s="124"/>
      <c r="AG1401" s="124"/>
      <c r="AH1401" s="124"/>
      <c r="AI1401" s="124"/>
      <c r="AJ1401" s="124"/>
      <c r="AK1401" s="12"/>
      <c r="AL1401" s="12"/>
      <c r="AM1401" s="12"/>
      <c r="AN1401" s="12"/>
      <c r="AO1401" s="261"/>
      <c r="AP1401" s="247"/>
    </row>
    <row r="1402" spans="25:45" x14ac:dyDescent="0.2">
      <c r="Y1402" s="12"/>
      <c r="Z1402" s="12"/>
      <c r="AA1402" s="12"/>
      <c r="AB1402" s="12"/>
      <c r="AC1402" s="124"/>
      <c r="AD1402" s="124"/>
      <c r="AE1402" s="124"/>
      <c r="AF1402" s="124"/>
      <c r="AG1402" s="124"/>
      <c r="AH1402" s="124"/>
      <c r="AI1402" s="124"/>
      <c r="AJ1402" s="124"/>
      <c r="AK1402" s="12"/>
      <c r="AL1402" s="12"/>
      <c r="AM1402" s="12"/>
      <c r="AN1402" s="12"/>
      <c r="AO1402" s="261"/>
      <c r="AP1402" s="247"/>
    </row>
    <row r="1403" spans="25:45" x14ac:dyDescent="0.2">
      <c r="Y1403" s="12"/>
      <c r="Z1403" s="12"/>
      <c r="AA1403" s="12"/>
      <c r="AB1403" s="12"/>
      <c r="AC1403" s="124"/>
      <c r="AD1403" s="124"/>
      <c r="AE1403" s="124"/>
      <c r="AF1403" s="124"/>
      <c r="AG1403" s="124"/>
      <c r="AH1403" s="124"/>
      <c r="AI1403" s="124"/>
      <c r="AJ1403" s="124"/>
      <c r="AK1403" s="12"/>
      <c r="AL1403" s="12"/>
      <c r="AM1403" s="12"/>
      <c r="AN1403" s="12"/>
      <c r="AO1403" s="261"/>
      <c r="AP1403" s="247"/>
    </row>
    <row r="1404" spans="25:45" x14ac:dyDescent="0.2">
      <c r="Y1404" s="12"/>
      <c r="Z1404" s="12"/>
      <c r="AA1404" s="12"/>
      <c r="AB1404" s="12"/>
      <c r="AC1404" s="124"/>
      <c r="AD1404" s="124"/>
      <c r="AE1404" s="124"/>
      <c r="AF1404" s="124"/>
      <c r="AG1404" s="124"/>
      <c r="AH1404" s="124"/>
      <c r="AI1404" s="124"/>
      <c r="AJ1404" s="124"/>
      <c r="AK1404" s="12"/>
      <c r="AL1404" s="12"/>
      <c r="AM1404" s="12"/>
      <c r="AN1404" s="12"/>
      <c r="AO1404" s="261"/>
      <c r="AP1404" s="247"/>
    </row>
    <row r="1405" spans="25:45" x14ac:dyDescent="0.2">
      <c r="Y1405" s="12"/>
      <c r="Z1405" s="12"/>
      <c r="AA1405" s="12"/>
      <c r="AB1405" s="12"/>
      <c r="AC1405" s="124"/>
      <c r="AD1405" s="124"/>
      <c r="AE1405" s="124"/>
      <c r="AF1405" s="124"/>
      <c r="AG1405" s="124"/>
      <c r="AH1405" s="124"/>
      <c r="AI1405" s="124"/>
      <c r="AJ1405" s="124"/>
      <c r="AK1405" s="12"/>
      <c r="AL1405" s="12"/>
      <c r="AM1405" s="12"/>
      <c r="AN1405" s="12"/>
      <c r="AO1405" s="261"/>
      <c r="AP1405" s="247"/>
    </row>
    <row r="1406" spans="25:45" x14ac:dyDescent="0.2">
      <c r="Y1406" s="12"/>
      <c r="Z1406" s="12"/>
      <c r="AA1406" s="12"/>
      <c r="AB1406" s="12"/>
      <c r="AC1406" s="124"/>
      <c r="AD1406" s="124"/>
      <c r="AE1406" s="124"/>
      <c r="AF1406" s="124"/>
      <c r="AG1406" s="124"/>
      <c r="AH1406" s="124"/>
      <c r="AI1406" s="124"/>
      <c r="AJ1406" s="124"/>
      <c r="AK1406" s="12"/>
      <c r="AL1406" s="12"/>
      <c r="AM1406" s="12"/>
      <c r="AN1406" s="12"/>
      <c r="AO1406" s="261"/>
      <c r="AP1406" s="247"/>
    </row>
    <row r="1407" spans="25:45" x14ac:dyDescent="0.2">
      <c r="Y1407" s="12"/>
      <c r="Z1407" s="12"/>
      <c r="AA1407" s="12"/>
      <c r="AB1407" s="12"/>
      <c r="AC1407" s="124"/>
      <c r="AD1407" s="124"/>
      <c r="AE1407" s="124"/>
      <c r="AF1407" s="124"/>
      <c r="AG1407" s="124"/>
      <c r="AH1407" s="124"/>
      <c r="AI1407" s="124"/>
      <c r="AJ1407" s="124"/>
      <c r="AK1407" s="12"/>
      <c r="AL1407" s="12"/>
      <c r="AM1407" s="12"/>
      <c r="AN1407" s="12"/>
      <c r="AO1407" s="261"/>
      <c r="AP1407" s="247"/>
    </row>
    <row r="1408" spans="25:45" x14ac:dyDescent="0.2">
      <c r="Y1408" s="12"/>
      <c r="Z1408" s="12"/>
      <c r="AA1408" s="12"/>
      <c r="AB1408" s="12"/>
      <c r="AC1408" s="124"/>
      <c r="AD1408" s="124"/>
      <c r="AE1408" s="124"/>
      <c r="AF1408" s="124"/>
      <c r="AG1408" s="124"/>
      <c r="AH1408" s="124"/>
      <c r="AI1408" s="124"/>
      <c r="AJ1408" s="124"/>
      <c r="AK1408" s="12"/>
      <c r="AL1408" s="12"/>
      <c r="AM1408" s="12"/>
      <c r="AN1408" s="12"/>
      <c r="AO1408" s="261"/>
      <c r="AP1408" s="247"/>
    </row>
    <row r="1409" spans="25:42" x14ac:dyDescent="0.2">
      <c r="Y1409" s="12"/>
      <c r="Z1409" s="12"/>
      <c r="AA1409" s="12"/>
      <c r="AB1409" s="12"/>
      <c r="AC1409" s="124"/>
      <c r="AD1409" s="124"/>
      <c r="AE1409" s="124"/>
      <c r="AF1409" s="124"/>
      <c r="AG1409" s="124"/>
      <c r="AH1409" s="124"/>
      <c r="AI1409" s="124"/>
      <c r="AJ1409" s="124"/>
      <c r="AK1409" s="12"/>
      <c r="AL1409" s="12"/>
      <c r="AM1409" s="12"/>
      <c r="AN1409" s="12"/>
      <c r="AO1409" s="261"/>
      <c r="AP1409" s="247"/>
    </row>
    <row r="1410" spans="25:42" x14ac:dyDescent="0.2">
      <c r="Y1410" s="12"/>
      <c r="Z1410" s="12"/>
      <c r="AA1410" s="12"/>
      <c r="AB1410" s="12"/>
      <c r="AC1410" s="124"/>
      <c r="AD1410" s="124"/>
      <c r="AE1410" s="124"/>
      <c r="AF1410" s="124"/>
      <c r="AG1410" s="124"/>
      <c r="AH1410" s="124"/>
      <c r="AI1410" s="124"/>
      <c r="AJ1410" s="124"/>
      <c r="AK1410" s="12"/>
      <c r="AL1410" s="12"/>
      <c r="AM1410" s="12"/>
      <c r="AN1410" s="12"/>
      <c r="AO1410" s="261"/>
      <c r="AP1410" s="247"/>
    </row>
    <row r="1411" spans="25:42" x14ac:dyDescent="0.2">
      <c r="Y1411" s="12"/>
      <c r="Z1411" s="12"/>
      <c r="AA1411" s="12"/>
      <c r="AB1411" s="12"/>
      <c r="AC1411" s="124"/>
      <c r="AD1411" s="124"/>
      <c r="AE1411" s="124"/>
      <c r="AF1411" s="124"/>
      <c r="AG1411" s="124"/>
      <c r="AH1411" s="124"/>
      <c r="AI1411" s="124"/>
      <c r="AJ1411" s="124"/>
      <c r="AK1411" s="12"/>
      <c r="AL1411" s="12"/>
      <c r="AM1411" s="12"/>
      <c r="AN1411" s="12"/>
      <c r="AO1411" s="261"/>
      <c r="AP1411" s="247"/>
    </row>
    <row r="1412" spans="25:42" x14ac:dyDescent="0.2">
      <c r="Y1412" s="12"/>
      <c r="Z1412" s="12"/>
      <c r="AA1412" s="12"/>
      <c r="AB1412" s="12"/>
      <c r="AC1412" s="124"/>
      <c r="AD1412" s="124"/>
      <c r="AE1412" s="124"/>
      <c r="AF1412" s="124"/>
      <c r="AG1412" s="124"/>
      <c r="AH1412" s="124"/>
      <c r="AI1412" s="124"/>
      <c r="AJ1412" s="124"/>
      <c r="AK1412" s="12"/>
      <c r="AL1412" s="12"/>
      <c r="AM1412" s="12"/>
      <c r="AN1412" s="12"/>
      <c r="AO1412" s="261"/>
      <c r="AP1412" s="247"/>
    </row>
    <row r="1413" spans="25:42" x14ac:dyDescent="0.2">
      <c r="Y1413" s="12"/>
      <c r="Z1413" s="12"/>
      <c r="AA1413" s="12"/>
      <c r="AB1413" s="12"/>
      <c r="AC1413" s="124"/>
      <c r="AD1413" s="124"/>
      <c r="AE1413" s="124"/>
      <c r="AF1413" s="124"/>
      <c r="AG1413" s="124"/>
      <c r="AH1413" s="124"/>
      <c r="AI1413" s="124"/>
      <c r="AJ1413" s="124"/>
      <c r="AK1413" s="12"/>
      <c r="AL1413" s="12"/>
      <c r="AM1413" s="12"/>
      <c r="AN1413" s="12"/>
      <c r="AO1413" s="261"/>
      <c r="AP1413" s="247"/>
    </row>
    <row r="1414" spans="25:42" x14ac:dyDescent="0.2">
      <c r="Y1414" s="12"/>
      <c r="Z1414" s="12"/>
      <c r="AA1414" s="12"/>
      <c r="AB1414" s="12"/>
      <c r="AC1414" s="124"/>
      <c r="AD1414" s="124"/>
      <c r="AE1414" s="124"/>
      <c r="AF1414" s="124"/>
      <c r="AG1414" s="124"/>
      <c r="AH1414" s="124"/>
      <c r="AI1414" s="124"/>
      <c r="AJ1414" s="124"/>
      <c r="AK1414" s="12"/>
      <c r="AL1414" s="12"/>
      <c r="AM1414" s="12"/>
      <c r="AN1414" s="12"/>
      <c r="AO1414" s="261"/>
      <c r="AP1414" s="247"/>
    </row>
    <row r="1415" spans="25:42" x14ac:dyDescent="0.2">
      <c r="Y1415" s="12"/>
      <c r="Z1415" s="12"/>
      <c r="AA1415" s="12"/>
      <c r="AB1415" s="12"/>
      <c r="AC1415" s="124"/>
      <c r="AD1415" s="124"/>
      <c r="AE1415" s="124"/>
      <c r="AF1415" s="124"/>
      <c r="AG1415" s="124"/>
      <c r="AH1415" s="124"/>
      <c r="AI1415" s="124"/>
      <c r="AJ1415" s="124"/>
      <c r="AK1415" s="12"/>
      <c r="AL1415" s="12"/>
      <c r="AM1415" s="12"/>
      <c r="AN1415" s="12"/>
      <c r="AO1415" s="261"/>
      <c r="AP1415" s="247"/>
    </row>
    <row r="1416" spans="25:42" x14ac:dyDescent="0.2">
      <c r="Y1416" s="12"/>
      <c r="Z1416" s="12"/>
      <c r="AA1416" s="12"/>
      <c r="AB1416" s="12"/>
      <c r="AC1416" s="124"/>
      <c r="AD1416" s="124"/>
      <c r="AE1416" s="124"/>
      <c r="AF1416" s="124"/>
      <c r="AG1416" s="124"/>
      <c r="AH1416" s="124"/>
      <c r="AI1416" s="124"/>
      <c r="AJ1416" s="124"/>
      <c r="AK1416" s="12"/>
      <c r="AL1416" s="12"/>
      <c r="AM1416" s="12"/>
      <c r="AN1416" s="12"/>
      <c r="AO1416" s="261"/>
      <c r="AP1416" s="247"/>
    </row>
    <row r="1417" spans="25:42" x14ac:dyDescent="0.2">
      <c r="Y1417" s="12"/>
      <c r="Z1417" s="12"/>
      <c r="AA1417" s="12"/>
      <c r="AB1417" s="12"/>
      <c r="AC1417" s="124"/>
      <c r="AD1417" s="124"/>
      <c r="AE1417" s="124"/>
      <c r="AF1417" s="124"/>
      <c r="AG1417" s="124"/>
      <c r="AH1417" s="124"/>
      <c r="AI1417" s="124"/>
      <c r="AJ1417" s="124"/>
      <c r="AK1417" s="12"/>
      <c r="AL1417" s="12"/>
      <c r="AM1417" s="12"/>
      <c r="AN1417" s="12"/>
      <c r="AO1417" s="261"/>
      <c r="AP1417" s="247"/>
    </row>
    <row r="1418" spans="25:42" x14ac:dyDescent="0.2">
      <c r="Y1418" s="12"/>
      <c r="Z1418" s="12"/>
      <c r="AA1418" s="12"/>
      <c r="AB1418" s="12"/>
      <c r="AC1418" s="124"/>
      <c r="AD1418" s="124"/>
      <c r="AE1418" s="124"/>
      <c r="AF1418" s="124"/>
      <c r="AG1418" s="124"/>
      <c r="AH1418" s="124"/>
      <c r="AI1418" s="124"/>
      <c r="AJ1418" s="124"/>
      <c r="AK1418" s="12"/>
      <c r="AL1418" s="12"/>
      <c r="AM1418" s="12"/>
      <c r="AN1418" s="12"/>
      <c r="AO1418" s="261"/>
      <c r="AP1418" s="247"/>
    </row>
    <row r="1419" spans="25:42" x14ac:dyDescent="0.2">
      <c r="Y1419" s="12"/>
      <c r="Z1419" s="12"/>
      <c r="AA1419" s="12"/>
      <c r="AB1419" s="12"/>
      <c r="AC1419" s="124"/>
      <c r="AD1419" s="124"/>
      <c r="AE1419" s="124"/>
      <c r="AF1419" s="124"/>
      <c r="AG1419" s="124"/>
      <c r="AH1419" s="124"/>
      <c r="AI1419" s="124"/>
      <c r="AJ1419" s="124"/>
      <c r="AK1419" s="12"/>
      <c r="AL1419" s="12"/>
      <c r="AM1419" s="12"/>
      <c r="AN1419" s="12"/>
      <c r="AO1419" s="261"/>
      <c r="AP1419" s="247"/>
    </row>
    <row r="1420" spans="25:42" x14ac:dyDescent="0.2">
      <c r="Y1420" s="12"/>
      <c r="Z1420" s="12"/>
      <c r="AA1420" s="12"/>
      <c r="AB1420" s="12"/>
      <c r="AC1420" s="124"/>
      <c r="AD1420" s="124"/>
      <c r="AE1420" s="124"/>
      <c r="AF1420" s="124"/>
      <c r="AG1420" s="124"/>
      <c r="AH1420" s="124"/>
      <c r="AI1420" s="124"/>
      <c r="AJ1420" s="124"/>
      <c r="AK1420" s="12"/>
      <c r="AL1420" s="12"/>
      <c r="AM1420" s="12"/>
      <c r="AN1420" s="12"/>
      <c r="AO1420" s="261"/>
      <c r="AP1420" s="247"/>
    </row>
    <row r="1421" spans="25:42" x14ac:dyDescent="0.2">
      <c r="Y1421" s="12"/>
      <c r="Z1421" s="12"/>
      <c r="AA1421" s="12"/>
      <c r="AB1421" s="12"/>
      <c r="AC1421" s="124"/>
      <c r="AD1421" s="124"/>
      <c r="AE1421" s="124"/>
      <c r="AF1421" s="124"/>
      <c r="AG1421" s="124"/>
      <c r="AH1421" s="124"/>
      <c r="AI1421" s="124"/>
      <c r="AJ1421" s="124"/>
      <c r="AK1421" s="12"/>
      <c r="AL1421" s="12"/>
      <c r="AM1421" s="12"/>
      <c r="AN1421" s="12"/>
      <c r="AO1421" s="261"/>
      <c r="AP1421" s="247"/>
    </row>
    <row r="1422" spans="25:42" x14ac:dyDescent="0.2">
      <c r="Y1422" s="12"/>
      <c r="Z1422" s="12"/>
      <c r="AA1422" s="12"/>
      <c r="AB1422" s="12"/>
      <c r="AC1422" s="124"/>
      <c r="AD1422" s="124"/>
      <c r="AE1422" s="124"/>
      <c r="AF1422" s="124"/>
      <c r="AG1422" s="124"/>
      <c r="AH1422" s="124"/>
      <c r="AI1422" s="124"/>
      <c r="AJ1422" s="124"/>
      <c r="AK1422" s="12"/>
      <c r="AL1422" s="12"/>
      <c r="AM1422" s="12"/>
      <c r="AN1422" s="12"/>
      <c r="AO1422" s="261"/>
      <c r="AP1422" s="247"/>
    </row>
    <row r="1423" spans="25:42" x14ac:dyDescent="0.2">
      <c r="Y1423" s="12"/>
      <c r="Z1423" s="12"/>
      <c r="AA1423" s="12"/>
      <c r="AB1423" s="12"/>
      <c r="AC1423" s="124"/>
      <c r="AD1423" s="124"/>
      <c r="AE1423" s="124"/>
      <c r="AF1423" s="124"/>
      <c r="AG1423" s="124"/>
      <c r="AH1423" s="124"/>
      <c r="AI1423" s="124"/>
      <c r="AJ1423" s="124"/>
      <c r="AK1423" s="12"/>
      <c r="AL1423" s="12"/>
      <c r="AM1423" s="12"/>
      <c r="AN1423" s="12"/>
      <c r="AO1423" s="261"/>
      <c r="AP1423" s="247"/>
    </row>
    <row r="1424" spans="25:42" x14ac:dyDescent="0.2">
      <c r="Y1424" s="12"/>
      <c r="Z1424" s="12"/>
      <c r="AA1424" s="12"/>
      <c r="AB1424" s="12"/>
      <c r="AC1424" s="124"/>
      <c r="AD1424" s="124"/>
      <c r="AE1424" s="124"/>
      <c r="AF1424" s="124"/>
      <c r="AG1424" s="124"/>
      <c r="AH1424" s="124"/>
      <c r="AI1424" s="124"/>
      <c r="AJ1424" s="124"/>
      <c r="AK1424" s="12"/>
      <c r="AL1424" s="12"/>
      <c r="AM1424" s="12"/>
      <c r="AN1424" s="12"/>
      <c r="AO1424" s="261"/>
      <c r="AP1424" s="247"/>
    </row>
    <row r="1425" spans="25:42" x14ac:dyDescent="0.2">
      <c r="Y1425" s="12"/>
      <c r="Z1425" s="12"/>
      <c r="AA1425" s="12"/>
      <c r="AB1425" s="12"/>
      <c r="AC1425" s="124"/>
      <c r="AD1425" s="124"/>
      <c r="AE1425" s="124"/>
      <c r="AF1425" s="124"/>
      <c r="AG1425" s="124"/>
      <c r="AH1425" s="124"/>
      <c r="AI1425" s="124"/>
      <c r="AJ1425" s="124"/>
      <c r="AK1425" s="12"/>
      <c r="AL1425" s="12"/>
      <c r="AM1425" s="12"/>
      <c r="AN1425" s="12"/>
      <c r="AO1425" s="261"/>
      <c r="AP1425" s="247"/>
    </row>
    <row r="1426" spans="25:42" x14ac:dyDescent="0.2">
      <c r="Y1426" s="12"/>
      <c r="Z1426" s="12"/>
      <c r="AA1426" s="12"/>
      <c r="AB1426" s="12"/>
      <c r="AC1426" s="124"/>
      <c r="AD1426" s="124"/>
      <c r="AE1426" s="124"/>
      <c r="AF1426" s="124"/>
      <c r="AG1426" s="124"/>
      <c r="AH1426" s="124"/>
      <c r="AI1426" s="124"/>
      <c r="AJ1426" s="124"/>
      <c r="AK1426" s="12"/>
      <c r="AL1426" s="12"/>
      <c r="AM1426" s="12"/>
      <c r="AN1426" s="12"/>
      <c r="AO1426" s="261"/>
      <c r="AP1426" s="247"/>
    </row>
    <row r="1427" spans="25:42" x14ac:dyDescent="0.2">
      <c r="Y1427" s="12"/>
      <c r="Z1427" s="12"/>
      <c r="AA1427" s="12"/>
      <c r="AB1427" s="12"/>
      <c r="AC1427" s="124"/>
      <c r="AD1427" s="124"/>
      <c r="AE1427" s="124"/>
      <c r="AF1427" s="124"/>
      <c r="AG1427" s="124"/>
      <c r="AH1427" s="124"/>
      <c r="AI1427" s="124"/>
      <c r="AJ1427" s="124"/>
      <c r="AK1427" s="12"/>
      <c r="AL1427" s="12"/>
      <c r="AM1427" s="12"/>
      <c r="AN1427" s="12"/>
      <c r="AO1427" s="261"/>
      <c r="AP1427" s="247"/>
    </row>
    <row r="1428" spans="25:42" x14ac:dyDescent="0.2">
      <c r="Y1428" s="12"/>
      <c r="Z1428" s="12"/>
      <c r="AA1428" s="12"/>
      <c r="AB1428" s="12"/>
      <c r="AC1428" s="124"/>
      <c r="AD1428" s="124"/>
      <c r="AE1428" s="124"/>
      <c r="AF1428" s="124"/>
      <c r="AG1428" s="124"/>
      <c r="AH1428" s="124"/>
      <c r="AI1428" s="124"/>
      <c r="AJ1428" s="124"/>
      <c r="AK1428" s="12"/>
      <c r="AL1428" s="12"/>
      <c r="AM1428" s="12"/>
      <c r="AN1428" s="12"/>
      <c r="AO1428" s="261"/>
      <c r="AP1428" s="247"/>
    </row>
    <row r="1429" spans="25:42" x14ac:dyDescent="0.2">
      <c r="Y1429" s="12"/>
      <c r="Z1429" s="12"/>
      <c r="AA1429" s="12"/>
      <c r="AB1429" s="12"/>
      <c r="AC1429" s="124"/>
      <c r="AD1429" s="124"/>
      <c r="AE1429" s="124"/>
      <c r="AF1429" s="124"/>
      <c r="AG1429" s="124"/>
      <c r="AH1429" s="124"/>
      <c r="AI1429" s="124"/>
      <c r="AJ1429" s="124"/>
      <c r="AK1429" s="12"/>
      <c r="AL1429" s="12"/>
      <c r="AM1429" s="12"/>
      <c r="AN1429" s="12"/>
      <c r="AO1429" s="261"/>
      <c r="AP1429" s="247"/>
    </row>
    <row r="1430" spans="25:42" x14ac:dyDescent="0.2">
      <c r="Y1430" s="12"/>
      <c r="Z1430" s="12"/>
      <c r="AA1430" s="12"/>
      <c r="AB1430" s="12"/>
      <c r="AC1430" s="124"/>
      <c r="AD1430" s="124"/>
      <c r="AE1430" s="124"/>
      <c r="AF1430" s="124"/>
      <c r="AG1430" s="124"/>
      <c r="AH1430" s="124"/>
      <c r="AI1430" s="124"/>
      <c r="AJ1430" s="124"/>
      <c r="AK1430" s="12"/>
      <c r="AL1430" s="12"/>
      <c r="AM1430" s="12"/>
      <c r="AN1430" s="12"/>
      <c r="AO1430" s="261"/>
      <c r="AP1430" s="247"/>
    </row>
    <row r="1431" spans="25:42" x14ac:dyDescent="0.2">
      <c r="Y1431" s="12"/>
      <c r="Z1431" s="12"/>
      <c r="AA1431" s="12"/>
      <c r="AB1431" s="12"/>
      <c r="AC1431" s="124"/>
      <c r="AD1431" s="124"/>
      <c r="AE1431" s="124"/>
      <c r="AF1431" s="124"/>
      <c r="AG1431" s="124"/>
      <c r="AH1431" s="124"/>
      <c r="AI1431" s="124"/>
      <c r="AJ1431" s="124"/>
      <c r="AK1431" s="12"/>
      <c r="AL1431" s="12"/>
      <c r="AM1431" s="12"/>
      <c r="AN1431" s="12"/>
      <c r="AO1431" s="261"/>
      <c r="AP1431" s="247"/>
    </row>
    <row r="1432" spans="25:42" x14ac:dyDescent="0.2">
      <c r="Y1432" s="12"/>
      <c r="Z1432" s="12"/>
      <c r="AA1432" s="12"/>
      <c r="AB1432" s="12"/>
      <c r="AC1432" s="124"/>
      <c r="AD1432" s="124"/>
      <c r="AE1432" s="124"/>
      <c r="AF1432" s="124"/>
      <c r="AG1432" s="124"/>
      <c r="AH1432" s="124"/>
      <c r="AI1432" s="124"/>
      <c r="AJ1432" s="124"/>
      <c r="AK1432" s="12"/>
      <c r="AL1432" s="12"/>
      <c r="AM1432" s="12"/>
      <c r="AN1432" s="12"/>
      <c r="AO1432" s="261"/>
      <c r="AP1432" s="247"/>
    </row>
    <row r="1433" spans="25:42" x14ac:dyDescent="0.2">
      <c r="Y1433" s="12"/>
      <c r="Z1433" s="12"/>
      <c r="AA1433" s="12"/>
      <c r="AB1433" s="12"/>
      <c r="AC1433" s="124"/>
      <c r="AD1433" s="124"/>
      <c r="AE1433" s="124"/>
      <c r="AF1433" s="124"/>
      <c r="AG1433" s="124"/>
      <c r="AH1433" s="124"/>
      <c r="AI1433" s="124"/>
      <c r="AJ1433" s="124"/>
      <c r="AK1433" s="12"/>
      <c r="AL1433" s="12"/>
      <c r="AM1433" s="12"/>
      <c r="AN1433" s="12"/>
      <c r="AO1433" s="261"/>
      <c r="AP1433" s="247"/>
    </row>
    <row r="1434" spans="25:42" x14ac:dyDescent="0.2">
      <c r="Y1434" s="12"/>
      <c r="Z1434" s="12"/>
      <c r="AO1434" s="261"/>
    </row>
    <row r="1435" spans="25:42" x14ac:dyDescent="0.2">
      <c r="Y1435" s="12"/>
      <c r="Z1435" s="12"/>
      <c r="AO1435" s="261"/>
    </row>
    <row r="1436" spans="25:42" x14ac:dyDescent="0.2">
      <c r="Y1436" s="12"/>
      <c r="Z1436" s="12"/>
      <c r="AO1436" s="261"/>
    </row>
    <row r="1437" spans="25:42" x14ac:dyDescent="0.2">
      <c r="Y1437" s="12"/>
      <c r="Z1437" s="12"/>
      <c r="AO1437" s="261"/>
    </row>
    <row r="1438" spans="25:42" x14ac:dyDescent="0.2">
      <c r="Y1438" s="12"/>
      <c r="Z1438" s="12"/>
      <c r="AO1438" s="261"/>
    </row>
    <row r="1439" spans="25:42" x14ac:dyDescent="0.2">
      <c r="Y1439" s="12"/>
      <c r="Z1439" s="12"/>
      <c r="AO1439" s="261"/>
    </row>
    <row r="1440" spans="25:42" x14ac:dyDescent="0.2">
      <c r="Y1440" s="12"/>
      <c r="Z1440" s="12"/>
      <c r="AO1440" s="261"/>
    </row>
    <row r="1441" spans="25:41" x14ac:dyDescent="0.2">
      <c r="Y1441" s="12"/>
      <c r="Z1441" s="12"/>
      <c r="AO1441" s="261"/>
    </row>
    <row r="1442" spans="25:41" x14ac:dyDescent="0.2">
      <c r="Y1442" s="12"/>
      <c r="Z1442" s="12"/>
      <c r="AO1442" s="261"/>
    </row>
    <row r="1443" spans="25:41" x14ac:dyDescent="0.2">
      <c r="Y1443" s="12"/>
      <c r="Z1443" s="12"/>
      <c r="AO1443" s="261"/>
    </row>
    <row r="1444" spans="25:41" x14ac:dyDescent="0.2">
      <c r="Y1444" s="12"/>
      <c r="Z1444" s="12"/>
      <c r="AO1444" s="261"/>
    </row>
    <row r="1445" spans="25:41" x14ac:dyDescent="0.2">
      <c r="Y1445" s="12"/>
      <c r="Z1445" s="12"/>
      <c r="AO1445" s="261"/>
    </row>
    <row r="1446" spans="25:41" x14ac:dyDescent="0.2">
      <c r="Y1446" s="12"/>
      <c r="Z1446" s="12"/>
      <c r="AO1446" s="261"/>
    </row>
    <row r="1447" spans="25:41" x14ac:dyDescent="0.2">
      <c r="Y1447" s="12"/>
      <c r="Z1447" s="12"/>
      <c r="AO1447" s="261"/>
    </row>
    <row r="1448" spans="25:41" x14ac:dyDescent="0.2">
      <c r="Y1448" s="12"/>
      <c r="Z1448" s="12"/>
      <c r="AO1448" s="261"/>
    </row>
    <row r="1449" spans="25:41" x14ac:dyDescent="0.2">
      <c r="Y1449" s="12"/>
      <c r="Z1449" s="12"/>
      <c r="AO1449" s="261"/>
    </row>
    <row r="1450" spans="25:41" x14ac:dyDescent="0.2">
      <c r="Y1450" s="12"/>
      <c r="Z1450" s="12"/>
      <c r="AO1450" s="261"/>
    </row>
    <row r="1451" spans="25:41" x14ac:dyDescent="0.2">
      <c r="Y1451" s="12"/>
      <c r="Z1451" s="12"/>
      <c r="AO1451" s="261"/>
    </row>
    <row r="1452" spans="25:41" x14ac:dyDescent="0.2">
      <c r="Y1452" s="12"/>
      <c r="Z1452" s="12"/>
      <c r="AO1452" s="261"/>
    </row>
    <row r="1453" spans="25:41" x14ac:dyDescent="0.2">
      <c r="Y1453" s="12"/>
      <c r="Z1453" s="12"/>
      <c r="AO1453" s="261"/>
    </row>
    <row r="1454" spans="25:41" x14ac:dyDescent="0.2">
      <c r="Y1454" s="12"/>
      <c r="Z1454" s="12"/>
      <c r="AO1454" s="261"/>
    </row>
    <row r="1455" spans="25:41" x14ac:dyDescent="0.2">
      <c r="Y1455" s="12"/>
      <c r="Z1455" s="12"/>
      <c r="AO1455" s="261"/>
    </row>
    <row r="1456" spans="25:41" x14ac:dyDescent="0.2">
      <c r="Y1456" s="12"/>
      <c r="Z1456" s="12"/>
      <c r="AO1456" s="261"/>
    </row>
    <row r="1457" spans="25:41" x14ac:dyDescent="0.2">
      <c r="Y1457" s="12"/>
      <c r="Z1457" s="12"/>
      <c r="AO1457" s="261"/>
    </row>
    <row r="1458" spans="25:41" x14ac:dyDescent="0.2">
      <c r="Y1458" s="12"/>
      <c r="Z1458" s="12"/>
      <c r="AO1458" s="261"/>
    </row>
    <row r="1459" spans="25:41" x14ac:dyDescent="0.2">
      <c r="Y1459" s="12"/>
      <c r="Z1459" s="12"/>
      <c r="AO1459" s="261"/>
    </row>
    <row r="1460" spans="25:41" x14ac:dyDescent="0.2">
      <c r="Y1460" s="12"/>
      <c r="Z1460" s="12"/>
      <c r="AO1460" s="261"/>
    </row>
    <row r="1461" spans="25:41" x14ac:dyDescent="0.2">
      <c r="Y1461" s="12"/>
      <c r="Z1461" s="12"/>
      <c r="AO1461" s="261"/>
    </row>
    <row r="1462" spans="25:41" x14ac:dyDescent="0.2">
      <c r="Y1462" s="12"/>
      <c r="Z1462" s="12"/>
      <c r="AO1462" s="261"/>
    </row>
    <row r="1463" spans="25:41" x14ac:dyDescent="0.2">
      <c r="Y1463" s="12"/>
      <c r="Z1463" s="12"/>
      <c r="AO1463" s="261"/>
    </row>
    <row r="1464" spans="25:41" x14ac:dyDescent="0.2">
      <c r="Y1464" s="12"/>
      <c r="Z1464" s="12"/>
      <c r="AO1464" s="261"/>
    </row>
    <row r="1465" spans="25:41" x14ac:dyDescent="0.2">
      <c r="Y1465" s="12"/>
      <c r="Z1465" s="12"/>
      <c r="AO1465" s="261"/>
    </row>
    <row r="1466" spans="25:41" x14ac:dyDescent="0.2">
      <c r="Y1466" s="12"/>
      <c r="Z1466" s="12"/>
      <c r="AO1466" s="261"/>
    </row>
    <row r="1467" spans="25:41" x14ac:dyDescent="0.2">
      <c r="Y1467" s="12"/>
      <c r="Z1467" s="12"/>
      <c r="AO1467" s="261"/>
    </row>
    <row r="1468" spans="25:41" x14ac:dyDescent="0.2">
      <c r="Y1468" s="12"/>
      <c r="Z1468" s="12"/>
      <c r="AO1468" s="261"/>
    </row>
    <row r="1469" spans="25:41" x14ac:dyDescent="0.2">
      <c r="Y1469" s="12"/>
      <c r="Z1469" s="12"/>
      <c r="AO1469" s="261"/>
    </row>
    <row r="1470" spans="25:41" x14ac:dyDescent="0.2">
      <c r="Y1470" s="12"/>
      <c r="Z1470" s="12"/>
      <c r="AO1470" s="261"/>
    </row>
    <row r="1471" spans="25:41" x14ac:dyDescent="0.2">
      <c r="Y1471" s="12"/>
      <c r="Z1471" s="12"/>
      <c r="AO1471" s="261"/>
    </row>
    <row r="1472" spans="25:41" x14ac:dyDescent="0.2">
      <c r="Y1472" s="12"/>
      <c r="Z1472" s="12"/>
      <c r="AO1472" s="261"/>
    </row>
    <row r="1473" spans="25:41" x14ac:dyDescent="0.2">
      <c r="Y1473" s="12"/>
      <c r="Z1473" s="12"/>
      <c r="AO1473" s="261"/>
    </row>
    <row r="1474" spans="25:41" x14ac:dyDescent="0.2">
      <c r="Y1474" s="12"/>
      <c r="Z1474" s="12"/>
      <c r="AO1474" s="261"/>
    </row>
    <row r="1475" spans="25:41" x14ac:dyDescent="0.2">
      <c r="Y1475" s="12"/>
      <c r="Z1475" s="12"/>
      <c r="AO1475" s="261"/>
    </row>
    <row r="1476" spans="25:41" x14ac:dyDescent="0.2">
      <c r="Y1476" s="12"/>
      <c r="Z1476" s="12"/>
      <c r="AO1476" s="261"/>
    </row>
    <row r="1477" spans="25:41" x14ac:dyDescent="0.2">
      <c r="Y1477" s="12"/>
      <c r="Z1477" s="12"/>
      <c r="AO1477" s="261"/>
    </row>
    <row r="1478" spans="25:41" x14ac:dyDescent="0.2">
      <c r="Y1478" s="12"/>
      <c r="Z1478" s="12"/>
      <c r="AO1478" s="261"/>
    </row>
    <row r="1479" spans="25:41" x14ac:dyDescent="0.2">
      <c r="Y1479" s="12"/>
      <c r="Z1479" s="12"/>
      <c r="AO1479" s="261"/>
    </row>
    <row r="1480" spans="25:41" x14ac:dyDescent="0.2">
      <c r="Y1480" s="12"/>
      <c r="Z1480" s="12"/>
      <c r="AO1480" s="261"/>
    </row>
    <row r="1481" spans="25:41" x14ac:dyDescent="0.2">
      <c r="Y1481" s="12"/>
      <c r="Z1481" s="12"/>
      <c r="AO1481" s="261"/>
    </row>
    <row r="1482" spans="25:41" x14ac:dyDescent="0.2">
      <c r="Y1482" s="12"/>
      <c r="Z1482" s="12"/>
      <c r="AO1482" s="261"/>
    </row>
    <row r="1483" spans="25:41" x14ac:dyDescent="0.2">
      <c r="Y1483" s="12"/>
      <c r="Z1483" s="12"/>
      <c r="AO1483" s="261"/>
    </row>
    <row r="1484" spans="25:41" x14ac:dyDescent="0.2">
      <c r="Y1484" s="12"/>
      <c r="Z1484" s="12"/>
      <c r="AO1484" s="261"/>
    </row>
    <row r="1485" spans="25:41" x14ac:dyDescent="0.2">
      <c r="Y1485" s="12"/>
      <c r="Z1485" s="12"/>
      <c r="AO1485" s="261"/>
    </row>
    <row r="1486" spans="25:41" x14ac:dyDescent="0.2">
      <c r="Y1486" s="12"/>
      <c r="Z1486" s="12"/>
      <c r="AO1486" s="261"/>
    </row>
    <row r="1487" spans="25:41" x14ac:dyDescent="0.2">
      <c r="Y1487" s="12"/>
      <c r="Z1487" s="12"/>
      <c r="AO1487" s="261"/>
    </row>
    <row r="1488" spans="25:41" x14ac:dyDescent="0.2">
      <c r="Y1488" s="12"/>
      <c r="Z1488" s="12"/>
      <c r="AO1488" s="261"/>
    </row>
    <row r="1489" spans="25:41" x14ac:dyDescent="0.2">
      <c r="Y1489" s="12"/>
      <c r="Z1489" s="12"/>
      <c r="AO1489" s="261"/>
    </row>
    <row r="1490" spans="25:41" x14ac:dyDescent="0.2">
      <c r="Y1490" s="12"/>
      <c r="Z1490" s="12"/>
      <c r="AO1490" s="261"/>
    </row>
    <row r="1491" spans="25:41" x14ac:dyDescent="0.2">
      <c r="Y1491" s="12"/>
      <c r="Z1491" s="12"/>
      <c r="AO1491" s="261"/>
    </row>
    <row r="1492" spans="25:41" x14ac:dyDescent="0.2">
      <c r="Y1492" s="12"/>
      <c r="Z1492" s="12"/>
      <c r="AO1492" s="261"/>
    </row>
    <row r="1493" spans="25:41" x14ac:dyDescent="0.2">
      <c r="Y1493" s="12"/>
      <c r="Z1493" s="12"/>
      <c r="AO1493" s="261"/>
    </row>
    <row r="1494" spans="25:41" x14ac:dyDescent="0.2">
      <c r="Y1494" s="12"/>
      <c r="Z1494" s="12"/>
      <c r="AO1494" s="261"/>
    </row>
    <row r="1495" spans="25:41" x14ac:dyDescent="0.2">
      <c r="Y1495" s="12"/>
      <c r="Z1495" s="12"/>
      <c r="AO1495" s="261"/>
    </row>
    <row r="1496" spans="25:41" x14ac:dyDescent="0.2">
      <c r="Y1496" s="12"/>
      <c r="Z1496" s="12"/>
      <c r="AO1496" s="261"/>
    </row>
    <row r="1497" spans="25:41" x14ac:dyDescent="0.2">
      <c r="Y1497" s="12"/>
      <c r="Z1497" s="12"/>
      <c r="AO1497" s="261"/>
    </row>
    <row r="1498" spans="25:41" x14ac:dyDescent="0.2">
      <c r="Y1498" s="12"/>
      <c r="Z1498" s="12"/>
      <c r="AO1498" s="261"/>
    </row>
    <row r="1499" spans="25:41" x14ac:dyDescent="0.2">
      <c r="Y1499" s="12"/>
      <c r="Z1499" s="12"/>
      <c r="AO1499" s="261"/>
    </row>
    <row r="1500" spans="25:41" x14ac:dyDescent="0.2">
      <c r="Y1500" s="12"/>
      <c r="Z1500" s="12"/>
      <c r="AO1500" s="261"/>
    </row>
    <row r="1501" spans="25:41" x14ac:dyDescent="0.2">
      <c r="Y1501" s="12"/>
      <c r="Z1501" s="12"/>
      <c r="AO1501" s="261"/>
    </row>
    <row r="1502" spans="25:41" x14ac:dyDescent="0.2">
      <c r="Y1502" s="12"/>
      <c r="Z1502" s="12"/>
      <c r="AO1502" s="261"/>
    </row>
    <row r="1503" spans="25:41" x14ac:dyDescent="0.2">
      <c r="Y1503" s="12"/>
      <c r="Z1503" s="12"/>
      <c r="AO1503" s="261"/>
    </row>
    <row r="1504" spans="25:41" x14ac:dyDescent="0.2">
      <c r="Y1504" s="12"/>
      <c r="Z1504" s="12"/>
      <c r="AO1504" s="261"/>
    </row>
    <row r="1505" spans="25:41" x14ac:dyDescent="0.2">
      <c r="Y1505" s="12"/>
      <c r="Z1505" s="12"/>
      <c r="AO1505" s="261"/>
    </row>
    <row r="1506" spans="25:41" x14ac:dyDescent="0.2">
      <c r="Y1506" s="12"/>
      <c r="Z1506" s="12"/>
      <c r="AO1506" s="261"/>
    </row>
    <row r="1507" spans="25:41" x14ac:dyDescent="0.2">
      <c r="Y1507" s="12"/>
      <c r="Z1507" s="12"/>
      <c r="AO1507" s="261"/>
    </row>
    <row r="1508" spans="25:41" x14ac:dyDescent="0.2">
      <c r="Y1508" s="12"/>
      <c r="Z1508" s="12"/>
      <c r="AO1508" s="261"/>
    </row>
    <row r="1509" spans="25:41" x14ac:dyDescent="0.2">
      <c r="Y1509" s="12"/>
      <c r="Z1509" s="12"/>
      <c r="AO1509" s="261"/>
    </row>
    <row r="1510" spans="25:41" x14ac:dyDescent="0.2">
      <c r="Y1510" s="12"/>
      <c r="Z1510" s="12"/>
      <c r="AO1510" s="261"/>
    </row>
    <row r="1511" spans="25:41" x14ac:dyDescent="0.2">
      <c r="Y1511" s="12"/>
      <c r="Z1511" s="12"/>
      <c r="AO1511" s="261"/>
    </row>
    <row r="1512" spans="25:41" x14ac:dyDescent="0.2">
      <c r="Y1512" s="12"/>
      <c r="Z1512" s="12"/>
      <c r="AO1512" s="261"/>
    </row>
    <row r="1513" spans="25:41" x14ac:dyDescent="0.2">
      <c r="Y1513" s="12"/>
      <c r="Z1513" s="12"/>
      <c r="AO1513" s="261"/>
    </row>
    <row r="1514" spans="25:41" x14ac:dyDescent="0.2">
      <c r="Y1514" s="12"/>
      <c r="Z1514" s="12"/>
      <c r="AO1514" s="261"/>
    </row>
    <row r="1515" spans="25:41" x14ac:dyDescent="0.2">
      <c r="Y1515" s="12"/>
      <c r="Z1515" s="12"/>
      <c r="AO1515" s="261"/>
    </row>
    <row r="1516" spans="25:41" x14ac:dyDescent="0.2">
      <c r="Y1516" s="12"/>
      <c r="Z1516" s="12"/>
      <c r="AO1516" s="261"/>
    </row>
    <row r="1517" spans="25:41" x14ac:dyDescent="0.2">
      <c r="Y1517" s="12"/>
      <c r="Z1517" s="12"/>
      <c r="AO1517" s="261"/>
    </row>
    <row r="1518" spans="25:41" x14ac:dyDescent="0.2">
      <c r="Y1518" s="12"/>
      <c r="Z1518" s="12"/>
      <c r="AO1518" s="261"/>
    </row>
    <row r="1519" spans="25:41" x14ac:dyDescent="0.2">
      <c r="Y1519" s="12"/>
      <c r="Z1519" s="12"/>
      <c r="AO1519" s="261"/>
    </row>
    <row r="1520" spans="25:41" x14ac:dyDescent="0.2">
      <c r="Y1520" s="12"/>
      <c r="Z1520" s="12"/>
      <c r="AO1520" s="261"/>
    </row>
    <row r="1521" spans="25:41" x14ac:dyDescent="0.2">
      <c r="Y1521" s="12"/>
      <c r="Z1521" s="12"/>
      <c r="AO1521" s="261"/>
    </row>
    <row r="1522" spans="25:41" x14ac:dyDescent="0.2">
      <c r="Y1522" s="12"/>
      <c r="Z1522" s="12"/>
      <c r="AO1522" s="261"/>
    </row>
    <row r="1523" spans="25:41" x14ac:dyDescent="0.2">
      <c r="Y1523" s="12"/>
      <c r="Z1523" s="12"/>
      <c r="AO1523" s="261"/>
    </row>
  </sheetData>
  <autoFilter ref="A8:BO1241" xr:uid="{00000000-0009-0000-0000-000000000000}">
    <filterColumn colId="2">
      <filters>
        <filter val="25"/>
      </filters>
    </filterColumn>
    <filterColumn colId="5">
      <filters>
        <filter val="Chinook"/>
      </filters>
    </filterColumn>
  </autoFilter>
  <mergeCells count="1">
    <mergeCell ref="AD7:AE7"/>
  </mergeCells>
  <conditionalFormatting sqref="AA10 AA12 AA36:AA40 AA42:AA43 AA60:AA64 AA57:AA58 AA54:AA55 AA45:AA46 AA48:AA52 AA75:AA79 AA67 AA99:AA103 AA93 AA90:AA91 AA88 AA81:AA85 AA129:AA133 AA111:AA115 AA108 AA106 AA147:AA148 AA144:AA145 AA141:AA142 AA135:AA139 AA150:AA151 AA165:AA166 AA162:AA163 AA159:AA160 AA153:AA157 AA183:AA184 AA180:AA181 AA177:AA178 AA174:AA175 AA171:AA172 AA168:AA169 AA195:AA199 AA186:AA187 AA223 AA235 AA252:AA256 AA261:AA262 AA259 AA301 AA303:AA304 AA319 AA342:AA343 AA345:AA346 AA390:AA391 AA411:AA412 AA409 AA405:AA406 AA393:AA394 AA420:AA421 AA417 AA415 AA423 AA471 AA499 AA501 AA519 AA525 AA561 AA571 AA585 AA573 AA601 AA627 AA615 AA613 AA603 AA643 AA633 AA631 AA661 AA645:AA646 AA681 AA679 AA669 AA663 AA703 AA693 AA705:AA706 AA709 AA711 AA717 AA745 AA723 AA721 AA753 AA751 AA786 AA816:AA817 AA825 AA835 AA837 AA849 AA901 AA903:AA904 AA924:AA925 AA909 AA906:AA907 AA972:AA973 AA928 AA993 AA1005 AA1003 AA999 AA996:AA997 AA1023 AA1017:AA1018 AA1015 AA1011:AA1012 AA1009 AA1039 AA1035 AA1033 AA1029 AA1026:AA1027 AA1054 AA1051 AA1044:AA1048 AA1041 AA1071 AA1068:AA1069 AA1065:AA1066 AA1063 AA1059 AA1057 AA1086:AA1087 AA1083 AA1081 AA1077 AA1074:AA1075 AA1098:AA1099 AA1095:AA1096 AA1092:AA1093 AA1089:AA1090 AA1111 AA1107 AA1105 AA1101 AA1128:AA1129 AA1119 AA1113 AA1144 AA1140:AA1141 AA1131:AA1132 AA1158:AA1162 AA1155 AA1153 AA1149 AA1147 AA1179 AA1177 AA1173 AA1171 AA1167 AA1165 AA1191:AA1192 AA1189 AA1185 AA1183 AA1209:AA1210 AA1206:AA1207 AA1203:AA1204 AA1200:AA1201 AA1221:AA1222 AA1219 AA1215 AA1213 AA1225">
    <cfRule type="cellIs" dxfId="655" priority="22" stopIfTrue="1" operator="between">
      <formula>0.25</formula>
      <formula>0.5</formula>
    </cfRule>
    <cfRule type="cellIs" dxfId="654" priority="23" stopIfTrue="1" operator="between">
      <formula>0</formula>
      <formula>0.25</formula>
    </cfRule>
  </conditionalFormatting>
  <conditionalFormatting sqref="AA10 AA12 AA36:AA40 AA42:AA43 AA60:AA64 AA57:AA58 AA54:AA55 AA45:AA46 AA48:AA52 AA75:AA79 AA67 AA99:AA103 AA93 AA90:AA91 AA88 AA81:AA85 AA129:AA133 AA111:AA115 AA108 AA106 AA147:AA148 AA144:AA145 AA141:AA142 AA135:AA139 AA150:AA151 AA165:AA166 AA162:AA163 AA159:AA160 AA153:AA157 AA183:AA184 AA180:AA181 AA177:AA178 AA174:AA175 AA171:AA172 AA168:AA169 AA195:AA199 AA186:AA187 AA223 AA235 AA252:AA256 AA261:AA262 AA259 AA301 AA303:AA304 AA319 AA342:AA343 AA345:AA346 AA390:AA391 AA411:AA412 AA409 AA405:AA406 AA393:AA394 AA420:AA421 AA417 AA415 AA423 AA471 AA499 AA501 AA519 AA525 AA561 AA571 AA585 AA573 AA601 AA627 AA615 AA613 AA603 AA643 AA633 AA631 AA661 AA645:AA646 AA681 AA679 AA669 AA663 AA703 AA693 AA705:AA706 AA709 AA711 AA717 AA745 AA723 AA721 AA753 AA751 AA786 AA816:AA817 AA825 AA835 AA837 AA849 AA901 AA903:AA904 AA924:AA925 AA909 AA906:AA907 AA972:AA973 AA928 AA993 AA1005 AA1003 AA999 AA996:AA997 AA1023 AA1017:AA1018 AA1015 AA1011:AA1012 AA1009 AA1039 AA1035 AA1033 AA1029 AA1026:AA1027 AA1054 AA1051 AA1044:AA1048 AA1041 AA1071 AA1068:AA1069 AA1065:AA1066 AA1063 AA1059 AA1057 AA1086:AA1087 AA1083 AA1081 AA1077 AA1074:AA1075 AA1098:AA1099 AA1095:AA1096 AA1092:AA1093 AA1089:AA1090 AA1111 AA1107 AA1105 AA1101 AA1128:AA1129 AA1119 AA1113 AA1144 AA1140:AA1141 AA1131:AA1132 AA1158:AA1162 AA1155 AA1153 AA1149 AA1147 AA1179 AA1177 AA1173 AA1171 AA1167 AA1165 AA1191:AA1192 AA1189 AA1185 AA1183 AA1209:AA1210 AA1206:AA1207 AA1203:AA1204 AA1200:AA1201 AA1221:AA1222 AA1219 AA1215 AA1213 AA1225">
    <cfRule type="cellIs" dxfId="653" priority="21" operator="between">
      <formula>0.5</formula>
      <formula>0.75</formula>
    </cfRule>
  </conditionalFormatting>
  <conditionalFormatting sqref="AA10 AA12 AA36:AA40 AA42:AA43 AA60:AA64 AA57:AA58 AA54:AA55 AA45:AA46 AA48:AA52 AA75:AA79 AA67 AA99:AA103 AA93 AA90:AA91 AA88 AA81:AA85 AA129:AA133 AA111:AA115 AA108 AA106 AA147:AA148 AA144:AA145 AA141:AA142 AA135:AA139 AA150:AA151 AA165:AA166 AA162:AA163 AA159:AA160 AA153:AA157 AA183:AA184 AA180:AA181 AA177:AA178 AA174:AA175 AA171:AA172 AA168:AA169 AA195:AA199 AA186:AA187 AA223 AA235 AA252:AA256 AA261:AA262 AA259 AA301 AA303:AA304 AA319 AA342:AA343 AA345:AA346 AA390:AA391 AA411:AA412 AA409 AA405:AA406 AA393:AA394 AA420:AA421 AA417 AA415 AA423 AA471 AA499 AA501 AA519 AA525 AA561 AA571 AA585 AA573 AA601 AA627 AA615 AA613 AA603 AA643 AA633 AA631 AA661 AA645:AA646 AA681 AA679 AA669 AA663 AA703 AA693 AA705:AA706 AA709 AA711 AA717 AA745 AA723 AA721 AA753 AA751 AA786 AA816:AA817 AA825 AA835 AA837 AA849 AA901 AA903:AA904 AA924:AA925 AA909 AA906:AA907 AA972:AA973 AA928 AA993 AA1005 AA1003 AA999 AA996:AA997 AA1023 AA1017:AA1018 AA1015 AA1011:AA1012 AA1009 AA1039 AA1035 AA1033 AA1029 AA1026:AA1027 AA1054 AA1051 AA1044:AA1048 AA1041 AA1071 AA1068:AA1069 AA1065:AA1066 AA1063 AA1059 AA1057 AA1086:AA1087 AA1083 AA1081 AA1077 AA1074:AA1075 AA1098:AA1099 AA1095:AA1096 AA1092:AA1093 AA1089:AA1090 AA1111 AA1107 AA1105 AA1101 AA1128:AA1129 AA1119 AA1113 AA1144 AA1140:AA1141 AA1131:AA1132 AA1158:AA1162 AA1155 AA1153 AA1149 AA1147 AA1179 AA1177 AA1173 AA1171 AA1167 AA1165 AA1191:AA1192 AA1189 AA1185 AA1183 AA1209:AA1210 AA1206:AA1207 AA1203:AA1204 AA1200:AA1201 AA1221:AA1222 AA1219 AA1215 AA1213 AA1225">
    <cfRule type="cellIs" dxfId="652" priority="19" stopIfTrue="1" operator="greaterThan">
      <formula>1.25</formula>
    </cfRule>
    <cfRule type="cellIs" dxfId="651" priority="20" stopIfTrue="1" operator="between">
      <formula>0.75</formula>
      <formula>1.25</formula>
    </cfRule>
  </conditionalFormatting>
  <conditionalFormatting sqref="AB10 AB12 AB36:AB40 AB42:AB43 AB60:AB64 AB57:AB58 AB54:AB55 AB45:AB46 AB48:AB52 AB75:AB79 AB67 AB99:AB103 AB93 AB90:AB91 AB88 AB81:AB85 AB129:AB133 AB111:AB115 AB108 AB106 AB147:AB148 AB144:AB145 AB141:AB142 AB135:AB139 AB150:AB151 AB165:AB166 AB162:AB163 AB159:AB160 AB153:AB157 AB183:AB184 AB180:AB181 AB177:AB178 AB174:AB175 AB171:AB172 AB168:AB169 AB195:AB199 AB186:AB187 AB223 AB235 AB252:AB256 AB261:AB262 AB259 AB301 AB303:AB304 AB319 AB342:AB343 AB345:AB346 AB390:AB391 AB411:AB412 AB409 AB405:AB406 AB393:AB394 AB420:AB421 AB417 AB415 AB423 AB471 AB499 AB501 AB519 AB525 AB561 AB571 AB585 AB573 AB601 AB627 AB615 AB613 AB603 AB643 AB633 AB631 AB661 AB645:AB646 AB681 AB679 AB669 AB663 AB703 AB693 AB705:AB706 AB709 AB711 AB717 AB745 AB723 AB721 AB753 AB751 AB786 AB816:AB817 AB825 AB835 AB837 AB849 AB901 AB903:AB904 AB924:AB925 AB909 AB906:AB907 AB972:AB973 AB928 AB993 AB1005 AB1003 AB999 AB996:AB997 AB1023 AB1017:AB1018 AB1015 AB1011:AB1012 AB1009 AB1039 AB1035 AB1033 AB1029 AB1026:AB1027 AB1054 AB1051 AB1044:AB1048 AB1041 AB1071 AB1068:AB1069 AB1065:AB1066 AB1063 AB1059 AB1057 AB1086:AB1087 AB1083 AB1081 AB1077 AB1074:AB1075 AB1098:AB1099 AB1095:AB1096 AB1092:AB1093 AB1089:AB1090 AB1111 AB1107 AB1105 AB1101 AB1128:AB1129 AB1119 AB1113 AB1144 AB1140:AB1141 AB1131:AB1132 AB1158:AB1162 AB1155 AB1153 AB1149 AB1147 AB1179 AB1177 AB1173 AB1171 AB1167 AB1165 AB1191:AB1192 AB1189 AB1185 AB1183 AB1209:AB1210 AB1206:AB1207 AB1203:AB1204 AB1200:AB1201 AB1221:AB1222 AB1219 AB1215 AB1213 AB1225">
    <cfRule type="cellIs" dxfId="650" priority="17" stopIfTrue="1" operator="between">
      <formula>0.25</formula>
      <formula>0.5</formula>
    </cfRule>
    <cfRule type="cellIs" dxfId="649" priority="18" stopIfTrue="1" operator="between">
      <formula>0</formula>
      <formula>0.25</formula>
    </cfRule>
  </conditionalFormatting>
  <conditionalFormatting sqref="AB10 AB12 AB36:AB40 AB42:AB43 AB60:AB64 AB57:AB58 AB54:AB55 AB45:AB46 AB48:AB52 AB75:AB79 AB67 AB99:AB103 AB93 AB90:AB91 AB88 AB81:AB85 AB129:AB133 AB111:AB115 AB108 AB106 AB147:AB148 AB144:AB145 AB141:AB142 AB135:AB139 AB150:AB151 AB165:AB166 AB162:AB163 AB159:AB160 AB153:AB157 AB183:AB184 AB180:AB181 AB177:AB178 AB174:AB175 AB171:AB172 AB168:AB169 AB195:AB199 AB186:AB187 AB223 AB235 AB252:AB256 AB261:AB262 AB259 AB301 AB303:AB304 AB319 AB342:AB343 AB345:AB346 AB390:AB391 AB411:AB412 AB409 AB405:AB406 AB393:AB394 AB420:AB421 AB417 AB415 AB423 AB471 AB499 AB501 AB519 AB525 AB561 AB571 AB585 AB573 AB601 AB627 AB615 AB613 AB603 AB643 AB633 AB631 AB661 AB645:AB646 AB681 AB679 AB669 AB663 AB703 AB693 AB705:AB706 AB709 AB711 AB717 AB745 AB723 AB721 AB753 AB751 AB786 AB816:AB817 AB825 AB835 AB837 AB849 AB901 AB903:AB904 AB924:AB925 AB909 AB906:AB907 AB972:AB973 AB928 AB993 AB1005 AB1003 AB999 AB996:AB997 AB1023 AB1017:AB1018 AB1015 AB1011:AB1012 AB1009 AB1039 AB1035 AB1033 AB1029 AB1026:AB1027 AB1054 AB1051 AB1044:AB1048 AB1041 AB1071 AB1068:AB1069 AB1065:AB1066 AB1063 AB1059 AB1057 AB1086:AB1087 AB1083 AB1081 AB1077 AB1074:AB1075 AB1098:AB1099 AB1095:AB1096 AB1092:AB1093 AB1089:AB1090 AB1111 AB1107 AB1105 AB1101 AB1128:AB1129 AB1119 AB1113 AB1144 AB1140:AB1141 AB1131:AB1132 AB1158:AB1162 AB1155 AB1153 AB1149 AB1147 AB1179 AB1177 AB1173 AB1171 AB1167 AB1165 AB1191:AB1192 AB1189 AB1185 AB1183 AB1209:AB1210 AB1206:AB1207 AB1203:AB1204 AB1200:AB1201 AB1221:AB1222 AB1219 AB1215 AB1213 AB1225">
    <cfRule type="cellIs" dxfId="648" priority="16" stopIfTrue="1" operator="between">
      <formula>0.5</formula>
      <formula>0.75</formula>
    </cfRule>
  </conditionalFormatting>
  <conditionalFormatting sqref="AB10 AB12 AB36:AB40 AB42:AB43 AB60:AB64 AB57:AB58 AB54:AB55 AB45:AB46 AB48:AB52 AB75:AB79 AB67 AB99:AB103 AB93 AB90:AB91 AB88 AB81:AB85 AB129:AB133 AB111:AB115 AB108 AB106 AB147:AB148 AB144:AB145 AB141:AB142 AB135:AB139 AB150:AB151 AB165:AB166 AB162:AB163 AB159:AB160 AB153:AB157 AB183:AB184 AB180:AB181 AB177:AB178 AB174:AB175 AB171:AB172 AB168:AB169 AB195:AB199 AB186:AB187 AB223 AB235 AB252:AB256 AB261:AB262 AB259 AB301 AB303:AB304 AB319 AB342:AB343 AB345:AB346 AB390:AB391 AB411:AB412 AB409 AB405:AB406 AB393:AB394 AB420:AB421 AB417 AB415 AB423 AB471 AB499 AB501 AB519 AB525 AB561 AB571 AB585 AB573 AB601 AB627 AB615 AB613 AB603 AB643 AB633 AB631 AB661 AB645:AB646 AB681 AB679 AB669 AB663 AB703 AB693 AB705:AB706 AB709 AB711 AB717 AB745 AB723 AB721 AB753 AB751 AB786 AB816:AB817 AB825 AB835 AB837 AB849 AB901 AB903:AB904 AB924:AB925 AB909 AB906:AB907 AB972:AB973 AB928 AB993 AB1005 AB1003 AB999 AB996:AB997 AB1023 AB1017:AB1018 AB1015 AB1011:AB1012 AB1009 AB1039 AB1035 AB1033 AB1029 AB1026:AB1027 AB1054 AB1051 AB1044:AB1048 AB1041 AB1071 AB1068:AB1069 AB1065:AB1066 AB1063 AB1059 AB1057 AB1086:AB1087 AB1083 AB1081 AB1077 AB1074:AB1075 AB1098:AB1099 AB1095:AB1096 AB1092:AB1093 AB1089:AB1090 AB1111 AB1107 AB1105 AB1101 AB1128:AB1129 AB1119 AB1113 AB1144 AB1140:AB1141 AB1131:AB1132 AB1158:AB1162 AB1155 AB1153 AB1149 AB1147 AB1179 AB1177 AB1173 AB1171 AB1167 AB1165 AB1191:AB1192 AB1189 AB1185 AB1183 AB1209:AB1210 AB1206:AB1207 AB1203:AB1204 AB1200:AB1201 AB1221:AB1222 AB1219 AB1215 AB1213 AB1225">
    <cfRule type="cellIs" dxfId="647" priority="14" stopIfTrue="1" operator="greaterThan">
      <formula>1.25</formula>
    </cfRule>
    <cfRule type="cellIs" dxfId="646" priority="15" stopIfTrue="1" operator="between">
      <formula>0.75</formula>
      <formula>1.25</formula>
    </cfRule>
  </conditionalFormatting>
  <conditionalFormatting sqref="AF40 AF46 AF52 AF58 AF64 AF70 AF79 AF85 AF91 AF103 AF115 AF121 AF127 AF133 AF139 AF145 AF151 AF163 AF181 AF187 AF199 AF262 AF280 AF304 AF346 AF526 AF628 AF928 AF1012 AF1030 AF1048 AF1090 AF1096 AF1132 AF1144 AF1156 AF1162 AF1198 AF1204 AF1210 AF1234">
    <cfRule type="cellIs" dxfId="645" priority="11" stopIfTrue="1" operator="greaterThanOrEqual">
      <formula>AD40</formula>
    </cfRule>
    <cfRule type="cellIs" dxfId="644" priority="12" stopIfTrue="1" operator="between">
      <formula>AD40</formula>
      <formula>AE40</formula>
    </cfRule>
    <cfRule type="cellIs" dxfId="643" priority="13" stopIfTrue="1" operator="lessThan">
      <formula>AE40</formula>
    </cfRule>
  </conditionalFormatting>
  <printOptions horizontalCentered="1"/>
  <pageMargins left="0.19685039370078741" right="0.19685039370078741" top="0.59055118110236227" bottom="0.51181102362204722" header="0.19685039370078741" footer="0.19685039370078741"/>
  <pageSetup scale="72" fitToHeight="0" orientation="portrait" r:id="rId1"/>
  <headerFooter alignWithMargins="0">
    <oddHeader>&amp;R&amp;8&amp;D</oddHeader>
    <oddFooter>&amp;L&amp;8South Coast / &amp;F / &amp;A&amp;R&amp;8Page  &amp;P  of  &amp;N</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filterMode="1">
    <tabColor indexed="13"/>
    <pageSetUpPr fitToPage="1"/>
  </sheetPr>
  <dimension ref="A1:CI1530"/>
  <sheetViews>
    <sheetView tabSelected="1" zoomScaleNormal="100" zoomScaleSheetLayoutView="115" workbookViewId="0">
      <pane ySplit="8" topLeftCell="A966" activePane="bottomLeft" state="frozen"/>
      <selection pane="bottomLeft" activeCell="AO1269" sqref="AO1269"/>
    </sheetView>
  </sheetViews>
  <sheetFormatPr defaultRowHeight="12.75" outlineLevelCol="1" x14ac:dyDescent="0.2"/>
  <cols>
    <col min="1" max="1" width="9.7109375" bestFit="1" customWidth="1"/>
    <col min="2" max="2" width="8.28515625" bestFit="1" customWidth="1"/>
    <col min="3" max="3" width="6.140625" style="2" customWidth="1"/>
    <col min="4" max="4" width="12.140625" style="398" customWidth="1"/>
    <col min="5" max="5" width="20" customWidth="1"/>
    <col min="6" max="6" width="7.5703125" style="12" customWidth="1"/>
    <col min="7" max="7" width="5.28515625" style="12" hidden="1" customWidth="1"/>
    <col min="8" max="8" width="6.7109375" style="12" hidden="1" customWidth="1"/>
    <col min="9" max="9" width="5.5703125" style="12" hidden="1" customWidth="1"/>
    <col min="10" max="10" width="6.140625" style="12" hidden="1" customWidth="1"/>
    <col min="11" max="11" width="6.5703125" style="12" customWidth="1"/>
    <col min="12" max="12" width="5.42578125" style="12" customWidth="1"/>
    <col min="13" max="13" width="6.85546875" style="14" customWidth="1"/>
    <col min="14" max="14" width="6.5703125" style="14" customWidth="1"/>
    <col min="15" max="15" width="7.85546875" style="14" customWidth="1"/>
    <col min="16" max="16" width="7.42578125" style="12" customWidth="1"/>
    <col min="17" max="17" width="7.140625" style="12" customWidth="1"/>
    <col min="18" max="18" width="7.85546875" style="12" customWidth="1"/>
    <col min="19" max="19" width="8.5703125" style="12" customWidth="1"/>
    <col min="20" max="20" width="6.85546875" style="12" customWidth="1"/>
    <col min="21" max="21" width="8.42578125" style="12" customWidth="1"/>
    <col min="22" max="22" width="7.140625" style="12" customWidth="1"/>
    <col min="23" max="26" width="5.7109375" style="12" hidden="1" customWidth="1"/>
    <col min="27" max="27" width="7.5703125" style="12" hidden="1" customWidth="1"/>
    <col min="28" max="33" width="5.7109375" style="12" hidden="1" customWidth="1"/>
    <col min="34" max="34" width="7.28515625" style="12" hidden="1" customWidth="1"/>
    <col min="35" max="35" width="6.140625" style="12" hidden="1" customWidth="1"/>
    <col min="36" max="36" width="5.28515625" style="12" hidden="1" customWidth="1"/>
    <col min="37" max="37" width="6.28515625" style="12" hidden="1" customWidth="1"/>
    <col min="38" max="38" width="6.5703125" style="550" hidden="1" customWidth="1" outlineLevel="1"/>
    <col min="39" max="39" width="11.85546875" style="550" bestFit="1" customWidth="1" outlineLevel="1"/>
    <col min="40" max="40" width="8.140625" style="2" customWidth="1" outlineLevel="1"/>
    <col min="41" max="41" width="13.42578125" customWidth="1" outlineLevel="1"/>
    <col min="42" max="42" width="6.28515625" customWidth="1" outlineLevel="1"/>
    <col min="43" max="43" width="9" style="24" customWidth="1" outlineLevel="1"/>
    <col min="44" max="44" width="8.5703125" style="24" customWidth="1" outlineLevel="1"/>
    <col min="45" max="45" width="8.5703125" style="122" customWidth="1" outlineLevel="1"/>
    <col min="46" max="46" width="11.42578125" style="122" customWidth="1" outlineLevel="1"/>
    <col min="47" max="47" width="10.140625" style="122" customWidth="1" outlineLevel="1"/>
    <col min="48" max="48" width="11.28515625" style="122" customWidth="1" outlineLevel="1"/>
    <col min="49" max="49" width="3.85546875" style="122" customWidth="1" outlineLevel="1"/>
    <col min="50" max="50" width="22.140625" style="122" hidden="1" customWidth="1" outlineLevel="1"/>
    <col min="51" max="51" width="19.85546875" style="122" customWidth="1" outlineLevel="1"/>
    <col min="52" max="52" width="6.85546875" style="401" customWidth="1" outlineLevel="1"/>
    <col min="53" max="53" width="12.85546875" style="122" customWidth="1" outlineLevel="1"/>
    <col min="54" max="54" width="13.7109375" style="24" customWidth="1" outlineLevel="1"/>
    <col min="55" max="55" width="12.5703125" style="24" customWidth="1" outlineLevel="1"/>
    <col min="56" max="56" width="6.85546875" style="24" customWidth="1" outlineLevel="1"/>
    <col min="57" max="57" width="7.140625" style="24" customWidth="1" outlineLevel="1"/>
    <col min="58" max="58" width="7.140625" style="24" hidden="1" customWidth="1" outlineLevel="1"/>
    <col min="59" max="59" width="8" style="24" hidden="1" customWidth="1" outlineLevel="1"/>
    <col min="60" max="60" width="9" style="38" customWidth="1" outlineLevel="1"/>
    <col min="61" max="61" width="9" style="256" customWidth="1" outlineLevel="1"/>
    <col min="62" max="62" width="51.5703125" customWidth="1" outlineLevel="1"/>
    <col min="63" max="63" width="11.5703125" customWidth="1" outlineLevel="1"/>
    <col min="64" max="64" width="13.7109375" customWidth="1" outlineLevel="1"/>
    <col min="65" max="65" width="8.5703125" customWidth="1" outlineLevel="1"/>
    <col min="66" max="66" width="8.85546875" customWidth="1" outlineLevel="1"/>
    <col min="67" max="67" width="8.42578125" style="24" customWidth="1" outlineLevel="1"/>
    <col min="68" max="68" width="12.28515625" style="24" customWidth="1" outlineLevel="1"/>
    <col min="69" max="69" width="51.5703125" style="24" customWidth="1" outlineLevel="1"/>
    <col min="70" max="70" width="14.7109375" style="24" customWidth="1" outlineLevel="1"/>
    <col min="71" max="71" width="12.28515625" style="24" customWidth="1" outlineLevel="1"/>
    <col min="72" max="72" width="12.42578125" style="24" customWidth="1" outlineLevel="1"/>
    <col min="73" max="74" width="13.42578125" style="31" customWidth="1" outlineLevel="1"/>
    <col min="75" max="75" width="13.7109375" style="31" customWidth="1" outlineLevel="1"/>
    <col min="76" max="76" width="17" style="31" customWidth="1" outlineLevel="1"/>
    <col min="77" max="77" width="42.5703125" style="31" customWidth="1" outlineLevel="1"/>
    <col min="78" max="78" width="10.42578125" style="31" customWidth="1" outlineLevel="1"/>
    <col min="79" max="79" width="13.140625" style="31" customWidth="1" outlineLevel="1"/>
    <col min="80" max="80" width="10.42578125" style="31" customWidth="1" outlineLevel="1"/>
    <col min="81" max="81" width="14.42578125" style="31" customWidth="1" outlineLevel="1"/>
    <col min="83" max="83" width="52.5703125" bestFit="1" customWidth="1"/>
    <col min="84" max="84" width="4.5703125" style="31" bestFit="1" customWidth="1"/>
    <col min="85" max="85" width="12.140625" style="31" bestFit="1" customWidth="1"/>
    <col min="86" max="86" width="4.5703125" style="31" bestFit="1" customWidth="1"/>
    <col min="87" max="87" width="12.5703125" bestFit="1" customWidth="1"/>
  </cols>
  <sheetData>
    <row r="1" spans="1:87" ht="15" customHeight="1" x14ac:dyDescent="0.25">
      <c r="C1" s="1"/>
      <c r="D1" s="397"/>
      <c r="F1" s="291" t="s">
        <v>433</v>
      </c>
      <c r="G1" s="291"/>
      <c r="H1" s="291"/>
      <c r="I1" s="291"/>
      <c r="J1" s="291"/>
      <c r="K1" s="314" t="s">
        <v>434</v>
      </c>
      <c r="L1" s="313" t="s">
        <v>467</v>
      </c>
      <c r="M1" s="2"/>
      <c r="N1" s="2"/>
      <c r="O1" s="2"/>
      <c r="P1"/>
      <c r="Q1"/>
      <c r="R1"/>
      <c r="S1" s="3" t="s">
        <v>0</v>
      </c>
      <c r="T1"/>
      <c r="U1"/>
      <c r="V1"/>
      <c r="W1"/>
      <c r="X1"/>
      <c r="Y1"/>
      <c r="Z1"/>
      <c r="AA1"/>
      <c r="AB1"/>
      <c r="AC1"/>
      <c r="AD1"/>
      <c r="AE1"/>
      <c r="AF1"/>
      <c r="AG1"/>
      <c r="AH1"/>
      <c r="AI1"/>
      <c r="AJ1"/>
      <c r="AK1"/>
      <c r="AQ1" s="57"/>
      <c r="AR1" s="863" t="s">
        <v>475</v>
      </c>
      <c r="AS1" s="864"/>
      <c r="AT1" s="120"/>
      <c r="AU1" s="120">
        <v>3</v>
      </c>
      <c r="AV1" s="120"/>
      <c r="AW1" t="s">
        <v>479</v>
      </c>
      <c r="AX1" s="120"/>
      <c r="BA1" s="15"/>
      <c r="BB1" s="54" t="s">
        <v>598</v>
      </c>
      <c r="BC1" s="54" t="s">
        <v>599</v>
      </c>
      <c r="BD1" s="54"/>
      <c r="BE1" s="54"/>
      <c r="BF1" s="54"/>
      <c r="BG1" s="54"/>
      <c r="BH1" s="257"/>
      <c r="BI1" s="252"/>
      <c r="BJ1" s="15"/>
      <c r="BM1" s="136"/>
      <c r="BN1" s="137"/>
      <c r="BO1" s="137"/>
      <c r="BP1" s="136"/>
      <c r="BQ1"/>
      <c r="BR1"/>
      <c r="BS1"/>
      <c r="BT1"/>
    </row>
    <row r="2" spans="1:87" ht="15" customHeight="1" x14ac:dyDescent="0.2">
      <c r="F2" s="383" t="s">
        <v>352</v>
      </c>
      <c r="G2" s="222"/>
      <c r="H2" s="222"/>
      <c r="I2" s="222"/>
      <c r="J2" s="222"/>
      <c r="M2" s="135" t="s">
        <v>331</v>
      </c>
      <c r="O2" s="2"/>
      <c r="P2"/>
      <c r="Q2"/>
      <c r="R2"/>
      <c r="S2" s="4"/>
      <c r="T2"/>
      <c r="U2"/>
      <c r="V2"/>
      <c r="W2"/>
      <c r="X2"/>
      <c r="Y2"/>
      <c r="Z2"/>
      <c r="AA2"/>
      <c r="AB2"/>
      <c r="AC2"/>
      <c r="AD2"/>
      <c r="AE2"/>
      <c r="AF2"/>
      <c r="AG2"/>
      <c r="AH2"/>
      <c r="AI2"/>
      <c r="AJ2"/>
      <c r="AK2"/>
      <c r="AR2" s="865"/>
      <c r="AS2" s="866"/>
      <c r="AT2" s="120"/>
      <c r="AU2" s="120">
        <v>9</v>
      </c>
      <c r="AV2" s="120"/>
      <c r="AW2" s="316" t="s">
        <v>480</v>
      </c>
      <c r="AX2" s="120"/>
      <c r="AY2" s="326" t="s">
        <v>486</v>
      </c>
      <c r="AZ2" s="326"/>
      <c r="BB2" s="54">
        <v>6100000</v>
      </c>
      <c r="BC2" s="54">
        <v>550000</v>
      </c>
      <c r="BD2" s="402">
        <f>BC2/BB2</f>
        <v>9.0163934426229511E-2</v>
      </c>
      <c r="BE2" s="54"/>
      <c r="BF2" s="54"/>
      <c r="BG2" s="54"/>
      <c r="BH2" s="257">
        <v>9.3979999999999997</v>
      </c>
      <c r="BI2" s="253"/>
      <c r="BJ2" s="15"/>
      <c r="BM2" s="16"/>
      <c r="BN2" s="138"/>
      <c r="BO2" s="138"/>
      <c r="BP2" s="16"/>
      <c r="BQ2"/>
      <c r="BR2"/>
      <c r="BS2"/>
      <c r="BT2"/>
    </row>
    <row r="3" spans="1:87" ht="13.5" customHeight="1" x14ac:dyDescent="0.25">
      <c r="C3" s="5">
        <v>2023</v>
      </c>
      <c r="D3" s="5"/>
      <c r="F3" s="97" t="s">
        <v>267</v>
      </c>
      <c r="G3" s="222"/>
      <c r="H3" s="222"/>
      <c r="I3" s="222"/>
      <c r="J3" s="222"/>
      <c r="M3" s="118" t="s">
        <v>311</v>
      </c>
      <c r="O3" s="2"/>
      <c r="P3" s="72" t="s">
        <v>1</v>
      </c>
      <c r="Q3" s="73" t="s">
        <v>2</v>
      </c>
      <c r="R3" s="74"/>
      <c r="S3" s="72" t="s">
        <v>1</v>
      </c>
      <c r="T3" s="73" t="s">
        <v>2</v>
      </c>
      <c r="U3" s="74"/>
      <c r="V3" s="72" t="s">
        <v>1</v>
      </c>
      <c r="W3" s="75" t="s">
        <v>2</v>
      </c>
      <c r="X3" s="76"/>
      <c r="Y3" s="72" t="s">
        <v>1</v>
      </c>
      <c r="Z3" s="73" t="s">
        <v>2</v>
      </c>
      <c r="AA3" s="77"/>
      <c r="AB3" s="78"/>
      <c r="AC3" s="316"/>
      <c r="AD3" s="316"/>
      <c r="AE3" s="316"/>
      <c r="AF3" s="316"/>
      <c r="AG3" s="316"/>
      <c r="AH3" s="316"/>
      <c r="AI3" s="316"/>
      <c r="AJ3" s="316"/>
      <c r="AK3" s="316"/>
      <c r="AL3" s="345"/>
      <c r="AM3" s="345"/>
      <c r="AN3" s="345"/>
      <c r="AR3" s="318" t="s">
        <v>4</v>
      </c>
      <c r="AS3" s="323" t="s">
        <v>476</v>
      </c>
      <c r="AT3" s="121"/>
      <c r="AU3" s="121">
        <v>1</v>
      </c>
      <c r="AV3" s="121"/>
      <c r="AW3" s="316" t="s">
        <v>481</v>
      </c>
      <c r="AX3" s="121"/>
      <c r="AY3" s="327" t="s">
        <v>487</v>
      </c>
      <c r="AZ3" s="327"/>
      <c r="BA3"/>
      <c r="BB3" s="41">
        <v>300000</v>
      </c>
      <c r="BC3" s="41">
        <v>40000</v>
      </c>
      <c r="BD3" s="402">
        <f>BC3/BB3</f>
        <v>0.13333333333333333</v>
      </c>
      <c r="BE3" s="41"/>
      <c r="BF3" s="41"/>
      <c r="BG3" s="41"/>
      <c r="BH3" s="38">
        <v>34.26</v>
      </c>
      <c r="BI3" s="247"/>
      <c r="BJ3" s="15"/>
      <c r="BM3" s="15"/>
      <c r="BN3" s="139"/>
      <c r="BO3" s="140"/>
      <c r="BP3" s="55"/>
      <c r="BQ3"/>
      <c r="BR3"/>
      <c r="BS3"/>
      <c r="BT3"/>
    </row>
    <row r="4" spans="1:87" ht="13.5" customHeight="1" x14ac:dyDescent="0.25">
      <c r="C4" s="6" t="s">
        <v>3</v>
      </c>
      <c r="D4" s="5"/>
      <c r="F4" s="99" t="s">
        <v>286</v>
      </c>
      <c r="G4" s="222"/>
      <c r="H4" s="222"/>
      <c r="I4" s="222"/>
      <c r="J4" s="222"/>
      <c r="M4" s="315" t="s">
        <v>468</v>
      </c>
      <c r="O4" s="2"/>
      <c r="P4" s="79">
        <v>1</v>
      </c>
      <c r="Q4" s="73" t="s">
        <v>4</v>
      </c>
      <c r="R4" s="74"/>
      <c r="S4" s="80">
        <v>4</v>
      </c>
      <c r="T4" s="73" t="s">
        <v>5</v>
      </c>
      <c r="U4" s="74"/>
      <c r="V4" s="81">
        <v>7</v>
      </c>
      <c r="W4" s="75" t="s">
        <v>6</v>
      </c>
      <c r="X4" s="76"/>
      <c r="Y4" s="82">
        <v>10</v>
      </c>
      <c r="Z4" s="21" t="s">
        <v>7</v>
      </c>
      <c r="AA4" s="83"/>
      <c r="AB4" s="84"/>
      <c r="AC4" s="19"/>
      <c r="AD4" s="19"/>
      <c r="AE4" s="19"/>
      <c r="AF4" s="19"/>
      <c r="AG4" s="19"/>
      <c r="AH4" s="19"/>
      <c r="AI4" s="19"/>
      <c r="AJ4" s="19"/>
      <c r="AK4" s="19"/>
      <c r="AL4" s="346"/>
      <c r="AM4" s="346"/>
      <c r="AN4" s="346"/>
      <c r="AR4" s="319" t="s">
        <v>8</v>
      </c>
      <c r="AS4" s="320" t="s">
        <v>477</v>
      </c>
      <c r="AT4" s="120"/>
      <c r="AU4" s="120">
        <v>7</v>
      </c>
      <c r="AV4" s="120"/>
      <c r="AW4" s="316" t="s">
        <v>482</v>
      </c>
      <c r="AX4" s="120"/>
      <c r="AY4" s="327" t="s">
        <v>488</v>
      </c>
      <c r="AZ4" s="327"/>
      <c r="BA4"/>
      <c r="BB4" s="54"/>
      <c r="BC4" s="54"/>
      <c r="BD4" s="58"/>
      <c r="BE4" s="54"/>
      <c r="BF4" s="54"/>
      <c r="BG4" s="54"/>
      <c r="BH4" s="38">
        <v>53.594000000000001</v>
      </c>
      <c r="BI4" s="247"/>
      <c r="BJ4" s="15"/>
      <c r="BM4" s="15"/>
      <c r="BN4" s="139"/>
      <c r="BO4" s="140"/>
      <c r="BP4" s="55"/>
      <c r="BQ4"/>
      <c r="BR4"/>
      <c r="BS4"/>
      <c r="BT4"/>
    </row>
    <row r="5" spans="1:87" ht="13.5" customHeight="1" x14ac:dyDescent="0.25">
      <c r="C5" s="6" t="s">
        <v>201</v>
      </c>
      <c r="D5" s="5"/>
      <c r="F5" s="189" t="s">
        <v>287</v>
      </c>
      <c r="G5" s="222"/>
      <c r="H5" s="222"/>
      <c r="I5" s="222"/>
      <c r="J5" s="222"/>
      <c r="M5" s="134" t="s">
        <v>309</v>
      </c>
      <c r="O5" s="2"/>
      <c r="P5" s="85">
        <v>2</v>
      </c>
      <c r="Q5" s="73" t="s">
        <v>8</v>
      </c>
      <c r="R5" s="74"/>
      <c r="S5" s="81">
        <v>5</v>
      </c>
      <c r="T5" s="73" t="s">
        <v>9</v>
      </c>
      <c r="U5" s="74"/>
      <c r="V5" s="86">
        <v>8</v>
      </c>
      <c r="W5" s="75" t="s">
        <v>10</v>
      </c>
      <c r="X5" s="76"/>
      <c r="Y5" s="71">
        <v>11</v>
      </c>
      <c r="Z5" s="87" t="s">
        <v>11</v>
      </c>
      <c r="AA5" s="88"/>
      <c r="AB5" s="74"/>
      <c r="AC5" s="317"/>
      <c r="AD5" s="317"/>
      <c r="AE5" s="317"/>
      <c r="AF5" s="317"/>
      <c r="AG5" s="317"/>
      <c r="AH5" s="317"/>
      <c r="AI5" s="317"/>
      <c r="AJ5" s="317"/>
      <c r="AK5" s="317"/>
      <c r="AL5" s="551"/>
      <c r="AM5" s="551"/>
      <c r="AN5" s="55"/>
      <c r="AR5" s="324" t="s">
        <v>12</v>
      </c>
      <c r="AS5" s="321" t="s">
        <v>220</v>
      </c>
      <c r="AU5" s="120">
        <v>2</v>
      </c>
      <c r="AV5" s="120"/>
      <c r="AW5" s="316" t="s">
        <v>485</v>
      </c>
      <c r="AX5" s="120"/>
      <c r="AY5" s="327" t="s">
        <v>489</v>
      </c>
      <c r="AZ5" s="327"/>
      <c r="BA5"/>
      <c r="BB5" s="54"/>
      <c r="BC5" s="54"/>
      <c r="BD5" s="54"/>
      <c r="BE5" s="54"/>
      <c r="BF5" s="54"/>
      <c r="BG5" s="54"/>
      <c r="BI5" s="247"/>
      <c r="BJ5" s="15"/>
      <c r="BM5" s="15"/>
      <c r="BN5" s="139"/>
      <c r="BO5" s="140"/>
      <c r="BP5" s="55"/>
      <c r="BQ5"/>
      <c r="BR5"/>
      <c r="BS5"/>
      <c r="BT5"/>
    </row>
    <row r="6" spans="1:87" ht="13.5" customHeight="1" thickBot="1" x14ac:dyDescent="0.3">
      <c r="C6" s="7" t="s">
        <v>213</v>
      </c>
      <c r="D6" s="397"/>
      <c r="E6" s="190" t="s">
        <v>362</v>
      </c>
      <c r="F6" s="306"/>
      <c r="G6" s="107"/>
      <c r="H6" s="107"/>
      <c r="I6" s="107"/>
      <c r="J6" s="107"/>
      <c r="M6" s="2"/>
      <c r="N6" s="2"/>
      <c r="O6" s="2"/>
      <c r="P6" s="331">
        <v>3</v>
      </c>
      <c r="Q6" s="73" t="s">
        <v>12</v>
      </c>
      <c r="R6" s="74"/>
      <c r="S6" s="347">
        <v>6</v>
      </c>
      <c r="T6" s="73" t="s">
        <v>469</v>
      </c>
      <c r="U6" s="74"/>
      <c r="V6" s="91">
        <v>9</v>
      </c>
      <c r="W6" s="75" t="s">
        <v>14</v>
      </c>
      <c r="X6" s="76"/>
      <c r="Y6" s="92">
        <v>12</v>
      </c>
      <c r="Z6" s="87" t="s">
        <v>218</v>
      </c>
      <c r="AA6" s="77"/>
      <c r="AB6" s="78"/>
      <c r="AC6" s="316"/>
      <c r="AD6" s="316"/>
      <c r="AE6" s="316"/>
      <c r="AF6" s="316"/>
      <c r="AG6" s="316"/>
      <c r="AH6" s="316"/>
      <c r="AI6" s="316"/>
      <c r="AJ6" s="316"/>
      <c r="AK6" s="316"/>
      <c r="AL6" s="345"/>
      <c r="AM6" s="345"/>
      <c r="AN6" s="345"/>
      <c r="AQ6" s="17"/>
      <c r="AR6" s="325" t="s">
        <v>5</v>
      </c>
      <c r="AS6" s="322" t="s">
        <v>478</v>
      </c>
      <c r="AT6" s="120"/>
      <c r="AU6" s="120"/>
      <c r="AV6" s="120"/>
      <c r="AW6" s="316" t="s">
        <v>483</v>
      </c>
      <c r="AX6" s="120"/>
      <c r="AY6" s="327" t="s">
        <v>490</v>
      </c>
      <c r="AZ6" s="327"/>
      <c r="BA6" s="17"/>
      <c r="BB6" s="54"/>
      <c r="BE6" s="54"/>
      <c r="BF6" s="54"/>
      <c r="BG6" s="54"/>
      <c r="BI6" s="247"/>
      <c r="BJ6" s="58"/>
      <c r="BK6">
        <v>2</v>
      </c>
      <c r="BL6">
        <v>3</v>
      </c>
      <c r="BM6" s="15"/>
      <c r="BN6" s="139"/>
      <c r="BO6" s="140"/>
      <c r="BP6" s="55"/>
      <c r="BQ6"/>
      <c r="BR6"/>
      <c r="BS6"/>
      <c r="BT6"/>
      <c r="BV6" s="17"/>
    </row>
    <row r="7" spans="1:87" ht="15" customHeight="1" thickTop="1" thickBot="1" x14ac:dyDescent="0.3">
      <c r="D7" s="399"/>
      <c r="G7" s="274" t="s">
        <v>717</v>
      </c>
      <c r="H7" s="276" t="s">
        <v>716</v>
      </c>
      <c r="I7" s="274" t="s">
        <v>714</v>
      </c>
      <c r="J7" s="276" t="s">
        <v>715</v>
      </c>
      <c r="K7" s="274" t="s">
        <v>397</v>
      </c>
      <c r="L7" s="276" t="s">
        <v>398</v>
      </c>
      <c r="M7" s="278" t="s">
        <v>399</v>
      </c>
      <c r="N7" s="274" t="s">
        <v>400</v>
      </c>
      <c r="O7" s="274" t="s">
        <v>401</v>
      </c>
      <c r="P7" s="276" t="s">
        <v>402</v>
      </c>
      <c r="Q7" s="278" t="s">
        <v>403</v>
      </c>
      <c r="R7" s="281" t="s">
        <v>404</v>
      </c>
      <c r="S7" s="281" t="s">
        <v>405</v>
      </c>
      <c r="T7" s="281" t="s">
        <v>406</v>
      </c>
      <c r="U7" s="283" t="s">
        <v>407</v>
      </c>
      <c r="V7" s="285" t="s">
        <v>408</v>
      </c>
      <c r="W7" s="281" t="s">
        <v>409</v>
      </c>
      <c r="X7" s="274" t="s">
        <v>410</v>
      </c>
      <c r="Y7" s="274" t="s">
        <v>411</v>
      </c>
      <c r="Z7" s="276" t="s">
        <v>412</v>
      </c>
      <c r="AA7" s="278" t="s">
        <v>413</v>
      </c>
      <c r="AB7" s="274" t="s">
        <v>414</v>
      </c>
      <c r="AC7" s="278" t="s">
        <v>470</v>
      </c>
      <c r="AD7" s="276" t="s">
        <v>471</v>
      </c>
      <c r="AE7" s="278" t="s">
        <v>472</v>
      </c>
      <c r="AF7" s="274" t="s">
        <v>473</v>
      </c>
      <c r="AG7" s="274" t="s">
        <v>474</v>
      </c>
      <c r="AH7" s="867" t="s">
        <v>692</v>
      </c>
      <c r="AI7" s="868"/>
      <c r="AJ7" s="868"/>
      <c r="AK7" s="868"/>
      <c r="AQ7" s="17"/>
      <c r="AT7" s="862" t="s">
        <v>325</v>
      </c>
      <c r="AU7" s="862"/>
      <c r="AW7" s="316" t="s">
        <v>484</v>
      </c>
      <c r="AY7" s="327" t="s">
        <v>491</v>
      </c>
      <c r="AZ7" s="327"/>
      <c r="BA7"/>
      <c r="BI7" s="254"/>
      <c r="BJ7" s="26" t="s">
        <v>217</v>
      </c>
      <c r="BK7" s="26"/>
      <c r="BL7" s="25"/>
      <c r="BO7"/>
      <c r="BP7"/>
      <c r="BQ7" s="47" t="s">
        <v>237</v>
      </c>
      <c r="BR7" s="47"/>
      <c r="BS7" s="47"/>
      <c r="BT7"/>
      <c r="BY7" s="50" t="s">
        <v>239</v>
      </c>
      <c r="BZ7" s="50"/>
      <c r="CA7" s="50"/>
      <c r="CB7" s="50"/>
      <c r="CC7" s="50"/>
      <c r="CE7" s="340" t="s">
        <v>566</v>
      </c>
      <c r="CF7" s="341"/>
      <c r="CG7" s="341"/>
      <c r="CH7" s="341"/>
      <c r="CI7" s="342"/>
    </row>
    <row r="8" spans="1:87" s="9" customFormat="1" ht="28.5" customHeight="1" thickTop="1" thickBot="1" x14ac:dyDescent="0.25">
      <c r="A8" s="27" t="s">
        <v>214</v>
      </c>
      <c r="B8" s="27" t="s">
        <v>212</v>
      </c>
      <c r="C8" s="8" t="s">
        <v>16</v>
      </c>
      <c r="D8" s="400" t="s">
        <v>353</v>
      </c>
      <c r="E8" s="8" t="s">
        <v>15</v>
      </c>
      <c r="F8" s="30" t="s">
        <v>206</v>
      </c>
      <c r="G8" s="636" t="s">
        <v>718</v>
      </c>
      <c r="H8" s="636" t="s">
        <v>719</v>
      </c>
      <c r="I8" s="636" t="s">
        <v>720</v>
      </c>
      <c r="J8" s="636" t="s">
        <v>721</v>
      </c>
      <c r="K8" s="637" t="s">
        <v>695</v>
      </c>
      <c r="L8" s="622" t="s">
        <v>696</v>
      </c>
      <c r="M8" s="623" t="s">
        <v>697</v>
      </c>
      <c r="N8" s="624" t="s">
        <v>698</v>
      </c>
      <c r="O8" s="621" t="s">
        <v>699</v>
      </c>
      <c r="P8" s="625" t="s">
        <v>700</v>
      </c>
      <c r="Q8" s="626" t="s">
        <v>701</v>
      </c>
      <c r="R8" s="627" t="s">
        <v>702</v>
      </c>
      <c r="S8" s="627" t="s">
        <v>703</v>
      </c>
      <c r="T8" s="627" t="s">
        <v>704</v>
      </c>
      <c r="U8" s="628" t="s">
        <v>705</v>
      </c>
      <c r="V8" s="623" t="s">
        <v>706</v>
      </c>
      <c r="W8" s="621" t="s">
        <v>707</v>
      </c>
      <c r="X8" s="621" t="s">
        <v>708</v>
      </c>
      <c r="Y8" s="621" t="s">
        <v>709</v>
      </c>
      <c r="Z8" s="629" t="s">
        <v>710</v>
      </c>
      <c r="AA8" s="626" t="s">
        <v>711</v>
      </c>
      <c r="AB8" s="627" t="s">
        <v>712</v>
      </c>
      <c r="AC8" s="627" t="s">
        <v>713</v>
      </c>
      <c r="AD8" s="630">
        <v>45291</v>
      </c>
      <c r="AE8" s="631" t="s">
        <v>621</v>
      </c>
      <c r="AF8" s="621" t="s">
        <v>622</v>
      </c>
      <c r="AG8" s="621" t="s">
        <v>623</v>
      </c>
      <c r="AH8" s="394" t="s">
        <v>685</v>
      </c>
      <c r="AI8" s="394" t="s">
        <v>686</v>
      </c>
      <c r="AJ8" s="394" t="s">
        <v>688</v>
      </c>
      <c r="AK8" s="394" t="s">
        <v>689</v>
      </c>
      <c r="AL8" s="204" t="s">
        <v>687</v>
      </c>
      <c r="AM8" s="43" t="s">
        <v>690</v>
      </c>
      <c r="AN8" s="43" t="s">
        <v>503</v>
      </c>
      <c r="AO8" s="43" t="s">
        <v>479</v>
      </c>
      <c r="AP8" s="43" t="s">
        <v>308</v>
      </c>
      <c r="AQ8" s="395" t="s">
        <v>571</v>
      </c>
      <c r="AR8" s="32" t="s">
        <v>569</v>
      </c>
      <c r="AS8" s="32" t="s">
        <v>572</v>
      </c>
      <c r="AT8" s="119" t="s">
        <v>323</v>
      </c>
      <c r="AU8" s="119" t="s">
        <v>324</v>
      </c>
      <c r="AV8" s="119" t="s">
        <v>326</v>
      </c>
      <c r="AW8" s="248" t="s">
        <v>16</v>
      </c>
      <c r="AX8" s="248" t="s">
        <v>353</v>
      </c>
      <c r="AY8" s="248" t="s">
        <v>15</v>
      </c>
      <c r="AZ8" s="248" t="s">
        <v>206</v>
      </c>
      <c r="BA8" s="248" t="s">
        <v>417</v>
      </c>
      <c r="BB8" s="249" t="s">
        <v>396</v>
      </c>
      <c r="BC8" s="249" t="s">
        <v>382</v>
      </c>
      <c r="BD8" s="249" t="s">
        <v>564</v>
      </c>
      <c r="BE8" s="249" t="s">
        <v>383</v>
      </c>
      <c r="BF8" s="249" t="s">
        <v>687</v>
      </c>
      <c r="BG8" s="249" t="s">
        <v>685</v>
      </c>
      <c r="BH8" s="258" t="s">
        <v>567</v>
      </c>
      <c r="BI8" s="249" t="s">
        <v>568</v>
      </c>
      <c r="BJ8" s="25" t="s">
        <v>206</v>
      </c>
      <c r="BK8" s="25" t="s">
        <v>215</v>
      </c>
      <c r="BL8" s="25" t="s">
        <v>216</v>
      </c>
      <c r="BM8" s="9" t="s">
        <v>232</v>
      </c>
      <c r="BN8" s="9" t="s">
        <v>233</v>
      </c>
      <c r="BO8"/>
      <c r="BP8" s="9" t="s">
        <v>235</v>
      </c>
      <c r="BQ8" s="48" t="s">
        <v>206</v>
      </c>
      <c r="BR8" s="48" t="s">
        <v>308</v>
      </c>
      <c r="BS8" s="48" t="s">
        <v>238</v>
      </c>
      <c r="BT8" s="188" t="s">
        <v>363</v>
      </c>
      <c r="BU8" s="188" t="s">
        <v>364</v>
      </c>
      <c r="BV8" s="191" t="s">
        <v>375</v>
      </c>
      <c r="BW8" s="191" t="s">
        <v>376</v>
      </c>
      <c r="BX8" s="191" t="s">
        <v>377</v>
      </c>
      <c r="BY8" s="50" t="s">
        <v>206</v>
      </c>
      <c r="BZ8" s="192" t="s">
        <v>378</v>
      </c>
      <c r="CA8" s="192" t="s">
        <v>379</v>
      </c>
      <c r="CB8" s="192" t="s">
        <v>350</v>
      </c>
      <c r="CC8" s="192" t="s">
        <v>380</v>
      </c>
      <c r="CE8" s="338" t="s">
        <v>206</v>
      </c>
      <c r="CF8" s="343" t="s">
        <v>378</v>
      </c>
      <c r="CG8" s="343" t="s">
        <v>379</v>
      </c>
      <c r="CH8" s="343" t="s">
        <v>535</v>
      </c>
      <c r="CI8" s="343" t="s">
        <v>559</v>
      </c>
    </row>
    <row r="9" spans="1:87" ht="12.75" hidden="1" customHeight="1" x14ac:dyDescent="0.2">
      <c r="A9" s="28">
        <v>3</v>
      </c>
      <c r="B9" s="28">
        <v>1</v>
      </c>
      <c r="C9" s="11">
        <v>20</v>
      </c>
      <c r="D9" s="13" t="s">
        <v>291</v>
      </c>
      <c r="E9" s="10" t="s">
        <v>18</v>
      </c>
      <c r="F9" s="10" t="s">
        <v>207</v>
      </c>
      <c r="G9" s="10"/>
      <c r="H9" s="10"/>
      <c r="I9" s="10"/>
      <c r="J9" s="10"/>
      <c r="K9" s="575"/>
      <c r="L9" s="152"/>
      <c r="M9" s="422"/>
      <c r="N9" s="339"/>
      <c r="O9" s="62"/>
      <c r="P9" s="339"/>
      <c r="Q9" s="494"/>
      <c r="R9" s="62"/>
      <c r="S9" s="339"/>
      <c r="T9" s="63"/>
      <c r="U9" s="771">
        <v>4</v>
      </c>
      <c r="V9" s="497"/>
      <c r="W9" s="62"/>
      <c r="X9" s="498"/>
      <c r="Y9" s="498"/>
      <c r="Z9" s="576"/>
      <c r="AA9" s="289"/>
      <c r="AB9" s="328"/>
      <c r="AC9" s="328"/>
      <c r="AD9" s="577"/>
      <c r="AE9" s="497"/>
      <c r="AF9" s="498"/>
      <c r="AG9" s="498"/>
      <c r="AH9" s="337">
        <v>4</v>
      </c>
      <c r="AI9" s="337">
        <v>0</v>
      </c>
      <c r="AJ9" s="337">
        <v>0</v>
      </c>
      <c r="AK9" s="337">
        <v>0</v>
      </c>
      <c r="AL9" s="555">
        <v>4</v>
      </c>
      <c r="AM9" s="552">
        <v>4</v>
      </c>
      <c r="AN9" s="552" t="s">
        <v>765</v>
      </c>
      <c r="AO9" s="552" t="s">
        <v>483</v>
      </c>
      <c r="AP9" s="45"/>
      <c r="AQ9" s="67"/>
      <c r="AR9" s="100"/>
      <c r="AS9" s="24"/>
      <c r="AT9" s="24"/>
      <c r="AU9" s="24"/>
      <c r="AV9" s="24"/>
      <c r="AW9" s="18">
        <v>20</v>
      </c>
      <c r="AX9" s="69" t="s">
        <v>291</v>
      </c>
      <c r="AY9" s="243" t="s">
        <v>18</v>
      </c>
      <c r="AZ9" s="243" t="str">
        <f t="shared" ref="AZ9:AZ72" si="0">F9</f>
        <v>Sockeye</v>
      </c>
      <c r="BA9" s="243" t="s">
        <v>419</v>
      </c>
      <c r="BB9" s="352" t="s">
        <v>370</v>
      </c>
      <c r="BC9" s="43" t="str">
        <f t="shared" ref="BC9:BC72" si="1">IF(BX9=" ",IF(BW9=" ", IF(BV9=" ","-",BV9),BW9), BX9)</f>
        <v>Oct 29-Nov4</v>
      </c>
      <c r="BD9" s="43">
        <f t="shared" ref="BD9:BD72" si="2">BK9</f>
        <v>1</v>
      </c>
      <c r="BE9" s="193">
        <f t="shared" ref="BE9:BE72" si="3">BL9</f>
        <v>4</v>
      </c>
      <c r="BF9" s="193">
        <f t="shared" ref="BF9:BF72" si="4">AL9</f>
        <v>4</v>
      </c>
      <c r="BG9" s="193">
        <f t="shared" ref="BG9:BG72" si="5">AH9</f>
        <v>4</v>
      </c>
      <c r="BH9" s="307">
        <f t="shared" ref="BH9:BH72" si="6">CI9</f>
        <v>0</v>
      </c>
      <c r="BI9" s="488"/>
      <c r="BJ9" s="26" t="str">
        <f t="shared" ref="BJ9:BJ72" si="7">CONCATENATE(E9,F9)</f>
        <v>HARRIS CREEKSockeye</v>
      </c>
      <c r="BK9" s="26">
        <f t="shared" ref="BK9:BK72" si="8">COUNT(K9:AB9)</f>
        <v>1</v>
      </c>
      <c r="BL9" s="33">
        <f t="shared" ref="BL9:BL32" si="9">MAX(K9:AB9)</f>
        <v>4</v>
      </c>
      <c r="BQ9" s="47" t="str">
        <f t="shared" ref="BQ9:BQ72" si="10">CONCATENATE(E9,F9)</f>
        <v>HARRIS CREEKSockeye</v>
      </c>
      <c r="BR9" s="49">
        <f t="shared" ref="BR9:BR72" si="11">AP9</f>
        <v>0</v>
      </c>
      <c r="BS9" s="49">
        <f t="shared" ref="BS9:BS72" si="12">AL9</f>
        <v>4</v>
      </c>
      <c r="BT9" s="31">
        <v>2016</v>
      </c>
      <c r="BU9" s="188" t="str">
        <f t="shared" ref="BU9:BU72" si="13">BB9</f>
        <v>PFN</v>
      </c>
      <c r="BV9" s="188" t="str">
        <f t="shared" ref="BV9:BV72" si="14">IF(ISNUMBER(Q9),Q$8,IF(ISNUMBER(P9),P$8,IF(ISNUMBER(O9),O$8,IF(ISNUMBER(N9),N$8,IF(ISNUMBER(M9),M$8,IF(ISNUMBER(L9),L$8, IF(ISNUMBER(K9),K$8," ")))))))</f>
        <v xml:space="preserve"> </v>
      </c>
      <c r="BW9" s="188" t="str">
        <f t="shared" ref="BW9:BW72" si="15">IF(ISNUMBER(W9),W$8,IF(ISNUMBER(V9),V$8,IF(ISNUMBER(U9),U$8,IF(ISNUMBER(T9),T$8,IF(ISNUMBER(S9),S$8,IF(ISNUMBER(R9),R$8," "))))))</f>
        <v>Oct 29-Nov4</v>
      </c>
      <c r="BX9" s="188" t="str">
        <f t="shared" ref="BX9:BX72" si="16">IF(ISNUMBER(AB9),AB$8,IF(ISNUMBER(AA9),AA$8,IF(ISNUMBER(Z9),Z$8,IF(ISNUMBER(Y9),Y$8,IF(ISNUMBER(X9),X$8," ")))))</f>
        <v xml:space="preserve"> </v>
      </c>
      <c r="BY9" s="50" t="str">
        <f t="shared" ref="BY9:BY72" si="17">CONCATENATE(E9,"_",F9)</f>
        <v>HARRIS CREEK_Sockeye</v>
      </c>
      <c r="BZ9" s="50" t="str">
        <f>IFERROR(VLOOKUP(BY9,'[1]WCVI Esc'!$C$5:$W$555,18,FALSE),"-")</f>
        <v>-</v>
      </c>
      <c r="CA9" s="50" t="str">
        <f t="shared" ref="CA9:CA72" si="18">IFERROR(ROUND(BZ9,-1),"-")</f>
        <v>-</v>
      </c>
      <c r="CB9" s="50" t="str">
        <f>IFERROR(VLOOKUP(BY9,'[1]WCVI Esc'!$C$5:$W$555,19,FALSE),"-")</f>
        <v>-</v>
      </c>
      <c r="CC9" s="50" t="str">
        <f t="shared" ref="CC9:CC72" si="19">IFERROR(ROUND(CB9,-1),"-")</f>
        <v>-</v>
      </c>
      <c r="CE9" s="342" t="str">
        <f t="shared" ref="CE9:CE72" si="20">CONCATENATE(E9,"_",F9)</f>
        <v>HARRIS CREEK_Sockeye</v>
      </c>
      <c r="CF9" s="341">
        <f>IFERROR(VLOOKUP(BY9,'RawPL+D'!$O$8:$AB$503,12,FALSE),"-")</f>
        <v>0</v>
      </c>
      <c r="CG9" s="338">
        <f t="shared" ref="CG9:CG72" si="21">IFERROR(ROUND(CF9,-1),"-")</f>
        <v>0</v>
      </c>
      <c r="CH9" s="341">
        <f>IFERROR(VLOOKUP(BY9,'RawPL+D'!$O$8:$AB$503,13,FALSE),"-")</f>
        <v>0</v>
      </c>
      <c r="CI9" s="338">
        <f t="shared" ref="CI9:CI72" si="22">IFERROR(ROUND(CH9,-1),"-")</f>
        <v>0</v>
      </c>
    </row>
    <row r="10" spans="1:87" ht="12.75" hidden="1" customHeight="1" x14ac:dyDescent="0.2">
      <c r="A10" s="28">
        <v>3</v>
      </c>
      <c r="B10" s="28">
        <v>2</v>
      </c>
      <c r="C10" s="11">
        <v>20</v>
      </c>
      <c r="D10" s="13" t="s">
        <v>291</v>
      </c>
      <c r="E10" s="10" t="s">
        <v>18</v>
      </c>
      <c r="F10" s="10" t="s">
        <v>219</v>
      </c>
      <c r="G10" s="10"/>
      <c r="H10" s="10"/>
      <c r="I10" s="10"/>
      <c r="J10" s="10"/>
      <c r="K10" s="575"/>
      <c r="L10" s="152"/>
      <c r="M10" s="422"/>
      <c r="N10" s="339"/>
      <c r="O10" s="62"/>
      <c r="P10" s="339"/>
      <c r="Q10" s="494"/>
      <c r="R10" s="62"/>
      <c r="S10" s="339"/>
      <c r="T10" s="63"/>
      <c r="U10" s="771">
        <v>1140</v>
      </c>
      <c r="V10" s="164"/>
      <c r="W10" s="62"/>
      <c r="X10" s="63"/>
      <c r="Y10" s="62"/>
      <c r="Z10" s="64"/>
      <c r="AA10" s="164"/>
      <c r="AB10" s="62"/>
      <c r="AC10" s="62"/>
      <c r="AD10" s="64"/>
      <c r="AE10" s="164"/>
      <c r="AF10" s="62"/>
      <c r="AG10" s="62"/>
      <c r="AH10" s="337"/>
      <c r="AI10" s="337"/>
      <c r="AJ10" s="337"/>
      <c r="AK10" s="337"/>
      <c r="AL10" s="842"/>
      <c r="AM10" s="552"/>
      <c r="AN10" s="839"/>
      <c r="AO10" s="45"/>
      <c r="AP10" s="45"/>
      <c r="AQ10" s="396">
        <f>AL10/BI10</f>
        <v>0</v>
      </c>
      <c r="AR10" s="100">
        <f>BL10/BH10</f>
        <v>1.0754716981132075</v>
      </c>
      <c r="AS10" s="100">
        <f>BL10/BI10</f>
        <v>1.0363636363636364</v>
      </c>
      <c r="AT10" s="100"/>
      <c r="AU10" s="100"/>
      <c r="AV10" s="100"/>
      <c r="AW10" s="18">
        <v>20</v>
      </c>
      <c r="AX10" s="69" t="s">
        <v>291</v>
      </c>
      <c r="AY10" s="243" t="s">
        <v>18</v>
      </c>
      <c r="AZ10" s="243" t="str">
        <f t="shared" si="0"/>
        <v>Coho</v>
      </c>
      <c r="BA10" s="243" t="s">
        <v>419</v>
      </c>
      <c r="BB10" s="244" t="s">
        <v>370</v>
      </c>
      <c r="BC10" s="43" t="str">
        <f t="shared" si="1"/>
        <v>Oct 29-Nov4</v>
      </c>
      <c r="BD10" s="43">
        <f t="shared" si="2"/>
        <v>1</v>
      </c>
      <c r="BE10" s="193">
        <f t="shared" si="3"/>
        <v>1140</v>
      </c>
      <c r="BF10" s="193">
        <f t="shared" si="4"/>
        <v>0</v>
      </c>
      <c r="BG10" s="193">
        <f t="shared" si="5"/>
        <v>0</v>
      </c>
      <c r="BH10" s="307">
        <f t="shared" si="6"/>
        <v>1060</v>
      </c>
      <c r="BI10" s="265">
        <f>CC10</f>
        <v>1100</v>
      </c>
      <c r="BJ10" s="26" t="str">
        <f t="shared" si="7"/>
        <v>HARRIS CREEKCoho</v>
      </c>
      <c r="BK10" s="26">
        <f t="shared" si="8"/>
        <v>1</v>
      </c>
      <c r="BL10" s="33">
        <f t="shared" si="9"/>
        <v>1140</v>
      </c>
      <c r="BQ10" s="47" t="str">
        <f t="shared" si="10"/>
        <v>HARRIS CREEKCoho</v>
      </c>
      <c r="BR10" s="49">
        <f t="shared" si="11"/>
        <v>0</v>
      </c>
      <c r="BS10" s="49">
        <f t="shared" si="12"/>
        <v>0</v>
      </c>
      <c r="BT10" s="31">
        <v>2016</v>
      </c>
      <c r="BU10" s="188" t="str">
        <f t="shared" si="13"/>
        <v>PFN</v>
      </c>
      <c r="BV10" s="188" t="str">
        <f t="shared" si="14"/>
        <v xml:space="preserve"> </v>
      </c>
      <c r="BW10" s="188" t="str">
        <f t="shared" si="15"/>
        <v>Oct 29-Nov4</v>
      </c>
      <c r="BX10" s="188" t="str">
        <f t="shared" si="16"/>
        <v xml:space="preserve"> </v>
      </c>
      <c r="BY10" s="50" t="str">
        <f t="shared" si="17"/>
        <v>HARRIS CREEK_Coho</v>
      </c>
      <c r="BZ10" s="50">
        <f>IFERROR(VLOOKUP(BY10,'[1]WCVI Esc'!$C$5:$W$555,18,FALSE),"-")</f>
        <v>970.33333333333337</v>
      </c>
      <c r="CA10" s="50">
        <f t="shared" si="18"/>
        <v>970</v>
      </c>
      <c r="CB10" s="50">
        <f>IFERROR(VLOOKUP(BY10,'[1]WCVI Esc'!$C$5:$W$555,19,FALSE),"-")</f>
        <v>1102</v>
      </c>
      <c r="CC10" s="50">
        <f t="shared" si="19"/>
        <v>1100</v>
      </c>
      <c r="CE10" s="342" t="str">
        <f t="shared" si="20"/>
        <v>HARRIS CREEK_Coho</v>
      </c>
      <c r="CF10" s="341">
        <f>IFERROR(VLOOKUP(CE10,'RawPL+D'!$O$8:$AB$503,12,FALSE),"-")</f>
        <v>1498</v>
      </c>
      <c r="CG10" s="338">
        <f t="shared" si="21"/>
        <v>1500</v>
      </c>
      <c r="CH10" s="341">
        <f>IFERROR(VLOOKUP(CE10,'RawPL+D'!$O$8:$AB$503,13,FALSE),"-")</f>
        <v>1056</v>
      </c>
      <c r="CI10" s="338">
        <f t="shared" si="22"/>
        <v>1060</v>
      </c>
    </row>
    <row r="11" spans="1:87" ht="12.75" hidden="1" customHeight="1" x14ac:dyDescent="0.2">
      <c r="A11" s="28">
        <v>3</v>
      </c>
      <c r="B11" s="28">
        <v>3</v>
      </c>
      <c r="C11" s="11">
        <v>20</v>
      </c>
      <c r="D11" s="13" t="s">
        <v>291</v>
      </c>
      <c r="E11" s="10" t="s">
        <v>18</v>
      </c>
      <c r="F11" s="10" t="s">
        <v>208</v>
      </c>
      <c r="G11" s="10"/>
      <c r="H11" s="10"/>
      <c r="I11" s="10"/>
      <c r="J11" s="10"/>
      <c r="K11" s="575"/>
      <c r="L11" s="152"/>
      <c r="M11" s="422"/>
      <c r="N11" s="339"/>
      <c r="O11" s="62"/>
      <c r="P11" s="339"/>
      <c r="Q11" s="494"/>
      <c r="R11" s="62"/>
      <c r="S11" s="339"/>
      <c r="T11" s="63"/>
      <c r="U11" s="771">
        <v>0</v>
      </c>
      <c r="V11" s="164"/>
      <c r="W11" s="62"/>
      <c r="X11" s="62"/>
      <c r="Y11" s="62"/>
      <c r="Z11" s="64"/>
      <c r="AA11" s="164"/>
      <c r="AB11" s="62"/>
      <c r="AC11" s="62"/>
      <c r="AD11" s="64"/>
      <c r="AE11" s="164"/>
      <c r="AF11" s="62"/>
      <c r="AG11" s="62"/>
      <c r="AH11" s="337"/>
      <c r="AI11" s="337"/>
      <c r="AJ11" s="337"/>
      <c r="AK11" s="337"/>
      <c r="AL11" s="850" t="s">
        <v>770</v>
      </c>
      <c r="AM11" s="552"/>
      <c r="AN11" s="841"/>
      <c r="AO11" s="45"/>
      <c r="AP11" s="45"/>
      <c r="AQ11" s="67"/>
      <c r="AR11" s="100"/>
      <c r="AS11" s="100"/>
      <c r="AT11" s="100"/>
      <c r="AU11" s="100"/>
      <c r="AV11" s="100"/>
      <c r="AW11" s="18">
        <v>20</v>
      </c>
      <c r="AX11" s="69" t="s">
        <v>291</v>
      </c>
      <c r="AY11" s="243" t="s">
        <v>18</v>
      </c>
      <c r="AZ11" s="243" t="str">
        <f t="shared" si="0"/>
        <v>Pink</v>
      </c>
      <c r="BA11" s="243" t="s">
        <v>419</v>
      </c>
      <c r="BB11" s="244" t="s">
        <v>370</v>
      </c>
      <c r="BC11" s="43" t="str">
        <f t="shared" si="1"/>
        <v>Oct 29-Nov4</v>
      </c>
      <c r="BD11" s="43">
        <f t="shared" si="2"/>
        <v>1</v>
      </c>
      <c r="BE11" s="193">
        <f t="shared" si="3"/>
        <v>0</v>
      </c>
      <c r="BF11" s="193" t="str">
        <f t="shared" si="4"/>
        <v>NO</v>
      </c>
      <c r="BG11" s="193">
        <f t="shared" si="5"/>
        <v>0</v>
      </c>
      <c r="BH11" s="307">
        <f t="shared" si="6"/>
        <v>0</v>
      </c>
      <c r="BI11" s="265"/>
      <c r="BJ11" s="26" t="str">
        <f t="shared" si="7"/>
        <v>HARRIS CREEKPink</v>
      </c>
      <c r="BK11" s="26">
        <f t="shared" si="8"/>
        <v>1</v>
      </c>
      <c r="BL11" s="33">
        <f t="shared" si="9"/>
        <v>0</v>
      </c>
      <c r="BQ11" s="47" t="str">
        <f t="shared" si="10"/>
        <v>HARRIS CREEKPink</v>
      </c>
      <c r="BR11" s="49">
        <f t="shared" si="11"/>
        <v>0</v>
      </c>
      <c r="BS11" s="49" t="str">
        <f t="shared" si="12"/>
        <v>NO</v>
      </c>
      <c r="BT11" s="31">
        <v>0</v>
      </c>
      <c r="BU11" s="188" t="str">
        <f t="shared" si="13"/>
        <v>PFN</v>
      </c>
      <c r="BV11" s="188" t="str">
        <f t="shared" si="14"/>
        <v xml:space="preserve"> </v>
      </c>
      <c r="BW11" s="188" t="str">
        <f t="shared" si="15"/>
        <v>Oct 29-Nov4</v>
      </c>
      <c r="BX11" s="188" t="str">
        <f t="shared" si="16"/>
        <v xml:space="preserve"> </v>
      </c>
      <c r="BY11" s="50" t="str">
        <f t="shared" si="17"/>
        <v>HARRIS CREEK_Pink</v>
      </c>
      <c r="BZ11" s="50" t="str">
        <f>IFERROR(VLOOKUP(BY11,'[1]WCVI Esc'!$C$5:$W$555,18,FALSE),"-")</f>
        <v>-</v>
      </c>
      <c r="CA11" s="50" t="str">
        <f t="shared" si="18"/>
        <v>-</v>
      </c>
      <c r="CB11" s="50" t="str">
        <f>IFERROR(VLOOKUP(BY11,'[1]WCVI Esc'!$C$5:$W$555,19,FALSE),"-")</f>
        <v>-</v>
      </c>
      <c r="CC11" s="50" t="str">
        <f t="shared" si="19"/>
        <v>-</v>
      </c>
      <c r="CE11" s="342" t="str">
        <f t="shared" si="20"/>
        <v>HARRIS CREEK_Pink</v>
      </c>
      <c r="CF11" s="341">
        <f>IFERROR(VLOOKUP(BY11,'RawPL+D'!$O$8:$AB$503,12,FALSE),"-")</f>
        <v>0</v>
      </c>
      <c r="CG11" s="338">
        <f t="shared" si="21"/>
        <v>0</v>
      </c>
      <c r="CH11" s="341">
        <f>IFERROR(VLOOKUP(BY11,'RawPL+D'!$O$8:$AB$503,13,FALSE),"-")</f>
        <v>0</v>
      </c>
      <c r="CI11" s="338">
        <f t="shared" si="22"/>
        <v>0</v>
      </c>
    </row>
    <row r="12" spans="1:87" ht="12.75" hidden="1" customHeight="1" x14ac:dyDescent="0.2">
      <c r="A12" s="28">
        <v>3</v>
      </c>
      <c r="B12" s="28">
        <v>4</v>
      </c>
      <c r="C12" s="11">
        <v>20</v>
      </c>
      <c r="D12" s="13" t="s">
        <v>291</v>
      </c>
      <c r="E12" s="10" t="s">
        <v>18</v>
      </c>
      <c r="F12" s="10" t="s">
        <v>209</v>
      </c>
      <c r="G12" s="10"/>
      <c r="H12" s="10"/>
      <c r="I12" s="10"/>
      <c r="J12" s="10"/>
      <c r="K12" s="575"/>
      <c r="L12" s="152"/>
      <c r="M12" s="422"/>
      <c r="N12" s="339"/>
      <c r="O12" s="62"/>
      <c r="P12" s="339"/>
      <c r="Q12" s="494"/>
      <c r="R12" s="62"/>
      <c r="S12" s="339"/>
      <c r="T12" s="63"/>
      <c r="U12" s="771">
        <v>1</v>
      </c>
      <c r="V12" s="164"/>
      <c r="W12" s="62"/>
      <c r="X12" s="63"/>
      <c r="Y12" s="62"/>
      <c r="Z12" s="64"/>
      <c r="AA12" s="164"/>
      <c r="AB12" s="62"/>
      <c r="AC12" s="62"/>
      <c r="AD12" s="64"/>
      <c r="AE12" s="164"/>
      <c r="AF12" s="62"/>
      <c r="AG12" s="62"/>
      <c r="AH12" s="337">
        <v>2</v>
      </c>
      <c r="AI12" s="337">
        <v>0</v>
      </c>
      <c r="AJ12" s="337">
        <v>0</v>
      </c>
      <c r="AK12" s="337">
        <v>0</v>
      </c>
      <c r="AL12" s="555">
        <v>2</v>
      </c>
      <c r="AM12" s="552">
        <v>2</v>
      </c>
      <c r="AN12" s="552" t="s">
        <v>765</v>
      </c>
      <c r="AO12" s="552" t="s">
        <v>483</v>
      </c>
      <c r="AP12" s="45"/>
      <c r="AQ12" s="396">
        <f>AL12/BI12</f>
        <v>0.2</v>
      </c>
      <c r="AR12" s="100" t="e">
        <f>BL12/BH12</f>
        <v>#DIV/0!</v>
      </c>
      <c r="AS12" s="100">
        <f>BL12/BI12</f>
        <v>0.1</v>
      </c>
      <c r="AT12" s="100"/>
      <c r="AU12" s="100"/>
      <c r="AV12" s="100"/>
      <c r="AW12" s="18">
        <v>20</v>
      </c>
      <c r="AX12" s="69" t="s">
        <v>291</v>
      </c>
      <c r="AY12" s="243" t="s">
        <v>18</v>
      </c>
      <c r="AZ12" s="243" t="str">
        <f t="shared" si="0"/>
        <v>Chum</v>
      </c>
      <c r="BA12" s="243" t="s">
        <v>419</v>
      </c>
      <c r="BB12" s="244" t="s">
        <v>370</v>
      </c>
      <c r="BC12" s="43" t="str">
        <f t="shared" si="1"/>
        <v>Oct 29-Nov4</v>
      </c>
      <c r="BD12" s="43">
        <f t="shared" si="2"/>
        <v>1</v>
      </c>
      <c r="BE12" s="193">
        <f t="shared" si="3"/>
        <v>1</v>
      </c>
      <c r="BF12" s="193">
        <f t="shared" si="4"/>
        <v>2</v>
      </c>
      <c r="BG12" s="193">
        <f t="shared" si="5"/>
        <v>2</v>
      </c>
      <c r="BH12" s="307">
        <f t="shared" si="6"/>
        <v>0</v>
      </c>
      <c r="BI12" s="265">
        <f t="shared" ref="BI12:BI20" si="23">CC12</f>
        <v>10</v>
      </c>
      <c r="BJ12" s="26" t="str">
        <f t="shared" si="7"/>
        <v>HARRIS CREEKChum</v>
      </c>
      <c r="BK12" s="26">
        <f t="shared" si="8"/>
        <v>1</v>
      </c>
      <c r="BL12" s="33">
        <f t="shared" si="9"/>
        <v>1</v>
      </c>
      <c r="BQ12" s="47" t="str">
        <f t="shared" si="10"/>
        <v>HARRIS CREEKChum</v>
      </c>
      <c r="BR12" s="49">
        <f t="shared" si="11"/>
        <v>0</v>
      </c>
      <c r="BS12" s="49">
        <f t="shared" si="12"/>
        <v>2</v>
      </c>
      <c r="BT12" s="31">
        <v>2016</v>
      </c>
      <c r="BU12" s="188" t="str">
        <f t="shared" si="13"/>
        <v>PFN</v>
      </c>
      <c r="BV12" s="188" t="str">
        <f t="shared" si="14"/>
        <v xml:space="preserve"> </v>
      </c>
      <c r="BW12" s="188" t="str">
        <f t="shared" si="15"/>
        <v>Oct 29-Nov4</v>
      </c>
      <c r="BX12" s="188" t="str">
        <f t="shared" si="16"/>
        <v xml:space="preserve"> </v>
      </c>
      <c r="BY12" s="50" t="str">
        <f t="shared" si="17"/>
        <v>HARRIS CREEK_Chum</v>
      </c>
      <c r="BZ12" s="50">
        <f>IFERROR(VLOOKUP(BY12,'[1]WCVI Esc'!$C$5:$W$555,18,FALSE),"-")</f>
        <v>4</v>
      </c>
      <c r="CA12" s="50">
        <f t="shared" si="18"/>
        <v>0</v>
      </c>
      <c r="CB12" s="50">
        <f>IFERROR(VLOOKUP(BY12,'[1]WCVI Esc'!$C$5:$W$555,19,FALSE),"-")</f>
        <v>14.8</v>
      </c>
      <c r="CC12" s="50">
        <f t="shared" si="19"/>
        <v>10</v>
      </c>
      <c r="CE12" s="342" t="str">
        <f t="shared" si="20"/>
        <v>HARRIS CREEK_Chum</v>
      </c>
      <c r="CF12" s="341">
        <f>IFERROR(VLOOKUP(CE12,'RawPL+D'!$O$8:$AB$503,12,FALSE),"-")</f>
        <v>4</v>
      </c>
      <c r="CG12" s="338">
        <f t="shared" si="21"/>
        <v>0</v>
      </c>
      <c r="CH12" s="341">
        <f>IFERROR(VLOOKUP(CE12,'RawPL+D'!$O$8:$AB$503,13,FALSE),"-")</f>
        <v>2.5</v>
      </c>
      <c r="CI12" s="338">
        <f t="shared" si="22"/>
        <v>0</v>
      </c>
    </row>
    <row r="13" spans="1:87" ht="12.75" hidden="1" customHeight="1" x14ac:dyDescent="0.2">
      <c r="A13" s="28">
        <v>3</v>
      </c>
      <c r="B13" s="28">
        <v>5</v>
      </c>
      <c r="C13" s="11">
        <v>20</v>
      </c>
      <c r="D13" s="13" t="s">
        <v>291</v>
      </c>
      <c r="E13" s="10" t="s">
        <v>18</v>
      </c>
      <c r="F13" s="10" t="s">
        <v>210</v>
      </c>
      <c r="G13" s="10"/>
      <c r="H13" s="10"/>
      <c r="I13" s="10"/>
      <c r="J13" s="10"/>
      <c r="K13" s="575"/>
      <c r="L13" s="152"/>
      <c r="M13" s="422"/>
      <c r="N13" s="339"/>
      <c r="O13" s="62"/>
      <c r="P13" s="339"/>
      <c r="Q13" s="495"/>
      <c r="R13" s="390"/>
      <c r="S13" s="339"/>
      <c r="T13" s="63"/>
      <c r="U13" s="771">
        <v>23</v>
      </c>
      <c r="V13" s="494"/>
      <c r="W13" s="62"/>
      <c r="X13" s="63"/>
      <c r="Y13" s="62"/>
      <c r="Z13" s="64"/>
      <c r="AA13" s="164"/>
      <c r="AB13" s="62"/>
      <c r="AC13" s="62"/>
      <c r="AD13" s="64"/>
      <c r="AE13" s="164"/>
      <c r="AF13" s="62"/>
      <c r="AG13" s="64"/>
      <c r="AH13" s="337">
        <v>24</v>
      </c>
      <c r="AI13" s="337">
        <v>0</v>
      </c>
      <c r="AJ13" s="337">
        <v>0</v>
      </c>
      <c r="AK13" s="337">
        <v>0</v>
      </c>
      <c r="AL13" s="555">
        <v>24</v>
      </c>
      <c r="AM13" s="552">
        <v>24</v>
      </c>
      <c r="AN13" s="552" t="s">
        <v>765</v>
      </c>
      <c r="AO13" s="552" t="s">
        <v>483</v>
      </c>
      <c r="AP13" s="45"/>
      <c r="AQ13" s="67"/>
      <c r="AR13" s="100">
        <f>BL13/BH13</f>
        <v>0.25555555555555554</v>
      </c>
      <c r="AS13" s="100">
        <f>BL13/BI13</f>
        <v>0.25555555555555554</v>
      </c>
      <c r="AT13" s="100"/>
      <c r="AU13" s="100"/>
      <c r="AV13" s="123">
        <f>AL13</f>
        <v>24</v>
      </c>
      <c r="AW13" s="18">
        <v>20</v>
      </c>
      <c r="AX13" s="69" t="s">
        <v>291</v>
      </c>
      <c r="AY13" s="243" t="s">
        <v>18</v>
      </c>
      <c r="AZ13" s="243" t="str">
        <f t="shared" si="0"/>
        <v>Chinook</v>
      </c>
      <c r="BA13" s="243" t="s">
        <v>419</v>
      </c>
      <c r="BB13" s="244" t="s">
        <v>370</v>
      </c>
      <c r="BC13" s="43" t="str">
        <f t="shared" si="1"/>
        <v>Oct 29-Nov4</v>
      </c>
      <c r="BD13" s="43">
        <f t="shared" si="2"/>
        <v>1</v>
      </c>
      <c r="BE13" s="193">
        <f t="shared" si="3"/>
        <v>23</v>
      </c>
      <c r="BF13" s="193">
        <f t="shared" si="4"/>
        <v>24</v>
      </c>
      <c r="BG13" s="193">
        <f t="shared" si="5"/>
        <v>24</v>
      </c>
      <c r="BH13" s="307">
        <f t="shared" si="6"/>
        <v>90</v>
      </c>
      <c r="BI13" s="265">
        <f t="shared" si="23"/>
        <v>90</v>
      </c>
      <c r="BJ13" s="26" t="str">
        <f t="shared" si="7"/>
        <v>HARRIS CREEKChinook</v>
      </c>
      <c r="BK13" s="26">
        <f t="shared" si="8"/>
        <v>1</v>
      </c>
      <c r="BL13" s="33">
        <f t="shared" si="9"/>
        <v>23</v>
      </c>
      <c r="BQ13" s="47" t="str">
        <f t="shared" si="10"/>
        <v>HARRIS CREEKChinook</v>
      </c>
      <c r="BR13" s="49">
        <f t="shared" si="11"/>
        <v>0</v>
      </c>
      <c r="BS13" s="49">
        <f t="shared" si="12"/>
        <v>24</v>
      </c>
      <c r="BT13" s="31">
        <v>2016</v>
      </c>
      <c r="BU13" s="188" t="str">
        <f t="shared" si="13"/>
        <v>PFN</v>
      </c>
      <c r="BV13" s="188" t="str">
        <f t="shared" si="14"/>
        <v xml:space="preserve"> </v>
      </c>
      <c r="BW13" s="188" t="str">
        <f t="shared" si="15"/>
        <v>Oct 29-Nov4</v>
      </c>
      <c r="BX13" s="188" t="str">
        <f t="shared" si="16"/>
        <v xml:space="preserve"> </v>
      </c>
      <c r="BY13" s="50" t="str">
        <f t="shared" si="17"/>
        <v>HARRIS CREEK_Chinook</v>
      </c>
      <c r="BZ13" s="50">
        <f>IFERROR(VLOOKUP(BY13,'[1]WCVI Esc'!$C$5:$W$555,18,FALSE),"-")</f>
        <v>244</v>
      </c>
      <c r="CA13" s="50">
        <f t="shared" si="18"/>
        <v>240</v>
      </c>
      <c r="CB13" s="50">
        <f>IFERROR(VLOOKUP(BY13,'[1]WCVI Esc'!$C$5:$W$555,19,FALSE),"-")</f>
        <v>89.25</v>
      </c>
      <c r="CC13" s="50">
        <f t="shared" si="19"/>
        <v>90</v>
      </c>
      <c r="CE13" s="342" t="str">
        <f t="shared" si="20"/>
        <v>HARRIS CREEK_Chinook</v>
      </c>
      <c r="CF13" s="341">
        <f>IFERROR(VLOOKUP(CE13,'RawPL+D'!$O$8:$AB$503,12,FALSE),"-")</f>
        <v>0</v>
      </c>
      <c r="CG13" s="338">
        <f t="shared" si="21"/>
        <v>0</v>
      </c>
      <c r="CH13" s="341">
        <f>IFERROR(VLOOKUP(CE13,'RawPL+D'!$O$8:$AB$503,13,FALSE),"-")</f>
        <v>86</v>
      </c>
      <c r="CI13" s="338">
        <f t="shared" si="22"/>
        <v>90</v>
      </c>
    </row>
    <row r="14" spans="1:87" ht="12.75" hidden="1" customHeight="1" x14ac:dyDescent="0.2">
      <c r="A14" s="28">
        <v>3</v>
      </c>
      <c r="B14" s="28">
        <v>6</v>
      </c>
      <c r="C14" s="11">
        <v>20</v>
      </c>
      <c r="D14" s="13" t="s">
        <v>291</v>
      </c>
      <c r="E14" s="10" t="s">
        <v>18</v>
      </c>
      <c r="F14" s="10" t="s">
        <v>211</v>
      </c>
      <c r="G14" s="10"/>
      <c r="H14" s="10"/>
      <c r="I14" s="10"/>
      <c r="J14" s="10"/>
      <c r="K14" s="575"/>
      <c r="L14" s="152"/>
      <c r="M14" s="422"/>
      <c r="N14" s="339"/>
      <c r="O14" s="62"/>
      <c r="P14" s="339"/>
      <c r="Q14" s="494"/>
      <c r="R14" s="62"/>
      <c r="S14" s="339"/>
      <c r="T14" s="63"/>
      <c r="U14" s="771">
        <v>0</v>
      </c>
      <c r="V14" s="164"/>
      <c r="W14" s="62"/>
      <c r="X14" s="62"/>
      <c r="Y14" s="62"/>
      <c r="Z14" s="64"/>
      <c r="AA14" s="164"/>
      <c r="AB14" s="62"/>
      <c r="AC14" s="62"/>
      <c r="AD14" s="64"/>
      <c r="AE14" s="164"/>
      <c r="AF14" s="62"/>
      <c r="AG14" s="62"/>
      <c r="AH14" s="337"/>
      <c r="AI14" s="337"/>
      <c r="AJ14" s="337"/>
      <c r="AK14" s="337"/>
      <c r="AL14" s="555"/>
      <c r="AM14" s="552"/>
      <c r="AN14" s="45"/>
      <c r="AO14" s="45"/>
      <c r="AP14" s="45"/>
      <c r="AQ14" s="67"/>
      <c r="AR14" s="100"/>
      <c r="AS14" s="24"/>
      <c r="AT14" s="24"/>
      <c r="AU14" s="24"/>
      <c r="AV14" s="24"/>
      <c r="AW14" s="18">
        <v>20</v>
      </c>
      <c r="AX14" s="69" t="s">
        <v>291</v>
      </c>
      <c r="AY14" s="243" t="s">
        <v>18</v>
      </c>
      <c r="AZ14" s="243" t="str">
        <f t="shared" si="0"/>
        <v>Steelhead</v>
      </c>
      <c r="BA14" s="243" t="s">
        <v>419</v>
      </c>
      <c r="BB14" s="244" t="s">
        <v>370</v>
      </c>
      <c r="BC14" s="43" t="str">
        <f t="shared" si="1"/>
        <v>Oct 29-Nov4</v>
      </c>
      <c r="BD14" s="43">
        <f t="shared" si="2"/>
        <v>1</v>
      </c>
      <c r="BE14" s="193">
        <f t="shared" si="3"/>
        <v>0</v>
      </c>
      <c r="BF14" s="193">
        <f t="shared" si="4"/>
        <v>0</v>
      </c>
      <c r="BG14" s="193">
        <f t="shared" si="5"/>
        <v>0</v>
      </c>
      <c r="BH14" s="307" t="str">
        <f t="shared" si="6"/>
        <v>-</v>
      </c>
      <c r="BI14" s="265" t="str">
        <f t="shared" si="23"/>
        <v>-</v>
      </c>
      <c r="BJ14" s="26" t="str">
        <f t="shared" si="7"/>
        <v>HARRIS CREEKSteelhead</v>
      </c>
      <c r="BK14" s="26">
        <f t="shared" si="8"/>
        <v>1</v>
      </c>
      <c r="BL14" s="33">
        <f t="shared" si="9"/>
        <v>0</v>
      </c>
      <c r="BQ14" s="47" t="str">
        <f t="shared" si="10"/>
        <v>HARRIS CREEKSteelhead</v>
      </c>
      <c r="BR14" s="49">
        <f t="shared" si="11"/>
        <v>0</v>
      </c>
      <c r="BS14" s="49">
        <f t="shared" si="12"/>
        <v>0</v>
      </c>
      <c r="BT14" s="31">
        <v>0</v>
      </c>
      <c r="BU14" s="188" t="str">
        <f t="shared" si="13"/>
        <v>PFN</v>
      </c>
      <c r="BV14" s="188" t="str">
        <f t="shared" si="14"/>
        <v xml:space="preserve"> </v>
      </c>
      <c r="BW14" s="188" t="str">
        <f t="shared" si="15"/>
        <v>Oct 29-Nov4</v>
      </c>
      <c r="BX14" s="188" t="str">
        <f t="shared" si="16"/>
        <v xml:space="preserve"> </v>
      </c>
      <c r="BY14" s="50" t="str">
        <f t="shared" si="17"/>
        <v>HARRIS CREEK_Steelhead</v>
      </c>
      <c r="BZ14" s="50" t="str">
        <f>IFERROR(VLOOKUP(BY14,'[1]WCVI Esc'!$C$5:$W$555,18,FALSE),"-")</f>
        <v>-</v>
      </c>
      <c r="CA14" s="50" t="str">
        <f t="shared" si="18"/>
        <v>-</v>
      </c>
      <c r="CB14" s="50" t="str">
        <f>IFERROR(VLOOKUP(BY14,'[1]WCVI Esc'!$C$5:$W$555,19,FALSE),"-")</f>
        <v>-</v>
      </c>
      <c r="CC14" s="50" t="str">
        <f t="shared" si="19"/>
        <v>-</v>
      </c>
      <c r="CE14" s="342" t="str">
        <f t="shared" si="20"/>
        <v>HARRIS CREEK_Steelhead</v>
      </c>
      <c r="CF14" s="341" t="str">
        <f>IFERROR(VLOOKUP(BY14,'RawPL+D'!$O$8:$AB$503,12,FALSE),"-")</f>
        <v>-</v>
      </c>
      <c r="CG14" s="338" t="str">
        <f t="shared" si="21"/>
        <v>-</v>
      </c>
      <c r="CH14" s="341" t="str">
        <f>IFERROR(VLOOKUP(BY14,'RawPL+D'!$O$8:$AB$503,13,FALSE),"-")</f>
        <v>-</v>
      </c>
      <c r="CI14" s="338" t="str">
        <f t="shared" si="22"/>
        <v>-</v>
      </c>
    </row>
    <row r="15" spans="1:87" ht="12.75" hidden="1" customHeight="1" x14ac:dyDescent="0.2">
      <c r="A15" s="28">
        <v>3</v>
      </c>
      <c r="B15" s="28">
        <v>1</v>
      </c>
      <c r="C15" s="11">
        <v>20</v>
      </c>
      <c r="D15" s="13" t="s">
        <v>291</v>
      </c>
      <c r="E15" s="10" t="s">
        <v>157</v>
      </c>
      <c r="F15" s="10" t="s">
        <v>207</v>
      </c>
      <c r="G15" s="10"/>
      <c r="H15" s="10"/>
      <c r="I15" s="10"/>
      <c r="J15" s="10"/>
      <c r="K15" s="575"/>
      <c r="L15" s="152"/>
      <c r="M15" s="422"/>
      <c r="N15" s="339"/>
      <c r="O15" s="62"/>
      <c r="P15" s="423"/>
      <c r="Q15" s="164"/>
      <c r="R15" s="339"/>
      <c r="S15" s="339"/>
      <c r="T15" s="63"/>
      <c r="U15" s="440"/>
      <c r="V15" s="164"/>
      <c r="W15" s="62"/>
      <c r="X15" s="63"/>
      <c r="Y15" s="62"/>
      <c r="Z15" s="64"/>
      <c r="AA15" s="164"/>
      <c r="AB15" s="62"/>
      <c r="AC15" s="62"/>
      <c r="AD15" s="64"/>
      <c r="AE15" s="164"/>
      <c r="AF15" s="62"/>
      <c r="AG15" s="62"/>
      <c r="AH15" s="337"/>
      <c r="AI15" s="337"/>
      <c r="AJ15" s="337"/>
      <c r="AK15" s="337"/>
      <c r="AL15" s="412"/>
      <c r="AM15" s="414"/>
      <c r="AN15" s="45"/>
      <c r="AO15" s="45"/>
      <c r="AP15" s="45"/>
      <c r="AQ15" s="15"/>
      <c r="AR15" s="100"/>
      <c r="AS15" s="24"/>
      <c r="AT15" s="24"/>
      <c r="AU15" s="24"/>
      <c r="AV15" s="24"/>
      <c r="AW15" s="18">
        <v>20</v>
      </c>
      <c r="AX15" s="69" t="s">
        <v>291</v>
      </c>
      <c r="AY15" s="243" t="s">
        <v>157</v>
      </c>
      <c r="AZ15" s="243" t="str">
        <f t="shared" si="0"/>
        <v>Sockeye</v>
      </c>
      <c r="BA15" s="243" t="s">
        <v>419</v>
      </c>
      <c r="BB15" s="244" t="s">
        <v>370</v>
      </c>
      <c r="BC15" s="43" t="str">
        <f t="shared" si="1"/>
        <v>-</v>
      </c>
      <c r="BD15" s="43">
        <f t="shared" si="2"/>
        <v>0</v>
      </c>
      <c r="BE15" s="193">
        <f t="shared" si="3"/>
        <v>0</v>
      </c>
      <c r="BF15" s="193">
        <f t="shared" si="4"/>
        <v>0</v>
      </c>
      <c r="BG15" s="193">
        <f t="shared" si="5"/>
        <v>0</v>
      </c>
      <c r="BH15" s="307" t="str">
        <f t="shared" si="6"/>
        <v>-</v>
      </c>
      <c r="BI15" s="265" t="str">
        <f t="shared" si="23"/>
        <v>-</v>
      </c>
      <c r="BJ15" s="26" t="str">
        <f t="shared" si="7"/>
        <v>JORDAN RIVERSockeye</v>
      </c>
      <c r="BK15" s="26">
        <f t="shared" si="8"/>
        <v>0</v>
      </c>
      <c r="BL15" s="33">
        <f t="shared" si="9"/>
        <v>0</v>
      </c>
      <c r="BQ15" s="47" t="str">
        <f t="shared" si="10"/>
        <v>JORDAN RIVERSockeye</v>
      </c>
      <c r="BR15" s="49">
        <f t="shared" si="11"/>
        <v>0</v>
      </c>
      <c r="BS15" s="49">
        <f t="shared" si="12"/>
        <v>0</v>
      </c>
      <c r="BT15" s="31">
        <v>0</v>
      </c>
      <c r="BU15" s="188" t="str">
        <f t="shared" si="13"/>
        <v>PFN</v>
      </c>
      <c r="BV15" s="188" t="str">
        <f t="shared" si="14"/>
        <v xml:space="preserve"> </v>
      </c>
      <c r="BW15" s="188" t="str">
        <f t="shared" si="15"/>
        <v xml:space="preserve"> </v>
      </c>
      <c r="BX15" s="188" t="str">
        <f t="shared" si="16"/>
        <v xml:space="preserve"> </v>
      </c>
      <c r="BY15" s="50" t="str">
        <f t="shared" si="17"/>
        <v>JORDAN RIVER_Sockeye</v>
      </c>
      <c r="BZ15" s="50" t="str">
        <f>IFERROR(VLOOKUP(BY15,'[1]WCVI Esc'!$C$5:$W$555,18,FALSE),"-")</f>
        <v>-</v>
      </c>
      <c r="CA15" s="50" t="str">
        <f t="shared" si="18"/>
        <v>-</v>
      </c>
      <c r="CB15" s="50" t="str">
        <f>IFERROR(VLOOKUP(BY15,'[1]WCVI Esc'!$C$5:$W$555,19,FALSE),"-")</f>
        <v>-</v>
      </c>
      <c r="CC15" s="50" t="str">
        <f t="shared" si="19"/>
        <v>-</v>
      </c>
      <c r="CE15" s="342" t="str">
        <f t="shared" si="20"/>
        <v>JORDAN RIVER_Sockeye</v>
      </c>
      <c r="CF15" s="341" t="str">
        <f>IFERROR(VLOOKUP(BY15,'RawPL+D'!$O$8:$AB$503,12,FALSE),"-")</f>
        <v>-</v>
      </c>
      <c r="CG15" s="338" t="str">
        <f t="shared" si="21"/>
        <v>-</v>
      </c>
      <c r="CH15" s="341" t="str">
        <f>IFERROR(VLOOKUP(BY15,'RawPL+D'!$O$8:$AB$503,13,FALSE),"-")</f>
        <v>-</v>
      </c>
      <c r="CI15" s="338" t="str">
        <f t="shared" si="22"/>
        <v>-</v>
      </c>
    </row>
    <row r="16" spans="1:87" ht="12.75" hidden="1" customHeight="1" x14ac:dyDescent="0.2">
      <c r="A16" s="28">
        <v>3</v>
      </c>
      <c r="B16" s="28">
        <v>2</v>
      </c>
      <c r="C16" s="11">
        <v>20</v>
      </c>
      <c r="D16" s="13" t="s">
        <v>291</v>
      </c>
      <c r="E16" s="10" t="s">
        <v>157</v>
      </c>
      <c r="F16" s="10" t="s">
        <v>219</v>
      </c>
      <c r="G16" s="10"/>
      <c r="H16" s="10"/>
      <c r="I16" s="10"/>
      <c r="J16" s="10"/>
      <c r="K16" s="575"/>
      <c r="L16" s="152"/>
      <c r="M16" s="422"/>
      <c r="N16" s="339"/>
      <c r="O16" s="62"/>
      <c r="P16" s="423"/>
      <c r="Q16" s="164"/>
      <c r="R16" s="339"/>
      <c r="S16" s="339"/>
      <c r="T16" s="63"/>
      <c r="U16" s="440"/>
      <c r="V16" s="164"/>
      <c r="W16" s="62"/>
      <c r="X16" s="63"/>
      <c r="Y16" s="62"/>
      <c r="Z16" s="64"/>
      <c r="AA16" s="164"/>
      <c r="AB16" s="62"/>
      <c r="AC16" s="62"/>
      <c r="AD16" s="64"/>
      <c r="AE16" s="164"/>
      <c r="AF16" s="62"/>
      <c r="AG16" s="62"/>
      <c r="AH16" s="337"/>
      <c r="AI16" s="337"/>
      <c r="AJ16" s="337"/>
      <c r="AK16" s="337"/>
      <c r="AL16" s="412"/>
      <c r="AM16" s="414"/>
      <c r="AN16" s="45"/>
      <c r="AO16" s="45"/>
      <c r="AP16" s="45"/>
      <c r="AQ16"/>
      <c r="AR16" s="100"/>
      <c r="AS16" s="24"/>
      <c r="AT16" s="24"/>
      <c r="AU16" s="24"/>
      <c r="AV16" s="24"/>
      <c r="AW16" s="18">
        <v>20</v>
      </c>
      <c r="AX16" s="69" t="s">
        <v>291</v>
      </c>
      <c r="AY16" s="243" t="s">
        <v>157</v>
      </c>
      <c r="AZ16" s="243" t="str">
        <f t="shared" si="0"/>
        <v>Coho</v>
      </c>
      <c r="BA16" s="243" t="s">
        <v>419</v>
      </c>
      <c r="BB16" s="244" t="s">
        <v>370</v>
      </c>
      <c r="BC16" s="43" t="str">
        <f t="shared" si="1"/>
        <v>-</v>
      </c>
      <c r="BD16" s="43">
        <f t="shared" si="2"/>
        <v>0</v>
      </c>
      <c r="BE16" s="193">
        <f t="shared" si="3"/>
        <v>0</v>
      </c>
      <c r="BF16" s="193">
        <f t="shared" si="4"/>
        <v>0</v>
      </c>
      <c r="BG16" s="193">
        <f t="shared" si="5"/>
        <v>0</v>
      </c>
      <c r="BH16" s="307">
        <f t="shared" si="6"/>
        <v>10</v>
      </c>
      <c r="BI16" s="265" t="str">
        <f t="shared" si="23"/>
        <v>-</v>
      </c>
      <c r="BJ16" s="26" t="str">
        <f t="shared" si="7"/>
        <v>JORDAN RIVERCoho</v>
      </c>
      <c r="BK16" s="26">
        <f t="shared" si="8"/>
        <v>0</v>
      </c>
      <c r="BL16" s="33">
        <f t="shared" si="9"/>
        <v>0</v>
      </c>
      <c r="BQ16" s="47" t="str">
        <f t="shared" si="10"/>
        <v>JORDAN RIVERCoho</v>
      </c>
      <c r="BR16" s="49">
        <f t="shared" si="11"/>
        <v>0</v>
      </c>
      <c r="BS16" s="49">
        <f t="shared" si="12"/>
        <v>0</v>
      </c>
      <c r="BT16" s="31">
        <v>0</v>
      </c>
      <c r="BU16" s="188" t="str">
        <f t="shared" si="13"/>
        <v>PFN</v>
      </c>
      <c r="BV16" s="188" t="str">
        <f t="shared" si="14"/>
        <v xml:space="preserve"> </v>
      </c>
      <c r="BW16" s="188" t="str">
        <f t="shared" si="15"/>
        <v xml:space="preserve"> </v>
      </c>
      <c r="BX16" s="188" t="str">
        <f t="shared" si="16"/>
        <v xml:space="preserve"> </v>
      </c>
      <c r="BY16" s="50" t="str">
        <f t="shared" si="17"/>
        <v>JORDAN RIVER_Coho</v>
      </c>
      <c r="BZ16" s="50" t="str">
        <f>IFERROR(VLOOKUP(BY16,'[1]WCVI Esc'!$C$5:$W$555,18,FALSE),"-")</f>
        <v>-</v>
      </c>
      <c r="CA16" s="50" t="str">
        <f t="shared" si="18"/>
        <v>-</v>
      </c>
      <c r="CB16" s="50" t="str">
        <f>IFERROR(VLOOKUP(BY16,'[1]WCVI Esc'!$C$5:$W$555,19,FALSE),"-")</f>
        <v>-</v>
      </c>
      <c r="CC16" s="50" t="str">
        <f t="shared" si="19"/>
        <v>-</v>
      </c>
      <c r="CE16" s="342" t="str">
        <f t="shared" si="20"/>
        <v>JORDAN RIVER_Coho</v>
      </c>
      <c r="CF16" s="341">
        <f>IFERROR(VLOOKUP(BY16,'RawPL+D'!$O$8:$AB$503,12,FALSE),"-")</f>
        <v>0</v>
      </c>
      <c r="CG16" s="338">
        <f t="shared" si="21"/>
        <v>0</v>
      </c>
      <c r="CH16" s="341">
        <f>IFERROR(VLOOKUP(BY16,'RawPL+D'!$O$8:$AB$503,13,FALSE),"-")</f>
        <v>11</v>
      </c>
      <c r="CI16" s="338">
        <f t="shared" si="22"/>
        <v>10</v>
      </c>
    </row>
    <row r="17" spans="1:87" ht="12.75" hidden="1" customHeight="1" x14ac:dyDescent="0.2">
      <c r="A17" s="28">
        <v>3</v>
      </c>
      <c r="B17" s="28">
        <v>3</v>
      </c>
      <c r="C17" s="11">
        <v>20</v>
      </c>
      <c r="D17" s="13" t="s">
        <v>291</v>
      </c>
      <c r="E17" s="10" t="s">
        <v>157</v>
      </c>
      <c r="F17" s="10" t="s">
        <v>208</v>
      </c>
      <c r="G17" s="10"/>
      <c r="H17" s="10"/>
      <c r="I17" s="10"/>
      <c r="J17" s="10"/>
      <c r="K17" s="575"/>
      <c r="L17" s="152"/>
      <c r="M17" s="422"/>
      <c r="N17" s="339"/>
      <c r="O17" s="62"/>
      <c r="P17" s="423"/>
      <c r="Q17" s="164"/>
      <c r="R17" s="339"/>
      <c r="S17" s="339"/>
      <c r="T17" s="63"/>
      <c r="U17" s="440"/>
      <c r="V17" s="164"/>
      <c r="W17" s="62"/>
      <c r="X17" s="63"/>
      <c r="Y17" s="62"/>
      <c r="Z17" s="64"/>
      <c r="AA17" s="164"/>
      <c r="AB17" s="62"/>
      <c r="AC17" s="62"/>
      <c r="AD17" s="64"/>
      <c r="AE17" s="164"/>
      <c r="AF17" s="62"/>
      <c r="AG17" s="62"/>
      <c r="AH17" s="337"/>
      <c r="AI17" s="337"/>
      <c r="AJ17" s="337"/>
      <c r="AK17" s="337"/>
      <c r="AL17" s="412"/>
      <c r="AM17" s="414"/>
      <c r="AN17" s="45"/>
      <c r="AO17" s="45"/>
      <c r="AP17" s="45"/>
      <c r="AQ17"/>
      <c r="AR17" s="100"/>
      <c r="AS17" s="24"/>
      <c r="AT17" s="24"/>
      <c r="AU17" s="24"/>
      <c r="AV17" s="24"/>
      <c r="AW17" s="18">
        <v>20</v>
      </c>
      <c r="AX17" s="69" t="s">
        <v>291</v>
      </c>
      <c r="AY17" s="243" t="s">
        <v>157</v>
      </c>
      <c r="AZ17" s="243" t="str">
        <f t="shared" si="0"/>
        <v>Pink</v>
      </c>
      <c r="BA17" s="243" t="s">
        <v>419</v>
      </c>
      <c r="BB17" s="244" t="s">
        <v>370</v>
      </c>
      <c r="BC17" s="43" t="str">
        <f t="shared" si="1"/>
        <v>-</v>
      </c>
      <c r="BD17" s="43">
        <f t="shared" si="2"/>
        <v>0</v>
      </c>
      <c r="BE17" s="193">
        <f t="shared" si="3"/>
        <v>0</v>
      </c>
      <c r="BF17" s="193">
        <f t="shared" si="4"/>
        <v>0</v>
      </c>
      <c r="BG17" s="193">
        <f t="shared" si="5"/>
        <v>0</v>
      </c>
      <c r="BH17" s="307" t="str">
        <f t="shared" si="6"/>
        <v>-</v>
      </c>
      <c r="BI17" s="265" t="str">
        <f t="shared" si="23"/>
        <v>-</v>
      </c>
      <c r="BJ17" s="26" t="str">
        <f t="shared" si="7"/>
        <v>JORDAN RIVERPink</v>
      </c>
      <c r="BK17" s="26">
        <f t="shared" si="8"/>
        <v>0</v>
      </c>
      <c r="BL17" s="33">
        <f t="shared" si="9"/>
        <v>0</v>
      </c>
      <c r="BQ17" s="47" t="str">
        <f t="shared" si="10"/>
        <v>JORDAN RIVERPink</v>
      </c>
      <c r="BR17" s="49">
        <f t="shared" si="11"/>
        <v>0</v>
      </c>
      <c r="BS17" s="49">
        <f t="shared" si="12"/>
        <v>0</v>
      </c>
      <c r="BT17" s="31">
        <v>0</v>
      </c>
      <c r="BU17" s="188" t="str">
        <f t="shared" si="13"/>
        <v>PFN</v>
      </c>
      <c r="BV17" s="188" t="str">
        <f t="shared" si="14"/>
        <v xml:space="preserve"> </v>
      </c>
      <c r="BW17" s="188" t="str">
        <f t="shared" si="15"/>
        <v xml:space="preserve"> </v>
      </c>
      <c r="BX17" s="188" t="str">
        <f t="shared" si="16"/>
        <v xml:space="preserve"> </v>
      </c>
      <c r="BY17" s="50" t="str">
        <f t="shared" si="17"/>
        <v>JORDAN RIVER_Pink</v>
      </c>
      <c r="BZ17" s="50" t="str">
        <f>IFERROR(VLOOKUP(BY17,'[1]WCVI Esc'!$C$5:$W$555,18,FALSE),"-")</f>
        <v>-</v>
      </c>
      <c r="CA17" s="50" t="str">
        <f t="shared" si="18"/>
        <v>-</v>
      </c>
      <c r="CB17" s="50" t="str">
        <f>IFERROR(VLOOKUP(BY17,'[1]WCVI Esc'!$C$5:$W$555,19,FALSE),"-")</f>
        <v>-</v>
      </c>
      <c r="CC17" s="50" t="str">
        <f t="shared" si="19"/>
        <v>-</v>
      </c>
      <c r="CE17" s="342" t="str">
        <f t="shared" si="20"/>
        <v>JORDAN RIVER_Pink</v>
      </c>
      <c r="CF17" s="341" t="str">
        <f>IFERROR(VLOOKUP(BY17,'RawPL+D'!$O$8:$AB$503,12,FALSE),"-")</f>
        <v>-</v>
      </c>
      <c r="CG17" s="338" t="str">
        <f t="shared" si="21"/>
        <v>-</v>
      </c>
      <c r="CH17" s="341" t="str">
        <f>IFERROR(VLOOKUP(BY17,'RawPL+D'!$O$8:$AB$503,13,FALSE),"-")</f>
        <v>-</v>
      </c>
      <c r="CI17" s="338" t="str">
        <f t="shared" si="22"/>
        <v>-</v>
      </c>
    </row>
    <row r="18" spans="1:87" ht="12.75" hidden="1" customHeight="1" x14ac:dyDescent="0.2">
      <c r="A18" s="28">
        <v>3</v>
      </c>
      <c r="B18" s="28">
        <v>4</v>
      </c>
      <c r="C18" s="11">
        <v>20</v>
      </c>
      <c r="D18" s="13" t="s">
        <v>291</v>
      </c>
      <c r="E18" s="10" t="s">
        <v>157</v>
      </c>
      <c r="F18" s="10" t="s">
        <v>209</v>
      </c>
      <c r="G18" s="10"/>
      <c r="H18" s="10"/>
      <c r="I18" s="10"/>
      <c r="J18" s="10"/>
      <c r="K18" s="575"/>
      <c r="L18" s="152"/>
      <c r="M18" s="422"/>
      <c r="N18" s="339"/>
      <c r="O18" s="62"/>
      <c r="P18" s="423"/>
      <c r="Q18" s="164"/>
      <c r="R18" s="339"/>
      <c r="S18" s="339"/>
      <c r="T18" s="63"/>
      <c r="U18" s="440"/>
      <c r="V18" s="164"/>
      <c r="W18" s="62"/>
      <c r="X18" s="63"/>
      <c r="Y18" s="62"/>
      <c r="Z18" s="64"/>
      <c r="AA18" s="164"/>
      <c r="AB18" s="62"/>
      <c r="AC18" s="62"/>
      <c r="AD18" s="64"/>
      <c r="AE18" s="164"/>
      <c r="AF18" s="62"/>
      <c r="AG18" s="62"/>
      <c r="AH18" s="337"/>
      <c r="AI18" s="337"/>
      <c r="AJ18" s="337"/>
      <c r="AK18" s="337"/>
      <c r="AL18" s="412"/>
      <c r="AM18" s="414"/>
      <c r="AN18" s="45"/>
      <c r="AO18" s="45"/>
      <c r="AP18" s="45"/>
      <c r="AQ18"/>
      <c r="AR18" s="100"/>
      <c r="AS18" s="24"/>
      <c r="AT18" s="24"/>
      <c r="AU18" s="24"/>
      <c r="AV18" s="24"/>
      <c r="AW18" s="18">
        <v>20</v>
      </c>
      <c r="AX18" s="69" t="s">
        <v>291</v>
      </c>
      <c r="AY18" s="243" t="s">
        <v>157</v>
      </c>
      <c r="AZ18" s="243" t="str">
        <f t="shared" si="0"/>
        <v>Chum</v>
      </c>
      <c r="BA18" s="243" t="s">
        <v>419</v>
      </c>
      <c r="BB18" s="244" t="s">
        <v>370</v>
      </c>
      <c r="BC18" s="43" t="str">
        <f t="shared" si="1"/>
        <v>-</v>
      </c>
      <c r="BD18" s="43">
        <f t="shared" si="2"/>
        <v>0</v>
      </c>
      <c r="BE18" s="193">
        <f t="shared" si="3"/>
        <v>0</v>
      </c>
      <c r="BF18" s="193">
        <f t="shared" si="4"/>
        <v>0</v>
      </c>
      <c r="BG18" s="193">
        <f t="shared" si="5"/>
        <v>0</v>
      </c>
      <c r="BH18" s="307">
        <f t="shared" si="6"/>
        <v>0</v>
      </c>
      <c r="BI18" s="265" t="str">
        <f t="shared" si="23"/>
        <v>-</v>
      </c>
      <c r="BJ18" s="26" t="str">
        <f t="shared" si="7"/>
        <v>JORDAN RIVERChum</v>
      </c>
      <c r="BK18" s="26">
        <f t="shared" si="8"/>
        <v>0</v>
      </c>
      <c r="BL18" s="33">
        <f t="shared" si="9"/>
        <v>0</v>
      </c>
      <c r="BQ18" s="47" t="str">
        <f t="shared" si="10"/>
        <v>JORDAN RIVERChum</v>
      </c>
      <c r="BR18" s="49">
        <f t="shared" si="11"/>
        <v>0</v>
      </c>
      <c r="BS18" s="49">
        <f t="shared" si="12"/>
        <v>0</v>
      </c>
      <c r="BT18" s="31">
        <v>0</v>
      </c>
      <c r="BU18" s="188" t="str">
        <f t="shared" si="13"/>
        <v>PFN</v>
      </c>
      <c r="BV18" s="188" t="str">
        <f t="shared" si="14"/>
        <v xml:space="preserve"> </v>
      </c>
      <c r="BW18" s="188" t="str">
        <f t="shared" si="15"/>
        <v xml:space="preserve"> </v>
      </c>
      <c r="BX18" s="188" t="str">
        <f t="shared" si="16"/>
        <v xml:space="preserve"> </v>
      </c>
      <c r="BY18" s="50" t="str">
        <f t="shared" si="17"/>
        <v>JORDAN RIVER_Chum</v>
      </c>
      <c r="BZ18" s="50" t="str">
        <f>IFERROR(VLOOKUP(BY18,'[1]WCVI Esc'!$C$5:$W$555,18,FALSE),"-")</f>
        <v>-</v>
      </c>
      <c r="CA18" s="50" t="str">
        <f t="shared" si="18"/>
        <v>-</v>
      </c>
      <c r="CB18" s="50" t="str">
        <f>IFERROR(VLOOKUP(BY18,'[1]WCVI Esc'!$C$5:$W$555,19,FALSE),"-")</f>
        <v>-</v>
      </c>
      <c r="CC18" s="50" t="str">
        <f t="shared" si="19"/>
        <v>-</v>
      </c>
      <c r="CE18" s="342" t="str">
        <f t="shared" si="20"/>
        <v>JORDAN RIVER_Chum</v>
      </c>
      <c r="CF18" s="341">
        <f>IFERROR(VLOOKUP(BY18,'RawPL+D'!$O$8:$AB$503,12,FALSE),"-")</f>
        <v>0</v>
      </c>
      <c r="CG18" s="338">
        <f t="shared" si="21"/>
        <v>0</v>
      </c>
      <c r="CH18" s="341">
        <f>IFERROR(VLOOKUP(BY18,'RawPL+D'!$O$8:$AB$503,13,FALSE),"-")</f>
        <v>0</v>
      </c>
      <c r="CI18" s="338">
        <f t="shared" si="22"/>
        <v>0</v>
      </c>
    </row>
    <row r="19" spans="1:87" ht="12.75" hidden="1" customHeight="1" x14ac:dyDescent="0.2">
      <c r="A19" s="28">
        <v>3</v>
      </c>
      <c r="B19" s="28">
        <v>5</v>
      </c>
      <c r="C19" s="11">
        <v>20</v>
      </c>
      <c r="D19" s="13" t="s">
        <v>291</v>
      </c>
      <c r="E19" s="10" t="s">
        <v>157</v>
      </c>
      <c r="F19" s="10" t="s">
        <v>210</v>
      </c>
      <c r="G19" s="10"/>
      <c r="H19" s="10"/>
      <c r="I19" s="10"/>
      <c r="J19" s="10"/>
      <c r="K19" s="575"/>
      <c r="L19" s="152"/>
      <c r="M19" s="422"/>
      <c r="N19" s="339"/>
      <c r="O19" s="62"/>
      <c r="P19" s="423"/>
      <c r="Q19" s="164"/>
      <c r="R19" s="339"/>
      <c r="S19" s="339"/>
      <c r="T19" s="63"/>
      <c r="U19" s="440"/>
      <c r="V19" s="164"/>
      <c r="W19" s="62"/>
      <c r="X19" s="63"/>
      <c r="Y19" s="62"/>
      <c r="Z19" s="64"/>
      <c r="AA19" s="164"/>
      <c r="AB19" s="62"/>
      <c r="AC19" s="62"/>
      <c r="AD19" s="64"/>
      <c r="AE19" s="164"/>
      <c r="AF19" s="62"/>
      <c r="AG19" s="62"/>
      <c r="AH19" s="337"/>
      <c r="AI19" s="337"/>
      <c r="AJ19" s="337"/>
      <c r="AK19" s="337"/>
      <c r="AL19" s="412"/>
      <c r="AM19" s="414"/>
      <c r="AN19" s="45"/>
      <c r="AO19" s="45"/>
      <c r="AP19" s="45"/>
      <c r="AQ19"/>
      <c r="AR19" s="100"/>
      <c r="AS19" s="24"/>
      <c r="AT19" s="24"/>
      <c r="AU19" s="24"/>
      <c r="AV19" s="123">
        <f>AL19</f>
        <v>0</v>
      </c>
      <c r="AW19" s="18">
        <v>20</v>
      </c>
      <c r="AX19" s="69" t="s">
        <v>291</v>
      </c>
      <c r="AY19" s="243" t="s">
        <v>157</v>
      </c>
      <c r="AZ19" s="243" t="str">
        <f t="shared" si="0"/>
        <v>Chinook</v>
      </c>
      <c r="BA19" s="243" t="s">
        <v>419</v>
      </c>
      <c r="BB19" s="244" t="s">
        <v>370</v>
      </c>
      <c r="BC19" s="43" t="str">
        <f t="shared" si="1"/>
        <v>-</v>
      </c>
      <c r="BD19" s="43">
        <f t="shared" si="2"/>
        <v>0</v>
      </c>
      <c r="BE19" s="193">
        <f t="shared" si="3"/>
        <v>0</v>
      </c>
      <c r="BF19" s="193">
        <f t="shared" si="4"/>
        <v>0</v>
      </c>
      <c r="BG19" s="193">
        <f t="shared" si="5"/>
        <v>0</v>
      </c>
      <c r="BH19" s="307" t="str">
        <f t="shared" si="6"/>
        <v>-</v>
      </c>
      <c r="BI19" s="265" t="str">
        <f t="shared" si="23"/>
        <v>-</v>
      </c>
      <c r="BJ19" s="26" t="str">
        <f t="shared" si="7"/>
        <v>JORDAN RIVERChinook</v>
      </c>
      <c r="BK19" s="26">
        <f t="shared" si="8"/>
        <v>0</v>
      </c>
      <c r="BL19" s="33">
        <f t="shared" si="9"/>
        <v>0</v>
      </c>
      <c r="BQ19" s="47" t="str">
        <f t="shared" si="10"/>
        <v>JORDAN RIVERChinook</v>
      </c>
      <c r="BR19" s="49">
        <f t="shared" si="11"/>
        <v>0</v>
      </c>
      <c r="BS19" s="49">
        <f t="shared" si="12"/>
        <v>0</v>
      </c>
      <c r="BT19" s="31">
        <v>0</v>
      </c>
      <c r="BU19" s="188" t="str">
        <f t="shared" si="13"/>
        <v>PFN</v>
      </c>
      <c r="BV19" s="188" t="str">
        <f t="shared" si="14"/>
        <v xml:space="preserve"> </v>
      </c>
      <c r="BW19" s="188" t="str">
        <f t="shared" si="15"/>
        <v xml:space="preserve"> </v>
      </c>
      <c r="BX19" s="188" t="str">
        <f t="shared" si="16"/>
        <v xml:space="preserve"> </v>
      </c>
      <c r="BY19" s="50" t="str">
        <f t="shared" si="17"/>
        <v>JORDAN RIVER_Chinook</v>
      </c>
      <c r="BZ19" s="50" t="str">
        <f>IFERROR(VLOOKUP(BY19,'[1]WCVI Esc'!$C$5:$W$555,18,FALSE),"-")</f>
        <v>-</v>
      </c>
      <c r="CA19" s="50" t="str">
        <f t="shared" si="18"/>
        <v>-</v>
      </c>
      <c r="CB19" s="50" t="str">
        <f>IFERROR(VLOOKUP(BY19,'[1]WCVI Esc'!$C$5:$W$555,19,FALSE),"-")</f>
        <v>-</v>
      </c>
      <c r="CC19" s="50" t="str">
        <f t="shared" si="19"/>
        <v>-</v>
      </c>
      <c r="CE19" s="342" t="str">
        <f t="shared" si="20"/>
        <v>JORDAN RIVER_Chinook</v>
      </c>
      <c r="CF19" s="341" t="str">
        <f>IFERROR(VLOOKUP(BY19,'RawPL+D'!$O$8:$AB$503,12,FALSE),"-")</f>
        <v>-</v>
      </c>
      <c r="CG19" s="338" t="str">
        <f t="shared" si="21"/>
        <v>-</v>
      </c>
      <c r="CH19" s="341" t="str">
        <f>IFERROR(VLOOKUP(BY19,'RawPL+D'!$O$8:$AB$503,13,FALSE),"-")</f>
        <v>-</v>
      </c>
      <c r="CI19" s="338" t="str">
        <f t="shared" si="22"/>
        <v>-</v>
      </c>
    </row>
    <row r="20" spans="1:87" ht="12.75" hidden="1" customHeight="1" x14ac:dyDescent="0.2">
      <c r="A20" s="28">
        <v>3</v>
      </c>
      <c r="B20" s="28">
        <v>6</v>
      </c>
      <c r="C20" s="11">
        <v>20</v>
      </c>
      <c r="D20" s="13" t="s">
        <v>291</v>
      </c>
      <c r="E20" s="10" t="s">
        <v>157</v>
      </c>
      <c r="F20" s="10" t="s">
        <v>211</v>
      </c>
      <c r="G20" s="10"/>
      <c r="H20" s="10"/>
      <c r="I20" s="10"/>
      <c r="J20" s="10"/>
      <c r="K20" s="575"/>
      <c r="L20" s="152"/>
      <c r="M20" s="422"/>
      <c r="N20" s="339"/>
      <c r="O20" s="62"/>
      <c r="P20" s="423"/>
      <c r="Q20" s="164"/>
      <c r="R20" s="339"/>
      <c r="S20" s="339"/>
      <c r="T20" s="63"/>
      <c r="U20" s="440"/>
      <c r="V20" s="164"/>
      <c r="W20" s="62"/>
      <c r="X20" s="63"/>
      <c r="Y20" s="62"/>
      <c r="Z20" s="64"/>
      <c r="AA20" s="164"/>
      <c r="AB20" s="62"/>
      <c r="AC20" s="62"/>
      <c r="AD20" s="64"/>
      <c r="AE20" s="164"/>
      <c r="AF20" s="62"/>
      <c r="AG20" s="62"/>
      <c r="AH20" s="337"/>
      <c r="AI20" s="337"/>
      <c r="AJ20" s="337"/>
      <c r="AK20" s="337"/>
      <c r="AL20" s="412"/>
      <c r="AM20" s="414"/>
      <c r="AN20" s="45"/>
      <c r="AO20" s="45"/>
      <c r="AP20" s="45"/>
      <c r="AQ20"/>
      <c r="AR20" s="100"/>
      <c r="AS20" s="24"/>
      <c r="AT20" s="24"/>
      <c r="AU20" s="24"/>
      <c r="AV20" s="24"/>
      <c r="AW20" s="18">
        <v>20</v>
      </c>
      <c r="AX20" s="69" t="s">
        <v>291</v>
      </c>
      <c r="AY20" s="243" t="s">
        <v>157</v>
      </c>
      <c r="AZ20" s="243" t="str">
        <f t="shared" si="0"/>
        <v>Steelhead</v>
      </c>
      <c r="BA20" s="243" t="s">
        <v>419</v>
      </c>
      <c r="BB20" s="244" t="s">
        <v>370</v>
      </c>
      <c r="BC20" s="43" t="str">
        <f t="shared" si="1"/>
        <v>-</v>
      </c>
      <c r="BD20" s="43">
        <f t="shared" si="2"/>
        <v>0</v>
      </c>
      <c r="BE20" s="193">
        <f t="shared" si="3"/>
        <v>0</v>
      </c>
      <c r="BF20" s="193">
        <f t="shared" si="4"/>
        <v>0</v>
      </c>
      <c r="BG20" s="193">
        <f t="shared" si="5"/>
        <v>0</v>
      </c>
      <c r="BH20" s="307" t="str">
        <f t="shared" si="6"/>
        <v>-</v>
      </c>
      <c r="BI20" s="265" t="str">
        <f t="shared" si="23"/>
        <v>-</v>
      </c>
      <c r="BJ20" s="26" t="str">
        <f t="shared" si="7"/>
        <v>JORDAN RIVERSteelhead</v>
      </c>
      <c r="BK20" s="26">
        <f t="shared" si="8"/>
        <v>0</v>
      </c>
      <c r="BL20" s="33">
        <f t="shared" si="9"/>
        <v>0</v>
      </c>
      <c r="BQ20" s="47" t="str">
        <f t="shared" si="10"/>
        <v>JORDAN RIVERSteelhead</v>
      </c>
      <c r="BR20" s="49">
        <f t="shared" si="11"/>
        <v>0</v>
      </c>
      <c r="BS20" s="49">
        <f t="shared" si="12"/>
        <v>0</v>
      </c>
      <c r="BT20" s="31">
        <v>0</v>
      </c>
      <c r="BU20" s="188" t="str">
        <f t="shared" si="13"/>
        <v>PFN</v>
      </c>
      <c r="BV20" s="188" t="str">
        <f t="shared" si="14"/>
        <v xml:space="preserve"> </v>
      </c>
      <c r="BW20" s="188" t="str">
        <f t="shared" si="15"/>
        <v xml:space="preserve"> </v>
      </c>
      <c r="BX20" s="188" t="str">
        <f t="shared" si="16"/>
        <v xml:space="preserve"> </v>
      </c>
      <c r="BY20" s="50" t="str">
        <f t="shared" si="17"/>
        <v>JORDAN RIVER_Steelhead</v>
      </c>
      <c r="BZ20" s="50" t="str">
        <f>IFERROR(VLOOKUP(BY20,'[1]WCVI Esc'!$C$5:$W$555,18,FALSE),"-")</f>
        <v>-</v>
      </c>
      <c r="CA20" s="50" t="str">
        <f t="shared" si="18"/>
        <v>-</v>
      </c>
      <c r="CB20" s="50" t="str">
        <f>IFERROR(VLOOKUP(BY20,'[1]WCVI Esc'!$C$5:$W$555,19,FALSE),"-")</f>
        <v>-</v>
      </c>
      <c r="CC20" s="50" t="str">
        <f t="shared" si="19"/>
        <v>-</v>
      </c>
      <c r="CE20" s="342" t="str">
        <f t="shared" si="20"/>
        <v>JORDAN RIVER_Steelhead</v>
      </c>
      <c r="CF20" s="341" t="str">
        <f>IFERROR(VLOOKUP(BY20,'RawPL+D'!$O$8:$AB$503,12,FALSE),"-")</f>
        <v>-</v>
      </c>
      <c r="CG20" s="338" t="str">
        <f t="shared" si="21"/>
        <v>-</v>
      </c>
      <c r="CH20" s="341" t="str">
        <f>IFERROR(VLOOKUP(BY20,'RawPL+D'!$O$8:$AB$503,13,FALSE),"-")</f>
        <v>-</v>
      </c>
      <c r="CI20" s="338" t="str">
        <f t="shared" si="22"/>
        <v>-</v>
      </c>
    </row>
    <row r="21" spans="1:87" ht="12.75" hidden="1" customHeight="1" x14ac:dyDescent="0.2">
      <c r="A21" s="28">
        <v>3</v>
      </c>
      <c r="B21" s="28">
        <v>1</v>
      </c>
      <c r="C21" s="11">
        <v>20</v>
      </c>
      <c r="D21" s="13" t="s">
        <v>291</v>
      </c>
      <c r="E21" s="10" t="s">
        <v>73</v>
      </c>
      <c r="F21" s="10" t="s">
        <v>207</v>
      </c>
      <c r="G21" s="10"/>
      <c r="H21" s="10"/>
      <c r="I21" s="10"/>
      <c r="J21" s="10"/>
      <c r="K21" s="575"/>
      <c r="L21" s="152"/>
      <c r="M21" s="422"/>
      <c r="N21" s="339"/>
      <c r="O21" s="62"/>
      <c r="P21" s="424"/>
      <c r="Q21" s="164"/>
      <c r="R21" s="643">
        <v>0</v>
      </c>
      <c r="S21" s="62"/>
      <c r="T21" s="63"/>
      <c r="U21" s="632">
        <v>0</v>
      </c>
      <c r="V21" s="164"/>
      <c r="W21" s="62"/>
      <c r="X21" s="63"/>
      <c r="Y21" s="62"/>
      <c r="Z21" s="64"/>
      <c r="AA21" s="164"/>
      <c r="AB21" s="62"/>
      <c r="AC21" s="62"/>
      <c r="AD21" s="64"/>
      <c r="AE21" s="164"/>
      <c r="AF21" s="62"/>
      <c r="AG21" s="62"/>
      <c r="AH21" s="337"/>
      <c r="AI21" s="337"/>
      <c r="AJ21" s="337"/>
      <c r="AK21" s="337"/>
      <c r="AL21" s="552" t="s">
        <v>770</v>
      </c>
      <c r="AM21" s="552"/>
      <c r="AN21" s="552" t="s">
        <v>765</v>
      </c>
      <c r="AO21" s="552" t="s">
        <v>483</v>
      </c>
      <c r="AP21" s="45"/>
      <c r="AQ21" s="67"/>
      <c r="AR21" s="100"/>
      <c r="AS21" s="679"/>
      <c r="AT21" s="679"/>
      <c r="AU21" s="679"/>
      <c r="AV21" s="679"/>
      <c r="AW21" s="18">
        <v>20</v>
      </c>
      <c r="AX21" s="69" t="s">
        <v>291</v>
      </c>
      <c r="AY21" s="243" t="s">
        <v>73</v>
      </c>
      <c r="AZ21" s="243" t="str">
        <f t="shared" si="0"/>
        <v>Sockeye</v>
      </c>
      <c r="BA21" s="243" t="s">
        <v>419</v>
      </c>
      <c r="BB21" s="244" t="s">
        <v>370</v>
      </c>
      <c r="BC21" s="43" t="str">
        <f t="shared" si="1"/>
        <v>Oct 29-Nov4</v>
      </c>
      <c r="BD21" s="43">
        <f t="shared" si="2"/>
        <v>2</v>
      </c>
      <c r="BE21" s="193">
        <f t="shared" si="3"/>
        <v>0</v>
      </c>
      <c r="BF21" s="193" t="str">
        <f t="shared" si="4"/>
        <v>NO</v>
      </c>
      <c r="BG21" s="193">
        <f t="shared" si="5"/>
        <v>0</v>
      </c>
      <c r="BH21" s="307">
        <f t="shared" si="6"/>
        <v>0</v>
      </c>
      <c r="BI21" s="265"/>
      <c r="BJ21" s="26" t="str">
        <f t="shared" si="7"/>
        <v>LENS CREEKSockeye</v>
      </c>
      <c r="BK21" s="26">
        <f t="shared" si="8"/>
        <v>2</v>
      </c>
      <c r="BL21" s="33">
        <f t="shared" si="9"/>
        <v>0</v>
      </c>
      <c r="BQ21" s="47" t="str">
        <f t="shared" si="10"/>
        <v>LENS CREEKSockeye</v>
      </c>
      <c r="BR21" s="49">
        <f t="shared" si="11"/>
        <v>0</v>
      </c>
      <c r="BS21" s="49" t="str">
        <f t="shared" si="12"/>
        <v>NO</v>
      </c>
      <c r="BT21" s="31">
        <v>2016</v>
      </c>
      <c r="BU21" s="188" t="str">
        <f t="shared" si="13"/>
        <v>PFN</v>
      </c>
      <c r="BV21" s="188" t="str">
        <f t="shared" si="14"/>
        <v xml:space="preserve"> </v>
      </c>
      <c r="BW21" s="188" t="str">
        <f t="shared" si="15"/>
        <v>Oct 29-Nov4</v>
      </c>
      <c r="BX21" s="188" t="str">
        <f t="shared" si="16"/>
        <v xml:space="preserve"> </v>
      </c>
      <c r="BY21" s="50" t="str">
        <f t="shared" si="17"/>
        <v>LENS CREEK_Sockeye</v>
      </c>
      <c r="BZ21" s="50" t="str">
        <f>IFERROR(VLOOKUP(BY21,'[1]WCVI Esc'!$C$5:$W$555,18,FALSE),"-")</f>
        <v>-</v>
      </c>
      <c r="CA21" s="50" t="str">
        <f t="shared" si="18"/>
        <v>-</v>
      </c>
      <c r="CB21" s="50" t="str">
        <f>IFERROR(VLOOKUP(BY21,'[1]WCVI Esc'!$C$5:$W$555,19,FALSE),"-")</f>
        <v>-</v>
      </c>
      <c r="CC21" s="50" t="str">
        <f t="shared" si="19"/>
        <v>-</v>
      </c>
      <c r="CE21" s="342" t="str">
        <f t="shared" si="20"/>
        <v>LENS CREEK_Sockeye</v>
      </c>
      <c r="CF21" s="341">
        <f>IFERROR(VLOOKUP(BY21,'RawPL+D'!$O$8:$AB$503,12,FALSE),"-")</f>
        <v>0</v>
      </c>
      <c r="CG21" s="338">
        <f t="shared" si="21"/>
        <v>0</v>
      </c>
      <c r="CH21" s="341">
        <f>IFERROR(VLOOKUP(BY21,'RawPL+D'!$O$8:$AB$503,13,FALSE),"-")</f>
        <v>0</v>
      </c>
      <c r="CI21" s="338">
        <f t="shared" si="22"/>
        <v>0</v>
      </c>
    </row>
    <row r="22" spans="1:87" ht="12.75" hidden="1" customHeight="1" x14ac:dyDescent="0.2">
      <c r="A22" s="28">
        <v>3</v>
      </c>
      <c r="B22" s="28">
        <v>2</v>
      </c>
      <c r="C22" s="11">
        <v>20</v>
      </c>
      <c r="D22" s="13" t="s">
        <v>291</v>
      </c>
      <c r="E22" s="10" t="s">
        <v>73</v>
      </c>
      <c r="F22" s="10" t="s">
        <v>219</v>
      </c>
      <c r="G22" s="10"/>
      <c r="H22" s="10"/>
      <c r="I22" s="10"/>
      <c r="J22" s="10"/>
      <c r="K22" s="575"/>
      <c r="L22" s="152"/>
      <c r="M22" s="422"/>
      <c r="N22" s="339"/>
      <c r="O22" s="62"/>
      <c r="P22" s="424"/>
      <c r="Q22" s="164"/>
      <c r="R22" s="643">
        <v>0</v>
      </c>
      <c r="S22" s="62"/>
      <c r="T22" s="63"/>
      <c r="U22" s="632">
        <v>408</v>
      </c>
      <c r="V22" s="164"/>
      <c r="W22" s="62"/>
      <c r="X22" s="437"/>
      <c r="Y22" s="62"/>
      <c r="Z22" s="64"/>
      <c r="AA22" s="164"/>
      <c r="AB22" s="62"/>
      <c r="AC22" s="62"/>
      <c r="AD22" s="64"/>
      <c r="AE22" s="164"/>
      <c r="AF22" s="62"/>
      <c r="AG22" s="62"/>
      <c r="AH22" s="337">
        <v>453</v>
      </c>
      <c r="AI22" s="337">
        <v>19</v>
      </c>
      <c r="AJ22" s="337">
        <v>0</v>
      </c>
      <c r="AK22" s="337">
        <v>0</v>
      </c>
      <c r="AL22" s="552">
        <v>453</v>
      </c>
      <c r="AM22" s="552">
        <v>472</v>
      </c>
      <c r="AN22" s="552" t="s">
        <v>765</v>
      </c>
      <c r="AO22" s="839" t="s">
        <v>483</v>
      </c>
      <c r="AP22" s="45"/>
      <c r="AQ22" s="396">
        <f>AL22/BI22</f>
        <v>0.66617647058823526</v>
      </c>
      <c r="AR22" s="100">
        <f>BL22/BH22</f>
        <v>0.64761904761904765</v>
      </c>
      <c r="AS22" s="100">
        <f>BL22/BI22</f>
        <v>0.6</v>
      </c>
      <c r="AT22" s="123"/>
      <c r="AU22" s="123"/>
      <c r="AV22" s="123"/>
      <c r="AW22" s="18">
        <v>20</v>
      </c>
      <c r="AX22" s="69" t="s">
        <v>291</v>
      </c>
      <c r="AY22" s="243" t="s">
        <v>73</v>
      </c>
      <c r="AZ22" s="243" t="str">
        <f t="shared" si="0"/>
        <v>Coho</v>
      </c>
      <c r="BA22" s="243" t="s">
        <v>419</v>
      </c>
      <c r="BB22" s="244" t="s">
        <v>370</v>
      </c>
      <c r="BC22" s="43" t="str">
        <f t="shared" si="1"/>
        <v>Oct 29-Nov4</v>
      </c>
      <c r="BD22" s="43">
        <f t="shared" si="2"/>
        <v>2</v>
      </c>
      <c r="BE22" s="193">
        <f t="shared" si="3"/>
        <v>408</v>
      </c>
      <c r="BF22" s="193">
        <f t="shared" si="4"/>
        <v>453</v>
      </c>
      <c r="BG22" s="193">
        <f t="shared" si="5"/>
        <v>453</v>
      </c>
      <c r="BH22" s="307">
        <f t="shared" si="6"/>
        <v>630</v>
      </c>
      <c r="BI22" s="265">
        <f>CC22</f>
        <v>680</v>
      </c>
      <c r="BJ22" s="26" t="str">
        <f t="shared" si="7"/>
        <v>LENS CREEKCoho</v>
      </c>
      <c r="BK22" s="26">
        <f t="shared" si="8"/>
        <v>2</v>
      </c>
      <c r="BL22" s="33">
        <f t="shared" si="9"/>
        <v>408</v>
      </c>
      <c r="BQ22" s="47" t="str">
        <f t="shared" si="10"/>
        <v>LENS CREEKCoho</v>
      </c>
      <c r="BR22" s="49">
        <f t="shared" si="11"/>
        <v>0</v>
      </c>
      <c r="BS22" s="49">
        <f t="shared" si="12"/>
        <v>453</v>
      </c>
      <c r="BT22" s="31">
        <v>2016</v>
      </c>
      <c r="BU22" s="188" t="str">
        <f t="shared" si="13"/>
        <v>PFN</v>
      </c>
      <c r="BV22" s="188" t="str">
        <f t="shared" si="14"/>
        <v xml:space="preserve"> </v>
      </c>
      <c r="BW22" s="188" t="str">
        <f t="shared" si="15"/>
        <v>Oct 29-Nov4</v>
      </c>
      <c r="BX22" s="188" t="str">
        <f t="shared" si="16"/>
        <v xml:space="preserve"> </v>
      </c>
      <c r="BY22" s="50" t="str">
        <f t="shared" si="17"/>
        <v>LENS CREEK_Coho</v>
      </c>
      <c r="BZ22" s="50">
        <f>IFERROR(VLOOKUP(BY22,'[1]WCVI Esc'!$C$5:$W$555,18,FALSE),"-")</f>
        <v>645.66666666666663</v>
      </c>
      <c r="CA22" s="50">
        <f t="shared" si="18"/>
        <v>650</v>
      </c>
      <c r="CB22" s="50">
        <f>IFERROR(VLOOKUP(BY22,'[1]WCVI Esc'!$C$5:$W$555,19,FALSE),"-")</f>
        <v>682.9</v>
      </c>
      <c r="CC22" s="50">
        <f t="shared" si="19"/>
        <v>680</v>
      </c>
      <c r="CE22" s="342" t="str">
        <f t="shared" si="20"/>
        <v>LENS CREEK_Coho</v>
      </c>
      <c r="CF22" s="341">
        <f>IFERROR(VLOOKUP(CE22,'RawPL+D'!$O$8:$AB$503,12,FALSE),"-")</f>
        <v>735</v>
      </c>
      <c r="CG22" s="338">
        <f t="shared" si="21"/>
        <v>740</v>
      </c>
      <c r="CH22" s="341">
        <f>IFERROR(VLOOKUP(CE22,'RawPL+D'!$O$8:$AB$503,13,FALSE),"-")</f>
        <v>628</v>
      </c>
      <c r="CI22" s="338">
        <f t="shared" si="22"/>
        <v>630</v>
      </c>
    </row>
    <row r="23" spans="1:87" ht="12.75" hidden="1" customHeight="1" x14ac:dyDescent="0.2">
      <c r="A23" s="28">
        <v>3</v>
      </c>
      <c r="B23" s="28">
        <v>3</v>
      </c>
      <c r="C23" s="11">
        <v>20</v>
      </c>
      <c r="D23" s="13" t="s">
        <v>291</v>
      </c>
      <c r="E23" s="10" t="s">
        <v>73</v>
      </c>
      <c r="F23" s="10" t="s">
        <v>208</v>
      </c>
      <c r="G23" s="10"/>
      <c r="H23" s="10"/>
      <c r="I23" s="10"/>
      <c r="J23" s="10"/>
      <c r="K23" s="575"/>
      <c r="L23" s="152"/>
      <c r="M23" s="422"/>
      <c r="N23" s="339"/>
      <c r="O23" s="62"/>
      <c r="P23" s="424"/>
      <c r="Q23" s="164"/>
      <c r="R23" s="643">
        <v>0</v>
      </c>
      <c r="S23" s="62"/>
      <c r="T23" s="63"/>
      <c r="U23" s="632">
        <v>0</v>
      </c>
      <c r="V23" s="169"/>
      <c r="W23" s="62"/>
      <c r="X23" s="63"/>
      <c r="Y23" s="62"/>
      <c r="Z23" s="64"/>
      <c r="AA23" s="164"/>
      <c r="AB23" s="62"/>
      <c r="AC23" s="62"/>
      <c r="AD23" s="64"/>
      <c r="AE23" s="164"/>
      <c r="AF23" s="62"/>
      <c r="AG23" s="62"/>
      <c r="AH23" s="337"/>
      <c r="AI23" s="337"/>
      <c r="AJ23" s="337"/>
      <c r="AK23" s="337"/>
      <c r="AL23" s="850" t="s">
        <v>770</v>
      </c>
      <c r="AM23" s="552"/>
      <c r="AN23" s="45"/>
      <c r="AO23" s="45"/>
      <c r="AP23" s="45"/>
      <c r="AQ23" s="15"/>
      <c r="AR23" s="100"/>
      <c r="AS23" s="123"/>
      <c r="AT23" s="123"/>
      <c r="AU23" s="123"/>
      <c r="AV23" s="123"/>
      <c r="AW23" s="18">
        <v>20</v>
      </c>
      <c r="AX23" s="69" t="s">
        <v>291</v>
      </c>
      <c r="AY23" s="243" t="s">
        <v>73</v>
      </c>
      <c r="AZ23" s="243" t="str">
        <f t="shared" si="0"/>
        <v>Pink</v>
      </c>
      <c r="BA23" s="243" t="s">
        <v>419</v>
      </c>
      <c r="BB23" s="244" t="s">
        <v>370</v>
      </c>
      <c r="BC23" s="43" t="str">
        <f t="shared" si="1"/>
        <v>Oct 29-Nov4</v>
      </c>
      <c r="BD23" s="43">
        <f t="shared" si="2"/>
        <v>2</v>
      </c>
      <c r="BE23" s="193">
        <f t="shared" si="3"/>
        <v>0</v>
      </c>
      <c r="BF23" s="193" t="str">
        <f t="shared" si="4"/>
        <v>NO</v>
      </c>
      <c r="BG23" s="193">
        <f t="shared" si="5"/>
        <v>0</v>
      </c>
      <c r="BH23" s="307" t="str">
        <f t="shared" si="6"/>
        <v>-</v>
      </c>
      <c r="BI23" s="265"/>
      <c r="BJ23" s="26" t="str">
        <f t="shared" si="7"/>
        <v>LENS CREEKPink</v>
      </c>
      <c r="BK23" s="26">
        <f t="shared" si="8"/>
        <v>2</v>
      </c>
      <c r="BL23" s="33">
        <f t="shared" si="9"/>
        <v>0</v>
      </c>
      <c r="BQ23" s="47" t="str">
        <f t="shared" si="10"/>
        <v>LENS CREEKPink</v>
      </c>
      <c r="BR23" s="49">
        <f t="shared" si="11"/>
        <v>0</v>
      </c>
      <c r="BS23" s="49" t="str">
        <f t="shared" si="12"/>
        <v>NO</v>
      </c>
      <c r="BT23" s="31">
        <v>0</v>
      </c>
      <c r="BU23" s="188" t="str">
        <f t="shared" si="13"/>
        <v>PFN</v>
      </c>
      <c r="BV23" s="188" t="str">
        <f t="shared" si="14"/>
        <v xml:space="preserve"> </v>
      </c>
      <c r="BW23" s="188" t="str">
        <f t="shared" si="15"/>
        <v>Oct 29-Nov4</v>
      </c>
      <c r="BX23" s="188" t="str">
        <f t="shared" si="16"/>
        <v xml:space="preserve"> </v>
      </c>
      <c r="BY23" s="50" t="str">
        <f t="shared" si="17"/>
        <v>LENS CREEK_Pink</v>
      </c>
      <c r="BZ23" s="50" t="str">
        <f>IFERROR(VLOOKUP(BY23,'[1]WCVI Esc'!$C$5:$W$555,18,FALSE),"-")</f>
        <v>-</v>
      </c>
      <c r="CA23" s="50" t="str">
        <f t="shared" si="18"/>
        <v>-</v>
      </c>
      <c r="CB23" s="50" t="str">
        <f>IFERROR(VLOOKUP(BY23,'[1]WCVI Esc'!$C$5:$W$555,19,FALSE),"-")</f>
        <v>-</v>
      </c>
      <c r="CC23" s="50" t="str">
        <f t="shared" si="19"/>
        <v>-</v>
      </c>
      <c r="CE23" s="342" t="str">
        <f t="shared" si="20"/>
        <v>LENS CREEK_Pink</v>
      </c>
      <c r="CF23" s="341" t="str">
        <f>IFERROR(VLOOKUP(BY23,'RawPL+D'!$O$8:$AB$503,12,FALSE),"-")</f>
        <v>-</v>
      </c>
      <c r="CG23" s="338" t="str">
        <f t="shared" si="21"/>
        <v>-</v>
      </c>
      <c r="CH23" s="341" t="str">
        <f>IFERROR(VLOOKUP(BY23,'RawPL+D'!$O$8:$AB$503,13,FALSE),"-")</f>
        <v>-</v>
      </c>
      <c r="CI23" s="338" t="str">
        <f t="shared" si="22"/>
        <v>-</v>
      </c>
    </row>
    <row r="24" spans="1:87" ht="12.75" hidden="1" customHeight="1" x14ac:dyDescent="0.2">
      <c r="A24" s="28">
        <v>3</v>
      </c>
      <c r="B24" s="28">
        <v>4</v>
      </c>
      <c r="C24" s="11">
        <v>20</v>
      </c>
      <c r="D24" s="13" t="s">
        <v>291</v>
      </c>
      <c r="E24" s="10" t="s">
        <v>73</v>
      </c>
      <c r="F24" s="10" t="s">
        <v>209</v>
      </c>
      <c r="G24" s="10"/>
      <c r="H24" s="10"/>
      <c r="I24" s="10"/>
      <c r="J24" s="10"/>
      <c r="K24" s="575"/>
      <c r="L24" s="152"/>
      <c r="M24" s="422"/>
      <c r="N24" s="339"/>
      <c r="O24" s="62"/>
      <c r="P24" s="424"/>
      <c r="Q24" s="164"/>
      <c r="R24" s="643">
        <v>0</v>
      </c>
      <c r="S24" s="62"/>
      <c r="T24" s="63"/>
      <c r="U24" s="776">
        <v>1</v>
      </c>
      <c r="V24" s="164"/>
      <c r="W24" s="62"/>
      <c r="X24" s="63"/>
      <c r="Y24" s="62"/>
      <c r="Z24" s="64"/>
      <c r="AA24" s="164"/>
      <c r="AB24" s="62"/>
      <c r="AC24" s="62"/>
      <c r="AD24" s="64"/>
      <c r="AE24" s="164"/>
      <c r="AF24" s="62"/>
      <c r="AG24" s="62"/>
      <c r="AH24" s="337">
        <v>1</v>
      </c>
      <c r="AI24" s="337">
        <v>0</v>
      </c>
      <c r="AJ24" s="337">
        <v>0</v>
      </c>
      <c r="AK24" s="337">
        <v>0</v>
      </c>
      <c r="AL24" s="552">
        <v>1</v>
      </c>
      <c r="AM24" s="552">
        <v>1</v>
      </c>
      <c r="AN24" s="552" t="s">
        <v>765</v>
      </c>
      <c r="AO24" s="552" t="s">
        <v>483</v>
      </c>
      <c r="AP24" s="45"/>
      <c r="AQ24" s="396">
        <f>AL24/BI24</f>
        <v>0.1</v>
      </c>
      <c r="AR24" s="100">
        <f>BL24/BH24</f>
        <v>3.3333333333333335E-3</v>
      </c>
      <c r="AS24" s="100">
        <f>BL24/BI24</f>
        <v>0.1</v>
      </c>
      <c r="AT24" s="123"/>
      <c r="AU24" s="123"/>
      <c r="AV24" s="123"/>
      <c r="AW24" s="18">
        <v>20</v>
      </c>
      <c r="AX24" s="69" t="s">
        <v>291</v>
      </c>
      <c r="AY24" s="243" t="s">
        <v>73</v>
      </c>
      <c r="AZ24" s="243" t="str">
        <f t="shared" si="0"/>
        <v>Chum</v>
      </c>
      <c r="BA24" s="243" t="s">
        <v>419</v>
      </c>
      <c r="BB24" s="244" t="s">
        <v>370</v>
      </c>
      <c r="BC24" s="43" t="str">
        <f t="shared" si="1"/>
        <v>Oct 29-Nov4</v>
      </c>
      <c r="BD24" s="43">
        <f t="shared" si="2"/>
        <v>2</v>
      </c>
      <c r="BE24" s="193">
        <f t="shared" si="3"/>
        <v>1</v>
      </c>
      <c r="BF24" s="193">
        <f t="shared" si="4"/>
        <v>1</v>
      </c>
      <c r="BG24" s="193">
        <f t="shared" si="5"/>
        <v>1</v>
      </c>
      <c r="BH24" s="307">
        <f t="shared" si="6"/>
        <v>300</v>
      </c>
      <c r="BI24" s="265">
        <f>CC24</f>
        <v>10</v>
      </c>
      <c r="BJ24" s="26" t="str">
        <f t="shared" si="7"/>
        <v>LENS CREEKChum</v>
      </c>
      <c r="BK24" s="26">
        <f t="shared" si="8"/>
        <v>2</v>
      </c>
      <c r="BL24" s="33">
        <f t="shared" si="9"/>
        <v>1</v>
      </c>
      <c r="BQ24" s="47" t="str">
        <f t="shared" si="10"/>
        <v>LENS CREEKChum</v>
      </c>
      <c r="BR24" s="49">
        <f t="shared" si="11"/>
        <v>0</v>
      </c>
      <c r="BS24" s="49">
        <f t="shared" si="12"/>
        <v>1</v>
      </c>
      <c r="BT24" s="31">
        <v>2016</v>
      </c>
      <c r="BU24" s="188" t="str">
        <f t="shared" si="13"/>
        <v>PFN</v>
      </c>
      <c r="BV24" s="188" t="str">
        <f t="shared" si="14"/>
        <v xml:space="preserve"> </v>
      </c>
      <c r="BW24" s="188" t="str">
        <f t="shared" si="15"/>
        <v>Oct 29-Nov4</v>
      </c>
      <c r="BX24" s="188" t="str">
        <f t="shared" si="16"/>
        <v xml:space="preserve"> </v>
      </c>
      <c r="BY24" s="50" t="str">
        <f t="shared" si="17"/>
        <v>LENS CREEK_Chum</v>
      </c>
      <c r="BZ24" s="50">
        <f>IFERROR(VLOOKUP(BY24,'[1]WCVI Esc'!$C$5:$W$555,18,FALSE),"-")</f>
        <v>16</v>
      </c>
      <c r="CA24" s="50">
        <f t="shared" si="18"/>
        <v>20</v>
      </c>
      <c r="CB24" s="50">
        <f>IFERROR(VLOOKUP(BY24,'[1]WCVI Esc'!$C$5:$W$555,19,FALSE),"-")</f>
        <v>11.6</v>
      </c>
      <c r="CC24" s="50">
        <f t="shared" si="19"/>
        <v>10</v>
      </c>
      <c r="CE24" s="342" t="str">
        <f t="shared" si="20"/>
        <v>LENS CREEK_Chum</v>
      </c>
      <c r="CF24" s="341">
        <f>IFERROR(VLOOKUP(CE24,'RawPL+D'!$O$8:$AB$503,12,FALSE),"-")</f>
        <v>25</v>
      </c>
      <c r="CG24" s="338">
        <f t="shared" si="21"/>
        <v>30</v>
      </c>
      <c r="CH24" s="341">
        <f>IFERROR(VLOOKUP(CE24,'RawPL+D'!$O$8:$AB$503,13,FALSE),"-")</f>
        <v>300</v>
      </c>
      <c r="CI24" s="338">
        <f t="shared" si="22"/>
        <v>300</v>
      </c>
    </row>
    <row r="25" spans="1:87" ht="12.75" hidden="1" customHeight="1" x14ac:dyDescent="0.2">
      <c r="A25" s="28">
        <v>3</v>
      </c>
      <c r="B25" s="28">
        <v>5</v>
      </c>
      <c r="C25" s="11">
        <v>20</v>
      </c>
      <c r="D25" s="13" t="s">
        <v>291</v>
      </c>
      <c r="E25" s="10" t="s">
        <v>73</v>
      </c>
      <c r="F25" s="10" t="s">
        <v>210</v>
      </c>
      <c r="G25" s="10"/>
      <c r="H25" s="10"/>
      <c r="I25" s="10"/>
      <c r="J25" s="10"/>
      <c r="K25" s="575"/>
      <c r="L25" s="152"/>
      <c r="M25" s="422"/>
      <c r="N25" s="339"/>
      <c r="O25" s="62"/>
      <c r="P25" s="424"/>
      <c r="Q25" s="164"/>
      <c r="R25" s="705">
        <v>18</v>
      </c>
      <c r="S25" s="62"/>
      <c r="T25" s="63"/>
      <c r="U25" s="776">
        <v>7</v>
      </c>
      <c r="V25" s="164"/>
      <c r="W25" s="62"/>
      <c r="X25" s="63"/>
      <c r="Y25" s="62"/>
      <c r="Z25" s="64"/>
      <c r="AA25" s="164"/>
      <c r="AB25" s="62"/>
      <c r="AC25" s="62"/>
      <c r="AD25" s="64"/>
      <c r="AE25" s="164"/>
      <c r="AF25" s="62"/>
      <c r="AG25" s="62"/>
      <c r="AH25" s="337">
        <v>21</v>
      </c>
      <c r="AI25" s="337">
        <v>1</v>
      </c>
      <c r="AJ25" s="337">
        <v>0</v>
      </c>
      <c r="AK25" s="337">
        <v>0</v>
      </c>
      <c r="AL25" s="552">
        <v>21</v>
      </c>
      <c r="AM25" s="552">
        <v>22</v>
      </c>
      <c r="AN25" s="552" t="s">
        <v>765</v>
      </c>
      <c r="AO25" s="552" t="s">
        <v>485</v>
      </c>
      <c r="AP25" s="45"/>
      <c r="AQ25" s="396">
        <f>AL25/BI25</f>
        <v>0.52500000000000002</v>
      </c>
      <c r="AR25" s="100" t="e">
        <f>BL25/BH25</f>
        <v>#DIV/0!</v>
      </c>
      <c r="AS25" s="100">
        <f>BL25/BI25</f>
        <v>0.45</v>
      </c>
      <c r="AT25" s="123"/>
      <c r="AU25" s="123"/>
      <c r="AV25" s="123">
        <f>AL25</f>
        <v>21</v>
      </c>
      <c r="AW25" s="18">
        <v>20</v>
      </c>
      <c r="AX25" s="69" t="s">
        <v>291</v>
      </c>
      <c r="AY25" s="243" t="s">
        <v>73</v>
      </c>
      <c r="AZ25" s="243" t="str">
        <f t="shared" si="0"/>
        <v>Chinook</v>
      </c>
      <c r="BA25" s="243" t="s">
        <v>419</v>
      </c>
      <c r="BB25" s="244" t="s">
        <v>370</v>
      </c>
      <c r="BC25" s="43" t="str">
        <f t="shared" si="1"/>
        <v>Oct 29-Nov4</v>
      </c>
      <c r="BD25" s="43">
        <f t="shared" si="2"/>
        <v>2</v>
      </c>
      <c r="BE25" s="193">
        <f t="shared" si="3"/>
        <v>18</v>
      </c>
      <c r="BF25" s="193">
        <f t="shared" si="4"/>
        <v>21</v>
      </c>
      <c r="BG25" s="193">
        <f t="shared" si="5"/>
        <v>21</v>
      </c>
      <c r="BH25" s="307">
        <f t="shared" si="6"/>
        <v>0</v>
      </c>
      <c r="BI25" s="265">
        <f>CC25</f>
        <v>40</v>
      </c>
      <c r="BJ25" s="26" t="str">
        <f t="shared" si="7"/>
        <v>LENS CREEKChinook</v>
      </c>
      <c r="BK25" s="26">
        <f t="shared" si="8"/>
        <v>2</v>
      </c>
      <c r="BL25" s="33">
        <f t="shared" si="9"/>
        <v>18</v>
      </c>
      <c r="BQ25" s="47" t="str">
        <f t="shared" si="10"/>
        <v>LENS CREEKChinook</v>
      </c>
      <c r="BR25" s="49">
        <f t="shared" si="11"/>
        <v>0</v>
      </c>
      <c r="BS25" s="49">
        <f t="shared" si="12"/>
        <v>21</v>
      </c>
      <c r="BT25" s="31">
        <v>2016</v>
      </c>
      <c r="BU25" s="188" t="str">
        <f t="shared" si="13"/>
        <v>PFN</v>
      </c>
      <c r="BV25" s="188" t="str">
        <f t="shared" si="14"/>
        <v xml:space="preserve"> </v>
      </c>
      <c r="BW25" s="188" t="str">
        <f t="shared" si="15"/>
        <v>Oct 29-Nov4</v>
      </c>
      <c r="BX25" s="188" t="str">
        <f t="shared" si="16"/>
        <v xml:space="preserve"> </v>
      </c>
      <c r="BY25" s="50" t="str">
        <f t="shared" si="17"/>
        <v>LENS CREEK_Chinook</v>
      </c>
      <c r="BZ25" s="50">
        <f>IFERROR(VLOOKUP(BY25,'[1]WCVI Esc'!$C$5:$W$555,18,FALSE),"-")</f>
        <v>10.5</v>
      </c>
      <c r="CA25" s="50">
        <f t="shared" si="18"/>
        <v>10</v>
      </c>
      <c r="CB25" s="50">
        <f>IFERROR(VLOOKUP(BY25,'[1]WCVI Esc'!$C$5:$W$555,19,FALSE),"-")</f>
        <v>38</v>
      </c>
      <c r="CC25" s="50">
        <f t="shared" si="19"/>
        <v>40</v>
      </c>
      <c r="CE25" s="342" t="str">
        <f t="shared" si="20"/>
        <v>LENS CREEK_Chinook</v>
      </c>
      <c r="CF25" s="341">
        <f>IFERROR(VLOOKUP(CE25,'RawPL+D'!$O$8:$AB$503,12,FALSE),"-")</f>
        <v>1</v>
      </c>
      <c r="CG25" s="338">
        <f t="shared" si="21"/>
        <v>0</v>
      </c>
      <c r="CH25" s="341">
        <f>IFERROR(VLOOKUP(CE25,'RawPL+D'!$O$8:$AB$503,13,FALSE),"-")</f>
        <v>1.5</v>
      </c>
      <c r="CI25" s="338">
        <f t="shared" si="22"/>
        <v>0</v>
      </c>
    </row>
    <row r="26" spans="1:87" ht="12.75" hidden="1" customHeight="1" x14ac:dyDescent="0.2">
      <c r="A26" s="28">
        <v>3</v>
      </c>
      <c r="B26" s="28">
        <v>6</v>
      </c>
      <c r="C26" s="11">
        <v>20</v>
      </c>
      <c r="D26" s="13" t="s">
        <v>291</v>
      </c>
      <c r="E26" s="10" t="s">
        <v>73</v>
      </c>
      <c r="F26" s="10" t="s">
        <v>211</v>
      </c>
      <c r="G26" s="10"/>
      <c r="H26" s="10"/>
      <c r="I26" s="10"/>
      <c r="J26" s="10"/>
      <c r="K26" s="575"/>
      <c r="L26" s="152"/>
      <c r="M26" s="422"/>
      <c r="N26" s="339"/>
      <c r="O26" s="62"/>
      <c r="P26" s="424"/>
      <c r="Q26" s="164"/>
      <c r="R26" s="643">
        <v>0</v>
      </c>
      <c r="S26" s="62"/>
      <c r="T26" s="63"/>
      <c r="U26" s="632">
        <v>0</v>
      </c>
      <c r="V26" s="169"/>
      <c r="W26" s="62"/>
      <c r="X26" s="63"/>
      <c r="Y26" s="62"/>
      <c r="Z26" s="64"/>
      <c r="AA26" s="164"/>
      <c r="AB26" s="62"/>
      <c r="AC26" s="62"/>
      <c r="AD26" s="64"/>
      <c r="AE26" s="164"/>
      <c r="AF26" s="62"/>
      <c r="AG26" s="62"/>
      <c r="AH26" s="337"/>
      <c r="AI26" s="337"/>
      <c r="AJ26" s="337"/>
      <c r="AK26" s="337"/>
      <c r="AL26" s="552"/>
      <c r="AM26" s="552"/>
      <c r="AN26" s="45"/>
      <c r="AO26" s="45"/>
      <c r="AP26" s="45"/>
      <c r="AQ26" s="15"/>
      <c r="AR26" s="100"/>
      <c r="AS26" s="123"/>
      <c r="AT26" s="123"/>
      <c r="AU26" s="123"/>
      <c r="AV26" s="123"/>
      <c r="AW26" s="18">
        <v>20</v>
      </c>
      <c r="AX26" s="69" t="s">
        <v>291</v>
      </c>
      <c r="AY26" s="243" t="s">
        <v>73</v>
      </c>
      <c r="AZ26" s="243" t="str">
        <f t="shared" si="0"/>
        <v>Steelhead</v>
      </c>
      <c r="BA26" s="243" t="s">
        <v>419</v>
      </c>
      <c r="BB26" s="244" t="s">
        <v>370</v>
      </c>
      <c r="BC26" s="43" t="str">
        <f t="shared" si="1"/>
        <v>Oct 29-Nov4</v>
      </c>
      <c r="BD26" s="43">
        <f t="shared" si="2"/>
        <v>2</v>
      </c>
      <c r="BE26" s="193">
        <f t="shared" si="3"/>
        <v>0</v>
      </c>
      <c r="BF26" s="193">
        <f t="shared" si="4"/>
        <v>0</v>
      </c>
      <c r="BG26" s="193">
        <f t="shared" si="5"/>
        <v>0</v>
      </c>
      <c r="BH26" s="307" t="str">
        <f t="shared" si="6"/>
        <v>-</v>
      </c>
      <c r="BI26" s="265" t="str">
        <f>CC26</f>
        <v>-</v>
      </c>
      <c r="BJ26" s="26" t="str">
        <f t="shared" si="7"/>
        <v>LENS CREEKSteelhead</v>
      </c>
      <c r="BK26" s="26">
        <f t="shared" si="8"/>
        <v>2</v>
      </c>
      <c r="BL26" s="33">
        <f t="shared" si="9"/>
        <v>0</v>
      </c>
      <c r="BQ26" s="47" t="str">
        <f t="shared" si="10"/>
        <v>LENS CREEKSteelhead</v>
      </c>
      <c r="BR26" s="49">
        <f t="shared" si="11"/>
        <v>0</v>
      </c>
      <c r="BS26" s="49">
        <f t="shared" si="12"/>
        <v>0</v>
      </c>
      <c r="BT26" s="31">
        <v>0</v>
      </c>
      <c r="BU26" s="188" t="str">
        <f t="shared" si="13"/>
        <v>PFN</v>
      </c>
      <c r="BV26" s="188" t="str">
        <f t="shared" si="14"/>
        <v xml:space="preserve"> </v>
      </c>
      <c r="BW26" s="188" t="str">
        <f t="shared" si="15"/>
        <v>Oct 29-Nov4</v>
      </c>
      <c r="BX26" s="188" t="str">
        <f t="shared" si="16"/>
        <v xml:space="preserve"> </v>
      </c>
      <c r="BY26" s="50" t="str">
        <f t="shared" si="17"/>
        <v>LENS CREEK_Steelhead</v>
      </c>
      <c r="BZ26" s="50" t="str">
        <f>IFERROR(VLOOKUP(BY26,'[1]WCVI Esc'!$C$5:$W$555,18,FALSE),"-")</f>
        <v>-</v>
      </c>
      <c r="CA26" s="50" t="str">
        <f t="shared" si="18"/>
        <v>-</v>
      </c>
      <c r="CB26" s="50" t="str">
        <f>IFERROR(VLOOKUP(BY26,'[1]WCVI Esc'!$C$5:$W$555,19,FALSE),"-")</f>
        <v>-</v>
      </c>
      <c r="CC26" s="50" t="str">
        <f t="shared" si="19"/>
        <v>-</v>
      </c>
      <c r="CE26" s="342" t="str">
        <f t="shared" si="20"/>
        <v>LENS CREEK_Steelhead</v>
      </c>
      <c r="CF26" s="341" t="str">
        <f>IFERROR(VLOOKUP(BY26,'RawPL+D'!$O$8:$AB$503,12,FALSE),"-")</f>
        <v>-</v>
      </c>
      <c r="CG26" s="338" t="str">
        <f t="shared" si="21"/>
        <v>-</v>
      </c>
      <c r="CH26" s="341" t="str">
        <f>IFERROR(VLOOKUP(BY26,'RawPL+D'!$O$8:$AB$503,13,FALSE),"-")</f>
        <v>-</v>
      </c>
      <c r="CI26" s="338" t="str">
        <f t="shared" si="22"/>
        <v>-</v>
      </c>
    </row>
    <row r="27" spans="1:87" ht="12.75" hidden="1" customHeight="1" x14ac:dyDescent="0.2">
      <c r="A27" s="28">
        <v>3</v>
      </c>
      <c r="B27" s="28">
        <v>1</v>
      </c>
      <c r="C27" s="11">
        <v>20</v>
      </c>
      <c r="D27" s="13" t="s">
        <v>291</v>
      </c>
      <c r="E27" s="10" t="s">
        <v>74</v>
      </c>
      <c r="F27" s="10" t="s">
        <v>207</v>
      </c>
      <c r="G27" s="10"/>
      <c r="H27" s="10"/>
      <c r="I27" s="10"/>
      <c r="J27" s="10"/>
      <c r="K27" s="575"/>
      <c r="L27" s="152"/>
      <c r="M27" s="422"/>
      <c r="N27" s="339"/>
      <c r="O27" s="62"/>
      <c r="P27" s="339"/>
      <c r="Q27" s="164"/>
      <c r="R27" s="339"/>
      <c r="S27" s="643">
        <v>1</v>
      </c>
      <c r="T27" s="63"/>
      <c r="U27" s="64"/>
      <c r="V27" s="641">
        <v>0</v>
      </c>
      <c r="W27" s="62"/>
      <c r="X27" s="63"/>
      <c r="Y27" s="62"/>
      <c r="Z27" s="64"/>
      <c r="AA27" s="164"/>
      <c r="AB27" s="62"/>
      <c r="AC27" s="62"/>
      <c r="AD27" s="64"/>
      <c r="AE27" s="164"/>
      <c r="AF27" s="62"/>
      <c r="AG27" s="62"/>
      <c r="AH27" s="337">
        <v>1</v>
      </c>
      <c r="AI27" s="337">
        <v>0</v>
      </c>
      <c r="AJ27" s="337">
        <v>0</v>
      </c>
      <c r="AK27" s="337">
        <v>0</v>
      </c>
      <c r="AL27" s="555">
        <v>1</v>
      </c>
      <c r="AM27" s="552">
        <v>1</v>
      </c>
      <c r="AN27" s="552" t="s">
        <v>765</v>
      </c>
      <c r="AO27" s="552" t="s">
        <v>483</v>
      </c>
      <c r="AP27" s="45"/>
      <c r="AQ27" s="396">
        <f>AL27/BI27</f>
        <v>3.3333333333333333E-2</v>
      </c>
      <c r="AR27" s="100">
        <f>BL27/BH27</f>
        <v>0.05</v>
      </c>
      <c r="AS27" s="100">
        <f>BL27/BI27</f>
        <v>3.3333333333333333E-2</v>
      </c>
      <c r="AT27" s="100"/>
      <c r="AU27" s="100"/>
      <c r="AV27" s="100"/>
      <c r="AW27" s="18">
        <v>20</v>
      </c>
      <c r="AX27" s="69" t="s">
        <v>291</v>
      </c>
      <c r="AY27" s="243" t="s">
        <v>74</v>
      </c>
      <c r="AZ27" s="243" t="str">
        <f t="shared" si="0"/>
        <v>Sockeye</v>
      </c>
      <c r="BA27" s="243" t="s">
        <v>419</v>
      </c>
      <c r="BB27" s="244" t="s">
        <v>370</v>
      </c>
      <c r="BC27" s="43" t="str">
        <f t="shared" si="1"/>
        <v>Nov 5-11</v>
      </c>
      <c r="BD27" s="43">
        <f t="shared" si="2"/>
        <v>2</v>
      </c>
      <c r="BE27" s="193">
        <f t="shared" si="3"/>
        <v>1</v>
      </c>
      <c r="BF27" s="193">
        <f t="shared" si="4"/>
        <v>1</v>
      </c>
      <c r="BG27" s="193">
        <f t="shared" si="5"/>
        <v>1</v>
      </c>
      <c r="BH27" s="307">
        <f t="shared" si="6"/>
        <v>20</v>
      </c>
      <c r="BI27" s="265">
        <f>CC27</f>
        <v>30</v>
      </c>
      <c r="BJ27" s="26" t="str">
        <f t="shared" si="7"/>
        <v>RENFREW CREEKSockeye</v>
      </c>
      <c r="BK27" s="26">
        <f t="shared" si="8"/>
        <v>2</v>
      </c>
      <c r="BL27" s="33">
        <f t="shared" si="9"/>
        <v>1</v>
      </c>
      <c r="BQ27" s="47" t="str">
        <f t="shared" si="10"/>
        <v>RENFREW CREEKSockeye</v>
      </c>
      <c r="BR27" s="49">
        <f t="shared" si="11"/>
        <v>0</v>
      </c>
      <c r="BS27" s="49">
        <f t="shared" si="12"/>
        <v>1</v>
      </c>
      <c r="BT27" s="31">
        <v>2016</v>
      </c>
      <c r="BU27" s="188" t="str">
        <f t="shared" si="13"/>
        <v>PFN</v>
      </c>
      <c r="BV27" s="188" t="str">
        <f t="shared" si="14"/>
        <v xml:space="preserve"> </v>
      </c>
      <c r="BW27" s="188" t="str">
        <f t="shared" si="15"/>
        <v>Nov 5-11</v>
      </c>
      <c r="BX27" s="188" t="str">
        <f t="shared" si="16"/>
        <v xml:space="preserve"> </v>
      </c>
      <c r="BY27" s="50" t="str">
        <f t="shared" si="17"/>
        <v>RENFREW CREEK_Sockeye</v>
      </c>
      <c r="BZ27" s="50">
        <f>IFERROR(VLOOKUP(BY27,'[1]WCVI Esc'!$C$5:$W$555,18,FALSE),"-")</f>
        <v>33</v>
      </c>
      <c r="CA27" s="50">
        <f t="shared" si="18"/>
        <v>30</v>
      </c>
      <c r="CB27" s="50">
        <f>IFERROR(VLOOKUP(BY27,'[1]WCVI Esc'!$C$5:$W$555,19,FALSE),"-")</f>
        <v>27.2</v>
      </c>
      <c r="CC27" s="50">
        <f t="shared" si="19"/>
        <v>30</v>
      </c>
      <c r="CE27" s="342" t="str">
        <f t="shared" si="20"/>
        <v>RENFREW CREEK_Sockeye</v>
      </c>
      <c r="CF27" s="341">
        <f>IFERROR(VLOOKUP(CE27,'RawPL+D'!$O$8:$AB$503,12,FALSE),"-")</f>
        <v>49</v>
      </c>
      <c r="CG27" s="338">
        <f t="shared" si="21"/>
        <v>50</v>
      </c>
      <c r="CH27" s="341">
        <f>IFERROR(VLOOKUP(CE27,'RawPL+D'!$O$8:$AB$503,13,FALSE),"-")</f>
        <v>24.5</v>
      </c>
      <c r="CI27" s="338">
        <f t="shared" si="22"/>
        <v>20</v>
      </c>
    </row>
    <row r="28" spans="1:87" ht="12.75" hidden="1" customHeight="1" x14ac:dyDescent="0.2">
      <c r="A28" s="28">
        <v>3</v>
      </c>
      <c r="B28" s="28">
        <v>2</v>
      </c>
      <c r="C28" s="11">
        <v>20</v>
      </c>
      <c r="D28" s="13" t="s">
        <v>291</v>
      </c>
      <c r="E28" s="10" t="s">
        <v>74</v>
      </c>
      <c r="F28" s="10" t="s">
        <v>219</v>
      </c>
      <c r="G28" s="10"/>
      <c r="H28" s="10"/>
      <c r="I28" s="10"/>
      <c r="J28" s="10"/>
      <c r="K28" s="575"/>
      <c r="L28" s="152"/>
      <c r="M28" s="422"/>
      <c r="N28" s="339"/>
      <c r="O28" s="62"/>
      <c r="P28" s="339"/>
      <c r="Q28" s="164"/>
      <c r="R28" s="339"/>
      <c r="S28" s="708">
        <v>12</v>
      </c>
      <c r="T28" s="63"/>
      <c r="U28" s="392"/>
      <c r="V28" s="641">
        <v>462</v>
      </c>
      <c r="W28" s="62"/>
      <c r="X28" s="63"/>
      <c r="Y28" s="62"/>
      <c r="Z28" s="64"/>
      <c r="AA28" s="164"/>
      <c r="AB28" s="62"/>
      <c r="AC28" s="62"/>
      <c r="AD28" s="64"/>
      <c r="AE28" s="164"/>
      <c r="AF28" s="62"/>
      <c r="AG28" s="62"/>
      <c r="AH28" s="337">
        <v>578</v>
      </c>
      <c r="AI28" s="337">
        <v>8</v>
      </c>
      <c r="AJ28" s="337">
        <v>0</v>
      </c>
      <c r="AK28" s="337">
        <v>0</v>
      </c>
      <c r="AL28" s="555">
        <v>578</v>
      </c>
      <c r="AM28" s="552">
        <v>586</v>
      </c>
      <c r="AN28" s="552" t="s">
        <v>765</v>
      </c>
      <c r="AO28" s="552" t="s">
        <v>485</v>
      </c>
      <c r="AP28" s="45"/>
      <c r="AQ28" s="396">
        <f>AL28/BI28</f>
        <v>0.79178082191780819</v>
      </c>
      <c r="AR28" s="100">
        <f>BL28/BH28</f>
        <v>0.73333333333333328</v>
      </c>
      <c r="AS28" s="100">
        <f>BL28/BI28</f>
        <v>0.63287671232876708</v>
      </c>
      <c r="AT28" s="100"/>
      <c r="AU28" s="100"/>
      <c r="AV28" s="100"/>
      <c r="AW28" s="18">
        <v>20</v>
      </c>
      <c r="AX28" s="69" t="s">
        <v>291</v>
      </c>
      <c r="AY28" s="243" t="s">
        <v>74</v>
      </c>
      <c r="AZ28" s="243" t="str">
        <f t="shared" si="0"/>
        <v>Coho</v>
      </c>
      <c r="BA28" s="243" t="s">
        <v>419</v>
      </c>
      <c r="BB28" s="244" t="s">
        <v>370</v>
      </c>
      <c r="BC28" s="43" t="str">
        <f t="shared" si="1"/>
        <v>Nov 5-11</v>
      </c>
      <c r="BD28" s="43">
        <f t="shared" si="2"/>
        <v>2</v>
      </c>
      <c r="BE28" s="193">
        <f t="shared" si="3"/>
        <v>462</v>
      </c>
      <c r="BF28" s="193">
        <f t="shared" si="4"/>
        <v>578</v>
      </c>
      <c r="BG28" s="193">
        <f t="shared" si="5"/>
        <v>578</v>
      </c>
      <c r="BH28" s="307">
        <f t="shared" si="6"/>
        <v>630</v>
      </c>
      <c r="BI28" s="265">
        <f>CC28</f>
        <v>730</v>
      </c>
      <c r="BJ28" s="26" t="str">
        <f t="shared" si="7"/>
        <v>RENFREW CREEKCoho</v>
      </c>
      <c r="BK28" s="26">
        <f t="shared" si="8"/>
        <v>2</v>
      </c>
      <c r="BL28" s="33">
        <f t="shared" si="9"/>
        <v>462</v>
      </c>
      <c r="BQ28" s="47" t="str">
        <f t="shared" si="10"/>
        <v>RENFREW CREEKCoho</v>
      </c>
      <c r="BR28" s="49">
        <f t="shared" si="11"/>
        <v>0</v>
      </c>
      <c r="BS28" s="49">
        <f t="shared" si="12"/>
        <v>578</v>
      </c>
      <c r="BT28" s="31">
        <v>2016</v>
      </c>
      <c r="BU28" s="188" t="str">
        <f t="shared" si="13"/>
        <v>PFN</v>
      </c>
      <c r="BV28" s="188" t="str">
        <f t="shared" si="14"/>
        <v xml:space="preserve"> </v>
      </c>
      <c r="BW28" s="188" t="str">
        <f t="shared" si="15"/>
        <v>Nov 5-11</v>
      </c>
      <c r="BX28" s="188" t="str">
        <f t="shared" si="16"/>
        <v xml:space="preserve"> </v>
      </c>
      <c r="BY28" s="50" t="str">
        <f t="shared" si="17"/>
        <v>RENFREW CREEK_Coho</v>
      </c>
      <c r="BZ28" s="50">
        <f>IFERROR(VLOOKUP(BY28,'[1]WCVI Esc'!$C$5:$W$555,18,FALSE),"-")</f>
        <v>554.66666666666663</v>
      </c>
      <c r="CA28" s="50">
        <f t="shared" si="18"/>
        <v>550</v>
      </c>
      <c r="CB28" s="50">
        <f>IFERROR(VLOOKUP(BY28,'[1]WCVI Esc'!$C$5:$W$555,19,FALSE),"-")</f>
        <v>733.3</v>
      </c>
      <c r="CC28" s="50">
        <f t="shared" si="19"/>
        <v>730</v>
      </c>
      <c r="CE28" s="342" t="str">
        <f t="shared" si="20"/>
        <v>RENFREW CREEK_Coho</v>
      </c>
      <c r="CF28" s="341">
        <f>IFERROR(VLOOKUP(CE28,'RawPL+D'!$O$8:$AB$503,12,FALSE),"-")</f>
        <v>1250</v>
      </c>
      <c r="CG28" s="338">
        <f t="shared" si="21"/>
        <v>1250</v>
      </c>
      <c r="CH28" s="341">
        <f>IFERROR(VLOOKUP(CE28,'RawPL+D'!$O$8:$AB$503,13,FALSE),"-")</f>
        <v>634</v>
      </c>
      <c r="CI28" s="338">
        <f t="shared" si="22"/>
        <v>630</v>
      </c>
    </row>
    <row r="29" spans="1:87" ht="12.75" hidden="1" customHeight="1" x14ac:dyDescent="0.2">
      <c r="A29" s="28">
        <v>3</v>
      </c>
      <c r="B29" s="28">
        <v>3</v>
      </c>
      <c r="C29" s="11">
        <v>20</v>
      </c>
      <c r="D29" s="13" t="s">
        <v>291</v>
      </c>
      <c r="E29" s="10" t="s">
        <v>74</v>
      </c>
      <c r="F29" s="10" t="s">
        <v>208</v>
      </c>
      <c r="G29" s="10"/>
      <c r="H29" s="10"/>
      <c r="I29" s="10"/>
      <c r="J29" s="10"/>
      <c r="K29" s="575"/>
      <c r="L29" s="152"/>
      <c r="M29" s="422"/>
      <c r="N29" s="339"/>
      <c r="O29" s="62"/>
      <c r="P29" s="339"/>
      <c r="Q29" s="164"/>
      <c r="R29" s="339"/>
      <c r="S29" s="643">
        <v>0</v>
      </c>
      <c r="T29" s="63"/>
      <c r="U29" s="64"/>
      <c r="V29" s="641">
        <v>0</v>
      </c>
      <c r="W29" s="62"/>
      <c r="X29" s="62"/>
      <c r="Y29" s="62"/>
      <c r="Z29" s="64"/>
      <c r="AA29" s="164"/>
      <c r="AB29" s="62"/>
      <c r="AC29" s="62"/>
      <c r="AD29" s="64"/>
      <c r="AE29" s="164"/>
      <c r="AF29" s="62"/>
      <c r="AG29" s="62"/>
      <c r="AH29" s="337"/>
      <c r="AI29" s="337"/>
      <c r="AJ29" s="337"/>
      <c r="AK29" s="337"/>
      <c r="AL29" s="842" t="s">
        <v>770</v>
      </c>
      <c r="AM29" s="552"/>
      <c r="AN29" s="45"/>
      <c r="AO29" s="45"/>
      <c r="AP29" s="45"/>
      <c r="AQ29" s="67"/>
      <c r="AR29" s="100"/>
      <c r="AS29" s="100"/>
      <c r="AT29" s="100"/>
      <c r="AU29" s="100"/>
      <c r="AV29" s="100"/>
      <c r="AW29" s="18">
        <v>20</v>
      </c>
      <c r="AX29" s="69" t="s">
        <v>291</v>
      </c>
      <c r="AY29" s="243" t="s">
        <v>74</v>
      </c>
      <c r="AZ29" s="243" t="str">
        <f t="shared" si="0"/>
        <v>Pink</v>
      </c>
      <c r="BA29" s="243" t="s">
        <v>419</v>
      </c>
      <c r="BB29" s="244" t="s">
        <v>370</v>
      </c>
      <c r="BC29" s="43" t="str">
        <f t="shared" si="1"/>
        <v>Nov 5-11</v>
      </c>
      <c r="BD29" s="43">
        <f t="shared" si="2"/>
        <v>2</v>
      </c>
      <c r="BE29" s="193">
        <f t="shared" si="3"/>
        <v>0</v>
      </c>
      <c r="BF29" s="193" t="str">
        <f t="shared" si="4"/>
        <v>NO</v>
      </c>
      <c r="BG29" s="193">
        <f t="shared" si="5"/>
        <v>0</v>
      </c>
      <c r="BH29" s="307">
        <f t="shared" si="6"/>
        <v>0</v>
      </c>
      <c r="BI29" s="265"/>
      <c r="BJ29" s="26" t="str">
        <f t="shared" si="7"/>
        <v>RENFREW CREEKPink</v>
      </c>
      <c r="BK29" s="26">
        <f t="shared" si="8"/>
        <v>2</v>
      </c>
      <c r="BL29" s="33">
        <f t="shared" si="9"/>
        <v>0</v>
      </c>
      <c r="BQ29" s="47" t="str">
        <f t="shared" si="10"/>
        <v>RENFREW CREEKPink</v>
      </c>
      <c r="BR29" s="49">
        <f t="shared" si="11"/>
        <v>0</v>
      </c>
      <c r="BS29" s="49" t="str">
        <f t="shared" si="12"/>
        <v>NO</v>
      </c>
      <c r="BT29" s="31">
        <v>0</v>
      </c>
      <c r="BU29" s="188" t="str">
        <f t="shared" si="13"/>
        <v>PFN</v>
      </c>
      <c r="BV29" s="188" t="str">
        <f t="shared" si="14"/>
        <v xml:space="preserve"> </v>
      </c>
      <c r="BW29" s="188" t="str">
        <f t="shared" si="15"/>
        <v>Nov 5-11</v>
      </c>
      <c r="BX29" s="188" t="str">
        <f t="shared" si="16"/>
        <v xml:space="preserve"> </v>
      </c>
      <c r="BY29" s="50" t="str">
        <f t="shared" si="17"/>
        <v>RENFREW CREEK_Pink</v>
      </c>
      <c r="BZ29" s="50" t="str">
        <f>IFERROR(VLOOKUP(BY29,'[1]WCVI Esc'!$C$5:$W$555,18,FALSE),"-")</f>
        <v>-</v>
      </c>
      <c r="CA29" s="50" t="str">
        <f t="shared" si="18"/>
        <v>-</v>
      </c>
      <c r="CB29" s="50" t="str">
        <f>IFERROR(VLOOKUP(BY29,'[1]WCVI Esc'!$C$5:$W$555,19,FALSE),"-")</f>
        <v>-</v>
      </c>
      <c r="CC29" s="50" t="str">
        <f t="shared" si="19"/>
        <v>-</v>
      </c>
      <c r="CE29" s="342" t="str">
        <f t="shared" si="20"/>
        <v>RENFREW CREEK_Pink</v>
      </c>
      <c r="CF29" s="341">
        <f>IFERROR(VLOOKUP(BY29,'RawPL+D'!$O$8:$AB$503,12,FALSE),"-")</f>
        <v>0</v>
      </c>
      <c r="CG29" s="338">
        <f t="shared" si="21"/>
        <v>0</v>
      </c>
      <c r="CH29" s="341">
        <f>IFERROR(VLOOKUP(BY29,'RawPL+D'!$O$8:$AB$503,13,FALSE),"-")</f>
        <v>0</v>
      </c>
      <c r="CI29" s="338">
        <f t="shared" si="22"/>
        <v>0</v>
      </c>
    </row>
    <row r="30" spans="1:87" ht="12.75" hidden="1" customHeight="1" x14ac:dyDescent="0.2">
      <c r="A30" s="28">
        <v>3</v>
      </c>
      <c r="B30" s="28">
        <v>4</v>
      </c>
      <c r="C30" s="11">
        <v>20</v>
      </c>
      <c r="D30" s="13" t="s">
        <v>291</v>
      </c>
      <c r="E30" s="10" t="s">
        <v>74</v>
      </c>
      <c r="F30" s="10" t="s">
        <v>209</v>
      </c>
      <c r="G30" s="10"/>
      <c r="H30" s="10"/>
      <c r="I30" s="10"/>
      <c r="J30" s="10"/>
      <c r="K30" s="575"/>
      <c r="L30" s="152"/>
      <c r="M30" s="422"/>
      <c r="N30" s="339"/>
      <c r="O30" s="62"/>
      <c r="P30" s="339"/>
      <c r="Q30" s="164"/>
      <c r="R30" s="339"/>
      <c r="S30" s="643">
        <v>4</v>
      </c>
      <c r="T30" s="63"/>
      <c r="U30" s="392"/>
      <c r="V30" s="673">
        <f>94+1</f>
        <v>95</v>
      </c>
      <c r="W30" s="62"/>
      <c r="X30" s="63"/>
      <c r="Y30" s="62"/>
      <c r="Z30" s="64"/>
      <c r="AA30" s="164"/>
      <c r="AB30" s="62"/>
      <c r="AC30" s="62"/>
      <c r="AD30" s="64"/>
      <c r="AE30" s="164"/>
      <c r="AF30" s="62"/>
      <c r="AG30" s="62"/>
      <c r="AH30" s="337">
        <v>104</v>
      </c>
      <c r="AI30" s="337">
        <v>0</v>
      </c>
      <c r="AJ30" s="337">
        <v>0</v>
      </c>
      <c r="AK30" s="337">
        <v>0</v>
      </c>
      <c r="AL30" s="555">
        <v>104</v>
      </c>
      <c r="AM30" s="552">
        <v>104</v>
      </c>
      <c r="AN30" s="552" t="s">
        <v>765</v>
      </c>
      <c r="AO30" s="552" t="s">
        <v>485</v>
      </c>
      <c r="AP30" s="45"/>
      <c r="AQ30" s="396">
        <f>AL30/BI30</f>
        <v>0.35862068965517241</v>
      </c>
      <c r="AR30" s="100">
        <f>BL30/BH30</f>
        <v>1.3571428571428572</v>
      </c>
      <c r="AS30" s="100">
        <f>BL30/BI30</f>
        <v>0.32758620689655171</v>
      </c>
      <c r="AT30" s="100"/>
      <c r="AU30" s="100"/>
      <c r="AV30" s="100"/>
      <c r="AW30" s="18">
        <v>20</v>
      </c>
      <c r="AX30" s="69" t="s">
        <v>291</v>
      </c>
      <c r="AY30" s="243" t="s">
        <v>74</v>
      </c>
      <c r="AZ30" s="243" t="str">
        <f t="shared" si="0"/>
        <v>Chum</v>
      </c>
      <c r="BA30" s="243" t="s">
        <v>419</v>
      </c>
      <c r="BB30" s="244" t="s">
        <v>370</v>
      </c>
      <c r="BC30" s="43" t="str">
        <f t="shared" si="1"/>
        <v>Nov 5-11</v>
      </c>
      <c r="BD30" s="43">
        <f t="shared" si="2"/>
        <v>2</v>
      </c>
      <c r="BE30" s="193">
        <f t="shared" si="3"/>
        <v>95</v>
      </c>
      <c r="BF30" s="193">
        <f t="shared" si="4"/>
        <v>104</v>
      </c>
      <c r="BG30" s="193">
        <f t="shared" si="5"/>
        <v>104</v>
      </c>
      <c r="BH30" s="307">
        <f t="shared" si="6"/>
        <v>70</v>
      </c>
      <c r="BI30" s="265">
        <f t="shared" ref="BI30:BI61" si="24">CC30</f>
        <v>290</v>
      </c>
      <c r="BJ30" s="26" t="str">
        <f t="shared" si="7"/>
        <v>RENFREW CREEKChum</v>
      </c>
      <c r="BK30" s="26">
        <f t="shared" si="8"/>
        <v>2</v>
      </c>
      <c r="BL30" s="33">
        <f t="shared" si="9"/>
        <v>95</v>
      </c>
      <c r="BQ30" s="47" t="str">
        <f t="shared" si="10"/>
        <v>RENFREW CREEKChum</v>
      </c>
      <c r="BR30" s="49">
        <f t="shared" si="11"/>
        <v>0</v>
      </c>
      <c r="BS30" s="49">
        <f t="shared" si="12"/>
        <v>104</v>
      </c>
      <c r="BT30" s="31">
        <v>2016</v>
      </c>
      <c r="BU30" s="188" t="str">
        <f t="shared" si="13"/>
        <v>PFN</v>
      </c>
      <c r="BV30" s="188" t="str">
        <f t="shared" si="14"/>
        <v xml:space="preserve"> </v>
      </c>
      <c r="BW30" s="188" t="str">
        <f t="shared" si="15"/>
        <v>Nov 5-11</v>
      </c>
      <c r="BX30" s="188" t="str">
        <f t="shared" si="16"/>
        <v xml:space="preserve"> </v>
      </c>
      <c r="BY30" s="50" t="str">
        <f t="shared" si="17"/>
        <v>RENFREW CREEK_Chum</v>
      </c>
      <c r="BZ30" s="50">
        <f>IFERROR(VLOOKUP(BY30,'[1]WCVI Esc'!$C$5:$W$555,18,FALSE),"-")</f>
        <v>139</v>
      </c>
      <c r="CA30" s="50">
        <f t="shared" si="18"/>
        <v>140</v>
      </c>
      <c r="CB30" s="50">
        <f>IFERROR(VLOOKUP(BY30,'[1]WCVI Esc'!$C$5:$W$555,19,FALSE),"-")</f>
        <v>288.625</v>
      </c>
      <c r="CC30" s="50">
        <f t="shared" si="19"/>
        <v>290</v>
      </c>
      <c r="CE30" s="342" t="str">
        <f t="shared" si="20"/>
        <v>RENFREW CREEK_Chum</v>
      </c>
      <c r="CF30" s="341">
        <f>IFERROR(VLOOKUP(CE30,'RawPL+D'!$O$8:$AB$503,12,FALSE),"-")</f>
        <v>143</v>
      </c>
      <c r="CG30" s="338">
        <f t="shared" si="21"/>
        <v>140</v>
      </c>
      <c r="CH30" s="341">
        <f>IFERROR(VLOOKUP(CE30,'RawPL+D'!$O$8:$AB$503,13,FALSE),"-")</f>
        <v>71.5</v>
      </c>
      <c r="CI30" s="338">
        <f t="shared" si="22"/>
        <v>70</v>
      </c>
    </row>
    <row r="31" spans="1:87" ht="12.75" hidden="1" customHeight="1" x14ac:dyDescent="0.2">
      <c r="A31" s="28">
        <v>3</v>
      </c>
      <c r="B31" s="28">
        <v>5</v>
      </c>
      <c r="C31" s="11">
        <v>20</v>
      </c>
      <c r="D31" s="13" t="s">
        <v>291</v>
      </c>
      <c r="E31" s="10" t="s">
        <v>74</v>
      </c>
      <c r="F31" s="10" t="s">
        <v>210</v>
      </c>
      <c r="G31" s="10"/>
      <c r="H31" s="10"/>
      <c r="I31" s="10"/>
      <c r="J31" s="10"/>
      <c r="K31" s="575"/>
      <c r="L31" s="152"/>
      <c r="M31" s="422"/>
      <c r="N31" s="339"/>
      <c r="O31" s="62"/>
      <c r="P31" s="339"/>
      <c r="Q31" s="164"/>
      <c r="R31" s="339"/>
      <c r="S31" s="705">
        <f>42+2</f>
        <v>44</v>
      </c>
      <c r="T31" s="63"/>
      <c r="U31" s="391"/>
      <c r="V31" s="641">
        <v>0</v>
      </c>
      <c r="W31" s="62"/>
      <c r="X31" s="62"/>
      <c r="Y31" s="62"/>
      <c r="Z31" s="64"/>
      <c r="AA31" s="164"/>
      <c r="AB31" s="62"/>
      <c r="AC31" s="62"/>
      <c r="AD31" s="64"/>
      <c r="AE31" s="164"/>
      <c r="AF31" s="62"/>
      <c r="AG31" s="62"/>
      <c r="AH31" s="337"/>
      <c r="AI31" s="337"/>
      <c r="AJ31" s="337"/>
      <c r="AK31" s="337"/>
      <c r="AL31" s="842"/>
      <c r="AM31" s="552"/>
      <c r="AN31" s="552"/>
      <c r="AO31" s="45"/>
      <c r="AP31" s="45"/>
      <c r="AQ31" s="396">
        <f>AL31/BI31</f>
        <v>0</v>
      </c>
      <c r="AR31" s="100">
        <f>BL31/BH31</f>
        <v>0.62857142857142856</v>
      </c>
      <c r="AS31" s="100">
        <f>BL31/BI31</f>
        <v>1.4666666666666666</v>
      </c>
      <c r="AT31" s="100"/>
      <c r="AU31" s="100"/>
      <c r="AV31" s="123">
        <f>AL31</f>
        <v>0</v>
      </c>
      <c r="AW31" s="18">
        <v>20</v>
      </c>
      <c r="AX31" s="69" t="s">
        <v>291</v>
      </c>
      <c r="AY31" s="243" t="s">
        <v>74</v>
      </c>
      <c r="AZ31" s="243" t="str">
        <f t="shared" si="0"/>
        <v>Chinook</v>
      </c>
      <c r="BA31" s="243" t="s">
        <v>419</v>
      </c>
      <c r="BB31" s="244" t="s">
        <v>370</v>
      </c>
      <c r="BC31" s="43" t="str">
        <f t="shared" si="1"/>
        <v>Nov 5-11</v>
      </c>
      <c r="BD31" s="43">
        <f t="shared" si="2"/>
        <v>2</v>
      </c>
      <c r="BE31" s="193">
        <f t="shared" si="3"/>
        <v>44</v>
      </c>
      <c r="BF31" s="193">
        <f t="shared" si="4"/>
        <v>0</v>
      </c>
      <c r="BG31" s="193">
        <f t="shared" si="5"/>
        <v>0</v>
      </c>
      <c r="BH31" s="307">
        <f t="shared" si="6"/>
        <v>70</v>
      </c>
      <c r="BI31" s="265">
        <f t="shared" si="24"/>
        <v>30</v>
      </c>
      <c r="BJ31" s="26" t="str">
        <f t="shared" si="7"/>
        <v>RENFREW CREEKChinook</v>
      </c>
      <c r="BK31" s="26">
        <f t="shared" si="8"/>
        <v>2</v>
      </c>
      <c r="BL31" s="33">
        <f t="shared" si="9"/>
        <v>44</v>
      </c>
      <c r="BQ31" s="47" t="str">
        <f t="shared" si="10"/>
        <v>RENFREW CREEKChinook</v>
      </c>
      <c r="BR31" s="49">
        <f t="shared" si="11"/>
        <v>0</v>
      </c>
      <c r="BS31" s="49">
        <f t="shared" si="12"/>
        <v>0</v>
      </c>
      <c r="BT31" s="31">
        <v>2016</v>
      </c>
      <c r="BU31" s="188" t="str">
        <f t="shared" si="13"/>
        <v>PFN</v>
      </c>
      <c r="BV31" s="188" t="str">
        <f t="shared" si="14"/>
        <v xml:space="preserve"> </v>
      </c>
      <c r="BW31" s="188" t="str">
        <f t="shared" si="15"/>
        <v>Nov 5-11</v>
      </c>
      <c r="BX31" s="188" t="str">
        <f t="shared" si="16"/>
        <v xml:space="preserve"> </v>
      </c>
      <c r="BY31" s="50" t="str">
        <f t="shared" si="17"/>
        <v>RENFREW CREEK_Chinook</v>
      </c>
      <c r="BZ31" s="50">
        <f>IFERROR(VLOOKUP(BY31,'[1]WCVI Esc'!$C$5:$W$555,18,FALSE),"-")</f>
        <v>57</v>
      </c>
      <c r="CA31" s="50">
        <f t="shared" si="18"/>
        <v>60</v>
      </c>
      <c r="CB31" s="50">
        <f>IFERROR(VLOOKUP(BY31,'[1]WCVI Esc'!$C$5:$W$555,19,FALSE),"-")</f>
        <v>29.75</v>
      </c>
      <c r="CC31" s="50">
        <f t="shared" si="19"/>
        <v>30</v>
      </c>
      <c r="CE31" s="342" t="str">
        <f t="shared" si="20"/>
        <v>RENFREW CREEK_Chinook</v>
      </c>
      <c r="CF31" s="341">
        <f>IFERROR(VLOOKUP(CE31,'RawPL+D'!$O$8:$AB$503,12,FALSE),"-")</f>
        <v>1</v>
      </c>
      <c r="CG31" s="338">
        <f t="shared" si="21"/>
        <v>0</v>
      </c>
      <c r="CH31" s="341">
        <f>IFERROR(VLOOKUP(CE31,'RawPL+D'!$O$8:$AB$503,13,FALSE),"-")</f>
        <v>73.5</v>
      </c>
      <c r="CI31" s="338">
        <f t="shared" si="22"/>
        <v>70</v>
      </c>
    </row>
    <row r="32" spans="1:87" ht="12.75" hidden="1" customHeight="1" x14ac:dyDescent="0.2">
      <c r="A32" s="28">
        <v>3</v>
      </c>
      <c r="B32" s="28">
        <v>6</v>
      </c>
      <c r="C32" s="11">
        <v>20</v>
      </c>
      <c r="D32" s="13" t="s">
        <v>291</v>
      </c>
      <c r="E32" s="10" t="s">
        <v>74</v>
      </c>
      <c r="F32" s="10" t="s">
        <v>211</v>
      </c>
      <c r="G32" s="10"/>
      <c r="H32" s="10"/>
      <c r="I32" s="10"/>
      <c r="J32" s="10"/>
      <c r="K32" s="575"/>
      <c r="L32" s="152"/>
      <c r="M32" s="422"/>
      <c r="N32" s="339"/>
      <c r="O32" s="62"/>
      <c r="P32" s="339"/>
      <c r="Q32" s="164"/>
      <c r="R32" s="339"/>
      <c r="S32" s="643">
        <v>0</v>
      </c>
      <c r="T32" s="63"/>
      <c r="U32" s="64"/>
      <c r="V32" s="641">
        <v>0</v>
      </c>
      <c r="W32" s="62"/>
      <c r="X32" s="62"/>
      <c r="Y32" s="62"/>
      <c r="Z32" s="64"/>
      <c r="AA32" s="164"/>
      <c r="AB32" s="62"/>
      <c r="AC32" s="62"/>
      <c r="AD32" s="64"/>
      <c r="AE32" s="164"/>
      <c r="AF32" s="62"/>
      <c r="AG32" s="62"/>
      <c r="AH32" s="337"/>
      <c r="AI32" s="337"/>
      <c r="AJ32" s="337"/>
      <c r="AK32" s="337"/>
      <c r="AL32" s="555"/>
      <c r="AM32" s="552"/>
      <c r="AN32" s="45"/>
      <c r="AO32" s="45"/>
      <c r="AP32" s="45"/>
      <c r="AQ32" s="67"/>
      <c r="AR32" s="100"/>
      <c r="AS32" s="100"/>
      <c r="AT32" s="100"/>
      <c r="AU32" s="100"/>
      <c r="AV32" s="100"/>
      <c r="AW32" s="18">
        <v>20</v>
      </c>
      <c r="AX32" s="69" t="s">
        <v>291</v>
      </c>
      <c r="AY32" s="243" t="s">
        <v>74</v>
      </c>
      <c r="AZ32" s="243" t="str">
        <f t="shared" si="0"/>
        <v>Steelhead</v>
      </c>
      <c r="BA32" s="243" t="s">
        <v>419</v>
      </c>
      <c r="BB32" s="244" t="s">
        <v>370</v>
      </c>
      <c r="BC32" s="43" t="str">
        <f t="shared" si="1"/>
        <v>Nov 5-11</v>
      </c>
      <c r="BD32" s="43">
        <f t="shared" si="2"/>
        <v>2</v>
      </c>
      <c r="BE32" s="193">
        <f t="shared" si="3"/>
        <v>0</v>
      </c>
      <c r="BF32" s="193">
        <f t="shared" si="4"/>
        <v>0</v>
      </c>
      <c r="BG32" s="193">
        <f t="shared" si="5"/>
        <v>0</v>
      </c>
      <c r="BH32" s="307" t="str">
        <f t="shared" si="6"/>
        <v>-</v>
      </c>
      <c r="BI32" s="265" t="str">
        <f t="shared" si="24"/>
        <v>-</v>
      </c>
      <c r="BJ32" s="26" t="str">
        <f t="shared" si="7"/>
        <v>RENFREW CREEKSteelhead</v>
      </c>
      <c r="BK32" s="26">
        <f t="shared" si="8"/>
        <v>2</v>
      </c>
      <c r="BL32" s="33">
        <f t="shared" si="9"/>
        <v>0</v>
      </c>
      <c r="BQ32" s="47" t="str">
        <f t="shared" si="10"/>
        <v>RENFREW CREEKSteelhead</v>
      </c>
      <c r="BR32" s="49">
        <f t="shared" si="11"/>
        <v>0</v>
      </c>
      <c r="BS32" s="49">
        <f t="shared" si="12"/>
        <v>0</v>
      </c>
      <c r="BT32" s="31">
        <v>0</v>
      </c>
      <c r="BU32" s="188" t="str">
        <f t="shared" si="13"/>
        <v>PFN</v>
      </c>
      <c r="BV32" s="188" t="str">
        <f t="shared" si="14"/>
        <v xml:space="preserve"> </v>
      </c>
      <c r="BW32" s="188" t="str">
        <f t="shared" si="15"/>
        <v>Nov 5-11</v>
      </c>
      <c r="BX32" s="188" t="str">
        <f t="shared" si="16"/>
        <v xml:space="preserve"> </v>
      </c>
      <c r="BY32" s="50" t="str">
        <f t="shared" si="17"/>
        <v>RENFREW CREEK_Steelhead</v>
      </c>
      <c r="BZ32" s="50" t="str">
        <f>IFERROR(VLOOKUP(BY32,'[1]WCVI Esc'!$C$5:$W$555,18,FALSE),"-")</f>
        <v>-</v>
      </c>
      <c r="CA32" s="50" t="str">
        <f t="shared" si="18"/>
        <v>-</v>
      </c>
      <c r="CB32" s="50" t="str">
        <f>IFERROR(VLOOKUP(BY32,'[1]WCVI Esc'!$C$5:$W$555,19,FALSE),"-")</f>
        <v>-</v>
      </c>
      <c r="CC32" s="50" t="str">
        <f t="shared" si="19"/>
        <v>-</v>
      </c>
      <c r="CE32" s="342" t="str">
        <f t="shared" si="20"/>
        <v>RENFREW CREEK_Steelhead</v>
      </c>
      <c r="CF32" s="341" t="str">
        <f>IFERROR(VLOOKUP(BY32,'RawPL+D'!$O$8:$AB$503,12,FALSE),"-")</f>
        <v>-</v>
      </c>
      <c r="CG32" s="338" t="str">
        <f t="shared" si="21"/>
        <v>-</v>
      </c>
      <c r="CH32" s="341" t="str">
        <f>IFERROR(VLOOKUP(BY32,'RawPL+D'!$O$8:$AB$503,13,FALSE),"-")</f>
        <v>-</v>
      </c>
      <c r="CI32" s="338" t="str">
        <f t="shared" si="22"/>
        <v>-</v>
      </c>
    </row>
    <row r="33" spans="1:87" ht="12.75" hidden="1" customHeight="1" x14ac:dyDescent="0.2">
      <c r="A33" s="29">
        <v>3</v>
      </c>
      <c r="B33" s="29">
        <v>1</v>
      </c>
      <c r="C33" s="13">
        <v>20</v>
      </c>
      <c r="D33" s="13" t="s">
        <v>291</v>
      </c>
      <c r="E33" s="10" t="s">
        <v>22</v>
      </c>
      <c r="F33" s="10" t="s">
        <v>207</v>
      </c>
      <c r="G33" s="61"/>
      <c r="H33" s="61"/>
      <c r="I33" s="61"/>
      <c r="J33" s="61"/>
      <c r="K33" s="578"/>
      <c r="L33" s="288"/>
      <c r="M33" s="164"/>
      <c r="N33" s="677"/>
      <c r="O33" s="677"/>
      <c r="P33" s="677"/>
      <c r="Q33" s="674">
        <v>26</v>
      </c>
      <c r="R33" s="643">
        <v>34</v>
      </c>
      <c r="S33" s="62"/>
      <c r="T33" s="642">
        <v>68</v>
      </c>
      <c r="U33" s="769">
        <v>5</v>
      </c>
      <c r="V33" s="164"/>
      <c r="W33" s="62"/>
      <c r="X33" s="62"/>
      <c r="Y33" s="62"/>
      <c r="Z33" s="64"/>
      <c r="AA33" s="164"/>
      <c r="AB33" s="62"/>
      <c r="AC33" s="62"/>
      <c r="AD33" s="64"/>
      <c r="AE33" s="164"/>
      <c r="AF33" s="62"/>
      <c r="AG33" s="62"/>
      <c r="AH33" s="337">
        <v>46</v>
      </c>
      <c r="AI33" s="337">
        <v>1</v>
      </c>
      <c r="AJ33" s="337">
        <v>0</v>
      </c>
      <c r="AK33" s="337">
        <v>0</v>
      </c>
      <c r="AL33" s="842">
        <v>46</v>
      </c>
      <c r="AM33" s="552">
        <v>47</v>
      </c>
      <c r="AN33" s="552" t="s">
        <v>765</v>
      </c>
      <c r="AO33" s="552" t="s">
        <v>483</v>
      </c>
      <c r="AP33" s="44"/>
      <c r="AQ33" s="396">
        <f>AL33/BI33</f>
        <v>0.30666666666666664</v>
      </c>
      <c r="AR33" s="100" t="e">
        <f>BL33/BH33</f>
        <v>#DIV/0!</v>
      </c>
      <c r="AS33" s="100">
        <f>BL33/BI33</f>
        <v>0.45333333333333331</v>
      </c>
      <c r="AT33" s="123"/>
      <c r="AU33" s="123"/>
      <c r="AV33" s="123"/>
      <c r="AW33" s="69">
        <v>20</v>
      </c>
      <c r="AX33" s="69" t="s">
        <v>291</v>
      </c>
      <c r="AY33" s="243" t="s">
        <v>22</v>
      </c>
      <c r="AZ33" s="243" t="str">
        <f t="shared" si="0"/>
        <v>Sockeye</v>
      </c>
      <c r="BA33" s="243" t="s">
        <v>420</v>
      </c>
      <c r="BB33" s="244" t="s">
        <v>530</v>
      </c>
      <c r="BC33" s="43" t="str">
        <f t="shared" si="1"/>
        <v>Oct 29-Nov4</v>
      </c>
      <c r="BD33" s="43">
        <f t="shared" si="2"/>
        <v>4</v>
      </c>
      <c r="BE33" s="193">
        <f t="shared" si="3"/>
        <v>68</v>
      </c>
      <c r="BF33" s="193">
        <f t="shared" si="4"/>
        <v>46</v>
      </c>
      <c r="BG33" s="193">
        <f t="shared" si="5"/>
        <v>46</v>
      </c>
      <c r="BH33" s="307">
        <f t="shared" si="6"/>
        <v>0</v>
      </c>
      <c r="BI33" s="265">
        <f t="shared" si="24"/>
        <v>150</v>
      </c>
      <c r="BJ33" s="26" t="str">
        <f t="shared" si="7"/>
        <v>SAN JUAN RIVERSockeye</v>
      </c>
      <c r="BK33" s="26">
        <f t="shared" si="8"/>
        <v>4</v>
      </c>
      <c r="BL33" s="33">
        <f t="shared" ref="BL33:BL38" si="25">MAX(K33:AA33)</f>
        <v>68</v>
      </c>
      <c r="BP33" s="34"/>
      <c r="BQ33" s="47" t="str">
        <f t="shared" si="10"/>
        <v>SAN JUAN RIVERSockeye</v>
      </c>
      <c r="BR33" s="49">
        <f t="shared" si="11"/>
        <v>0</v>
      </c>
      <c r="BS33" s="49">
        <f t="shared" si="12"/>
        <v>46</v>
      </c>
      <c r="BT33" s="31">
        <v>2016</v>
      </c>
      <c r="BU33" s="188" t="str">
        <f t="shared" si="13"/>
        <v>PFN/4Mile Crk</v>
      </c>
      <c r="BV33" s="188" t="str">
        <f t="shared" si="14"/>
        <v>Oct 1-7</v>
      </c>
      <c r="BW33" s="188" t="str">
        <f t="shared" si="15"/>
        <v>Oct 29-Nov4</v>
      </c>
      <c r="BX33" s="188" t="str">
        <f t="shared" si="16"/>
        <v xml:space="preserve"> </v>
      </c>
      <c r="BY33" s="50" t="str">
        <f t="shared" si="17"/>
        <v>SAN JUAN RIVER_Sockeye</v>
      </c>
      <c r="BZ33" s="50">
        <f>IFERROR(VLOOKUP(BY33,'[1]WCVI Esc'!$C$5:$W$555,18,FALSE),"-")</f>
        <v>9</v>
      </c>
      <c r="CA33" s="50">
        <f t="shared" si="18"/>
        <v>10</v>
      </c>
      <c r="CB33" s="50">
        <f>IFERROR(VLOOKUP(BY33,'[1]WCVI Esc'!$C$5:$W$555,19,FALSE),"-")</f>
        <v>151.66666666666666</v>
      </c>
      <c r="CC33" s="50">
        <f t="shared" si="19"/>
        <v>150</v>
      </c>
      <c r="CE33" s="342" t="str">
        <f t="shared" si="20"/>
        <v>SAN JUAN RIVER_Sockeye</v>
      </c>
      <c r="CF33" s="341">
        <f>IFERROR(VLOOKUP(CE33,'RawPL+D'!$O$8:$AB$503,12,FALSE),"-")</f>
        <v>8</v>
      </c>
      <c r="CG33" s="338">
        <f t="shared" si="21"/>
        <v>10</v>
      </c>
      <c r="CH33" s="341">
        <f>IFERROR(VLOOKUP(CE33,'RawPL+D'!$O$8:$AB$503,13,FALSE),"-")</f>
        <v>4</v>
      </c>
      <c r="CI33" s="338">
        <f t="shared" si="22"/>
        <v>0</v>
      </c>
    </row>
    <row r="34" spans="1:87" ht="12.75" hidden="1" customHeight="1" x14ac:dyDescent="0.2">
      <c r="A34" s="29">
        <v>3</v>
      </c>
      <c r="B34" s="29">
        <v>2</v>
      </c>
      <c r="C34" s="13">
        <v>20</v>
      </c>
      <c r="D34" s="13" t="s">
        <v>291</v>
      </c>
      <c r="E34" s="10" t="s">
        <v>22</v>
      </c>
      <c r="F34" s="10" t="s">
        <v>219</v>
      </c>
      <c r="G34" s="21"/>
      <c r="H34" s="21"/>
      <c r="I34" s="21"/>
      <c r="J34" s="21"/>
      <c r="K34" s="579"/>
      <c r="L34" s="64"/>
      <c r="M34" s="164"/>
      <c r="N34" s="677"/>
      <c r="O34" s="677"/>
      <c r="P34" s="703"/>
      <c r="Q34" s="674">
        <v>372</v>
      </c>
      <c r="R34" s="643">
        <v>1461</v>
      </c>
      <c r="S34" s="432"/>
      <c r="T34" s="646">
        <f>1143</f>
        <v>1143</v>
      </c>
      <c r="U34" s="770">
        <f>1639+1</f>
        <v>1640</v>
      </c>
      <c r="V34" s="164"/>
      <c r="W34" s="62"/>
      <c r="X34" s="63"/>
      <c r="Y34" s="62"/>
      <c r="Z34" s="64"/>
      <c r="AA34" s="164"/>
      <c r="AB34" s="62"/>
      <c r="AC34" s="62"/>
      <c r="AD34" s="64"/>
      <c r="AE34" s="164"/>
      <c r="AF34" s="62"/>
      <c r="AG34" s="62"/>
      <c r="AH34" s="337">
        <v>1844</v>
      </c>
      <c r="AI34" s="337">
        <v>102</v>
      </c>
      <c r="AJ34" s="337">
        <v>0</v>
      </c>
      <c r="AK34" s="337">
        <v>0</v>
      </c>
      <c r="AL34" s="555">
        <v>1844</v>
      </c>
      <c r="AM34" s="552">
        <v>1946</v>
      </c>
      <c r="AN34" s="552" t="s">
        <v>765</v>
      </c>
      <c r="AO34" s="552" t="s">
        <v>485</v>
      </c>
      <c r="AP34" s="44"/>
      <c r="AQ34" s="396">
        <f>AL34/BI34</f>
        <v>0.4097777777777778</v>
      </c>
      <c r="AR34" s="100">
        <f>BL34/BH34</f>
        <v>0.91111111111111109</v>
      </c>
      <c r="AS34" s="100">
        <f>BL34/BI34</f>
        <v>0.36444444444444446</v>
      </c>
      <c r="AT34" s="123"/>
      <c r="AU34" s="123"/>
      <c r="AV34" s="123"/>
      <c r="AW34" s="69">
        <v>20</v>
      </c>
      <c r="AX34" s="69" t="s">
        <v>291</v>
      </c>
      <c r="AY34" s="243" t="s">
        <v>22</v>
      </c>
      <c r="AZ34" s="243" t="str">
        <f t="shared" si="0"/>
        <v>Coho</v>
      </c>
      <c r="BA34" s="243" t="s">
        <v>420</v>
      </c>
      <c r="BB34" s="244" t="s">
        <v>530</v>
      </c>
      <c r="BC34" s="43" t="str">
        <f t="shared" si="1"/>
        <v>Oct 29-Nov4</v>
      </c>
      <c r="BD34" s="43">
        <f t="shared" si="2"/>
        <v>4</v>
      </c>
      <c r="BE34" s="193">
        <f t="shared" si="3"/>
        <v>1640</v>
      </c>
      <c r="BF34" s="193">
        <f t="shared" si="4"/>
        <v>1844</v>
      </c>
      <c r="BG34" s="193">
        <f t="shared" si="5"/>
        <v>1844</v>
      </c>
      <c r="BH34" s="307">
        <f t="shared" si="6"/>
        <v>1800</v>
      </c>
      <c r="BI34" s="265">
        <f t="shared" si="24"/>
        <v>4500</v>
      </c>
      <c r="BJ34" s="26" t="str">
        <f t="shared" si="7"/>
        <v>SAN JUAN RIVERCoho</v>
      </c>
      <c r="BK34" s="26">
        <f t="shared" si="8"/>
        <v>4</v>
      </c>
      <c r="BL34" s="33">
        <f t="shared" si="25"/>
        <v>1640</v>
      </c>
      <c r="BP34" s="34"/>
      <c r="BQ34" s="47" t="str">
        <f t="shared" si="10"/>
        <v>SAN JUAN RIVERCoho</v>
      </c>
      <c r="BR34" s="49">
        <f t="shared" si="11"/>
        <v>0</v>
      </c>
      <c r="BS34" s="49">
        <f t="shared" si="12"/>
        <v>1844</v>
      </c>
      <c r="BT34" s="31">
        <v>2016</v>
      </c>
      <c r="BU34" s="188" t="str">
        <f t="shared" si="13"/>
        <v>PFN/4Mile Crk</v>
      </c>
      <c r="BV34" s="188" t="str">
        <f t="shared" si="14"/>
        <v>Oct 1-7</v>
      </c>
      <c r="BW34" s="188" t="str">
        <f t="shared" si="15"/>
        <v>Oct 29-Nov4</v>
      </c>
      <c r="BX34" s="188" t="str">
        <f t="shared" si="16"/>
        <v xml:space="preserve"> </v>
      </c>
      <c r="BY34" s="50" t="str">
        <f t="shared" si="17"/>
        <v>SAN JUAN RIVER_Coho</v>
      </c>
      <c r="BZ34" s="50">
        <f>IFERROR(VLOOKUP(BY34,'[1]WCVI Esc'!$C$5:$W$555,18,FALSE),"-")</f>
        <v>2263.5</v>
      </c>
      <c r="CA34" s="50">
        <f t="shared" si="18"/>
        <v>2260</v>
      </c>
      <c r="CB34" s="50">
        <f>IFERROR(VLOOKUP(BY34,'[1]WCVI Esc'!$C$5:$W$555,19,FALSE),"-")</f>
        <v>4498.833333333333</v>
      </c>
      <c r="CC34" s="50">
        <f t="shared" si="19"/>
        <v>4500</v>
      </c>
      <c r="CE34" s="342" t="str">
        <f t="shared" si="20"/>
        <v>SAN JUAN RIVER_Coho</v>
      </c>
      <c r="CF34" s="341">
        <f>IFERROR(VLOOKUP(CE34,'RawPL+D'!$O$8:$AB$503,12,FALSE),"-")</f>
        <v>1332</v>
      </c>
      <c r="CG34" s="338">
        <f t="shared" si="21"/>
        <v>1330</v>
      </c>
      <c r="CH34" s="341">
        <f>IFERROR(VLOOKUP(CE34,'RawPL+D'!$O$8:$AB$503,13,FALSE),"-")</f>
        <v>1804.6666666666667</v>
      </c>
      <c r="CI34" s="338">
        <f t="shared" si="22"/>
        <v>1800</v>
      </c>
    </row>
    <row r="35" spans="1:87" ht="12.75" hidden="1" customHeight="1" x14ac:dyDescent="0.2">
      <c r="A35" s="102">
        <v>3</v>
      </c>
      <c r="B35" s="104">
        <v>3</v>
      </c>
      <c r="C35" s="105">
        <v>20</v>
      </c>
      <c r="D35" s="105" t="s">
        <v>291</v>
      </c>
      <c r="E35" s="61" t="s">
        <v>22</v>
      </c>
      <c r="F35" s="61" t="s">
        <v>208</v>
      </c>
      <c r="G35" s="61"/>
      <c r="H35" s="61"/>
      <c r="I35" s="61"/>
      <c r="J35" s="61"/>
      <c r="K35" s="575"/>
      <c r="L35" s="64"/>
      <c r="M35" s="164"/>
      <c r="N35" s="677"/>
      <c r="O35" s="677"/>
      <c r="P35" s="677"/>
      <c r="Q35" s="674">
        <v>0</v>
      </c>
      <c r="R35" s="643">
        <v>1</v>
      </c>
      <c r="S35" s="62"/>
      <c r="T35" s="642">
        <v>0</v>
      </c>
      <c r="U35" s="771">
        <v>0</v>
      </c>
      <c r="V35" s="164"/>
      <c r="W35" s="62"/>
      <c r="X35" s="62"/>
      <c r="Y35" s="62"/>
      <c r="Z35" s="64"/>
      <c r="AA35" s="164"/>
      <c r="AB35" s="62"/>
      <c r="AC35" s="62"/>
      <c r="AD35" s="64"/>
      <c r="AE35" s="164"/>
      <c r="AF35" s="62"/>
      <c r="AG35" s="62"/>
      <c r="AH35" s="337"/>
      <c r="AI35" s="337"/>
      <c r="AJ35" s="337"/>
      <c r="AK35" s="337"/>
      <c r="AL35" s="850" t="s">
        <v>770</v>
      </c>
      <c r="AM35" s="567"/>
      <c r="AN35" s="46"/>
      <c r="AO35" s="45"/>
      <c r="AP35" s="44"/>
      <c r="AQ35" s="67"/>
      <c r="AR35" s="100" t="e">
        <f>BL35/BH35</f>
        <v>#DIV/0!</v>
      </c>
      <c r="AS35" s="100">
        <f>BL35/BI35</f>
        <v>2.5000000000000001E-2</v>
      </c>
      <c r="AT35" s="123"/>
      <c r="AU35" s="123"/>
      <c r="AV35" s="123"/>
      <c r="AW35" s="69">
        <v>20</v>
      </c>
      <c r="AX35" s="69" t="s">
        <v>291</v>
      </c>
      <c r="AY35" s="243" t="s">
        <v>22</v>
      </c>
      <c r="AZ35" s="243" t="str">
        <f t="shared" si="0"/>
        <v>Pink</v>
      </c>
      <c r="BA35" s="243" t="s">
        <v>420</v>
      </c>
      <c r="BB35" s="244" t="s">
        <v>530</v>
      </c>
      <c r="BC35" s="43" t="str">
        <f t="shared" si="1"/>
        <v>Oct 29-Nov4</v>
      </c>
      <c r="BD35" s="43">
        <f t="shared" si="2"/>
        <v>4</v>
      </c>
      <c r="BE35" s="193">
        <f t="shared" si="3"/>
        <v>1</v>
      </c>
      <c r="BF35" s="193" t="str">
        <f t="shared" si="4"/>
        <v>NO</v>
      </c>
      <c r="BG35" s="193">
        <f t="shared" si="5"/>
        <v>0</v>
      </c>
      <c r="BH35" s="307">
        <f t="shared" si="6"/>
        <v>0</v>
      </c>
      <c r="BI35" s="265">
        <f t="shared" si="24"/>
        <v>40</v>
      </c>
      <c r="BJ35" s="26" t="str">
        <f t="shared" si="7"/>
        <v>SAN JUAN RIVERPink</v>
      </c>
      <c r="BK35" s="26">
        <f t="shared" si="8"/>
        <v>4</v>
      </c>
      <c r="BL35" s="33">
        <f t="shared" si="25"/>
        <v>1</v>
      </c>
      <c r="BP35" s="34"/>
      <c r="BQ35" s="47" t="str">
        <f t="shared" si="10"/>
        <v>SAN JUAN RIVERPink</v>
      </c>
      <c r="BR35" s="49">
        <f t="shared" si="11"/>
        <v>0</v>
      </c>
      <c r="BS35" s="49" t="str">
        <f t="shared" si="12"/>
        <v>NO</v>
      </c>
      <c r="BT35" s="31">
        <v>2016</v>
      </c>
      <c r="BU35" s="188" t="str">
        <f t="shared" si="13"/>
        <v>PFN/4Mile Crk</v>
      </c>
      <c r="BV35" s="188" t="str">
        <f t="shared" si="14"/>
        <v>Oct 1-7</v>
      </c>
      <c r="BW35" s="188" t="str">
        <f t="shared" si="15"/>
        <v>Oct 29-Nov4</v>
      </c>
      <c r="BX35" s="188" t="str">
        <f t="shared" si="16"/>
        <v xml:space="preserve"> </v>
      </c>
      <c r="BY35" s="50" t="str">
        <f t="shared" si="17"/>
        <v>SAN JUAN RIVER_Pink</v>
      </c>
      <c r="BZ35" s="50" t="str">
        <f>IFERROR(VLOOKUP(BY35,'[1]WCVI Esc'!$C$5:$W$555,18,FALSE),"-")</f>
        <v>-</v>
      </c>
      <c r="CA35" s="50" t="str">
        <f t="shared" si="18"/>
        <v>-</v>
      </c>
      <c r="CB35" s="50">
        <f>IFERROR(VLOOKUP(BY35,'[1]WCVI Esc'!$C$5:$W$555,19,FALSE),"-")</f>
        <v>43.666666666666664</v>
      </c>
      <c r="CC35" s="50">
        <f t="shared" si="19"/>
        <v>40</v>
      </c>
      <c r="CE35" s="342" t="str">
        <f t="shared" si="20"/>
        <v>SAN JUAN RIVER_Pink</v>
      </c>
      <c r="CF35" s="341">
        <f>IFERROR(VLOOKUP(CE35,'RawPL+D'!$O$8:$AB$503,12,FALSE),"-")</f>
        <v>0</v>
      </c>
      <c r="CG35" s="338">
        <f t="shared" si="21"/>
        <v>0</v>
      </c>
      <c r="CH35" s="341">
        <f>IFERROR(VLOOKUP(CE35,'RawPL+D'!$O$8:$AB$503,13,FALSE),"-")</f>
        <v>0</v>
      </c>
      <c r="CI35" s="338">
        <f t="shared" si="22"/>
        <v>0</v>
      </c>
    </row>
    <row r="36" spans="1:87" ht="12.75" hidden="1" customHeight="1" x14ac:dyDescent="0.2">
      <c r="A36" s="29">
        <v>3</v>
      </c>
      <c r="B36" s="29">
        <v>4</v>
      </c>
      <c r="C36" s="13">
        <v>20</v>
      </c>
      <c r="D36" s="147" t="s">
        <v>291</v>
      </c>
      <c r="E36" s="21" t="s">
        <v>22</v>
      </c>
      <c r="F36" s="10" t="s">
        <v>209</v>
      </c>
      <c r="G36" s="21"/>
      <c r="H36" s="21"/>
      <c r="I36" s="21"/>
      <c r="J36" s="21"/>
      <c r="K36" s="579"/>
      <c r="L36" s="64"/>
      <c r="M36" s="164"/>
      <c r="N36" s="677"/>
      <c r="O36" s="677"/>
      <c r="P36" s="677"/>
      <c r="Q36" s="674">
        <v>6</v>
      </c>
      <c r="R36" s="643">
        <v>5</v>
      </c>
      <c r="S36" s="62"/>
      <c r="T36" s="642">
        <v>168</v>
      </c>
      <c r="U36" s="770">
        <f>408+1</f>
        <v>409</v>
      </c>
      <c r="V36" s="164"/>
      <c r="W36" s="62"/>
      <c r="X36" s="63"/>
      <c r="Y36" s="62"/>
      <c r="Z36" s="64"/>
      <c r="AA36" s="164"/>
      <c r="AB36" s="62"/>
      <c r="AC36" s="62"/>
      <c r="AD36" s="64"/>
      <c r="AE36" s="164"/>
      <c r="AF36" s="62"/>
      <c r="AG36" s="62"/>
      <c r="AH36" s="337">
        <v>454</v>
      </c>
      <c r="AI36" s="337">
        <v>0</v>
      </c>
      <c r="AJ36" s="337">
        <v>0</v>
      </c>
      <c r="AK36" s="337">
        <v>0</v>
      </c>
      <c r="AL36" s="556">
        <v>454</v>
      </c>
      <c r="AM36" s="567">
        <v>454</v>
      </c>
      <c r="AN36" s="552" t="s">
        <v>765</v>
      </c>
      <c r="AO36" s="552" t="s">
        <v>485</v>
      </c>
      <c r="AP36" s="44"/>
      <c r="AQ36" s="396">
        <f>AL36/BI36</f>
        <v>0.66764705882352937</v>
      </c>
      <c r="AR36" s="100">
        <f>BL36/BH36</f>
        <v>4.09</v>
      </c>
      <c r="AS36" s="100">
        <f>BL36/BI36</f>
        <v>0.60147058823529409</v>
      </c>
      <c r="AT36" s="123"/>
      <c r="AU36" s="123"/>
      <c r="AV36" s="123"/>
      <c r="AW36" s="69">
        <v>20</v>
      </c>
      <c r="AX36" s="69" t="s">
        <v>291</v>
      </c>
      <c r="AY36" s="243" t="s">
        <v>22</v>
      </c>
      <c r="AZ36" s="243" t="str">
        <f t="shared" si="0"/>
        <v>Chum</v>
      </c>
      <c r="BA36" s="243" t="s">
        <v>420</v>
      </c>
      <c r="BB36" s="244" t="s">
        <v>530</v>
      </c>
      <c r="BC36" s="43" t="str">
        <f t="shared" si="1"/>
        <v>Oct 29-Nov4</v>
      </c>
      <c r="BD36" s="43">
        <f t="shared" si="2"/>
        <v>4</v>
      </c>
      <c r="BE36" s="193">
        <f t="shared" si="3"/>
        <v>409</v>
      </c>
      <c r="BF36" s="193">
        <f t="shared" si="4"/>
        <v>454</v>
      </c>
      <c r="BG36" s="193">
        <f t="shared" si="5"/>
        <v>454</v>
      </c>
      <c r="BH36" s="307">
        <f t="shared" si="6"/>
        <v>100</v>
      </c>
      <c r="BI36" s="265">
        <f t="shared" si="24"/>
        <v>680</v>
      </c>
      <c r="BJ36" s="26" t="str">
        <f t="shared" si="7"/>
        <v>SAN JUAN RIVERChum</v>
      </c>
      <c r="BK36" s="26">
        <f t="shared" si="8"/>
        <v>4</v>
      </c>
      <c r="BL36" s="33">
        <f t="shared" si="25"/>
        <v>409</v>
      </c>
      <c r="BP36" s="34"/>
      <c r="BQ36" s="47" t="str">
        <f t="shared" si="10"/>
        <v>SAN JUAN RIVERChum</v>
      </c>
      <c r="BR36" s="49">
        <f t="shared" si="11"/>
        <v>0</v>
      </c>
      <c r="BS36" s="49">
        <f t="shared" si="12"/>
        <v>454</v>
      </c>
      <c r="BT36" s="31">
        <v>2016</v>
      </c>
      <c r="BU36" s="188" t="str">
        <f t="shared" si="13"/>
        <v>PFN/4Mile Crk</v>
      </c>
      <c r="BV36" s="188" t="str">
        <f t="shared" si="14"/>
        <v>Oct 1-7</v>
      </c>
      <c r="BW36" s="188" t="str">
        <f t="shared" si="15"/>
        <v>Oct 29-Nov4</v>
      </c>
      <c r="BX36" s="188" t="str">
        <f t="shared" si="16"/>
        <v xml:space="preserve"> </v>
      </c>
      <c r="BY36" s="50" t="str">
        <f t="shared" si="17"/>
        <v>SAN JUAN RIVER_Chum</v>
      </c>
      <c r="BZ36" s="50">
        <f>IFERROR(VLOOKUP(BY36,'[1]WCVI Esc'!$C$5:$W$555,18,FALSE),"-")</f>
        <v>100.66666666666667</v>
      </c>
      <c r="CA36" s="50">
        <f t="shared" si="18"/>
        <v>100</v>
      </c>
      <c r="CB36" s="50">
        <f>IFERROR(VLOOKUP(BY36,'[1]WCVI Esc'!$C$5:$W$555,19,FALSE),"-")</f>
        <v>676</v>
      </c>
      <c r="CC36" s="50">
        <f t="shared" si="19"/>
        <v>680</v>
      </c>
      <c r="CE36" s="342" t="str">
        <f t="shared" si="20"/>
        <v>SAN JUAN RIVER_Chum</v>
      </c>
      <c r="CF36" s="341">
        <f>IFERROR(VLOOKUP(CE36,'RawPL+D'!$O$8:$AB$503,12,FALSE),"-")</f>
        <v>135</v>
      </c>
      <c r="CG36" s="338">
        <f t="shared" si="21"/>
        <v>140</v>
      </c>
      <c r="CH36" s="341">
        <f>IFERROR(VLOOKUP(CE36,'RawPL+D'!$O$8:$AB$503,13,FALSE),"-")</f>
        <v>95</v>
      </c>
      <c r="CI36" s="338">
        <f t="shared" si="22"/>
        <v>100</v>
      </c>
    </row>
    <row r="37" spans="1:87" ht="12.75" hidden="1" customHeight="1" x14ac:dyDescent="0.2">
      <c r="A37" s="29">
        <v>3</v>
      </c>
      <c r="B37" s="29">
        <v>5</v>
      </c>
      <c r="C37" s="13">
        <v>20</v>
      </c>
      <c r="D37" s="147" t="s">
        <v>291</v>
      </c>
      <c r="E37" s="21" t="s">
        <v>22</v>
      </c>
      <c r="F37" s="10" t="s">
        <v>210</v>
      </c>
      <c r="G37" s="10"/>
      <c r="H37" s="10"/>
      <c r="I37" s="10"/>
      <c r="J37" s="10"/>
      <c r="K37" s="575"/>
      <c r="L37" s="64"/>
      <c r="M37" s="164"/>
      <c r="N37" s="677"/>
      <c r="O37" s="704"/>
      <c r="P37" s="704"/>
      <c r="Q37" s="674">
        <v>2642</v>
      </c>
      <c r="R37" s="705">
        <v>933</v>
      </c>
      <c r="S37" s="390"/>
      <c r="T37" s="676">
        <f>19+6</f>
        <v>25</v>
      </c>
      <c r="U37" s="772">
        <f>21+27</f>
        <v>48</v>
      </c>
      <c r="V37" s="164"/>
      <c r="W37" s="62"/>
      <c r="X37" s="62"/>
      <c r="Y37" s="62"/>
      <c r="Z37" s="64"/>
      <c r="AA37" s="164"/>
      <c r="AB37" s="62"/>
      <c r="AC37" s="62"/>
      <c r="AD37" s="64"/>
      <c r="AE37" s="164"/>
      <c r="AF37" s="62"/>
      <c r="AG37" s="62"/>
      <c r="AH37" s="337">
        <v>2642</v>
      </c>
      <c r="AI37" s="337">
        <v>67</v>
      </c>
      <c r="AJ37" s="840">
        <v>0</v>
      </c>
      <c r="AK37" s="337">
        <v>0</v>
      </c>
      <c r="AL37" s="555">
        <v>2642</v>
      </c>
      <c r="AM37" s="552">
        <v>67</v>
      </c>
      <c r="AN37" s="552">
        <v>2709</v>
      </c>
      <c r="AO37" s="552" t="s">
        <v>485</v>
      </c>
      <c r="AP37" s="44"/>
      <c r="AQ37" s="396">
        <f>AL37/BI37</f>
        <v>2.2581196581196581</v>
      </c>
      <c r="AR37" s="100">
        <f>BL37/BH37</f>
        <v>3.7742857142857145</v>
      </c>
      <c r="AS37" s="100">
        <f>BL37/BI37</f>
        <v>2.2581196581196581</v>
      </c>
      <c r="AT37" s="123">
        <v>2878</v>
      </c>
      <c r="AU37" s="123">
        <v>847</v>
      </c>
      <c r="AV37" s="123">
        <f>AL37</f>
        <v>2642</v>
      </c>
      <c r="AW37" s="69">
        <v>20</v>
      </c>
      <c r="AX37" s="69" t="s">
        <v>291</v>
      </c>
      <c r="AY37" s="243" t="s">
        <v>22</v>
      </c>
      <c r="AZ37" s="243" t="str">
        <f t="shared" si="0"/>
        <v>Chinook</v>
      </c>
      <c r="BA37" s="243" t="s">
        <v>420</v>
      </c>
      <c r="BB37" s="244" t="s">
        <v>530</v>
      </c>
      <c r="BC37" s="43" t="str">
        <f t="shared" si="1"/>
        <v>Oct 29-Nov4</v>
      </c>
      <c r="BD37" s="43">
        <f t="shared" si="2"/>
        <v>4</v>
      </c>
      <c r="BE37" s="193">
        <f t="shared" si="3"/>
        <v>2642</v>
      </c>
      <c r="BF37" s="193">
        <f t="shared" si="4"/>
        <v>2642</v>
      </c>
      <c r="BG37" s="193">
        <f t="shared" si="5"/>
        <v>2642</v>
      </c>
      <c r="BH37" s="307">
        <f t="shared" si="6"/>
        <v>700</v>
      </c>
      <c r="BI37" s="265">
        <f t="shared" si="24"/>
        <v>1170</v>
      </c>
      <c r="BJ37" s="26" t="str">
        <f t="shared" si="7"/>
        <v>SAN JUAN RIVERChinook</v>
      </c>
      <c r="BK37" s="26">
        <f t="shared" si="8"/>
        <v>4</v>
      </c>
      <c r="BL37" s="33">
        <f t="shared" si="25"/>
        <v>2642</v>
      </c>
      <c r="BP37" s="34"/>
      <c r="BQ37" s="47" t="str">
        <f t="shared" si="10"/>
        <v>SAN JUAN RIVERChinook</v>
      </c>
      <c r="BR37" s="49">
        <f t="shared" si="11"/>
        <v>0</v>
      </c>
      <c r="BS37" s="49">
        <f t="shared" si="12"/>
        <v>2642</v>
      </c>
      <c r="BT37" s="31">
        <v>2016</v>
      </c>
      <c r="BU37" s="188" t="str">
        <f t="shared" si="13"/>
        <v>PFN/4Mile Crk</v>
      </c>
      <c r="BV37" s="188" t="str">
        <f t="shared" si="14"/>
        <v>Oct 1-7</v>
      </c>
      <c r="BW37" s="188" t="str">
        <f t="shared" si="15"/>
        <v>Oct 29-Nov4</v>
      </c>
      <c r="BX37" s="188" t="str">
        <f t="shared" si="16"/>
        <v xml:space="preserve"> </v>
      </c>
      <c r="BY37" s="50" t="str">
        <f t="shared" si="17"/>
        <v>SAN JUAN RIVER_Chinook</v>
      </c>
      <c r="BZ37" s="50">
        <f>IFERROR(VLOOKUP(BY37,'[1]WCVI Esc'!$C$5:$W$555,18,FALSE),"-")</f>
        <v>832.5</v>
      </c>
      <c r="CA37" s="50">
        <f t="shared" si="18"/>
        <v>830</v>
      </c>
      <c r="CB37" s="50">
        <f>IFERROR(VLOOKUP(BY37,'[1]WCVI Esc'!$C$5:$W$555,19,FALSE),"-")</f>
        <v>1172.25</v>
      </c>
      <c r="CC37" s="50">
        <f t="shared" si="19"/>
        <v>1170</v>
      </c>
      <c r="CE37" s="342" t="str">
        <f t="shared" si="20"/>
        <v>SAN JUAN RIVER_Chinook</v>
      </c>
      <c r="CF37" s="341">
        <f>IFERROR(VLOOKUP(CE37,'RawPL+D'!$O$8:$AB$503,12,FALSE),"-")</f>
        <v>592</v>
      </c>
      <c r="CG37" s="338">
        <f t="shared" si="21"/>
        <v>590</v>
      </c>
      <c r="CH37" s="341">
        <f>IFERROR(VLOOKUP(CE37,'RawPL+D'!$O$8:$AB$503,13,FALSE),"-")</f>
        <v>698.33333333333337</v>
      </c>
      <c r="CI37" s="338">
        <f t="shared" si="22"/>
        <v>700</v>
      </c>
    </row>
    <row r="38" spans="1:87" ht="12.75" hidden="1" customHeight="1" x14ac:dyDescent="0.2">
      <c r="A38" s="29">
        <v>3</v>
      </c>
      <c r="B38" s="29">
        <v>6</v>
      </c>
      <c r="C38" s="13">
        <v>20</v>
      </c>
      <c r="D38" s="147" t="s">
        <v>291</v>
      </c>
      <c r="E38" s="21" t="s">
        <v>22</v>
      </c>
      <c r="F38" s="21" t="s">
        <v>211</v>
      </c>
      <c r="G38" s="21"/>
      <c r="H38" s="21"/>
      <c r="I38" s="21"/>
      <c r="J38" s="21"/>
      <c r="K38" s="579"/>
      <c r="L38" s="64"/>
      <c r="M38" s="164"/>
      <c r="N38" s="677"/>
      <c r="O38" s="677"/>
      <c r="P38" s="677"/>
      <c r="Q38" s="674">
        <v>22</v>
      </c>
      <c r="R38" s="643">
        <v>8</v>
      </c>
      <c r="S38" s="62"/>
      <c r="T38" s="642">
        <v>1</v>
      </c>
      <c r="U38" s="771">
        <v>9</v>
      </c>
      <c r="V38" s="164"/>
      <c r="W38" s="62"/>
      <c r="X38" s="62"/>
      <c r="Y38" s="62"/>
      <c r="Z38" s="64"/>
      <c r="AA38" s="164"/>
      <c r="AB38" s="62"/>
      <c r="AC38" s="62"/>
      <c r="AD38" s="64"/>
      <c r="AE38" s="164"/>
      <c r="AF38" s="62"/>
      <c r="AG38" s="62"/>
      <c r="AH38" s="337"/>
      <c r="AI38" s="337"/>
      <c r="AJ38" s="337"/>
      <c r="AK38" s="337"/>
      <c r="AL38" s="555"/>
      <c r="AM38" s="552"/>
      <c r="AN38" s="45"/>
      <c r="AO38" s="45"/>
      <c r="AP38" s="44"/>
      <c r="AQ38" s="67"/>
      <c r="AR38"/>
      <c r="AS38"/>
      <c r="AT38" s="123"/>
      <c r="AU38" s="123"/>
      <c r="AV38" s="123"/>
      <c r="AW38" s="69">
        <v>20</v>
      </c>
      <c r="AX38" s="69" t="s">
        <v>291</v>
      </c>
      <c r="AY38" s="243" t="s">
        <v>22</v>
      </c>
      <c r="AZ38" s="243" t="str">
        <f t="shared" si="0"/>
        <v>Steelhead</v>
      </c>
      <c r="BA38" s="243" t="s">
        <v>420</v>
      </c>
      <c r="BB38" s="244" t="s">
        <v>530</v>
      </c>
      <c r="BC38" s="43" t="str">
        <f t="shared" si="1"/>
        <v>Oct 29-Nov4</v>
      </c>
      <c r="BD38" s="43">
        <f t="shared" si="2"/>
        <v>4</v>
      </c>
      <c r="BE38" s="193">
        <f t="shared" si="3"/>
        <v>22</v>
      </c>
      <c r="BF38" s="193">
        <f t="shared" si="4"/>
        <v>0</v>
      </c>
      <c r="BG38" s="193">
        <f t="shared" si="5"/>
        <v>0</v>
      </c>
      <c r="BH38" s="307" t="str">
        <f t="shared" si="6"/>
        <v>-</v>
      </c>
      <c r="BI38" s="265" t="str">
        <f t="shared" si="24"/>
        <v>-</v>
      </c>
      <c r="BJ38" s="26" t="str">
        <f t="shared" si="7"/>
        <v>SAN JUAN RIVERSteelhead</v>
      </c>
      <c r="BK38" s="26">
        <f t="shared" si="8"/>
        <v>4</v>
      </c>
      <c r="BL38" s="33">
        <f t="shared" si="25"/>
        <v>22</v>
      </c>
      <c r="BP38" s="34"/>
      <c r="BQ38" s="47" t="str">
        <f t="shared" si="10"/>
        <v>SAN JUAN RIVERSteelhead</v>
      </c>
      <c r="BR38" s="49">
        <f t="shared" si="11"/>
        <v>0</v>
      </c>
      <c r="BS38" s="49">
        <f t="shared" si="12"/>
        <v>0</v>
      </c>
      <c r="BT38" s="31">
        <v>0</v>
      </c>
      <c r="BU38" s="188" t="str">
        <f t="shared" si="13"/>
        <v>PFN/4Mile Crk</v>
      </c>
      <c r="BV38" s="188" t="str">
        <f t="shared" si="14"/>
        <v>Oct 1-7</v>
      </c>
      <c r="BW38" s="188" t="str">
        <f t="shared" si="15"/>
        <v>Oct 29-Nov4</v>
      </c>
      <c r="BX38" s="188" t="str">
        <f t="shared" si="16"/>
        <v xml:space="preserve"> </v>
      </c>
      <c r="BY38" s="50" t="str">
        <f t="shared" si="17"/>
        <v>SAN JUAN RIVER_Steelhead</v>
      </c>
      <c r="BZ38" s="50" t="str">
        <f>IFERROR(VLOOKUP(BY38,'[1]WCVI Esc'!$C$5:$W$555,18,FALSE),"-")</f>
        <v>-</v>
      </c>
      <c r="CA38" s="50" t="str">
        <f t="shared" si="18"/>
        <v>-</v>
      </c>
      <c r="CB38" s="50" t="str">
        <f>IFERROR(VLOOKUP(BY38,'[1]WCVI Esc'!$C$5:$W$555,19,FALSE),"-")</f>
        <v>-</v>
      </c>
      <c r="CC38" s="50" t="str">
        <f t="shared" si="19"/>
        <v>-</v>
      </c>
      <c r="CE38" s="342" t="str">
        <f t="shared" si="20"/>
        <v>SAN JUAN RIVER_Steelhead</v>
      </c>
      <c r="CF38" s="341" t="str">
        <f>IFERROR(VLOOKUP(BY38,'RawPL+D'!$O$8:$AB$503,12,FALSE),"-")</f>
        <v>-</v>
      </c>
      <c r="CG38" s="338" t="str">
        <f t="shared" si="21"/>
        <v>-</v>
      </c>
      <c r="CH38" s="341" t="str">
        <f>IFERROR(VLOOKUP(BY38,'RawPL+D'!$O$8:$AB$503,13,FALSE),"-")</f>
        <v>-</v>
      </c>
      <c r="CI38" s="338" t="str">
        <f t="shared" si="22"/>
        <v>-</v>
      </c>
    </row>
    <row r="39" spans="1:87" ht="12.75" hidden="1" customHeight="1" x14ac:dyDescent="0.2">
      <c r="A39" s="28">
        <v>4</v>
      </c>
      <c r="B39" s="28">
        <v>1</v>
      </c>
      <c r="C39" s="11">
        <v>20</v>
      </c>
      <c r="D39" s="147" t="s">
        <v>291</v>
      </c>
      <c r="E39" s="21" t="s">
        <v>152</v>
      </c>
      <c r="F39" s="21" t="s">
        <v>207</v>
      </c>
      <c r="G39" s="21"/>
      <c r="H39" s="21"/>
      <c r="I39" s="21"/>
      <c r="J39" s="21"/>
      <c r="K39" s="575"/>
      <c r="L39" s="580"/>
      <c r="M39" s="164"/>
      <c r="N39" s="62"/>
      <c r="O39" s="62"/>
      <c r="P39" s="177"/>
      <c r="Q39" s="164"/>
      <c r="R39" s="62"/>
      <c r="S39" s="62"/>
      <c r="T39" s="62"/>
      <c r="U39" s="64"/>
      <c r="V39" s="164"/>
      <c r="W39" s="64"/>
      <c r="X39" s="62"/>
      <c r="Y39" s="62"/>
      <c r="Z39" s="64"/>
      <c r="AA39" s="164"/>
      <c r="AB39" s="62"/>
      <c r="AC39" s="62"/>
      <c r="AD39" s="64"/>
      <c r="AE39" s="164"/>
      <c r="AF39" s="62"/>
      <c r="AG39" s="62"/>
      <c r="AH39" s="337"/>
      <c r="AI39" s="337"/>
      <c r="AJ39" s="337"/>
      <c r="AK39" s="337"/>
      <c r="AL39" s="412"/>
      <c r="AM39" s="414"/>
      <c r="AN39" s="45"/>
      <c r="AO39" s="45"/>
      <c r="AP39" s="45"/>
      <c r="AQ39" s="396"/>
      <c r="AR39" s="100"/>
      <c r="AS39" s="24"/>
      <c r="AT39" s="24"/>
      <c r="AU39" s="24"/>
      <c r="AV39" s="24"/>
      <c r="AW39" s="18">
        <v>20</v>
      </c>
      <c r="AX39" s="69" t="s">
        <v>291</v>
      </c>
      <c r="AY39" s="243" t="s">
        <v>152</v>
      </c>
      <c r="AZ39" s="243" t="str">
        <f t="shared" si="0"/>
        <v>Sockeye</v>
      </c>
      <c r="BA39" s="243" t="s">
        <v>419</v>
      </c>
      <c r="BB39" s="246"/>
      <c r="BC39" s="43" t="str">
        <f t="shared" si="1"/>
        <v>-</v>
      </c>
      <c r="BD39" s="43">
        <f t="shared" si="2"/>
        <v>0</v>
      </c>
      <c r="BE39" s="193">
        <f t="shared" si="3"/>
        <v>0</v>
      </c>
      <c r="BF39" s="193">
        <f t="shared" si="4"/>
        <v>0</v>
      </c>
      <c r="BG39" s="193">
        <f t="shared" si="5"/>
        <v>0</v>
      </c>
      <c r="BH39" s="307" t="str">
        <f t="shared" si="6"/>
        <v>-</v>
      </c>
      <c r="BI39" s="265" t="str">
        <f t="shared" si="24"/>
        <v>-</v>
      </c>
      <c r="BJ39" s="26" t="str">
        <f t="shared" si="7"/>
        <v>FAIRY CREEKSockeye</v>
      </c>
      <c r="BK39" s="26">
        <f t="shared" si="8"/>
        <v>0</v>
      </c>
      <c r="BL39" s="33">
        <f t="shared" ref="BL39:BL102" si="26">MAX(K39:AB39)</f>
        <v>0</v>
      </c>
      <c r="BQ39" s="47" t="str">
        <f t="shared" si="10"/>
        <v>FAIRY CREEKSockeye</v>
      </c>
      <c r="BR39" s="49">
        <f t="shared" si="11"/>
        <v>0</v>
      </c>
      <c r="BS39" s="49">
        <f t="shared" si="12"/>
        <v>0</v>
      </c>
      <c r="BT39" s="31">
        <v>0</v>
      </c>
      <c r="BU39" s="188">
        <f t="shared" si="13"/>
        <v>0</v>
      </c>
      <c r="BV39" s="188" t="str">
        <f t="shared" si="14"/>
        <v xml:space="preserve"> </v>
      </c>
      <c r="BW39" s="188" t="str">
        <f t="shared" si="15"/>
        <v xml:space="preserve"> </v>
      </c>
      <c r="BX39" s="188" t="str">
        <f t="shared" si="16"/>
        <v xml:space="preserve"> </v>
      </c>
      <c r="BY39" s="50" t="str">
        <f t="shared" si="17"/>
        <v>FAIRY CREEK_Sockeye</v>
      </c>
      <c r="BZ39" s="50" t="str">
        <f>IFERROR(VLOOKUP(BY39,'[1]WCVI Esc'!$C$5:$W$555,18,FALSE),"-")</f>
        <v>-</v>
      </c>
      <c r="CA39" s="50" t="str">
        <f t="shared" si="18"/>
        <v>-</v>
      </c>
      <c r="CB39" s="50" t="str">
        <f>IFERROR(VLOOKUP(BY39,'[1]WCVI Esc'!$C$5:$W$555,19,FALSE),"-")</f>
        <v>-</v>
      </c>
      <c r="CC39" s="50" t="str">
        <f t="shared" si="19"/>
        <v>-</v>
      </c>
      <c r="CE39" s="342" t="str">
        <f t="shared" si="20"/>
        <v>FAIRY CREEK_Sockeye</v>
      </c>
      <c r="CF39" s="341" t="str">
        <f>IFERROR(VLOOKUP(BY39,'RawPL+D'!$O$8:$AB$503,12,FALSE),"-")</f>
        <v>-</v>
      </c>
      <c r="CG39" s="338" t="str">
        <f t="shared" si="21"/>
        <v>-</v>
      </c>
      <c r="CH39" s="341" t="str">
        <f>IFERROR(VLOOKUP(BY39,'RawPL+D'!$O$8:$AB$503,13,FALSE),"-")</f>
        <v>-</v>
      </c>
      <c r="CI39" s="338" t="str">
        <f t="shared" si="22"/>
        <v>-</v>
      </c>
    </row>
    <row r="40" spans="1:87" ht="12.75" hidden="1" customHeight="1" x14ac:dyDescent="0.2">
      <c r="A40" s="28">
        <v>4</v>
      </c>
      <c r="B40" s="28">
        <v>2</v>
      </c>
      <c r="C40" s="11">
        <v>20</v>
      </c>
      <c r="D40" s="147" t="s">
        <v>291</v>
      </c>
      <c r="E40" s="21" t="s">
        <v>152</v>
      </c>
      <c r="F40" s="21" t="s">
        <v>219</v>
      </c>
      <c r="G40" s="21"/>
      <c r="H40" s="21"/>
      <c r="I40" s="21"/>
      <c r="J40" s="21"/>
      <c r="K40" s="575"/>
      <c r="L40" s="580"/>
      <c r="M40" s="164"/>
      <c r="N40" s="62"/>
      <c r="O40" s="62"/>
      <c r="P40" s="177"/>
      <c r="Q40" s="164"/>
      <c r="R40" s="62"/>
      <c r="S40" s="62"/>
      <c r="T40" s="62"/>
      <c r="U40" s="64"/>
      <c r="V40" s="164"/>
      <c r="W40" s="64"/>
      <c r="X40" s="62"/>
      <c r="Y40" s="62"/>
      <c r="Z40" s="64"/>
      <c r="AA40" s="164"/>
      <c r="AB40" s="62"/>
      <c r="AC40" s="62"/>
      <c r="AD40" s="64"/>
      <c r="AE40" s="164"/>
      <c r="AF40" s="62"/>
      <c r="AG40" s="62"/>
      <c r="AH40" s="337"/>
      <c r="AI40" s="337"/>
      <c r="AJ40" s="337"/>
      <c r="AK40" s="337"/>
      <c r="AL40" s="412"/>
      <c r="AM40" s="414"/>
      <c r="AN40" s="45"/>
      <c r="AO40" s="45"/>
      <c r="AP40" s="45"/>
      <c r="AQ40" s="396"/>
      <c r="AR40" s="100"/>
      <c r="AS40" s="24"/>
      <c r="AT40" s="24"/>
      <c r="AU40" s="24"/>
      <c r="AV40" s="24"/>
      <c r="AW40" s="18">
        <v>20</v>
      </c>
      <c r="AX40" s="69" t="s">
        <v>291</v>
      </c>
      <c r="AY40" s="243" t="s">
        <v>152</v>
      </c>
      <c r="AZ40" s="243" t="str">
        <f t="shared" si="0"/>
        <v>Coho</v>
      </c>
      <c r="BA40" s="243" t="s">
        <v>419</v>
      </c>
      <c r="BB40" s="246"/>
      <c r="BC40" s="43" t="str">
        <f t="shared" si="1"/>
        <v>-</v>
      </c>
      <c r="BD40" s="43">
        <f t="shared" si="2"/>
        <v>0</v>
      </c>
      <c r="BE40" s="193">
        <f t="shared" si="3"/>
        <v>0</v>
      </c>
      <c r="BF40" s="193">
        <f t="shared" si="4"/>
        <v>0</v>
      </c>
      <c r="BG40" s="193">
        <f t="shared" si="5"/>
        <v>0</v>
      </c>
      <c r="BH40" s="307" t="str">
        <f t="shared" si="6"/>
        <v>-</v>
      </c>
      <c r="BI40" s="265" t="str">
        <f t="shared" si="24"/>
        <v>-</v>
      </c>
      <c r="BJ40" s="26" t="str">
        <f t="shared" si="7"/>
        <v>FAIRY CREEKCoho</v>
      </c>
      <c r="BK40" s="26">
        <f t="shared" si="8"/>
        <v>0</v>
      </c>
      <c r="BL40" s="33">
        <f t="shared" si="26"/>
        <v>0</v>
      </c>
      <c r="BQ40" s="47" t="str">
        <f t="shared" si="10"/>
        <v>FAIRY CREEKCoho</v>
      </c>
      <c r="BR40" s="49">
        <f t="shared" si="11"/>
        <v>0</v>
      </c>
      <c r="BS40" s="49">
        <f t="shared" si="12"/>
        <v>0</v>
      </c>
      <c r="BT40" s="31">
        <v>0</v>
      </c>
      <c r="BU40" s="188">
        <f t="shared" si="13"/>
        <v>0</v>
      </c>
      <c r="BV40" s="188" t="str">
        <f t="shared" si="14"/>
        <v xml:space="preserve"> </v>
      </c>
      <c r="BW40" s="188" t="str">
        <f t="shared" si="15"/>
        <v xml:space="preserve"> </v>
      </c>
      <c r="BX40" s="188" t="str">
        <f t="shared" si="16"/>
        <v xml:space="preserve"> </v>
      </c>
      <c r="BY40" s="50" t="str">
        <f t="shared" si="17"/>
        <v>FAIRY CREEK_Coho</v>
      </c>
      <c r="BZ40" s="50" t="str">
        <f>IFERROR(VLOOKUP(BY40,'[1]WCVI Esc'!$C$5:$W$555,18,FALSE),"-")</f>
        <v>-</v>
      </c>
      <c r="CA40" s="50" t="str">
        <f t="shared" si="18"/>
        <v>-</v>
      </c>
      <c r="CB40" s="50" t="str">
        <f>IFERROR(VLOOKUP(BY40,'[1]WCVI Esc'!$C$5:$W$555,19,FALSE),"-")</f>
        <v>-</v>
      </c>
      <c r="CC40" s="50" t="str">
        <f t="shared" si="19"/>
        <v>-</v>
      </c>
      <c r="CE40" s="342" t="str">
        <f t="shared" si="20"/>
        <v>FAIRY CREEK_Coho</v>
      </c>
      <c r="CF40" s="341" t="str">
        <f>IFERROR(VLOOKUP(BY40,'RawPL+D'!$O$8:$AB$503,12,FALSE),"-")</f>
        <v>-</v>
      </c>
      <c r="CG40" s="338" t="str">
        <f t="shared" si="21"/>
        <v>-</v>
      </c>
      <c r="CH40" s="341" t="str">
        <f>IFERROR(VLOOKUP(BY40,'RawPL+D'!$O$8:$AB$503,13,FALSE),"-")</f>
        <v>-</v>
      </c>
      <c r="CI40" s="338" t="str">
        <f t="shared" si="22"/>
        <v>-</v>
      </c>
    </row>
    <row r="41" spans="1:87" ht="12.75" hidden="1" customHeight="1" x14ac:dyDescent="0.2">
      <c r="A41" s="28">
        <v>4</v>
      </c>
      <c r="B41" s="28">
        <v>3</v>
      </c>
      <c r="C41" s="11">
        <v>20</v>
      </c>
      <c r="D41" s="147" t="s">
        <v>291</v>
      </c>
      <c r="E41" s="21" t="s">
        <v>152</v>
      </c>
      <c r="F41" s="21" t="s">
        <v>208</v>
      </c>
      <c r="G41" s="21"/>
      <c r="H41" s="21"/>
      <c r="I41" s="21"/>
      <c r="J41" s="21"/>
      <c r="K41" s="575"/>
      <c r="L41" s="580"/>
      <c r="M41" s="164"/>
      <c r="N41" s="62"/>
      <c r="O41" s="62"/>
      <c r="P41" s="177"/>
      <c r="Q41" s="164"/>
      <c r="R41" s="62"/>
      <c r="S41" s="62"/>
      <c r="T41" s="62"/>
      <c r="U41" s="64"/>
      <c r="V41" s="164"/>
      <c r="W41" s="64"/>
      <c r="X41" s="62"/>
      <c r="Y41" s="62"/>
      <c r="Z41" s="64"/>
      <c r="AA41" s="164"/>
      <c r="AB41" s="62"/>
      <c r="AC41" s="62"/>
      <c r="AD41" s="64"/>
      <c r="AE41" s="164"/>
      <c r="AF41" s="62"/>
      <c r="AG41" s="62"/>
      <c r="AH41" s="337"/>
      <c r="AI41" s="337"/>
      <c r="AJ41" s="337"/>
      <c r="AK41" s="337"/>
      <c r="AL41" s="412"/>
      <c r="AM41" s="414"/>
      <c r="AN41" s="45"/>
      <c r="AO41" s="45"/>
      <c r="AP41" s="45"/>
      <c r="AQ41" s="396"/>
      <c r="AR41" s="100"/>
      <c r="AS41" s="24"/>
      <c r="AT41" s="24"/>
      <c r="AU41" s="24"/>
      <c r="AV41" s="24"/>
      <c r="AW41" s="18">
        <v>20</v>
      </c>
      <c r="AX41" s="69" t="s">
        <v>291</v>
      </c>
      <c r="AY41" s="243" t="s">
        <v>152</v>
      </c>
      <c r="AZ41" s="243" t="str">
        <f t="shared" si="0"/>
        <v>Pink</v>
      </c>
      <c r="BA41" s="243" t="s">
        <v>419</v>
      </c>
      <c r="BB41" s="246"/>
      <c r="BC41" s="43" t="str">
        <f t="shared" si="1"/>
        <v>-</v>
      </c>
      <c r="BD41" s="43">
        <f t="shared" si="2"/>
        <v>0</v>
      </c>
      <c r="BE41" s="193">
        <f t="shared" si="3"/>
        <v>0</v>
      </c>
      <c r="BF41" s="193">
        <f t="shared" si="4"/>
        <v>0</v>
      </c>
      <c r="BG41" s="193">
        <f t="shared" si="5"/>
        <v>0</v>
      </c>
      <c r="BH41" s="307" t="str">
        <f t="shared" si="6"/>
        <v>-</v>
      </c>
      <c r="BI41" s="265" t="str">
        <f t="shared" si="24"/>
        <v>-</v>
      </c>
      <c r="BJ41" s="26" t="str">
        <f t="shared" si="7"/>
        <v>FAIRY CREEKPink</v>
      </c>
      <c r="BK41" s="26">
        <f t="shared" si="8"/>
        <v>0</v>
      </c>
      <c r="BL41" s="33">
        <f t="shared" si="26"/>
        <v>0</v>
      </c>
      <c r="BQ41" s="47" t="str">
        <f t="shared" si="10"/>
        <v>FAIRY CREEKPink</v>
      </c>
      <c r="BR41" s="49">
        <f t="shared" si="11"/>
        <v>0</v>
      </c>
      <c r="BS41" s="49">
        <f t="shared" si="12"/>
        <v>0</v>
      </c>
      <c r="BT41" s="31">
        <v>0</v>
      </c>
      <c r="BU41" s="188">
        <f t="shared" si="13"/>
        <v>0</v>
      </c>
      <c r="BV41" s="188" t="str">
        <f t="shared" si="14"/>
        <v xml:space="preserve"> </v>
      </c>
      <c r="BW41" s="188" t="str">
        <f t="shared" si="15"/>
        <v xml:space="preserve"> </v>
      </c>
      <c r="BX41" s="188" t="str">
        <f t="shared" si="16"/>
        <v xml:space="preserve"> </v>
      </c>
      <c r="BY41" s="50" t="str">
        <f t="shared" si="17"/>
        <v>FAIRY CREEK_Pink</v>
      </c>
      <c r="BZ41" s="50" t="str">
        <f>IFERROR(VLOOKUP(BY41,'[1]WCVI Esc'!$C$5:$W$555,18,FALSE),"-")</f>
        <v>-</v>
      </c>
      <c r="CA41" s="50" t="str">
        <f t="shared" si="18"/>
        <v>-</v>
      </c>
      <c r="CB41" s="50" t="str">
        <f>IFERROR(VLOOKUP(BY41,'[1]WCVI Esc'!$C$5:$W$555,19,FALSE),"-")</f>
        <v>-</v>
      </c>
      <c r="CC41" s="50" t="str">
        <f t="shared" si="19"/>
        <v>-</v>
      </c>
      <c r="CE41" s="342" t="str">
        <f t="shared" si="20"/>
        <v>FAIRY CREEK_Pink</v>
      </c>
      <c r="CF41" s="341" t="str">
        <f>IFERROR(VLOOKUP(BY41,'RawPL+D'!$O$8:$AB$503,12,FALSE),"-")</f>
        <v>-</v>
      </c>
      <c r="CG41" s="338" t="str">
        <f t="shared" si="21"/>
        <v>-</v>
      </c>
      <c r="CH41" s="341" t="str">
        <f>IFERROR(VLOOKUP(BY41,'RawPL+D'!$O$8:$AB$503,13,FALSE),"-")</f>
        <v>-</v>
      </c>
      <c r="CI41" s="338" t="str">
        <f t="shared" si="22"/>
        <v>-</v>
      </c>
    </row>
    <row r="42" spans="1:87" ht="12.75" hidden="1" customHeight="1" x14ac:dyDescent="0.2">
      <c r="A42" s="28">
        <v>4</v>
      </c>
      <c r="B42" s="28">
        <v>4</v>
      </c>
      <c r="C42" s="11">
        <v>20</v>
      </c>
      <c r="D42" s="147" t="s">
        <v>291</v>
      </c>
      <c r="E42" s="21" t="s">
        <v>152</v>
      </c>
      <c r="F42" s="21" t="s">
        <v>209</v>
      </c>
      <c r="G42" s="21"/>
      <c r="H42" s="21"/>
      <c r="I42" s="21"/>
      <c r="J42" s="21"/>
      <c r="K42" s="575"/>
      <c r="L42" s="580"/>
      <c r="M42" s="164"/>
      <c r="N42" s="62"/>
      <c r="O42" s="62"/>
      <c r="P42" s="177"/>
      <c r="Q42" s="164"/>
      <c r="R42" s="62"/>
      <c r="S42" s="62"/>
      <c r="T42" s="62"/>
      <c r="U42" s="64"/>
      <c r="V42" s="164"/>
      <c r="W42" s="64"/>
      <c r="X42" s="62"/>
      <c r="Y42" s="62"/>
      <c r="Z42" s="64"/>
      <c r="AA42" s="164"/>
      <c r="AB42" s="62"/>
      <c r="AC42" s="62"/>
      <c r="AD42" s="64"/>
      <c r="AE42" s="164"/>
      <c r="AF42" s="62"/>
      <c r="AG42" s="62"/>
      <c r="AH42" s="337"/>
      <c r="AI42" s="337"/>
      <c r="AJ42" s="337"/>
      <c r="AK42" s="337"/>
      <c r="AL42" s="412"/>
      <c r="AM42" s="414"/>
      <c r="AN42" s="45"/>
      <c r="AO42" s="45"/>
      <c r="AP42" s="45"/>
      <c r="AQ42" s="396"/>
      <c r="AR42" s="100"/>
      <c r="AS42" s="24"/>
      <c r="AT42" s="24"/>
      <c r="AU42" s="24"/>
      <c r="AV42" s="24"/>
      <c r="AW42" s="18">
        <v>20</v>
      </c>
      <c r="AX42" s="69" t="s">
        <v>291</v>
      </c>
      <c r="AY42" s="243" t="s">
        <v>152</v>
      </c>
      <c r="AZ42" s="243" t="str">
        <f t="shared" si="0"/>
        <v>Chum</v>
      </c>
      <c r="BA42" s="243" t="s">
        <v>419</v>
      </c>
      <c r="BB42" s="246"/>
      <c r="BC42" s="43" t="str">
        <f t="shared" si="1"/>
        <v>-</v>
      </c>
      <c r="BD42" s="43">
        <f t="shared" si="2"/>
        <v>0</v>
      </c>
      <c r="BE42" s="193">
        <f t="shared" si="3"/>
        <v>0</v>
      </c>
      <c r="BF42" s="193">
        <f t="shared" si="4"/>
        <v>0</v>
      </c>
      <c r="BG42" s="193">
        <f t="shared" si="5"/>
        <v>0</v>
      </c>
      <c r="BH42" s="307" t="str">
        <f t="shared" si="6"/>
        <v>-</v>
      </c>
      <c r="BI42" s="265" t="str">
        <f t="shared" si="24"/>
        <v>-</v>
      </c>
      <c r="BJ42" s="26" t="str">
        <f t="shared" si="7"/>
        <v>FAIRY CREEKChum</v>
      </c>
      <c r="BK42" s="26">
        <f t="shared" si="8"/>
        <v>0</v>
      </c>
      <c r="BL42" s="33">
        <f t="shared" si="26"/>
        <v>0</v>
      </c>
      <c r="BQ42" s="47" t="str">
        <f t="shared" si="10"/>
        <v>FAIRY CREEKChum</v>
      </c>
      <c r="BR42" s="49">
        <f t="shared" si="11"/>
        <v>0</v>
      </c>
      <c r="BS42" s="49">
        <f t="shared" si="12"/>
        <v>0</v>
      </c>
      <c r="BT42" s="31">
        <v>0</v>
      </c>
      <c r="BU42" s="188">
        <f t="shared" si="13"/>
        <v>0</v>
      </c>
      <c r="BV42" s="188" t="str">
        <f t="shared" si="14"/>
        <v xml:space="preserve"> </v>
      </c>
      <c r="BW42" s="188" t="str">
        <f t="shared" si="15"/>
        <v xml:space="preserve"> </v>
      </c>
      <c r="BX42" s="188" t="str">
        <f t="shared" si="16"/>
        <v xml:space="preserve"> </v>
      </c>
      <c r="BY42" s="50" t="str">
        <f t="shared" si="17"/>
        <v>FAIRY CREEK_Chum</v>
      </c>
      <c r="BZ42" s="50" t="str">
        <f>IFERROR(VLOOKUP(BY42,'[1]WCVI Esc'!$C$5:$W$555,18,FALSE),"-")</f>
        <v>-</v>
      </c>
      <c r="CA42" s="50" t="str">
        <f t="shared" si="18"/>
        <v>-</v>
      </c>
      <c r="CB42" s="50" t="str">
        <f>IFERROR(VLOOKUP(BY42,'[1]WCVI Esc'!$C$5:$W$555,19,FALSE),"-")</f>
        <v>-</v>
      </c>
      <c r="CC42" s="50" t="str">
        <f t="shared" si="19"/>
        <v>-</v>
      </c>
      <c r="CE42" s="342" t="str">
        <f t="shared" si="20"/>
        <v>FAIRY CREEK_Chum</v>
      </c>
      <c r="CF42" s="341" t="str">
        <f>IFERROR(VLOOKUP(BY42,'RawPL+D'!$O$8:$AB$503,12,FALSE),"-")</f>
        <v>-</v>
      </c>
      <c r="CG42" s="338" t="str">
        <f t="shared" si="21"/>
        <v>-</v>
      </c>
      <c r="CH42" s="341" t="str">
        <f>IFERROR(VLOOKUP(BY42,'RawPL+D'!$O$8:$AB$503,13,FALSE),"-")</f>
        <v>-</v>
      </c>
      <c r="CI42" s="338" t="str">
        <f t="shared" si="22"/>
        <v>-</v>
      </c>
    </row>
    <row r="43" spans="1:87" ht="12.75" hidden="1" customHeight="1" x14ac:dyDescent="0.2">
      <c r="A43" s="28">
        <v>4</v>
      </c>
      <c r="B43" s="28">
        <v>5</v>
      </c>
      <c r="C43" s="11">
        <v>20</v>
      </c>
      <c r="D43" s="147" t="s">
        <v>291</v>
      </c>
      <c r="E43" s="21" t="s">
        <v>152</v>
      </c>
      <c r="F43" s="10" t="s">
        <v>210</v>
      </c>
      <c r="G43" s="10"/>
      <c r="H43" s="10"/>
      <c r="I43" s="10"/>
      <c r="J43" s="10"/>
      <c r="K43" s="575"/>
      <c r="L43" s="580"/>
      <c r="M43" s="164"/>
      <c r="N43" s="62"/>
      <c r="O43" s="62"/>
      <c r="P43" s="177"/>
      <c r="Q43" s="164"/>
      <c r="R43" s="62"/>
      <c r="S43" s="62"/>
      <c r="T43" s="62"/>
      <c r="U43" s="64"/>
      <c r="V43" s="164"/>
      <c r="W43" s="64"/>
      <c r="X43" s="62"/>
      <c r="Y43" s="62"/>
      <c r="Z43" s="64"/>
      <c r="AA43" s="164"/>
      <c r="AB43" s="62"/>
      <c r="AC43" s="62"/>
      <c r="AD43" s="64"/>
      <c r="AE43" s="164"/>
      <c r="AF43" s="62"/>
      <c r="AG43" s="62"/>
      <c r="AH43" s="337"/>
      <c r="AI43" s="337"/>
      <c r="AJ43" s="337"/>
      <c r="AK43" s="337"/>
      <c r="AL43" s="412"/>
      <c r="AM43" s="414"/>
      <c r="AN43" s="45"/>
      <c r="AO43" s="45"/>
      <c r="AP43" s="45"/>
      <c r="AQ43" s="396"/>
      <c r="AR43" s="100"/>
      <c r="AS43" s="24"/>
      <c r="AT43" s="24"/>
      <c r="AU43" s="24"/>
      <c r="AV43" s="24"/>
      <c r="AW43" s="18">
        <v>20</v>
      </c>
      <c r="AX43" s="69" t="s">
        <v>291</v>
      </c>
      <c r="AY43" s="243" t="s">
        <v>152</v>
      </c>
      <c r="AZ43" s="243" t="str">
        <f t="shared" si="0"/>
        <v>Chinook</v>
      </c>
      <c r="BA43" s="243" t="s">
        <v>419</v>
      </c>
      <c r="BB43" s="246"/>
      <c r="BC43" s="43" t="str">
        <f t="shared" si="1"/>
        <v>-</v>
      </c>
      <c r="BD43" s="43">
        <f t="shared" si="2"/>
        <v>0</v>
      </c>
      <c r="BE43" s="193">
        <f t="shared" si="3"/>
        <v>0</v>
      </c>
      <c r="BF43" s="193">
        <f t="shared" si="4"/>
        <v>0</v>
      </c>
      <c r="BG43" s="193">
        <f t="shared" si="5"/>
        <v>0</v>
      </c>
      <c r="BH43" s="307" t="str">
        <f t="shared" si="6"/>
        <v>-</v>
      </c>
      <c r="BI43" s="265" t="str">
        <f t="shared" si="24"/>
        <v>-</v>
      </c>
      <c r="BJ43" s="26" t="str">
        <f t="shared" si="7"/>
        <v>FAIRY CREEKChinook</v>
      </c>
      <c r="BK43" s="26">
        <f t="shared" si="8"/>
        <v>0</v>
      </c>
      <c r="BL43" s="33">
        <f t="shared" si="26"/>
        <v>0</v>
      </c>
      <c r="BQ43" s="47" t="str">
        <f t="shared" si="10"/>
        <v>FAIRY CREEKChinook</v>
      </c>
      <c r="BR43" s="49">
        <f t="shared" si="11"/>
        <v>0</v>
      </c>
      <c r="BS43" s="49">
        <f t="shared" si="12"/>
        <v>0</v>
      </c>
      <c r="BT43" s="31">
        <v>0</v>
      </c>
      <c r="BU43" s="188">
        <f t="shared" si="13"/>
        <v>0</v>
      </c>
      <c r="BV43" s="188" t="str">
        <f t="shared" si="14"/>
        <v xml:space="preserve"> </v>
      </c>
      <c r="BW43" s="188" t="str">
        <f t="shared" si="15"/>
        <v xml:space="preserve"> </v>
      </c>
      <c r="BX43" s="188" t="str">
        <f t="shared" si="16"/>
        <v xml:space="preserve"> </v>
      </c>
      <c r="BY43" s="50" t="str">
        <f t="shared" si="17"/>
        <v>FAIRY CREEK_Chinook</v>
      </c>
      <c r="BZ43" s="50" t="str">
        <f>IFERROR(VLOOKUP(BY43,'[1]WCVI Esc'!$C$5:$W$555,18,FALSE),"-")</f>
        <v>-</v>
      </c>
      <c r="CA43" s="50" t="str">
        <f t="shared" si="18"/>
        <v>-</v>
      </c>
      <c r="CB43" s="50" t="str">
        <f>IFERROR(VLOOKUP(BY43,'[1]WCVI Esc'!$C$5:$W$555,19,FALSE),"-")</f>
        <v>-</v>
      </c>
      <c r="CC43" s="50" t="str">
        <f t="shared" si="19"/>
        <v>-</v>
      </c>
      <c r="CE43" s="342" t="str">
        <f t="shared" si="20"/>
        <v>FAIRY CREEK_Chinook</v>
      </c>
      <c r="CF43" s="341" t="str">
        <f>IFERROR(VLOOKUP(BY43,'RawPL+D'!$O$8:$AB$503,12,FALSE),"-")</f>
        <v>-</v>
      </c>
      <c r="CG43" s="338" t="str">
        <f t="shared" si="21"/>
        <v>-</v>
      </c>
      <c r="CH43" s="341" t="str">
        <f>IFERROR(VLOOKUP(BY43,'RawPL+D'!$O$8:$AB$503,13,FALSE),"-")</f>
        <v>-</v>
      </c>
      <c r="CI43" s="338" t="str">
        <f t="shared" si="22"/>
        <v>-</v>
      </c>
    </row>
    <row r="44" spans="1:87" ht="12.75" hidden="1" customHeight="1" x14ac:dyDescent="0.2">
      <c r="A44" s="28">
        <v>4</v>
      </c>
      <c r="B44" s="28">
        <v>6</v>
      </c>
      <c r="C44" s="11">
        <v>20</v>
      </c>
      <c r="D44" s="147" t="s">
        <v>291</v>
      </c>
      <c r="E44" s="21" t="s">
        <v>152</v>
      </c>
      <c r="F44" s="21" t="s">
        <v>211</v>
      </c>
      <c r="G44" s="21"/>
      <c r="H44" s="21"/>
      <c r="I44" s="21"/>
      <c r="J44" s="21"/>
      <c r="K44" s="575"/>
      <c r="L44" s="580"/>
      <c r="M44" s="164"/>
      <c r="N44" s="62"/>
      <c r="O44" s="62"/>
      <c r="P44" s="177"/>
      <c r="Q44" s="164"/>
      <c r="R44" s="62"/>
      <c r="S44" s="62"/>
      <c r="T44" s="62"/>
      <c r="U44" s="64"/>
      <c r="V44" s="164"/>
      <c r="W44" s="64"/>
      <c r="X44" s="62"/>
      <c r="Y44" s="62"/>
      <c r="Z44" s="64"/>
      <c r="AA44" s="164"/>
      <c r="AB44" s="62"/>
      <c r="AC44" s="62"/>
      <c r="AD44" s="64"/>
      <c r="AE44" s="164"/>
      <c r="AF44" s="62"/>
      <c r="AG44" s="62"/>
      <c r="AH44" s="337"/>
      <c r="AI44" s="337"/>
      <c r="AJ44" s="337"/>
      <c r="AK44" s="337"/>
      <c r="AL44" s="412"/>
      <c r="AM44" s="414"/>
      <c r="AN44" s="45"/>
      <c r="AO44" s="45"/>
      <c r="AP44" s="45"/>
      <c r="AQ44" s="396"/>
      <c r="AR44" s="100"/>
      <c r="AS44" s="24"/>
      <c r="AT44" s="24"/>
      <c r="AU44" s="24"/>
      <c r="AV44" s="24"/>
      <c r="AW44" s="18">
        <v>20</v>
      </c>
      <c r="AX44" s="69" t="s">
        <v>291</v>
      </c>
      <c r="AY44" s="243" t="s">
        <v>152</v>
      </c>
      <c r="AZ44" s="243" t="str">
        <f t="shared" si="0"/>
        <v>Steelhead</v>
      </c>
      <c r="BA44" s="243" t="s">
        <v>419</v>
      </c>
      <c r="BB44" s="246"/>
      <c r="BC44" s="43" t="str">
        <f t="shared" si="1"/>
        <v>-</v>
      </c>
      <c r="BD44" s="43">
        <f t="shared" si="2"/>
        <v>0</v>
      </c>
      <c r="BE44" s="193">
        <f t="shared" si="3"/>
        <v>0</v>
      </c>
      <c r="BF44" s="193">
        <f t="shared" si="4"/>
        <v>0</v>
      </c>
      <c r="BG44" s="193">
        <f t="shared" si="5"/>
        <v>0</v>
      </c>
      <c r="BH44" s="307" t="str">
        <f t="shared" si="6"/>
        <v>-</v>
      </c>
      <c r="BI44" s="265" t="str">
        <f t="shared" si="24"/>
        <v>-</v>
      </c>
      <c r="BJ44" s="26" t="str">
        <f t="shared" si="7"/>
        <v>FAIRY CREEKSteelhead</v>
      </c>
      <c r="BK44" s="26">
        <f t="shared" si="8"/>
        <v>0</v>
      </c>
      <c r="BL44" s="33">
        <f t="shared" si="26"/>
        <v>0</v>
      </c>
      <c r="BQ44" s="47" t="str">
        <f t="shared" si="10"/>
        <v>FAIRY CREEKSteelhead</v>
      </c>
      <c r="BR44" s="49">
        <f t="shared" si="11"/>
        <v>0</v>
      </c>
      <c r="BS44" s="49">
        <f t="shared" si="12"/>
        <v>0</v>
      </c>
      <c r="BT44" s="31">
        <v>0</v>
      </c>
      <c r="BU44" s="188">
        <f t="shared" si="13"/>
        <v>0</v>
      </c>
      <c r="BV44" s="188" t="str">
        <f t="shared" si="14"/>
        <v xml:space="preserve"> </v>
      </c>
      <c r="BW44" s="188" t="str">
        <f t="shared" si="15"/>
        <v xml:space="preserve"> </v>
      </c>
      <c r="BX44" s="188" t="str">
        <f t="shared" si="16"/>
        <v xml:space="preserve"> </v>
      </c>
      <c r="BY44" s="50" t="str">
        <f t="shared" si="17"/>
        <v>FAIRY CREEK_Steelhead</v>
      </c>
      <c r="BZ44" s="50" t="str">
        <f>IFERROR(VLOOKUP(BY44,'[1]WCVI Esc'!$C$5:$W$555,18,FALSE),"-")</f>
        <v>-</v>
      </c>
      <c r="CA44" s="50" t="str">
        <f t="shared" si="18"/>
        <v>-</v>
      </c>
      <c r="CB44" s="50" t="str">
        <f>IFERROR(VLOOKUP(BY44,'[1]WCVI Esc'!$C$5:$W$555,19,FALSE),"-")</f>
        <v>-</v>
      </c>
      <c r="CC44" s="50" t="str">
        <f t="shared" si="19"/>
        <v>-</v>
      </c>
      <c r="CE44" s="342" t="str">
        <f t="shared" si="20"/>
        <v>FAIRY CREEK_Steelhead</v>
      </c>
      <c r="CF44" s="341" t="str">
        <f>IFERROR(VLOOKUP(BY44,'RawPL+D'!$O$8:$AB$503,12,FALSE),"-")</f>
        <v>-</v>
      </c>
      <c r="CG44" s="338" t="str">
        <f t="shared" si="21"/>
        <v>-</v>
      </c>
      <c r="CH44" s="341" t="str">
        <f>IFERROR(VLOOKUP(BY44,'RawPL+D'!$O$8:$AB$503,13,FALSE),"-")</f>
        <v>-</v>
      </c>
      <c r="CI44" s="338" t="str">
        <f t="shared" si="22"/>
        <v>-</v>
      </c>
    </row>
    <row r="45" spans="1:87" ht="12.75" hidden="1" customHeight="1" x14ac:dyDescent="0.2">
      <c r="A45" s="28">
        <v>4</v>
      </c>
      <c r="B45" s="28">
        <v>1</v>
      </c>
      <c r="C45" s="11">
        <v>20</v>
      </c>
      <c r="D45" s="147" t="s">
        <v>291</v>
      </c>
      <c r="E45" s="21" t="s">
        <v>72</v>
      </c>
      <c r="F45" s="21" t="s">
        <v>207</v>
      </c>
      <c r="G45" s="21"/>
      <c r="H45" s="21"/>
      <c r="I45" s="21"/>
      <c r="J45" s="21"/>
      <c r="K45" s="575"/>
      <c r="L45" s="152"/>
      <c r="M45" s="164"/>
      <c r="N45" s="62"/>
      <c r="O45" s="62"/>
      <c r="P45" s="62"/>
      <c r="Q45" s="164"/>
      <c r="R45" s="62"/>
      <c r="S45" s="62"/>
      <c r="T45" s="62"/>
      <c r="U45" s="64"/>
      <c r="V45" s="164"/>
      <c r="W45" s="62"/>
      <c r="X45" s="62"/>
      <c r="Y45" s="62"/>
      <c r="Z45" s="62"/>
      <c r="AA45" s="164"/>
      <c r="AB45" s="62"/>
      <c r="AC45" s="62"/>
      <c r="AD45" s="64"/>
      <c r="AE45" s="164"/>
      <c r="AF45" s="62"/>
      <c r="AG45" s="62"/>
      <c r="AH45" s="337"/>
      <c r="AI45" s="337"/>
      <c r="AJ45" s="337"/>
      <c r="AK45" s="337"/>
      <c r="AL45" s="412"/>
      <c r="AM45" s="414"/>
      <c r="AN45" s="45"/>
      <c r="AO45" s="45"/>
      <c r="AP45" s="45"/>
      <c r="AQ45" s="396"/>
      <c r="AR45" s="100"/>
      <c r="AS45" s="24"/>
      <c r="AT45" s="24"/>
      <c r="AU45" s="24"/>
      <c r="AV45" s="24"/>
      <c r="AW45" s="18">
        <v>20</v>
      </c>
      <c r="AX45" s="69" t="s">
        <v>291</v>
      </c>
      <c r="AY45" s="243" t="s">
        <v>72</v>
      </c>
      <c r="AZ45" s="243" t="str">
        <f t="shared" si="0"/>
        <v>Sockeye</v>
      </c>
      <c r="BA45" s="243" t="s">
        <v>419</v>
      </c>
      <c r="BB45" s="246"/>
      <c r="BC45" s="43" t="str">
        <f t="shared" si="1"/>
        <v>-</v>
      </c>
      <c r="BD45" s="43">
        <f t="shared" si="2"/>
        <v>0</v>
      </c>
      <c r="BE45" s="193">
        <f t="shared" si="3"/>
        <v>0</v>
      </c>
      <c r="BF45" s="193">
        <f t="shared" si="4"/>
        <v>0</v>
      </c>
      <c r="BG45" s="193">
        <f t="shared" si="5"/>
        <v>0</v>
      </c>
      <c r="BH45" s="307" t="str">
        <f t="shared" si="6"/>
        <v>-</v>
      </c>
      <c r="BI45" s="265" t="str">
        <f t="shared" si="24"/>
        <v>-</v>
      </c>
      <c r="BJ45" s="26" t="str">
        <f t="shared" si="7"/>
        <v>FALLS CREEKSockeye</v>
      </c>
      <c r="BK45" s="26">
        <f t="shared" si="8"/>
        <v>0</v>
      </c>
      <c r="BL45" s="33">
        <f t="shared" si="26"/>
        <v>0</v>
      </c>
      <c r="BQ45" s="47" t="str">
        <f t="shared" si="10"/>
        <v>FALLS CREEKSockeye</v>
      </c>
      <c r="BR45" s="49">
        <f t="shared" si="11"/>
        <v>0</v>
      </c>
      <c r="BS45" s="49">
        <f t="shared" si="12"/>
        <v>0</v>
      </c>
      <c r="BT45" s="31">
        <v>2013</v>
      </c>
      <c r="BU45" s="188">
        <f t="shared" si="13"/>
        <v>0</v>
      </c>
      <c r="BV45" s="188" t="str">
        <f t="shared" si="14"/>
        <v xml:space="preserve"> </v>
      </c>
      <c r="BW45" s="188" t="str">
        <f t="shared" si="15"/>
        <v xml:space="preserve"> </v>
      </c>
      <c r="BX45" s="188" t="str">
        <f t="shared" si="16"/>
        <v xml:space="preserve"> </v>
      </c>
      <c r="BY45" s="50" t="str">
        <f t="shared" si="17"/>
        <v>FALLS CREEK_Sockeye</v>
      </c>
      <c r="BZ45" s="50" t="str">
        <f>IFERROR(VLOOKUP(BY45,'[1]WCVI Esc'!$C$5:$W$555,18,FALSE),"-")</f>
        <v>-</v>
      </c>
      <c r="CA45" s="50" t="str">
        <f t="shared" si="18"/>
        <v>-</v>
      </c>
      <c r="CB45" s="50" t="str">
        <f>IFERROR(VLOOKUP(BY45,'[1]WCVI Esc'!$C$5:$W$555,19,FALSE),"-")</f>
        <v>-</v>
      </c>
      <c r="CC45" s="50" t="str">
        <f t="shared" si="19"/>
        <v>-</v>
      </c>
      <c r="CE45" s="342" t="str">
        <f t="shared" si="20"/>
        <v>FALLS CREEK_Sockeye</v>
      </c>
      <c r="CF45" s="341" t="str">
        <f>IFERROR(VLOOKUP(BY45,'RawPL+D'!$O$8:$AB$503,12,FALSE),"-")</f>
        <v>-</v>
      </c>
      <c r="CG45" s="338" t="str">
        <f t="shared" si="21"/>
        <v>-</v>
      </c>
      <c r="CH45" s="341" t="str">
        <f>IFERROR(VLOOKUP(BY45,'RawPL+D'!$O$8:$AB$503,13,FALSE),"-")</f>
        <v>-</v>
      </c>
      <c r="CI45" s="338" t="str">
        <f t="shared" si="22"/>
        <v>-</v>
      </c>
    </row>
    <row r="46" spans="1:87" ht="12.75" hidden="1" customHeight="1" x14ac:dyDescent="0.2">
      <c r="A46" s="28">
        <v>4</v>
      </c>
      <c r="B46" s="28">
        <v>2</v>
      </c>
      <c r="C46" s="11">
        <v>20</v>
      </c>
      <c r="D46" s="147" t="s">
        <v>291</v>
      </c>
      <c r="E46" s="21" t="s">
        <v>72</v>
      </c>
      <c r="F46" s="21" t="s">
        <v>219</v>
      </c>
      <c r="G46" s="21"/>
      <c r="H46" s="21"/>
      <c r="I46" s="21"/>
      <c r="J46" s="21"/>
      <c r="K46" s="575"/>
      <c r="L46" s="152"/>
      <c r="M46" s="164"/>
      <c r="N46" s="62"/>
      <c r="O46" s="62"/>
      <c r="P46" s="62"/>
      <c r="Q46" s="164"/>
      <c r="R46" s="62"/>
      <c r="S46" s="62"/>
      <c r="T46" s="62"/>
      <c r="U46" s="64"/>
      <c r="V46" s="164"/>
      <c r="W46" s="62"/>
      <c r="X46" s="62"/>
      <c r="Y46" s="62"/>
      <c r="Z46" s="62"/>
      <c r="AA46" s="164"/>
      <c r="AB46" s="62"/>
      <c r="AC46" s="62"/>
      <c r="AD46" s="64"/>
      <c r="AE46" s="164"/>
      <c r="AF46" s="62"/>
      <c r="AG46" s="62"/>
      <c r="AH46" s="337"/>
      <c r="AI46" s="337"/>
      <c r="AJ46" s="337"/>
      <c r="AK46" s="337"/>
      <c r="AL46" s="412"/>
      <c r="AM46" s="414"/>
      <c r="AN46" s="45"/>
      <c r="AO46" s="45"/>
      <c r="AP46" s="45"/>
      <c r="AQ46" s="396">
        <f>AL46/BI46</f>
        <v>0</v>
      </c>
      <c r="AR46" s="100">
        <f>BL46/BI46</f>
        <v>0</v>
      </c>
      <c r="AS46" s="24"/>
      <c r="AT46" s="24"/>
      <c r="AU46" s="24"/>
      <c r="AV46" s="24"/>
      <c r="AW46" s="18">
        <v>20</v>
      </c>
      <c r="AX46" s="69" t="s">
        <v>291</v>
      </c>
      <c r="AY46" s="243" t="s">
        <v>72</v>
      </c>
      <c r="AZ46" s="243" t="str">
        <f t="shared" si="0"/>
        <v>Coho</v>
      </c>
      <c r="BA46" s="243" t="s">
        <v>419</v>
      </c>
      <c r="BB46" s="246"/>
      <c r="BC46" s="43" t="str">
        <f t="shared" si="1"/>
        <v>-</v>
      </c>
      <c r="BD46" s="43">
        <f t="shared" si="2"/>
        <v>0</v>
      </c>
      <c r="BE46" s="193">
        <f t="shared" si="3"/>
        <v>0</v>
      </c>
      <c r="BF46" s="193">
        <f t="shared" si="4"/>
        <v>0</v>
      </c>
      <c r="BG46" s="193">
        <f t="shared" si="5"/>
        <v>0</v>
      </c>
      <c r="BH46" s="307">
        <f t="shared" si="6"/>
        <v>0</v>
      </c>
      <c r="BI46" s="265">
        <f t="shared" si="24"/>
        <v>10</v>
      </c>
      <c r="BJ46" s="26" t="str">
        <f t="shared" si="7"/>
        <v>FALLS CREEKCoho</v>
      </c>
      <c r="BK46" s="26">
        <f t="shared" si="8"/>
        <v>0</v>
      </c>
      <c r="BL46" s="33">
        <f t="shared" si="26"/>
        <v>0</v>
      </c>
      <c r="BQ46" s="47" t="str">
        <f t="shared" si="10"/>
        <v>FALLS CREEKCoho</v>
      </c>
      <c r="BR46" s="49">
        <f t="shared" si="11"/>
        <v>0</v>
      </c>
      <c r="BS46" s="49">
        <f t="shared" si="12"/>
        <v>0</v>
      </c>
      <c r="BT46" s="31">
        <v>2013</v>
      </c>
      <c r="BU46" s="188">
        <f t="shared" si="13"/>
        <v>0</v>
      </c>
      <c r="BV46" s="188" t="str">
        <f t="shared" si="14"/>
        <v xml:space="preserve"> </v>
      </c>
      <c r="BW46" s="188" t="str">
        <f t="shared" si="15"/>
        <v xml:space="preserve"> </v>
      </c>
      <c r="BX46" s="188" t="str">
        <f t="shared" si="16"/>
        <v xml:space="preserve"> </v>
      </c>
      <c r="BY46" s="50" t="str">
        <f t="shared" si="17"/>
        <v>FALLS CREEK_Coho</v>
      </c>
      <c r="BZ46" s="50" t="str">
        <f>IFERROR(VLOOKUP(BY46,'[1]WCVI Esc'!$C$5:$W$555,18,FALSE),"-")</f>
        <v>-</v>
      </c>
      <c r="CA46" s="50" t="str">
        <f t="shared" si="18"/>
        <v>-</v>
      </c>
      <c r="CB46" s="50">
        <f>IFERROR(VLOOKUP(BY46,'[1]WCVI Esc'!$C$5:$W$555,19,FALSE),"-")</f>
        <v>8</v>
      </c>
      <c r="CC46" s="50">
        <f t="shared" si="19"/>
        <v>10</v>
      </c>
      <c r="CE46" s="342" t="str">
        <f t="shared" si="20"/>
        <v>FALLS CREEK_Coho</v>
      </c>
      <c r="CF46" s="341">
        <f>IFERROR(VLOOKUP(BY46,'RawPL+D'!$O$8:$AB$503,12,FALSE),"-")</f>
        <v>0</v>
      </c>
      <c r="CG46" s="338">
        <f t="shared" si="21"/>
        <v>0</v>
      </c>
      <c r="CH46" s="341">
        <f>IFERROR(VLOOKUP(BY46,'RawPL+D'!$O$8:$AB$503,13,FALSE),"-")</f>
        <v>0</v>
      </c>
      <c r="CI46" s="338">
        <f t="shared" si="22"/>
        <v>0</v>
      </c>
    </row>
    <row r="47" spans="1:87" ht="12.95" hidden="1" customHeight="1" x14ac:dyDescent="0.2">
      <c r="A47" s="28">
        <v>4</v>
      </c>
      <c r="B47" s="28">
        <v>3</v>
      </c>
      <c r="C47" s="11">
        <v>20</v>
      </c>
      <c r="D47" s="147" t="s">
        <v>291</v>
      </c>
      <c r="E47" s="21" t="s">
        <v>72</v>
      </c>
      <c r="F47" s="21" t="s">
        <v>208</v>
      </c>
      <c r="G47" s="21"/>
      <c r="H47" s="21"/>
      <c r="I47" s="21"/>
      <c r="J47" s="21"/>
      <c r="K47" s="575"/>
      <c r="L47" s="152"/>
      <c r="M47" s="164"/>
      <c r="N47" s="62"/>
      <c r="O47" s="62"/>
      <c r="P47" s="62"/>
      <c r="Q47" s="164"/>
      <c r="R47" s="62"/>
      <c r="S47" s="62"/>
      <c r="T47" s="62"/>
      <c r="U47" s="64"/>
      <c r="V47" s="164"/>
      <c r="W47" s="62"/>
      <c r="X47" s="62"/>
      <c r="Y47" s="62"/>
      <c r="Z47" s="62"/>
      <c r="AA47" s="164"/>
      <c r="AB47" s="62"/>
      <c r="AC47" s="62"/>
      <c r="AD47" s="64"/>
      <c r="AE47" s="164"/>
      <c r="AF47" s="62"/>
      <c r="AG47" s="62"/>
      <c r="AH47" s="337"/>
      <c r="AI47" s="337"/>
      <c r="AJ47" s="337"/>
      <c r="AK47" s="337"/>
      <c r="AL47" s="412"/>
      <c r="AM47" s="414"/>
      <c r="AN47" s="45"/>
      <c r="AO47" s="45"/>
      <c r="AP47" s="45"/>
      <c r="AQ47" s="396"/>
      <c r="AR47" s="100"/>
      <c r="AS47" s="24"/>
      <c r="AT47" s="24"/>
      <c r="AU47" s="24"/>
      <c r="AV47" s="24"/>
      <c r="AW47" s="18">
        <v>20</v>
      </c>
      <c r="AX47" s="69" t="s">
        <v>291</v>
      </c>
      <c r="AY47" s="243" t="s">
        <v>72</v>
      </c>
      <c r="AZ47" s="243" t="str">
        <f t="shared" si="0"/>
        <v>Pink</v>
      </c>
      <c r="BA47" s="243" t="s">
        <v>419</v>
      </c>
      <c r="BB47" s="246"/>
      <c r="BC47" s="43" t="str">
        <f t="shared" si="1"/>
        <v>-</v>
      </c>
      <c r="BD47" s="43">
        <f t="shared" si="2"/>
        <v>0</v>
      </c>
      <c r="BE47" s="193">
        <f t="shared" si="3"/>
        <v>0</v>
      </c>
      <c r="BF47" s="193">
        <f t="shared" si="4"/>
        <v>0</v>
      </c>
      <c r="BG47" s="193">
        <f t="shared" si="5"/>
        <v>0</v>
      </c>
      <c r="BH47" s="307" t="str">
        <f t="shared" si="6"/>
        <v>-</v>
      </c>
      <c r="BI47" s="265" t="str">
        <f t="shared" si="24"/>
        <v>-</v>
      </c>
      <c r="BJ47" s="26" t="str">
        <f t="shared" si="7"/>
        <v>FALLS CREEKPink</v>
      </c>
      <c r="BK47" s="26">
        <f t="shared" si="8"/>
        <v>0</v>
      </c>
      <c r="BL47" s="33">
        <f t="shared" si="26"/>
        <v>0</v>
      </c>
      <c r="BQ47" s="47" t="str">
        <f t="shared" si="10"/>
        <v>FALLS CREEKPink</v>
      </c>
      <c r="BR47" s="49">
        <f t="shared" si="11"/>
        <v>0</v>
      </c>
      <c r="BS47" s="49">
        <f t="shared" si="12"/>
        <v>0</v>
      </c>
      <c r="BT47" s="31">
        <v>0</v>
      </c>
      <c r="BU47" s="188">
        <f t="shared" si="13"/>
        <v>0</v>
      </c>
      <c r="BV47" s="188" t="str">
        <f t="shared" si="14"/>
        <v xml:space="preserve"> </v>
      </c>
      <c r="BW47" s="188" t="str">
        <f t="shared" si="15"/>
        <v xml:space="preserve"> </v>
      </c>
      <c r="BX47" s="188" t="str">
        <f t="shared" si="16"/>
        <v xml:space="preserve"> </v>
      </c>
      <c r="BY47" s="50" t="str">
        <f t="shared" si="17"/>
        <v>FALLS CREEK_Pink</v>
      </c>
      <c r="BZ47" s="50" t="str">
        <f>IFERROR(VLOOKUP(BY47,'[1]WCVI Esc'!$C$5:$W$555,18,FALSE),"-")</f>
        <v>-</v>
      </c>
      <c r="CA47" s="50" t="str">
        <f t="shared" si="18"/>
        <v>-</v>
      </c>
      <c r="CB47" s="50" t="str">
        <f>IFERROR(VLOOKUP(BY47,'[1]WCVI Esc'!$C$5:$W$555,19,FALSE),"-")</f>
        <v>-</v>
      </c>
      <c r="CC47" s="50" t="str">
        <f t="shared" si="19"/>
        <v>-</v>
      </c>
      <c r="CE47" s="342" t="str">
        <f t="shared" si="20"/>
        <v>FALLS CREEK_Pink</v>
      </c>
      <c r="CF47" s="341" t="str">
        <f>IFERROR(VLOOKUP(BY47,'RawPL+D'!$O$8:$AB$503,12,FALSE),"-")</f>
        <v>-</v>
      </c>
      <c r="CG47" s="338" t="str">
        <f t="shared" si="21"/>
        <v>-</v>
      </c>
      <c r="CH47" s="341" t="str">
        <f>IFERROR(VLOOKUP(BY47,'RawPL+D'!$O$8:$AB$503,13,FALSE),"-")</f>
        <v>-</v>
      </c>
      <c r="CI47" s="338" t="str">
        <f t="shared" si="22"/>
        <v>-</v>
      </c>
    </row>
    <row r="48" spans="1:87" ht="12.75" hidden="1" customHeight="1" x14ac:dyDescent="0.2">
      <c r="A48" s="28">
        <v>4</v>
      </c>
      <c r="B48" s="28">
        <v>4</v>
      </c>
      <c r="C48" s="11">
        <v>20</v>
      </c>
      <c r="D48" s="13" t="s">
        <v>291</v>
      </c>
      <c r="E48" s="21" t="s">
        <v>72</v>
      </c>
      <c r="F48" s="21" t="s">
        <v>209</v>
      </c>
      <c r="G48" s="21"/>
      <c r="H48" s="21"/>
      <c r="I48" s="21"/>
      <c r="J48" s="21"/>
      <c r="K48" s="575"/>
      <c r="L48" s="152"/>
      <c r="M48" s="164"/>
      <c r="N48" s="62"/>
      <c r="O48" s="62"/>
      <c r="P48" s="62"/>
      <c r="Q48" s="164"/>
      <c r="R48" s="62"/>
      <c r="S48" s="62"/>
      <c r="T48" s="62"/>
      <c r="U48" s="64"/>
      <c r="V48" s="164"/>
      <c r="W48" s="62"/>
      <c r="X48" s="62"/>
      <c r="Y48" s="62"/>
      <c r="Z48" s="62"/>
      <c r="AA48" s="164"/>
      <c r="AB48" s="62"/>
      <c r="AC48" s="62"/>
      <c r="AD48" s="64"/>
      <c r="AE48" s="164"/>
      <c r="AF48" s="62"/>
      <c r="AG48" s="62"/>
      <c r="AH48" s="337"/>
      <c r="AI48" s="337"/>
      <c r="AJ48" s="337"/>
      <c r="AK48" s="337"/>
      <c r="AL48" s="412"/>
      <c r="AM48" s="414"/>
      <c r="AN48" s="45"/>
      <c r="AO48" s="45"/>
      <c r="AP48" s="45"/>
      <c r="AQ48" s="396"/>
      <c r="AR48" s="100"/>
      <c r="AS48" s="24"/>
      <c r="AT48" s="24"/>
      <c r="AU48" s="24"/>
      <c r="AV48" s="24"/>
      <c r="AW48" s="18">
        <v>20</v>
      </c>
      <c r="AX48" s="69" t="s">
        <v>291</v>
      </c>
      <c r="AY48" s="243" t="s">
        <v>72</v>
      </c>
      <c r="AZ48" s="243" t="str">
        <f t="shared" si="0"/>
        <v>Chum</v>
      </c>
      <c r="BA48" s="243" t="s">
        <v>419</v>
      </c>
      <c r="BB48" s="246"/>
      <c r="BC48" s="43" t="str">
        <f t="shared" si="1"/>
        <v>-</v>
      </c>
      <c r="BD48" s="43">
        <f t="shared" si="2"/>
        <v>0</v>
      </c>
      <c r="BE48" s="193">
        <f t="shared" si="3"/>
        <v>0</v>
      </c>
      <c r="BF48" s="193">
        <f t="shared" si="4"/>
        <v>0</v>
      </c>
      <c r="BG48" s="193">
        <f t="shared" si="5"/>
        <v>0</v>
      </c>
      <c r="BH48" s="307" t="str">
        <f t="shared" si="6"/>
        <v>-</v>
      </c>
      <c r="BI48" s="265" t="str">
        <f t="shared" si="24"/>
        <v>-</v>
      </c>
      <c r="BJ48" s="26" t="str">
        <f t="shared" si="7"/>
        <v>FALLS CREEKChum</v>
      </c>
      <c r="BK48" s="26">
        <f t="shared" si="8"/>
        <v>0</v>
      </c>
      <c r="BL48" s="33">
        <f t="shared" si="26"/>
        <v>0</v>
      </c>
      <c r="BQ48" s="47" t="str">
        <f t="shared" si="10"/>
        <v>FALLS CREEKChum</v>
      </c>
      <c r="BR48" s="49">
        <f t="shared" si="11"/>
        <v>0</v>
      </c>
      <c r="BS48" s="49">
        <f t="shared" si="12"/>
        <v>0</v>
      </c>
      <c r="BT48" s="31">
        <v>2013</v>
      </c>
      <c r="BU48" s="188">
        <f t="shared" si="13"/>
        <v>0</v>
      </c>
      <c r="BV48" s="188" t="str">
        <f t="shared" si="14"/>
        <v xml:space="preserve"> </v>
      </c>
      <c r="BW48" s="188" t="str">
        <f t="shared" si="15"/>
        <v xml:space="preserve"> </v>
      </c>
      <c r="BX48" s="188" t="str">
        <f t="shared" si="16"/>
        <v xml:space="preserve"> </v>
      </c>
      <c r="BY48" s="50" t="str">
        <f t="shared" si="17"/>
        <v>FALLS CREEK_Chum</v>
      </c>
      <c r="BZ48" s="50" t="str">
        <f>IFERROR(VLOOKUP(BY48,'[1]WCVI Esc'!$C$5:$W$555,18,FALSE),"-")</f>
        <v>-</v>
      </c>
      <c r="CA48" s="50" t="str">
        <f t="shared" si="18"/>
        <v>-</v>
      </c>
      <c r="CB48" s="50" t="str">
        <f>IFERROR(VLOOKUP(BY48,'[1]WCVI Esc'!$C$5:$W$555,19,FALSE),"-")</f>
        <v>-</v>
      </c>
      <c r="CC48" s="50" t="str">
        <f t="shared" si="19"/>
        <v>-</v>
      </c>
      <c r="CE48" s="342" t="str">
        <f t="shared" si="20"/>
        <v>FALLS CREEK_Chum</v>
      </c>
      <c r="CF48" s="341" t="str">
        <f>IFERROR(VLOOKUP(BY48,'RawPL+D'!$O$8:$AB$503,12,FALSE),"-")</f>
        <v>-</v>
      </c>
      <c r="CG48" s="338" t="str">
        <f t="shared" si="21"/>
        <v>-</v>
      </c>
      <c r="CH48" s="341" t="str">
        <f>IFERROR(VLOOKUP(BY48,'RawPL+D'!$O$8:$AB$503,13,FALSE),"-")</f>
        <v>-</v>
      </c>
      <c r="CI48" s="338" t="str">
        <f t="shared" si="22"/>
        <v>-</v>
      </c>
    </row>
    <row r="49" spans="1:87" ht="12.75" hidden="1" customHeight="1" x14ac:dyDescent="0.2">
      <c r="A49" s="28">
        <v>4</v>
      </c>
      <c r="B49" s="28">
        <v>5</v>
      </c>
      <c r="C49" s="11">
        <v>20</v>
      </c>
      <c r="D49" s="13" t="s">
        <v>291</v>
      </c>
      <c r="E49" s="21" t="s">
        <v>72</v>
      </c>
      <c r="F49" s="10" t="s">
        <v>210</v>
      </c>
      <c r="G49" s="10"/>
      <c r="H49" s="10"/>
      <c r="I49" s="10"/>
      <c r="J49" s="10"/>
      <c r="K49" s="575"/>
      <c r="L49" s="152"/>
      <c r="M49" s="164"/>
      <c r="N49" s="62"/>
      <c r="O49" s="62"/>
      <c r="P49" s="62"/>
      <c r="Q49" s="164"/>
      <c r="R49" s="62"/>
      <c r="S49" s="62"/>
      <c r="T49" s="62"/>
      <c r="U49" s="64"/>
      <c r="V49" s="164"/>
      <c r="W49" s="62"/>
      <c r="X49" s="62"/>
      <c r="Y49" s="62"/>
      <c r="Z49" s="62"/>
      <c r="AA49" s="164"/>
      <c r="AB49" s="62"/>
      <c r="AC49" s="62"/>
      <c r="AD49" s="64"/>
      <c r="AE49" s="164"/>
      <c r="AF49" s="62"/>
      <c r="AG49" s="62"/>
      <c r="AH49" s="337"/>
      <c r="AI49" s="337"/>
      <c r="AJ49" s="337"/>
      <c r="AK49" s="337"/>
      <c r="AL49" s="412"/>
      <c r="AM49" s="414"/>
      <c r="AN49" s="45"/>
      <c r="AO49" s="45"/>
      <c r="AP49" s="45"/>
      <c r="AQ49" s="396"/>
      <c r="AR49" s="100"/>
      <c r="AS49" s="24"/>
      <c r="AT49" s="24"/>
      <c r="AU49" s="24"/>
      <c r="AV49" s="24"/>
      <c r="AW49" s="18">
        <v>20</v>
      </c>
      <c r="AX49" s="69" t="s">
        <v>291</v>
      </c>
      <c r="AY49" s="243" t="s">
        <v>72</v>
      </c>
      <c r="AZ49" s="243" t="str">
        <f t="shared" si="0"/>
        <v>Chinook</v>
      </c>
      <c r="BA49" s="243" t="s">
        <v>419</v>
      </c>
      <c r="BB49" s="246"/>
      <c r="BC49" s="43" t="str">
        <f t="shared" si="1"/>
        <v>-</v>
      </c>
      <c r="BD49" s="43">
        <f t="shared" si="2"/>
        <v>0</v>
      </c>
      <c r="BE49" s="193">
        <f t="shared" si="3"/>
        <v>0</v>
      </c>
      <c r="BF49" s="193">
        <f t="shared" si="4"/>
        <v>0</v>
      </c>
      <c r="BG49" s="193">
        <f t="shared" si="5"/>
        <v>0</v>
      </c>
      <c r="BH49" s="307" t="str">
        <f t="shared" si="6"/>
        <v>-</v>
      </c>
      <c r="BI49" s="265" t="str">
        <f t="shared" si="24"/>
        <v>-</v>
      </c>
      <c r="BJ49" s="26" t="str">
        <f t="shared" si="7"/>
        <v>FALLS CREEKChinook</v>
      </c>
      <c r="BK49" s="26">
        <f t="shared" si="8"/>
        <v>0</v>
      </c>
      <c r="BL49" s="33">
        <f t="shared" si="26"/>
        <v>0</v>
      </c>
      <c r="BQ49" s="47" t="str">
        <f t="shared" si="10"/>
        <v>FALLS CREEKChinook</v>
      </c>
      <c r="BR49" s="49">
        <f t="shared" si="11"/>
        <v>0</v>
      </c>
      <c r="BS49" s="49">
        <f t="shared" si="12"/>
        <v>0</v>
      </c>
      <c r="BT49" s="31">
        <v>2013</v>
      </c>
      <c r="BU49" s="188">
        <f t="shared" si="13"/>
        <v>0</v>
      </c>
      <c r="BV49" s="188" t="str">
        <f t="shared" si="14"/>
        <v xml:space="preserve"> </v>
      </c>
      <c r="BW49" s="188" t="str">
        <f t="shared" si="15"/>
        <v xml:space="preserve"> </v>
      </c>
      <c r="BX49" s="188" t="str">
        <f t="shared" si="16"/>
        <v xml:space="preserve"> </v>
      </c>
      <c r="BY49" s="50" t="str">
        <f t="shared" si="17"/>
        <v>FALLS CREEK_Chinook</v>
      </c>
      <c r="BZ49" s="50" t="str">
        <f>IFERROR(VLOOKUP(BY49,'[1]WCVI Esc'!$C$5:$W$555,18,FALSE),"-")</f>
        <v>-</v>
      </c>
      <c r="CA49" s="50" t="str">
        <f t="shared" si="18"/>
        <v>-</v>
      </c>
      <c r="CB49" s="50" t="str">
        <f>IFERROR(VLOOKUP(BY49,'[1]WCVI Esc'!$C$5:$W$555,19,FALSE),"-")</f>
        <v>-</v>
      </c>
      <c r="CC49" s="50" t="str">
        <f t="shared" si="19"/>
        <v>-</v>
      </c>
      <c r="CE49" s="342" t="str">
        <f t="shared" si="20"/>
        <v>FALLS CREEK_Chinook</v>
      </c>
      <c r="CF49" s="341" t="str">
        <f>IFERROR(VLOOKUP(BY49,'RawPL+D'!$O$8:$AB$503,12,FALSE),"-")</f>
        <v>-</v>
      </c>
      <c r="CG49" s="338" t="str">
        <f t="shared" si="21"/>
        <v>-</v>
      </c>
      <c r="CH49" s="341" t="str">
        <f>IFERROR(VLOOKUP(BY49,'RawPL+D'!$O$8:$AB$503,13,FALSE),"-")</f>
        <v>-</v>
      </c>
      <c r="CI49" s="338" t="str">
        <f t="shared" si="22"/>
        <v>-</v>
      </c>
    </row>
    <row r="50" spans="1:87" ht="12.75" hidden="1" customHeight="1" x14ac:dyDescent="0.2">
      <c r="A50" s="28">
        <v>4</v>
      </c>
      <c r="B50" s="28">
        <v>6</v>
      </c>
      <c r="C50" s="11">
        <v>20</v>
      </c>
      <c r="D50" s="13" t="s">
        <v>291</v>
      </c>
      <c r="E50" s="21" t="s">
        <v>72</v>
      </c>
      <c r="F50" s="21" t="s">
        <v>211</v>
      </c>
      <c r="G50" s="21"/>
      <c r="H50" s="21"/>
      <c r="I50" s="21"/>
      <c r="J50" s="21"/>
      <c r="K50" s="575"/>
      <c r="L50" s="152"/>
      <c r="M50" s="164"/>
      <c r="N50" s="62"/>
      <c r="O50" s="62"/>
      <c r="P50" s="62"/>
      <c r="Q50" s="164"/>
      <c r="R50" s="62"/>
      <c r="S50" s="62"/>
      <c r="T50" s="62"/>
      <c r="U50" s="64"/>
      <c r="V50" s="164"/>
      <c r="W50" s="62"/>
      <c r="X50" s="62"/>
      <c r="Y50" s="62"/>
      <c r="Z50" s="62"/>
      <c r="AA50" s="164"/>
      <c r="AB50" s="62"/>
      <c r="AC50" s="62"/>
      <c r="AD50" s="64"/>
      <c r="AE50" s="164"/>
      <c r="AF50" s="62"/>
      <c r="AG50" s="62"/>
      <c r="AH50" s="337"/>
      <c r="AI50" s="337"/>
      <c r="AJ50" s="337"/>
      <c r="AK50" s="337"/>
      <c r="AL50" s="412"/>
      <c r="AM50" s="414"/>
      <c r="AN50" s="45"/>
      <c r="AO50" s="45"/>
      <c r="AP50" s="45"/>
      <c r="AQ50" s="396"/>
      <c r="AR50" s="100"/>
      <c r="AS50" s="24"/>
      <c r="AT50" s="24"/>
      <c r="AU50" s="24"/>
      <c r="AV50" s="24"/>
      <c r="AW50" s="18">
        <v>20</v>
      </c>
      <c r="AX50" s="69" t="s">
        <v>291</v>
      </c>
      <c r="AY50" s="243" t="s">
        <v>72</v>
      </c>
      <c r="AZ50" s="243" t="str">
        <f t="shared" si="0"/>
        <v>Steelhead</v>
      </c>
      <c r="BA50" s="243" t="s">
        <v>419</v>
      </c>
      <c r="BB50" s="246"/>
      <c r="BC50" s="43" t="str">
        <f t="shared" si="1"/>
        <v>-</v>
      </c>
      <c r="BD50" s="43">
        <f t="shared" si="2"/>
        <v>0</v>
      </c>
      <c r="BE50" s="193">
        <f t="shared" si="3"/>
        <v>0</v>
      </c>
      <c r="BF50" s="193">
        <f t="shared" si="4"/>
        <v>0</v>
      </c>
      <c r="BG50" s="193">
        <f t="shared" si="5"/>
        <v>0</v>
      </c>
      <c r="BH50" s="307" t="str">
        <f t="shared" si="6"/>
        <v>-</v>
      </c>
      <c r="BI50" s="265" t="str">
        <f t="shared" si="24"/>
        <v>-</v>
      </c>
      <c r="BJ50" s="26" t="str">
        <f t="shared" si="7"/>
        <v>FALLS CREEKSteelhead</v>
      </c>
      <c r="BK50" s="26">
        <f t="shared" si="8"/>
        <v>0</v>
      </c>
      <c r="BL50" s="33">
        <f t="shared" si="26"/>
        <v>0</v>
      </c>
      <c r="BQ50" s="47" t="str">
        <f t="shared" si="10"/>
        <v>FALLS CREEKSteelhead</v>
      </c>
      <c r="BR50" s="49">
        <f t="shared" si="11"/>
        <v>0</v>
      </c>
      <c r="BS50" s="49">
        <f t="shared" si="12"/>
        <v>0</v>
      </c>
      <c r="BT50" s="31">
        <v>0</v>
      </c>
      <c r="BU50" s="188">
        <f t="shared" si="13"/>
        <v>0</v>
      </c>
      <c r="BV50" s="188" t="str">
        <f t="shared" si="14"/>
        <v xml:space="preserve"> </v>
      </c>
      <c r="BW50" s="188" t="str">
        <f t="shared" si="15"/>
        <v xml:space="preserve"> </v>
      </c>
      <c r="BX50" s="188" t="str">
        <f t="shared" si="16"/>
        <v xml:space="preserve"> </v>
      </c>
      <c r="BY50" s="50" t="str">
        <f t="shared" si="17"/>
        <v>FALLS CREEK_Steelhead</v>
      </c>
      <c r="BZ50" s="50" t="str">
        <f>IFERROR(VLOOKUP(BY50,'[1]WCVI Esc'!$C$5:$W$555,18,FALSE),"-")</f>
        <v>-</v>
      </c>
      <c r="CA50" s="50" t="str">
        <f t="shared" si="18"/>
        <v>-</v>
      </c>
      <c r="CB50" s="50" t="str">
        <f>IFERROR(VLOOKUP(BY50,'[1]WCVI Esc'!$C$5:$W$555,19,FALSE),"-")</f>
        <v>-</v>
      </c>
      <c r="CC50" s="50" t="str">
        <f t="shared" si="19"/>
        <v>-</v>
      </c>
      <c r="CE50" s="342" t="str">
        <f t="shared" si="20"/>
        <v>FALLS CREEK_Steelhead</v>
      </c>
      <c r="CF50" s="341" t="str">
        <f>IFERROR(VLOOKUP(BY50,'RawPL+D'!$O$8:$AB$503,12,FALSE),"-")</f>
        <v>-</v>
      </c>
      <c r="CG50" s="338" t="str">
        <f t="shared" si="21"/>
        <v>-</v>
      </c>
      <c r="CH50" s="341" t="str">
        <f>IFERROR(VLOOKUP(BY50,'RawPL+D'!$O$8:$AB$503,13,FALSE),"-")</f>
        <v>-</v>
      </c>
      <c r="CI50" s="338" t="str">
        <f t="shared" si="22"/>
        <v>-</v>
      </c>
    </row>
    <row r="51" spans="1:87" ht="12.75" hidden="1" customHeight="1" x14ac:dyDescent="0.2">
      <c r="A51" s="28">
        <v>4</v>
      </c>
      <c r="B51" s="28">
        <v>1</v>
      </c>
      <c r="C51" s="11">
        <v>20</v>
      </c>
      <c r="D51" s="13" t="s">
        <v>291</v>
      </c>
      <c r="E51" s="21" t="s">
        <v>153</v>
      </c>
      <c r="F51" s="21" t="s">
        <v>207</v>
      </c>
      <c r="G51" s="21"/>
      <c r="H51" s="21"/>
      <c r="I51" s="21"/>
      <c r="J51" s="21"/>
      <c r="K51" s="579"/>
      <c r="L51" s="152"/>
      <c r="M51" s="164"/>
      <c r="N51" s="62"/>
      <c r="O51" s="62"/>
      <c r="P51" s="64"/>
      <c r="Q51" s="164"/>
      <c r="R51" s="62"/>
      <c r="S51" s="62"/>
      <c r="T51" s="62"/>
      <c r="U51" s="64"/>
      <c r="V51" s="164"/>
      <c r="W51" s="62"/>
      <c r="X51" s="62"/>
      <c r="Y51" s="62"/>
      <c r="Z51" s="64"/>
      <c r="AA51" s="164"/>
      <c r="AB51" s="62"/>
      <c r="AC51" s="62"/>
      <c r="AD51" s="64"/>
      <c r="AE51" s="164"/>
      <c r="AF51" s="62"/>
      <c r="AG51" s="62"/>
      <c r="AH51" s="337"/>
      <c r="AI51" s="337"/>
      <c r="AJ51" s="337"/>
      <c r="AK51" s="337"/>
      <c r="AL51" s="412"/>
      <c r="AM51" s="414"/>
      <c r="AN51" s="45"/>
      <c r="AO51" s="45"/>
      <c r="AP51" s="45"/>
      <c r="AQ51" s="396"/>
      <c r="AR51" s="100"/>
      <c r="AS51" s="24"/>
      <c r="AT51" s="24"/>
      <c r="AU51" s="24"/>
      <c r="AV51" s="24"/>
      <c r="AW51" s="18">
        <v>20</v>
      </c>
      <c r="AX51" s="69" t="s">
        <v>291</v>
      </c>
      <c r="AY51" s="243" t="s">
        <v>153</v>
      </c>
      <c r="AZ51" s="243" t="str">
        <f t="shared" si="0"/>
        <v>Sockeye</v>
      </c>
      <c r="BA51" s="243" t="s">
        <v>419</v>
      </c>
      <c r="BB51" s="246"/>
      <c r="BC51" s="43" t="str">
        <f t="shared" si="1"/>
        <v>-</v>
      </c>
      <c r="BD51" s="43">
        <f t="shared" si="2"/>
        <v>0</v>
      </c>
      <c r="BE51" s="193">
        <f t="shared" si="3"/>
        <v>0</v>
      </c>
      <c r="BF51" s="193">
        <f t="shared" si="4"/>
        <v>0</v>
      </c>
      <c r="BG51" s="193">
        <f t="shared" si="5"/>
        <v>0</v>
      </c>
      <c r="BH51" s="307" t="str">
        <f t="shared" si="6"/>
        <v>-</v>
      </c>
      <c r="BI51" s="265" t="str">
        <f t="shared" si="24"/>
        <v>-</v>
      </c>
      <c r="BJ51" s="26" t="str">
        <f t="shared" si="7"/>
        <v>FIVE MILE CREEKSockeye</v>
      </c>
      <c r="BK51" s="26">
        <f t="shared" si="8"/>
        <v>0</v>
      </c>
      <c r="BL51" s="33">
        <f t="shared" si="26"/>
        <v>0</v>
      </c>
      <c r="BQ51" s="47" t="str">
        <f t="shared" si="10"/>
        <v>FIVE MILE CREEKSockeye</v>
      </c>
      <c r="BR51" s="49">
        <f t="shared" si="11"/>
        <v>0</v>
      </c>
      <c r="BS51" s="49">
        <f t="shared" si="12"/>
        <v>0</v>
      </c>
      <c r="BT51" s="31">
        <v>0</v>
      </c>
      <c r="BU51" s="188">
        <f t="shared" si="13"/>
        <v>0</v>
      </c>
      <c r="BV51" s="188" t="str">
        <f t="shared" si="14"/>
        <v xml:space="preserve"> </v>
      </c>
      <c r="BW51" s="188" t="str">
        <f t="shared" si="15"/>
        <v xml:space="preserve"> </v>
      </c>
      <c r="BX51" s="188" t="str">
        <f t="shared" si="16"/>
        <v xml:space="preserve"> </v>
      </c>
      <c r="BY51" s="50" t="str">
        <f t="shared" si="17"/>
        <v>FIVE MILE CREEK_Sockeye</v>
      </c>
      <c r="BZ51" s="50" t="str">
        <f>IFERROR(VLOOKUP(BY51,'[1]WCVI Esc'!$C$5:$W$555,18,FALSE),"-")</f>
        <v>-</v>
      </c>
      <c r="CA51" s="50" t="str">
        <f t="shared" si="18"/>
        <v>-</v>
      </c>
      <c r="CB51" s="50" t="str">
        <f>IFERROR(VLOOKUP(BY51,'[1]WCVI Esc'!$C$5:$W$555,19,FALSE),"-")</f>
        <v>-</v>
      </c>
      <c r="CC51" s="50" t="str">
        <f t="shared" si="19"/>
        <v>-</v>
      </c>
      <c r="CE51" s="342" t="str">
        <f t="shared" si="20"/>
        <v>FIVE MILE CREEK_Sockeye</v>
      </c>
      <c r="CF51" s="341" t="str">
        <f>IFERROR(VLOOKUP(BY51,'RawPL+D'!$O$8:$AB$503,12,FALSE),"-")</f>
        <v>-</v>
      </c>
      <c r="CG51" s="338" t="str">
        <f t="shared" si="21"/>
        <v>-</v>
      </c>
      <c r="CH51" s="341" t="str">
        <f>IFERROR(VLOOKUP(BY51,'RawPL+D'!$O$8:$AB$503,13,FALSE),"-")</f>
        <v>-</v>
      </c>
      <c r="CI51" s="338" t="str">
        <f t="shared" si="22"/>
        <v>-</v>
      </c>
    </row>
    <row r="52" spans="1:87" ht="12.75" hidden="1" customHeight="1" x14ac:dyDescent="0.2">
      <c r="A52" s="28">
        <v>4</v>
      </c>
      <c r="B52" s="28">
        <v>2</v>
      </c>
      <c r="C52" s="11">
        <v>20</v>
      </c>
      <c r="D52" s="13" t="s">
        <v>291</v>
      </c>
      <c r="E52" s="21" t="s">
        <v>153</v>
      </c>
      <c r="F52" s="21" t="s">
        <v>219</v>
      </c>
      <c r="G52" s="21"/>
      <c r="H52" s="21"/>
      <c r="I52" s="21"/>
      <c r="J52" s="21"/>
      <c r="K52" s="579"/>
      <c r="L52" s="152"/>
      <c r="M52" s="164"/>
      <c r="N52" s="62"/>
      <c r="O52" s="62"/>
      <c r="P52" s="64"/>
      <c r="Q52" s="164"/>
      <c r="R52" s="62"/>
      <c r="S52" s="62"/>
      <c r="T52" s="62"/>
      <c r="U52" s="64"/>
      <c r="V52" s="164"/>
      <c r="W52" s="62"/>
      <c r="X52" s="62"/>
      <c r="Y52" s="62"/>
      <c r="Z52" s="64"/>
      <c r="AA52" s="164"/>
      <c r="AB52" s="62"/>
      <c r="AC52" s="62"/>
      <c r="AD52" s="64"/>
      <c r="AE52" s="164"/>
      <c r="AF52" s="62"/>
      <c r="AG52" s="62"/>
      <c r="AH52" s="337"/>
      <c r="AI52" s="337"/>
      <c r="AJ52" s="337"/>
      <c r="AK52" s="337"/>
      <c r="AL52" s="412"/>
      <c r="AM52" s="414"/>
      <c r="AN52" s="45"/>
      <c r="AO52" s="45"/>
      <c r="AP52" s="45"/>
      <c r="AQ52" s="396"/>
      <c r="AR52" s="100"/>
      <c r="AS52" s="24"/>
      <c r="AT52" s="24"/>
      <c r="AU52" s="24"/>
      <c r="AV52" s="24"/>
      <c r="AW52" s="18">
        <v>20</v>
      </c>
      <c r="AX52" s="69" t="s">
        <v>291</v>
      </c>
      <c r="AY52" s="243" t="s">
        <v>153</v>
      </c>
      <c r="AZ52" s="243" t="str">
        <f t="shared" si="0"/>
        <v>Coho</v>
      </c>
      <c r="BA52" s="243" t="s">
        <v>419</v>
      </c>
      <c r="BB52" s="246"/>
      <c r="BC52" s="43" t="str">
        <f t="shared" si="1"/>
        <v>-</v>
      </c>
      <c r="BD52" s="43">
        <f t="shared" si="2"/>
        <v>0</v>
      </c>
      <c r="BE52" s="193">
        <f t="shared" si="3"/>
        <v>0</v>
      </c>
      <c r="BF52" s="193">
        <f t="shared" si="4"/>
        <v>0</v>
      </c>
      <c r="BG52" s="193">
        <f t="shared" si="5"/>
        <v>0</v>
      </c>
      <c r="BH52" s="307" t="str">
        <f t="shared" si="6"/>
        <v>-</v>
      </c>
      <c r="BI52" s="265" t="str">
        <f t="shared" si="24"/>
        <v>-</v>
      </c>
      <c r="BJ52" s="26" t="str">
        <f t="shared" si="7"/>
        <v>FIVE MILE CREEKCoho</v>
      </c>
      <c r="BK52" s="26">
        <f t="shared" si="8"/>
        <v>0</v>
      </c>
      <c r="BL52" s="33">
        <f t="shared" si="26"/>
        <v>0</v>
      </c>
      <c r="BQ52" s="47" t="str">
        <f t="shared" si="10"/>
        <v>FIVE MILE CREEKCoho</v>
      </c>
      <c r="BR52" s="49">
        <f t="shared" si="11"/>
        <v>0</v>
      </c>
      <c r="BS52" s="49">
        <f t="shared" si="12"/>
        <v>0</v>
      </c>
      <c r="BT52" s="31">
        <v>0</v>
      </c>
      <c r="BU52" s="188">
        <f t="shared" si="13"/>
        <v>0</v>
      </c>
      <c r="BV52" s="188" t="str">
        <f t="shared" si="14"/>
        <v xml:space="preserve"> </v>
      </c>
      <c r="BW52" s="188" t="str">
        <f t="shared" si="15"/>
        <v xml:space="preserve"> </v>
      </c>
      <c r="BX52" s="188" t="str">
        <f t="shared" si="16"/>
        <v xml:space="preserve"> </v>
      </c>
      <c r="BY52" s="50" t="str">
        <f t="shared" si="17"/>
        <v>FIVE MILE CREEK_Coho</v>
      </c>
      <c r="BZ52" s="50" t="str">
        <f>IFERROR(VLOOKUP(BY52,'[1]WCVI Esc'!$C$5:$W$555,18,FALSE),"-")</f>
        <v>-</v>
      </c>
      <c r="CA52" s="50" t="str">
        <f t="shared" si="18"/>
        <v>-</v>
      </c>
      <c r="CB52" s="50" t="str">
        <f>IFERROR(VLOOKUP(BY52,'[1]WCVI Esc'!$C$5:$W$555,19,FALSE),"-")</f>
        <v>-</v>
      </c>
      <c r="CC52" s="50" t="str">
        <f t="shared" si="19"/>
        <v>-</v>
      </c>
      <c r="CE52" s="342" t="str">
        <f t="shared" si="20"/>
        <v>FIVE MILE CREEK_Coho</v>
      </c>
      <c r="CF52" s="341" t="str">
        <f>IFERROR(VLOOKUP(BY52,'RawPL+D'!$O$8:$AB$503,12,FALSE),"-")</f>
        <v>-</v>
      </c>
      <c r="CG52" s="338" t="str">
        <f t="shared" si="21"/>
        <v>-</v>
      </c>
      <c r="CH52" s="341" t="str">
        <f>IFERROR(VLOOKUP(BY52,'RawPL+D'!$O$8:$AB$503,13,FALSE),"-")</f>
        <v>-</v>
      </c>
      <c r="CI52" s="338" t="str">
        <f t="shared" si="22"/>
        <v>-</v>
      </c>
    </row>
    <row r="53" spans="1:87" ht="12.75" hidden="1" customHeight="1" x14ac:dyDescent="0.2">
      <c r="A53" s="28">
        <v>4</v>
      </c>
      <c r="B53" s="28">
        <v>3</v>
      </c>
      <c r="C53" s="11">
        <v>20</v>
      </c>
      <c r="D53" s="13" t="s">
        <v>291</v>
      </c>
      <c r="E53" s="21" t="s">
        <v>153</v>
      </c>
      <c r="F53" s="21" t="s">
        <v>208</v>
      </c>
      <c r="G53" s="21"/>
      <c r="H53" s="21"/>
      <c r="I53" s="21"/>
      <c r="J53" s="21"/>
      <c r="K53" s="579"/>
      <c r="L53" s="152"/>
      <c r="M53" s="164"/>
      <c r="N53" s="62"/>
      <c r="O53" s="62"/>
      <c r="P53" s="64"/>
      <c r="Q53" s="164"/>
      <c r="R53" s="62"/>
      <c r="S53" s="62"/>
      <c r="T53" s="62"/>
      <c r="U53" s="64"/>
      <c r="V53" s="164"/>
      <c r="W53" s="62"/>
      <c r="X53" s="62"/>
      <c r="Y53" s="62"/>
      <c r="Z53" s="64"/>
      <c r="AA53" s="164"/>
      <c r="AB53" s="62"/>
      <c r="AC53" s="62"/>
      <c r="AD53" s="64"/>
      <c r="AE53" s="164"/>
      <c r="AF53" s="62"/>
      <c r="AG53" s="62"/>
      <c r="AH53" s="337"/>
      <c r="AI53" s="337"/>
      <c r="AJ53" s="337"/>
      <c r="AK53" s="337"/>
      <c r="AL53" s="412"/>
      <c r="AM53" s="414"/>
      <c r="AN53" s="45"/>
      <c r="AO53" s="45"/>
      <c r="AP53" s="45"/>
      <c r="AQ53" s="396"/>
      <c r="AR53" s="100"/>
      <c r="AS53" s="24"/>
      <c r="AT53" s="24"/>
      <c r="AU53" s="24"/>
      <c r="AV53" s="24"/>
      <c r="AW53" s="18">
        <v>20</v>
      </c>
      <c r="AX53" s="69" t="s">
        <v>291</v>
      </c>
      <c r="AY53" s="243" t="s">
        <v>153</v>
      </c>
      <c r="AZ53" s="243" t="str">
        <f t="shared" si="0"/>
        <v>Pink</v>
      </c>
      <c r="BA53" s="243" t="s">
        <v>419</v>
      </c>
      <c r="BB53" s="246"/>
      <c r="BC53" s="43" t="str">
        <f t="shared" si="1"/>
        <v>-</v>
      </c>
      <c r="BD53" s="43">
        <f t="shared" si="2"/>
        <v>0</v>
      </c>
      <c r="BE53" s="193">
        <f t="shared" si="3"/>
        <v>0</v>
      </c>
      <c r="BF53" s="193">
        <f t="shared" si="4"/>
        <v>0</v>
      </c>
      <c r="BG53" s="193">
        <f t="shared" si="5"/>
        <v>0</v>
      </c>
      <c r="BH53" s="307" t="str">
        <f t="shared" si="6"/>
        <v>-</v>
      </c>
      <c r="BI53" s="265" t="str">
        <f t="shared" si="24"/>
        <v>-</v>
      </c>
      <c r="BJ53" s="26" t="str">
        <f t="shared" si="7"/>
        <v>FIVE MILE CREEKPink</v>
      </c>
      <c r="BK53" s="26">
        <f t="shared" si="8"/>
        <v>0</v>
      </c>
      <c r="BL53" s="33">
        <f t="shared" si="26"/>
        <v>0</v>
      </c>
      <c r="BQ53" s="47" t="str">
        <f t="shared" si="10"/>
        <v>FIVE MILE CREEKPink</v>
      </c>
      <c r="BR53" s="49">
        <f t="shared" si="11"/>
        <v>0</v>
      </c>
      <c r="BS53" s="49">
        <f t="shared" si="12"/>
        <v>0</v>
      </c>
      <c r="BT53" s="31">
        <v>0</v>
      </c>
      <c r="BU53" s="188">
        <f t="shared" si="13"/>
        <v>0</v>
      </c>
      <c r="BV53" s="188" t="str">
        <f t="shared" si="14"/>
        <v xml:space="preserve"> </v>
      </c>
      <c r="BW53" s="188" t="str">
        <f t="shared" si="15"/>
        <v xml:space="preserve"> </v>
      </c>
      <c r="BX53" s="188" t="str">
        <f t="shared" si="16"/>
        <v xml:space="preserve"> </v>
      </c>
      <c r="BY53" s="50" t="str">
        <f t="shared" si="17"/>
        <v>FIVE MILE CREEK_Pink</v>
      </c>
      <c r="BZ53" s="50" t="str">
        <f>IFERROR(VLOOKUP(BY53,'[1]WCVI Esc'!$C$5:$W$555,18,FALSE),"-")</f>
        <v>-</v>
      </c>
      <c r="CA53" s="50" t="str">
        <f t="shared" si="18"/>
        <v>-</v>
      </c>
      <c r="CB53" s="50" t="str">
        <f>IFERROR(VLOOKUP(BY53,'[1]WCVI Esc'!$C$5:$W$555,19,FALSE),"-")</f>
        <v>-</v>
      </c>
      <c r="CC53" s="50" t="str">
        <f t="shared" si="19"/>
        <v>-</v>
      </c>
      <c r="CE53" s="342" t="str">
        <f t="shared" si="20"/>
        <v>FIVE MILE CREEK_Pink</v>
      </c>
      <c r="CF53" s="341" t="str">
        <f>IFERROR(VLOOKUP(BY53,'RawPL+D'!$O$8:$AB$503,12,FALSE),"-")</f>
        <v>-</v>
      </c>
      <c r="CG53" s="338" t="str">
        <f t="shared" si="21"/>
        <v>-</v>
      </c>
      <c r="CH53" s="341" t="str">
        <f>IFERROR(VLOOKUP(BY53,'RawPL+D'!$O$8:$AB$503,13,FALSE),"-")</f>
        <v>-</v>
      </c>
      <c r="CI53" s="338" t="str">
        <f t="shared" si="22"/>
        <v>-</v>
      </c>
    </row>
    <row r="54" spans="1:87" ht="12.75" hidden="1" customHeight="1" x14ac:dyDescent="0.2">
      <c r="A54" s="28">
        <v>4</v>
      </c>
      <c r="B54" s="28">
        <v>4</v>
      </c>
      <c r="C54" s="11">
        <v>20</v>
      </c>
      <c r="D54" s="13" t="s">
        <v>291</v>
      </c>
      <c r="E54" s="21" t="s">
        <v>153</v>
      </c>
      <c r="F54" s="21" t="s">
        <v>209</v>
      </c>
      <c r="G54" s="21"/>
      <c r="H54" s="21"/>
      <c r="I54" s="21"/>
      <c r="J54" s="21"/>
      <c r="K54" s="579"/>
      <c r="L54" s="152"/>
      <c r="M54" s="164"/>
      <c r="N54" s="62"/>
      <c r="O54" s="62"/>
      <c r="P54" s="64"/>
      <c r="Q54" s="164"/>
      <c r="R54" s="62"/>
      <c r="S54" s="62"/>
      <c r="T54" s="62"/>
      <c r="U54" s="64"/>
      <c r="V54" s="164"/>
      <c r="W54" s="62"/>
      <c r="X54" s="62"/>
      <c r="Y54" s="62"/>
      <c r="Z54" s="64"/>
      <c r="AA54" s="164"/>
      <c r="AB54" s="62"/>
      <c r="AC54" s="62"/>
      <c r="AD54" s="64"/>
      <c r="AE54" s="164"/>
      <c r="AF54" s="62"/>
      <c r="AG54" s="62"/>
      <c r="AH54" s="337"/>
      <c r="AI54" s="337"/>
      <c r="AJ54" s="337"/>
      <c r="AK54" s="337"/>
      <c r="AL54" s="412"/>
      <c r="AM54" s="414"/>
      <c r="AN54" s="45"/>
      <c r="AO54" s="45"/>
      <c r="AP54" s="45"/>
      <c r="AQ54" s="396"/>
      <c r="AR54" s="100"/>
      <c r="AS54" s="24"/>
      <c r="AT54" s="24"/>
      <c r="AU54" s="24"/>
      <c r="AV54" s="24"/>
      <c r="AW54" s="18">
        <v>20</v>
      </c>
      <c r="AX54" s="69" t="s">
        <v>291</v>
      </c>
      <c r="AY54" s="243" t="s">
        <v>153</v>
      </c>
      <c r="AZ54" s="243" t="str">
        <f t="shared" si="0"/>
        <v>Chum</v>
      </c>
      <c r="BA54" s="243" t="s">
        <v>419</v>
      </c>
      <c r="BB54" s="246"/>
      <c r="BC54" s="43" t="str">
        <f t="shared" si="1"/>
        <v>-</v>
      </c>
      <c r="BD54" s="43">
        <f t="shared" si="2"/>
        <v>0</v>
      </c>
      <c r="BE54" s="193">
        <f t="shared" si="3"/>
        <v>0</v>
      </c>
      <c r="BF54" s="193">
        <f t="shared" si="4"/>
        <v>0</v>
      </c>
      <c r="BG54" s="193">
        <f t="shared" si="5"/>
        <v>0</v>
      </c>
      <c r="BH54" s="307" t="str">
        <f t="shared" si="6"/>
        <v>-</v>
      </c>
      <c r="BI54" s="265" t="str">
        <f t="shared" si="24"/>
        <v>-</v>
      </c>
      <c r="BJ54" s="26" t="str">
        <f t="shared" si="7"/>
        <v>FIVE MILE CREEKChum</v>
      </c>
      <c r="BK54" s="26">
        <f t="shared" si="8"/>
        <v>0</v>
      </c>
      <c r="BL54" s="33">
        <f t="shared" si="26"/>
        <v>0</v>
      </c>
      <c r="BQ54" s="47" t="str">
        <f t="shared" si="10"/>
        <v>FIVE MILE CREEKChum</v>
      </c>
      <c r="BR54" s="49">
        <f t="shared" si="11"/>
        <v>0</v>
      </c>
      <c r="BS54" s="49">
        <f t="shared" si="12"/>
        <v>0</v>
      </c>
      <c r="BT54" s="31">
        <v>0</v>
      </c>
      <c r="BU54" s="188">
        <f t="shared" si="13"/>
        <v>0</v>
      </c>
      <c r="BV54" s="188" t="str">
        <f t="shared" si="14"/>
        <v xml:space="preserve"> </v>
      </c>
      <c r="BW54" s="188" t="str">
        <f t="shared" si="15"/>
        <v xml:space="preserve"> </v>
      </c>
      <c r="BX54" s="188" t="str">
        <f t="shared" si="16"/>
        <v xml:space="preserve"> </v>
      </c>
      <c r="BY54" s="50" t="str">
        <f t="shared" si="17"/>
        <v>FIVE MILE CREEK_Chum</v>
      </c>
      <c r="BZ54" s="50" t="str">
        <f>IFERROR(VLOOKUP(BY54,'[1]WCVI Esc'!$C$5:$W$555,18,FALSE),"-")</f>
        <v>-</v>
      </c>
      <c r="CA54" s="50" t="str">
        <f t="shared" si="18"/>
        <v>-</v>
      </c>
      <c r="CB54" s="50" t="str">
        <f>IFERROR(VLOOKUP(BY54,'[1]WCVI Esc'!$C$5:$W$555,19,FALSE),"-")</f>
        <v>-</v>
      </c>
      <c r="CC54" s="50" t="str">
        <f t="shared" si="19"/>
        <v>-</v>
      </c>
      <c r="CE54" s="342" t="str">
        <f t="shared" si="20"/>
        <v>FIVE MILE CREEK_Chum</v>
      </c>
      <c r="CF54" s="341" t="str">
        <f>IFERROR(VLOOKUP(BY54,'RawPL+D'!$O$8:$AB$503,12,FALSE),"-")</f>
        <v>-</v>
      </c>
      <c r="CG54" s="338" t="str">
        <f t="shared" si="21"/>
        <v>-</v>
      </c>
      <c r="CH54" s="341" t="str">
        <f>IFERROR(VLOOKUP(BY54,'RawPL+D'!$O$8:$AB$503,13,FALSE),"-")</f>
        <v>-</v>
      </c>
      <c r="CI54" s="338" t="str">
        <f t="shared" si="22"/>
        <v>-</v>
      </c>
    </row>
    <row r="55" spans="1:87" ht="12.75" hidden="1" customHeight="1" x14ac:dyDescent="0.2">
      <c r="A55" s="28">
        <v>4</v>
      </c>
      <c r="B55" s="28">
        <v>5</v>
      </c>
      <c r="C55" s="11">
        <v>20</v>
      </c>
      <c r="D55" s="13" t="s">
        <v>291</v>
      </c>
      <c r="E55" s="21" t="s">
        <v>153</v>
      </c>
      <c r="F55" s="10" t="s">
        <v>210</v>
      </c>
      <c r="G55" s="21"/>
      <c r="H55" s="21"/>
      <c r="I55" s="21"/>
      <c r="J55" s="21"/>
      <c r="K55" s="579"/>
      <c r="L55" s="152"/>
      <c r="M55" s="164"/>
      <c r="N55" s="62"/>
      <c r="O55" s="62"/>
      <c r="P55" s="64"/>
      <c r="Q55" s="164"/>
      <c r="R55" s="62"/>
      <c r="S55" s="62"/>
      <c r="T55" s="62"/>
      <c r="U55" s="64"/>
      <c r="V55" s="164"/>
      <c r="W55" s="62"/>
      <c r="X55" s="62"/>
      <c r="Y55" s="62"/>
      <c r="Z55" s="64"/>
      <c r="AA55" s="164"/>
      <c r="AB55" s="62"/>
      <c r="AC55" s="62"/>
      <c r="AD55" s="64"/>
      <c r="AE55" s="164"/>
      <c r="AF55" s="62"/>
      <c r="AG55" s="62"/>
      <c r="AH55" s="337"/>
      <c r="AI55" s="337"/>
      <c r="AJ55" s="337"/>
      <c r="AK55" s="337"/>
      <c r="AL55" s="412"/>
      <c r="AM55" s="414"/>
      <c r="AN55" s="45"/>
      <c r="AO55" s="45"/>
      <c r="AP55" s="45"/>
      <c r="AQ55" s="396"/>
      <c r="AR55" s="100"/>
      <c r="AS55" s="24"/>
      <c r="AT55" s="24"/>
      <c r="AU55" s="24"/>
      <c r="AV55" s="24"/>
      <c r="AW55" s="18">
        <v>20</v>
      </c>
      <c r="AX55" s="69" t="s">
        <v>291</v>
      </c>
      <c r="AY55" s="243" t="s">
        <v>153</v>
      </c>
      <c r="AZ55" s="243" t="str">
        <f t="shared" si="0"/>
        <v>Chinook</v>
      </c>
      <c r="BA55" s="243" t="s">
        <v>419</v>
      </c>
      <c r="BB55" s="246"/>
      <c r="BC55" s="43" t="str">
        <f t="shared" si="1"/>
        <v>-</v>
      </c>
      <c r="BD55" s="43">
        <f t="shared" si="2"/>
        <v>0</v>
      </c>
      <c r="BE55" s="193">
        <f t="shared" si="3"/>
        <v>0</v>
      </c>
      <c r="BF55" s="193">
        <f t="shared" si="4"/>
        <v>0</v>
      </c>
      <c r="BG55" s="193">
        <f t="shared" si="5"/>
        <v>0</v>
      </c>
      <c r="BH55" s="307" t="str">
        <f t="shared" si="6"/>
        <v>-</v>
      </c>
      <c r="BI55" s="265" t="str">
        <f t="shared" si="24"/>
        <v>-</v>
      </c>
      <c r="BJ55" s="26" t="str">
        <f t="shared" si="7"/>
        <v>FIVE MILE CREEKChinook</v>
      </c>
      <c r="BK55" s="26">
        <f t="shared" si="8"/>
        <v>0</v>
      </c>
      <c r="BL55" s="33">
        <f t="shared" si="26"/>
        <v>0</v>
      </c>
      <c r="BQ55" s="47" t="str">
        <f t="shared" si="10"/>
        <v>FIVE MILE CREEKChinook</v>
      </c>
      <c r="BR55" s="49">
        <f t="shared" si="11"/>
        <v>0</v>
      </c>
      <c r="BS55" s="49">
        <f t="shared" si="12"/>
        <v>0</v>
      </c>
      <c r="BT55" s="31">
        <v>0</v>
      </c>
      <c r="BU55" s="188">
        <f t="shared" si="13"/>
        <v>0</v>
      </c>
      <c r="BV55" s="188" t="str">
        <f t="shared" si="14"/>
        <v xml:space="preserve"> </v>
      </c>
      <c r="BW55" s="188" t="str">
        <f t="shared" si="15"/>
        <v xml:space="preserve"> </v>
      </c>
      <c r="BX55" s="188" t="str">
        <f t="shared" si="16"/>
        <v xml:space="preserve"> </v>
      </c>
      <c r="BY55" s="50" t="str">
        <f t="shared" si="17"/>
        <v>FIVE MILE CREEK_Chinook</v>
      </c>
      <c r="BZ55" s="50" t="str">
        <f>IFERROR(VLOOKUP(BY55,'[1]WCVI Esc'!$C$5:$W$555,18,FALSE),"-")</f>
        <v>-</v>
      </c>
      <c r="CA55" s="50" t="str">
        <f t="shared" si="18"/>
        <v>-</v>
      </c>
      <c r="CB55" s="50" t="str">
        <f>IFERROR(VLOOKUP(BY55,'[1]WCVI Esc'!$C$5:$W$555,19,FALSE),"-")</f>
        <v>-</v>
      </c>
      <c r="CC55" s="50" t="str">
        <f t="shared" si="19"/>
        <v>-</v>
      </c>
      <c r="CE55" s="342" t="str">
        <f t="shared" si="20"/>
        <v>FIVE MILE CREEK_Chinook</v>
      </c>
      <c r="CF55" s="341" t="str">
        <f>IFERROR(VLOOKUP(BY55,'RawPL+D'!$O$8:$AB$503,12,FALSE),"-")</f>
        <v>-</v>
      </c>
      <c r="CG55" s="338" t="str">
        <f t="shared" si="21"/>
        <v>-</v>
      </c>
      <c r="CH55" s="341" t="str">
        <f>IFERROR(VLOOKUP(BY55,'RawPL+D'!$O$8:$AB$503,13,FALSE),"-")</f>
        <v>-</v>
      </c>
      <c r="CI55" s="338" t="str">
        <f t="shared" si="22"/>
        <v>-</v>
      </c>
    </row>
    <row r="56" spans="1:87" ht="12.75" hidden="1" customHeight="1" x14ac:dyDescent="0.2">
      <c r="A56" s="28">
        <v>4</v>
      </c>
      <c r="B56" s="28">
        <v>6</v>
      </c>
      <c r="C56" s="11">
        <v>20</v>
      </c>
      <c r="D56" s="13" t="s">
        <v>291</v>
      </c>
      <c r="E56" s="21" t="s">
        <v>153</v>
      </c>
      <c r="F56" s="21" t="s">
        <v>211</v>
      </c>
      <c r="G56" s="21"/>
      <c r="H56" s="21"/>
      <c r="I56" s="21"/>
      <c r="J56" s="21"/>
      <c r="K56" s="579"/>
      <c r="L56" s="152"/>
      <c r="M56" s="164"/>
      <c r="N56" s="62"/>
      <c r="O56" s="62"/>
      <c r="P56" s="64"/>
      <c r="Q56" s="164"/>
      <c r="R56" s="62"/>
      <c r="S56" s="62"/>
      <c r="T56" s="62"/>
      <c r="U56" s="64"/>
      <c r="V56" s="164"/>
      <c r="W56" s="62"/>
      <c r="X56" s="62"/>
      <c r="Y56" s="62"/>
      <c r="Z56" s="64"/>
      <c r="AA56" s="164"/>
      <c r="AB56" s="62"/>
      <c r="AC56" s="62"/>
      <c r="AD56" s="64"/>
      <c r="AE56" s="164"/>
      <c r="AF56" s="62"/>
      <c r="AG56" s="62"/>
      <c r="AH56" s="337"/>
      <c r="AI56" s="337"/>
      <c r="AJ56" s="337"/>
      <c r="AK56" s="337"/>
      <c r="AL56" s="412"/>
      <c r="AM56" s="414"/>
      <c r="AN56" s="45"/>
      <c r="AO56" s="45"/>
      <c r="AP56" s="45"/>
      <c r="AQ56" s="396"/>
      <c r="AR56" s="100"/>
      <c r="AS56" s="24"/>
      <c r="AT56" s="24"/>
      <c r="AU56" s="24"/>
      <c r="AV56" s="24"/>
      <c r="AW56" s="18">
        <v>20</v>
      </c>
      <c r="AX56" s="69" t="s">
        <v>291</v>
      </c>
      <c r="AY56" s="243" t="s">
        <v>153</v>
      </c>
      <c r="AZ56" s="243" t="str">
        <f t="shared" si="0"/>
        <v>Steelhead</v>
      </c>
      <c r="BA56" s="243" t="s">
        <v>419</v>
      </c>
      <c r="BB56" s="246"/>
      <c r="BC56" s="43" t="str">
        <f t="shared" si="1"/>
        <v>-</v>
      </c>
      <c r="BD56" s="43">
        <f t="shared" si="2"/>
        <v>0</v>
      </c>
      <c r="BE56" s="193">
        <f t="shared" si="3"/>
        <v>0</v>
      </c>
      <c r="BF56" s="193">
        <f t="shared" si="4"/>
        <v>0</v>
      </c>
      <c r="BG56" s="193">
        <f t="shared" si="5"/>
        <v>0</v>
      </c>
      <c r="BH56" s="307" t="str">
        <f t="shared" si="6"/>
        <v>-</v>
      </c>
      <c r="BI56" s="265" t="str">
        <f t="shared" si="24"/>
        <v>-</v>
      </c>
      <c r="BJ56" s="26" t="str">
        <f t="shared" si="7"/>
        <v>FIVE MILE CREEKSteelhead</v>
      </c>
      <c r="BK56" s="26">
        <f t="shared" si="8"/>
        <v>0</v>
      </c>
      <c r="BL56" s="33">
        <f t="shared" si="26"/>
        <v>0</v>
      </c>
      <c r="BQ56" s="47" t="str">
        <f t="shared" si="10"/>
        <v>FIVE MILE CREEKSteelhead</v>
      </c>
      <c r="BR56" s="49">
        <f t="shared" si="11"/>
        <v>0</v>
      </c>
      <c r="BS56" s="49">
        <f t="shared" si="12"/>
        <v>0</v>
      </c>
      <c r="BT56" s="31">
        <v>0</v>
      </c>
      <c r="BU56" s="188">
        <f t="shared" si="13"/>
        <v>0</v>
      </c>
      <c r="BV56" s="188" t="str">
        <f t="shared" si="14"/>
        <v xml:space="preserve"> </v>
      </c>
      <c r="BW56" s="188" t="str">
        <f t="shared" si="15"/>
        <v xml:space="preserve"> </v>
      </c>
      <c r="BX56" s="188" t="str">
        <f t="shared" si="16"/>
        <v xml:space="preserve"> </v>
      </c>
      <c r="BY56" s="50" t="str">
        <f t="shared" si="17"/>
        <v>FIVE MILE CREEK_Steelhead</v>
      </c>
      <c r="BZ56" s="50" t="str">
        <f>IFERROR(VLOOKUP(BY56,'[1]WCVI Esc'!$C$5:$W$555,18,FALSE),"-")</f>
        <v>-</v>
      </c>
      <c r="CA56" s="50" t="str">
        <f t="shared" si="18"/>
        <v>-</v>
      </c>
      <c r="CB56" s="50" t="str">
        <f>IFERROR(VLOOKUP(BY56,'[1]WCVI Esc'!$C$5:$W$555,19,FALSE),"-")</f>
        <v>-</v>
      </c>
      <c r="CC56" s="50" t="str">
        <f t="shared" si="19"/>
        <v>-</v>
      </c>
      <c r="CE56" s="342" t="str">
        <f t="shared" si="20"/>
        <v>FIVE MILE CREEK_Steelhead</v>
      </c>
      <c r="CF56" s="341" t="str">
        <f>IFERROR(VLOOKUP(BY56,'RawPL+D'!$O$8:$AB$503,12,FALSE),"-")</f>
        <v>-</v>
      </c>
      <c r="CG56" s="338" t="str">
        <f t="shared" si="21"/>
        <v>-</v>
      </c>
      <c r="CH56" s="341" t="str">
        <f>IFERROR(VLOOKUP(BY56,'RawPL+D'!$O$8:$AB$503,13,FALSE),"-")</f>
        <v>-</v>
      </c>
      <c r="CI56" s="338" t="str">
        <f t="shared" si="22"/>
        <v>-</v>
      </c>
    </row>
    <row r="57" spans="1:87" ht="12.75" hidden="1" customHeight="1" x14ac:dyDescent="0.2">
      <c r="A57" s="28">
        <v>4</v>
      </c>
      <c r="B57" s="28">
        <v>1</v>
      </c>
      <c r="C57" s="11">
        <v>20</v>
      </c>
      <c r="D57" s="13" t="s">
        <v>291</v>
      </c>
      <c r="E57" s="21" t="s">
        <v>154</v>
      </c>
      <c r="F57" s="21" t="s">
        <v>207</v>
      </c>
      <c r="G57" s="21"/>
      <c r="H57" s="21"/>
      <c r="I57" s="21"/>
      <c r="J57" s="21"/>
      <c r="K57" s="579"/>
      <c r="L57" s="152"/>
      <c r="M57" s="164"/>
      <c r="N57" s="62"/>
      <c r="O57" s="62"/>
      <c r="P57" s="62"/>
      <c r="Q57" s="164"/>
      <c r="R57" s="62"/>
      <c r="S57" s="62"/>
      <c r="T57" s="62"/>
      <c r="U57" s="64"/>
      <c r="V57" s="164"/>
      <c r="W57" s="62"/>
      <c r="X57" s="62"/>
      <c r="Y57" s="62"/>
      <c r="Z57" s="64"/>
      <c r="AA57" s="164"/>
      <c r="AB57" s="62"/>
      <c r="AC57" s="62"/>
      <c r="AD57" s="64"/>
      <c r="AE57" s="164"/>
      <c r="AF57" s="62"/>
      <c r="AG57" s="62"/>
      <c r="AH57" s="337"/>
      <c r="AI57" s="337"/>
      <c r="AJ57" s="337"/>
      <c r="AK57" s="337"/>
      <c r="AL57" s="412"/>
      <c r="AM57" s="414"/>
      <c r="AN57" s="45"/>
      <c r="AO57" s="45"/>
      <c r="AP57" s="45"/>
      <c r="AQ57" s="396"/>
      <c r="AR57" s="100"/>
      <c r="AS57" s="24"/>
      <c r="AT57" s="24"/>
      <c r="AU57" s="24"/>
      <c r="AV57" s="24"/>
      <c r="AW57" s="18">
        <v>20</v>
      </c>
      <c r="AX57" s="69" t="s">
        <v>291</v>
      </c>
      <c r="AY57" s="243" t="s">
        <v>154</v>
      </c>
      <c r="AZ57" s="243" t="str">
        <f t="shared" si="0"/>
        <v>Sockeye</v>
      </c>
      <c r="BA57" s="243" t="s">
        <v>419</v>
      </c>
      <c r="BB57" s="246"/>
      <c r="BC57" s="43" t="str">
        <f t="shared" si="1"/>
        <v>-</v>
      </c>
      <c r="BD57" s="43">
        <f t="shared" si="2"/>
        <v>0</v>
      </c>
      <c r="BE57" s="193">
        <f t="shared" si="3"/>
        <v>0</v>
      </c>
      <c r="BF57" s="193">
        <f t="shared" si="4"/>
        <v>0</v>
      </c>
      <c r="BG57" s="193">
        <f t="shared" si="5"/>
        <v>0</v>
      </c>
      <c r="BH57" s="307" t="str">
        <f t="shared" si="6"/>
        <v>-</v>
      </c>
      <c r="BI57" s="265" t="str">
        <f t="shared" si="24"/>
        <v>-</v>
      </c>
      <c r="BJ57" s="26" t="str">
        <f t="shared" si="7"/>
        <v>FOUR MILE CREEKSockeye</v>
      </c>
      <c r="BK57" s="26">
        <f t="shared" si="8"/>
        <v>0</v>
      </c>
      <c r="BL57" s="33">
        <f t="shared" si="26"/>
        <v>0</v>
      </c>
      <c r="BQ57" s="47" t="str">
        <f t="shared" si="10"/>
        <v>FOUR MILE CREEKSockeye</v>
      </c>
      <c r="BR57" s="49">
        <f t="shared" si="11"/>
        <v>0</v>
      </c>
      <c r="BS57" s="49">
        <f t="shared" si="12"/>
        <v>0</v>
      </c>
      <c r="BT57" s="31">
        <v>0</v>
      </c>
      <c r="BU57" s="188">
        <f t="shared" si="13"/>
        <v>0</v>
      </c>
      <c r="BV57" s="188" t="str">
        <f t="shared" si="14"/>
        <v xml:space="preserve"> </v>
      </c>
      <c r="BW57" s="188" t="str">
        <f t="shared" si="15"/>
        <v xml:space="preserve"> </v>
      </c>
      <c r="BX57" s="188" t="str">
        <f t="shared" si="16"/>
        <v xml:space="preserve"> </v>
      </c>
      <c r="BY57" s="50" t="str">
        <f t="shared" si="17"/>
        <v>FOUR MILE CREEK_Sockeye</v>
      </c>
      <c r="BZ57" s="50" t="str">
        <f>IFERROR(VLOOKUP(BY57,'[1]WCVI Esc'!$C$5:$W$555,18,FALSE),"-")</f>
        <v>-</v>
      </c>
      <c r="CA57" s="50" t="str">
        <f t="shared" si="18"/>
        <v>-</v>
      </c>
      <c r="CB57" s="50" t="str">
        <f>IFERROR(VLOOKUP(BY57,'[1]WCVI Esc'!$C$5:$W$555,19,FALSE),"-")</f>
        <v>-</v>
      </c>
      <c r="CC57" s="50" t="str">
        <f t="shared" si="19"/>
        <v>-</v>
      </c>
      <c r="CE57" s="342" t="str">
        <f t="shared" si="20"/>
        <v>FOUR MILE CREEK_Sockeye</v>
      </c>
      <c r="CF57" s="341" t="str">
        <f>IFERROR(VLOOKUP(BY57,'RawPL+D'!$O$8:$AB$503,12,FALSE),"-")</f>
        <v>-</v>
      </c>
      <c r="CG57" s="338" t="str">
        <f t="shared" si="21"/>
        <v>-</v>
      </c>
      <c r="CH57" s="341" t="str">
        <f>IFERROR(VLOOKUP(BY57,'RawPL+D'!$O$8:$AB$503,13,FALSE),"-")</f>
        <v>-</v>
      </c>
      <c r="CI57" s="338" t="str">
        <f t="shared" si="22"/>
        <v>-</v>
      </c>
    </row>
    <row r="58" spans="1:87" ht="12.75" hidden="1" customHeight="1" x14ac:dyDescent="0.2">
      <c r="A58" s="28">
        <v>4</v>
      </c>
      <c r="B58" s="28">
        <v>2</v>
      </c>
      <c r="C58" s="11">
        <v>20</v>
      </c>
      <c r="D58" s="13" t="s">
        <v>291</v>
      </c>
      <c r="E58" s="21" t="s">
        <v>154</v>
      </c>
      <c r="F58" s="21" t="s">
        <v>219</v>
      </c>
      <c r="G58" s="21"/>
      <c r="H58" s="21"/>
      <c r="I58" s="21"/>
      <c r="J58" s="21"/>
      <c r="K58" s="579"/>
      <c r="L58" s="152"/>
      <c r="M58" s="164"/>
      <c r="N58" s="62"/>
      <c r="O58" s="62"/>
      <c r="P58" s="62"/>
      <c r="Q58" s="164"/>
      <c r="R58" s="62"/>
      <c r="S58" s="62"/>
      <c r="T58" s="62"/>
      <c r="U58" s="64"/>
      <c r="V58" s="164"/>
      <c r="W58" s="62"/>
      <c r="X58" s="62"/>
      <c r="Y58" s="62"/>
      <c r="Z58" s="64"/>
      <c r="AA58" s="164"/>
      <c r="AB58" s="62"/>
      <c r="AC58" s="62"/>
      <c r="AD58" s="64"/>
      <c r="AE58" s="164"/>
      <c r="AF58" s="62"/>
      <c r="AG58" s="62"/>
      <c r="AH58" s="337"/>
      <c r="AI58" s="337"/>
      <c r="AJ58" s="337"/>
      <c r="AK58" s="337"/>
      <c r="AL58" s="412"/>
      <c r="AM58" s="414"/>
      <c r="AN58" s="45"/>
      <c r="AO58" s="45"/>
      <c r="AP58" s="45"/>
      <c r="AQ58" s="396"/>
      <c r="AR58" s="100"/>
      <c r="AS58" s="24"/>
      <c r="AT58" s="24"/>
      <c r="AU58" s="24"/>
      <c r="AV58" s="24"/>
      <c r="AW58" s="18">
        <v>20</v>
      </c>
      <c r="AX58" s="69" t="s">
        <v>291</v>
      </c>
      <c r="AY58" s="243" t="s">
        <v>154</v>
      </c>
      <c r="AZ58" s="243" t="str">
        <f t="shared" si="0"/>
        <v>Coho</v>
      </c>
      <c r="BA58" s="243" t="s">
        <v>419</v>
      </c>
      <c r="BB58" s="246"/>
      <c r="BC58" s="43" t="str">
        <f t="shared" si="1"/>
        <v>-</v>
      </c>
      <c r="BD58" s="43">
        <f t="shared" si="2"/>
        <v>0</v>
      </c>
      <c r="BE58" s="193">
        <f t="shared" si="3"/>
        <v>0</v>
      </c>
      <c r="BF58" s="193">
        <f t="shared" si="4"/>
        <v>0</v>
      </c>
      <c r="BG58" s="193">
        <f t="shared" si="5"/>
        <v>0</v>
      </c>
      <c r="BH58" s="307" t="str">
        <f t="shared" si="6"/>
        <v>-</v>
      </c>
      <c r="BI58" s="265" t="str">
        <f t="shared" si="24"/>
        <v>-</v>
      </c>
      <c r="BJ58" s="26" t="str">
        <f t="shared" si="7"/>
        <v>FOUR MILE CREEKCoho</v>
      </c>
      <c r="BK58" s="26">
        <f t="shared" si="8"/>
        <v>0</v>
      </c>
      <c r="BL58" s="33">
        <f t="shared" si="26"/>
        <v>0</v>
      </c>
      <c r="BQ58" s="47" t="str">
        <f t="shared" si="10"/>
        <v>FOUR MILE CREEKCoho</v>
      </c>
      <c r="BR58" s="49">
        <f t="shared" si="11"/>
        <v>0</v>
      </c>
      <c r="BS58" s="49">
        <f t="shared" si="12"/>
        <v>0</v>
      </c>
      <c r="BT58" s="31">
        <v>0</v>
      </c>
      <c r="BU58" s="188">
        <f t="shared" si="13"/>
        <v>0</v>
      </c>
      <c r="BV58" s="188" t="str">
        <f t="shared" si="14"/>
        <v xml:space="preserve"> </v>
      </c>
      <c r="BW58" s="188" t="str">
        <f t="shared" si="15"/>
        <v xml:space="preserve"> </v>
      </c>
      <c r="BX58" s="188" t="str">
        <f t="shared" si="16"/>
        <v xml:space="preserve"> </v>
      </c>
      <c r="BY58" s="50" t="str">
        <f t="shared" si="17"/>
        <v>FOUR MILE CREEK_Coho</v>
      </c>
      <c r="BZ58" s="50" t="str">
        <f>IFERROR(VLOOKUP(BY58,'[1]WCVI Esc'!$C$5:$W$555,18,FALSE),"-")</f>
        <v>-</v>
      </c>
      <c r="CA58" s="50" t="str">
        <f t="shared" si="18"/>
        <v>-</v>
      </c>
      <c r="CB58" s="50" t="str">
        <f>IFERROR(VLOOKUP(BY58,'[1]WCVI Esc'!$C$5:$W$555,19,FALSE),"-")</f>
        <v>-</v>
      </c>
      <c r="CC58" s="50" t="str">
        <f t="shared" si="19"/>
        <v>-</v>
      </c>
      <c r="CE58" s="342" t="str">
        <f t="shared" si="20"/>
        <v>FOUR MILE CREEK_Coho</v>
      </c>
      <c r="CF58" s="341" t="str">
        <f>IFERROR(VLOOKUP(BY58,'RawPL+D'!$O$8:$AB$503,12,FALSE),"-")</f>
        <v>-</v>
      </c>
      <c r="CG58" s="338" t="str">
        <f t="shared" si="21"/>
        <v>-</v>
      </c>
      <c r="CH58" s="341" t="str">
        <f>IFERROR(VLOOKUP(BY58,'RawPL+D'!$O$8:$AB$503,13,FALSE),"-")</f>
        <v>-</v>
      </c>
      <c r="CI58" s="338" t="str">
        <f t="shared" si="22"/>
        <v>-</v>
      </c>
    </row>
    <row r="59" spans="1:87" ht="12.75" hidden="1" customHeight="1" x14ac:dyDescent="0.2">
      <c r="A59" s="28">
        <v>4</v>
      </c>
      <c r="B59" s="28">
        <v>3</v>
      </c>
      <c r="C59" s="11">
        <v>20</v>
      </c>
      <c r="D59" s="13" t="s">
        <v>291</v>
      </c>
      <c r="E59" s="21" t="s">
        <v>154</v>
      </c>
      <c r="F59" s="21" t="s">
        <v>208</v>
      </c>
      <c r="G59" s="21"/>
      <c r="H59" s="21"/>
      <c r="I59" s="21"/>
      <c r="J59" s="21"/>
      <c r="K59" s="579"/>
      <c r="L59" s="152"/>
      <c r="M59" s="164"/>
      <c r="N59" s="62"/>
      <c r="O59" s="62"/>
      <c r="P59" s="62"/>
      <c r="Q59" s="164"/>
      <c r="R59" s="62"/>
      <c r="S59" s="62"/>
      <c r="T59" s="62"/>
      <c r="U59" s="64"/>
      <c r="V59" s="164"/>
      <c r="W59" s="62"/>
      <c r="X59" s="62"/>
      <c r="Y59" s="62"/>
      <c r="Z59" s="64"/>
      <c r="AA59" s="164"/>
      <c r="AB59" s="62"/>
      <c r="AC59" s="62"/>
      <c r="AD59" s="64"/>
      <c r="AE59" s="164"/>
      <c r="AF59" s="62"/>
      <c r="AG59" s="62"/>
      <c r="AH59" s="337"/>
      <c r="AI59" s="337"/>
      <c r="AJ59" s="337"/>
      <c r="AK59" s="337"/>
      <c r="AL59" s="412"/>
      <c r="AM59" s="414"/>
      <c r="AN59" s="45"/>
      <c r="AO59" s="45"/>
      <c r="AP59" s="45"/>
      <c r="AQ59" s="396"/>
      <c r="AR59" s="100"/>
      <c r="AS59" s="24"/>
      <c r="AT59" s="24"/>
      <c r="AU59" s="24"/>
      <c r="AV59" s="24"/>
      <c r="AW59" s="18">
        <v>20</v>
      </c>
      <c r="AX59" s="69" t="s">
        <v>291</v>
      </c>
      <c r="AY59" s="243" t="s">
        <v>154</v>
      </c>
      <c r="AZ59" s="243" t="str">
        <f t="shared" si="0"/>
        <v>Pink</v>
      </c>
      <c r="BA59" s="243" t="s">
        <v>419</v>
      </c>
      <c r="BB59" s="246"/>
      <c r="BC59" s="43" t="str">
        <f t="shared" si="1"/>
        <v>-</v>
      </c>
      <c r="BD59" s="43">
        <f t="shared" si="2"/>
        <v>0</v>
      </c>
      <c r="BE59" s="193">
        <f t="shared" si="3"/>
        <v>0</v>
      </c>
      <c r="BF59" s="193">
        <f t="shared" si="4"/>
        <v>0</v>
      </c>
      <c r="BG59" s="193">
        <f t="shared" si="5"/>
        <v>0</v>
      </c>
      <c r="BH59" s="307" t="str">
        <f t="shared" si="6"/>
        <v>-</v>
      </c>
      <c r="BI59" s="265" t="str">
        <f t="shared" si="24"/>
        <v>-</v>
      </c>
      <c r="BJ59" s="26" t="str">
        <f t="shared" si="7"/>
        <v>FOUR MILE CREEKPink</v>
      </c>
      <c r="BK59" s="26">
        <f t="shared" si="8"/>
        <v>0</v>
      </c>
      <c r="BL59" s="33">
        <f t="shared" si="26"/>
        <v>0</v>
      </c>
      <c r="BQ59" s="47" t="str">
        <f t="shared" si="10"/>
        <v>FOUR MILE CREEKPink</v>
      </c>
      <c r="BR59" s="49">
        <f t="shared" si="11"/>
        <v>0</v>
      </c>
      <c r="BS59" s="49">
        <f t="shared" si="12"/>
        <v>0</v>
      </c>
      <c r="BT59" s="31">
        <v>0</v>
      </c>
      <c r="BU59" s="188">
        <f t="shared" si="13"/>
        <v>0</v>
      </c>
      <c r="BV59" s="188" t="str">
        <f t="shared" si="14"/>
        <v xml:space="preserve"> </v>
      </c>
      <c r="BW59" s="188" t="str">
        <f t="shared" si="15"/>
        <v xml:space="preserve"> </v>
      </c>
      <c r="BX59" s="188" t="str">
        <f t="shared" si="16"/>
        <v xml:space="preserve"> </v>
      </c>
      <c r="BY59" s="50" t="str">
        <f t="shared" si="17"/>
        <v>FOUR MILE CREEK_Pink</v>
      </c>
      <c r="BZ59" s="50" t="str">
        <f>IFERROR(VLOOKUP(BY59,'[1]WCVI Esc'!$C$5:$W$555,18,FALSE),"-")</f>
        <v>-</v>
      </c>
      <c r="CA59" s="50" t="str">
        <f t="shared" si="18"/>
        <v>-</v>
      </c>
      <c r="CB59" s="50" t="str">
        <f>IFERROR(VLOOKUP(BY59,'[1]WCVI Esc'!$C$5:$W$555,19,FALSE),"-")</f>
        <v>-</v>
      </c>
      <c r="CC59" s="50" t="str">
        <f t="shared" si="19"/>
        <v>-</v>
      </c>
      <c r="CE59" s="342" t="str">
        <f t="shared" si="20"/>
        <v>FOUR MILE CREEK_Pink</v>
      </c>
      <c r="CF59" s="341" t="str">
        <f>IFERROR(VLOOKUP(BY59,'RawPL+D'!$O$8:$AB$503,12,FALSE),"-")</f>
        <v>-</v>
      </c>
      <c r="CG59" s="338" t="str">
        <f t="shared" si="21"/>
        <v>-</v>
      </c>
      <c r="CH59" s="341" t="str">
        <f>IFERROR(VLOOKUP(BY59,'RawPL+D'!$O$8:$AB$503,13,FALSE),"-")</f>
        <v>-</v>
      </c>
      <c r="CI59" s="338" t="str">
        <f t="shared" si="22"/>
        <v>-</v>
      </c>
    </row>
    <row r="60" spans="1:87" ht="12.75" hidden="1" customHeight="1" x14ac:dyDescent="0.2">
      <c r="A60" s="28">
        <v>4</v>
      </c>
      <c r="B60" s="28">
        <v>4</v>
      </c>
      <c r="C60" s="11">
        <v>20</v>
      </c>
      <c r="D60" s="147" t="s">
        <v>291</v>
      </c>
      <c r="E60" s="21" t="s">
        <v>154</v>
      </c>
      <c r="F60" s="21" t="s">
        <v>209</v>
      </c>
      <c r="G60" s="21"/>
      <c r="H60" s="21"/>
      <c r="I60" s="21"/>
      <c r="J60" s="21"/>
      <c r="K60" s="579"/>
      <c r="L60" s="152"/>
      <c r="M60" s="164"/>
      <c r="N60" s="62"/>
      <c r="O60" s="62"/>
      <c r="P60" s="62"/>
      <c r="Q60" s="164"/>
      <c r="R60" s="62"/>
      <c r="S60" s="62"/>
      <c r="T60" s="62"/>
      <c r="U60" s="64"/>
      <c r="V60" s="164"/>
      <c r="W60" s="62"/>
      <c r="X60" s="62"/>
      <c r="Y60" s="62"/>
      <c r="Z60" s="64"/>
      <c r="AA60" s="164"/>
      <c r="AB60" s="62"/>
      <c r="AC60" s="62"/>
      <c r="AD60" s="64"/>
      <c r="AE60" s="164"/>
      <c r="AF60" s="62"/>
      <c r="AG60" s="62"/>
      <c r="AH60" s="337"/>
      <c r="AI60" s="337"/>
      <c r="AJ60" s="337"/>
      <c r="AK60" s="337"/>
      <c r="AL60" s="412"/>
      <c r="AM60" s="414"/>
      <c r="AN60" s="45"/>
      <c r="AO60" s="45"/>
      <c r="AP60" s="45"/>
      <c r="AQ60" s="396"/>
      <c r="AR60"/>
      <c r="AS60" s="24"/>
      <c r="AT60" s="24"/>
      <c r="AU60" s="24"/>
      <c r="AV60" s="24"/>
      <c r="AW60" s="18">
        <v>20</v>
      </c>
      <c r="AX60" s="69" t="s">
        <v>291</v>
      </c>
      <c r="AY60" s="243" t="s">
        <v>154</v>
      </c>
      <c r="AZ60" s="243" t="str">
        <f t="shared" si="0"/>
        <v>Chum</v>
      </c>
      <c r="BA60" s="243" t="s">
        <v>419</v>
      </c>
      <c r="BB60" s="246"/>
      <c r="BC60" s="43" t="str">
        <f t="shared" si="1"/>
        <v>-</v>
      </c>
      <c r="BD60" s="43">
        <f t="shared" si="2"/>
        <v>0</v>
      </c>
      <c r="BE60" s="193">
        <f t="shared" si="3"/>
        <v>0</v>
      </c>
      <c r="BF60" s="193">
        <f t="shared" si="4"/>
        <v>0</v>
      </c>
      <c r="BG60" s="193">
        <f t="shared" si="5"/>
        <v>0</v>
      </c>
      <c r="BH60" s="307" t="str">
        <f t="shared" si="6"/>
        <v>-</v>
      </c>
      <c r="BI60" s="265" t="str">
        <f t="shared" si="24"/>
        <v>-</v>
      </c>
      <c r="BJ60" s="26" t="str">
        <f t="shared" si="7"/>
        <v>FOUR MILE CREEKChum</v>
      </c>
      <c r="BK60" s="26">
        <f t="shared" si="8"/>
        <v>0</v>
      </c>
      <c r="BL60" s="33">
        <f t="shared" si="26"/>
        <v>0</v>
      </c>
      <c r="BQ60" s="47" t="str">
        <f t="shared" si="10"/>
        <v>FOUR MILE CREEKChum</v>
      </c>
      <c r="BR60" s="49">
        <f t="shared" si="11"/>
        <v>0</v>
      </c>
      <c r="BS60" s="49">
        <f t="shared" si="12"/>
        <v>0</v>
      </c>
      <c r="BT60" s="31">
        <v>0</v>
      </c>
      <c r="BU60" s="188">
        <f t="shared" si="13"/>
        <v>0</v>
      </c>
      <c r="BV60" s="188" t="str">
        <f t="shared" si="14"/>
        <v xml:space="preserve"> </v>
      </c>
      <c r="BW60" s="188" t="str">
        <f t="shared" si="15"/>
        <v xml:space="preserve"> </v>
      </c>
      <c r="BX60" s="188" t="str">
        <f t="shared" si="16"/>
        <v xml:space="preserve"> </v>
      </c>
      <c r="BY60" s="50" t="str">
        <f t="shared" si="17"/>
        <v>FOUR MILE CREEK_Chum</v>
      </c>
      <c r="BZ60" s="50" t="str">
        <f>IFERROR(VLOOKUP(BY60,'[1]WCVI Esc'!$C$5:$W$555,18,FALSE),"-")</f>
        <v>-</v>
      </c>
      <c r="CA60" s="50" t="str">
        <f t="shared" si="18"/>
        <v>-</v>
      </c>
      <c r="CB60" s="50" t="str">
        <f>IFERROR(VLOOKUP(BY60,'[1]WCVI Esc'!$C$5:$W$555,19,FALSE),"-")</f>
        <v>-</v>
      </c>
      <c r="CC60" s="50" t="str">
        <f t="shared" si="19"/>
        <v>-</v>
      </c>
      <c r="CE60" s="342" t="str">
        <f t="shared" si="20"/>
        <v>FOUR MILE CREEK_Chum</v>
      </c>
      <c r="CF60" s="341" t="str">
        <f>IFERROR(VLOOKUP(BY60,'RawPL+D'!$O$8:$AB$503,12,FALSE),"-")</f>
        <v>-</v>
      </c>
      <c r="CG60" s="338" t="str">
        <f t="shared" si="21"/>
        <v>-</v>
      </c>
      <c r="CH60" s="341" t="str">
        <f>IFERROR(VLOOKUP(BY60,'RawPL+D'!$O$8:$AB$503,13,FALSE),"-")</f>
        <v>-</v>
      </c>
      <c r="CI60" s="338" t="str">
        <f t="shared" si="22"/>
        <v>-</v>
      </c>
    </row>
    <row r="61" spans="1:87" ht="12.75" hidden="1" customHeight="1" x14ac:dyDescent="0.2">
      <c r="A61" s="28">
        <v>4</v>
      </c>
      <c r="B61" s="28">
        <v>5</v>
      </c>
      <c r="C61" s="11">
        <v>20</v>
      </c>
      <c r="D61" s="147" t="s">
        <v>291</v>
      </c>
      <c r="E61" s="21" t="s">
        <v>154</v>
      </c>
      <c r="F61" s="10" t="s">
        <v>210</v>
      </c>
      <c r="G61" s="21"/>
      <c r="H61" s="21"/>
      <c r="I61" s="21"/>
      <c r="J61" s="21"/>
      <c r="K61" s="579"/>
      <c r="L61" s="152"/>
      <c r="M61" s="164"/>
      <c r="N61" s="62"/>
      <c r="O61" s="62"/>
      <c r="P61" s="62"/>
      <c r="Q61" s="164"/>
      <c r="R61" s="62"/>
      <c r="S61" s="62"/>
      <c r="T61" s="62"/>
      <c r="U61" s="64"/>
      <c r="V61" s="164"/>
      <c r="W61" s="62"/>
      <c r="X61" s="62"/>
      <c r="Y61" s="62"/>
      <c r="Z61" s="64"/>
      <c r="AA61" s="164"/>
      <c r="AB61" s="62"/>
      <c r="AC61" s="62"/>
      <c r="AD61" s="64"/>
      <c r="AE61" s="164"/>
      <c r="AF61" s="62"/>
      <c r="AG61" s="62"/>
      <c r="AH61" s="337"/>
      <c r="AI61" s="337"/>
      <c r="AJ61" s="337"/>
      <c r="AK61" s="337"/>
      <c r="AL61" s="412"/>
      <c r="AM61" s="414"/>
      <c r="AN61" s="45"/>
      <c r="AO61" s="45"/>
      <c r="AP61" s="45"/>
      <c r="AQ61" s="396"/>
      <c r="AR61"/>
      <c r="AS61" s="24"/>
      <c r="AT61" s="24"/>
      <c r="AU61" s="24"/>
      <c r="AV61" s="24"/>
      <c r="AW61" s="18">
        <v>20</v>
      </c>
      <c r="AX61" s="69" t="s">
        <v>291</v>
      </c>
      <c r="AY61" s="243" t="s">
        <v>154</v>
      </c>
      <c r="AZ61" s="243" t="str">
        <f t="shared" si="0"/>
        <v>Chinook</v>
      </c>
      <c r="BA61" s="243" t="s">
        <v>419</v>
      </c>
      <c r="BB61" s="246"/>
      <c r="BC61" s="43" t="str">
        <f t="shared" si="1"/>
        <v>-</v>
      </c>
      <c r="BD61" s="43">
        <f t="shared" si="2"/>
        <v>0</v>
      </c>
      <c r="BE61" s="193">
        <f t="shared" si="3"/>
        <v>0</v>
      </c>
      <c r="BF61" s="193">
        <f t="shared" si="4"/>
        <v>0</v>
      </c>
      <c r="BG61" s="193">
        <f t="shared" si="5"/>
        <v>0</v>
      </c>
      <c r="BH61" s="307" t="str">
        <f t="shared" si="6"/>
        <v>-</v>
      </c>
      <c r="BI61" s="265" t="str">
        <f t="shared" si="24"/>
        <v>-</v>
      </c>
      <c r="BJ61" s="26" t="str">
        <f t="shared" si="7"/>
        <v>FOUR MILE CREEKChinook</v>
      </c>
      <c r="BK61" s="26">
        <f t="shared" si="8"/>
        <v>0</v>
      </c>
      <c r="BL61" s="33">
        <f t="shared" si="26"/>
        <v>0</v>
      </c>
      <c r="BQ61" s="47" t="str">
        <f t="shared" si="10"/>
        <v>FOUR MILE CREEKChinook</v>
      </c>
      <c r="BR61" s="49">
        <f t="shared" si="11"/>
        <v>0</v>
      </c>
      <c r="BS61" s="49">
        <f t="shared" si="12"/>
        <v>0</v>
      </c>
      <c r="BT61" s="31">
        <v>0</v>
      </c>
      <c r="BU61" s="188">
        <f t="shared" si="13"/>
        <v>0</v>
      </c>
      <c r="BV61" s="188" t="str">
        <f t="shared" si="14"/>
        <v xml:space="preserve"> </v>
      </c>
      <c r="BW61" s="188" t="str">
        <f t="shared" si="15"/>
        <v xml:space="preserve"> </v>
      </c>
      <c r="BX61" s="188" t="str">
        <f t="shared" si="16"/>
        <v xml:space="preserve"> </v>
      </c>
      <c r="BY61" s="50" t="str">
        <f t="shared" si="17"/>
        <v>FOUR MILE CREEK_Chinook</v>
      </c>
      <c r="BZ61" s="50" t="str">
        <f>IFERROR(VLOOKUP(BY61,'[1]WCVI Esc'!$C$5:$W$555,18,FALSE),"-")</f>
        <v>-</v>
      </c>
      <c r="CA61" s="50" t="str">
        <f t="shared" si="18"/>
        <v>-</v>
      </c>
      <c r="CB61" s="50" t="str">
        <f>IFERROR(VLOOKUP(BY61,'[1]WCVI Esc'!$C$5:$W$555,19,FALSE),"-")</f>
        <v>-</v>
      </c>
      <c r="CC61" s="50" t="str">
        <f t="shared" si="19"/>
        <v>-</v>
      </c>
      <c r="CE61" s="342" t="str">
        <f t="shared" si="20"/>
        <v>FOUR MILE CREEK_Chinook</v>
      </c>
      <c r="CF61" s="341" t="str">
        <f>IFERROR(VLOOKUP(BY61,'RawPL+D'!$O$8:$AB$503,12,FALSE),"-")</f>
        <v>-</v>
      </c>
      <c r="CG61" s="338" t="str">
        <f t="shared" si="21"/>
        <v>-</v>
      </c>
      <c r="CH61" s="341" t="str">
        <f>IFERROR(VLOOKUP(BY61,'RawPL+D'!$O$8:$AB$503,13,FALSE),"-")</f>
        <v>-</v>
      </c>
      <c r="CI61" s="338" t="str">
        <f t="shared" si="22"/>
        <v>-</v>
      </c>
    </row>
    <row r="62" spans="1:87" ht="12.75" hidden="1" customHeight="1" x14ac:dyDescent="0.2">
      <c r="A62" s="28">
        <v>4</v>
      </c>
      <c r="B62" s="28">
        <v>6</v>
      </c>
      <c r="C62" s="11">
        <v>20</v>
      </c>
      <c r="D62" s="147" t="s">
        <v>291</v>
      </c>
      <c r="E62" s="21" t="s">
        <v>154</v>
      </c>
      <c r="F62" s="21" t="s">
        <v>211</v>
      </c>
      <c r="G62" s="21"/>
      <c r="H62" s="21"/>
      <c r="I62" s="21"/>
      <c r="J62" s="21"/>
      <c r="K62" s="579"/>
      <c r="L62" s="152"/>
      <c r="M62" s="164"/>
      <c r="N62" s="62"/>
      <c r="O62" s="62"/>
      <c r="P62" s="62"/>
      <c r="Q62" s="164"/>
      <c r="R62" s="62"/>
      <c r="S62" s="62"/>
      <c r="T62" s="62"/>
      <c r="U62" s="64"/>
      <c r="V62" s="164"/>
      <c r="W62" s="62"/>
      <c r="X62" s="62"/>
      <c r="Y62" s="62"/>
      <c r="Z62" s="64"/>
      <c r="AA62" s="164"/>
      <c r="AB62" s="62"/>
      <c r="AC62" s="62"/>
      <c r="AD62" s="64"/>
      <c r="AE62" s="164"/>
      <c r="AF62" s="62"/>
      <c r="AG62" s="62"/>
      <c r="AH62" s="337"/>
      <c r="AI62" s="337"/>
      <c r="AJ62" s="337"/>
      <c r="AK62" s="337"/>
      <c r="AL62" s="412"/>
      <c r="AM62" s="414"/>
      <c r="AN62" s="45"/>
      <c r="AO62" s="45"/>
      <c r="AP62" s="45"/>
      <c r="AQ62" s="396"/>
      <c r="AR62" s="100"/>
      <c r="AS62" s="24"/>
      <c r="AT62" s="24"/>
      <c r="AU62" s="24"/>
      <c r="AV62" s="24"/>
      <c r="AW62" s="18">
        <v>20</v>
      </c>
      <c r="AX62" s="69" t="s">
        <v>291</v>
      </c>
      <c r="AY62" s="243" t="s">
        <v>154</v>
      </c>
      <c r="AZ62" s="243" t="str">
        <f t="shared" si="0"/>
        <v>Steelhead</v>
      </c>
      <c r="BA62" s="243" t="s">
        <v>419</v>
      </c>
      <c r="BB62" s="246"/>
      <c r="BC62" s="43" t="str">
        <f t="shared" si="1"/>
        <v>-</v>
      </c>
      <c r="BD62" s="43">
        <f t="shared" si="2"/>
        <v>0</v>
      </c>
      <c r="BE62" s="193">
        <f t="shared" si="3"/>
        <v>0</v>
      </c>
      <c r="BF62" s="193">
        <f t="shared" si="4"/>
        <v>0</v>
      </c>
      <c r="BG62" s="193">
        <f t="shared" si="5"/>
        <v>0</v>
      </c>
      <c r="BH62" s="307" t="str">
        <f t="shared" si="6"/>
        <v>-</v>
      </c>
      <c r="BI62" s="265" t="str">
        <f t="shared" ref="BI62:BI93" si="27">CC62</f>
        <v>-</v>
      </c>
      <c r="BJ62" s="26" t="str">
        <f t="shared" si="7"/>
        <v>FOUR MILE CREEKSteelhead</v>
      </c>
      <c r="BK62" s="26">
        <f t="shared" si="8"/>
        <v>0</v>
      </c>
      <c r="BL62" s="33">
        <f t="shared" si="26"/>
        <v>0</v>
      </c>
      <c r="BQ62" s="47" t="str">
        <f t="shared" si="10"/>
        <v>FOUR MILE CREEKSteelhead</v>
      </c>
      <c r="BR62" s="49">
        <f t="shared" si="11"/>
        <v>0</v>
      </c>
      <c r="BS62" s="49">
        <f t="shared" si="12"/>
        <v>0</v>
      </c>
      <c r="BT62" s="31">
        <v>0</v>
      </c>
      <c r="BU62" s="188">
        <f t="shared" si="13"/>
        <v>0</v>
      </c>
      <c r="BV62" s="188" t="str">
        <f t="shared" si="14"/>
        <v xml:space="preserve"> </v>
      </c>
      <c r="BW62" s="188" t="str">
        <f t="shared" si="15"/>
        <v xml:space="preserve"> </v>
      </c>
      <c r="BX62" s="188" t="str">
        <f t="shared" si="16"/>
        <v xml:space="preserve"> </v>
      </c>
      <c r="BY62" s="50" t="str">
        <f t="shared" si="17"/>
        <v>FOUR MILE CREEK_Steelhead</v>
      </c>
      <c r="BZ62" s="50" t="str">
        <f>IFERROR(VLOOKUP(BY62,'[1]WCVI Esc'!$C$5:$W$555,18,FALSE),"-")</f>
        <v>-</v>
      </c>
      <c r="CA62" s="50" t="str">
        <f t="shared" si="18"/>
        <v>-</v>
      </c>
      <c r="CB62" s="50" t="str">
        <f>IFERROR(VLOOKUP(BY62,'[1]WCVI Esc'!$C$5:$W$555,19,FALSE),"-")</f>
        <v>-</v>
      </c>
      <c r="CC62" s="50" t="str">
        <f t="shared" si="19"/>
        <v>-</v>
      </c>
      <c r="CE62" s="342" t="str">
        <f t="shared" si="20"/>
        <v>FOUR MILE CREEK_Steelhead</v>
      </c>
      <c r="CF62" s="341" t="str">
        <f>IFERROR(VLOOKUP(BY62,'RawPL+D'!$O$8:$AB$503,12,FALSE),"-")</f>
        <v>-</v>
      </c>
      <c r="CG62" s="338" t="str">
        <f t="shared" si="21"/>
        <v>-</v>
      </c>
      <c r="CH62" s="341" t="str">
        <f>IFERROR(VLOOKUP(BY62,'RawPL+D'!$O$8:$AB$503,13,FALSE),"-")</f>
        <v>-</v>
      </c>
      <c r="CI62" s="338" t="str">
        <f t="shared" si="22"/>
        <v>-</v>
      </c>
    </row>
    <row r="63" spans="1:87" ht="12.75" hidden="1" customHeight="1" x14ac:dyDescent="0.2">
      <c r="A63" s="28">
        <v>4</v>
      </c>
      <c r="B63" s="28">
        <v>1</v>
      </c>
      <c r="C63" s="11">
        <v>20</v>
      </c>
      <c r="D63" s="147" t="s">
        <v>291</v>
      </c>
      <c r="E63" s="21" t="s">
        <v>17</v>
      </c>
      <c r="F63" s="10" t="s">
        <v>207</v>
      </c>
      <c r="G63" s="21"/>
      <c r="H63" s="21"/>
      <c r="I63" s="21"/>
      <c r="J63" s="21"/>
      <c r="K63" s="579"/>
      <c r="L63" s="152"/>
      <c r="M63" s="62"/>
      <c r="N63" s="62"/>
      <c r="O63" s="62"/>
      <c r="P63" s="62"/>
      <c r="Q63" s="642">
        <v>6</v>
      </c>
      <c r="R63" s="62"/>
      <c r="S63" s="62"/>
      <c r="T63" s="62"/>
      <c r="U63" s="642">
        <v>2</v>
      </c>
      <c r="V63" s="426"/>
      <c r="W63" s="62"/>
      <c r="X63" s="62"/>
      <c r="Y63" s="62"/>
      <c r="Z63" s="64"/>
      <c r="AA63" s="164"/>
      <c r="AB63" s="62"/>
      <c r="AC63" s="62"/>
      <c r="AD63" s="64"/>
      <c r="AE63" s="164"/>
      <c r="AF63" s="62"/>
      <c r="AG63" s="62"/>
      <c r="AH63" s="337">
        <v>7</v>
      </c>
      <c r="AI63" s="337">
        <v>0</v>
      </c>
      <c r="AJ63" s="337">
        <v>0</v>
      </c>
      <c r="AK63" s="337">
        <v>0</v>
      </c>
      <c r="AL63" s="555">
        <v>7</v>
      </c>
      <c r="AM63" s="552">
        <v>7</v>
      </c>
      <c r="AN63" s="552" t="s">
        <v>765</v>
      </c>
      <c r="AO63" s="552" t="s">
        <v>483</v>
      </c>
      <c r="AP63" s="45"/>
      <c r="AQ63" s="396">
        <f>AL63/BI63</f>
        <v>0.35</v>
      </c>
      <c r="AR63" s="100">
        <f>BL63/BH63</f>
        <v>0.3</v>
      </c>
      <c r="AS63" s="100">
        <f>BL63/BI63</f>
        <v>0.3</v>
      </c>
      <c r="AT63" s="24"/>
      <c r="AU63" s="24"/>
      <c r="AV63" s="24"/>
      <c r="AW63" s="18">
        <v>20</v>
      </c>
      <c r="AX63" s="69" t="s">
        <v>291</v>
      </c>
      <c r="AY63" s="243" t="s">
        <v>17</v>
      </c>
      <c r="AZ63" s="243" t="str">
        <f t="shared" si="0"/>
        <v>Sockeye</v>
      </c>
      <c r="BA63" s="243" t="s">
        <v>419</v>
      </c>
      <c r="BB63" s="244" t="s">
        <v>370</v>
      </c>
      <c r="BC63" s="43" t="str">
        <f t="shared" si="1"/>
        <v>Oct 29-Nov4</v>
      </c>
      <c r="BD63" s="43">
        <f t="shared" si="2"/>
        <v>2</v>
      </c>
      <c r="BE63" s="193">
        <f t="shared" si="3"/>
        <v>6</v>
      </c>
      <c r="BF63" s="193">
        <f t="shared" si="4"/>
        <v>7</v>
      </c>
      <c r="BG63" s="193">
        <f t="shared" si="5"/>
        <v>7</v>
      </c>
      <c r="BH63" s="307">
        <f t="shared" si="6"/>
        <v>20</v>
      </c>
      <c r="BI63" s="265">
        <f t="shared" si="27"/>
        <v>20</v>
      </c>
      <c r="BJ63" s="26" t="str">
        <f t="shared" si="7"/>
        <v>GORDON RIVERSockeye</v>
      </c>
      <c r="BK63" s="26">
        <f t="shared" si="8"/>
        <v>2</v>
      </c>
      <c r="BL63" s="33">
        <f t="shared" si="26"/>
        <v>6</v>
      </c>
      <c r="BQ63" s="47" t="str">
        <f t="shared" si="10"/>
        <v>GORDON RIVERSockeye</v>
      </c>
      <c r="BR63" s="49">
        <f t="shared" si="11"/>
        <v>0</v>
      </c>
      <c r="BS63" s="49">
        <f t="shared" si="12"/>
        <v>7</v>
      </c>
      <c r="BT63" s="31">
        <v>2015</v>
      </c>
      <c r="BU63" s="188" t="str">
        <f t="shared" si="13"/>
        <v>PFN</v>
      </c>
      <c r="BV63" s="188" t="str">
        <f t="shared" si="14"/>
        <v>Oct 1-7</v>
      </c>
      <c r="BW63" s="188" t="str">
        <f t="shared" si="15"/>
        <v>Oct 29-Nov4</v>
      </c>
      <c r="BX63" s="188" t="str">
        <f t="shared" si="16"/>
        <v xml:space="preserve"> </v>
      </c>
      <c r="BY63" s="50" t="str">
        <f t="shared" si="17"/>
        <v>GORDON RIVER_Sockeye</v>
      </c>
      <c r="BZ63" s="50">
        <f>IFERROR(VLOOKUP(BY63,'[1]WCVI Esc'!$C$5:$W$555,18,FALSE),"-")</f>
        <v>18</v>
      </c>
      <c r="CA63" s="50">
        <f t="shared" si="18"/>
        <v>20</v>
      </c>
      <c r="CB63" s="50">
        <f>IFERROR(VLOOKUP(BY63,'[1]WCVI Esc'!$C$5:$W$555,19,FALSE),"-")</f>
        <v>18</v>
      </c>
      <c r="CC63" s="50">
        <f t="shared" si="19"/>
        <v>20</v>
      </c>
      <c r="CE63" s="342" t="str">
        <f t="shared" si="20"/>
        <v>GORDON RIVER_Sockeye</v>
      </c>
      <c r="CF63" s="341">
        <f>IFERROR(VLOOKUP(BY63,'RawPL+D'!$O$8:$AB$503,12,FALSE),"-")</f>
        <v>31</v>
      </c>
      <c r="CG63" s="338">
        <f t="shared" si="21"/>
        <v>30</v>
      </c>
      <c r="CH63" s="341">
        <f>IFERROR(VLOOKUP(BY63,'RawPL+D'!$O$8:$AB$503,13,FALSE),"-")</f>
        <v>23</v>
      </c>
      <c r="CI63" s="338">
        <f t="shared" si="22"/>
        <v>20</v>
      </c>
    </row>
    <row r="64" spans="1:87" ht="12.75" hidden="1" customHeight="1" x14ac:dyDescent="0.2">
      <c r="A64" s="28">
        <v>4</v>
      </c>
      <c r="B64" s="28">
        <v>2</v>
      </c>
      <c r="C64" s="11">
        <v>20</v>
      </c>
      <c r="D64" s="147" t="s">
        <v>291</v>
      </c>
      <c r="E64" s="21" t="s">
        <v>17</v>
      </c>
      <c r="F64" s="10" t="s">
        <v>219</v>
      </c>
      <c r="G64" s="21"/>
      <c r="H64" s="21"/>
      <c r="I64" s="21"/>
      <c r="J64" s="21"/>
      <c r="K64" s="579"/>
      <c r="L64" s="152"/>
      <c r="M64" s="62"/>
      <c r="N64" s="62"/>
      <c r="O64" s="62"/>
      <c r="P64" s="62"/>
      <c r="Q64" s="642">
        <v>830</v>
      </c>
      <c r="R64" s="62"/>
      <c r="S64" s="62"/>
      <c r="T64" s="62"/>
      <c r="U64" s="642">
        <f>598+1</f>
        <v>599</v>
      </c>
      <c r="V64" s="426"/>
      <c r="W64" s="62"/>
      <c r="X64" s="62"/>
      <c r="Y64" s="62"/>
      <c r="Z64" s="64"/>
      <c r="AA64" s="164"/>
      <c r="AB64" s="62"/>
      <c r="AC64" s="62"/>
      <c r="AD64" s="64"/>
      <c r="AE64" s="164"/>
      <c r="AF64" s="62"/>
      <c r="AG64" s="62"/>
      <c r="AH64" s="337">
        <v>922</v>
      </c>
      <c r="AI64" s="337">
        <v>124</v>
      </c>
      <c r="AJ64" s="337">
        <v>0</v>
      </c>
      <c r="AK64" s="337">
        <v>0</v>
      </c>
      <c r="AL64" s="555">
        <v>922</v>
      </c>
      <c r="AM64" s="552">
        <v>1046</v>
      </c>
      <c r="AN64" s="552" t="s">
        <v>765</v>
      </c>
      <c r="AO64" s="839" t="s">
        <v>483</v>
      </c>
      <c r="AP64" s="45"/>
      <c r="AQ64" s="396">
        <f>AL64/BI64</f>
        <v>1.3558823529411765</v>
      </c>
      <c r="AR64" s="100">
        <f>BL64/BH64</f>
        <v>1.0506329113924051</v>
      </c>
      <c r="AS64" s="100">
        <f>BL64/BI64</f>
        <v>1.2205882352941178</v>
      </c>
      <c r="AT64" s="24"/>
      <c r="AU64" s="24"/>
      <c r="AV64" s="24"/>
      <c r="AW64" s="18">
        <v>20</v>
      </c>
      <c r="AX64" s="69" t="s">
        <v>291</v>
      </c>
      <c r="AY64" s="243" t="s">
        <v>17</v>
      </c>
      <c r="AZ64" s="243" t="str">
        <f t="shared" si="0"/>
        <v>Coho</v>
      </c>
      <c r="BA64" s="243" t="s">
        <v>419</v>
      </c>
      <c r="BB64" s="244" t="s">
        <v>370</v>
      </c>
      <c r="BC64" s="43" t="str">
        <f t="shared" si="1"/>
        <v>Oct 29-Nov4</v>
      </c>
      <c r="BD64" s="43">
        <f t="shared" si="2"/>
        <v>2</v>
      </c>
      <c r="BE64" s="193">
        <f t="shared" si="3"/>
        <v>830</v>
      </c>
      <c r="BF64" s="193">
        <f t="shared" si="4"/>
        <v>922</v>
      </c>
      <c r="BG64" s="193">
        <f t="shared" si="5"/>
        <v>922</v>
      </c>
      <c r="BH64" s="307">
        <f t="shared" si="6"/>
        <v>790</v>
      </c>
      <c r="BI64" s="265">
        <f t="shared" si="27"/>
        <v>680</v>
      </c>
      <c r="BJ64" s="26" t="str">
        <f t="shared" si="7"/>
        <v>GORDON RIVERCoho</v>
      </c>
      <c r="BK64" s="26">
        <f t="shared" si="8"/>
        <v>2</v>
      </c>
      <c r="BL64" s="33">
        <f t="shared" si="26"/>
        <v>830</v>
      </c>
      <c r="BQ64" s="47" t="str">
        <f t="shared" si="10"/>
        <v>GORDON RIVERCoho</v>
      </c>
      <c r="BR64" s="49">
        <f t="shared" si="11"/>
        <v>0</v>
      </c>
      <c r="BS64" s="49">
        <f t="shared" si="12"/>
        <v>922</v>
      </c>
      <c r="BT64" s="31">
        <v>2015</v>
      </c>
      <c r="BU64" s="188" t="str">
        <f t="shared" si="13"/>
        <v>PFN</v>
      </c>
      <c r="BV64" s="188" t="str">
        <f t="shared" si="14"/>
        <v>Oct 1-7</v>
      </c>
      <c r="BW64" s="188" t="str">
        <f t="shared" si="15"/>
        <v>Oct 29-Nov4</v>
      </c>
      <c r="BX64" s="188" t="str">
        <f t="shared" si="16"/>
        <v xml:space="preserve"> </v>
      </c>
      <c r="BY64" s="50" t="str">
        <f t="shared" si="17"/>
        <v>GORDON RIVER_Coho</v>
      </c>
      <c r="BZ64" s="50">
        <f>IFERROR(VLOOKUP(BY64,'[1]WCVI Esc'!$C$5:$W$555,18,FALSE),"-")</f>
        <v>719.66666666666663</v>
      </c>
      <c r="CA64" s="50">
        <f t="shared" si="18"/>
        <v>720</v>
      </c>
      <c r="CB64" s="50">
        <f>IFERROR(VLOOKUP(BY64,'[1]WCVI Esc'!$C$5:$W$555,19,FALSE),"-")</f>
        <v>683.2</v>
      </c>
      <c r="CC64" s="50">
        <f t="shared" si="19"/>
        <v>680</v>
      </c>
      <c r="CE64" s="342" t="str">
        <f t="shared" si="20"/>
        <v>GORDON RIVER_Coho</v>
      </c>
      <c r="CF64" s="341">
        <f>IFERROR(VLOOKUP(CE64,'RawPL+D'!$O$8:$AB$503,12,FALSE),"-")</f>
        <v>754</v>
      </c>
      <c r="CG64" s="338">
        <f t="shared" si="21"/>
        <v>750</v>
      </c>
      <c r="CH64" s="341">
        <f>IFERROR(VLOOKUP(CE64,'RawPL+D'!$O$8:$AB$503,13,FALSE),"-")</f>
        <v>786.5</v>
      </c>
      <c r="CI64" s="338">
        <f t="shared" si="22"/>
        <v>790</v>
      </c>
    </row>
    <row r="65" spans="1:87" ht="12.75" hidden="1" customHeight="1" x14ac:dyDescent="0.2">
      <c r="A65" s="28">
        <v>4</v>
      </c>
      <c r="B65" s="28">
        <v>3</v>
      </c>
      <c r="C65" s="11">
        <v>20</v>
      </c>
      <c r="D65" s="147" t="s">
        <v>291</v>
      </c>
      <c r="E65" s="21" t="s">
        <v>17</v>
      </c>
      <c r="F65" s="10" t="s">
        <v>208</v>
      </c>
      <c r="G65" s="21"/>
      <c r="H65" s="21"/>
      <c r="I65" s="21"/>
      <c r="J65" s="21"/>
      <c r="K65" s="579"/>
      <c r="L65" s="152"/>
      <c r="M65" s="62"/>
      <c r="N65" s="62"/>
      <c r="O65" s="62"/>
      <c r="P65" s="62"/>
      <c r="Q65" s="642">
        <v>0</v>
      </c>
      <c r="R65" s="62"/>
      <c r="S65" s="62"/>
      <c r="T65" s="62"/>
      <c r="U65" s="642">
        <v>0</v>
      </c>
      <c r="V65" s="164"/>
      <c r="W65" s="62"/>
      <c r="X65" s="62"/>
      <c r="Y65" s="62"/>
      <c r="Z65" s="64"/>
      <c r="AA65" s="164"/>
      <c r="AB65" s="62"/>
      <c r="AC65" s="62"/>
      <c r="AD65" s="64"/>
      <c r="AE65" s="164"/>
      <c r="AF65" s="62"/>
      <c r="AG65" s="62"/>
      <c r="AH65" s="337"/>
      <c r="AI65" s="337"/>
      <c r="AJ65" s="337"/>
      <c r="AK65" s="337"/>
      <c r="AL65" s="850" t="s">
        <v>770</v>
      </c>
      <c r="AM65" s="552"/>
      <c r="AN65" s="841"/>
      <c r="AO65" s="45"/>
      <c r="AP65" s="45"/>
      <c r="AQ65" s="396"/>
      <c r="AR65" s="100"/>
      <c r="AS65" s="100" t="e">
        <f>BL65/BI65</f>
        <v>#VALUE!</v>
      </c>
      <c r="AT65" s="24"/>
      <c r="AU65" s="24"/>
      <c r="AV65" s="24"/>
      <c r="AW65" s="18">
        <v>20</v>
      </c>
      <c r="AX65" s="69" t="s">
        <v>291</v>
      </c>
      <c r="AY65" s="243" t="s">
        <v>17</v>
      </c>
      <c r="AZ65" s="243" t="str">
        <f t="shared" si="0"/>
        <v>Pink</v>
      </c>
      <c r="BA65" s="243" t="s">
        <v>419</v>
      </c>
      <c r="BB65" s="244" t="s">
        <v>370</v>
      </c>
      <c r="BC65" s="43" t="str">
        <f t="shared" si="1"/>
        <v>Oct 29-Nov4</v>
      </c>
      <c r="BD65" s="43">
        <f t="shared" si="2"/>
        <v>2</v>
      </c>
      <c r="BE65" s="193">
        <f t="shared" si="3"/>
        <v>0</v>
      </c>
      <c r="BF65" s="193" t="str">
        <f t="shared" si="4"/>
        <v>NO</v>
      </c>
      <c r="BG65" s="193">
        <f t="shared" si="5"/>
        <v>0</v>
      </c>
      <c r="BH65" s="307">
        <f t="shared" si="6"/>
        <v>0</v>
      </c>
      <c r="BI65" s="265" t="str">
        <f t="shared" si="27"/>
        <v>-</v>
      </c>
      <c r="BJ65" s="26" t="str">
        <f t="shared" si="7"/>
        <v>GORDON RIVERPink</v>
      </c>
      <c r="BK65" s="26">
        <f t="shared" si="8"/>
        <v>2</v>
      </c>
      <c r="BL65" s="33">
        <f t="shared" si="26"/>
        <v>0</v>
      </c>
      <c r="BQ65" s="47" t="str">
        <f t="shared" si="10"/>
        <v>GORDON RIVERPink</v>
      </c>
      <c r="BR65" s="49">
        <f t="shared" si="11"/>
        <v>0</v>
      </c>
      <c r="BS65" s="49" t="str">
        <f t="shared" si="12"/>
        <v>NO</v>
      </c>
      <c r="BT65" s="31">
        <v>2009</v>
      </c>
      <c r="BU65" s="188" t="str">
        <f t="shared" si="13"/>
        <v>PFN</v>
      </c>
      <c r="BV65" s="188" t="str">
        <f t="shared" si="14"/>
        <v>Oct 1-7</v>
      </c>
      <c r="BW65" s="188" t="str">
        <f t="shared" si="15"/>
        <v>Oct 29-Nov4</v>
      </c>
      <c r="BX65" s="188" t="str">
        <f t="shared" si="16"/>
        <v xml:space="preserve"> </v>
      </c>
      <c r="BY65" s="50" t="str">
        <f t="shared" si="17"/>
        <v>GORDON RIVER_Pink</v>
      </c>
      <c r="BZ65" s="50" t="str">
        <f>IFERROR(VLOOKUP(BY65,'[1]WCVI Esc'!$C$5:$W$555,18,FALSE),"-")</f>
        <v>-</v>
      </c>
      <c r="CA65" s="50" t="str">
        <f t="shared" si="18"/>
        <v>-</v>
      </c>
      <c r="CB65" s="50" t="str">
        <f>IFERROR(VLOOKUP(BY65,'[1]WCVI Esc'!$C$5:$W$555,19,FALSE),"-")</f>
        <v>-</v>
      </c>
      <c r="CC65" s="50" t="str">
        <f t="shared" si="19"/>
        <v>-</v>
      </c>
      <c r="CE65" s="342" t="str">
        <f t="shared" si="20"/>
        <v>GORDON RIVER_Pink</v>
      </c>
      <c r="CF65" s="341">
        <f>IFERROR(VLOOKUP(BY65,'RawPL+D'!$O$8:$AB$503,12,FALSE),"-")</f>
        <v>0</v>
      </c>
      <c r="CG65" s="338">
        <f t="shared" si="21"/>
        <v>0</v>
      </c>
      <c r="CH65" s="341">
        <f>IFERROR(VLOOKUP(BY65,'RawPL+D'!$O$8:$AB$503,13,FALSE),"-")</f>
        <v>0</v>
      </c>
      <c r="CI65" s="338">
        <f t="shared" si="22"/>
        <v>0</v>
      </c>
    </row>
    <row r="66" spans="1:87" ht="12.75" hidden="1" customHeight="1" x14ac:dyDescent="0.2">
      <c r="A66" s="28">
        <v>4</v>
      </c>
      <c r="B66" s="28">
        <v>4</v>
      </c>
      <c r="C66" s="11">
        <v>20</v>
      </c>
      <c r="D66" s="147" t="s">
        <v>291</v>
      </c>
      <c r="E66" s="21" t="s">
        <v>17</v>
      </c>
      <c r="F66" s="10" t="s">
        <v>209</v>
      </c>
      <c r="G66" s="21"/>
      <c r="H66" s="21"/>
      <c r="I66" s="21"/>
      <c r="J66" s="21"/>
      <c r="K66" s="579"/>
      <c r="L66" s="152"/>
      <c r="M66" s="62"/>
      <c r="N66" s="62"/>
      <c r="O66" s="62"/>
      <c r="P66" s="62"/>
      <c r="Q66" s="642">
        <v>10</v>
      </c>
      <c r="R66" s="62"/>
      <c r="S66" s="62"/>
      <c r="T66" s="62"/>
      <c r="U66" s="642">
        <f>379+2</f>
        <v>381</v>
      </c>
      <c r="V66" s="429"/>
      <c r="W66" s="62"/>
      <c r="X66" s="62"/>
      <c r="Y66" s="62"/>
      <c r="Z66" s="64"/>
      <c r="AA66" s="164"/>
      <c r="AB66" s="62"/>
      <c r="AC66" s="62"/>
      <c r="AD66" s="64"/>
      <c r="AE66" s="164"/>
      <c r="AF66" s="62"/>
      <c r="AG66" s="62"/>
      <c r="AH66" s="337"/>
      <c r="AI66" s="337"/>
      <c r="AJ66" s="337"/>
      <c r="AK66" s="337"/>
      <c r="AL66" s="842">
        <v>11</v>
      </c>
      <c r="AM66" s="552"/>
      <c r="AN66" s="839"/>
      <c r="AO66" s="45"/>
      <c r="AP66" s="45"/>
      <c r="AQ66" s="396">
        <f>AL66/BI66</f>
        <v>6.4705882352941183E-2</v>
      </c>
      <c r="AR66" s="100">
        <f>BL66/BH66</f>
        <v>2.1166666666666667</v>
      </c>
      <c r="AS66" s="100">
        <f>BL66/BI66</f>
        <v>2.2411764705882353</v>
      </c>
      <c r="AT66" s="24"/>
      <c r="AU66" s="24"/>
      <c r="AV66" s="24"/>
      <c r="AW66" s="18">
        <v>20</v>
      </c>
      <c r="AX66" s="69" t="s">
        <v>291</v>
      </c>
      <c r="AY66" s="243" t="s">
        <v>17</v>
      </c>
      <c r="AZ66" s="243" t="str">
        <f t="shared" si="0"/>
        <v>Chum</v>
      </c>
      <c r="BA66" s="243" t="s">
        <v>419</v>
      </c>
      <c r="BB66" s="244" t="s">
        <v>370</v>
      </c>
      <c r="BC66" s="43" t="str">
        <f t="shared" si="1"/>
        <v>Oct 29-Nov4</v>
      </c>
      <c r="BD66" s="43">
        <f t="shared" si="2"/>
        <v>2</v>
      </c>
      <c r="BE66" s="193">
        <f t="shared" si="3"/>
        <v>381</v>
      </c>
      <c r="BF66" s="193">
        <f t="shared" si="4"/>
        <v>11</v>
      </c>
      <c r="BG66" s="193">
        <f t="shared" si="5"/>
        <v>0</v>
      </c>
      <c r="BH66" s="307">
        <f t="shared" si="6"/>
        <v>180</v>
      </c>
      <c r="BI66" s="265">
        <f t="shared" si="27"/>
        <v>170</v>
      </c>
      <c r="BJ66" s="26" t="str">
        <f t="shared" si="7"/>
        <v>GORDON RIVERChum</v>
      </c>
      <c r="BK66" s="26">
        <f t="shared" si="8"/>
        <v>2</v>
      </c>
      <c r="BL66" s="33">
        <f t="shared" si="26"/>
        <v>381</v>
      </c>
      <c r="BQ66" s="47" t="str">
        <f t="shared" si="10"/>
        <v>GORDON RIVERChum</v>
      </c>
      <c r="BR66" s="49">
        <f t="shared" si="11"/>
        <v>0</v>
      </c>
      <c r="BS66" s="49">
        <f t="shared" si="12"/>
        <v>11</v>
      </c>
      <c r="BT66" s="31">
        <v>2015</v>
      </c>
      <c r="BU66" s="188" t="str">
        <f t="shared" si="13"/>
        <v>PFN</v>
      </c>
      <c r="BV66" s="188" t="str">
        <f t="shared" si="14"/>
        <v>Oct 1-7</v>
      </c>
      <c r="BW66" s="188" t="str">
        <f t="shared" si="15"/>
        <v>Oct 29-Nov4</v>
      </c>
      <c r="BX66" s="188" t="str">
        <f t="shared" si="16"/>
        <v xml:space="preserve"> </v>
      </c>
      <c r="BY66" s="50" t="str">
        <f t="shared" si="17"/>
        <v>GORDON RIVER_Chum</v>
      </c>
      <c r="BZ66" s="50">
        <f>IFERROR(VLOOKUP(BY66,'[1]WCVI Esc'!$C$5:$W$555,18,FALSE),"-")</f>
        <v>190</v>
      </c>
      <c r="CA66" s="50">
        <f t="shared" si="18"/>
        <v>190</v>
      </c>
      <c r="CB66" s="50">
        <f>IFERROR(VLOOKUP(BY66,'[1]WCVI Esc'!$C$5:$W$555,19,FALSE),"-")</f>
        <v>173.8</v>
      </c>
      <c r="CC66" s="50">
        <f t="shared" si="19"/>
        <v>170</v>
      </c>
      <c r="CE66" s="342" t="str">
        <f t="shared" si="20"/>
        <v>GORDON RIVER_Chum</v>
      </c>
      <c r="CF66" s="341">
        <f>IFERROR(VLOOKUP(CE66,'RawPL+D'!$O$8:$AB$503,12,FALSE),"-")</f>
        <v>188</v>
      </c>
      <c r="CG66" s="338">
        <f t="shared" si="21"/>
        <v>190</v>
      </c>
      <c r="CH66" s="341">
        <f>IFERROR(VLOOKUP(CE66,'RawPL+D'!$O$8:$AB$503,13,FALSE),"-")</f>
        <v>183.5</v>
      </c>
      <c r="CI66" s="338">
        <f t="shared" si="22"/>
        <v>180</v>
      </c>
    </row>
    <row r="67" spans="1:87" ht="12.75" hidden="1" customHeight="1" x14ac:dyDescent="0.2">
      <c r="A67" s="28">
        <v>4</v>
      </c>
      <c r="B67" s="28">
        <v>5</v>
      </c>
      <c r="C67" s="11">
        <v>20</v>
      </c>
      <c r="D67" s="147" t="s">
        <v>291</v>
      </c>
      <c r="E67" s="21" t="s">
        <v>17</v>
      </c>
      <c r="F67" s="10" t="s">
        <v>210</v>
      </c>
      <c r="G67" s="21"/>
      <c r="H67" s="21"/>
      <c r="I67" s="21"/>
      <c r="J67" s="21"/>
      <c r="K67" s="579"/>
      <c r="L67" s="152"/>
      <c r="M67" s="62"/>
      <c r="N67" s="62"/>
      <c r="O67" s="62"/>
      <c r="P67" s="62"/>
      <c r="Q67" s="642">
        <v>8</v>
      </c>
      <c r="R67" s="62"/>
      <c r="S67" s="62"/>
      <c r="T67" s="62"/>
      <c r="U67" s="642">
        <f>88+2</f>
        <v>90</v>
      </c>
      <c r="V67" s="426"/>
      <c r="W67" s="62"/>
      <c r="X67" s="62"/>
      <c r="Y67" s="62"/>
      <c r="Z67" s="64"/>
      <c r="AA67" s="164"/>
      <c r="AB67" s="62"/>
      <c r="AC67" s="62"/>
      <c r="AD67" s="64"/>
      <c r="AE67" s="164"/>
      <c r="AF67" s="62"/>
      <c r="AG67" s="62"/>
      <c r="AH67" s="337"/>
      <c r="AI67" s="337"/>
      <c r="AJ67" s="337"/>
      <c r="AK67" s="337"/>
      <c r="AL67" s="842">
        <v>14</v>
      </c>
      <c r="AM67" s="552"/>
      <c r="AN67" s="839"/>
      <c r="AO67" s="45"/>
      <c r="AP67" s="45"/>
      <c r="AQ67" s="396">
        <f>AL67/BI67</f>
        <v>0.23333333333333334</v>
      </c>
      <c r="AR67" s="100">
        <f>BL67/BH67</f>
        <v>1.125</v>
      </c>
      <c r="AS67" s="100">
        <f>BL67/BI67</f>
        <v>1.5</v>
      </c>
      <c r="AT67" s="24"/>
      <c r="AU67" s="24"/>
      <c r="AV67" s="24"/>
      <c r="AW67" s="18">
        <v>20</v>
      </c>
      <c r="AX67" s="69" t="s">
        <v>291</v>
      </c>
      <c r="AY67" s="243" t="s">
        <v>17</v>
      </c>
      <c r="AZ67" s="243" t="str">
        <f t="shared" si="0"/>
        <v>Chinook</v>
      </c>
      <c r="BA67" s="243" t="s">
        <v>419</v>
      </c>
      <c r="BB67" s="244" t="s">
        <v>370</v>
      </c>
      <c r="BC67" s="43" t="str">
        <f t="shared" si="1"/>
        <v>Oct 29-Nov4</v>
      </c>
      <c r="BD67" s="43">
        <f t="shared" si="2"/>
        <v>2</v>
      </c>
      <c r="BE67" s="193">
        <f t="shared" si="3"/>
        <v>90</v>
      </c>
      <c r="BF67" s="193">
        <f t="shared" si="4"/>
        <v>14</v>
      </c>
      <c r="BG67" s="193">
        <f t="shared" si="5"/>
        <v>0</v>
      </c>
      <c r="BH67" s="307">
        <f t="shared" si="6"/>
        <v>80</v>
      </c>
      <c r="BI67" s="265">
        <f t="shared" si="27"/>
        <v>60</v>
      </c>
      <c r="BJ67" s="26" t="str">
        <f t="shared" si="7"/>
        <v>GORDON RIVERChinook</v>
      </c>
      <c r="BK67" s="26">
        <f t="shared" si="8"/>
        <v>2</v>
      </c>
      <c r="BL67" s="33">
        <f t="shared" si="26"/>
        <v>90</v>
      </c>
      <c r="BQ67" s="47" t="str">
        <f t="shared" si="10"/>
        <v>GORDON RIVERChinook</v>
      </c>
      <c r="BR67" s="49">
        <f t="shared" si="11"/>
        <v>0</v>
      </c>
      <c r="BS67" s="49">
        <f t="shared" si="12"/>
        <v>14</v>
      </c>
      <c r="BT67" s="31">
        <v>2015</v>
      </c>
      <c r="BU67" s="188" t="str">
        <f t="shared" si="13"/>
        <v>PFN</v>
      </c>
      <c r="BV67" s="188" t="str">
        <f t="shared" si="14"/>
        <v>Oct 1-7</v>
      </c>
      <c r="BW67" s="188" t="str">
        <f t="shared" si="15"/>
        <v>Oct 29-Nov4</v>
      </c>
      <c r="BX67" s="188" t="str">
        <f t="shared" si="16"/>
        <v xml:space="preserve"> </v>
      </c>
      <c r="BY67" s="50" t="str">
        <f t="shared" si="17"/>
        <v>GORDON RIVER_Chinook</v>
      </c>
      <c r="BZ67" s="50">
        <f>IFERROR(VLOOKUP(BY67,'[1]WCVI Esc'!$C$5:$W$555,18,FALSE),"-")</f>
        <v>84.5</v>
      </c>
      <c r="CA67" s="50">
        <f t="shared" si="18"/>
        <v>80</v>
      </c>
      <c r="CB67" s="50">
        <f>IFERROR(VLOOKUP(BY67,'[1]WCVI Esc'!$C$5:$W$555,19,FALSE),"-")</f>
        <v>64.333333333333329</v>
      </c>
      <c r="CC67" s="50">
        <f t="shared" si="19"/>
        <v>60</v>
      </c>
      <c r="CE67" s="342" t="str">
        <f t="shared" si="20"/>
        <v>GORDON RIVER_Chinook</v>
      </c>
      <c r="CF67" s="341">
        <f>IFERROR(VLOOKUP(CE67,'RawPL+D'!$O$8:$AB$503,12,FALSE),"-")</f>
        <v>41</v>
      </c>
      <c r="CG67" s="338">
        <f t="shared" si="21"/>
        <v>40</v>
      </c>
      <c r="CH67" s="341">
        <f>IFERROR(VLOOKUP(CE67,'RawPL+D'!$O$8:$AB$503,13,FALSE),"-")</f>
        <v>76</v>
      </c>
      <c r="CI67" s="338">
        <f t="shared" si="22"/>
        <v>80</v>
      </c>
    </row>
    <row r="68" spans="1:87" ht="12.75" hidden="1" customHeight="1" x14ac:dyDescent="0.2">
      <c r="A68" s="28">
        <v>4</v>
      </c>
      <c r="B68" s="28">
        <v>6</v>
      </c>
      <c r="C68" s="11">
        <v>20</v>
      </c>
      <c r="D68" s="147" t="s">
        <v>291</v>
      </c>
      <c r="E68" s="21" t="s">
        <v>17</v>
      </c>
      <c r="F68" s="21" t="s">
        <v>211</v>
      </c>
      <c r="G68" s="21"/>
      <c r="H68" s="21"/>
      <c r="I68" s="21"/>
      <c r="J68" s="21"/>
      <c r="K68" s="579"/>
      <c r="L68" s="152"/>
      <c r="M68" s="62"/>
      <c r="N68" s="62"/>
      <c r="O68" s="62"/>
      <c r="P68" s="62"/>
      <c r="Q68" s="642">
        <v>1</v>
      </c>
      <c r="R68" s="62"/>
      <c r="S68" s="62"/>
      <c r="T68" s="62"/>
      <c r="U68" s="642">
        <v>0</v>
      </c>
      <c r="V68" s="164"/>
      <c r="W68" s="62"/>
      <c r="X68" s="62"/>
      <c r="Y68" s="62"/>
      <c r="Z68" s="64"/>
      <c r="AA68" s="164"/>
      <c r="AB68" s="62"/>
      <c r="AC68" s="62"/>
      <c r="AD68" s="64"/>
      <c r="AE68" s="164"/>
      <c r="AF68" s="62"/>
      <c r="AG68" s="62"/>
      <c r="AH68" s="337"/>
      <c r="AI68" s="337"/>
      <c r="AJ68" s="337"/>
      <c r="AK68" s="337"/>
      <c r="AL68" s="555"/>
      <c r="AM68" s="552"/>
      <c r="AN68" s="45"/>
      <c r="AO68" s="45"/>
      <c r="AP68" s="45"/>
      <c r="AQ68" s="396"/>
      <c r="AR68" s="100"/>
      <c r="AS68" s="24"/>
      <c r="AT68" s="24"/>
      <c r="AU68" s="24"/>
      <c r="AV68" s="24"/>
      <c r="AW68" s="18">
        <v>20</v>
      </c>
      <c r="AX68" s="69" t="s">
        <v>291</v>
      </c>
      <c r="AY68" s="243" t="s">
        <v>17</v>
      </c>
      <c r="AZ68" s="243" t="str">
        <f t="shared" si="0"/>
        <v>Steelhead</v>
      </c>
      <c r="BA68" s="243" t="s">
        <v>419</v>
      </c>
      <c r="BB68" s="244" t="s">
        <v>370</v>
      </c>
      <c r="BC68" s="43" t="str">
        <f t="shared" si="1"/>
        <v>Oct 29-Nov4</v>
      </c>
      <c r="BD68" s="43">
        <f t="shared" si="2"/>
        <v>2</v>
      </c>
      <c r="BE68" s="193">
        <f t="shared" si="3"/>
        <v>1</v>
      </c>
      <c r="BF68" s="193">
        <f t="shared" si="4"/>
        <v>0</v>
      </c>
      <c r="BG68" s="193">
        <f t="shared" si="5"/>
        <v>0</v>
      </c>
      <c r="BH68" s="307" t="str">
        <f t="shared" si="6"/>
        <v>-</v>
      </c>
      <c r="BI68" s="265" t="str">
        <f t="shared" si="27"/>
        <v>-</v>
      </c>
      <c r="BJ68" s="26" t="str">
        <f t="shared" si="7"/>
        <v>GORDON RIVERSteelhead</v>
      </c>
      <c r="BK68" s="26">
        <f t="shared" si="8"/>
        <v>2</v>
      </c>
      <c r="BL68" s="33">
        <f t="shared" si="26"/>
        <v>1</v>
      </c>
      <c r="BQ68" s="47" t="str">
        <f t="shared" si="10"/>
        <v>GORDON RIVERSteelhead</v>
      </c>
      <c r="BR68" s="49">
        <f t="shared" si="11"/>
        <v>0</v>
      </c>
      <c r="BS68" s="49">
        <f t="shared" si="12"/>
        <v>0</v>
      </c>
      <c r="BT68" s="31">
        <v>0</v>
      </c>
      <c r="BU68" s="188" t="str">
        <f t="shared" si="13"/>
        <v>PFN</v>
      </c>
      <c r="BV68" s="188" t="str">
        <f t="shared" si="14"/>
        <v>Oct 1-7</v>
      </c>
      <c r="BW68" s="188" t="str">
        <f t="shared" si="15"/>
        <v>Oct 29-Nov4</v>
      </c>
      <c r="BX68" s="188" t="str">
        <f t="shared" si="16"/>
        <v xml:space="preserve"> </v>
      </c>
      <c r="BY68" s="50" t="str">
        <f t="shared" si="17"/>
        <v>GORDON RIVER_Steelhead</v>
      </c>
      <c r="BZ68" s="50" t="str">
        <f>IFERROR(VLOOKUP(BY68,'[1]WCVI Esc'!$C$5:$W$555,18,FALSE),"-")</f>
        <v>-</v>
      </c>
      <c r="CA68" s="50" t="str">
        <f t="shared" si="18"/>
        <v>-</v>
      </c>
      <c r="CB68" s="50" t="str">
        <f>IFERROR(VLOOKUP(BY68,'[1]WCVI Esc'!$C$5:$W$555,19,FALSE),"-")</f>
        <v>-</v>
      </c>
      <c r="CC68" s="50" t="str">
        <f t="shared" si="19"/>
        <v>-</v>
      </c>
      <c r="CE68" s="342" t="str">
        <f t="shared" si="20"/>
        <v>GORDON RIVER_Steelhead</v>
      </c>
      <c r="CF68" s="341" t="str">
        <f>IFERROR(VLOOKUP(BY68,'RawPL+D'!$O$8:$AB$503,12,FALSE),"-")</f>
        <v>-</v>
      </c>
      <c r="CG68" s="338" t="str">
        <f t="shared" si="21"/>
        <v>-</v>
      </c>
      <c r="CH68" s="341" t="str">
        <f>IFERROR(VLOOKUP(BY68,'RawPL+D'!$O$8:$AB$503,13,FALSE),"-")</f>
        <v>-</v>
      </c>
      <c r="CI68" s="338" t="str">
        <f t="shared" si="22"/>
        <v>-</v>
      </c>
    </row>
    <row r="69" spans="1:87" ht="12.75" hidden="1" customHeight="1" x14ac:dyDescent="0.2">
      <c r="A69" s="28">
        <v>4</v>
      </c>
      <c r="B69" s="28">
        <v>1</v>
      </c>
      <c r="C69" s="11">
        <v>20</v>
      </c>
      <c r="D69" s="147" t="s">
        <v>291</v>
      </c>
      <c r="E69" s="21" t="s">
        <v>155</v>
      </c>
      <c r="F69" s="21" t="s">
        <v>207</v>
      </c>
      <c r="G69" s="21"/>
      <c r="H69" s="21"/>
      <c r="I69" s="21"/>
      <c r="J69" s="21"/>
      <c r="K69" s="575"/>
      <c r="L69" s="152"/>
      <c r="M69" s="164"/>
      <c r="N69" s="62"/>
      <c r="O69" s="62"/>
      <c r="P69" s="64"/>
      <c r="Q69" s="164"/>
      <c r="R69" s="62"/>
      <c r="S69" s="62"/>
      <c r="T69" s="62"/>
      <c r="U69" s="62"/>
      <c r="V69" s="64"/>
      <c r="W69" s="62"/>
      <c r="X69" s="62"/>
      <c r="Y69" s="62"/>
      <c r="Z69" s="64"/>
      <c r="AA69" s="164"/>
      <c r="AB69" s="62"/>
      <c r="AC69" s="62"/>
      <c r="AD69" s="64"/>
      <c r="AE69" s="164"/>
      <c r="AF69" s="62"/>
      <c r="AG69" s="62"/>
      <c r="AH69" s="337"/>
      <c r="AI69" s="337"/>
      <c r="AJ69" s="337"/>
      <c r="AK69" s="337"/>
      <c r="AL69" s="414"/>
      <c r="AM69" s="414"/>
      <c r="AN69" s="45"/>
      <c r="AO69" s="45"/>
      <c r="AP69" s="45"/>
      <c r="AQ69" s="396"/>
      <c r="AR69" s="100"/>
      <c r="AS69" s="24"/>
      <c r="AT69" s="24"/>
      <c r="AU69" s="24"/>
      <c r="AV69" s="24"/>
      <c r="AW69" s="18">
        <v>20</v>
      </c>
      <c r="AX69" s="69" t="s">
        <v>291</v>
      </c>
      <c r="AY69" s="243" t="s">
        <v>155</v>
      </c>
      <c r="AZ69" s="243" t="str">
        <f t="shared" si="0"/>
        <v>Sockeye</v>
      </c>
      <c r="BA69" s="243" t="s">
        <v>419</v>
      </c>
      <c r="BB69" s="246"/>
      <c r="BC69" s="43" t="str">
        <f t="shared" si="1"/>
        <v>-</v>
      </c>
      <c r="BD69" s="43">
        <f t="shared" si="2"/>
        <v>0</v>
      </c>
      <c r="BE69" s="193">
        <f t="shared" si="3"/>
        <v>0</v>
      </c>
      <c r="BF69" s="193">
        <f t="shared" si="4"/>
        <v>0</v>
      </c>
      <c r="BG69" s="193">
        <f t="shared" si="5"/>
        <v>0</v>
      </c>
      <c r="BH69" s="307" t="str">
        <f t="shared" si="6"/>
        <v>-</v>
      </c>
      <c r="BI69" s="265" t="str">
        <f t="shared" si="27"/>
        <v>-</v>
      </c>
      <c r="BJ69" s="26" t="str">
        <f t="shared" si="7"/>
        <v>HEMMINGSEN CREEKSockeye</v>
      </c>
      <c r="BK69" s="26">
        <f t="shared" si="8"/>
        <v>0</v>
      </c>
      <c r="BL69" s="33">
        <f t="shared" si="26"/>
        <v>0</v>
      </c>
      <c r="BQ69" s="47" t="str">
        <f t="shared" si="10"/>
        <v>HEMMINGSEN CREEKSockeye</v>
      </c>
      <c r="BR69" s="49">
        <f t="shared" si="11"/>
        <v>0</v>
      </c>
      <c r="BS69" s="49">
        <f t="shared" si="12"/>
        <v>0</v>
      </c>
      <c r="BT69" s="31">
        <v>1998</v>
      </c>
      <c r="BU69" s="188">
        <f t="shared" si="13"/>
        <v>0</v>
      </c>
      <c r="BV69" s="188" t="str">
        <f t="shared" si="14"/>
        <v xml:space="preserve"> </v>
      </c>
      <c r="BW69" s="188" t="str">
        <f t="shared" si="15"/>
        <v xml:space="preserve"> </v>
      </c>
      <c r="BX69" s="188" t="str">
        <f t="shared" si="16"/>
        <v xml:space="preserve"> </v>
      </c>
      <c r="BY69" s="50" t="str">
        <f t="shared" si="17"/>
        <v>HEMMINGSEN CREEK_Sockeye</v>
      </c>
      <c r="BZ69" s="50" t="str">
        <f>IFERROR(VLOOKUP(BY69,'[1]WCVI Esc'!$C$5:$W$555,18,FALSE),"-")</f>
        <v>-</v>
      </c>
      <c r="CA69" s="50" t="str">
        <f t="shared" si="18"/>
        <v>-</v>
      </c>
      <c r="CB69" s="50" t="str">
        <f>IFERROR(VLOOKUP(BY69,'[1]WCVI Esc'!$C$5:$W$555,19,FALSE),"-")</f>
        <v>-</v>
      </c>
      <c r="CC69" s="50" t="str">
        <f t="shared" si="19"/>
        <v>-</v>
      </c>
      <c r="CE69" s="342" t="str">
        <f t="shared" si="20"/>
        <v>HEMMINGSEN CREEK_Sockeye</v>
      </c>
      <c r="CF69" s="341" t="str">
        <f>IFERROR(VLOOKUP(BY69,'RawPL+D'!$O$8:$AB$503,12,FALSE),"-")</f>
        <v>-</v>
      </c>
      <c r="CG69" s="338" t="str">
        <f t="shared" si="21"/>
        <v>-</v>
      </c>
      <c r="CH69" s="341" t="str">
        <f>IFERROR(VLOOKUP(BY69,'RawPL+D'!$O$8:$AB$503,13,FALSE),"-")</f>
        <v>-</v>
      </c>
      <c r="CI69" s="338" t="str">
        <f t="shared" si="22"/>
        <v>-</v>
      </c>
    </row>
    <row r="70" spans="1:87" ht="12.75" hidden="1" customHeight="1" x14ac:dyDescent="0.2">
      <c r="A70" s="28">
        <v>4</v>
      </c>
      <c r="B70" s="28">
        <v>2</v>
      </c>
      <c r="C70" s="11">
        <v>20</v>
      </c>
      <c r="D70" s="147" t="s">
        <v>291</v>
      </c>
      <c r="E70" s="21" t="s">
        <v>155</v>
      </c>
      <c r="F70" s="21" t="s">
        <v>219</v>
      </c>
      <c r="G70" s="21"/>
      <c r="H70" s="21"/>
      <c r="I70" s="21"/>
      <c r="J70" s="21"/>
      <c r="K70" s="575"/>
      <c r="L70" s="152"/>
      <c r="M70" s="164"/>
      <c r="N70" s="62"/>
      <c r="O70" s="62"/>
      <c r="P70" s="64"/>
      <c r="Q70" s="164"/>
      <c r="R70" s="62"/>
      <c r="S70" s="62"/>
      <c r="T70" s="62"/>
      <c r="U70" s="62"/>
      <c r="V70" s="64"/>
      <c r="W70" s="62"/>
      <c r="X70" s="62"/>
      <c r="Y70" s="62"/>
      <c r="Z70" s="64"/>
      <c r="AA70" s="164"/>
      <c r="AB70" s="62"/>
      <c r="AC70" s="62"/>
      <c r="AD70" s="64"/>
      <c r="AE70" s="164"/>
      <c r="AF70" s="62"/>
      <c r="AG70" s="62"/>
      <c r="AH70" s="337"/>
      <c r="AI70" s="337"/>
      <c r="AJ70" s="337"/>
      <c r="AK70" s="337"/>
      <c r="AL70" s="414"/>
      <c r="AM70" s="414"/>
      <c r="AN70" s="45"/>
      <c r="AO70" s="45"/>
      <c r="AP70" s="45"/>
      <c r="AQ70" s="396"/>
      <c r="AR70" s="100"/>
      <c r="AS70" s="24"/>
      <c r="AT70" s="24"/>
      <c r="AU70" s="24"/>
      <c r="AV70" s="24"/>
      <c r="AW70" s="18">
        <v>20</v>
      </c>
      <c r="AX70" s="69" t="s">
        <v>291</v>
      </c>
      <c r="AY70" s="243" t="s">
        <v>155</v>
      </c>
      <c r="AZ70" s="243" t="str">
        <f t="shared" si="0"/>
        <v>Coho</v>
      </c>
      <c r="BA70" s="243" t="s">
        <v>419</v>
      </c>
      <c r="BB70" s="246"/>
      <c r="BC70" s="43" t="str">
        <f t="shared" si="1"/>
        <v>-</v>
      </c>
      <c r="BD70" s="43">
        <f t="shared" si="2"/>
        <v>0</v>
      </c>
      <c r="BE70" s="193">
        <f t="shared" si="3"/>
        <v>0</v>
      </c>
      <c r="BF70" s="193">
        <f t="shared" si="4"/>
        <v>0</v>
      </c>
      <c r="BG70" s="193">
        <f t="shared" si="5"/>
        <v>0</v>
      </c>
      <c r="BH70" s="307" t="str">
        <f t="shared" si="6"/>
        <v>-</v>
      </c>
      <c r="BI70" s="265" t="str">
        <f t="shared" si="27"/>
        <v>-</v>
      </c>
      <c r="BJ70" s="26" t="str">
        <f t="shared" si="7"/>
        <v>HEMMINGSEN CREEKCoho</v>
      </c>
      <c r="BK70" s="26">
        <f t="shared" si="8"/>
        <v>0</v>
      </c>
      <c r="BL70" s="33">
        <f t="shared" si="26"/>
        <v>0</v>
      </c>
      <c r="BQ70" s="47" t="str">
        <f t="shared" si="10"/>
        <v>HEMMINGSEN CREEKCoho</v>
      </c>
      <c r="BR70" s="49">
        <f t="shared" si="11"/>
        <v>0</v>
      </c>
      <c r="BS70" s="49">
        <f t="shared" si="12"/>
        <v>0</v>
      </c>
      <c r="BT70" s="31">
        <v>1998</v>
      </c>
      <c r="BU70" s="188">
        <f t="shared" si="13"/>
        <v>0</v>
      </c>
      <c r="BV70" s="188" t="str">
        <f t="shared" si="14"/>
        <v xml:space="preserve"> </v>
      </c>
      <c r="BW70" s="188" t="str">
        <f t="shared" si="15"/>
        <v xml:space="preserve"> </v>
      </c>
      <c r="BX70" s="188" t="str">
        <f t="shared" si="16"/>
        <v xml:space="preserve"> </v>
      </c>
      <c r="BY70" s="50" t="str">
        <f t="shared" si="17"/>
        <v>HEMMINGSEN CREEK_Coho</v>
      </c>
      <c r="BZ70" s="50" t="str">
        <f>IFERROR(VLOOKUP(BY70,'[1]WCVI Esc'!$C$5:$W$555,18,FALSE),"-")</f>
        <v>-</v>
      </c>
      <c r="CA70" s="50" t="str">
        <f t="shared" si="18"/>
        <v>-</v>
      </c>
      <c r="CB70" s="50" t="str">
        <f>IFERROR(VLOOKUP(BY70,'[1]WCVI Esc'!$C$5:$W$555,19,FALSE),"-")</f>
        <v>-</v>
      </c>
      <c r="CC70" s="50" t="str">
        <f t="shared" si="19"/>
        <v>-</v>
      </c>
      <c r="CE70" s="342" t="str">
        <f t="shared" si="20"/>
        <v>HEMMINGSEN CREEK_Coho</v>
      </c>
      <c r="CF70" s="341" t="str">
        <f>IFERROR(VLOOKUP(BY70,'RawPL+D'!$O$8:$AB$503,12,FALSE),"-")</f>
        <v>-</v>
      </c>
      <c r="CG70" s="338" t="str">
        <f t="shared" si="21"/>
        <v>-</v>
      </c>
      <c r="CH70" s="341" t="str">
        <f>IFERROR(VLOOKUP(BY70,'RawPL+D'!$O$8:$AB$503,13,FALSE),"-")</f>
        <v>-</v>
      </c>
      <c r="CI70" s="338" t="str">
        <f t="shared" si="22"/>
        <v>-</v>
      </c>
    </row>
    <row r="71" spans="1:87" ht="12.75" hidden="1" customHeight="1" x14ac:dyDescent="0.2">
      <c r="A71" s="28">
        <v>4</v>
      </c>
      <c r="B71" s="28">
        <v>3</v>
      </c>
      <c r="C71" s="11">
        <v>20</v>
      </c>
      <c r="D71" s="147" t="s">
        <v>291</v>
      </c>
      <c r="E71" s="21" t="s">
        <v>155</v>
      </c>
      <c r="F71" s="10" t="s">
        <v>208</v>
      </c>
      <c r="G71" s="10"/>
      <c r="H71" s="10"/>
      <c r="I71" s="10"/>
      <c r="J71" s="10"/>
      <c r="K71" s="575"/>
      <c r="L71" s="152"/>
      <c r="M71" s="164"/>
      <c r="N71" s="62"/>
      <c r="O71" s="62"/>
      <c r="P71" s="64"/>
      <c r="Q71" s="164"/>
      <c r="R71" s="62"/>
      <c r="S71" s="62"/>
      <c r="T71" s="62"/>
      <c r="U71" s="62"/>
      <c r="V71" s="64"/>
      <c r="W71" s="62"/>
      <c r="X71" s="62"/>
      <c r="Y71" s="62"/>
      <c r="Z71" s="64"/>
      <c r="AA71" s="164"/>
      <c r="AB71" s="62"/>
      <c r="AC71" s="62"/>
      <c r="AD71" s="64"/>
      <c r="AE71" s="164"/>
      <c r="AF71" s="62"/>
      <c r="AG71" s="62"/>
      <c r="AH71" s="337"/>
      <c r="AI71" s="337"/>
      <c r="AJ71" s="337"/>
      <c r="AK71" s="337"/>
      <c r="AL71" s="414"/>
      <c r="AM71" s="414"/>
      <c r="AN71" s="45"/>
      <c r="AO71" s="45"/>
      <c r="AP71" s="45"/>
      <c r="AQ71" s="100"/>
      <c r="AR71" s="100"/>
      <c r="AS71" s="24"/>
      <c r="AT71" s="24"/>
      <c r="AU71" s="24"/>
      <c r="AV71" s="24"/>
      <c r="AW71" s="18">
        <v>20</v>
      </c>
      <c r="AX71" s="69" t="s">
        <v>291</v>
      </c>
      <c r="AY71" s="243" t="s">
        <v>155</v>
      </c>
      <c r="AZ71" s="243" t="str">
        <f t="shared" si="0"/>
        <v>Pink</v>
      </c>
      <c r="BA71" s="243" t="s">
        <v>419</v>
      </c>
      <c r="BB71" s="246"/>
      <c r="BC71" s="43" t="str">
        <f t="shared" si="1"/>
        <v>-</v>
      </c>
      <c r="BD71" s="43">
        <f t="shared" si="2"/>
        <v>0</v>
      </c>
      <c r="BE71" s="193">
        <f t="shared" si="3"/>
        <v>0</v>
      </c>
      <c r="BF71" s="193">
        <f t="shared" si="4"/>
        <v>0</v>
      </c>
      <c r="BG71" s="193">
        <f t="shared" si="5"/>
        <v>0</v>
      </c>
      <c r="BH71" s="307" t="str">
        <f t="shared" si="6"/>
        <v>-</v>
      </c>
      <c r="BI71" s="265" t="str">
        <f t="shared" si="27"/>
        <v>-</v>
      </c>
      <c r="BJ71" s="26" t="str">
        <f t="shared" si="7"/>
        <v>HEMMINGSEN CREEKPink</v>
      </c>
      <c r="BK71" s="26">
        <f t="shared" si="8"/>
        <v>0</v>
      </c>
      <c r="BL71" s="33">
        <f t="shared" si="26"/>
        <v>0</v>
      </c>
      <c r="BQ71" s="47" t="str">
        <f t="shared" si="10"/>
        <v>HEMMINGSEN CREEKPink</v>
      </c>
      <c r="BR71" s="49">
        <f t="shared" si="11"/>
        <v>0</v>
      </c>
      <c r="BS71" s="49">
        <f t="shared" si="12"/>
        <v>0</v>
      </c>
      <c r="BT71" s="31">
        <v>0</v>
      </c>
      <c r="BU71" s="188">
        <f t="shared" si="13"/>
        <v>0</v>
      </c>
      <c r="BV71" s="188" t="str">
        <f t="shared" si="14"/>
        <v xml:space="preserve"> </v>
      </c>
      <c r="BW71" s="188" t="str">
        <f t="shared" si="15"/>
        <v xml:space="preserve"> </v>
      </c>
      <c r="BX71" s="188" t="str">
        <f t="shared" si="16"/>
        <v xml:space="preserve"> </v>
      </c>
      <c r="BY71" s="50" t="str">
        <f t="shared" si="17"/>
        <v>HEMMINGSEN CREEK_Pink</v>
      </c>
      <c r="BZ71" s="50" t="str">
        <f>IFERROR(VLOOKUP(BY71,'[1]WCVI Esc'!$C$5:$W$555,18,FALSE),"-")</f>
        <v>-</v>
      </c>
      <c r="CA71" s="50" t="str">
        <f t="shared" si="18"/>
        <v>-</v>
      </c>
      <c r="CB71" s="50" t="str">
        <f>IFERROR(VLOOKUP(BY71,'[1]WCVI Esc'!$C$5:$W$555,19,FALSE),"-")</f>
        <v>-</v>
      </c>
      <c r="CC71" s="50" t="str">
        <f t="shared" si="19"/>
        <v>-</v>
      </c>
      <c r="CE71" s="342" t="str">
        <f t="shared" si="20"/>
        <v>HEMMINGSEN CREEK_Pink</v>
      </c>
      <c r="CF71" s="341" t="str">
        <f>IFERROR(VLOOKUP(BY71,'RawPL+D'!$O$8:$AB$503,12,FALSE),"-")</f>
        <v>-</v>
      </c>
      <c r="CG71" s="338" t="str">
        <f t="shared" si="21"/>
        <v>-</v>
      </c>
      <c r="CH71" s="341" t="str">
        <f>IFERROR(VLOOKUP(BY71,'RawPL+D'!$O$8:$AB$503,13,FALSE),"-")</f>
        <v>-</v>
      </c>
      <c r="CI71" s="338" t="str">
        <f t="shared" si="22"/>
        <v>-</v>
      </c>
    </row>
    <row r="72" spans="1:87" ht="12.75" hidden="1" customHeight="1" x14ac:dyDescent="0.2">
      <c r="A72" s="28">
        <v>4</v>
      </c>
      <c r="B72" s="28">
        <v>4</v>
      </c>
      <c r="C72" s="11">
        <v>20</v>
      </c>
      <c r="D72" s="147" t="s">
        <v>291</v>
      </c>
      <c r="E72" s="21" t="s">
        <v>155</v>
      </c>
      <c r="F72" s="21" t="s">
        <v>209</v>
      </c>
      <c r="G72" s="21"/>
      <c r="H72" s="21"/>
      <c r="I72" s="21"/>
      <c r="J72" s="21"/>
      <c r="K72" s="575"/>
      <c r="L72" s="152"/>
      <c r="M72" s="164"/>
      <c r="N72" s="62"/>
      <c r="O72" s="62"/>
      <c r="P72" s="64"/>
      <c r="Q72" s="164"/>
      <c r="R72" s="62"/>
      <c r="S72" s="62"/>
      <c r="T72" s="62"/>
      <c r="U72" s="62"/>
      <c r="V72" s="64"/>
      <c r="W72" s="62"/>
      <c r="X72" s="62"/>
      <c r="Y72" s="62"/>
      <c r="Z72" s="64"/>
      <c r="AA72" s="164"/>
      <c r="AB72" s="62"/>
      <c r="AC72" s="62"/>
      <c r="AD72" s="64"/>
      <c r="AE72" s="164"/>
      <c r="AF72" s="62"/>
      <c r="AG72" s="62"/>
      <c r="AH72" s="337"/>
      <c r="AI72" s="337"/>
      <c r="AJ72" s="337"/>
      <c r="AK72" s="337"/>
      <c r="AL72" s="414"/>
      <c r="AM72" s="414"/>
      <c r="AN72" s="45"/>
      <c r="AO72" s="45"/>
      <c r="AP72" s="45"/>
      <c r="AQ72" s="396"/>
      <c r="AR72" s="100"/>
      <c r="AS72" s="24"/>
      <c r="AT72" s="24"/>
      <c r="AU72" s="24"/>
      <c r="AV72" s="24"/>
      <c r="AW72" s="18">
        <v>20</v>
      </c>
      <c r="AX72" s="69" t="s">
        <v>291</v>
      </c>
      <c r="AY72" s="243" t="s">
        <v>155</v>
      </c>
      <c r="AZ72" s="243" t="str">
        <f t="shared" si="0"/>
        <v>Chum</v>
      </c>
      <c r="BA72" s="243" t="s">
        <v>419</v>
      </c>
      <c r="BB72" s="246"/>
      <c r="BC72" s="43" t="str">
        <f t="shared" si="1"/>
        <v>-</v>
      </c>
      <c r="BD72" s="43">
        <f t="shared" si="2"/>
        <v>0</v>
      </c>
      <c r="BE72" s="193">
        <f t="shared" si="3"/>
        <v>0</v>
      </c>
      <c r="BF72" s="193">
        <f t="shared" si="4"/>
        <v>0</v>
      </c>
      <c r="BG72" s="193">
        <f t="shared" si="5"/>
        <v>0</v>
      </c>
      <c r="BH72" s="307" t="str">
        <f t="shared" si="6"/>
        <v>-</v>
      </c>
      <c r="BI72" s="265" t="str">
        <f t="shared" si="27"/>
        <v>-</v>
      </c>
      <c r="BJ72" s="26" t="str">
        <f t="shared" si="7"/>
        <v>HEMMINGSEN CREEKChum</v>
      </c>
      <c r="BK72" s="26">
        <f t="shared" si="8"/>
        <v>0</v>
      </c>
      <c r="BL72" s="33">
        <f t="shared" si="26"/>
        <v>0</v>
      </c>
      <c r="BQ72" s="47" t="str">
        <f t="shared" si="10"/>
        <v>HEMMINGSEN CREEKChum</v>
      </c>
      <c r="BR72" s="49">
        <f t="shared" si="11"/>
        <v>0</v>
      </c>
      <c r="BS72" s="49">
        <f t="shared" si="12"/>
        <v>0</v>
      </c>
      <c r="BT72" s="31">
        <v>1998</v>
      </c>
      <c r="BU72" s="188">
        <f t="shared" si="13"/>
        <v>0</v>
      </c>
      <c r="BV72" s="188" t="str">
        <f t="shared" si="14"/>
        <v xml:space="preserve"> </v>
      </c>
      <c r="BW72" s="188" t="str">
        <f t="shared" si="15"/>
        <v xml:space="preserve"> </v>
      </c>
      <c r="BX72" s="188" t="str">
        <f t="shared" si="16"/>
        <v xml:space="preserve"> </v>
      </c>
      <c r="BY72" s="50" t="str">
        <f t="shared" si="17"/>
        <v>HEMMINGSEN CREEK_Chum</v>
      </c>
      <c r="BZ72" s="50" t="str">
        <f>IFERROR(VLOOKUP(BY72,'[1]WCVI Esc'!$C$5:$W$555,18,FALSE),"-")</f>
        <v>-</v>
      </c>
      <c r="CA72" s="50" t="str">
        <f t="shared" si="18"/>
        <v>-</v>
      </c>
      <c r="CB72" s="50" t="str">
        <f>IFERROR(VLOOKUP(BY72,'[1]WCVI Esc'!$C$5:$W$555,19,FALSE),"-")</f>
        <v>-</v>
      </c>
      <c r="CC72" s="50" t="str">
        <f t="shared" si="19"/>
        <v>-</v>
      </c>
      <c r="CE72" s="342" t="str">
        <f t="shared" si="20"/>
        <v>HEMMINGSEN CREEK_Chum</v>
      </c>
      <c r="CF72" s="341" t="str">
        <f>IFERROR(VLOOKUP(BY72,'RawPL+D'!$O$8:$AB$503,12,FALSE),"-")</f>
        <v>-</v>
      </c>
      <c r="CG72" s="338" t="str">
        <f t="shared" si="21"/>
        <v>-</v>
      </c>
      <c r="CH72" s="341" t="str">
        <f>IFERROR(VLOOKUP(BY72,'RawPL+D'!$O$8:$AB$503,13,FALSE),"-")</f>
        <v>-</v>
      </c>
      <c r="CI72" s="338" t="str">
        <f t="shared" si="22"/>
        <v>-</v>
      </c>
    </row>
    <row r="73" spans="1:87" ht="12.75" hidden="1" customHeight="1" x14ac:dyDescent="0.2">
      <c r="A73" s="28">
        <v>4</v>
      </c>
      <c r="B73" s="28">
        <v>5</v>
      </c>
      <c r="C73" s="11">
        <v>20</v>
      </c>
      <c r="D73" s="147" t="s">
        <v>291</v>
      </c>
      <c r="E73" s="21" t="s">
        <v>155</v>
      </c>
      <c r="F73" s="21" t="s">
        <v>210</v>
      </c>
      <c r="G73" s="21"/>
      <c r="H73" s="21"/>
      <c r="I73" s="21"/>
      <c r="J73" s="21"/>
      <c r="K73" s="575"/>
      <c r="L73" s="152"/>
      <c r="M73" s="164"/>
      <c r="N73" s="62"/>
      <c r="O73" s="62"/>
      <c r="P73" s="64"/>
      <c r="Q73" s="164"/>
      <c r="R73" s="62"/>
      <c r="S73" s="62"/>
      <c r="T73" s="62"/>
      <c r="U73" s="62"/>
      <c r="V73" s="64"/>
      <c r="W73" s="62"/>
      <c r="X73" s="62"/>
      <c r="Y73" s="62"/>
      <c r="Z73" s="64"/>
      <c r="AA73" s="164"/>
      <c r="AB73" s="62"/>
      <c r="AC73" s="62"/>
      <c r="AD73" s="64"/>
      <c r="AE73" s="164"/>
      <c r="AF73" s="62"/>
      <c r="AG73" s="62"/>
      <c r="AH73" s="337"/>
      <c r="AI73" s="337"/>
      <c r="AJ73" s="337"/>
      <c r="AK73" s="337"/>
      <c r="AL73" s="414"/>
      <c r="AM73" s="414"/>
      <c r="AN73" s="45"/>
      <c r="AO73" s="45"/>
      <c r="AP73" s="45"/>
      <c r="AQ73" s="396"/>
      <c r="AR73"/>
      <c r="AS73" s="24"/>
      <c r="AT73" s="24"/>
      <c r="AU73" s="24"/>
      <c r="AV73" s="24"/>
      <c r="AW73" s="18">
        <v>20</v>
      </c>
      <c r="AX73" s="69" t="s">
        <v>291</v>
      </c>
      <c r="AY73" s="243" t="s">
        <v>155</v>
      </c>
      <c r="AZ73" s="243" t="str">
        <f t="shared" ref="AZ73:AZ136" si="28">F73</f>
        <v>Chinook</v>
      </c>
      <c r="BA73" s="243" t="s">
        <v>419</v>
      </c>
      <c r="BB73" s="246"/>
      <c r="BC73" s="43" t="str">
        <f t="shared" ref="BC73:BC136" si="29">IF(BX73=" ",IF(BW73=" ", IF(BV73=" ","-",BV73),BW73), BX73)</f>
        <v>-</v>
      </c>
      <c r="BD73" s="43">
        <f t="shared" ref="BD73:BD136" si="30">BK73</f>
        <v>0</v>
      </c>
      <c r="BE73" s="193">
        <f t="shared" ref="BE73:BE136" si="31">BL73</f>
        <v>0</v>
      </c>
      <c r="BF73" s="193">
        <f t="shared" ref="BF73:BF136" si="32">AL73</f>
        <v>0</v>
      </c>
      <c r="BG73" s="193">
        <f t="shared" ref="BG73:BG136" si="33">AH73</f>
        <v>0</v>
      </c>
      <c r="BH73" s="307" t="str">
        <f t="shared" ref="BH73:BH136" si="34">CI73</f>
        <v>-</v>
      </c>
      <c r="BI73" s="265" t="str">
        <f t="shared" si="27"/>
        <v>-</v>
      </c>
      <c r="BJ73" s="26" t="str">
        <f t="shared" ref="BJ73:BJ136" si="35">CONCATENATE(E73,F73)</f>
        <v>HEMMINGSEN CREEKChinook</v>
      </c>
      <c r="BK73" s="26">
        <f t="shared" ref="BK73:BK136" si="36">COUNT(K73:AB73)</f>
        <v>0</v>
      </c>
      <c r="BL73" s="33">
        <f t="shared" si="26"/>
        <v>0</v>
      </c>
      <c r="BQ73" s="47" t="str">
        <f t="shared" ref="BQ73:BQ136" si="37">CONCATENATE(E73,F73)</f>
        <v>HEMMINGSEN CREEKChinook</v>
      </c>
      <c r="BR73" s="49">
        <f t="shared" ref="BR73:BR136" si="38">AP73</f>
        <v>0</v>
      </c>
      <c r="BS73" s="49">
        <f t="shared" ref="BS73:BS136" si="39">AL73</f>
        <v>0</v>
      </c>
      <c r="BT73" s="31">
        <v>1998</v>
      </c>
      <c r="BU73" s="188">
        <f t="shared" ref="BU73:BU136" si="40">BB73</f>
        <v>0</v>
      </c>
      <c r="BV73" s="188" t="str">
        <f t="shared" ref="BV73:BV136" si="41">IF(ISNUMBER(Q73),Q$8,IF(ISNUMBER(P73),P$8,IF(ISNUMBER(O73),O$8,IF(ISNUMBER(N73),N$8,IF(ISNUMBER(M73),M$8,IF(ISNUMBER(L73),L$8, IF(ISNUMBER(K73),K$8," ")))))))</f>
        <v xml:space="preserve"> </v>
      </c>
      <c r="BW73" s="188" t="str">
        <f t="shared" ref="BW73:BW136" si="42">IF(ISNUMBER(W73),W$8,IF(ISNUMBER(V73),V$8,IF(ISNUMBER(U73),U$8,IF(ISNUMBER(T73),T$8,IF(ISNUMBER(S73),S$8,IF(ISNUMBER(R73),R$8," "))))))</f>
        <v xml:space="preserve"> </v>
      </c>
      <c r="BX73" s="188" t="str">
        <f t="shared" ref="BX73:BX136" si="43">IF(ISNUMBER(AB73),AB$8,IF(ISNUMBER(AA73),AA$8,IF(ISNUMBER(Z73),Z$8,IF(ISNUMBER(Y73),Y$8,IF(ISNUMBER(X73),X$8," ")))))</f>
        <v xml:space="preserve"> </v>
      </c>
      <c r="BY73" s="50" t="str">
        <f t="shared" ref="BY73:BY136" si="44">CONCATENATE(E73,"_",F73)</f>
        <v>HEMMINGSEN CREEK_Chinook</v>
      </c>
      <c r="BZ73" s="50" t="str">
        <f>IFERROR(VLOOKUP(BY73,'[1]WCVI Esc'!$C$5:$W$555,18,FALSE),"-")</f>
        <v>-</v>
      </c>
      <c r="CA73" s="50" t="str">
        <f t="shared" ref="CA73:CA136" si="45">IFERROR(ROUND(BZ73,-1),"-")</f>
        <v>-</v>
      </c>
      <c r="CB73" s="50" t="str">
        <f>IFERROR(VLOOKUP(BY73,'[1]WCVI Esc'!$C$5:$W$555,19,FALSE),"-")</f>
        <v>-</v>
      </c>
      <c r="CC73" s="50" t="str">
        <f t="shared" ref="CC73:CC136" si="46">IFERROR(ROUND(CB73,-1),"-")</f>
        <v>-</v>
      </c>
      <c r="CE73" s="342" t="str">
        <f t="shared" ref="CE73:CE136" si="47">CONCATENATE(E73,"_",F73)</f>
        <v>HEMMINGSEN CREEK_Chinook</v>
      </c>
      <c r="CF73" s="341" t="str">
        <f>IFERROR(VLOOKUP(BY73,'RawPL+D'!$O$8:$AB$503,12,FALSE),"-")</f>
        <v>-</v>
      </c>
      <c r="CG73" s="338" t="str">
        <f t="shared" ref="CG73:CG136" si="48">IFERROR(ROUND(CF73,-1),"-")</f>
        <v>-</v>
      </c>
      <c r="CH73" s="341" t="str">
        <f>IFERROR(VLOOKUP(BY73,'RawPL+D'!$O$8:$AB$503,13,FALSE),"-")</f>
        <v>-</v>
      </c>
      <c r="CI73" s="338" t="str">
        <f t="shared" ref="CI73:CI136" si="49">IFERROR(ROUND(CH73,-1),"-")</f>
        <v>-</v>
      </c>
    </row>
    <row r="74" spans="1:87" ht="12.75" hidden="1" customHeight="1" x14ac:dyDescent="0.2">
      <c r="A74" s="28">
        <v>4</v>
      </c>
      <c r="B74" s="28">
        <v>6</v>
      </c>
      <c r="C74" s="11">
        <v>20</v>
      </c>
      <c r="D74" s="147" t="s">
        <v>291</v>
      </c>
      <c r="E74" s="21" t="s">
        <v>155</v>
      </c>
      <c r="F74" s="10" t="s">
        <v>211</v>
      </c>
      <c r="G74" s="10"/>
      <c r="H74" s="10"/>
      <c r="I74" s="10"/>
      <c r="J74" s="10"/>
      <c r="K74" s="575"/>
      <c r="L74" s="152"/>
      <c r="M74" s="164"/>
      <c r="N74" s="62"/>
      <c r="O74" s="62"/>
      <c r="P74" s="64"/>
      <c r="Q74" s="164"/>
      <c r="R74" s="62"/>
      <c r="S74" s="62"/>
      <c r="T74" s="62"/>
      <c r="U74" s="62"/>
      <c r="V74" s="64"/>
      <c r="W74" s="62"/>
      <c r="X74" s="62"/>
      <c r="Y74" s="62"/>
      <c r="Z74" s="64"/>
      <c r="AA74" s="164"/>
      <c r="AB74" s="62"/>
      <c r="AC74" s="62"/>
      <c r="AD74" s="64"/>
      <c r="AE74" s="164"/>
      <c r="AF74" s="62"/>
      <c r="AG74" s="62"/>
      <c r="AH74" s="337"/>
      <c r="AI74" s="337"/>
      <c r="AJ74" s="337"/>
      <c r="AK74" s="337"/>
      <c r="AL74" s="414"/>
      <c r="AM74" s="414"/>
      <c r="AN74" s="45"/>
      <c r="AO74" s="45"/>
      <c r="AP74" s="45"/>
      <c r="AQ74" s="100"/>
      <c r="AR74" s="100"/>
      <c r="AS74" s="24"/>
      <c r="AT74" s="24"/>
      <c r="AU74" s="24"/>
      <c r="AV74" s="24"/>
      <c r="AW74" s="18">
        <v>20</v>
      </c>
      <c r="AX74" s="69" t="s">
        <v>291</v>
      </c>
      <c r="AY74" s="243" t="s">
        <v>155</v>
      </c>
      <c r="AZ74" s="243" t="str">
        <f t="shared" si="28"/>
        <v>Steelhead</v>
      </c>
      <c r="BA74" s="243" t="s">
        <v>419</v>
      </c>
      <c r="BB74" s="246"/>
      <c r="BC74" s="43" t="str">
        <f t="shared" si="29"/>
        <v>-</v>
      </c>
      <c r="BD74" s="43">
        <f t="shared" si="30"/>
        <v>0</v>
      </c>
      <c r="BE74" s="193">
        <f t="shared" si="31"/>
        <v>0</v>
      </c>
      <c r="BF74" s="193">
        <f t="shared" si="32"/>
        <v>0</v>
      </c>
      <c r="BG74" s="193">
        <f t="shared" si="33"/>
        <v>0</v>
      </c>
      <c r="BH74" s="307" t="str">
        <f t="shared" si="34"/>
        <v>-</v>
      </c>
      <c r="BI74" s="265" t="str">
        <f t="shared" si="27"/>
        <v>-</v>
      </c>
      <c r="BJ74" s="26" t="str">
        <f t="shared" si="35"/>
        <v>HEMMINGSEN CREEKSteelhead</v>
      </c>
      <c r="BK74" s="26">
        <f t="shared" si="36"/>
        <v>0</v>
      </c>
      <c r="BL74" s="33">
        <f t="shared" si="26"/>
        <v>0</v>
      </c>
      <c r="BQ74" s="47" t="str">
        <f t="shared" si="37"/>
        <v>HEMMINGSEN CREEKSteelhead</v>
      </c>
      <c r="BR74" s="49">
        <f t="shared" si="38"/>
        <v>0</v>
      </c>
      <c r="BS74" s="49">
        <f t="shared" si="39"/>
        <v>0</v>
      </c>
      <c r="BT74" s="31">
        <v>0</v>
      </c>
      <c r="BU74" s="188">
        <f t="shared" si="40"/>
        <v>0</v>
      </c>
      <c r="BV74" s="188" t="str">
        <f t="shared" si="41"/>
        <v xml:space="preserve"> </v>
      </c>
      <c r="BW74" s="188" t="str">
        <f t="shared" si="42"/>
        <v xml:space="preserve"> </v>
      </c>
      <c r="BX74" s="188" t="str">
        <f t="shared" si="43"/>
        <v xml:space="preserve"> </v>
      </c>
      <c r="BY74" s="50" t="str">
        <f t="shared" si="44"/>
        <v>HEMMINGSEN CREEK_Steelhead</v>
      </c>
      <c r="BZ74" s="50" t="str">
        <f>IFERROR(VLOOKUP(BY74,'[1]WCVI Esc'!$C$5:$W$555,18,FALSE),"-")</f>
        <v>-</v>
      </c>
      <c r="CA74" s="50" t="str">
        <f t="shared" si="45"/>
        <v>-</v>
      </c>
      <c r="CB74" s="50" t="str">
        <f>IFERROR(VLOOKUP(BY74,'[1]WCVI Esc'!$C$5:$W$555,19,FALSE),"-")</f>
        <v>-</v>
      </c>
      <c r="CC74" s="50" t="str">
        <f t="shared" si="46"/>
        <v>-</v>
      </c>
      <c r="CE74" s="342" t="str">
        <f t="shared" si="47"/>
        <v>HEMMINGSEN CREEK_Steelhead</v>
      </c>
      <c r="CF74" s="341" t="str">
        <f>IFERROR(VLOOKUP(BY74,'RawPL+D'!$O$8:$AB$503,12,FALSE),"-")</f>
        <v>-</v>
      </c>
      <c r="CG74" s="338" t="str">
        <f t="shared" si="48"/>
        <v>-</v>
      </c>
      <c r="CH74" s="341" t="str">
        <f>IFERROR(VLOOKUP(BY74,'RawPL+D'!$O$8:$AB$503,13,FALSE),"-")</f>
        <v>-</v>
      </c>
      <c r="CI74" s="338" t="str">
        <f t="shared" si="49"/>
        <v>-</v>
      </c>
    </row>
    <row r="75" spans="1:87" ht="12.75" hidden="1" customHeight="1" x14ac:dyDescent="0.2">
      <c r="A75" s="28">
        <v>4</v>
      </c>
      <c r="B75" s="28">
        <v>1</v>
      </c>
      <c r="C75" s="11">
        <v>20</v>
      </c>
      <c r="D75" s="147" t="s">
        <v>291</v>
      </c>
      <c r="E75" s="21" t="s">
        <v>156</v>
      </c>
      <c r="F75" s="21" t="s">
        <v>207</v>
      </c>
      <c r="G75" s="21"/>
      <c r="H75" s="21"/>
      <c r="I75" s="21"/>
      <c r="J75" s="21"/>
      <c r="K75" s="575"/>
      <c r="L75" s="580"/>
      <c r="M75" s="164"/>
      <c r="N75" s="62"/>
      <c r="O75" s="62"/>
      <c r="P75" s="64"/>
      <c r="Q75" s="494"/>
      <c r="R75" s="62"/>
      <c r="S75" s="62"/>
      <c r="T75" s="62"/>
      <c r="U75" s="64"/>
      <c r="V75" s="164"/>
      <c r="W75" s="62"/>
      <c r="X75" s="62"/>
      <c r="Y75" s="62"/>
      <c r="Z75" s="64"/>
      <c r="AA75" s="164"/>
      <c r="AB75" s="62"/>
      <c r="AC75" s="62"/>
      <c r="AD75" s="64"/>
      <c r="AE75" s="164"/>
      <c r="AF75" s="62"/>
      <c r="AG75" s="62"/>
      <c r="AH75" s="337"/>
      <c r="AI75" s="337"/>
      <c r="AJ75" s="337"/>
      <c r="AK75" s="337"/>
      <c r="AL75" s="414"/>
      <c r="AM75" s="414"/>
      <c r="AN75" s="45"/>
      <c r="AO75" s="45"/>
      <c r="AP75" s="45"/>
      <c r="AQ75" s="100"/>
      <c r="AR75" s="100"/>
      <c r="AS75" s="24"/>
      <c r="AT75" s="24"/>
      <c r="AU75" s="24"/>
      <c r="AV75" s="24"/>
      <c r="AW75" s="18">
        <v>20</v>
      </c>
      <c r="AX75" s="69" t="s">
        <v>291</v>
      </c>
      <c r="AY75" s="243" t="s">
        <v>156</v>
      </c>
      <c r="AZ75" s="243" t="str">
        <f t="shared" si="28"/>
        <v>Sockeye</v>
      </c>
      <c r="BA75" s="243" t="s">
        <v>419</v>
      </c>
      <c r="BB75" s="246"/>
      <c r="BC75" s="43" t="str">
        <f t="shared" si="29"/>
        <v>-</v>
      </c>
      <c r="BD75" s="43">
        <f t="shared" si="30"/>
        <v>0</v>
      </c>
      <c r="BE75" s="193">
        <f t="shared" si="31"/>
        <v>0</v>
      </c>
      <c r="BF75" s="193">
        <f t="shared" si="32"/>
        <v>0</v>
      </c>
      <c r="BG75" s="193">
        <f t="shared" si="33"/>
        <v>0</v>
      </c>
      <c r="BH75" s="307" t="str">
        <f t="shared" si="34"/>
        <v>-</v>
      </c>
      <c r="BI75" s="265" t="str">
        <f t="shared" si="27"/>
        <v>-</v>
      </c>
      <c r="BJ75" s="26" t="str">
        <f t="shared" si="35"/>
        <v>HOLLIDAY CREEKSockeye</v>
      </c>
      <c r="BK75" s="26">
        <f t="shared" si="36"/>
        <v>0</v>
      </c>
      <c r="BL75" s="33">
        <f t="shared" si="26"/>
        <v>0</v>
      </c>
      <c r="BQ75" s="47" t="str">
        <f t="shared" si="37"/>
        <v>HOLLIDAY CREEKSockeye</v>
      </c>
      <c r="BR75" s="49">
        <f t="shared" si="38"/>
        <v>0</v>
      </c>
      <c r="BS75" s="49">
        <f t="shared" si="39"/>
        <v>0</v>
      </c>
      <c r="BT75" s="31">
        <v>0</v>
      </c>
      <c r="BU75" s="188">
        <f t="shared" si="40"/>
        <v>0</v>
      </c>
      <c r="BV75" s="188" t="str">
        <f t="shared" si="41"/>
        <v xml:space="preserve"> </v>
      </c>
      <c r="BW75" s="188" t="str">
        <f t="shared" si="42"/>
        <v xml:space="preserve"> </v>
      </c>
      <c r="BX75" s="188" t="str">
        <f t="shared" si="43"/>
        <v xml:space="preserve"> </v>
      </c>
      <c r="BY75" s="50" t="str">
        <f t="shared" si="44"/>
        <v>HOLLIDAY CREEK_Sockeye</v>
      </c>
      <c r="BZ75" s="50" t="str">
        <f>IFERROR(VLOOKUP(BY75,'[1]WCVI Esc'!$C$5:$W$555,18,FALSE),"-")</f>
        <v>-</v>
      </c>
      <c r="CA75" s="50" t="str">
        <f t="shared" si="45"/>
        <v>-</v>
      </c>
      <c r="CB75" s="50" t="str">
        <f>IFERROR(VLOOKUP(BY75,'[1]WCVI Esc'!$C$5:$W$555,19,FALSE),"-")</f>
        <v>-</v>
      </c>
      <c r="CC75" s="50" t="str">
        <f t="shared" si="46"/>
        <v>-</v>
      </c>
      <c r="CE75" s="342" t="str">
        <f t="shared" si="47"/>
        <v>HOLLIDAY CREEK_Sockeye</v>
      </c>
      <c r="CF75" s="341" t="str">
        <f>IFERROR(VLOOKUP(BY75,'RawPL+D'!$O$8:$AB$503,12,FALSE),"-")</f>
        <v>-</v>
      </c>
      <c r="CG75" s="338" t="str">
        <f t="shared" si="48"/>
        <v>-</v>
      </c>
      <c r="CH75" s="341" t="str">
        <f>IFERROR(VLOOKUP(BY75,'RawPL+D'!$O$8:$AB$503,13,FALSE),"-")</f>
        <v>-</v>
      </c>
      <c r="CI75" s="338" t="str">
        <f t="shared" si="49"/>
        <v>-</v>
      </c>
    </row>
    <row r="76" spans="1:87" ht="12.75" hidden="1" customHeight="1" x14ac:dyDescent="0.2">
      <c r="A76" s="28">
        <v>4</v>
      </c>
      <c r="B76" s="28">
        <v>2</v>
      </c>
      <c r="C76" s="11">
        <v>20</v>
      </c>
      <c r="D76" s="147" t="s">
        <v>291</v>
      </c>
      <c r="E76" s="21" t="s">
        <v>156</v>
      </c>
      <c r="F76" s="21" t="s">
        <v>219</v>
      </c>
      <c r="G76" s="21"/>
      <c r="H76" s="21"/>
      <c r="I76" s="21"/>
      <c r="J76" s="21"/>
      <c r="K76" s="575"/>
      <c r="L76" s="580"/>
      <c r="M76" s="164"/>
      <c r="N76" s="62"/>
      <c r="O76" s="62"/>
      <c r="P76" s="64"/>
      <c r="Q76" s="494"/>
      <c r="R76" s="62"/>
      <c r="S76" s="62"/>
      <c r="T76" s="62"/>
      <c r="U76" s="64"/>
      <c r="V76" s="164"/>
      <c r="W76" s="62"/>
      <c r="X76" s="62"/>
      <c r="Y76" s="62"/>
      <c r="Z76" s="64"/>
      <c r="AA76" s="164"/>
      <c r="AB76" s="62"/>
      <c r="AC76" s="62"/>
      <c r="AD76" s="64"/>
      <c r="AE76" s="164"/>
      <c r="AF76" s="62"/>
      <c r="AG76" s="62"/>
      <c r="AH76" s="337"/>
      <c r="AI76" s="337"/>
      <c r="AJ76" s="337"/>
      <c r="AK76" s="337"/>
      <c r="AL76" s="414"/>
      <c r="AM76" s="414"/>
      <c r="AN76" s="45"/>
      <c r="AO76" s="45"/>
      <c r="AP76" s="45"/>
      <c r="AQ76" s="100"/>
      <c r="AR76" s="100"/>
      <c r="AS76" s="24"/>
      <c r="AT76" s="24"/>
      <c r="AU76" s="24"/>
      <c r="AV76" s="24"/>
      <c r="AW76" s="18">
        <v>20</v>
      </c>
      <c r="AX76" s="69" t="s">
        <v>291</v>
      </c>
      <c r="AY76" s="243" t="s">
        <v>156</v>
      </c>
      <c r="AZ76" s="243" t="str">
        <f t="shared" si="28"/>
        <v>Coho</v>
      </c>
      <c r="BA76" s="243" t="s">
        <v>419</v>
      </c>
      <c r="BB76" s="246"/>
      <c r="BC76" s="43" t="str">
        <f t="shared" si="29"/>
        <v>-</v>
      </c>
      <c r="BD76" s="43">
        <f t="shared" si="30"/>
        <v>0</v>
      </c>
      <c r="BE76" s="193">
        <f t="shared" si="31"/>
        <v>0</v>
      </c>
      <c r="BF76" s="193">
        <f t="shared" si="32"/>
        <v>0</v>
      </c>
      <c r="BG76" s="193">
        <f t="shared" si="33"/>
        <v>0</v>
      </c>
      <c r="BH76" s="307" t="str">
        <f t="shared" si="34"/>
        <v>-</v>
      </c>
      <c r="BI76" s="265" t="str">
        <f t="shared" si="27"/>
        <v>-</v>
      </c>
      <c r="BJ76" s="26" t="str">
        <f t="shared" si="35"/>
        <v>HOLLIDAY CREEKCoho</v>
      </c>
      <c r="BK76" s="26">
        <f t="shared" si="36"/>
        <v>0</v>
      </c>
      <c r="BL76" s="33">
        <f t="shared" si="26"/>
        <v>0</v>
      </c>
      <c r="BQ76" s="47" t="str">
        <f t="shared" si="37"/>
        <v>HOLLIDAY CREEKCoho</v>
      </c>
      <c r="BR76" s="49">
        <f t="shared" si="38"/>
        <v>0</v>
      </c>
      <c r="BS76" s="49">
        <f t="shared" si="39"/>
        <v>0</v>
      </c>
      <c r="BT76" s="31">
        <v>0</v>
      </c>
      <c r="BU76" s="188">
        <f t="shared" si="40"/>
        <v>0</v>
      </c>
      <c r="BV76" s="188" t="str">
        <f t="shared" si="41"/>
        <v xml:space="preserve"> </v>
      </c>
      <c r="BW76" s="188" t="str">
        <f t="shared" si="42"/>
        <v xml:space="preserve"> </v>
      </c>
      <c r="BX76" s="188" t="str">
        <f t="shared" si="43"/>
        <v xml:space="preserve"> </v>
      </c>
      <c r="BY76" s="50" t="str">
        <f t="shared" si="44"/>
        <v>HOLLIDAY CREEK_Coho</v>
      </c>
      <c r="BZ76" s="50" t="str">
        <f>IFERROR(VLOOKUP(BY76,'[1]WCVI Esc'!$C$5:$W$555,18,FALSE),"-")</f>
        <v>-</v>
      </c>
      <c r="CA76" s="50" t="str">
        <f t="shared" si="45"/>
        <v>-</v>
      </c>
      <c r="CB76" s="50" t="str">
        <f>IFERROR(VLOOKUP(BY76,'[1]WCVI Esc'!$C$5:$W$555,19,FALSE),"-")</f>
        <v>-</v>
      </c>
      <c r="CC76" s="50" t="str">
        <f t="shared" si="46"/>
        <v>-</v>
      </c>
      <c r="CE76" s="342" t="str">
        <f t="shared" si="47"/>
        <v>HOLLIDAY CREEK_Coho</v>
      </c>
      <c r="CF76" s="341" t="str">
        <f>IFERROR(VLOOKUP(BY76,'RawPL+D'!$O$8:$AB$503,12,FALSE),"-")</f>
        <v>-</v>
      </c>
      <c r="CG76" s="338" t="str">
        <f t="shared" si="48"/>
        <v>-</v>
      </c>
      <c r="CH76" s="341" t="str">
        <f>IFERROR(VLOOKUP(BY76,'RawPL+D'!$O$8:$AB$503,13,FALSE),"-")</f>
        <v>-</v>
      </c>
      <c r="CI76" s="338" t="str">
        <f t="shared" si="49"/>
        <v>-</v>
      </c>
    </row>
    <row r="77" spans="1:87" ht="12.75" hidden="1" customHeight="1" x14ac:dyDescent="0.2">
      <c r="A77" s="28">
        <v>4</v>
      </c>
      <c r="B77" s="28">
        <v>3</v>
      </c>
      <c r="C77" s="11">
        <v>20</v>
      </c>
      <c r="D77" s="147" t="s">
        <v>291</v>
      </c>
      <c r="E77" s="21" t="s">
        <v>156</v>
      </c>
      <c r="F77" s="10" t="s">
        <v>208</v>
      </c>
      <c r="G77" s="10"/>
      <c r="H77" s="10"/>
      <c r="I77" s="10"/>
      <c r="J77" s="10"/>
      <c r="K77" s="575"/>
      <c r="L77" s="580"/>
      <c r="M77" s="164"/>
      <c r="N77" s="62"/>
      <c r="O77" s="62"/>
      <c r="P77" s="64"/>
      <c r="Q77" s="494"/>
      <c r="R77" s="62"/>
      <c r="S77" s="62"/>
      <c r="T77" s="62"/>
      <c r="U77" s="64"/>
      <c r="V77" s="164"/>
      <c r="W77" s="62"/>
      <c r="X77" s="62"/>
      <c r="Y77" s="62"/>
      <c r="Z77" s="64"/>
      <c r="AA77" s="164"/>
      <c r="AB77" s="62"/>
      <c r="AC77" s="62"/>
      <c r="AD77" s="64"/>
      <c r="AE77" s="164"/>
      <c r="AF77" s="62"/>
      <c r="AG77" s="62"/>
      <c r="AH77" s="337"/>
      <c r="AI77" s="337"/>
      <c r="AJ77" s="337"/>
      <c r="AK77" s="337"/>
      <c r="AL77" s="414"/>
      <c r="AM77" s="414"/>
      <c r="AN77" s="45"/>
      <c r="AO77" s="45"/>
      <c r="AP77" s="45"/>
      <c r="AQ77" s="100"/>
      <c r="AR77" s="100"/>
      <c r="AS77" s="24"/>
      <c r="AT77" s="24"/>
      <c r="AU77" s="24"/>
      <c r="AV77" s="24"/>
      <c r="AW77" s="18">
        <v>20</v>
      </c>
      <c r="AX77" s="69" t="s">
        <v>291</v>
      </c>
      <c r="AY77" s="243" t="s">
        <v>156</v>
      </c>
      <c r="AZ77" s="243" t="str">
        <f t="shared" si="28"/>
        <v>Pink</v>
      </c>
      <c r="BA77" s="243" t="s">
        <v>419</v>
      </c>
      <c r="BB77" s="246"/>
      <c r="BC77" s="43" t="str">
        <f t="shared" si="29"/>
        <v>-</v>
      </c>
      <c r="BD77" s="43">
        <f t="shared" si="30"/>
        <v>0</v>
      </c>
      <c r="BE77" s="193">
        <f t="shared" si="31"/>
        <v>0</v>
      </c>
      <c r="BF77" s="193">
        <f t="shared" si="32"/>
        <v>0</v>
      </c>
      <c r="BG77" s="193">
        <f t="shared" si="33"/>
        <v>0</v>
      </c>
      <c r="BH77" s="307" t="str">
        <f t="shared" si="34"/>
        <v>-</v>
      </c>
      <c r="BI77" s="265" t="str">
        <f t="shared" si="27"/>
        <v>-</v>
      </c>
      <c r="BJ77" s="26" t="str">
        <f t="shared" si="35"/>
        <v>HOLLIDAY CREEKPink</v>
      </c>
      <c r="BK77" s="26">
        <f t="shared" si="36"/>
        <v>0</v>
      </c>
      <c r="BL77" s="33">
        <f t="shared" si="26"/>
        <v>0</v>
      </c>
      <c r="BQ77" s="47" t="str">
        <f t="shared" si="37"/>
        <v>HOLLIDAY CREEKPink</v>
      </c>
      <c r="BR77" s="49">
        <f t="shared" si="38"/>
        <v>0</v>
      </c>
      <c r="BS77" s="49">
        <f t="shared" si="39"/>
        <v>0</v>
      </c>
      <c r="BT77" s="31">
        <v>0</v>
      </c>
      <c r="BU77" s="188">
        <f t="shared" si="40"/>
        <v>0</v>
      </c>
      <c r="BV77" s="188" t="str">
        <f t="shared" si="41"/>
        <v xml:space="preserve"> </v>
      </c>
      <c r="BW77" s="188" t="str">
        <f t="shared" si="42"/>
        <v xml:space="preserve"> </v>
      </c>
      <c r="BX77" s="188" t="str">
        <f t="shared" si="43"/>
        <v xml:space="preserve"> </v>
      </c>
      <c r="BY77" s="50" t="str">
        <f t="shared" si="44"/>
        <v>HOLLIDAY CREEK_Pink</v>
      </c>
      <c r="BZ77" s="50" t="str">
        <f>IFERROR(VLOOKUP(BY77,'[1]WCVI Esc'!$C$5:$W$555,18,FALSE),"-")</f>
        <v>-</v>
      </c>
      <c r="CA77" s="50" t="str">
        <f t="shared" si="45"/>
        <v>-</v>
      </c>
      <c r="CB77" s="50" t="str">
        <f>IFERROR(VLOOKUP(BY77,'[1]WCVI Esc'!$C$5:$W$555,19,FALSE),"-")</f>
        <v>-</v>
      </c>
      <c r="CC77" s="50" t="str">
        <f t="shared" si="46"/>
        <v>-</v>
      </c>
      <c r="CE77" s="342" t="str">
        <f t="shared" si="47"/>
        <v>HOLLIDAY CREEK_Pink</v>
      </c>
      <c r="CF77" s="341" t="str">
        <f>IFERROR(VLOOKUP(BY77,'RawPL+D'!$O$8:$AB$503,12,FALSE),"-")</f>
        <v>-</v>
      </c>
      <c r="CG77" s="338" t="str">
        <f t="shared" si="48"/>
        <v>-</v>
      </c>
      <c r="CH77" s="341" t="str">
        <f>IFERROR(VLOOKUP(BY77,'RawPL+D'!$O$8:$AB$503,13,FALSE),"-")</f>
        <v>-</v>
      </c>
      <c r="CI77" s="338" t="str">
        <f t="shared" si="49"/>
        <v>-</v>
      </c>
    </row>
    <row r="78" spans="1:87" ht="12.75" hidden="1" customHeight="1" x14ac:dyDescent="0.2">
      <c r="A78" s="28">
        <v>4</v>
      </c>
      <c r="B78" s="28">
        <v>4</v>
      </c>
      <c r="C78" s="11">
        <v>20</v>
      </c>
      <c r="D78" s="147" t="s">
        <v>291</v>
      </c>
      <c r="E78" s="21" t="s">
        <v>156</v>
      </c>
      <c r="F78" s="21" t="s">
        <v>209</v>
      </c>
      <c r="G78" s="21"/>
      <c r="H78" s="21"/>
      <c r="I78" s="21"/>
      <c r="J78" s="21"/>
      <c r="K78" s="575"/>
      <c r="L78" s="580"/>
      <c r="M78" s="164"/>
      <c r="N78" s="62"/>
      <c r="O78" s="62"/>
      <c r="P78" s="64"/>
      <c r="Q78" s="494"/>
      <c r="R78" s="62"/>
      <c r="S78" s="62"/>
      <c r="T78" s="62"/>
      <c r="U78" s="64"/>
      <c r="V78" s="164"/>
      <c r="W78" s="62"/>
      <c r="X78" s="62"/>
      <c r="Y78" s="62"/>
      <c r="Z78" s="64"/>
      <c r="AA78" s="164"/>
      <c r="AB78" s="62"/>
      <c r="AC78" s="62"/>
      <c r="AD78" s="64"/>
      <c r="AE78" s="164"/>
      <c r="AF78" s="62"/>
      <c r="AG78" s="62"/>
      <c r="AH78" s="337"/>
      <c r="AI78" s="337"/>
      <c r="AJ78" s="337"/>
      <c r="AK78" s="337"/>
      <c r="AL78" s="414"/>
      <c r="AM78" s="414"/>
      <c r="AN78" s="45"/>
      <c r="AO78" s="45"/>
      <c r="AP78" s="45"/>
      <c r="AQ78" s="100"/>
      <c r="AR78" s="100"/>
      <c r="AS78" s="24"/>
      <c r="AT78" s="24"/>
      <c r="AU78" s="24"/>
      <c r="AV78" s="24"/>
      <c r="AW78" s="18">
        <v>20</v>
      </c>
      <c r="AX78" s="69" t="s">
        <v>291</v>
      </c>
      <c r="AY78" s="243" t="s">
        <v>156</v>
      </c>
      <c r="AZ78" s="243" t="str">
        <f t="shared" si="28"/>
        <v>Chum</v>
      </c>
      <c r="BA78" s="243" t="s">
        <v>419</v>
      </c>
      <c r="BB78" s="246"/>
      <c r="BC78" s="43" t="str">
        <f t="shared" si="29"/>
        <v>-</v>
      </c>
      <c r="BD78" s="43">
        <f t="shared" si="30"/>
        <v>0</v>
      </c>
      <c r="BE78" s="193">
        <f t="shared" si="31"/>
        <v>0</v>
      </c>
      <c r="BF78" s="193">
        <f t="shared" si="32"/>
        <v>0</v>
      </c>
      <c r="BG78" s="193">
        <f t="shared" si="33"/>
        <v>0</v>
      </c>
      <c r="BH78" s="307" t="str">
        <f t="shared" si="34"/>
        <v>-</v>
      </c>
      <c r="BI78" s="265" t="str">
        <f t="shared" si="27"/>
        <v>-</v>
      </c>
      <c r="BJ78" s="26" t="str">
        <f t="shared" si="35"/>
        <v>HOLLIDAY CREEKChum</v>
      </c>
      <c r="BK78" s="26">
        <f t="shared" si="36"/>
        <v>0</v>
      </c>
      <c r="BL78" s="33">
        <f t="shared" si="26"/>
        <v>0</v>
      </c>
      <c r="BQ78" s="47" t="str">
        <f t="shared" si="37"/>
        <v>HOLLIDAY CREEKChum</v>
      </c>
      <c r="BR78" s="49">
        <f t="shared" si="38"/>
        <v>0</v>
      </c>
      <c r="BS78" s="49">
        <f t="shared" si="39"/>
        <v>0</v>
      </c>
      <c r="BT78" s="31">
        <v>0</v>
      </c>
      <c r="BU78" s="188">
        <f t="shared" si="40"/>
        <v>0</v>
      </c>
      <c r="BV78" s="188" t="str">
        <f t="shared" si="41"/>
        <v xml:space="preserve"> </v>
      </c>
      <c r="BW78" s="188" t="str">
        <f t="shared" si="42"/>
        <v xml:space="preserve"> </v>
      </c>
      <c r="BX78" s="188" t="str">
        <f t="shared" si="43"/>
        <v xml:space="preserve"> </v>
      </c>
      <c r="BY78" s="50" t="str">
        <f t="shared" si="44"/>
        <v>HOLLIDAY CREEK_Chum</v>
      </c>
      <c r="BZ78" s="50" t="str">
        <f>IFERROR(VLOOKUP(BY78,'[1]WCVI Esc'!$C$5:$W$555,18,FALSE),"-")</f>
        <v>-</v>
      </c>
      <c r="CA78" s="50" t="str">
        <f t="shared" si="45"/>
        <v>-</v>
      </c>
      <c r="CB78" s="50" t="str">
        <f>IFERROR(VLOOKUP(BY78,'[1]WCVI Esc'!$C$5:$W$555,19,FALSE),"-")</f>
        <v>-</v>
      </c>
      <c r="CC78" s="50" t="str">
        <f t="shared" si="46"/>
        <v>-</v>
      </c>
      <c r="CE78" s="342" t="str">
        <f t="shared" si="47"/>
        <v>HOLLIDAY CREEK_Chum</v>
      </c>
      <c r="CF78" s="341" t="str">
        <f>IFERROR(VLOOKUP(BY78,'RawPL+D'!$O$8:$AB$503,12,FALSE),"-")</f>
        <v>-</v>
      </c>
      <c r="CG78" s="338" t="str">
        <f t="shared" si="48"/>
        <v>-</v>
      </c>
      <c r="CH78" s="341" t="str">
        <f>IFERROR(VLOOKUP(BY78,'RawPL+D'!$O$8:$AB$503,13,FALSE),"-")</f>
        <v>-</v>
      </c>
      <c r="CI78" s="338" t="str">
        <f t="shared" si="49"/>
        <v>-</v>
      </c>
    </row>
    <row r="79" spans="1:87" ht="12.75" hidden="1" customHeight="1" thickBot="1" x14ac:dyDescent="0.2">
      <c r="A79" s="28">
        <v>4</v>
      </c>
      <c r="B79" s="28">
        <v>5</v>
      </c>
      <c r="C79" s="11">
        <v>20</v>
      </c>
      <c r="D79" s="103" t="s">
        <v>291</v>
      </c>
      <c r="E79" s="10" t="s">
        <v>156</v>
      </c>
      <c r="F79" s="10" t="s">
        <v>210</v>
      </c>
      <c r="G79" s="10"/>
      <c r="H79" s="10"/>
      <c r="I79" s="10"/>
      <c r="J79" s="10"/>
      <c r="K79" s="575"/>
      <c r="L79" s="580"/>
      <c r="M79" s="62"/>
      <c r="N79" s="62"/>
      <c r="O79" s="62"/>
      <c r="P79" s="64"/>
      <c r="Q79" s="494"/>
      <c r="R79" s="62"/>
      <c r="S79" s="62"/>
      <c r="T79" s="62"/>
      <c r="U79" s="64"/>
      <c r="V79" s="164"/>
      <c r="W79" s="62"/>
      <c r="X79" s="62"/>
      <c r="Y79" s="62"/>
      <c r="Z79" s="64"/>
      <c r="AA79" s="164"/>
      <c r="AB79" s="62"/>
      <c r="AC79" s="62"/>
      <c r="AD79" s="64"/>
      <c r="AE79" s="164"/>
      <c r="AF79" s="62"/>
      <c r="AG79" s="62"/>
      <c r="AH79" s="337"/>
      <c r="AI79" s="337"/>
      <c r="AJ79" s="337"/>
      <c r="AK79" s="337"/>
      <c r="AL79" s="414"/>
      <c r="AM79" s="414"/>
      <c r="AN79" s="45"/>
      <c r="AO79" s="45"/>
      <c r="AP79" s="45"/>
      <c r="AQ79" s="100"/>
      <c r="AR79" s="100"/>
      <c r="AS79" s="24"/>
      <c r="AT79" s="24"/>
      <c r="AU79" s="24"/>
      <c r="AV79" s="24"/>
      <c r="AW79" s="18">
        <v>20</v>
      </c>
      <c r="AX79" s="69" t="s">
        <v>291</v>
      </c>
      <c r="AY79" s="243" t="s">
        <v>156</v>
      </c>
      <c r="AZ79" s="243" t="str">
        <f t="shared" si="28"/>
        <v>Chinook</v>
      </c>
      <c r="BA79" s="243" t="s">
        <v>419</v>
      </c>
      <c r="BB79" s="246"/>
      <c r="BC79" s="43" t="str">
        <f t="shared" si="29"/>
        <v>-</v>
      </c>
      <c r="BD79" s="43">
        <f t="shared" si="30"/>
        <v>0</v>
      </c>
      <c r="BE79" s="193">
        <f t="shared" si="31"/>
        <v>0</v>
      </c>
      <c r="BF79" s="193">
        <f t="shared" si="32"/>
        <v>0</v>
      </c>
      <c r="BG79" s="193">
        <f t="shared" si="33"/>
        <v>0</v>
      </c>
      <c r="BH79" s="307" t="str">
        <f t="shared" si="34"/>
        <v>-</v>
      </c>
      <c r="BI79" s="265" t="str">
        <f t="shared" si="27"/>
        <v>-</v>
      </c>
      <c r="BJ79" s="26" t="str">
        <f t="shared" si="35"/>
        <v>HOLLIDAY CREEKChinook</v>
      </c>
      <c r="BK79" s="26">
        <f t="shared" si="36"/>
        <v>0</v>
      </c>
      <c r="BL79" s="33">
        <f t="shared" si="26"/>
        <v>0</v>
      </c>
      <c r="BQ79" s="47" t="str">
        <f t="shared" si="37"/>
        <v>HOLLIDAY CREEKChinook</v>
      </c>
      <c r="BR79" s="49">
        <f t="shared" si="38"/>
        <v>0</v>
      </c>
      <c r="BS79" s="49">
        <f t="shared" si="39"/>
        <v>0</v>
      </c>
      <c r="BT79" s="31">
        <v>0</v>
      </c>
      <c r="BU79" s="188">
        <f t="shared" si="40"/>
        <v>0</v>
      </c>
      <c r="BV79" s="188" t="str">
        <f t="shared" si="41"/>
        <v xml:space="preserve"> </v>
      </c>
      <c r="BW79" s="188" t="str">
        <f t="shared" si="42"/>
        <v xml:space="preserve"> </v>
      </c>
      <c r="BX79" s="188" t="str">
        <f t="shared" si="43"/>
        <v xml:space="preserve"> </v>
      </c>
      <c r="BY79" s="50" t="str">
        <f t="shared" si="44"/>
        <v>HOLLIDAY CREEK_Chinook</v>
      </c>
      <c r="BZ79" s="50" t="str">
        <f>IFERROR(VLOOKUP(BY79,'[1]WCVI Esc'!$C$5:$W$555,18,FALSE),"-")</f>
        <v>-</v>
      </c>
      <c r="CA79" s="50" t="str">
        <f t="shared" si="45"/>
        <v>-</v>
      </c>
      <c r="CB79" s="50" t="str">
        <f>IFERROR(VLOOKUP(BY79,'[1]WCVI Esc'!$C$5:$W$555,19,FALSE),"-")</f>
        <v>-</v>
      </c>
      <c r="CC79" s="50" t="str">
        <f t="shared" si="46"/>
        <v>-</v>
      </c>
      <c r="CE79" s="342" t="str">
        <f t="shared" si="47"/>
        <v>HOLLIDAY CREEK_Chinook</v>
      </c>
      <c r="CF79" s="341" t="str">
        <f>IFERROR(VLOOKUP(BY79,'RawPL+D'!$O$8:$AB$503,12,FALSE),"-")</f>
        <v>-</v>
      </c>
      <c r="CG79" s="338" t="str">
        <f t="shared" si="48"/>
        <v>-</v>
      </c>
      <c r="CH79" s="341" t="str">
        <f>IFERROR(VLOOKUP(BY79,'RawPL+D'!$O$8:$AB$503,13,FALSE),"-")</f>
        <v>-</v>
      </c>
      <c r="CI79" s="338" t="str">
        <f t="shared" si="49"/>
        <v>-</v>
      </c>
    </row>
    <row r="80" spans="1:87" ht="12.75" hidden="1" customHeight="1" thickBot="1" x14ac:dyDescent="0.2">
      <c r="A80" s="28">
        <v>4</v>
      </c>
      <c r="B80" s="28">
        <v>6</v>
      </c>
      <c r="C80" s="11">
        <v>20</v>
      </c>
      <c r="D80" s="103" t="s">
        <v>291</v>
      </c>
      <c r="E80" s="10" t="s">
        <v>156</v>
      </c>
      <c r="F80" s="10" t="s">
        <v>211</v>
      </c>
      <c r="G80" s="10"/>
      <c r="H80" s="10"/>
      <c r="I80" s="10"/>
      <c r="J80" s="10"/>
      <c r="K80" s="575"/>
      <c r="L80" s="580"/>
      <c r="M80" s="164"/>
      <c r="N80" s="62"/>
      <c r="O80" s="62"/>
      <c r="P80" s="64"/>
      <c r="Q80" s="494"/>
      <c r="R80" s="62"/>
      <c r="S80" s="62"/>
      <c r="T80" s="581"/>
      <c r="U80" s="64"/>
      <c r="V80" s="164"/>
      <c r="W80" s="62"/>
      <c r="X80" s="62"/>
      <c r="Y80" s="62"/>
      <c r="Z80" s="64"/>
      <c r="AA80" s="164"/>
      <c r="AB80" s="62"/>
      <c r="AC80" s="62"/>
      <c r="AD80" s="64"/>
      <c r="AE80" s="164"/>
      <c r="AF80" s="62"/>
      <c r="AG80" s="62"/>
      <c r="AH80" s="337"/>
      <c r="AI80" s="337"/>
      <c r="AJ80" s="337"/>
      <c r="AK80" s="337"/>
      <c r="AL80" s="414"/>
      <c r="AM80" s="414"/>
      <c r="AN80" s="45"/>
      <c r="AO80" s="45"/>
      <c r="AP80" s="45"/>
      <c r="AQ80" s="100"/>
      <c r="AR80" s="100"/>
      <c r="AS80" s="24"/>
      <c r="AT80" s="24"/>
      <c r="AU80" s="24"/>
      <c r="AV80" s="24"/>
      <c r="AW80" s="18">
        <v>20</v>
      </c>
      <c r="AX80" s="69" t="s">
        <v>291</v>
      </c>
      <c r="AY80" s="243" t="s">
        <v>156</v>
      </c>
      <c r="AZ80" s="243" t="str">
        <f t="shared" si="28"/>
        <v>Steelhead</v>
      </c>
      <c r="BA80" s="243" t="s">
        <v>419</v>
      </c>
      <c r="BB80" s="246"/>
      <c r="BC80" s="43" t="str">
        <f t="shared" si="29"/>
        <v>-</v>
      </c>
      <c r="BD80" s="43">
        <f t="shared" si="30"/>
        <v>0</v>
      </c>
      <c r="BE80" s="193">
        <f t="shared" si="31"/>
        <v>0</v>
      </c>
      <c r="BF80" s="193">
        <f t="shared" si="32"/>
        <v>0</v>
      </c>
      <c r="BG80" s="193">
        <f t="shared" si="33"/>
        <v>0</v>
      </c>
      <c r="BH80" s="307" t="str">
        <f t="shared" si="34"/>
        <v>-</v>
      </c>
      <c r="BI80" s="265" t="str">
        <f t="shared" si="27"/>
        <v>-</v>
      </c>
      <c r="BJ80" s="26" t="str">
        <f t="shared" si="35"/>
        <v>HOLLIDAY CREEKSteelhead</v>
      </c>
      <c r="BK80" s="26">
        <f t="shared" si="36"/>
        <v>0</v>
      </c>
      <c r="BL80" s="33">
        <f t="shared" si="26"/>
        <v>0</v>
      </c>
      <c r="BQ80" s="47" t="str">
        <f t="shared" si="37"/>
        <v>HOLLIDAY CREEKSteelhead</v>
      </c>
      <c r="BR80" s="49">
        <f t="shared" si="38"/>
        <v>0</v>
      </c>
      <c r="BS80" s="49">
        <f t="shared" si="39"/>
        <v>0</v>
      </c>
      <c r="BT80" s="31">
        <v>0</v>
      </c>
      <c r="BU80" s="188">
        <f t="shared" si="40"/>
        <v>0</v>
      </c>
      <c r="BV80" s="188" t="str">
        <f t="shared" si="41"/>
        <v xml:space="preserve"> </v>
      </c>
      <c r="BW80" s="188" t="str">
        <f t="shared" si="42"/>
        <v xml:space="preserve"> </v>
      </c>
      <c r="BX80" s="188" t="str">
        <f t="shared" si="43"/>
        <v xml:space="preserve"> </v>
      </c>
      <c r="BY80" s="50" t="str">
        <f t="shared" si="44"/>
        <v>HOLLIDAY CREEK_Steelhead</v>
      </c>
      <c r="BZ80" s="50" t="str">
        <f>IFERROR(VLOOKUP(BY80,'[1]WCVI Esc'!$C$5:$W$555,18,FALSE),"-")</f>
        <v>-</v>
      </c>
      <c r="CA80" s="50" t="str">
        <f t="shared" si="45"/>
        <v>-</v>
      </c>
      <c r="CB80" s="50" t="str">
        <f>IFERROR(VLOOKUP(BY80,'[1]WCVI Esc'!$C$5:$W$555,19,FALSE),"-")</f>
        <v>-</v>
      </c>
      <c r="CC80" s="50" t="str">
        <f t="shared" si="46"/>
        <v>-</v>
      </c>
      <c r="CE80" s="342" t="str">
        <f t="shared" si="47"/>
        <v>HOLLIDAY CREEK_Steelhead</v>
      </c>
      <c r="CF80" s="341" t="str">
        <f>IFERROR(VLOOKUP(BY80,'RawPL+D'!$O$8:$AB$503,12,FALSE),"-")</f>
        <v>-</v>
      </c>
      <c r="CG80" s="338" t="str">
        <f t="shared" si="48"/>
        <v>-</v>
      </c>
      <c r="CH80" s="341" t="str">
        <f>IFERROR(VLOOKUP(BY80,'RawPL+D'!$O$8:$AB$503,13,FALSE),"-")</f>
        <v>-</v>
      </c>
      <c r="CI80" s="338" t="str">
        <f t="shared" si="49"/>
        <v>-</v>
      </c>
    </row>
    <row r="81" spans="1:87" ht="13.5" hidden="1" customHeight="1" thickBot="1" x14ac:dyDescent="0.25">
      <c r="A81" s="28">
        <v>4</v>
      </c>
      <c r="B81" s="28">
        <v>1</v>
      </c>
      <c r="C81" s="11">
        <v>20</v>
      </c>
      <c r="D81" s="13" t="s">
        <v>291</v>
      </c>
      <c r="E81" s="10" t="s">
        <v>161</v>
      </c>
      <c r="F81" s="10" t="s">
        <v>207</v>
      </c>
      <c r="G81" s="10"/>
      <c r="H81" s="10"/>
      <c r="I81" s="10"/>
      <c r="J81" s="10"/>
      <c r="K81" s="575"/>
      <c r="L81" s="152"/>
      <c r="M81" s="164"/>
      <c r="N81" s="62"/>
      <c r="O81" s="62"/>
      <c r="P81" s="171"/>
      <c r="Q81" s="494"/>
      <c r="R81" s="62"/>
      <c r="S81" s="62"/>
      <c r="T81" s="582"/>
      <c r="U81" s="583"/>
      <c r="V81" s="164"/>
      <c r="W81" s="62"/>
      <c r="X81" s="62"/>
      <c r="Y81" s="62"/>
      <c r="Z81" s="64"/>
      <c r="AA81" s="164"/>
      <c r="AB81" s="62"/>
      <c r="AC81" s="62"/>
      <c r="AD81" s="64"/>
      <c r="AE81" s="164"/>
      <c r="AF81" s="62"/>
      <c r="AG81" s="62"/>
      <c r="AH81" s="337"/>
      <c r="AI81" s="337"/>
      <c r="AJ81" s="337"/>
      <c r="AK81" s="337"/>
      <c r="AL81" s="414"/>
      <c r="AM81" s="414"/>
      <c r="AN81" s="45"/>
      <c r="AO81" s="45"/>
      <c r="AP81" s="45"/>
      <c r="AQ81" s="100"/>
      <c r="AR81" s="100"/>
      <c r="AS81" s="100"/>
      <c r="AT81" s="100"/>
      <c r="AU81" s="100"/>
      <c r="AV81" s="100"/>
      <c r="AW81" s="18">
        <v>20</v>
      </c>
      <c r="AX81" s="69" t="s">
        <v>291</v>
      </c>
      <c r="AY81" s="243" t="s">
        <v>161</v>
      </c>
      <c r="AZ81" s="243" t="str">
        <f t="shared" si="28"/>
        <v>Sockeye</v>
      </c>
      <c r="BA81" s="243" t="s">
        <v>419</v>
      </c>
      <c r="BB81" s="246"/>
      <c r="BC81" s="43" t="str">
        <f t="shared" si="29"/>
        <v>-</v>
      </c>
      <c r="BD81" s="43">
        <f t="shared" si="30"/>
        <v>0</v>
      </c>
      <c r="BE81" s="193">
        <f t="shared" si="31"/>
        <v>0</v>
      </c>
      <c r="BF81" s="193">
        <f t="shared" si="32"/>
        <v>0</v>
      </c>
      <c r="BG81" s="193">
        <f t="shared" si="33"/>
        <v>0</v>
      </c>
      <c r="BH81" s="307" t="str">
        <f t="shared" si="34"/>
        <v>-</v>
      </c>
      <c r="BI81" s="265" t="str">
        <f t="shared" si="27"/>
        <v>-</v>
      </c>
      <c r="BJ81" s="26" t="str">
        <f t="shared" si="35"/>
        <v>MAIDENHAIR CREEKSockeye</v>
      </c>
      <c r="BK81" s="26">
        <f t="shared" si="36"/>
        <v>0</v>
      </c>
      <c r="BL81" s="33">
        <f t="shared" si="26"/>
        <v>0</v>
      </c>
      <c r="BQ81" s="47" t="str">
        <f t="shared" si="37"/>
        <v>MAIDENHAIR CREEKSockeye</v>
      </c>
      <c r="BR81" s="49">
        <f t="shared" si="38"/>
        <v>0</v>
      </c>
      <c r="BS81" s="49">
        <f t="shared" si="39"/>
        <v>0</v>
      </c>
      <c r="BT81" s="31">
        <v>0</v>
      </c>
      <c r="BU81" s="188">
        <f t="shared" si="40"/>
        <v>0</v>
      </c>
      <c r="BV81" s="188" t="str">
        <f t="shared" si="41"/>
        <v xml:space="preserve"> </v>
      </c>
      <c r="BW81" s="188" t="str">
        <f t="shared" si="42"/>
        <v xml:space="preserve"> </v>
      </c>
      <c r="BX81" s="188" t="str">
        <f t="shared" si="43"/>
        <v xml:space="preserve"> </v>
      </c>
      <c r="BY81" s="50" t="str">
        <f t="shared" si="44"/>
        <v>MAIDENHAIR CREEK_Sockeye</v>
      </c>
      <c r="BZ81" s="50" t="str">
        <f>IFERROR(VLOOKUP(BY81,'[1]WCVI Esc'!$C$5:$W$555,18,FALSE),"-")</f>
        <v>-</v>
      </c>
      <c r="CA81" s="50" t="str">
        <f t="shared" si="45"/>
        <v>-</v>
      </c>
      <c r="CB81" s="50" t="str">
        <f>IFERROR(VLOOKUP(BY81,'[1]WCVI Esc'!$C$5:$W$555,19,FALSE),"-")</f>
        <v>-</v>
      </c>
      <c r="CC81" s="50" t="str">
        <f t="shared" si="46"/>
        <v>-</v>
      </c>
      <c r="CE81" s="342" t="str">
        <f t="shared" si="47"/>
        <v>MAIDENHAIR CREEK_Sockeye</v>
      </c>
      <c r="CF81" s="341" t="str">
        <f>IFERROR(VLOOKUP(BY81,'RawPL+D'!$O$8:$AB$503,12,FALSE),"-")</f>
        <v>-</v>
      </c>
      <c r="CG81" s="338" t="str">
        <f t="shared" si="48"/>
        <v>-</v>
      </c>
      <c r="CH81" s="341" t="str">
        <f>IFERROR(VLOOKUP(BY81,'RawPL+D'!$O$8:$AB$503,13,FALSE),"-")</f>
        <v>-</v>
      </c>
      <c r="CI81" s="338" t="str">
        <f t="shared" si="49"/>
        <v>-</v>
      </c>
    </row>
    <row r="82" spans="1:87" ht="12.75" hidden="1" customHeight="1" x14ac:dyDescent="0.2">
      <c r="A82" s="28">
        <v>4</v>
      </c>
      <c r="B82" s="28">
        <v>2</v>
      </c>
      <c r="C82" s="11">
        <v>20</v>
      </c>
      <c r="D82" s="13" t="s">
        <v>291</v>
      </c>
      <c r="E82" s="10" t="s">
        <v>161</v>
      </c>
      <c r="F82" s="10" t="s">
        <v>219</v>
      </c>
      <c r="G82" s="10"/>
      <c r="H82" s="10"/>
      <c r="I82" s="10"/>
      <c r="J82" s="10"/>
      <c r="K82" s="575"/>
      <c r="L82" s="152"/>
      <c r="M82" s="164"/>
      <c r="N82" s="62"/>
      <c r="O82" s="62"/>
      <c r="P82" s="171"/>
      <c r="Q82" s="494"/>
      <c r="R82" s="62"/>
      <c r="S82" s="62"/>
      <c r="T82" s="328"/>
      <c r="U82" s="64"/>
      <c r="V82" s="164"/>
      <c r="W82" s="62"/>
      <c r="X82" s="62"/>
      <c r="Y82" s="62"/>
      <c r="Z82" s="64"/>
      <c r="AA82" s="164"/>
      <c r="AB82" s="62"/>
      <c r="AC82" s="62"/>
      <c r="AD82" s="64"/>
      <c r="AE82" s="164"/>
      <c r="AF82" s="62"/>
      <c r="AG82" s="62"/>
      <c r="AH82" s="337"/>
      <c r="AI82" s="337"/>
      <c r="AJ82" s="337"/>
      <c r="AK82" s="337"/>
      <c r="AL82" s="414"/>
      <c r="AM82" s="414"/>
      <c r="AN82" s="45"/>
      <c r="AO82" s="45"/>
      <c r="AP82" s="45"/>
      <c r="AQ82" s="100"/>
      <c r="AR82" s="100"/>
      <c r="AS82" s="100"/>
      <c r="AT82" s="100"/>
      <c r="AU82" s="100"/>
      <c r="AV82" s="100"/>
      <c r="AW82" s="18">
        <v>20</v>
      </c>
      <c r="AX82" s="69" t="s">
        <v>291</v>
      </c>
      <c r="AY82" s="243" t="s">
        <v>161</v>
      </c>
      <c r="AZ82" s="243" t="str">
        <f t="shared" si="28"/>
        <v>Coho</v>
      </c>
      <c r="BA82" s="243" t="s">
        <v>419</v>
      </c>
      <c r="BB82" s="246"/>
      <c r="BC82" s="43" t="str">
        <f t="shared" si="29"/>
        <v>-</v>
      </c>
      <c r="BD82" s="43">
        <f t="shared" si="30"/>
        <v>0</v>
      </c>
      <c r="BE82" s="193">
        <f t="shared" si="31"/>
        <v>0</v>
      </c>
      <c r="BF82" s="193">
        <f t="shared" si="32"/>
        <v>0</v>
      </c>
      <c r="BG82" s="193">
        <f t="shared" si="33"/>
        <v>0</v>
      </c>
      <c r="BH82" s="307" t="str">
        <f t="shared" si="34"/>
        <v>-</v>
      </c>
      <c r="BI82" s="265" t="str">
        <f t="shared" si="27"/>
        <v>-</v>
      </c>
      <c r="BJ82" s="26" t="str">
        <f t="shared" si="35"/>
        <v>MAIDENHAIR CREEKCoho</v>
      </c>
      <c r="BK82" s="26">
        <f t="shared" si="36"/>
        <v>0</v>
      </c>
      <c r="BL82" s="33">
        <f t="shared" si="26"/>
        <v>0</v>
      </c>
      <c r="BQ82" s="47" t="str">
        <f t="shared" si="37"/>
        <v>MAIDENHAIR CREEKCoho</v>
      </c>
      <c r="BR82" s="49">
        <f t="shared" si="38"/>
        <v>0</v>
      </c>
      <c r="BS82" s="49">
        <f t="shared" si="39"/>
        <v>0</v>
      </c>
      <c r="BT82" s="31">
        <v>0</v>
      </c>
      <c r="BU82" s="188">
        <f t="shared" si="40"/>
        <v>0</v>
      </c>
      <c r="BV82" s="188" t="str">
        <f t="shared" si="41"/>
        <v xml:space="preserve"> </v>
      </c>
      <c r="BW82" s="188" t="str">
        <f t="shared" si="42"/>
        <v xml:space="preserve"> </v>
      </c>
      <c r="BX82" s="188" t="str">
        <f t="shared" si="43"/>
        <v xml:space="preserve"> </v>
      </c>
      <c r="BY82" s="50" t="str">
        <f t="shared" si="44"/>
        <v>MAIDENHAIR CREEK_Coho</v>
      </c>
      <c r="BZ82" s="50" t="str">
        <f>IFERROR(VLOOKUP(BY82,'[1]WCVI Esc'!$C$5:$W$555,18,FALSE),"-")</f>
        <v>-</v>
      </c>
      <c r="CA82" s="50" t="str">
        <f t="shared" si="45"/>
        <v>-</v>
      </c>
      <c r="CB82" s="50" t="str">
        <f>IFERROR(VLOOKUP(BY82,'[1]WCVI Esc'!$C$5:$W$555,19,FALSE),"-")</f>
        <v>-</v>
      </c>
      <c r="CC82" s="50" t="str">
        <f t="shared" si="46"/>
        <v>-</v>
      </c>
      <c r="CE82" s="342" t="str">
        <f t="shared" si="47"/>
        <v>MAIDENHAIR CREEK_Coho</v>
      </c>
      <c r="CF82" s="341" t="str">
        <f>IFERROR(VLOOKUP(BY82,'RawPL+D'!$O$8:$AB$503,12,FALSE),"-")</f>
        <v>-</v>
      </c>
      <c r="CG82" s="338" t="str">
        <f t="shared" si="48"/>
        <v>-</v>
      </c>
      <c r="CH82" s="341" t="str">
        <f>IFERROR(VLOOKUP(BY82,'RawPL+D'!$O$8:$AB$503,13,FALSE),"-")</f>
        <v>-</v>
      </c>
      <c r="CI82" s="338" t="str">
        <f t="shared" si="49"/>
        <v>-</v>
      </c>
    </row>
    <row r="83" spans="1:87" ht="12.75" hidden="1" customHeight="1" x14ac:dyDescent="0.2">
      <c r="A83" s="28">
        <v>4</v>
      </c>
      <c r="B83" s="28">
        <v>3</v>
      </c>
      <c r="C83" s="11">
        <v>20</v>
      </c>
      <c r="D83" s="13" t="s">
        <v>291</v>
      </c>
      <c r="E83" s="10" t="s">
        <v>161</v>
      </c>
      <c r="F83" s="10" t="s">
        <v>208</v>
      </c>
      <c r="G83" s="10"/>
      <c r="H83" s="10"/>
      <c r="I83" s="10"/>
      <c r="J83" s="10"/>
      <c r="K83" s="575"/>
      <c r="L83" s="152"/>
      <c r="M83" s="164"/>
      <c r="N83" s="62"/>
      <c r="O83" s="62"/>
      <c r="P83" s="171"/>
      <c r="Q83" s="494"/>
      <c r="R83" s="62"/>
      <c r="S83" s="62"/>
      <c r="T83" s="62"/>
      <c r="U83" s="64"/>
      <c r="V83" s="164"/>
      <c r="W83" s="62"/>
      <c r="X83" s="62"/>
      <c r="Y83" s="62"/>
      <c r="Z83" s="64"/>
      <c r="AA83" s="164"/>
      <c r="AB83" s="62"/>
      <c r="AC83" s="62"/>
      <c r="AD83" s="64"/>
      <c r="AE83" s="164"/>
      <c r="AF83" s="62"/>
      <c r="AG83" s="62"/>
      <c r="AH83" s="337"/>
      <c r="AI83" s="337"/>
      <c r="AJ83" s="337"/>
      <c r="AK83" s="337"/>
      <c r="AL83" s="414"/>
      <c r="AM83" s="414"/>
      <c r="AN83" s="45"/>
      <c r="AO83" s="45"/>
      <c r="AP83" s="45"/>
      <c r="AQ83" s="100"/>
      <c r="AR83" s="100"/>
      <c r="AS83" s="100"/>
      <c r="AT83" s="100"/>
      <c r="AU83" s="100"/>
      <c r="AV83" s="100"/>
      <c r="AW83" s="18">
        <v>20</v>
      </c>
      <c r="AX83" s="69" t="s">
        <v>291</v>
      </c>
      <c r="AY83" s="243" t="s">
        <v>161</v>
      </c>
      <c r="AZ83" s="243" t="str">
        <f t="shared" si="28"/>
        <v>Pink</v>
      </c>
      <c r="BA83" s="243" t="s">
        <v>419</v>
      </c>
      <c r="BB83" s="246"/>
      <c r="BC83" s="43" t="str">
        <f t="shared" si="29"/>
        <v>-</v>
      </c>
      <c r="BD83" s="43">
        <f t="shared" si="30"/>
        <v>0</v>
      </c>
      <c r="BE83" s="193">
        <f t="shared" si="31"/>
        <v>0</v>
      </c>
      <c r="BF83" s="193">
        <f t="shared" si="32"/>
        <v>0</v>
      </c>
      <c r="BG83" s="193">
        <f t="shared" si="33"/>
        <v>0</v>
      </c>
      <c r="BH83" s="307" t="str">
        <f t="shared" si="34"/>
        <v>-</v>
      </c>
      <c r="BI83" s="265" t="str">
        <f t="shared" si="27"/>
        <v>-</v>
      </c>
      <c r="BJ83" s="26" t="str">
        <f t="shared" si="35"/>
        <v>MAIDENHAIR CREEKPink</v>
      </c>
      <c r="BK83" s="26">
        <f t="shared" si="36"/>
        <v>0</v>
      </c>
      <c r="BL83" s="33">
        <f t="shared" si="26"/>
        <v>0</v>
      </c>
      <c r="BQ83" s="47" t="str">
        <f t="shared" si="37"/>
        <v>MAIDENHAIR CREEKPink</v>
      </c>
      <c r="BR83" s="49">
        <f t="shared" si="38"/>
        <v>0</v>
      </c>
      <c r="BS83" s="49">
        <f t="shared" si="39"/>
        <v>0</v>
      </c>
      <c r="BT83" s="31">
        <v>0</v>
      </c>
      <c r="BU83" s="188">
        <f t="shared" si="40"/>
        <v>0</v>
      </c>
      <c r="BV83" s="188" t="str">
        <f t="shared" si="41"/>
        <v xml:space="preserve"> </v>
      </c>
      <c r="BW83" s="188" t="str">
        <f t="shared" si="42"/>
        <v xml:space="preserve"> </v>
      </c>
      <c r="BX83" s="188" t="str">
        <f t="shared" si="43"/>
        <v xml:space="preserve"> </v>
      </c>
      <c r="BY83" s="50" t="str">
        <f t="shared" si="44"/>
        <v>MAIDENHAIR CREEK_Pink</v>
      </c>
      <c r="BZ83" s="50" t="str">
        <f>IFERROR(VLOOKUP(BY83,'[1]WCVI Esc'!$C$5:$W$555,18,FALSE),"-")</f>
        <v>-</v>
      </c>
      <c r="CA83" s="50" t="str">
        <f t="shared" si="45"/>
        <v>-</v>
      </c>
      <c r="CB83" s="50" t="str">
        <f>IFERROR(VLOOKUP(BY83,'[1]WCVI Esc'!$C$5:$W$555,19,FALSE),"-")</f>
        <v>-</v>
      </c>
      <c r="CC83" s="50" t="str">
        <f t="shared" si="46"/>
        <v>-</v>
      </c>
      <c r="CE83" s="342" t="str">
        <f t="shared" si="47"/>
        <v>MAIDENHAIR CREEK_Pink</v>
      </c>
      <c r="CF83" s="341" t="str">
        <f>IFERROR(VLOOKUP(BY83,'RawPL+D'!$O$8:$AB$503,12,FALSE),"-")</f>
        <v>-</v>
      </c>
      <c r="CG83" s="338" t="str">
        <f t="shared" si="48"/>
        <v>-</v>
      </c>
      <c r="CH83" s="341" t="str">
        <f>IFERROR(VLOOKUP(BY83,'RawPL+D'!$O$8:$AB$503,13,FALSE),"-")</f>
        <v>-</v>
      </c>
      <c r="CI83" s="338" t="str">
        <f t="shared" si="49"/>
        <v>-</v>
      </c>
    </row>
    <row r="84" spans="1:87" ht="12.75" hidden="1" customHeight="1" x14ac:dyDescent="0.2">
      <c r="A84" s="28">
        <v>4</v>
      </c>
      <c r="B84" s="28">
        <v>4</v>
      </c>
      <c r="C84" s="11">
        <v>20</v>
      </c>
      <c r="D84" s="13" t="s">
        <v>291</v>
      </c>
      <c r="E84" s="10" t="s">
        <v>161</v>
      </c>
      <c r="F84" s="10" t="s">
        <v>209</v>
      </c>
      <c r="G84" s="10"/>
      <c r="H84" s="10"/>
      <c r="I84" s="10"/>
      <c r="J84" s="10"/>
      <c r="K84" s="575"/>
      <c r="L84" s="152"/>
      <c r="M84" s="164"/>
      <c r="N84" s="62"/>
      <c r="O84" s="62"/>
      <c r="P84" s="171"/>
      <c r="Q84" s="494"/>
      <c r="R84" s="62"/>
      <c r="S84" s="62"/>
      <c r="T84" s="62"/>
      <c r="U84" s="64"/>
      <c r="V84" s="164"/>
      <c r="W84" s="62"/>
      <c r="X84" s="62"/>
      <c r="Y84" s="62"/>
      <c r="Z84" s="64"/>
      <c r="AA84" s="164"/>
      <c r="AB84" s="62"/>
      <c r="AC84" s="62"/>
      <c r="AD84" s="64"/>
      <c r="AE84" s="164"/>
      <c r="AF84" s="62"/>
      <c r="AG84" s="62"/>
      <c r="AH84" s="337"/>
      <c r="AI84" s="337"/>
      <c r="AJ84" s="337"/>
      <c r="AK84" s="337"/>
      <c r="AL84" s="414"/>
      <c r="AM84" s="414"/>
      <c r="AN84" s="45"/>
      <c r="AO84" s="45"/>
      <c r="AP84" s="45"/>
      <c r="AQ84" s="100"/>
      <c r="AR84" s="100"/>
      <c r="AS84" s="100"/>
      <c r="AT84" s="100"/>
      <c r="AU84" s="100"/>
      <c r="AV84" s="100"/>
      <c r="AW84" s="18">
        <v>20</v>
      </c>
      <c r="AX84" s="69" t="s">
        <v>291</v>
      </c>
      <c r="AY84" s="243" t="s">
        <v>161</v>
      </c>
      <c r="AZ84" s="243" t="str">
        <f t="shared" si="28"/>
        <v>Chum</v>
      </c>
      <c r="BA84" s="243" t="s">
        <v>419</v>
      </c>
      <c r="BB84" s="246"/>
      <c r="BC84" s="43" t="str">
        <f t="shared" si="29"/>
        <v>-</v>
      </c>
      <c r="BD84" s="43">
        <f t="shared" si="30"/>
        <v>0</v>
      </c>
      <c r="BE84" s="193">
        <f t="shared" si="31"/>
        <v>0</v>
      </c>
      <c r="BF84" s="193">
        <f t="shared" si="32"/>
        <v>0</v>
      </c>
      <c r="BG84" s="193">
        <f t="shared" si="33"/>
        <v>0</v>
      </c>
      <c r="BH84" s="307" t="str">
        <f t="shared" si="34"/>
        <v>-</v>
      </c>
      <c r="BI84" s="265" t="str">
        <f t="shared" si="27"/>
        <v>-</v>
      </c>
      <c r="BJ84" s="26" t="str">
        <f t="shared" si="35"/>
        <v>MAIDENHAIR CREEKChum</v>
      </c>
      <c r="BK84" s="26">
        <f t="shared" si="36"/>
        <v>0</v>
      </c>
      <c r="BL84" s="33">
        <f t="shared" si="26"/>
        <v>0</v>
      </c>
      <c r="BQ84" s="47" t="str">
        <f t="shared" si="37"/>
        <v>MAIDENHAIR CREEKChum</v>
      </c>
      <c r="BR84" s="49">
        <f t="shared" si="38"/>
        <v>0</v>
      </c>
      <c r="BS84" s="49">
        <f t="shared" si="39"/>
        <v>0</v>
      </c>
      <c r="BT84" s="31">
        <v>0</v>
      </c>
      <c r="BU84" s="188">
        <f t="shared" si="40"/>
        <v>0</v>
      </c>
      <c r="BV84" s="188" t="str">
        <f t="shared" si="41"/>
        <v xml:space="preserve"> </v>
      </c>
      <c r="BW84" s="188" t="str">
        <f t="shared" si="42"/>
        <v xml:space="preserve"> </v>
      </c>
      <c r="BX84" s="188" t="str">
        <f t="shared" si="43"/>
        <v xml:space="preserve"> </v>
      </c>
      <c r="BY84" s="50" t="str">
        <f t="shared" si="44"/>
        <v>MAIDENHAIR CREEK_Chum</v>
      </c>
      <c r="BZ84" s="50" t="str">
        <f>IFERROR(VLOOKUP(BY84,'[1]WCVI Esc'!$C$5:$W$555,18,FALSE),"-")</f>
        <v>-</v>
      </c>
      <c r="CA84" s="50" t="str">
        <f t="shared" si="45"/>
        <v>-</v>
      </c>
      <c r="CB84" s="50" t="str">
        <f>IFERROR(VLOOKUP(BY84,'[1]WCVI Esc'!$C$5:$W$555,19,FALSE),"-")</f>
        <v>-</v>
      </c>
      <c r="CC84" s="50" t="str">
        <f t="shared" si="46"/>
        <v>-</v>
      </c>
      <c r="CE84" s="342" t="str">
        <f t="shared" si="47"/>
        <v>MAIDENHAIR CREEK_Chum</v>
      </c>
      <c r="CF84" s="341" t="str">
        <f>IFERROR(VLOOKUP(BY84,'RawPL+D'!$O$8:$AB$503,12,FALSE),"-")</f>
        <v>-</v>
      </c>
      <c r="CG84" s="338" t="str">
        <f t="shared" si="48"/>
        <v>-</v>
      </c>
      <c r="CH84" s="341" t="str">
        <f>IFERROR(VLOOKUP(BY84,'RawPL+D'!$O$8:$AB$503,13,FALSE),"-")</f>
        <v>-</v>
      </c>
      <c r="CI84" s="338" t="str">
        <f t="shared" si="49"/>
        <v>-</v>
      </c>
    </row>
    <row r="85" spans="1:87" ht="12.75" hidden="1" customHeight="1" x14ac:dyDescent="0.2">
      <c r="A85" s="28">
        <v>4</v>
      </c>
      <c r="B85" s="28">
        <v>5</v>
      </c>
      <c r="C85" s="11">
        <v>20</v>
      </c>
      <c r="D85" s="13" t="s">
        <v>291</v>
      </c>
      <c r="E85" s="10" t="s">
        <v>161</v>
      </c>
      <c r="F85" s="10" t="s">
        <v>210</v>
      </c>
      <c r="G85" s="10"/>
      <c r="H85" s="10"/>
      <c r="I85" s="10"/>
      <c r="J85" s="10"/>
      <c r="K85" s="575"/>
      <c r="L85" s="152"/>
      <c r="M85" s="164"/>
      <c r="N85" s="62"/>
      <c r="O85" s="62"/>
      <c r="P85" s="584"/>
      <c r="Q85" s="494"/>
      <c r="R85" s="62"/>
      <c r="S85" s="62"/>
      <c r="T85" s="62"/>
      <c r="U85" s="64"/>
      <c r="V85" s="164"/>
      <c r="W85" s="62"/>
      <c r="X85" s="62"/>
      <c r="Y85" s="62"/>
      <c r="Z85" s="64"/>
      <c r="AA85" s="164"/>
      <c r="AB85" s="62"/>
      <c r="AC85" s="62"/>
      <c r="AD85" s="64"/>
      <c r="AE85" s="164"/>
      <c r="AF85" s="62"/>
      <c r="AG85" s="62"/>
      <c r="AH85" s="337"/>
      <c r="AI85" s="337"/>
      <c r="AJ85" s="337"/>
      <c r="AK85" s="337"/>
      <c r="AL85" s="414"/>
      <c r="AM85" s="414"/>
      <c r="AN85" s="45"/>
      <c r="AO85" s="45"/>
      <c r="AP85" s="45"/>
      <c r="AQ85" s="100"/>
      <c r="AR85" s="100"/>
      <c r="AS85" s="100"/>
      <c r="AT85" s="100"/>
      <c r="AU85" s="100"/>
      <c r="AV85" s="100"/>
      <c r="AW85" s="18">
        <v>20</v>
      </c>
      <c r="AX85" s="69" t="s">
        <v>291</v>
      </c>
      <c r="AY85" s="243" t="s">
        <v>161</v>
      </c>
      <c r="AZ85" s="243" t="str">
        <f t="shared" si="28"/>
        <v>Chinook</v>
      </c>
      <c r="BA85" s="243" t="s">
        <v>419</v>
      </c>
      <c r="BB85" s="246"/>
      <c r="BC85" s="43" t="str">
        <f t="shared" si="29"/>
        <v>-</v>
      </c>
      <c r="BD85" s="43">
        <f t="shared" si="30"/>
        <v>0</v>
      </c>
      <c r="BE85" s="193">
        <f t="shared" si="31"/>
        <v>0</v>
      </c>
      <c r="BF85" s="193">
        <f t="shared" si="32"/>
        <v>0</v>
      </c>
      <c r="BG85" s="193">
        <f t="shared" si="33"/>
        <v>0</v>
      </c>
      <c r="BH85" s="307" t="str">
        <f t="shared" si="34"/>
        <v>-</v>
      </c>
      <c r="BI85" s="265" t="str">
        <f t="shared" si="27"/>
        <v>-</v>
      </c>
      <c r="BJ85" s="26" t="str">
        <f t="shared" si="35"/>
        <v>MAIDENHAIR CREEKChinook</v>
      </c>
      <c r="BK85" s="26">
        <f t="shared" si="36"/>
        <v>0</v>
      </c>
      <c r="BL85" s="33">
        <f t="shared" si="26"/>
        <v>0</v>
      </c>
      <c r="BQ85" s="47" t="str">
        <f t="shared" si="37"/>
        <v>MAIDENHAIR CREEKChinook</v>
      </c>
      <c r="BR85" s="49">
        <f t="shared" si="38"/>
        <v>0</v>
      </c>
      <c r="BS85" s="49">
        <f t="shared" si="39"/>
        <v>0</v>
      </c>
      <c r="BT85" s="31">
        <v>0</v>
      </c>
      <c r="BU85" s="188">
        <f t="shared" si="40"/>
        <v>0</v>
      </c>
      <c r="BV85" s="188" t="str">
        <f t="shared" si="41"/>
        <v xml:space="preserve"> </v>
      </c>
      <c r="BW85" s="188" t="str">
        <f t="shared" si="42"/>
        <v xml:space="preserve"> </v>
      </c>
      <c r="BX85" s="188" t="str">
        <f t="shared" si="43"/>
        <v xml:space="preserve"> </v>
      </c>
      <c r="BY85" s="50" t="str">
        <f t="shared" si="44"/>
        <v>MAIDENHAIR CREEK_Chinook</v>
      </c>
      <c r="BZ85" s="50" t="str">
        <f>IFERROR(VLOOKUP(BY85,'[1]WCVI Esc'!$C$5:$W$555,18,FALSE),"-")</f>
        <v>-</v>
      </c>
      <c r="CA85" s="50" t="str">
        <f t="shared" si="45"/>
        <v>-</v>
      </c>
      <c r="CB85" s="50" t="str">
        <f>IFERROR(VLOOKUP(BY85,'[1]WCVI Esc'!$C$5:$W$555,19,FALSE),"-")</f>
        <v>-</v>
      </c>
      <c r="CC85" s="50" t="str">
        <f t="shared" si="46"/>
        <v>-</v>
      </c>
      <c r="CE85" s="342" t="str">
        <f t="shared" si="47"/>
        <v>MAIDENHAIR CREEK_Chinook</v>
      </c>
      <c r="CF85" s="341" t="str">
        <f>IFERROR(VLOOKUP(BY85,'RawPL+D'!$O$8:$AB$503,12,FALSE),"-")</f>
        <v>-</v>
      </c>
      <c r="CG85" s="338" t="str">
        <f t="shared" si="48"/>
        <v>-</v>
      </c>
      <c r="CH85" s="341" t="str">
        <f>IFERROR(VLOOKUP(BY85,'RawPL+D'!$O$8:$AB$503,13,FALSE),"-")</f>
        <v>-</v>
      </c>
      <c r="CI85" s="338" t="str">
        <f t="shared" si="49"/>
        <v>-</v>
      </c>
    </row>
    <row r="86" spans="1:87" ht="12.75" hidden="1" customHeight="1" x14ac:dyDescent="0.2">
      <c r="A86" s="28">
        <v>4</v>
      </c>
      <c r="B86" s="28">
        <v>6</v>
      </c>
      <c r="C86" s="11">
        <v>20</v>
      </c>
      <c r="D86" s="13" t="s">
        <v>291</v>
      </c>
      <c r="E86" s="10" t="s">
        <v>161</v>
      </c>
      <c r="F86" s="10" t="s">
        <v>211</v>
      </c>
      <c r="G86" s="10"/>
      <c r="H86" s="10"/>
      <c r="I86" s="10"/>
      <c r="J86" s="10"/>
      <c r="K86" s="575"/>
      <c r="L86" s="152"/>
      <c r="M86" s="164"/>
      <c r="N86" s="62"/>
      <c r="O86" s="62"/>
      <c r="P86" s="171"/>
      <c r="Q86" s="494"/>
      <c r="R86" s="62"/>
      <c r="S86" s="62"/>
      <c r="T86" s="62"/>
      <c r="U86" s="64"/>
      <c r="V86" s="164"/>
      <c r="W86" s="62"/>
      <c r="X86" s="62"/>
      <c r="Y86" s="62"/>
      <c r="Z86" s="64"/>
      <c r="AA86" s="164"/>
      <c r="AB86" s="62"/>
      <c r="AC86" s="62"/>
      <c r="AD86" s="64"/>
      <c r="AE86" s="164"/>
      <c r="AF86" s="62"/>
      <c r="AG86" s="62"/>
      <c r="AH86" s="337"/>
      <c r="AI86" s="337"/>
      <c r="AJ86" s="337"/>
      <c r="AK86" s="337"/>
      <c r="AL86" s="414"/>
      <c r="AM86" s="414"/>
      <c r="AN86" s="45"/>
      <c r="AO86" s="45"/>
      <c r="AP86" s="45"/>
      <c r="AQ86" s="100"/>
      <c r="AR86" s="100"/>
      <c r="AS86" s="100"/>
      <c r="AT86" s="100"/>
      <c r="AU86" s="100"/>
      <c r="AV86" s="100"/>
      <c r="AW86" s="18">
        <v>20</v>
      </c>
      <c r="AX86" s="69" t="s">
        <v>291</v>
      </c>
      <c r="AY86" s="243" t="s">
        <v>161</v>
      </c>
      <c r="AZ86" s="243" t="str">
        <f t="shared" si="28"/>
        <v>Steelhead</v>
      </c>
      <c r="BA86" s="243" t="s">
        <v>419</v>
      </c>
      <c r="BB86" s="246"/>
      <c r="BC86" s="43" t="str">
        <f t="shared" si="29"/>
        <v>-</v>
      </c>
      <c r="BD86" s="43">
        <f t="shared" si="30"/>
        <v>0</v>
      </c>
      <c r="BE86" s="193">
        <f t="shared" si="31"/>
        <v>0</v>
      </c>
      <c r="BF86" s="193">
        <f t="shared" si="32"/>
        <v>0</v>
      </c>
      <c r="BG86" s="193">
        <f t="shared" si="33"/>
        <v>0</v>
      </c>
      <c r="BH86" s="307" t="str">
        <f t="shared" si="34"/>
        <v>-</v>
      </c>
      <c r="BI86" s="265" t="str">
        <f t="shared" si="27"/>
        <v>-</v>
      </c>
      <c r="BJ86" s="26" t="str">
        <f t="shared" si="35"/>
        <v>MAIDENHAIR CREEKSteelhead</v>
      </c>
      <c r="BK86" s="26">
        <f t="shared" si="36"/>
        <v>0</v>
      </c>
      <c r="BL86" s="33">
        <f t="shared" si="26"/>
        <v>0</v>
      </c>
      <c r="BQ86" s="47" t="str">
        <f t="shared" si="37"/>
        <v>MAIDENHAIR CREEKSteelhead</v>
      </c>
      <c r="BR86" s="49">
        <f t="shared" si="38"/>
        <v>0</v>
      </c>
      <c r="BS86" s="49">
        <f t="shared" si="39"/>
        <v>0</v>
      </c>
      <c r="BT86" s="31">
        <v>0</v>
      </c>
      <c r="BU86" s="188">
        <f t="shared" si="40"/>
        <v>0</v>
      </c>
      <c r="BV86" s="188" t="str">
        <f t="shared" si="41"/>
        <v xml:space="preserve"> </v>
      </c>
      <c r="BW86" s="188" t="str">
        <f t="shared" si="42"/>
        <v xml:space="preserve"> </v>
      </c>
      <c r="BX86" s="188" t="str">
        <f t="shared" si="43"/>
        <v xml:space="preserve"> </v>
      </c>
      <c r="BY86" s="50" t="str">
        <f t="shared" si="44"/>
        <v>MAIDENHAIR CREEK_Steelhead</v>
      </c>
      <c r="BZ86" s="50" t="str">
        <f>IFERROR(VLOOKUP(BY86,'[1]WCVI Esc'!$C$5:$W$555,18,FALSE),"-")</f>
        <v>-</v>
      </c>
      <c r="CA86" s="50" t="str">
        <f t="shared" si="45"/>
        <v>-</v>
      </c>
      <c r="CB86" s="50" t="str">
        <f>IFERROR(VLOOKUP(BY86,'[1]WCVI Esc'!$C$5:$W$555,19,FALSE),"-")</f>
        <v>-</v>
      </c>
      <c r="CC86" s="50" t="str">
        <f t="shared" si="46"/>
        <v>-</v>
      </c>
      <c r="CE86" s="342" t="str">
        <f t="shared" si="47"/>
        <v>MAIDENHAIR CREEK_Steelhead</v>
      </c>
      <c r="CF86" s="341" t="str">
        <f>IFERROR(VLOOKUP(BY86,'RawPL+D'!$O$8:$AB$503,12,FALSE),"-")</f>
        <v>-</v>
      </c>
      <c r="CG86" s="338" t="str">
        <f t="shared" si="48"/>
        <v>-</v>
      </c>
      <c r="CH86" s="341" t="str">
        <f>IFERROR(VLOOKUP(BY86,'RawPL+D'!$O$8:$AB$503,13,FALSE),"-")</f>
        <v>-</v>
      </c>
      <c r="CI86" s="338" t="str">
        <f t="shared" si="49"/>
        <v>-</v>
      </c>
    </row>
    <row r="87" spans="1:87" ht="12.75" hidden="1" customHeight="1" x14ac:dyDescent="0.2">
      <c r="A87" s="28">
        <v>4</v>
      </c>
      <c r="B87" s="28">
        <v>1</v>
      </c>
      <c r="C87" s="11">
        <v>20</v>
      </c>
      <c r="D87" s="13" t="s">
        <v>291</v>
      </c>
      <c r="E87" s="10" t="s">
        <v>20</v>
      </c>
      <c r="F87" s="10" t="s">
        <v>207</v>
      </c>
      <c r="G87" s="10"/>
      <c r="H87" s="10"/>
      <c r="I87" s="10"/>
      <c r="J87" s="10"/>
      <c r="K87" s="575"/>
      <c r="L87" s="152"/>
      <c r="M87" s="164"/>
      <c r="N87" s="62"/>
      <c r="O87" s="62"/>
      <c r="P87" s="62"/>
      <c r="Q87" s="494"/>
      <c r="R87" s="62"/>
      <c r="S87" s="62"/>
      <c r="T87" s="62"/>
      <c r="U87" s="64"/>
      <c r="V87" s="164"/>
      <c r="W87" s="62"/>
      <c r="X87" s="62"/>
      <c r="Y87" s="62"/>
      <c r="Z87" s="64"/>
      <c r="AA87" s="164"/>
      <c r="AB87" s="62"/>
      <c r="AC87" s="62"/>
      <c r="AD87" s="64"/>
      <c r="AE87" s="164"/>
      <c r="AF87" s="62"/>
      <c r="AG87" s="62"/>
      <c r="AH87" s="337"/>
      <c r="AI87" s="337"/>
      <c r="AJ87" s="337"/>
      <c r="AK87" s="337"/>
      <c r="AL87" s="414"/>
      <c r="AM87" s="414"/>
      <c r="AN87" s="45"/>
      <c r="AO87" s="45"/>
      <c r="AP87" s="45"/>
      <c r="AQ87" s="100"/>
      <c r="AR87" s="100"/>
      <c r="AS87" s="100"/>
      <c r="AT87" s="100"/>
      <c r="AU87" s="100"/>
      <c r="AV87" s="100"/>
      <c r="AW87" s="18">
        <v>20</v>
      </c>
      <c r="AX87" s="69" t="s">
        <v>291</v>
      </c>
      <c r="AY87" s="243" t="s">
        <v>20</v>
      </c>
      <c r="AZ87" s="243" t="str">
        <f t="shared" si="28"/>
        <v>Sockeye</v>
      </c>
      <c r="BA87" s="243" t="s">
        <v>419</v>
      </c>
      <c r="BB87" s="246"/>
      <c r="BC87" s="43" t="str">
        <f t="shared" si="29"/>
        <v>-</v>
      </c>
      <c r="BD87" s="43">
        <f t="shared" si="30"/>
        <v>0</v>
      </c>
      <c r="BE87" s="193">
        <f t="shared" si="31"/>
        <v>0</v>
      </c>
      <c r="BF87" s="193">
        <f t="shared" si="32"/>
        <v>0</v>
      </c>
      <c r="BG87" s="193">
        <f t="shared" si="33"/>
        <v>0</v>
      </c>
      <c r="BH87" s="307" t="str">
        <f t="shared" si="34"/>
        <v>-</v>
      </c>
      <c r="BI87" s="265" t="str">
        <f t="shared" si="27"/>
        <v>-</v>
      </c>
      <c r="BJ87" s="26" t="str">
        <f t="shared" si="35"/>
        <v>MOSQUITO CREEKSockeye</v>
      </c>
      <c r="BK87" s="26">
        <f t="shared" si="36"/>
        <v>0</v>
      </c>
      <c r="BL87" s="33">
        <f t="shared" si="26"/>
        <v>0</v>
      </c>
      <c r="BQ87" s="47" t="str">
        <f t="shared" si="37"/>
        <v>MOSQUITO CREEKSockeye</v>
      </c>
      <c r="BR87" s="49">
        <f t="shared" si="38"/>
        <v>0</v>
      </c>
      <c r="BS87" s="49">
        <f t="shared" si="39"/>
        <v>0</v>
      </c>
      <c r="BT87" s="31">
        <v>2011</v>
      </c>
      <c r="BU87" s="188">
        <f t="shared" si="40"/>
        <v>0</v>
      </c>
      <c r="BV87" s="188" t="str">
        <f t="shared" si="41"/>
        <v xml:space="preserve"> </v>
      </c>
      <c r="BW87" s="188" t="str">
        <f t="shared" si="42"/>
        <v xml:space="preserve"> </v>
      </c>
      <c r="BX87" s="188" t="str">
        <f t="shared" si="43"/>
        <v xml:space="preserve"> </v>
      </c>
      <c r="BY87" s="50" t="str">
        <f t="shared" si="44"/>
        <v>MOSQUITO CREEK_Sockeye</v>
      </c>
      <c r="BZ87" s="50" t="str">
        <f>IFERROR(VLOOKUP(BY87,'[1]WCVI Esc'!$C$5:$W$555,18,FALSE),"-")</f>
        <v>-</v>
      </c>
      <c r="CA87" s="50" t="str">
        <f t="shared" si="45"/>
        <v>-</v>
      </c>
      <c r="CB87" s="50" t="str">
        <f>IFERROR(VLOOKUP(BY87,'[1]WCVI Esc'!$C$5:$W$555,19,FALSE),"-")</f>
        <v>-</v>
      </c>
      <c r="CC87" s="50" t="str">
        <f t="shared" si="46"/>
        <v>-</v>
      </c>
      <c r="CE87" s="342" t="str">
        <f t="shared" si="47"/>
        <v>MOSQUITO CREEK_Sockeye</v>
      </c>
      <c r="CF87" s="341" t="str">
        <f>IFERROR(VLOOKUP(BY87,'RawPL+D'!$O$8:$AB$503,12,FALSE),"-")</f>
        <v>-</v>
      </c>
      <c r="CG87" s="338" t="str">
        <f t="shared" si="48"/>
        <v>-</v>
      </c>
      <c r="CH87" s="341" t="str">
        <f>IFERROR(VLOOKUP(BY87,'RawPL+D'!$O$8:$AB$503,13,FALSE),"-")</f>
        <v>-</v>
      </c>
      <c r="CI87" s="338" t="str">
        <f t="shared" si="49"/>
        <v>-</v>
      </c>
    </row>
    <row r="88" spans="1:87" ht="12.75" hidden="1" customHeight="1" x14ac:dyDescent="0.2">
      <c r="A88" s="28">
        <v>4</v>
      </c>
      <c r="B88" s="28">
        <v>2</v>
      </c>
      <c r="C88" s="11">
        <v>20</v>
      </c>
      <c r="D88" s="13" t="s">
        <v>291</v>
      </c>
      <c r="E88" s="10" t="s">
        <v>20</v>
      </c>
      <c r="F88" s="10" t="s">
        <v>219</v>
      </c>
      <c r="G88" s="10"/>
      <c r="H88" s="10"/>
      <c r="I88" s="10"/>
      <c r="J88" s="10"/>
      <c r="K88" s="575"/>
      <c r="L88" s="152"/>
      <c r="M88" s="164"/>
      <c r="N88" s="62"/>
      <c r="O88" s="62"/>
      <c r="P88" s="62"/>
      <c r="Q88" s="494"/>
      <c r="R88" s="62"/>
      <c r="S88" s="62"/>
      <c r="T88" s="62"/>
      <c r="U88" s="64"/>
      <c r="V88" s="164"/>
      <c r="W88" s="62"/>
      <c r="X88" s="62"/>
      <c r="Y88" s="62"/>
      <c r="Z88" s="64"/>
      <c r="AA88" s="164"/>
      <c r="AB88" s="62"/>
      <c r="AC88" s="62"/>
      <c r="AD88" s="64"/>
      <c r="AE88" s="164"/>
      <c r="AF88" s="62"/>
      <c r="AG88" s="62"/>
      <c r="AH88" s="337"/>
      <c r="AI88" s="337"/>
      <c r="AJ88" s="337"/>
      <c r="AK88" s="337"/>
      <c r="AL88" s="414"/>
      <c r="AM88" s="414"/>
      <c r="AN88" s="45"/>
      <c r="AO88" s="45"/>
      <c r="AP88" s="45"/>
      <c r="AQ88" s="100">
        <f>AL88/BI88</f>
        <v>0</v>
      </c>
      <c r="AR88" s="100">
        <f>BL88/BI88</f>
        <v>0</v>
      </c>
      <c r="AS88" s="100"/>
      <c r="AT88" s="100"/>
      <c r="AU88" s="100"/>
      <c r="AV88" s="100"/>
      <c r="AW88" s="18">
        <v>20</v>
      </c>
      <c r="AX88" s="69" t="s">
        <v>291</v>
      </c>
      <c r="AY88" s="243" t="s">
        <v>20</v>
      </c>
      <c r="AZ88" s="243" t="str">
        <f t="shared" si="28"/>
        <v>Coho</v>
      </c>
      <c r="BA88" s="243" t="s">
        <v>419</v>
      </c>
      <c r="BB88" s="246"/>
      <c r="BC88" s="43" t="str">
        <f t="shared" si="29"/>
        <v>-</v>
      </c>
      <c r="BD88" s="43">
        <f t="shared" si="30"/>
        <v>0</v>
      </c>
      <c r="BE88" s="193">
        <f t="shared" si="31"/>
        <v>0</v>
      </c>
      <c r="BF88" s="193">
        <f t="shared" si="32"/>
        <v>0</v>
      </c>
      <c r="BG88" s="193">
        <f t="shared" si="33"/>
        <v>0</v>
      </c>
      <c r="BH88" s="307" t="str">
        <f t="shared" si="34"/>
        <v>-</v>
      </c>
      <c r="BI88" s="265">
        <f t="shared" si="27"/>
        <v>60</v>
      </c>
      <c r="BJ88" s="26" t="str">
        <f t="shared" si="35"/>
        <v>MOSQUITO CREEKCoho</v>
      </c>
      <c r="BK88" s="26">
        <f t="shared" si="36"/>
        <v>0</v>
      </c>
      <c r="BL88" s="33">
        <f t="shared" si="26"/>
        <v>0</v>
      </c>
      <c r="BQ88" s="47" t="str">
        <f t="shared" si="37"/>
        <v>MOSQUITO CREEKCoho</v>
      </c>
      <c r="BR88" s="49">
        <f t="shared" si="38"/>
        <v>0</v>
      </c>
      <c r="BS88" s="49">
        <f t="shared" si="39"/>
        <v>0</v>
      </c>
      <c r="BT88" s="31">
        <v>2011</v>
      </c>
      <c r="BU88" s="188">
        <f t="shared" si="40"/>
        <v>0</v>
      </c>
      <c r="BV88" s="188" t="str">
        <f t="shared" si="41"/>
        <v xml:space="preserve"> </v>
      </c>
      <c r="BW88" s="188" t="str">
        <f t="shared" si="42"/>
        <v xml:space="preserve"> </v>
      </c>
      <c r="BX88" s="188" t="str">
        <f t="shared" si="43"/>
        <v xml:space="preserve"> </v>
      </c>
      <c r="BY88" s="50" t="str">
        <f t="shared" si="44"/>
        <v>MOSQUITO CREEK_Coho</v>
      </c>
      <c r="BZ88" s="50" t="str">
        <f>IFERROR(VLOOKUP(BY88,'[1]WCVI Esc'!$C$5:$W$555,18,FALSE),"-")</f>
        <v>-</v>
      </c>
      <c r="CA88" s="50" t="str">
        <f t="shared" si="45"/>
        <v>-</v>
      </c>
      <c r="CB88" s="50">
        <f>IFERROR(VLOOKUP(BY88,'[1]WCVI Esc'!$C$5:$W$555,19,FALSE),"-")</f>
        <v>62</v>
      </c>
      <c r="CC88" s="50">
        <f t="shared" si="46"/>
        <v>60</v>
      </c>
      <c r="CE88" s="342" t="str">
        <f t="shared" si="47"/>
        <v>MOSQUITO CREEK_Coho</v>
      </c>
      <c r="CF88" s="341" t="str">
        <f>IFERROR(VLOOKUP(BY88,'RawPL+D'!$O$8:$AB$503,12,FALSE),"-")</f>
        <v>-</v>
      </c>
      <c r="CG88" s="338" t="str">
        <f t="shared" si="48"/>
        <v>-</v>
      </c>
      <c r="CH88" s="341" t="str">
        <f>IFERROR(VLOOKUP(BY88,'RawPL+D'!$O$8:$AB$503,13,FALSE),"-")</f>
        <v>-</v>
      </c>
      <c r="CI88" s="338" t="str">
        <f t="shared" si="49"/>
        <v>-</v>
      </c>
    </row>
    <row r="89" spans="1:87" ht="12.75" hidden="1" customHeight="1" x14ac:dyDescent="0.2">
      <c r="A89" s="28">
        <v>4</v>
      </c>
      <c r="B89" s="28">
        <v>3</v>
      </c>
      <c r="C89" s="11">
        <v>20</v>
      </c>
      <c r="D89" s="13" t="s">
        <v>291</v>
      </c>
      <c r="E89" s="10" t="s">
        <v>20</v>
      </c>
      <c r="F89" s="10" t="s">
        <v>208</v>
      </c>
      <c r="G89" s="10"/>
      <c r="H89" s="10"/>
      <c r="I89" s="10"/>
      <c r="J89" s="10"/>
      <c r="K89" s="575"/>
      <c r="L89" s="152"/>
      <c r="M89" s="164"/>
      <c r="N89" s="62"/>
      <c r="O89" s="62"/>
      <c r="P89" s="62"/>
      <c r="Q89" s="494"/>
      <c r="R89" s="62"/>
      <c r="S89" s="62"/>
      <c r="T89" s="581"/>
      <c r="U89" s="585"/>
      <c r="V89" s="164"/>
      <c r="W89" s="62"/>
      <c r="X89" s="62"/>
      <c r="Y89" s="62"/>
      <c r="Z89" s="64"/>
      <c r="AA89" s="164"/>
      <c r="AB89" s="62"/>
      <c r="AC89" s="62"/>
      <c r="AD89" s="64"/>
      <c r="AE89" s="164"/>
      <c r="AF89" s="62"/>
      <c r="AG89" s="62"/>
      <c r="AH89" s="337"/>
      <c r="AI89" s="337"/>
      <c r="AJ89" s="337"/>
      <c r="AK89" s="337"/>
      <c r="AL89" s="414"/>
      <c r="AM89" s="414"/>
      <c r="AN89" s="45"/>
      <c r="AO89" s="45"/>
      <c r="AP89" s="45"/>
      <c r="AQ89" s="100"/>
      <c r="AR89" s="100"/>
      <c r="AS89" s="100"/>
      <c r="AT89" s="100"/>
      <c r="AU89" s="100"/>
      <c r="AV89" s="100"/>
      <c r="AW89" s="18">
        <v>20</v>
      </c>
      <c r="AX89" s="69" t="s">
        <v>291</v>
      </c>
      <c r="AY89" s="243" t="s">
        <v>20</v>
      </c>
      <c r="AZ89" s="243" t="str">
        <f t="shared" si="28"/>
        <v>Pink</v>
      </c>
      <c r="BA89" s="243" t="s">
        <v>419</v>
      </c>
      <c r="BB89" s="246"/>
      <c r="BC89" s="43" t="str">
        <f t="shared" si="29"/>
        <v>-</v>
      </c>
      <c r="BD89" s="43">
        <f t="shared" si="30"/>
        <v>0</v>
      </c>
      <c r="BE89" s="193">
        <f t="shared" si="31"/>
        <v>0</v>
      </c>
      <c r="BF89" s="193">
        <f t="shared" si="32"/>
        <v>0</v>
      </c>
      <c r="BG89" s="193">
        <f t="shared" si="33"/>
        <v>0</v>
      </c>
      <c r="BH89" s="307" t="str">
        <f t="shared" si="34"/>
        <v>-</v>
      </c>
      <c r="BI89" s="265" t="str">
        <f t="shared" si="27"/>
        <v>-</v>
      </c>
      <c r="BJ89" s="26" t="str">
        <f t="shared" si="35"/>
        <v>MOSQUITO CREEKPink</v>
      </c>
      <c r="BK89" s="26">
        <f t="shared" si="36"/>
        <v>0</v>
      </c>
      <c r="BL89" s="33">
        <f t="shared" si="26"/>
        <v>0</v>
      </c>
      <c r="BQ89" s="47" t="str">
        <f t="shared" si="37"/>
        <v>MOSQUITO CREEKPink</v>
      </c>
      <c r="BR89" s="49">
        <f t="shared" si="38"/>
        <v>0</v>
      </c>
      <c r="BS89" s="49">
        <f t="shared" si="39"/>
        <v>0</v>
      </c>
      <c r="BT89" s="31">
        <v>0</v>
      </c>
      <c r="BU89" s="188">
        <f t="shared" si="40"/>
        <v>0</v>
      </c>
      <c r="BV89" s="188" t="str">
        <f t="shared" si="41"/>
        <v xml:space="preserve"> </v>
      </c>
      <c r="BW89" s="188" t="str">
        <f t="shared" si="42"/>
        <v xml:space="preserve"> </v>
      </c>
      <c r="BX89" s="188" t="str">
        <f t="shared" si="43"/>
        <v xml:space="preserve"> </v>
      </c>
      <c r="BY89" s="50" t="str">
        <f t="shared" si="44"/>
        <v>MOSQUITO CREEK_Pink</v>
      </c>
      <c r="BZ89" s="50" t="str">
        <f>IFERROR(VLOOKUP(BY89,'[1]WCVI Esc'!$C$5:$W$555,18,FALSE),"-")</f>
        <v>-</v>
      </c>
      <c r="CA89" s="50" t="str">
        <f t="shared" si="45"/>
        <v>-</v>
      </c>
      <c r="CB89" s="50" t="str">
        <f>IFERROR(VLOOKUP(BY89,'[1]WCVI Esc'!$C$5:$W$555,19,FALSE),"-")</f>
        <v>-</v>
      </c>
      <c r="CC89" s="50" t="str">
        <f t="shared" si="46"/>
        <v>-</v>
      </c>
      <c r="CE89" s="342" t="str">
        <f t="shared" si="47"/>
        <v>MOSQUITO CREEK_Pink</v>
      </c>
      <c r="CF89" s="341" t="str">
        <f>IFERROR(VLOOKUP(BY89,'RawPL+D'!$O$8:$AB$503,12,FALSE),"-")</f>
        <v>-</v>
      </c>
      <c r="CG89" s="338" t="str">
        <f t="shared" si="48"/>
        <v>-</v>
      </c>
      <c r="CH89" s="341" t="str">
        <f>IFERROR(VLOOKUP(BY89,'RawPL+D'!$O$8:$AB$503,13,FALSE),"-")</f>
        <v>-</v>
      </c>
      <c r="CI89" s="338" t="str">
        <f t="shared" si="49"/>
        <v>-</v>
      </c>
    </row>
    <row r="90" spans="1:87" ht="12.75" hidden="1" customHeight="1" x14ac:dyDescent="0.2">
      <c r="A90" s="28">
        <v>4</v>
      </c>
      <c r="B90" s="28">
        <v>4</v>
      </c>
      <c r="C90" s="11">
        <v>20</v>
      </c>
      <c r="D90" s="13" t="s">
        <v>291</v>
      </c>
      <c r="E90" s="10" t="s">
        <v>20</v>
      </c>
      <c r="F90" s="10" t="s">
        <v>209</v>
      </c>
      <c r="G90" s="10"/>
      <c r="H90" s="10"/>
      <c r="I90" s="10"/>
      <c r="J90" s="10"/>
      <c r="K90" s="575"/>
      <c r="L90" s="152"/>
      <c r="M90" s="164"/>
      <c r="N90" s="62"/>
      <c r="O90" s="62"/>
      <c r="P90" s="62"/>
      <c r="Q90" s="494"/>
      <c r="R90" s="62"/>
      <c r="S90" s="62"/>
      <c r="T90" s="62"/>
      <c r="U90" s="177"/>
      <c r="V90" s="171"/>
      <c r="W90" s="62"/>
      <c r="X90" s="62"/>
      <c r="Y90" s="62"/>
      <c r="Z90" s="64"/>
      <c r="AA90" s="164"/>
      <c r="AB90" s="62"/>
      <c r="AC90" s="62"/>
      <c r="AD90" s="64"/>
      <c r="AE90" s="164"/>
      <c r="AF90" s="62"/>
      <c r="AG90" s="62"/>
      <c r="AH90" s="337"/>
      <c r="AI90" s="337"/>
      <c r="AJ90" s="337"/>
      <c r="AK90" s="337"/>
      <c r="AL90" s="414"/>
      <c r="AM90" s="414"/>
      <c r="AN90" s="45"/>
      <c r="AO90" s="45"/>
      <c r="AP90" s="45"/>
      <c r="AQ90" s="100"/>
      <c r="AR90" s="100"/>
      <c r="AS90" s="100"/>
      <c r="AT90" s="100"/>
      <c r="AU90" s="100"/>
      <c r="AV90" s="100"/>
      <c r="AW90" s="18">
        <v>20</v>
      </c>
      <c r="AX90" s="69" t="s">
        <v>291</v>
      </c>
      <c r="AY90" s="243" t="s">
        <v>20</v>
      </c>
      <c r="AZ90" s="243" t="str">
        <f t="shared" si="28"/>
        <v>Chum</v>
      </c>
      <c r="BA90" s="243" t="s">
        <v>419</v>
      </c>
      <c r="BB90" s="246"/>
      <c r="BC90" s="43" t="str">
        <f t="shared" si="29"/>
        <v>-</v>
      </c>
      <c r="BD90" s="43">
        <f t="shared" si="30"/>
        <v>0</v>
      </c>
      <c r="BE90" s="193">
        <f t="shared" si="31"/>
        <v>0</v>
      </c>
      <c r="BF90" s="193">
        <f t="shared" si="32"/>
        <v>0</v>
      </c>
      <c r="BG90" s="193">
        <f t="shared" si="33"/>
        <v>0</v>
      </c>
      <c r="BH90" s="307" t="str">
        <f t="shared" si="34"/>
        <v>-</v>
      </c>
      <c r="BI90" s="265" t="str">
        <f t="shared" si="27"/>
        <v>-</v>
      </c>
      <c r="BJ90" s="26" t="str">
        <f t="shared" si="35"/>
        <v>MOSQUITO CREEKChum</v>
      </c>
      <c r="BK90" s="26">
        <f t="shared" si="36"/>
        <v>0</v>
      </c>
      <c r="BL90" s="33">
        <f t="shared" si="26"/>
        <v>0</v>
      </c>
      <c r="BQ90" s="47" t="str">
        <f t="shared" si="37"/>
        <v>MOSQUITO CREEKChum</v>
      </c>
      <c r="BR90" s="49">
        <f t="shared" si="38"/>
        <v>0</v>
      </c>
      <c r="BS90" s="49">
        <f t="shared" si="39"/>
        <v>0</v>
      </c>
      <c r="BT90" s="31">
        <v>2011</v>
      </c>
      <c r="BU90" s="188">
        <f t="shared" si="40"/>
        <v>0</v>
      </c>
      <c r="BV90" s="188" t="str">
        <f t="shared" si="41"/>
        <v xml:space="preserve"> </v>
      </c>
      <c r="BW90" s="188" t="str">
        <f t="shared" si="42"/>
        <v xml:space="preserve"> </v>
      </c>
      <c r="BX90" s="188" t="str">
        <f t="shared" si="43"/>
        <v xml:space="preserve"> </v>
      </c>
      <c r="BY90" s="50" t="str">
        <f t="shared" si="44"/>
        <v>MOSQUITO CREEK_Chum</v>
      </c>
      <c r="BZ90" s="50" t="str">
        <f>IFERROR(VLOOKUP(BY90,'[1]WCVI Esc'!$C$5:$W$555,18,FALSE),"-")</f>
        <v>-</v>
      </c>
      <c r="CA90" s="50" t="str">
        <f t="shared" si="45"/>
        <v>-</v>
      </c>
      <c r="CB90" s="50" t="str">
        <f>IFERROR(VLOOKUP(BY90,'[1]WCVI Esc'!$C$5:$W$555,19,FALSE),"-")</f>
        <v>-</v>
      </c>
      <c r="CC90" s="50" t="str">
        <f t="shared" si="46"/>
        <v>-</v>
      </c>
      <c r="CE90" s="342" t="str">
        <f t="shared" si="47"/>
        <v>MOSQUITO CREEK_Chum</v>
      </c>
      <c r="CF90" s="341" t="str">
        <f>IFERROR(VLOOKUP(BY90,'RawPL+D'!$O$8:$AB$503,12,FALSE),"-")</f>
        <v>-</v>
      </c>
      <c r="CG90" s="338" t="str">
        <f t="shared" si="48"/>
        <v>-</v>
      </c>
      <c r="CH90" s="341" t="str">
        <f>IFERROR(VLOOKUP(BY90,'RawPL+D'!$O$8:$AB$503,13,FALSE),"-")</f>
        <v>-</v>
      </c>
      <c r="CI90" s="338" t="str">
        <f t="shared" si="49"/>
        <v>-</v>
      </c>
    </row>
    <row r="91" spans="1:87" ht="12.75" hidden="1" customHeight="1" x14ac:dyDescent="0.2">
      <c r="A91" s="28">
        <v>4</v>
      </c>
      <c r="B91" s="28">
        <v>5</v>
      </c>
      <c r="C91" s="11">
        <v>20</v>
      </c>
      <c r="D91" s="13" t="s">
        <v>291</v>
      </c>
      <c r="E91" s="10" t="s">
        <v>20</v>
      </c>
      <c r="F91" s="10" t="s">
        <v>210</v>
      </c>
      <c r="G91" s="10"/>
      <c r="H91" s="10"/>
      <c r="I91" s="10"/>
      <c r="J91" s="10"/>
      <c r="K91" s="575"/>
      <c r="L91" s="152"/>
      <c r="M91" s="164"/>
      <c r="N91" s="62"/>
      <c r="O91" s="62"/>
      <c r="P91" s="62"/>
      <c r="Q91" s="494"/>
      <c r="R91" s="62"/>
      <c r="S91" s="62"/>
      <c r="T91" s="328"/>
      <c r="U91" s="577"/>
      <c r="V91" s="164"/>
      <c r="W91" s="62"/>
      <c r="X91" s="62"/>
      <c r="Y91" s="62"/>
      <c r="Z91" s="64"/>
      <c r="AA91" s="164"/>
      <c r="AB91" s="62"/>
      <c r="AC91" s="62"/>
      <c r="AD91" s="64"/>
      <c r="AE91" s="164"/>
      <c r="AF91" s="62"/>
      <c r="AG91" s="62"/>
      <c r="AH91" s="337"/>
      <c r="AI91" s="337"/>
      <c r="AJ91" s="337"/>
      <c r="AK91" s="337"/>
      <c r="AL91" s="414"/>
      <c r="AM91" s="414"/>
      <c r="AN91" s="45"/>
      <c r="AO91" s="45"/>
      <c r="AP91" s="45"/>
      <c r="AQ91" s="100"/>
      <c r="AR91" s="100"/>
      <c r="AS91" s="100"/>
      <c r="AT91" s="100"/>
      <c r="AU91" s="100"/>
      <c r="AV91" s="100"/>
      <c r="AW91" s="18">
        <v>20</v>
      </c>
      <c r="AX91" s="69" t="s">
        <v>291</v>
      </c>
      <c r="AY91" s="243" t="s">
        <v>20</v>
      </c>
      <c r="AZ91" s="243" t="str">
        <f t="shared" si="28"/>
        <v>Chinook</v>
      </c>
      <c r="BA91" s="243" t="s">
        <v>419</v>
      </c>
      <c r="BB91" s="246"/>
      <c r="BC91" s="43" t="str">
        <f t="shared" si="29"/>
        <v>-</v>
      </c>
      <c r="BD91" s="43">
        <f t="shared" si="30"/>
        <v>0</v>
      </c>
      <c r="BE91" s="193">
        <f t="shared" si="31"/>
        <v>0</v>
      </c>
      <c r="BF91" s="193">
        <f t="shared" si="32"/>
        <v>0</v>
      </c>
      <c r="BG91" s="193">
        <f t="shared" si="33"/>
        <v>0</v>
      </c>
      <c r="BH91" s="307" t="str">
        <f t="shared" si="34"/>
        <v>-</v>
      </c>
      <c r="BI91" s="265" t="str">
        <f t="shared" si="27"/>
        <v>-</v>
      </c>
      <c r="BJ91" s="26" t="str">
        <f t="shared" si="35"/>
        <v>MOSQUITO CREEKChinook</v>
      </c>
      <c r="BK91" s="26">
        <f t="shared" si="36"/>
        <v>0</v>
      </c>
      <c r="BL91" s="33">
        <f t="shared" si="26"/>
        <v>0</v>
      </c>
      <c r="BQ91" s="47" t="str">
        <f t="shared" si="37"/>
        <v>MOSQUITO CREEKChinook</v>
      </c>
      <c r="BR91" s="49">
        <f t="shared" si="38"/>
        <v>0</v>
      </c>
      <c r="BS91" s="49">
        <f t="shared" si="39"/>
        <v>0</v>
      </c>
      <c r="BT91" s="31">
        <v>2011</v>
      </c>
      <c r="BU91" s="188">
        <f t="shared" si="40"/>
        <v>0</v>
      </c>
      <c r="BV91" s="188" t="str">
        <f t="shared" si="41"/>
        <v xml:space="preserve"> </v>
      </c>
      <c r="BW91" s="188" t="str">
        <f t="shared" si="42"/>
        <v xml:space="preserve"> </v>
      </c>
      <c r="BX91" s="188" t="str">
        <f t="shared" si="43"/>
        <v xml:space="preserve"> </v>
      </c>
      <c r="BY91" s="50" t="str">
        <f t="shared" si="44"/>
        <v>MOSQUITO CREEK_Chinook</v>
      </c>
      <c r="BZ91" s="50" t="str">
        <f>IFERROR(VLOOKUP(BY91,'[1]WCVI Esc'!$C$5:$W$555,18,FALSE),"-")</f>
        <v>-</v>
      </c>
      <c r="CA91" s="50" t="str">
        <f t="shared" si="45"/>
        <v>-</v>
      </c>
      <c r="CB91" s="50" t="str">
        <f>IFERROR(VLOOKUP(BY91,'[1]WCVI Esc'!$C$5:$W$555,19,FALSE),"-")</f>
        <v>-</v>
      </c>
      <c r="CC91" s="50" t="str">
        <f t="shared" si="46"/>
        <v>-</v>
      </c>
      <c r="CE91" s="342" t="str">
        <f t="shared" si="47"/>
        <v>MOSQUITO CREEK_Chinook</v>
      </c>
      <c r="CF91" s="341" t="str">
        <f>IFERROR(VLOOKUP(BY91,'RawPL+D'!$O$8:$AB$503,12,FALSE),"-")</f>
        <v>-</v>
      </c>
      <c r="CG91" s="338" t="str">
        <f t="shared" si="48"/>
        <v>-</v>
      </c>
      <c r="CH91" s="341" t="str">
        <f>IFERROR(VLOOKUP(BY91,'RawPL+D'!$O$8:$AB$503,13,FALSE),"-")</f>
        <v>-</v>
      </c>
      <c r="CI91" s="338" t="str">
        <f t="shared" si="49"/>
        <v>-</v>
      </c>
    </row>
    <row r="92" spans="1:87" ht="12.75" hidden="1" customHeight="1" x14ac:dyDescent="0.2">
      <c r="A92" s="28">
        <v>4</v>
      </c>
      <c r="B92" s="28">
        <v>6</v>
      </c>
      <c r="C92" s="11">
        <v>20</v>
      </c>
      <c r="D92" s="13" t="s">
        <v>291</v>
      </c>
      <c r="E92" s="10" t="s">
        <v>20</v>
      </c>
      <c r="F92" s="10" t="s">
        <v>211</v>
      </c>
      <c r="G92" s="10"/>
      <c r="H92" s="10"/>
      <c r="I92" s="10"/>
      <c r="J92" s="10"/>
      <c r="K92" s="575"/>
      <c r="L92" s="152"/>
      <c r="M92" s="164"/>
      <c r="N92" s="62"/>
      <c r="O92" s="62"/>
      <c r="P92" s="62"/>
      <c r="Q92" s="494"/>
      <c r="R92" s="62"/>
      <c r="S92" s="62"/>
      <c r="T92" s="62"/>
      <c r="U92" s="64"/>
      <c r="V92" s="164"/>
      <c r="W92" s="62"/>
      <c r="X92" s="62"/>
      <c r="Y92" s="62"/>
      <c r="Z92" s="64"/>
      <c r="AA92" s="164"/>
      <c r="AB92" s="62"/>
      <c r="AC92" s="62"/>
      <c r="AD92" s="64"/>
      <c r="AE92" s="164"/>
      <c r="AF92" s="62"/>
      <c r="AG92" s="62"/>
      <c r="AH92" s="337"/>
      <c r="AI92" s="337"/>
      <c r="AJ92" s="337"/>
      <c r="AK92" s="337"/>
      <c r="AL92" s="414"/>
      <c r="AM92" s="414"/>
      <c r="AN92" s="45"/>
      <c r="AO92" s="45"/>
      <c r="AP92" s="45"/>
      <c r="AQ92" s="100"/>
      <c r="AR92" s="100"/>
      <c r="AS92" s="100"/>
      <c r="AT92" s="100"/>
      <c r="AU92" s="100"/>
      <c r="AV92" s="100"/>
      <c r="AW92" s="18">
        <v>20</v>
      </c>
      <c r="AX92" s="69" t="s">
        <v>291</v>
      </c>
      <c r="AY92" s="243" t="s">
        <v>20</v>
      </c>
      <c r="AZ92" s="243" t="str">
        <f t="shared" si="28"/>
        <v>Steelhead</v>
      </c>
      <c r="BA92" s="243" t="s">
        <v>419</v>
      </c>
      <c r="BB92" s="246"/>
      <c r="BC92" s="43" t="str">
        <f t="shared" si="29"/>
        <v>-</v>
      </c>
      <c r="BD92" s="43">
        <f t="shared" si="30"/>
        <v>0</v>
      </c>
      <c r="BE92" s="193">
        <f t="shared" si="31"/>
        <v>0</v>
      </c>
      <c r="BF92" s="193">
        <f t="shared" si="32"/>
        <v>0</v>
      </c>
      <c r="BG92" s="193">
        <f t="shared" si="33"/>
        <v>0</v>
      </c>
      <c r="BH92" s="307" t="str">
        <f t="shared" si="34"/>
        <v>-</v>
      </c>
      <c r="BI92" s="265" t="str">
        <f t="shared" si="27"/>
        <v>-</v>
      </c>
      <c r="BJ92" s="26" t="str">
        <f t="shared" si="35"/>
        <v>MOSQUITO CREEKSteelhead</v>
      </c>
      <c r="BK92" s="26">
        <f t="shared" si="36"/>
        <v>0</v>
      </c>
      <c r="BL92" s="33">
        <f t="shared" si="26"/>
        <v>0</v>
      </c>
      <c r="BQ92" s="47" t="str">
        <f t="shared" si="37"/>
        <v>MOSQUITO CREEKSteelhead</v>
      </c>
      <c r="BR92" s="49">
        <f t="shared" si="38"/>
        <v>0</v>
      </c>
      <c r="BS92" s="49">
        <f t="shared" si="39"/>
        <v>0</v>
      </c>
      <c r="BT92" s="31">
        <v>0</v>
      </c>
      <c r="BU92" s="188">
        <f t="shared" si="40"/>
        <v>0</v>
      </c>
      <c r="BV92" s="188" t="str">
        <f t="shared" si="41"/>
        <v xml:space="preserve"> </v>
      </c>
      <c r="BW92" s="188" t="str">
        <f t="shared" si="42"/>
        <v xml:space="preserve"> </v>
      </c>
      <c r="BX92" s="188" t="str">
        <f t="shared" si="43"/>
        <v xml:space="preserve"> </v>
      </c>
      <c r="BY92" s="50" t="str">
        <f t="shared" si="44"/>
        <v>MOSQUITO CREEK_Steelhead</v>
      </c>
      <c r="BZ92" s="50" t="str">
        <f>IFERROR(VLOOKUP(BY92,'[1]WCVI Esc'!$C$5:$W$555,18,FALSE),"-")</f>
        <v>-</v>
      </c>
      <c r="CA92" s="50" t="str">
        <f t="shared" si="45"/>
        <v>-</v>
      </c>
      <c r="CB92" s="50" t="str">
        <f>IFERROR(VLOOKUP(BY92,'[1]WCVI Esc'!$C$5:$W$555,19,FALSE),"-")</f>
        <v>-</v>
      </c>
      <c r="CC92" s="50" t="str">
        <f t="shared" si="46"/>
        <v>-</v>
      </c>
      <c r="CE92" s="342" t="str">
        <f t="shared" si="47"/>
        <v>MOSQUITO CREEK_Steelhead</v>
      </c>
      <c r="CF92" s="341" t="str">
        <f>IFERROR(VLOOKUP(BY92,'RawPL+D'!$O$8:$AB$503,12,FALSE),"-")</f>
        <v>-</v>
      </c>
      <c r="CG92" s="338" t="str">
        <f t="shared" si="48"/>
        <v>-</v>
      </c>
      <c r="CH92" s="341" t="str">
        <f>IFERROR(VLOOKUP(BY92,'RawPL+D'!$O$8:$AB$503,13,FALSE),"-")</f>
        <v>-</v>
      </c>
      <c r="CI92" s="338" t="str">
        <f t="shared" si="49"/>
        <v>-</v>
      </c>
    </row>
    <row r="93" spans="1:87" hidden="1" x14ac:dyDescent="0.2">
      <c r="A93" s="28">
        <v>4</v>
      </c>
      <c r="B93" s="28">
        <v>1</v>
      </c>
      <c r="C93" s="11">
        <v>20</v>
      </c>
      <c r="D93" s="13" t="s">
        <v>291</v>
      </c>
      <c r="E93" s="10" t="s">
        <v>163</v>
      </c>
      <c r="F93" s="10" t="s">
        <v>207</v>
      </c>
      <c r="G93" s="10"/>
      <c r="H93" s="10"/>
      <c r="I93" s="10"/>
      <c r="J93" s="10"/>
      <c r="K93" s="575"/>
      <c r="L93" s="152"/>
      <c r="M93" s="164"/>
      <c r="N93" s="62"/>
      <c r="O93" s="62"/>
      <c r="P93" s="64"/>
      <c r="Q93" s="164"/>
      <c r="R93" s="62"/>
      <c r="S93" s="62"/>
      <c r="T93" s="62"/>
      <c r="U93" s="64"/>
      <c r="V93" s="64"/>
      <c r="W93" s="62"/>
      <c r="X93" s="62"/>
      <c r="Y93" s="62"/>
      <c r="Z93" s="64"/>
      <c r="AA93" s="164"/>
      <c r="AB93" s="62"/>
      <c r="AC93" s="62"/>
      <c r="AD93" s="64"/>
      <c r="AE93" s="164"/>
      <c r="AF93" s="62"/>
      <c r="AG93" s="62"/>
      <c r="AH93" s="337"/>
      <c r="AI93" s="337"/>
      <c r="AJ93" s="337"/>
      <c r="AK93" s="337"/>
      <c r="AL93" s="414"/>
      <c r="AM93" s="414"/>
      <c r="AN93" s="45"/>
      <c r="AO93" s="45"/>
      <c r="AP93" s="45"/>
      <c r="AQ93" s="100"/>
      <c r="AR93" s="100"/>
      <c r="AS93" s="100"/>
      <c r="AT93" s="100"/>
      <c r="AU93" s="100"/>
      <c r="AV93" s="100"/>
      <c r="AW93" s="18">
        <v>20</v>
      </c>
      <c r="AX93" s="69" t="s">
        <v>291</v>
      </c>
      <c r="AY93" s="243" t="s">
        <v>163</v>
      </c>
      <c r="AZ93" s="243" t="str">
        <f t="shared" si="28"/>
        <v>Sockeye</v>
      </c>
      <c r="BA93" s="243" t="s">
        <v>419</v>
      </c>
      <c r="BB93" s="246"/>
      <c r="BC93" s="43" t="str">
        <f t="shared" si="29"/>
        <v>-</v>
      </c>
      <c r="BD93" s="43">
        <f t="shared" si="30"/>
        <v>0</v>
      </c>
      <c r="BE93" s="193">
        <f t="shared" si="31"/>
        <v>0</v>
      </c>
      <c r="BF93" s="193">
        <f t="shared" si="32"/>
        <v>0</v>
      </c>
      <c r="BG93" s="193">
        <f t="shared" si="33"/>
        <v>0</v>
      </c>
      <c r="BH93" s="307" t="str">
        <f t="shared" si="34"/>
        <v>-</v>
      </c>
      <c r="BI93" s="265" t="str">
        <f t="shared" si="27"/>
        <v>-</v>
      </c>
      <c r="BJ93" s="26" t="str">
        <f t="shared" si="35"/>
        <v>PIXIE CREEKSockeye</v>
      </c>
      <c r="BK93" s="26">
        <f t="shared" si="36"/>
        <v>0</v>
      </c>
      <c r="BL93" s="33">
        <f t="shared" si="26"/>
        <v>0</v>
      </c>
      <c r="BQ93" s="47" t="str">
        <f t="shared" si="37"/>
        <v>PIXIE CREEKSockeye</v>
      </c>
      <c r="BR93" s="49">
        <f t="shared" si="38"/>
        <v>0</v>
      </c>
      <c r="BS93" s="49">
        <f t="shared" si="39"/>
        <v>0</v>
      </c>
      <c r="BT93" s="31">
        <v>0</v>
      </c>
      <c r="BU93" s="188">
        <f t="shared" si="40"/>
        <v>0</v>
      </c>
      <c r="BV93" s="188" t="str">
        <f t="shared" si="41"/>
        <v xml:space="preserve"> </v>
      </c>
      <c r="BW93" s="188" t="str">
        <f t="shared" si="42"/>
        <v xml:space="preserve"> </v>
      </c>
      <c r="BX93" s="188" t="str">
        <f t="shared" si="43"/>
        <v xml:space="preserve"> </v>
      </c>
      <c r="BY93" s="50" t="str">
        <f t="shared" si="44"/>
        <v>PIXIE CREEK_Sockeye</v>
      </c>
      <c r="BZ93" s="50" t="str">
        <f>IFERROR(VLOOKUP(BY93,'[1]WCVI Esc'!$C$5:$W$555,18,FALSE),"-")</f>
        <v>-</v>
      </c>
      <c r="CA93" s="50" t="str">
        <f t="shared" si="45"/>
        <v>-</v>
      </c>
      <c r="CB93" s="50" t="str">
        <f>IFERROR(VLOOKUP(BY93,'[1]WCVI Esc'!$C$5:$W$555,19,FALSE),"-")</f>
        <v>-</v>
      </c>
      <c r="CC93" s="50" t="str">
        <f t="shared" si="46"/>
        <v>-</v>
      </c>
      <c r="CE93" s="342" t="str">
        <f t="shared" si="47"/>
        <v>PIXIE CREEK_Sockeye</v>
      </c>
      <c r="CF93" s="341" t="str">
        <f>IFERROR(VLOOKUP(BY93,'RawPL+D'!$O$8:$AB$503,12,FALSE),"-")</f>
        <v>-</v>
      </c>
      <c r="CG93" s="338" t="str">
        <f t="shared" si="48"/>
        <v>-</v>
      </c>
      <c r="CH93" s="341" t="str">
        <f>IFERROR(VLOOKUP(BY93,'RawPL+D'!$O$8:$AB$503,13,FALSE),"-")</f>
        <v>-</v>
      </c>
      <c r="CI93" s="338" t="str">
        <f t="shared" si="49"/>
        <v>-</v>
      </c>
    </row>
    <row r="94" spans="1:87" hidden="1" x14ac:dyDescent="0.2">
      <c r="A94" s="28">
        <v>4</v>
      </c>
      <c r="B94" s="28">
        <v>2</v>
      </c>
      <c r="C94" s="11">
        <v>20</v>
      </c>
      <c r="D94" s="13" t="s">
        <v>291</v>
      </c>
      <c r="E94" s="10" t="s">
        <v>163</v>
      </c>
      <c r="F94" s="10" t="s">
        <v>219</v>
      </c>
      <c r="G94" s="10"/>
      <c r="H94" s="10"/>
      <c r="I94" s="10"/>
      <c r="J94" s="10"/>
      <c r="K94" s="575"/>
      <c r="L94" s="152"/>
      <c r="M94" s="164"/>
      <c r="N94" s="62"/>
      <c r="O94" s="62"/>
      <c r="P94" s="64"/>
      <c r="Q94" s="164"/>
      <c r="R94" s="62"/>
      <c r="S94" s="62"/>
      <c r="T94" s="62"/>
      <c r="U94" s="64"/>
      <c r="V94" s="64"/>
      <c r="W94" s="62"/>
      <c r="X94" s="62"/>
      <c r="Y94" s="62"/>
      <c r="Z94" s="64"/>
      <c r="AA94" s="164"/>
      <c r="AB94" s="62"/>
      <c r="AC94" s="62"/>
      <c r="AD94" s="64"/>
      <c r="AE94" s="164"/>
      <c r="AF94" s="62"/>
      <c r="AG94" s="62"/>
      <c r="AH94" s="337"/>
      <c r="AI94" s="337"/>
      <c r="AJ94" s="337"/>
      <c r="AK94" s="337"/>
      <c r="AL94" s="414"/>
      <c r="AM94" s="414"/>
      <c r="AN94" s="45"/>
      <c r="AO94" s="45"/>
      <c r="AP94" s="45"/>
      <c r="AQ94" s="100"/>
      <c r="AR94" s="100"/>
      <c r="AS94" s="100"/>
      <c r="AT94" s="100"/>
      <c r="AU94" s="100"/>
      <c r="AV94" s="100"/>
      <c r="AW94" s="18">
        <v>20</v>
      </c>
      <c r="AX94" s="69" t="s">
        <v>291</v>
      </c>
      <c r="AY94" s="243" t="s">
        <v>163</v>
      </c>
      <c r="AZ94" s="243" t="str">
        <f t="shared" si="28"/>
        <v>Coho</v>
      </c>
      <c r="BA94" s="243" t="s">
        <v>419</v>
      </c>
      <c r="BB94" s="246"/>
      <c r="BC94" s="43" t="str">
        <f t="shared" si="29"/>
        <v>-</v>
      </c>
      <c r="BD94" s="43">
        <f t="shared" si="30"/>
        <v>0</v>
      </c>
      <c r="BE94" s="193">
        <f t="shared" si="31"/>
        <v>0</v>
      </c>
      <c r="BF94" s="193">
        <f t="shared" si="32"/>
        <v>0</v>
      </c>
      <c r="BG94" s="193">
        <f t="shared" si="33"/>
        <v>0</v>
      </c>
      <c r="BH94" s="307" t="str">
        <f t="shared" si="34"/>
        <v>-</v>
      </c>
      <c r="BI94" s="265" t="str">
        <f t="shared" ref="BI94:BI125" si="50">CC94</f>
        <v>-</v>
      </c>
      <c r="BJ94" s="26" t="str">
        <f t="shared" si="35"/>
        <v>PIXIE CREEKCoho</v>
      </c>
      <c r="BK94" s="26">
        <f t="shared" si="36"/>
        <v>0</v>
      </c>
      <c r="BL94" s="33">
        <f t="shared" si="26"/>
        <v>0</v>
      </c>
      <c r="BQ94" s="47" t="str">
        <f t="shared" si="37"/>
        <v>PIXIE CREEKCoho</v>
      </c>
      <c r="BR94" s="49">
        <f t="shared" si="38"/>
        <v>0</v>
      </c>
      <c r="BS94" s="49">
        <f t="shared" si="39"/>
        <v>0</v>
      </c>
      <c r="BT94" s="31">
        <v>0</v>
      </c>
      <c r="BU94" s="188">
        <f t="shared" si="40"/>
        <v>0</v>
      </c>
      <c r="BV94" s="188" t="str">
        <f t="shared" si="41"/>
        <v xml:space="preserve"> </v>
      </c>
      <c r="BW94" s="188" t="str">
        <f t="shared" si="42"/>
        <v xml:space="preserve"> </v>
      </c>
      <c r="BX94" s="188" t="str">
        <f t="shared" si="43"/>
        <v xml:space="preserve"> </v>
      </c>
      <c r="BY94" s="50" t="str">
        <f t="shared" si="44"/>
        <v>PIXIE CREEK_Coho</v>
      </c>
      <c r="BZ94" s="50" t="str">
        <f>IFERROR(VLOOKUP(BY94,'[1]WCVI Esc'!$C$5:$W$555,18,FALSE),"-")</f>
        <v>-</v>
      </c>
      <c r="CA94" s="50" t="str">
        <f t="shared" si="45"/>
        <v>-</v>
      </c>
      <c r="CB94" s="50" t="str">
        <f>IFERROR(VLOOKUP(BY94,'[1]WCVI Esc'!$C$5:$W$555,19,FALSE),"-")</f>
        <v>-</v>
      </c>
      <c r="CC94" s="50" t="str">
        <f t="shared" si="46"/>
        <v>-</v>
      </c>
      <c r="CE94" s="342" t="str">
        <f t="shared" si="47"/>
        <v>PIXIE CREEK_Coho</v>
      </c>
      <c r="CF94" s="341" t="str">
        <f>IFERROR(VLOOKUP(BY94,'RawPL+D'!$O$8:$AB$503,12,FALSE),"-")</f>
        <v>-</v>
      </c>
      <c r="CG94" s="338" t="str">
        <f t="shared" si="48"/>
        <v>-</v>
      </c>
      <c r="CH94" s="341" t="str">
        <f>IFERROR(VLOOKUP(BY94,'RawPL+D'!$O$8:$AB$503,13,FALSE),"-")</f>
        <v>-</v>
      </c>
      <c r="CI94" s="338" t="str">
        <f t="shared" si="49"/>
        <v>-</v>
      </c>
    </row>
    <row r="95" spans="1:87" hidden="1" x14ac:dyDescent="0.2">
      <c r="A95" s="28">
        <v>4</v>
      </c>
      <c r="B95" s="28">
        <v>3</v>
      </c>
      <c r="C95" s="11">
        <v>20</v>
      </c>
      <c r="D95" s="13" t="s">
        <v>291</v>
      </c>
      <c r="E95" s="10" t="s">
        <v>163</v>
      </c>
      <c r="F95" s="10" t="s">
        <v>208</v>
      </c>
      <c r="G95" s="10"/>
      <c r="H95" s="10"/>
      <c r="I95" s="10"/>
      <c r="J95" s="10"/>
      <c r="K95" s="575"/>
      <c r="L95" s="152"/>
      <c r="M95" s="164"/>
      <c r="N95" s="62"/>
      <c r="O95" s="62"/>
      <c r="P95" s="64"/>
      <c r="Q95" s="164"/>
      <c r="R95" s="62"/>
      <c r="S95" s="62"/>
      <c r="T95" s="62"/>
      <c r="U95" s="64"/>
      <c r="V95" s="64"/>
      <c r="W95" s="62"/>
      <c r="X95" s="62"/>
      <c r="Y95" s="62"/>
      <c r="Z95" s="64"/>
      <c r="AA95" s="164"/>
      <c r="AB95" s="62"/>
      <c r="AC95" s="62"/>
      <c r="AD95" s="64"/>
      <c r="AE95" s="164"/>
      <c r="AF95" s="62"/>
      <c r="AG95" s="62"/>
      <c r="AH95" s="337"/>
      <c r="AI95" s="337"/>
      <c r="AJ95" s="337"/>
      <c r="AK95" s="337"/>
      <c r="AL95" s="414"/>
      <c r="AM95" s="414"/>
      <c r="AN95" s="45"/>
      <c r="AO95" s="45"/>
      <c r="AP95" s="45"/>
      <c r="AQ95" s="100"/>
      <c r="AR95" s="100"/>
      <c r="AS95" s="100"/>
      <c r="AT95" s="100"/>
      <c r="AU95" s="100"/>
      <c r="AV95" s="100"/>
      <c r="AW95" s="18">
        <v>20</v>
      </c>
      <c r="AX95" s="69" t="s">
        <v>291</v>
      </c>
      <c r="AY95" s="243" t="s">
        <v>163</v>
      </c>
      <c r="AZ95" s="243" t="str">
        <f t="shared" si="28"/>
        <v>Pink</v>
      </c>
      <c r="BA95" s="243" t="s">
        <v>419</v>
      </c>
      <c r="BB95" s="246"/>
      <c r="BC95" s="43" t="str">
        <f t="shared" si="29"/>
        <v>-</v>
      </c>
      <c r="BD95" s="43">
        <f t="shared" si="30"/>
        <v>0</v>
      </c>
      <c r="BE95" s="193">
        <f t="shared" si="31"/>
        <v>0</v>
      </c>
      <c r="BF95" s="193">
        <f t="shared" si="32"/>
        <v>0</v>
      </c>
      <c r="BG95" s="193">
        <f t="shared" si="33"/>
        <v>0</v>
      </c>
      <c r="BH95" s="307" t="str">
        <f t="shared" si="34"/>
        <v>-</v>
      </c>
      <c r="BI95" s="265" t="str">
        <f t="shared" si="50"/>
        <v>-</v>
      </c>
      <c r="BJ95" s="26" t="str">
        <f t="shared" si="35"/>
        <v>PIXIE CREEKPink</v>
      </c>
      <c r="BK95" s="26">
        <f t="shared" si="36"/>
        <v>0</v>
      </c>
      <c r="BL95" s="33">
        <f t="shared" si="26"/>
        <v>0</v>
      </c>
      <c r="BQ95" s="47" t="str">
        <f t="shared" si="37"/>
        <v>PIXIE CREEKPink</v>
      </c>
      <c r="BR95" s="49">
        <f t="shared" si="38"/>
        <v>0</v>
      </c>
      <c r="BS95" s="49">
        <f t="shared" si="39"/>
        <v>0</v>
      </c>
      <c r="BT95" s="31">
        <v>0</v>
      </c>
      <c r="BU95" s="188">
        <f t="shared" si="40"/>
        <v>0</v>
      </c>
      <c r="BV95" s="188" t="str">
        <f t="shared" si="41"/>
        <v xml:space="preserve"> </v>
      </c>
      <c r="BW95" s="188" t="str">
        <f t="shared" si="42"/>
        <v xml:space="preserve"> </v>
      </c>
      <c r="BX95" s="188" t="str">
        <f t="shared" si="43"/>
        <v xml:space="preserve"> </v>
      </c>
      <c r="BY95" s="50" t="str">
        <f t="shared" si="44"/>
        <v>PIXIE CREEK_Pink</v>
      </c>
      <c r="BZ95" s="50" t="str">
        <f>IFERROR(VLOOKUP(BY95,'[1]WCVI Esc'!$C$5:$W$555,18,FALSE),"-")</f>
        <v>-</v>
      </c>
      <c r="CA95" s="50" t="str">
        <f t="shared" si="45"/>
        <v>-</v>
      </c>
      <c r="CB95" s="50" t="str">
        <f>IFERROR(VLOOKUP(BY95,'[1]WCVI Esc'!$C$5:$W$555,19,FALSE),"-")</f>
        <v>-</v>
      </c>
      <c r="CC95" s="50" t="str">
        <f t="shared" si="46"/>
        <v>-</v>
      </c>
      <c r="CE95" s="342" t="str">
        <f t="shared" si="47"/>
        <v>PIXIE CREEK_Pink</v>
      </c>
      <c r="CF95" s="341" t="str">
        <f>IFERROR(VLOOKUP(BY95,'RawPL+D'!$O$8:$AB$503,12,FALSE),"-")</f>
        <v>-</v>
      </c>
      <c r="CG95" s="338" t="str">
        <f t="shared" si="48"/>
        <v>-</v>
      </c>
      <c r="CH95" s="341" t="str">
        <f>IFERROR(VLOOKUP(BY95,'RawPL+D'!$O$8:$AB$503,13,FALSE),"-")</f>
        <v>-</v>
      </c>
      <c r="CI95" s="338" t="str">
        <f t="shared" si="49"/>
        <v>-</v>
      </c>
    </row>
    <row r="96" spans="1:87" hidden="1" x14ac:dyDescent="0.2">
      <c r="A96" s="28">
        <v>4</v>
      </c>
      <c r="B96" s="28">
        <v>4</v>
      </c>
      <c r="C96" s="11">
        <v>20</v>
      </c>
      <c r="D96" s="13" t="s">
        <v>291</v>
      </c>
      <c r="E96" s="10" t="s">
        <v>163</v>
      </c>
      <c r="F96" s="10" t="s">
        <v>209</v>
      </c>
      <c r="G96" s="10"/>
      <c r="H96" s="10"/>
      <c r="I96" s="10"/>
      <c r="J96" s="10"/>
      <c r="K96" s="575"/>
      <c r="L96" s="152"/>
      <c r="M96" s="164"/>
      <c r="N96" s="62"/>
      <c r="O96" s="62"/>
      <c r="P96" s="64"/>
      <c r="Q96" s="164"/>
      <c r="R96" s="62"/>
      <c r="S96" s="62"/>
      <c r="T96" s="62"/>
      <c r="U96" s="64"/>
      <c r="V96" s="64"/>
      <c r="W96" s="62"/>
      <c r="X96" s="62"/>
      <c r="Y96" s="62"/>
      <c r="Z96" s="64"/>
      <c r="AA96" s="164"/>
      <c r="AB96" s="62"/>
      <c r="AC96" s="62"/>
      <c r="AD96" s="64"/>
      <c r="AE96" s="164"/>
      <c r="AF96" s="62"/>
      <c r="AG96" s="62"/>
      <c r="AH96" s="337"/>
      <c r="AI96" s="337"/>
      <c r="AJ96" s="337"/>
      <c r="AK96" s="337"/>
      <c r="AL96" s="414"/>
      <c r="AM96" s="414"/>
      <c r="AN96" s="45"/>
      <c r="AO96" s="45"/>
      <c r="AP96" s="45"/>
      <c r="AQ96" s="100"/>
      <c r="AR96"/>
      <c r="AS96" s="100"/>
      <c r="AT96" s="100"/>
      <c r="AU96" s="100"/>
      <c r="AV96" s="100"/>
      <c r="AW96" s="18">
        <v>20</v>
      </c>
      <c r="AX96" s="69" t="s">
        <v>291</v>
      </c>
      <c r="AY96" s="243" t="s">
        <v>163</v>
      </c>
      <c r="AZ96" s="243" t="str">
        <f t="shared" si="28"/>
        <v>Chum</v>
      </c>
      <c r="BA96" s="243" t="s">
        <v>419</v>
      </c>
      <c r="BB96" s="246"/>
      <c r="BC96" s="43" t="str">
        <f t="shared" si="29"/>
        <v>-</v>
      </c>
      <c r="BD96" s="43">
        <f t="shared" si="30"/>
        <v>0</v>
      </c>
      <c r="BE96" s="193">
        <f t="shared" si="31"/>
        <v>0</v>
      </c>
      <c r="BF96" s="193">
        <f t="shared" si="32"/>
        <v>0</v>
      </c>
      <c r="BG96" s="193">
        <f t="shared" si="33"/>
        <v>0</v>
      </c>
      <c r="BH96" s="307" t="str">
        <f t="shared" si="34"/>
        <v>-</v>
      </c>
      <c r="BI96" s="265" t="str">
        <f t="shared" si="50"/>
        <v>-</v>
      </c>
      <c r="BJ96" s="26" t="str">
        <f t="shared" si="35"/>
        <v>PIXIE CREEKChum</v>
      </c>
      <c r="BK96" s="26">
        <f t="shared" si="36"/>
        <v>0</v>
      </c>
      <c r="BL96" s="33">
        <f t="shared" si="26"/>
        <v>0</v>
      </c>
      <c r="BQ96" s="47" t="str">
        <f t="shared" si="37"/>
        <v>PIXIE CREEKChum</v>
      </c>
      <c r="BR96" s="49">
        <f t="shared" si="38"/>
        <v>0</v>
      </c>
      <c r="BS96" s="49">
        <f t="shared" si="39"/>
        <v>0</v>
      </c>
      <c r="BT96" s="31">
        <v>0</v>
      </c>
      <c r="BU96" s="188">
        <f t="shared" si="40"/>
        <v>0</v>
      </c>
      <c r="BV96" s="188" t="str">
        <f t="shared" si="41"/>
        <v xml:space="preserve"> </v>
      </c>
      <c r="BW96" s="188" t="str">
        <f t="shared" si="42"/>
        <v xml:space="preserve"> </v>
      </c>
      <c r="BX96" s="188" t="str">
        <f t="shared" si="43"/>
        <v xml:space="preserve"> </v>
      </c>
      <c r="BY96" s="50" t="str">
        <f t="shared" si="44"/>
        <v>PIXIE CREEK_Chum</v>
      </c>
      <c r="BZ96" s="50" t="str">
        <f>IFERROR(VLOOKUP(BY96,'[1]WCVI Esc'!$C$5:$W$555,18,FALSE),"-")</f>
        <v>-</v>
      </c>
      <c r="CA96" s="50" t="str">
        <f t="shared" si="45"/>
        <v>-</v>
      </c>
      <c r="CB96" s="50" t="str">
        <f>IFERROR(VLOOKUP(BY96,'[1]WCVI Esc'!$C$5:$W$555,19,FALSE),"-")</f>
        <v>-</v>
      </c>
      <c r="CC96" s="50" t="str">
        <f t="shared" si="46"/>
        <v>-</v>
      </c>
      <c r="CE96" s="342" t="str">
        <f t="shared" si="47"/>
        <v>PIXIE CREEK_Chum</v>
      </c>
      <c r="CF96" s="341" t="str">
        <f>IFERROR(VLOOKUP(BY96,'RawPL+D'!$O$8:$AB$503,12,FALSE),"-")</f>
        <v>-</v>
      </c>
      <c r="CG96" s="338" t="str">
        <f t="shared" si="48"/>
        <v>-</v>
      </c>
      <c r="CH96" s="341" t="str">
        <f>IFERROR(VLOOKUP(BY96,'RawPL+D'!$O$8:$AB$503,13,FALSE),"-")</f>
        <v>-</v>
      </c>
      <c r="CI96" s="338" t="str">
        <f t="shared" si="49"/>
        <v>-</v>
      </c>
    </row>
    <row r="97" spans="1:87" hidden="1" x14ac:dyDescent="0.2">
      <c r="A97" s="28">
        <v>4</v>
      </c>
      <c r="B97" s="28">
        <v>5</v>
      </c>
      <c r="C97" s="11">
        <v>20</v>
      </c>
      <c r="D97" s="13" t="s">
        <v>291</v>
      </c>
      <c r="E97" s="10" t="s">
        <v>163</v>
      </c>
      <c r="F97" s="10" t="s">
        <v>210</v>
      </c>
      <c r="G97" s="10"/>
      <c r="H97" s="10"/>
      <c r="I97" s="10"/>
      <c r="J97" s="10"/>
      <c r="K97" s="575"/>
      <c r="L97" s="152"/>
      <c r="M97" s="164"/>
      <c r="N97" s="62"/>
      <c r="O97" s="62"/>
      <c r="P97" s="64"/>
      <c r="Q97" s="164"/>
      <c r="R97" s="62"/>
      <c r="S97" s="62"/>
      <c r="T97" s="62"/>
      <c r="U97" s="64"/>
      <c r="V97" s="64"/>
      <c r="W97" s="62"/>
      <c r="X97" s="62"/>
      <c r="Y97" s="62"/>
      <c r="Z97" s="64"/>
      <c r="AA97" s="164"/>
      <c r="AB97" s="62"/>
      <c r="AC97" s="62"/>
      <c r="AD97" s="64"/>
      <c r="AE97" s="164"/>
      <c r="AF97" s="62"/>
      <c r="AG97" s="62"/>
      <c r="AH97" s="337"/>
      <c r="AI97" s="337"/>
      <c r="AJ97" s="337"/>
      <c r="AK97" s="337"/>
      <c r="AL97" s="414"/>
      <c r="AM97" s="414"/>
      <c r="AN97" s="45"/>
      <c r="AO97" s="45"/>
      <c r="AP97" s="45"/>
      <c r="AQ97" s="100"/>
      <c r="AR97"/>
      <c r="AS97" s="100"/>
      <c r="AT97" s="100"/>
      <c r="AU97" s="100"/>
      <c r="AV97" s="100"/>
      <c r="AW97" s="18">
        <v>20</v>
      </c>
      <c r="AX97" s="69" t="s">
        <v>291</v>
      </c>
      <c r="AY97" s="243" t="s">
        <v>163</v>
      </c>
      <c r="AZ97" s="243" t="str">
        <f t="shared" si="28"/>
        <v>Chinook</v>
      </c>
      <c r="BA97" s="243" t="s">
        <v>419</v>
      </c>
      <c r="BB97" s="246"/>
      <c r="BC97" s="43" t="str">
        <f t="shared" si="29"/>
        <v>-</v>
      </c>
      <c r="BD97" s="43">
        <f t="shared" si="30"/>
        <v>0</v>
      </c>
      <c r="BE97" s="193">
        <f t="shared" si="31"/>
        <v>0</v>
      </c>
      <c r="BF97" s="193">
        <f t="shared" si="32"/>
        <v>0</v>
      </c>
      <c r="BG97" s="193">
        <f t="shared" si="33"/>
        <v>0</v>
      </c>
      <c r="BH97" s="307" t="str">
        <f t="shared" si="34"/>
        <v>-</v>
      </c>
      <c r="BI97" s="265" t="str">
        <f t="shared" si="50"/>
        <v>-</v>
      </c>
      <c r="BJ97" s="26" t="str">
        <f t="shared" si="35"/>
        <v>PIXIE CREEKChinook</v>
      </c>
      <c r="BK97" s="26">
        <f t="shared" si="36"/>
        <v>0</v>
      </c>
      <c r="BL97" s="33">
        <f t="shared" si="26"/>
        <v>0</v>
      </c>
      <c r="BQ97" s="47" t="str">
        <f t="shared" si="37"/>
        <v>PIXIE CREEKChinook</v>
      </c>
      <c r="BR97" s="49">
        <f t="shared" si="38"/>
        <v>0</v>
      </c>
      <c r="BS97" s="49">
        <f t="shared" si="39"/>
        <v>0</v>
      </c>
      <c r="BT97" s="31">
        <v>0</v>
      </c>
      <c r="BU97" s="188">
        <f t="shared" si="40"/>
        <v>0</v>
      </c>
      <c r="BV97" s="188" t="str">
        <f t="shared" si="41"/>
        <v xml:space="preserve"> </v>
      </c>
      <c r="BW97" s="188" t="str">
        <f t="shared" si="42"/>
        <v xml:space="preserve"> </v>
      </c>
      <c r="BX97" s="188" t="str">
        <f t="shared" si="43"/>
        <v xml:space="preserve"> </v>
      </c>
      <c r="BY97" s="50" t="str">
        <f t="shared" si="44"/>
        <v>PIXIE CREEK_Chinook</v>
      </c>
      <c r="BZ97" s="50" t="str">
        <f>IFERROR(VLOOKUP(BY97,'[1]WCVI Esc'!$C$5:$W$555,18,FALSE),"-")</f>
        <v>-</v>
      </c>
      <c r="CA97" s="50" t="str">
        <f t="shared" si="45"/>
        <v>-</v>
      </c>
      <c r="CB97" s="50" t="str">
        <f>IFERROR(VLOOKUP(BY97,'[1]WCVI Esc'!$C$5:$W$555,19,FALSE),"-")</f>
        <v>-</v>
      </c>
      <c r="CC97" s="50" t="str">
        <f t="shared" si="46"/>
        <v>-</v>
      </c>
      <c r="CE97" s="342" t="str">
        <f t="shared" si="47"/>
        <v>PIXIE CREEK_Chinook</v>
      </c>
      <c r="CF97" s="341" t="str">
        <f>IFERROR(VLOOKUP(BY97,'RawPL+D'!$O$8:$AB$503,12,FALSE),"-")</f>
        <v>-</v>
      </c>
      <c r="CG97" s="338" t="str">
        <f t="shared" si="48"/>
        <v>-</v>
      </c>
      <c r="CH97" s="341" t="str">
        <f>IFERROR(VLOOKUP(BY97,'RawPL+D'!$O$8:$AB$503,13,FALSE),"-")</f>
        <v>-</v>
      </c>
      <c r="CI97" s="338" t="str">
        <f t="shared" si="49"/>
        <v>-</v>
      </c>
    </row>
    <row r="98" spans="1:87" hidden="1" x14ac:dyDescent="0.2">
      <c r="A98" s="28">
        <v>4</v>
      </c>
      <c r="B98" s="28">
        <v>6</v>
      </c>
      <c r="C98" s="11">
        <v>20</v>
      </c>
      <c r="D98" s="13" t="s">
        <v>291</v>
      </c>
      <c r="E98" s="10" t="s">
        <v>163</v>
      </c>
      <c r="F98" s="10" t="s">
        <v>211</v>
      </c>
      <c r="G98" s="10"/>
      <c r="H98" s="10"/>
      <c r="I98" s="10"/>
      <c r="J98" s="10"/>
      <c r="K98" s="575"/>
      <c r="L98" s="152"/>
      <c r="M98" s="164"/>
      <c r="N98" s="62"/>
      <c r="O98" s="62"/>
      <c r="P98" s="64"/>
      <c r="Q98" s="164"/>
      <c r="R98" s="62"/>
      <c r="S98" s="62"/>
      <c r="T98" s="62"/>
      <c r="U98" s="64"/>
      <c r="V98" s="64"/>
      <c r="W98" s="62"/>
      <c r="X98" s="62"/>
      <c r="Y98" s="62"/>
      <c r="Z98" s="64"/>
      <c r="AA98" s="164"/>
      <c r="AB98" s="62"/>
      <c r="AC98" s="62"/>
      <c r="AD98" s="64"/>
      <c r="AE98" s="164"/>
      <c r="AF98" s="62"/>
      <c r="AG98" s="62"/>
      <c r="AH98" s="337"/>
      <c r="AI98" s="337"/>
      <c r="AJ98" s="337"/>
      <c r="AK98" s="337"/>
      <c r="AL98" s="414"/>
      <c r="AM98" s="414"/>
      <c r="AN98" s="45"/>
      <c r="AO98" s="45"/>
      <c r="AP98" s="45"/>
      <c r="AQ98" s="100"/>
      <c r="AR98" s="100"/>
      <c r="AS98" s="100"/>
      <c r="AT98" s="100"/>
      <c r="AU98" s="100"/>
      <c r="AV98" s="100"/>
      <c r="AW98" s="18">
        <v>20</v>
      </c>
      <c r="AX98" s="69" t="s">
        <v>291</v>
      </c>
      <c r="AY98" s="243" t="s">
        <v>163</v>
      </c>
      <c r="AZ98" s="243" t="str">
        <f t="shared" si="28"/>
        <v>Steelhead</v>
      </c>
      <c r="BA98" s="243" t="s">
        <v>419</v>
      </c>
      <c r="BB98" s="246"/>
      <c r="BC98" s="43" t="str">
        <f t="shared" si="29"/>
        <v>-</v>
      </c>
      <c r="BD98" s="43">
        <f t="shared" si="30"/>
        <v>0</v>
      </c>
      <c r="BE98" s="193">
        <f t="shared" si="31"/>
        <v>0</v>
      </c>
      <c r="BF98" s="193">
        <f t="shared" si="32"/>
        <v>0</v>
      </c>
      <c r="BG98" s="193">
        <f t="shared" si="33"/>
        <v>0</v>
      </c>
      <c r="BH98" s="307" t="str">
        <f t="shared" si="34"/>
        <v>-</v>
      </c>
      <c r="BI98" s="265" t="str">
        <f t="shared" si="50"/>
        <v>-</v>
      </c>
      <c r="BJ98" s="26" t="str">
        <f t="shared" si="35"/>
        <v>PIXIE CREEKSteelhead</v>
      </c>
      <c r="BK98" s="26">
        <f t="shared" si="36"/>
        <v>0</v>
      </c>
      <c r="BL98" s="33">
        <f t="shared" si="26"/>
        <v>0</v>
      </c>
      <c r="BQ98" s="47" t="str">
        <f t="shared" si="37"/>
        <v>PIXIE CREEKSteelhead</v>
      </c>
      <c r="BR98" s="49">
        <f t="shared" si="38"/>
        <v>0</v>
      </c>
      <c r="BS98" s="49">
        <f t="shared" si="39"/>
        <v>0</v>
      </c>
      <c r="BT98" s="31">
        <v>0</v>
      </c>
      <c r="BU98" s="188">
        <f t="shared" si="40"/>
        <v>0</v>
      </c>
      <c r="BV98" s="188" t="str">
        <f t="shared" si="41"/>
        <v xml:space="preserve"> </v>
      </c>
      <c r="BW98" s="188" t="str">
        <f t="shared" si="42"/>
        <v xml:space="preserve"> </v>
      </c>
      <c r="BX98" s="188" t="str">
        <f t="shared" si="43"/>
        <v xml:space="preserve"> </v>
      </c>
      <c r="BY98" s="50" t="str">
        <f t="shared" si="44"/>
        <v>PIXIE CREEK_Steelhead</v>
      </c>
      <c r="BZ98" s="50" t="str">
        <f>IFERROR(VLOOKUP(BY98,'[1]WCVI Esc'!$C$5:$W$555,18,FALSE),"-")</f>
        <v>-</v>
      </c>
      <c r="CA98" s="50" t="str">
        <f t="shared" si="45"/>
        <v>-</v>
      </c>
      <c r="CB98" s="50" t="str">
        <f>IFERROR(VLOOKUP(BY98,'[1]WCVI Esc'!$C$5:$W$555,19,FALSE),"-")</f>
        <v>-</v>
      </c>
      <c r="CC98" s="50" t="str">
        <f t="shared" si="46"/>
        <v>-</v>
      </c>
      <c r="CE98" s="342" t="str">
        <f t="shared" si="47"/>
        <v>PIXIE CREEK_Steelhead</v>
      </c>
      <c r="CF98" s="341" t="str">
        <f>IFERROR(VLOOKUP(BY98,'RawPL+D'!$O$8:$AB$503,12,FALSE),"-")</f>
        <v>-</v>
      </c>
      <c r="CG98" s="338" t="str">
        <f t="shared" si="48"/>
        <v>-</v>
      </c>
      <c r="CH98" s="341" t="str">
        <f>IFERROR(VLOOKUP(BY98,'RawPL+D'!$O$8:$AB$503,13,FALSE),"-")</f>
        <v>-</v>
      </c>
      <c r="CI98" s="338" t="str">
        <f t="shared" si="49"/>
        <v>-</v>
      </c>
    </row>
    <row r="99" spans="1:87" hidden="1" x14ac:dyDescent="0.2">
      <c r="A99" s="28">
        <v>4</v>
      </c>
      <c r="B99" s="28">
        <v>1</v>
      </c>
      <c r="C99" s="11">
        <v>20</v>
      </c>
      <c r="D99" s="13" t="s">
        <v>291</v>
      </c>
      <c r="E99" s="10" t="s">
        <v>165</v>
      </c>
      <c r="F99" s="10" t="s">
        <v>207</v>
      </c>
      <c r="G99" s="10"/>
      <c r="H99" s="10"/>
      <c r="I99" s="10"/>
      <c r="J99" s="10"/>
      <c r="K99" s="575"/>
      <c r="L99" s="152"/>
      <c r="M99" s="164"/>
      <c r="N99" s="64"/>
      <c r="O99" s="62"/>
      <c r="P99" s="177"/>
      <c r="Q99" s="62"/>
      <c r="R99" s="62"/>
      <c r="S99" s="62"/>
      <c r="T99" s="62"/>
      <c r="U99" s="64"/>
      <c r="V99" s="164"/>
      <c r="W99" s="62"/>
      <c r="X99" s="62"/>
      <c r="Y99" s="62"/>
      <c r="Z99" s="64"/>
      <c r="AA99" s="164"/>
      <c r="AB99" s="62"/>
      <c r="AC99" s="62"/>
      <c r="AD99" s="64"/>
      <c r="AE99" s="164"/>
      <c r="AF99" s="62"/>
      <c r="AG99" s="62"/>
      <c r="AH99" s="337"/>
      <c r="AI99" s="337"/>
      <c r="AJ99" s="337"/>
      <c r="AK99" s="337"/>
      <c r="AL99" s="414"/>
      <c r="AM99" s="414"/>
      <c r="AN99" s="45"/>
      <c r="AO99" s="45"/>
      <c r="AP99" s="45"/>
      <c r="AQ99" s="100"/>
      <c r="AR99"/>
      <c r="AS99" s="100"/>
      <c r="AT99" s="100"/>
      <c r="AU99" s="100"/>
      <c r="AV99" s="100"/>
      <c r="AW99" s="18">
        <v>20</v>
      </c>
      <c r="AX99" s="69" t="s">
        <v>291</v>
      </c>
      <c r="AY99" s="243" t="s">
        <v>165</v>
      </c>
      <c r="AZ99" s="243" t="str">
        <f t="shared" si="28"/>
        <v>Sockeye</v>
      </c>
      <c r="BA99" s="243" t="s">
        <v>419</v>
      </c>
      <c r="BB99" s="246"/>
      <c r="BC99" s="43" t="str">
        <f t="shared" si="29"/>
        <v>-</v>
      </c>
      <c r="BD99" s="43">
        <f t="shared" si="30"/>
        <v>0</v>
      </c>
      <c r="BE99" s="193">
        <f t="shared" si="31"/>
        <v>0</v>
      </c>
      <c r="BF99" s="193">
        <f t="shared" si="32"/>
        <v>0</v>
      </c>
      <c r="BG99" s="193">
        <f t="shared" si="33"/>
        <v>0</v>
      </c>
      <c r="BH99" s="307" t="str">
        <f t="shared" si="34"/>
        <v>-</v>
      </c>
      <c r="BI99" s="265" t="str">
        <f t="shared" si="50"/>
        <v>-</v>
      </c>
      <c r="BJ99" s="26" t="str">
        <f t="shared" si="35"/>
        <v>TREMBLAY CREEKSockeye</v>
      </c>
      <c r="BK99" s="26">
        <f t="shared" si="36"/>
        <v>0</v>
      </c>
      <c r="BL99" s="33">
        <f t="shared" si="26"/>
        <v>0</v>
      </c>
      <c r="BQ99" s="47" t="str">
        <f t="shared" si="37"/>
        <v>TREMBLAY CREEKSockeye</v>
      </c>
      <c r="BR99" s="49">
        <f t="shared" si="38"/>
        <v>0</v>
      </c>
      <c r="BS99" s="49">
        <f t="shared" si="39"/>
        <v>0</v>
      </c>
      <c r="BT99" s="31">
        <v>0</v>
      </c>
      <c r="BU99" s="188">
        <f t="shared" si="40"/>
        <v>0</v>
      </c>
      <c r="BV99" s="188" t="str">
        <f t="shared" si="41"/>
        <v xml:space="preserve"> </v>
      </c>
      <c r="BW99" s="188" t="str">
        <f t="shared" si="42"/>
        <v xml:space="preserve"> </v>
      </c>
      <c r="BX99" s="188" t="str">
        <f t="shared" si="43"/>
        <v xml:space="preserve"> </v>
      </c>
      <c r="BY99" s="50" t="str">
        <f t="shared" si="44"/>
        <v>TREMBLAY CREEK_Sockeye</v>
      </c>
      <c r="BZ99" s="50" t="str">
        <f>IFERROR(VLOOKUP(BY99,'[1]WCVI Esc'!$C$5:$W$555,18,FALSE),"-")</f>
        <v>-</v>
      </c>
      <c r="CA99" s="50" t="str">
        <f t="shared" si="45"/>
        <v>-</v>
      </c>
      <c r="CB99" s="50" t="str">
        <f>IFERROR(VLOOKUP(BY99,'[1]WCVI Esc'!$C$5:$W$555,19,FALSE),"-")</f>
        <v>-</v>
      </c>
      <c r="CC99" s="50" t="str">
        <f t="shared" si="46"/>
        <v>-</v>
      </c>
      <c r="CE99" s="342" t="str">
        <f t="shared" si="47"/>
        <v>TREMBLAY CREEK_Sockeye</v>
      </c>
      <c r="CF99" s="341" t="str">
        <f>IFERROR(VLOOKUP(BY99,'RawPL+D'!$O$8:$AB$503,12,FALSE),"-")</f>
        <v>-</v>
      </c>
      <c r="CG99" s="338" t="str">
        <f t="shared" si="48"/>
        <v>-</v>
      </c>
      <c r="CH99" s="341" t="str">
        <f>IFERROR(VLOOKUP(BY99,'RawPL+D'!$O$8:$AB$503,13,FALSE),"-")</f>
        <v>-</v>
      </c>
      <c r="CI99" s="338" t="str">
        <f t="shared" si="49"/>
        <v>-</v>
      </c>
    </row>
    <row r="100" spans="1:87" hidden="1" x14ac:dyDescent="0.2">
      <c r="A100" s="28">
        <v>4</v>
      </c>
      <c r="B100" s="28">
        <v>2</v>
      </c>
      <c r="C100" s="11">
        <v>20</v>
      </c>
      <c r="D100" s="13" t="s">
        <v>291</v>
      </c>
      <c r="E100" s="10" t="s">
        <v>165</v>
      </c>
      <c r="F100" s="10" t="s">
        <v>219</v>
      </c>
      <c r="G100" s="10"/>
      <c r="H100" s="10"/>
      <c r="I100" s="10"/>
      <c r="J100" s="10"/>
      <c r="K100" s="575"/>
      <c r="L100" s="152"/>
      <c r="M100" s="164"/>
      <c r="N100" s="64"/>
      <c r="O100" s="62"/>
      <c r="P100" s="177"/>
      <c r="Q100" s="62"/>
      <c r="R100" s="62"/>
      <c r="S100" s="62"/>
      <c r="T100" s="62"/>
      <c r="U100" s="64"/>
      <c r="V100" s="164"/>
      <c r="W100" s="62"/>
      <c r="X100" s="62"/>
      <c r="Y100" s="62"/>
      <c r="Z100" s="64"/>
      <c r="AA100" s="164"/>
      <c r="AB100" s="62"/>
      <c r="AC100" s="62"/>
      <c r="AD100" s="64"/>
      <c r="AE100" s="164"/>
      <c r="AF100" s="62"/>
      <c r="AG100" s="62"/>
      <c r="AH100" s="337"/>
      <c r="AI100" s="337"/>
      <c r="AJ100" s="337"/>
      <c r="AK100" s="337"/>
      <c r="AL100" s="414"/>
      <c r="AM100" s="414"/>
      <c r="AN100" s="45"/>
      <c r="AO100" s="45"/>
      <c r="AP100" s="45"/>
      <c r="AQ100" s="485"/>
      <c r="AR100"/>
      <c r="AS100" s="100"/>
      <c r="AT100" s="100"/>
      <c r="AU100" s="100"/>
      <c r="AV100" s="100"/>
      <c r="AW100" s="18">
        <v>20</v>
      </c>
      <c r="AX100" s="69" t="s">
        <v>291</v>
      </c>
      <c r="AY100" s="243" t="s">
        <v>165</v>
      </c>
      <c r="AZ100" s="243" t="str">
        <f t="shared" si="28"/>
        <v>Coho</v>
      </c>
      <c r="BA100" s="243" t="s">
        <v>419</v>
      </c>
      <c r="BB100" s="246"/>
      <c r="BC100" s="43" t="str">
        <f t="shared" si="29"/>
        <v>-</v>
      </c>
      <c r="BD100" s="43">
        <f t="shared" si="30"/>
        <v>0</v>
      </c>
      <c r="BE100" s="193">
        <f t="shared" si="31"/>
        <v>0</v>
      </c>
      <c r="BF100" s="193">
        <f t="shared" si="32"/>
        <v>0</v>
      </c>
      <c r="BG100" s="193">
        <f t="shared" si="33"/>
        <v>0</v>
      </c>
      <c r="BH100" s="307" t="str">
        <f t="shared" si="34"/>
        <v>-</v>
      </c>
      <c r="BI100" s="265" t="str">
        <f t="shared" si="50"/>
        <v>-</v>
      </c>
      <c r="BJ100" s="26" t="str">
        <f t="shared" si="35"/>
        <v>TREMBLAY CREEKCoho</v>
      </c>
      <c r="BK100" s="26">
        <f t="shared" si="36"/>
        <v>0</v>
      </c>
      <c r="BL100" s="33">
        <f t="shared" si="26"/>
        <v>0</v>
      </c>
      <c r="BQ100" s="47" t="str">
        <f t="shared" si="37"/>
        <v>TREMBLAY CREEKCoho</v>
      </c>
      <c r="BR100" s="49">
        <f t="shared" si="38"/>
        <v>0</v>
      </c>
      <c r="BS100" s="49">
        <f t="shared" si="39"/>
        <v>0</v>
      </c>
      <c r="BT100" s="31">
        <v>0</v>
      </c>
      <c r="BU100" s="188">
        <f t="shared" si="40"/>
        <v>0</v>
      </c>
      <c r="BV100" s="188" t="str">
        <f t="shared" si="41"/>
        <v xml:space="preserve"> </v>
      </c>
      <c r="BW100" s="188" t="str">
        <f t="shared" si="42"/>
        <v xml:space="preserve"> </v>
      </c>
      <c r="BX100" s="188" t="str">
        <f t="shared" si="43"/>
        <v xml:space="preserve"> </v>
      </c>
      <c r="BY100" s="50" t="str">
        <f t="shared" si="44"/>
        <v>TREMBLAY CREEK_Coho</v>
      </c>
      <c r="BZ100" s="50" t="str">
        <f>IFERROR(VLOOKUP(BY100,'[1]WCVI Esc'!$C$5:$W$555,18,FALSE),"-")</f>
        <v>-</v>
      </c>
      <c r="CA100" s="50" t="str">
        <f t="shared" si="45"/>
        <v>-</v>
      </c>
      <c r="CB100" s="50" t="str">
        <f>IFERROR(VLOOKUP(BY100,'[1]WCVI Esc'!$C$5:$W$555,19,FALSE),"-")</f>
        <v>-</v>
      </c>
      <c r="CC100" s="50" t="str">
        <f t="shared" si="46"/>
        <v>-</v>
      </c>
      <c r="CE100" s="342" t="str">
        <f t="shared" si="47"/>
        <v>TREMBLAY CREEK_Coho</v>
      </c>
      <c r="CF100" s="341" t="str">
        <f>IFERROR(VLOOKUP(BY100,'RawPL+D'!$O$8:$AB$503,12,FALSE),"-")</f>
        <v>-</v>
      </c>
      <c r="CG100" s="338" t="str">
        <f t="shared" si="48"/>
        <v>-</v>
      </c>
      <c r="CH100" s="341" t="str">
        <f>IFERROR(VLOOKUP(BY100,'RawPL+D'!$O$8:$AB$503,13,FALSE),"-")</f>
        <v>-</v>
      </c>
      <c r="CI100" s="338" t="str">
        <f t="shared" si="49"/>
        <v>-</v>
      </c>
    </row>
    <row r="101" spans="1:87" hidden="1" x14ac:dyDescent="0.2">
      <c r="A101" s="28">
        <v>4</v>
      </c>
      <c r="B101" s="28">
        <v>3</v>
      </c>
      <c r="C101" s="11">
        <v>20</v>
      </c>
      <c r="D101" s="13" t="s">
        <v>291</v>
      </c>
      <c r="E101" s="10" t="s">
        <v>165</v>
      </c>
      <c r="F101" s="10" t="s">
        <v>208</v>
      </c>
      <c r="G101" s="10"/>
      <c r="H101" s="10"/>
      <c r="I101" s="10"/>
      <c r="J101" s="10"/>
      <c r="K101" s="575"/>
      <c r="L101" s="152"/>
      <c r="M101" s="164"/>
      <c r="N101" s="64"/>
      <c r="O101" s="62"/>
      <c r="P101" s="177"/>
      <c r="Q101" s="62"/>
      <c r="R101" s="62"/>
      <c r="S101" s="62"/>
      <c r="T101" s="62"/>
      <c r="U101" s="64"/>
      <c r="V101" s="164"/>
      <c r="W101" s="62"/>
      <c r="X101" s="62"/>
      <c r="Y101" s="62"/>
      <c r="Z101" s="64"/>
      <c r="AA101" s="164"/>
      <c r="AB101" s="62"/>
      <c r="AC101" s="62"/>
      <c r="AD101" s="64"/>
      <c r="AE101" s="164"/>
      <c r="AF101" s="62"/>
      <c r="AG101" s="62"/>
      <c r="AH101" s="337"/>
      <c r="AI101" s="337"/>
      <c r="AJ101" s="337"/>
      <c r="AK101" s="337"/>
      <c r="AL101" s="414"/>
      <c r="AM101" s="414"/>
      <c r="AN101" s="45"/>
      <c r="AO101" s="45"/>
      <c r="AP101" s="45"/>
      <c r="AQ101" s="100"/>
      <c r="AR101"/>
      <c r="AS101" s="100"/>
      <c r="AT101" s="100"/>
      <c r="AU101" s="100"/>
      <c r="AV101" s="100"/>
      <c r="AW101" s="18">
        <v>20</v>
      </c>
      <c r="AX101" s="69" t="s">
        <v>291</v>
      </c>
      <c r="AY101" s="243" t="s">
        <v>165</v>
      </c>
      <c r="AZ101" s="243" t="str">
        <f t="shared" si="28"/>
        <v>Pink</v>
      </c>
      <c r="BA101" s="243" t="s">
        <v>419</v>
      </c>
      <c r="BB101" s="246"/>
      <c r="BC101" s="43" t="str">
        <f t="shared" si="29"/>
        <v>-</v>
      </c>
      <c r="BD101" s="43">
        <f t="shared" si="30"/>
        <v>0</v>
      </c>
      <c r="BE101" s="193">
        <f t="shared" si="31"/>
        <v>0</v>
      </c>
      <c r="BF101" s="193">
        <f t="shared" si="32"/>
        <v>0</v>
      </c>
      <c r="BG101" s="193">
        <f t="shared" si="33"/>
        <v>0</v>
      </c>
      <c r="BH101" s="307" t="str">
        <f t="shared" si="34"/>
        <v>-</v>
      </c>
      <c r="BI101" s="265" t="str">
        <f t="shared" si="50"/>
        <v>-</v>
      </c>
      <c r="BJ101" s="26" t="str">
        <f t="shared" si="35"/>
        <v>TREMBLAY CREEKPink</v>
      </c>
      <c r="BK101" s="26">
        <f t="shared" si="36"/>
        <v>0</v>
      </c>
      <c r="BL101" s="33">
        <f t="shared" si="26"/>
        <v>0</v>
      </c>
      <c r="BQ101" s="47" t="str">
        <f t="shared" si="37"/>
        <v>TREMBLAY CREEKPink</v>
      </c>
      <c r="BR101" s="49">
        <f t="shared" si="38"/>
        <v>0</v>
      </c>
      <c r="BS101" s="49">
        <f t="shared" si="39"/>
        <v>0</v>
      </c>
      <c r="BT101" s="31">
        <v>0</v>
      </c>
      <c r="BU101" s="188">
        <f t="shared" si="40"/>
        <v>0</v>
      </c>
      <c r="BV101" s="188" t="str">
        <f t="shared" si="41"/>
        <v xml:space="preserve"> </v>
      </c>
      <c r="BW101" s="188" t="str">
        <f t="shared" si="42"/>
        <v xml:space="preserve"> </v>
      </c>
      <c r="BX101" s="188" t="str">
        <f t="shared" si="43"/>
        <v xml:space="preserve"> </v>
      </c>
      <c r="BY101" s="50" t="str">
        <f t="shared" si="44"/>
        <v>TREMBLAY CREEK_Pink</v>
      </c>
      <c r="BZ101" s="50" t="str">
        <f>IFERROR(VLOOKUP(BY101,'[1]WCVI Esc'!$C$5:$W$555,18,FALSE),"-")</f>
        <v>-</v>
      </c>
      <c r="CA101" s="50" t="str">
        <f t="shared" si="45"/>
        <v>-</v>
      </c>
      <c r="CB101" s="50" t="str">
        <f>IFERROR(VLOOKUP(BY101,'[1]WCVI Esc'!$C$5:$W$555,19,FALSE),"-")</f>
        <v>-</v>
      </c>
      <c r="CC101" s="50" t="str">
        <f t="shared" si="46"/>
        <v>-</v>
      </c>
      <c r="CE101" s="342" t="str">
        <f t="shared" si="47"/>
        <v>TREMBLAY CREEK_Pink</v>
      </c>
      <c r="CF101" s="341" t="str">
        <f>IFERROR(VLOOKUP(BY101,'RawPL+D'!$O$8:$AB$503,12,FALSE),"-")</f>
        <v>-</v>
      </c>
      <c r="CG101" s="338" t="str">
        <f t="shared" si="48"/>
        <v>-</v>
      </c>
      <c r="CH101" s="341" t="str">
        <f>IFERROR(VLOOKUP(BY101,'RawPL+D'!$O$8:$AB$503,13,FALSE),"-")</f>
        <v>-</v>
      </c>
      <c r="CI101" s="338" t="str">
        <f t="shared" si="49"/>
        <v>-</v>
      </c>
    </row>
    <row r="102" spans="1:87" hidden="1" x14ac:dyDescent="0.2">
      <c r="A102" s="28">
        <v>4</v>
      </c>
      <c r="B102" s="28">
        <v>4</v>
      </c>
      <c r="C102" s="11">
        <v>20</v>
      </c>
      <c r="D102" s="13" t="s">
        <v>291</v>
      </c>
      <c r="E102" s="10" t="s">
        <v>165</v>
      </c>
      <c r="F102" s="10" t="s">
        <v>209</v>
      </c>
      <c r="G102" s="10"/>
      <c r="H102" s="10"/>
      <c r="I102" s="10"/>
      <c r="J102" s="10"/>
      <c r="K102" s="575"/>
      <c r="L102" s="152"/>
      <c r="M102" s="164"/>
      <c r="N102" s="64"/>
      <c r="O102" s="62"/>
      <c r="P102" s="177"/>
      <c r="Q102" s="62"/>
      <c r="R102" s="62"/>
      <c r="S102" s="62"/>
      <c r="T102" s="62"/>
      <c r="U102" s="64"/>
      <c r="V102" s="164"/>
      <c r="W102" s="62"/>
      <c r="X102" s="62"/>
      <c r="Y102" s="62"/>
      <c r="Z102" s="64"/>
      <c r="AA102" s="164"/>
      <c r="AB102" s="62"/>
      <c r="AC102" s="62"/>
      <c r="AD102" s="64"/>
      <c r="AE102" s="164"/>
      <c r="AF102" s="62"/>
      <c r="AG102" s="62"/>
      <c r="AH102" s="337"/>
      <c r="AI102" s="337"/>
      <c r="AJ102" s="337"/>
      <c r="AK102" s="337"/>
      <c r="AL102" s="414"/>
      <c r="AM102" s="414"/>
      <c r="AN102" s="45"/>
      <c r="AO102" s="45"/>
      <c r="AP102" s="45"/>
      <c r="AQ102" s="485"/>
      <c r="AR102"/>
      <c r="AS102" s="100"/>
      <c r="AT102" s="100"/>
      <c r="AU102" s="100"/>
      <c r="AV102" s="100"/>
      <c r="AW102" s="18">
        <v>20</v>
      </c>
      <c r="AX102" s="69" t="s">
        <v>291</v>
      </c>
      <c r="AY102" s="243" t="s">
        <v>165</v>
      </c>
      <c r="AZ102" s="243" t="str">
        <f t="shared" si="28"/>
        <v>Chum</v>
      </c>
      <c r="BA102" s="243" t="s">
        <v>419</v>
      </c>
      <c r="BB102" s="246"/>
      <c r="BC102" s="43" t="str">
        <f t="shared" si="29"/>
        <v>-</v>
      </c>
      <c r="BD102" s="43">
        <f t="shared" si="30"/>
        <v>0</v>
      </c>
      <c r="BE102" s="193">
        <f t="shared" si="31"/>
        <v>0</v>
      </c>
      <c r="BF102" s="193">
        <f t="shared" si="32"/>
        <v>0</v>
      </c>
      <c r="BG102" s="193">
        <f t="shared" si="33"/>
        <v>0</v>
      </c>
      <c r="BH102" s="307" t="str">
        <f t="shared" si="34"/>
        <v>-</v>
      </c>
      <c r="BI102" s="265" t="str">
        <f t="shared" si="50"/>
        <v>-</v>
      </c>
      <c r="BJ102" s="26" t="str">
        <f t="shared" si="35"/>
        <v>TREMBLAY CREEKChum</v>
      </c>
      <c r="BK102" s="26">
        <f t="shared" si="36"/>
        <v>0</v>
      </c>
      <c r="BL102" s="33">
        <f t="shared" si="26"/>
        <v>0</v>
      </c>
      <c r="BQ102" s="47" t="str">
        <f t="shared" si="37"/>
        <v>TREMBLAY CREEKChum</v>
      </c>
      <c r="BR102" s="49">
        <f t="shared" si="38"/>
        <v>0</v>
      </c>
      <c r="BS102" s="49">
        <f t="shared" si="39"/>
        <v>0</v>
      </c>
      <c r="BT102" s="31">
        <v>0</v>
      </c>
      <c r="BU102" s="188">
        <f t="shared" si="40"/>
        <v>0</v>
      </c>
      <c r="BV102" s="188" t="str">
        <f t="shared" si="41"/>
        <v xml:space="preserve"> </v>
      </c>
      <c r="BW102" s="188" t="str">
        <f t="shared" si="42"/>
        <v xml:space="preserve"> </v>
      </c>
      <c r="BX102" s="188" t="str">
        <f t="shared" si="43"/>
        <v xml:space="preserve"> </v>
      </c>
      <c r="BY102" s="50" t="str">
        <f t="shared" si="44"/>
        <v>TREMBLAY CREEK_Chum</v>
      </c>
      <c r="BZ102" s="50" t="str">
        <f>IFERROR(VLOOKUP(BY102,'[1]WCVI Esc'!$C$5:$W$555,18,FALSE),"-")</f>
        <v>-</v>
      </c>
      <c r="CA102" s="50" t="str">
        <f t="shared" si="45"/>
        <v>-</v>
      </c>
      <c r="CB102" s="50" t="str">
        <f>IFERROR(VLOOKUP(BY102,'[1]WCVI Esc'!$C$5:$W$555,19,FALSE),"-")</f>
        <v>-</v>
      </c>
      <c r="CC102" s="50" t="str">
        <f t="shared" si="46"/>
        <v>-</v>
      </c>
      <c r="CE102" s="342" t="str">
        <f t="shared" si="47"/>
        <v>TREMBLAY CREEK_Chum</v>
      </c>
      <c r="CF102" s="341" t="str">
        <f>IFERROR(VLOOKUP(BY102,'RawPL+D'!$O$8:$AB$503,12,FALSE),"-")</f>
        <v>-</v>
      </c>
      <c r="CG102" s="338" t="str">
        <f t="shared" si="48"/>
        <v>-</v>
      </c>
      <c r="CH102" s="341" t="str">
        <f>IFERROR(VLOOKUP(BY102,'RawPL+D'!$O$8:$AB$503,13,FALSE),"-")</f>
        <v>-</v>
      </c>
      <c r="CI102" s="338" t="str">
        <f t="shared" si="49"/>
        <v>-</v>
      </c>
    </row>
    <row r="103" spans="1:87" hidden="1" x14ac:dyDescent="0.2">
      <c r="A103" s="28">
        <v>4</v>
      </c>
      <c r="B103" s="28">
        <v>5</v>
      </c>
      <c r="C103" s="11">
        <v>20</v>
      </c>
      <c r="D103" s="13" t="s">
        <v>291</v>
      </c>
      <c r="E103" s="10" t="s">
        <v>165</v>
      </c>
      <c r="F103" s="10" t="s">
        <v>210</v>
      </c>
      <c r="G103" s="10"/>
      <c r="H103" s="10"/>
      <c r="I103" s="10"/>
      <c r="J103" s="10"/>
      <c r="K103" s="575"/>
      <c r="L103" s="152"/>
      <c r="M103" s="164"/>
      <c r="N103" s="64"/>
      <c r="O103" s="62"/>
      <c r="P103" s="177"/>
      <c r="Q103" s="62"/>
      <c r="R103" s="62"/>
      <c r="S103" s="62"/>
      <c r="T103" s="62"/>
      <c r="U103" s="64"/>
      <c r="V103" s="164"/>
      <c r="W103" s="62"/>
      <c r="X103" s="62"/>
      <c r="Y103" s="62"/>
      <c r="Z103" s="64"/>
      <c r="AA103" s="164"/>
      <c r="AB103" s="62"/>
      <c r="AC103" s="62"/>
      <c r="AD103" s="64"/>
      <c r="AE103" s="164"/>
      <c r="AF103" s="62"/>
      <c r="AG103" s="62"/>
      <c r="AH103" s="337"/>
      <c r="AI103" s="337"/>
      <c r="AJ103" s="337"/>
      <c r="AK103" s="337"/>
      <c r="AL103" s="414"/>
      <c r="AM103" s="414"/>
      <c r="AN103" s="45"/>
      <c r="AO103" s="45"/>
      <c r="AP103" s="45"/>
      <c r="AQ103" s="100"/>
      <c r="AR103"/>
      <c r="AS103" s="100"/>
      <c r="AT103" s="100"/>
      <c r="AU103" s="100"/>
      <c r="AV103" s="100"/>
      <c r="AW103" s="18">
        <v>20</v>
      </c>
      <c r="AX103" s="69" t="s">
        <v>291</v>
      </c>
      <c r="AY103" s="243" t="s">
        <v>165</v>
      </c>
      <c r="AZ103" s="243" t="str">
        <f t="shared" si="28"/>
        <v>Chinook</v>
      </c>
      <c r="BA103" s="243" t="s">
        <v>419</v>
      </c>
      <c r="BB103" s="246"/>
      <c r="BC103" s="43" t="str">
        <f t="shared" si="29"/>
        <v>-</v>
      </c>
      <c r="BD103" s="43">
        <f t="shared" si="30"/>
        <v>0</v>
      </c>
      <c r="BE103" s="193">
        <f t="shared" si="31"/>
        <v>0</v>
      </c>
      <c r="BF103" s="193">
        <f t="shared" si="32"/>
        <v>0</v>
      </c>
      <c r="BG103" s="193">
        <f t="shared" si="33"/>
        <v>0</v>
      </c>
      <c r="BH103" s="307" t="str">
        <f t="shared" si="34"/>
        <v>-</v>
      </c>
      <c r="BI103" s="265" t="str">
        <f t="shared" si="50"/>
        <v>-</v>
      </c>
      <c r="BJ103" s="26" t="str">
        <f t="shared" si="35"/>
        <v>TREMBLAY CREEKChinook</v>
      </c>
      <c r="BK103" s="26">
        <f t="shared" si="36"/>
        <v>0</v>
      </c>
      <c r="BL103" s="33">
        <f t="shared" ref="BL103:BL166" si="51">MAX(K103:AB103)</f>
        <v>0</v>
      </c>
      <c r="BQ103" s="47" t="str">
        <f t="shared" si="37"/>
        <v>TREMBLAY CREEKChinook</v>
      </c>
      <c r="BR103" s="49">
        <f t="shared" si="38"/>
        <v>0</v>
      </c>
      <c r="BS103" s="49">
        <f t="shared" si="39"/>
        <v>0</v>
      </c>
      <c r="BT103" s="31">
        <v>0</v>
      </c>
      <c r="BU103" s="188">
        <f t="shared" si="40"/>
        <v>0</v>
      </c>
      <c r="BV103" s="188" t="str">
        <f t="shared" si="41"/>
        <v xml:space="preserve"> </v>
      </c>
      <c r="BW103" s="188" t="str">
        <f t="shared" si="42"/>
        <v xml:space="preserve"> </v>
      </c>
      <c r="BX103" s="188" t="str">
        <f t="shared" si="43"/>
        <v xml:space="preserve"> </v>
      </c>
      <c r="BY103" s="50" t="str">
        <f t="shared" si="44"/>
        <v>TREMBLAY CREEK_Chinook</v>
      </c>
      <c r="BZ103" s="50" t="str">
        <f>IFERROR(VLOOKUP(BY103,'[1]WCVI Esc'!$C$5:$W$555,18,FALSE),"-")</f>
        <v>-</v>
      </c>
      <c r="CA103" s="50" t="str">
        <f t="shared" si="45"/>
        <v>-</v>
      </c>
      <c r="CB103" s="50" t="str">
        <f>IFERROR(VLOOKUP(BY103,'[1]WCVI Esc'!$C$5:$W$555,19,FALSE),"-")</f>
        <v>-</v>
      </c>
      <c r="CC103" s="50" t="str">
        <f t="shared" si="46"/>
        <v>-</v>
      </c>
      <c r="CE103" s="342" t="str">
        <f t="shared" si="47"/>
        <v>TREMBLAY CREEK_Chinook</v>
      </c>
      <c r="CF103" s="341" t="str">
        <f>IFERROR(VLOOKUP(BY103,'RawPL+D'!$O$8:$AB$503,12,FALSE),"-")</f>
        <v>-</v>
      </c>
      <c r="CG103" s="338" t="str">
        <f t="shared" si="48"/>
        <v>-</v>
      </c>
      <c r="CH103" s="341" t="str">
        <f>IFERROR(VLOOKUP(BY103,'RawPL+D'!$O$8:$AB$503,13,FALSE),"-")</f>
        <v>-</v>
      </c>
      <c r="CI103" s="338" t="str">
        <f t="shared" si="49"/>
        <v>-</v>
      </c>
    </row>
    <row r="104" spans="1:87" hidden="1" x14ac:dyDescent="0.2">
      <c r="A104" s="28">
        <v>4</v>
      </c>
      <c r="B104" s="28">
        <v>6</v>
      </c>
      <c r="C104" s="11">
        <v>20</v>
      </c>
      <c r="D104" s="13" t="s">
        <v>291</v>
      </c>
      <c r="E104" s="10" t="s">
        <v>165</v>
      </c>
      <c r="F104" s="10" t="s">
        <v>211</v>
      </c>
      <c r="G104" s="10"/>
      <c r="H104" s="10"/>
      <c r="I104" s="10"/>
      <c r="J104" s="10"/>
      <c r="K104" s="575"/>
      <c r="L104" s="152"/>
      <c r="M104" s="164"/>
      <c r="N104" s="64"/>
      <c r="O104" s="62"/>
      <c r="P104" s="177"/>
      <c r="Q104" s="62"/>
      <c r="R104" s="62"/>
      <c r="S104" s="62"/>
      <c r="T104" s="62"/>
      <c r="U104" s="64"/>
      <c r="V104" s="164"/>
      <c r="W104" s="62"/>
      <c r="X104" s="62"/>
      <c r="Y104" s="62"/>
      <c r="Z104" s="64"/>
      <c r="AA104" s="164"/>
      <c r="AB104" s="62"/>
      <c r="AC104" s="62"/>
      <c r="AD104" s="64"/>
      <c r="AE104" s="164"/>
      <c r="AF104" s="62"/>
      <c r="AG104" s="62"/>
      <c r="AH104" s="337"/>
      <c r="AI104" s="337"/>
      <c r="AJ104" s="337"/>
      <c r="AK104" s="337"/>
      <c r="AL104" s="414"/>
      <c r="AM104" s="414"/>
      <c r="AN104" s="45"/>
      <c r="AO104" s="45"/>
      <c r="AP104" s="45"/>
      <c r="AQ104" s="485"/>
      <c r="AR104"/>
      <c r="AS104" s="100"/>
      <c r="AT104" s="100"/>
      <c r="AU104" s="100"/>
      <c r="AV104" s="100"/>
      <c r="AW104" s="18">
        <v>20</v>
      </c>
      <c r="AX104" s="69" t="s">
        <v>291</v>
      </c>
      <c r="AY104" s="243" t="s">
        <v>165</v>
      </c>
      <c r="AZ104" s="243" t="str">
        <f t="shared" si="28"/>
        <v>Steelhead</v>
      </c>
      <c r="BA104" s="243" t="s">
        <v>419</v>
      </c>
      <c r="BB104" s="246"/>
      <c r="BC104" s="43" t="str">
        <f t="shared" si="29"/>
        <v>-</v>
      </c>
      <c r="BD104" s="43">
        <f t="shared" si="30"/>
        <v>0</v>
      </c>
      <c r="BE104" s="193">
        <f t="shared" si="31"/>
        <v>0</v>
      </c>
      <c r="BF104" s="193">
        <f t="shared" si="32"/>
        <v>0</v>
      </c>
      <c r="BG104" s="193">
        <f t="shared" si="33"/>
        <v>0</v>
      </c>
      <c r="BH104" s="307" t="str">
        <f t="shared" si="34"/>
        <v>-</v>
      </c>
      <c r="BI104" s="265" t="str">
        <f t="shared" si="50"/>
        <v>-</v>
      </c>
      <c r="BJ104" s="26" t="str">
        <f t="shared" si="35"/>
        <v>TREMBLAY CREEKSteelhead</v>
      </c>
      <c r="BK104" s="26">
        <f t="shared" si="36"/>
        <v>0</v>
      </c>
      <c r="BL104" s="33">
        <f t="shared" si="51"/>
        <v>0</v>
      </c>
      <c r="BQ104" s="47" t="str">
        <f t="shared" si="37"/>
        <v>TREMBLAY CREEKSteelhead</v>
      </c>
      <c r="BR104" s="49">
        <f t="shared" si="38"/>
        <v>0</v>
      </c>
      <c r="BS104" s="49">
        <f t="shared" si="39"/>
        <v>0</v>
      </c>
      <c r="BT104" s="31">
        <v>0</v>
      </c>
      <c r="BU104" s="188">
        <f t="shared" si="40"/>
        <v>0</v>
      </c>
      <c r="BV104" s="188" t="str">
        <f t="shared" si="41"/>
        <v xml:space="preserve"> </v>
      </c>
      <c r="BW104" s="188" t="str">
        <f t="shared" si="42"/>
        <v xml:space="preserve"> </v>
      </c>
      <c r="BX104" s="188" t="str">
        <f t="shared" si="43"/>
        <v xml:space="preserve"> </v>
      </c>
      <c r="BY104" s="50" t="str">
        <f t="shared" si="44"/>
        <v>TREMBLAY CREEK_Steelhead</v>
      </c>
      <c r="BZ104" s="50" t="str">
        <f>IFERROR(VLOOKUP(BY104,'[1]WCVI Esc'!$C$5:$W$555,18,FALSE),"-")</f>
        <v>-</v>
      </c>
      <c r="CA104" s="50" t="str">
        <f t="shared" si="45"/>
        <v>-</v>
      </c>
      <c r="CB104" s="50" t="str">
        <f>IFERROR(VLOOKUP(BY104,'[1]WCVI Esc'!$C$5:$W$555,19,FALSE),"-")</f>
        <v>-</v>
      </c>
      <c r="CC104" s="50" t="str">
        <f t="shared" si="46"/>
        <v>-</v>
      </c>
      <c r="CE104" s="342" t="str">
        <f t="shared" si="47"/>
        <v>TREMBLAY CREEK_Steelhead</v>
      </c>
      <c r="CF104" s="341" t="str">
        <f>IFERROR(VLOOKUP(BY104,'RawPL+D'!$O$8:$AB$503,12,FALSE),"-")</f>
        <v>-</v>
      </c>
      <c r="CG104" s="338" t="str">
        <f t="shared" si="48"/>
        <v>-</v>
      </c>
      <c r="CH104" s="341" t="str">
        <f>IFERROR(VLOOKUP(BY104,'RawPL+D'!$O$8:$AB$503,13,FALSE),"-")</f>
        <v>-</v>
      </c>
      <c r="CI104" s="338" t="str">
        <f t="shared" si="49"/>
        <v>-</v>
      </c>
    </row>
    <row r="105" spans="1:87" ht="12.75" hidden="1" customHeight="1" x14ac:dyDescent="0.2">
      <c r="A105" s="28">
        <v>4</v>
      </c>
      <c r="B105" s="28">
        <v>1</v>
      </c>
      <c r="C105" s="11">
        <v>20</v>
      </c>
      <c r="D105" s="11" t="s">
        <v>303</v>
      </c>
      <c r="E105" s="10" t="s">
        <v>149</v>
      </c>
      <c r="F105" s="10" t="s">
        <v>207</v>
      </c>
      <c r="G105" s="10"/>
      <c r="H105" s="10"/>
      <c r="I105" s="10"/>
      <c r="J105" s="10"/>
      <c r="K105" s="575"/>
      <c r="L105" s="152"/>
      <c r="M105" s="164"/>
      <c r="N105" s="62"/>
      <c r="O105" s="62"/>
      <c r="P105" s="64"/>
      <c r="Q105" s="164"/>
      <c r="R105" s="62"/>
      <c r="S105" s="62"/>
      <c r="T105" s="63"/>
      <c r="U105" s="162"/>
      <c r="V105" s="164"/>
      <c r="W105" s="62"/>
      <c r="X105" s="63"/>
      <c r="Y105" s="62"/>
      <c r="Z105" s="64"/>
      <c r="AA105" s="164"/>
      <c r="AB105" s="62"/>
      <c r="AC105" s="62"/>
      <c r="AD105" s="64"/>
      <c r="AE105" s="164"/>
      <c r="AF105" s="62"/>
      <c r="AG105" s="62"/>
      <c r="AH105" s="337"/>
      <c r="AI105" s="337"/>
      <c r="AJ105" s="337"/>
      <c r="AK105" s="337"/>
      <c r="AL105" s="414"/>
      <c r="AM105" s="414"/>
      <c r="AN105" s="45"/>
      <c r="AO105" s="45"/>
      <c r="AP105" s="45"/>
      <c r="AQ105" s="485"/>
      <c r="AR105"/>
      <c r="AS105" s="100"/>
      <c r="AT105" s="100"/>
      <c r="AU105" s="100"/>
      <c r="AV105" s="100"/>
      <c r="AW105" s="18">
        <v>20</v>
      </c>
      <c r="AX105" s="18" t="s">
        <v>303</v>
      </c>
      <c r="AY105" s="243" t="s">
        <v>149</v>
      </c>
      <c r="AZ105" s="243" t="str">
        <f t="shared" si="28"/>
        <v>Sockeye</v>
      </c>
      <c r="BA105" s="243" t="s">
        <v>419</v>
      </c>
      <c r="BB105" s="246"/>
      <c r="BC105" s="43" t="str">
        <f t="shared" si="29"/>
        <v>-</v>
      </c>
      <c r="BD105" s="43">
        <f t="shared" si="30"/>
        <v>0</v>
      </c>
      <c r="BE105" s="193">
        <f t="shared" si="31"/>
        <v>0</v>
      </c>
      <c r="BF105" s="193">
        <f t="shared" si="32"/>
        <v>0</v>
      </c>
      <c r="BG105" s="193">
        <f t="shared" si="33"/>
        <v>0</v>
      </c>
      <c r="BH105" s="307" t="str">
        <f t="shared" si="34"/>
        <v>-</v>
      </c>
      <c r="BI105" s="265" t="str">
        <f t="shared" si="50"/>
        <v>-</v>
      </c>
      <c r="BJ105" s="26" t="str">
        <f t="shared" si="35"/>
        <v>AYUM CREEKSockeye</v>
      </c>
      <c r="BK105" s="26">
        <f t="shared" si="36"/>
        <v>0</v>
      </c>
      <c r="BL105" s="33">
        <f t="shared" si="51"/>
        <v>0</v>
      </c>
      <c r="BN105" s="34"/>
      <c r="BQ105" s="47" t="str">
        <f t="shared" si="37"/>
        <v>AYUM CREEKSockeye</v>
      </c>
      <c r="BR105" s="49">
        <f t="shared" si="38"/>
        <v>0</v>
      </c>
      <c r="BS105" s="49">
        <f t="shared" si="39"/>
        <v>0</v>
      </c>
      <c r="BT105" s="31">
        <v>2000</v>
      </c>
      <c r="BU105" s="188">
        <f t="shared" si="40"/>
        <v>0</v>
      </c>
      <c r="BV105" s="188" t="str">
        <f t="shared" si="41"/>
        <v xml:space="preserve"> </v>
      </c>
      <c r="BW105" s="188" t="str">
        <f t="shared" si="42"/>
        <v xml:space="preserve"> </v>
      </c>
      <c r="BX105" s="188" t="str">
        <f t="shared" si="43"/>
        <v xml:space="preserve"> </v>
      </c>
      <c r="BY105" s="50" t="str">
        <f t="shared" si="44"/>
        <v>AYUM CREEK_Sockeye</v>
      </c>
      <c r="BZ105" s="50" t="str">
        <f>IFERROR(VLOOKUP(BY105,'[1]WCVI Esc'!$C$5:$W$555,18,FALSE),"-")</f>
        <v>-</v>
      </c>
      <c r="CA105" s="50" t="str">
        <f t="shared" si="45"/>
        <v>-</v>
      </c>
      <c r="CB105" s="50" t="str">
        <f>IFERROR(VLOOKUP(BY105,'[1]WCVI Esc'!$C$5:$W$555,19,FALSE),"-")</f>
        <v>-</v>
      </c>
      <c r="CC105" s="50" t="str">
        <f t="shared" si="46"/>
        <v>-</v>
      </c>
      <c r="CE105" s="342" t="str">
        <f t="shared" si="47"/>
        <v>AYUM CREEK_Sockeye</v>
      </c>
      <c r="CF105" s="341" t="str">
        <f>IFERROR(VLOOKUP(BY105,'RawPL+D'!$O$8:$AB$503,12,FALSE),"-")</f>
        <v>-</v>
      </c>
      <c r="CG105" s="338" t="str">
        <f t="shared" si="48"/>
        <v>-</v>
      </c>
      <c r="CH105" s="341" t="str">
        <f>IFERROR(VLOOKUP(BY105,'RawPL+D'!$O$8:$AB$503,13,FALSE),"-")</f>
        <v>-</v>
      </c>
      <c r="CI105" s="338" t="str">
        <f t="shared" si="49"/>
        <v>-</v>
      </c>
    </row>
    <row r="106" spans="1:87" ht="12.75" hidden="1" customHeight="1" x14ac:dyDescent="0.2">
      <c r="A106" s="28">
        <v>4</v>
      </c>
      <c r="B106" s="28">
        <v>2</v>
      </c>
      <c r="C106" s="11">
        <v>20</v>
      </c>
      <c r="D106" s="11" t="s">
        <v>303</v>
      </c>
      <c r="E106" s="10" t="s">
        <v>149</v>
      </c>
      <c r="F106" s="10" t="s">
        <v>219</v>
      </c>
      <c r="G106" s="10"/>
      <c r="H106" s="10"/>
      <c r="I106" s="10"/>
      <c r="J106" s="10"/>
      <c r="K106" s="575"/>
      <c r="L106" s="152"/>
      <c r="M106" s="164"/>
      <c r="N106" s="62"/>
      <c r="O106" s="62"/>
      <c r="P106" s="64"/>
      <c r="Q106" s="164"/>
      <c r="R106" s="62"/>
      <c r="S106" s="62"/>
      <c r="T106" s="62"/>
      <c r="U106" s="64"/>
      <c r="V106" s="164"/>
      <c r="W106" s="62"/>
      <c r="X106" s="62"/>
      <c r="Y106" s="62"/>
      <c r="Z106" s="64"/>
      <c r="AA106" s="164"/>
      <c r="AB106" s="62"/>
      <c r="AC106" s="62"/>
      <c r="AD106" s="64"/>
      <c r="AE106" s="164"/>
      <c r="AF106" s="62"/>
      <c r="AG106" s="62"/>
      <c r="AH106" s="337"/>
      <c r="AI106" s="337"/>
      <c r="AJ106" s="337"/>
      <c r="AK106" s="337"/>
      <c r="AL106" s="414"/>
      <c r="AM106" s="414"/>
      <c r="AN106" s="45"/>
      <c r="AO106" s="45"/>
      <c r="AP106" s="45"/>
      <c r="AQ106" s="485"/>
      <c r="AR106"/>
      <c r="AS106" s="100"/>
      <c r="AT106" s="100"/>
      <c r="AU106" s="100"/>
      <c r="AV106" s="100"/>
      <c r="AW106" s="18">
        <v>20</v>
      </c>
      <c r="AX106" s="18" t="s">
        <v>303</v>
      </c>
      <c r="AY106" s="243" t="s">
        <v>149</v>
      </c>
      <c r="AZ106" s="243" t="str">
        <f t="shared" si="28"/>
        <v>Coho</v>
      </c>
      <c r="BA106" s="243" t="s">
        <v>419</v>
      </c>
      <c r="BB106" s="246"/>
      <c r="BC106" s="43" t="str">
        <f t="shared" si="29"/>
        <v>-</v>
      </c>
      <c r="BD106" s="43">
        <f t="shared" si="30"/>
        <v>0</v>
      </c>
      <c r="BE106" s="193">
        <f t="shared" si="31"/>
        <v>0</v>
      </c>
      <c r="BF106" s="193">
        <f t="shared" si="32"/>
        <v>0</v>
      </c>
      <c r="BG106" s="193">
        <f t="shared" si="33"/>
        <v>0</v>
      </c>
      <c r="BH106" s="307" t="str">
        <f t="shared" si="34"/>
        <v>-</v>
      </c>
      <c r="BI106" s="265" t="str">
        <f t="shared" si="50"/>
        <v>-</v>
      </c>
      <c r="BJ106" s="26" t="str">
        <f t="shared" si="35"/>
        <v>AYUM CREEKCoho</v>
      </c>
      <c r="BK106" s="26">
        <f t="shared" si="36"/>
        <v>0</v>
      </c>
      <c r="BL106" s="33">
        <f t="shared" si="51"/>
        <v>0</v>
      </c>
      <c r="BN106" s="34"/>
      <c r="BQ106" s="47" t="str">
        <f t="shared" si="37"/>
        <v>AYUM CREEKCoho</v>
      </c>
      <c r="BR106" s="49">
        <f t="shared" si="38"/>
        <v>0</v>
      </c>
      <c r="BS106" s="49">
        <f t="shared" si="39"/>
        <v>0</v>
      </c>
      <c r="BT106" s="31">
        <v>2000</v>
      </c>
      <c r="BU106" s="188">
        <f t="shared" si="40"/>
        <v>0</v>
      </c>
      <c r="BV106" s="188" t="str">
        <f t="shared" si="41"/>
        <v xml:space="preserve"> </v>
      </c>
      <c r="BW106" s="188" t="str">
        <f t="shared" si="42"/>
        <v xml:space="preserve"> </v>
      </c>
      <c r="BX106" s="188" t="str">
        <f t="shared" si="43"/>
        <v xml:space="preserve"> </v>
      </c>
      <c r="BY106" s="50" t="str">
        <f t="shared" si="44"/>
        <v>AYUM CREEK_Coho</v>
      </c>
      <c r="BZ106" s="50" t="str">
        <f>IFERROR(VLOOKUP(BY106,'[1]WCVI Esc'!$C$5:$W$555,18,FALSE),"-")</f>
        <v>-</v>
      </c>
      <c r="CA106" s="50" t="str">
        <f t="shared" si="45"/>
        <v>-</v>
      </c>
      <c r="CB106" s="50" t="str">
        <f>IFERROR(VLOOKUP(BY106,'[1]WCVI Esc'!$C$5:$W$555,19,FALSE),"-")</f>
        <v>-</v>
      </c>
      <c r="CC106" s="50" t="str">
        <f t="shared" si="46"/>
        <v>-</v>
      </c>
      <c r="CE106" s="342" t="str">
        <f t="shared" si="47"/>
        <v>AYUM CREEK_Coho</v>
      </c>
      <c r="CF106" s="341" t="str">
        <f>IFERROR(VLOOKUP(BY106,'RawPL+D'!$O$8:$AB$503,12,FALSE),"-")</f>
        <v>-</v>
      </c>
      <c r="CG106" s="338" t="str">
        <f t="shared" si="48"/>
        <v>-</v>
      </c>
      <c r="CH106" s="341" t="str">
        <f>IFERROR(VLOOKUP(BY106,'RawPL+D'!$O$8:$AB$503,13,FALSE),"-")</f>
        <v>-</v>
      </c>
      <c r="CI106" s="338" t="str">
        <f t="shared" si="49"/>
        <v>-</v>
      </c>
    </row>
    <row r="107" spans="1:87" ht="12.75" hidden="1" customHeight="1" x14ac:dyDescent="0.2">
      <c r="A107" s="28">
        <v>4</v>
      </c>
      <c r="B107" s="28">
        <v>3</v>
      </c>
      <c r="C107" s="11">
        <v>20</v>
      </c>
      <c r="D107" s="11" t="s">
        <v>303</v>
      </c>
      <c r="E107" s="10" t="s">
        <v>149</v>
      </c>
      <c r="F107" s="10" t="s">
        <v>208</v>
      </c>
      <c r="G107" s="10"/>
      <c r="H107" s="10"/>
      <c r="I107" s="10"/>
      <c r="J107" s="10"/>
      <c r="K107" s="575"/>
      <c r="L107" s="152"/>
      <c r="M107" s="164"/>
      <c r="N107" s="62"/>
      <c r="O107" s="62"/>
      <c r="P107" s="64"/>
      <c r="Q107" s="164"/>
      <c r="R107" s="62"/>
      <c r="S107" s="62"/>
      <c r="T107" s="62"/>
      <c r="U107" s="64"/>
      <c r="V107" s="164"/>
      <c r="W107" s="62"/>
      <c r="X107" s="62"/>
      <c r="Y107" s="62"/>
      <c r="Z107" s="64"/>
      <c r="AA107" s="164"/>
      <c r="AB107" s="62"/>
      <c r="AC107" s="62"/>
      <c r="AD107" s="64"/>
      <c r="AE107" s="164"/>
      <c r="AF107" s="62"/>
      <c r="AG107" s="62"/>
      <c r="AH107" s="337"/>
      <c r="AI107" s="337"/>
      <c r="AJ107" s="337"/>
      <c r="AK107" s="337"/>
      <c r="AL107" s="414"/>
      <c r="AM107" s="414"/>
      <c r="AN107" s="45"/>
      <c r="AO107" s="45"/>
      <c r="AP107" s="45"/>
      <c r="AQ107" s="485"/>
      <c r="AR107"/>
      <c r="AS107" s="24"/>
      <c r="AT107" s="24"/>
      <c r="AU107" s="24"/>
      <c r="AV107" s="24"/>
      <c r="AW107" s="18">
        <v>20</v>
      </c>
      <c r="AX107" s="18" t="s">
        <v>303</v>
      </c>
      <c r="AY107" s="243" t="s">
        <v>149</v>
      </c>
      <c r="AZ107" s="243" t="str">
        <f t="shared" si="28"/>
        <v>Pink</v>
      </c>
      <c r="BA107" s="243" t="s">
        <v>419</v>
      </c>
      <c r="BB107" s="246"/>
      <c r="BC107" s="43" t="str">
        <f t="shared" si="29"/>
        <v>-</v>
      </c>
      <c r="BD107" s="43">
        <f t="shared" si="30"/>
        <v>0</v>
      </c>
      <c r="BE107" s="193">
        <f t="shared" si="31"/>
        <v>0</v>
      </c>
      <c r="BF107" s="193">
        <f t="shared" si="32"/>
        <v>0</v>
      </c>
      <c r="BG107" s="193">
        <f t="shared" si="33"/>
        <v>0</v>
      </c>
      <c r="BH107" s="307" t="str">
        <f t="shared" si="34"/>
        <v>-</v>
      </c>
      <c r="BI107" s="265" t="str">
        <f t="shared" si="50"/>
        <v>-</v>
      </c>
      <c r="BJ107" s="26" t="str">
        <f t="shared" si="35"/>
        <v>AYUM CREEKPink</v>
      </c>
      <c r="BK107" s="26">
        <f t="shared" si="36"/>
        <v>0</v>
      </c>
      <c r="BL107" s="33">
        <f t="shared" si="51"/>
        <v>0</v>
      </c>
      <c r="BN107" s="34"/>
      <c r="BQ107" s="47" t="str">
        <f t="shared" si="37"/>
        <v>AYUM CREEKPink</v>
      </c>
      <c r="BR107" s="49">
        <f t="shared" si="38"/>
        <v>0</v>
      </c>
      <c r="BS107" s="49">
        <f t="shared" si="39"/>
        <v>0</v>
      </c>
      <c r="BT107" s="31">
        <v>0</v>
      </c>
      <c r="BU107" s="188">
        <f t="shared" si="40"/>
        <v>0</v>
      </c>
      <c r="BV107" s="188" t="str">
        <f t="shared" si="41"/>
        <v xml:space="preserve"> </v>
      </c>
      <c r="BW107" s="188" t="str">
        <f t="shared" si="42"/>
        <v xml:space="preserve"> </v>
      </c>
      <c r="BX107" s="188" t="str">
        <f t="shared" si="43"/>
        <v xml:space="preserve"> </v>
      </c>
      <c r="BY107" s="50" t="str">
        <f t="shared" si="44"/>
        <v>AYUM CREEK_Pink</v>
      </c>
      <c r="BZ107" s="50" t="str">
        <f>IFERROR(VLOOKUP(BY107,'[1]WCVI Esc'!$C$5:$W$555,18,FALSE),"-")</f>
        <v>-</v>
      </c>
      <c r="CA107" s="50" t="str">
        <f t="shared" si="45"/>
        <v>-</v>
      </c>
      <c r="CB107" s="50" t="str">
        <f>IFERROR(VLOOKUP(BY107,'[1]WCVI Esc'!$C$5:$W$555,19,FALSE),"-")</f>
        <v>-</v>
      </c>
      <c r="CC107" s="50" t="str">
        <f t="shared" si="46"/>
        <v>-</v>
      </c>
      <c r="CE107" s="342" t="str">
        <f t="shared" si="47"/>
        <v>AYUM CREEK_Pink</v>
      </c>
      <c r="CF107" s="341" t="str">
        <f>IFERROR(VLOOKUP(BY107,'RawPL+D'!$O$8:$AB$503,12,FALSE),"-")</f>
        <v>-</v>
      </c>
      <c r="CG107" s="338" t="str">
        <f t="shared" si="48"/>
        <v>-</v>
      </c>
      <c r="CH107" s="341" t="str">
        <f>IFERROR(VLOOKUP(BY107,'RawPL+D'!$O$8:$AB$503,13,FALSE),"-")</f>
        <v>-</v>
      </c>
      <c r="CI107" s="338" t="str">
        <f t="shared" si="49"/>
        <v>-</v>
      </c>
    </row>
    <row r="108" spans="1:87" ht="12.75" hidden="1" customHeight="1" x14ac:dyDescent="0.2">
      <c r="A108" s="28">
        <v>4</v>
      </c>
      <c r="B108" s="28">
        <v>4</v>
      </c>
      <c r="C108" s="11">
        <v>20</v>
      </c>
      <c r="D108" s="11" t="s">
        <v>303</v>
      </c>
      <c r="E108" s="10" t="s">
        <v>149</v>
      </c>
      <c r="F108" s="10" t="s">
        <v>209</v>
      </c>
      <c r="G108" s="10"/>
      <c r="H108" s="10"/>
      <c r="I108" s="10"/>
      <c r="J108" s="10"/>
      <c r="K108" s="575"/>
      <c r="L108" s="152"/>
      <c r="M108" s="164"/>
      <c r="N108" s="62"/>
      <c r="O108" s="62"/>
      <c r="P108" s="64"/>
      <c r="Q108" s="164"/>
      <c r="R108" s="62"/>
      <c r="S108" s="62"/>
      <c r="T108" s="62"/>
      <c r="U108" s="64"/>
      <c r="V108" s="164"/>
      <c r="W108" s="62"/>
      <c r="X108" s="62"/>
      <c r="Y108" s="62"/>
      <c r="Z108" s="64"/>
      <c r="AA108" s="164"/>
      <c r="AB108" s="62"/>
      <c r="AC108" s="62"/>
      <c r="AD108" s="64"/>
      <c r="AE108" s="164"/>
      <c r="AF108" s="62"/>
      <c r="AG108" s="62"/>
      <c r="AH108" s="337"/>
      <c r="AI108" s="337"/>
      <c r="AJ108" s="337"/>
      <c r="AK108" s="337"/>
      <c r="AL108" s="414"/>
      <c r="AM108" s="414"/>
      <c r="AN108" s="45"/>
      <c r="AO108" s="45"/>
      <c r="AP108" s="45"/>
      <c r="AQ108" s="485"/>
      <c r="AR108"/>
      <c r="AS108" s="24"/>
      <c r="AT108" s="24"/>
      <c r="AU108" s="24"/>
      <c r="AV108" s="24"/>
      <c r="AW108" s="18">
        <v>20</v>
      </c>
      <c r="AX108" s="18" t="s">
        <v>303</v>
      </c>
      <c r="AY108" s="243" t="s">
        <v>149</v>
      </c>
      <c r="AZ108" s="243" t="str">
        <f t="shared" si="28"/>
        <v>Chum</v>
      </c>
      <c r="BA108" s="243" t="s">
        <v>419</v>
      </c>
      <c r="BB108" s="246"/>
      <c r="BC108" s="43" t="str">
        <f t="shared" si="29"/>
        <v>-</v>
      </c>
      <c r="BD108" s="43">
        <f t="shared" si="30"/>
        <v>0</v>
      </c>
      <c r="BE108" s="193">
        <f t="shared" si="31"/>
        <v>0</v>
      </c>
      <c r="BF108" s="193">
        <f t="shared" si="32"/>
        <v>0</v>
      </c>
      <c r="BG108" s="193">
        <f t="shared" si="33"/>
        <v>0</v>
      </c>
      <c r="BH108" s="307" t="str">
        <f t="shared" si="34"/>
        <v>-</v>
      </c>
      <c r="BI108" s="265" t="str">
        <f t="shared" si="50"/>
        <v>-</v>
      </c>
      <c r="BJ108" s="26" t="str">
        <f t="shared" si="35"/>
        <v>AYUM CREEKChum</v>
      </c>
      <c r="BK108" s="26">
        <f t="shared" si="36"/>
        <v>0</v>
      </c>
      <c r="BL108" s="33">
        <f t="shared" si="51"/>
        <v>0</v>
      </c>
      <c r="BN108" s="34"/>
      <c r="BQ108" s="47" t="str">
        <f t="shared" si="37"/>
        <v>AYUM CREEKChum</v>
      </c>
      <c r="BR108" s="49">
        <f t="shared" si="38"/>
        <v>0</v>
      </c>
      <c r="BS108" s="49">
        <f t="shared" si="39"/>
        <v>0</v>
      </c>
      <c r="BT108" s="31">
        <v>2000</v>
      </c>
      <c r="BU108" s="188">
        <f t="shared" si="40"/>
        <v>0</v>
      </c>
      <c r="BV108" s="188" t="str">
        <f t="shared" si="41"/>
        <v xml:space="preserve"> </v>
      </c>
      <c r="BW108" s="188" t="str">
        <f t="shared" si="42"/>
        <v xml:space="preserve"> </v>
      </c>
      <c r="BX108" s="188" t="str">
        <f t="shared" si="43"/>
        <v xml:space="preserve"> </v>
      </c>
      <c r="BY108" s="50" t="str">
        <f t="shared" si="44"/>
        <v>AYUM CREEK_Chum</v>
      </c>
      <c r="BZ108" s="50" t="str">
        <f>IFERROR(VLOOKUP(BY108,'[1]WCVI Esc'!$C$5:$W$555,18,FALSE),"-")</f>
        <v>-</v>
      </c>
      <c r="CA108" s="50" t="str">
        <f t="shared" si="45"/>
        <v>-</v>
      </c>
      <c r="CB108" s="50" t="str">
        <f>IFERROR(VLOOKUP(BY108,'[1]WCVI Esc'!$C$5:$W$555,19,FALSE),"-")</f>
        <v>-</v>
      </c>
      <c r="CC108" s="50" t="str">
        <f t="shared" si="46"/>
        <v>-</v>
      </c>
      <c r="CE108" s="342" t="str">
        <f t="shared" si="47"/>
        <v>AYUM CREEK_Chum</v>
      </c>
      <c r="CF108" s="341" t="str">
        <f>IFERROR(VLOOKUP(BY108,'RawPL+D'!$O$8:$AB$503,12,FALSE),"-")</f>
        <v>-</v>
      </c>
      <c r="CG108" s="338" t="str">
        <f t="shared" si="48"/>
        <v>-</v>
      </c>
      <c r="CH108" s="341" t="str">
        <f>IFERROR(VLOOKUP(BY108,'RawPL+D'!$O$8:$AB$503,13,FALSE),"-")</f>
        <v>-</v>
      </c>
      <c r="CI108" s="338" t="str">
        <f t="shared" si="49"/>
        <v>-</v>
      </c>
    </row>
    <row r="109" spans="1:87" ht="12.75" hidden="1" customHeight="1" x14ac:dyDescent="0.2">
      <c r="A109" s="28">
        <v>4</v>
      </c>
      <c r="B109" s="28">
        <v>5</v>
      </c>
      <c r="C109" s="11">
        <v>20</v>
      </c>
      <c r="D109" s="11" t="s">
        <v>303</v>
      </c>
      <c r="E109" s="10" t="s">
        <v>149</v>
      </c>
      <c r="F109" s="10" t="s">
        <v>210</v>
      </c>
      <c r="G109" s="10"/>
      <c r="H109" s="10"/>
      <c r="I109" s="10"/>
      <c r="J109" s="10"/>
      <c r="K109" s="575"/>
      <c r="L109" s="152"/>
      <c r="M109" s="164"/>
      <c r="N109" s="62"/>
      <c r="O109" s="62"/>
      <c r="P109" s="337"/>
      <c r="Q109" s="164"/>
      <c r="R109" s="62"/>
      <c r="S109" s="62"/>
      <c r="T109" s="62"/>
      <c r="U109" s="64"/>
      <c r="V109" s="164"/>
      <c r="W109" s="62"/>
      <c r="X109" s="62"/>
      <c r="Y109" s="62"/>
      <c r="Z109" s="64"/>
      <c r="AA109" s="164"/>
      <c r="AB109" s="62"/>
      <c r="AC109" s="62"/>
      <c r="AD109" s="64"/>
      <c r="AE109" s="164"/>
      <c r="AF109" s="62"/>
      <c r="AG109" s="62"/>
      <c r="AH109" s="337"/>
      <c r="AI109" s="337"/>
      <c r="AJ109" s="337"/>
      <c r="AK109" s="337"/>
      <c r="AL109" s="414"/>
      <c r="AM109" s="414"/>
      <c r="AN109" s="45"/>
      <c r="AO109" s="45"/>
      <c r="AP109" s="45"/>
      <c r="AQ109" s="485"/>
      <c r="AR109"/>
      <c r="AS109" s="24"/>
      <c r="AT109" s="24"/>
      <c r="AU109" s="24"/>
      <c r="AV109" s="24"/>
      <c r="AW109" s="18">
        <v>20</v>
      </c>
      <c r="AX109" s="18" t="s">
        <v>303</v>
      </c>
      <c r="AY109" s="243" t="s">
        <v>149</v>
      </c>
      <c r="AZ109" s="243" t="str">
        <f t="shared" si="28"/>
        <v>Chinook</v>
      </c>
      <c r="BA109" s="243" t="s">
        <v>419</v>
      </c>
      <c r="BB109" s="246"/>
      <c r="BC109" s="43" t="str">
        <f t="shared" si="29"/>
        <v>-</v>
      </c>
      <c r="BD109" s="43">
        <f t="shared" si="30"/>
        <v>0</v>
      </c>
      <c r="BE109" s="193">
        <f t="shared" si="31"/>
        <v>0</v>
      </c>
      <c r="BF109" s="193">
        <f t="shared" si="32"/>
        <v>0</v>
      </c>
      <c r="BG109" s="193">
        <f t="shared" si="33"/>
        <v>0</v>
      </c>
      <c r="BH109" s="307" t="str">
        <f t="shared" si="34"/>
        <v>-</v>
      </c>
      <c r="BI109" s="265" t="str">
        <f t="shared" si="50"/>
        <v>-</v>
      </c>
      <c r="BJ109" s="26" t="str">
        <f t="shared" si="35"/>
        <v>AYUM CREEKChinook</v>
      </c>
      <c r="BK109" s="26">
        <f t="shared" si="36"/>
        <v>0</v>
      </c>
      <c r="BL109" s="33">
        <f t="shared" si="51"/>
        <v>0</v>
      </c>
      <c r="BN109" s="34"/>
      <c r="BQ109" s="47" t="str">
        <f t="shared" si="37"/>
        <v>AYUM CREEKChinook</v>
      </c>
      <c r="BR109" s="49">
        <f t="shared" si="38"/>
        <v>0</v>
      </c>
      <c r="BS109" s="49">
        <f t="shared" si="39"/>
        <v>0</v>
      </c>
      <c r="BT109" s="31">
        <v>2000</v>
      </c>
      <c r="BU109" s="188">
        <f t="shared" si="40"/>
        <v>0</v>
      </c>
      <c r="BV109" s="188" t="str">
        <f t="shared" si="41"/>
        <v xml:space="preserve"> </v>
      </c>
      <c r="BW109" s="188" t="str">
        <f t="shared" si="42"/>
        <v xml:space="preserve"> </v>
      </c>
      <c r="BX109" s="188" t="str">
        <f t="shared" si="43"/>
        <v xml:space="preserve"> </v>
      </c>
      <c r="BY109" s="50" t="str">
        <f t="shared" si="44"/>
        <v>AYUM CREEK_Chinook</v>
      </c>
      <c r="BZ109" s="50" t="str">
        <f>IFERROR(VLOOKUP(BY109,'[1]WCVI Esc'!$C$5:$W$555,18,FALSE),"-")</f>
        <v>-</v>
      </c>
      <c r="CA109" s="50" t="str">
        <f t="shared" si="45"/>
        <v>-</v>
      </c>
      <c r="CB109" s="50" t="str">
        <f>IFERROR(VLOOKUP(BY109,'[1]WCVI Esc'!$C$5:$W$555,19,FALSE),"-")</f>
        <v>-</v>
      </c>
      <c r="CC109" s="50" t="str">
        <f t="shared" si="46"/>
        <v>-</v>
      </c>
      <c r="CE109" s="342" t="str">
        <f t="shared" si="47"/>
        <v>AYUM CREEK_Chinook</v>
      </c>
      <c r="CF109" s="341" t="str">
        <f>IFERROR(VLOOKUP(BY109,'RawPL+D'!$O$8:$AB$503,12,FALSE),"-")</f>
        <v>-</v>
      </c>
      <c r="CG109" s="338" t="str">
        <f t="shared" si="48"/>
        <v>-</v>
      </c>
      <c r="CH109" s="341" t="str">
        <f>IFERROR(VLOOKUP(BY109,'RawPL+D'!$O$8:$AB$503,13,FALSE),"-")</f>
        <v>-</v>
      </c>
      <c r="CI109" s="338" t="str">
        <f t="shared" si="49"/>
        <v>-</v>
      </c>
    </row>
    <row r="110" spans="1:87" ht="12.75" hidden="1" customHeight="1" x14ac:dyDescent="0.2">
      <c r="A110" s="28">
        <v>4</v>
      </c>
      <c r="B110" s="28">
        <v>6</v>
      </c>
      <c r="C110" s="11">
        <v>20</v>
      </c>
      <c r="D110" s="11" t="s">
        <v>303</v>
      </c>
      <c r="E110" s="10" t="s">
        <v>149</v>
      </c>
      <c r="F110" s="10" t="s">
        <v>211</v>
      </c>
      <c r="G110" s="10"/>
      <c r="H110" s="10"/>
      <c r="I110" s="10"/>
      <c r="J110" s="10"/>
      <c r="K110" s="575"/>
      <c r="L110" s="152"/>
      <c r="M110" s="164"/>
      <c r="N110" s="62"/>
      <c r="O110" s="62"/>
      <c r="P110" s="64"/>
      <c r="Q110" s="164"/>
      <c r="R110" s="62"/>
      <c r="S110" s="62"/>
      <c r="T110" s="62"/>
      <c r="U110" s="64"/>
      <c r="V110" s="164"/>
      <c r="W110" s="62"/>
      <c r="X110" s="62"/>
      <c r="Y110" s="62"/>
      <c r="Z110" s="64"/>
      <c r="AA110" s="164"/>
      <c r="AB110" s="62"/>
      <c r="AC110" s="62"/>
      <c r="AD110" s="64"/>
      <c r="AE110" s="164"/>
      <c r="AF110" s="62"/>
      <c r="AG110" s="62"/>
      <c r="AH110" s="337"/>
      <c r="AI110" s="337"/>
      <c r="AJ110" s="337"/>
      <c r="AK110" s="337"/>
      <c r="AL110" s="414"/>
      <c r="AM110" s="414"/>
      <c r="AN110" s="45"/>
      <c r="AO110" s="45"/>
      <c r="AP110" s="45"/>
      <c r="AQ110" s="485"/>
      <c r="AR110"/>
      <c r="AS110" s="24"/>
      <c r="AT110" s="24"/>
      <c r="AU110" s="24"/>
      <c r="AV110" s="24"/>
      <c r="AW110" s="18">
        <v>20</v>
      </c>
      <c r="AX110" s="18" t="s">
        <v>303</v>
      </c>
      <c r="AY110" s="243" t="s">
        <v>149</v>
      </c>
      <c r="AZ110" s="243" t="str">
        <f t="shared" si="28"/>
        <v>Steelhead</v>
      </c>
      <c r="BA110" s="243" t="s">
        <v>419</v>
      </c>
      <c r="BB110" s="246"/>
      <c r="BC110" s="43" t="str">
        <f t="shared" si="29"/>
        <v>-</v>
      </c>
      <c r="BD110" s="43">
        <f t="shared" si="30"/>
        <v>0</v>
      </c>
      <c r="BE110" s="193">
        <f t="shared" si="31"/>
        <v>0</v>
      </c>
      <c r="BF110" s="193">
        <f t="shared" si="32"/>
        <v>0</v>
      </c>
      <c r="BG110" s="193">
        <f t="shared" si="33"/>
        <v>0</v>
      </c>
      <c r="BH110" s="307" t="str">
        <f t="shared" si="34"/>
        <v>-</v>
      </c>
      <c r="BI110" s="265" t="str">
        <f t="shared" si="50"/>
        <v>-</v>
      </c>
      <c r="BJ110" s="26" t="str">
        <f t="shared" si="35"/>
        <v>AYUM CREEKSteelhead</v>
      </c>
      <c r="BK110" s="26">
        <f t="shared" si="36"/>
        <v>0</v>
      </c>
      <c r="BL110" s="33">
        <f t="shared" si="51"/>
        <v>0</v>
      </c>
      <c r="BN110" s="34"/>
      <c r="BQ110" s="47" t="str">
        <f t="shared" si="37"/>
        <v>AYUM CREEKSteelhead</v>
      </c>
      <c r="BR110" s="49">
        <f t="shared" si="38"/>
        <v>0</v>
      </c>
      <c r="BS110" s="49">
        <f t="shared" si="39"/>
        <v>0</v>
      </c>
      <c r="BT110" s="31">
        <v>0</v>
      </c>
      <c r="BU110" s="188">
        <f t="shared" si="40"/>
        <v>0</v>
      </c>
      <c r="BV110" s="188" t="str">
        <f t="shared" si="41"/>
        <v xml:space="preserve"> </v>
      </c>
      <c r="BW110" s="188" t="str">
        <f t="shared" si="42"/>
        <v xml:space="preserve"> </v>
      </c>
      <c r="BX110" s="188" t="str">
        <f t="shared" si="43"/>
        <v xml:space="preserve"> </v>
      </c>
      <c r="BY110" s="50" t="str">
        <f t="shared" si="44"/>
        <v>AYUM CREEK_Steelhead</v>
      </c>
      <c r="BZ110" s="50" t="str">
        <f>IFERROR(VLOOKUP(BY110,'[1]WCVI Esc'!$C$5:$W$555,18,FALSE),"-")</f>
        <v>-</v>
      </c>
      <c r="CA110" s="50" t="str">
        <f t="shared" si="45"/>
        <v>-</v>
      </c>
      <c r="CB110" s="50" t="str">
        <f>IFERROR(VLOOKUP(BY110,'[1]WCVI Esc'!$C$5:$W$555,19,FALSE),"-")</f>
        <v>-</v>
      </c>
      <c r="CC110" s="50" t="str">
        <f t="shared" si="46"/>
        <v>-</v>
      </c>
      <c r="CE110" s="342" t="str">
        <f t="shared" si="47"/>
        <v>AYUM CREEK_Steelhead</v>
      </c>
      <c r="CF110" s="341" t="str">
        <f>IFERROR(VLOOKUP(BY110,'RawPL+D'!$O$8:$AB$503,12,FALSE),"-")</f>
        <v>-</v>
      </c>
      <c r="CG110" s="338" t="str">
        <f t="shared" si="48"/>
        <v>-</v>
      </c>
      <c r="CH110" s="341" t="str">
        <f>IFERROR(VLOOKUP(BY110,'RawPL+D'!$O$8:$AB$503,13,FALSE),"-")</f>
        <v>-</v>
      </c>
      <c r="CI110" s="338" t="str">
        <f t="shared" si="49"/>
        <v>-</v>
      </c>
    </row>
    <row r="111" spans="1:87" hidden="1" x14ac:dyDescent="0.2">
      <c r="A111" s="28">
        <v>4</v>
      </c>
      <c r="B111" s="28">
        <v>1</v>
      </c>
      <c r="C111" s="11">
        <v>20</v>
      </c>
      <c r="D111" s="11" t="s">
        <v>303</v>
      </c>
      <c r="E111" s="10" t="s">
        <v>150</v>
      </c>
      <c r="F111" s="10" t="s">
        <v>207</v>
      </c>
      <c r="G111" s="10"/>
      <c r="H111" s="10"/>
      <c r="I111" s="10"/>
      <c r="J111" s="10"/>
      <c r="K111" s="575"/>
      <c r="L111" s="152"/>
      <c r="M111" s="164"/>
      <c r="N111" s="62"/>
      <c r="O111" s="62"/>
      <c r="P111" s="62"/>
      <c r="Q111" s="164"/>
      <c r="R111" s="62"/>
      <c r="S111" s="62"/>
      <c r="T111" s="62"/>
      <c r="U111" s="64"/>
      <c r="V111" s="164"/>
      <c r="W111" s="62"/>
      <c r="X111" s="62"/>
      <c r="Y111" s="62"/>
      <c r="Z111" s="64"/>
      <c r="AA111" s="164"/>
      <c r="AB111" s="62"/>
      <c r="AC111" s="62"/>
      <c r="AD111" s="64"/>
      <c r="AE111" s="164"/>
      <c r="AF111" s="62"/>
      <c r="AG111" s="62"/>
      <c r="AH111" s="337"/>
      <c r="AI111" s="337"/>
      <c r="AJ111" s="337"/>
      <c r="AK111" s="337"/>
      <c r="AL111" s="414"/>
      <c r="AM111" s="414"/>
      <c r="AN111" s="45"/>
      <c r="AO111" s="45"/>
      <c r="AP111" s="45"/>
      <c r="AQ111" s="485"/>
      <c r="AR111"/>
      <c r="AS111" s="24"/>
      <c r="AT111" s="24"/>
      <c r="AU111" s="24"/>
      <c r="AV111" s="24"/>
      <c r="AW111" s="18">
        <v>20</v>
      </c>
      <c r="AX111" s="18" t="s">
        <v>303</v>
      </c>
      <c r="AY111" s="243" t="s">
        <v>150</v>
      </c>
      <c r="AZ111" s="243" t="str">
        <f t="shared" si="28"/>
        <v>Sockeye</v>
      </c>
      <c r="BA111" s="243" t="s">
        <v>419</v>
      </c>
      <c r="BB111" s="246"/>
      <c r="BC111" s="43" t="str">
        <f t="shared" si="29"/>
        <v>-</v>
      </c>
      <c r="BD111" s="43">
        <f t="shared" si="30"/>
        <v>0</v>
      </c>
      <c r="BE111" s="193">
        <f t="shared" si="31"/>
        <v>0</v>
      </c>
      <c r="BF111" s="193">
        <f t="shared" si="32"/>
        <v>0</v>
      </c>
      <c r="BG111" s="193">
        <f t="shared" si="33"/>
        <v>0</v>
      </c>
      <c r="BH111" s="307" t="str">
        <f t="shared" si="34"/>
        <v>-</v>
      </c>
      <c r="BI111" s="265" t="str">
        <f t="shared" si="50"/>
        <v>-</v>
      </c>
      <c r="BJ111" s="26" t="str">
        <f t="shared" si="35"/>
        <v>BAKER CREEKSockeye</v>
      </c>
      <c r="BK111" s="26">
        <f t="shared" si="36"/>
        <v>0</v>
      </c>
      <c r="BL111" s="33">
        <f t="shared" si="51"/>
        <v>0</v>
      </c>
      <c r="BQ111" s="47" t="str">
        <f t="shared" si="37"/>
        <v>BAKER CREEKSockeye</v>
      </c>
      <c r="BR111" s="49">
        <f t="shared" si="38"/>
        <v>0</v>
      </c>
      <c r="BS111" s="49">
        <f t="shared" si="39"/>
        <v>0</v>
      </c>
      <c r="BT111" s="31">
        <v>2000</v>
      </c>
      <c r="BU111" s="188">
        <f t="shared" si="40"/>
        <v>0</v>
      </c>
      <c r="BV111" s="188" t="str">
        <f t="shared" si="41"/>
        <v xml:space="preserve"> </v>
      </c>
      <c r="BW111" s="188" t="str">
        <f t="shared" si="42"/>
        <v xml:space="preserve"> </v>
      </c>
      <c r="BX111" s="188" t="str">
        <f t="shared" si="43"/>
        <v xml:space="preserve"> </v>
      </c>
      <c r="BY111" s="50" t="str">
        <f t="shared" si="44"/>
        <v>BAKER CREEK_Sockeye</v>
      </c>
      <c r="BZ111" s="50" t="str">
        <f>IFERROR(VLOOKUP(BY111,'[1]WCVI Esc'!$C$5:$W$555,18,FALSE),"-")</f>
        <v>-</v>
      </c>
      <c r="CA111" s="50" t="str">
        <f t="shared" si="45"/>
        <v>-</v>
      </c>
      <c r="CB111" s="50" t="str">
        <f>IFERROR(VLOOKUP(BY111,'[1]WCVI Esc'!$C$5:$W$555,19,FALSE),"-")</f>
        <v>-</v>
      </c>
      <c r="CC111" s="50" t="str">
        <f t="shared" si="46"/>
        <v>-</v>
      </c>
      <c r="CE111" s="342" t="str">
        <f t="shared" si="47"/>
        <v>BAKER CREEK_Sockeye</v>
      </c>
      <c r="CF111" s="341" t="str">
        <f>IFERROR(VLOOKUP(BY111,'RawPL+D'!$O$8:$AB$503,12,FALSE),"-")</f>
        <v>-</v>
      </c>
      <c r="CG111" s="338" t="str">
        <f t="shared" si="48"/>
        <v>-</v>
      </c>
      <c r="CH111" s="341" t="str">
        <f>IFERROR(VLOOKUP(BY111,'RawPL+D'!$O$8:$AB$503,13,FALSE),"-")</f>
        <v>-</v>
      </c>
      <c r="CI111" s="338" t="str">
        <f t="shared" si="49"/>
        <v>-</v>
      </c>
    </row>
    <row r="112" spans="1:87" hidden="1" x14ac:dyDescent="0.2">
      <c r="A112" s="28">
        <v>4</v>
      </c>
      <c r="B112" s="28">
        <v>2</v>
      </c>
      <c r="C112" s="11">
        <v>20</v>
      </c>
      <c r="D112" s="11" t="s">
        <v>303</v>
      </c>
      <c r="E112" s="10" t="s">
        <v>150</v>
      </c>
      <c r="F112" s="10" t="s">
        <v>219</v>
      </c>
      <c r="G112" s="10"/>
      <c r="H112" s="10"/>
      <c r="I112" s="10"/>
      <c r="J112" s="10"/>
      <c r="K112" s="575"/>
      <c r="L112" s="152"/>
      <c r="M112" s="164"/>
      <c r="N112" s="62"/>
      <c r="O112" s="62"/>
      <c r="P112" s="62"/>
      <c r="Q112" s="164"/>
      <c r="R112" s="62"/>
      <c r="S112" s="62"/>
      <c r="T112" s="62"/>
      <c r="U112" s="64"/>
      <c r="V112" s="164"/>
      <c r="W112" s="62"/>
      <c r="X112" s="62"/>
      <c r="Y112" s="62"/>
      <c r="Z112" s="64"/>
      <c r="AA112" s="164"/>
      <c r="AB112" s="62"/>
      <c r="AC112" s="62"/>
      <c r="AD112" s="64"/>
      <c r="AE112" s="164"/>
      <c r="AF112" s="62"/>
      <c r="AG112" s="62"/>
      <c r="AH112" s="337"/>
      <c r="AI112" s="337"/>
      <c r="AJ112" s="337"/>
      <c r="AK112" s="337"/>
      <c r="AL112" s="414"/>
      <c r="AM112" s="414"/>
      <c r="AN112" s="45"/>
      <c r="AO112" s="45"/>
      <c r="AP112" s="45"/>
      <c r="AQ112" s="485"/>
      <c r="AR112"/>
      <c r="AS112" s="24"/>
      <c r="AT112" s="24"/>
      <c r="AU112" s="24"/>
      <c r="AV112" s="24"/>
      <c r="AW112" s="18">
        <v>20</v>
      </c>
      <c r="AX112" s="18" t="s">
        <v>303</v>
      </c>
      <c r="AY112" s="243" t="s">
        <v>150</v>
      </c>
      <c r="AZ112" s="243" t="str">
        <f t="shared" si="28"/>
        <v>Coho</v>
      </c>
      <c r="BA112" s="243" t="s">
        <v>419</v>
      </c>
      <c r="BB112" s="246"/>
      <c r="BC112" s="43" t="str">
        <f t="shared" si="29"/>
        <v>-</v>
      </c>
      <c r="BD112" s="43">
        <f t="shared" si="30"/>
        <v>0</v>
      </c>
      <c r="BE112" s="193">
        <f t="shared" si="31"/>
        <v>0</v>
      </c>
      <c r="BF112" s="193">
        <f t="shared" si="32"/>
        <v>0</v>
      </c>
      <c r="BG112" s="193">
        <f t="shared" si="33"/>
        <v>0</v>
      </c>
      <c r="BH112" s="307" t="str">
        <f t="shared" si="34"/>
        <v>-</v>
      </c>
      <c r="BI112" s="265" t="str">
        <f t="shared" si="50"/>
        <v>-</v>
      </c>
      <c r="BJ112" s="26" t="str">
        <f t="shared" si="35"/>
        <v>BAKER CREEKCoho</v>
      </c>
      <c r="BK112" s="26">
        <f t="shared" si="36"/>
        <v>0</v>
      </c>
      <c r="BL112" s="33">
        <f t="shared" si="51"/>
        <v>0</v>
      </c>
      <c r="BQ112" s="47" t="str">
        <f t="shared" si="37"/>
        <v>BAKER CREEKCoho</v>
      </c>
      <c r="BR112" s="49">
        <f t="shared" si="38"/>
        <v>0</v>
      </c>
      <c r="BS112" s="49">
        <f t="shared" si="39"/>
        <v>0</v>
      </c>
      <c r="BT112" s="31">
        <v>2000</v>
      </c>
      <c r="BU112" s="188">
        <f t="shared" si="40"/>
        <v>0</v>
      </c>
      <c r="BV112" s="188" t="str">
        <f t="shared" si="41"/>
        <v xml:space="preserve"> </v>
      </c>
      <c r="BW112" s="188" t="str">
        <f t="shared" si="42"/>
        <v xml:space="preserve"> </v>
      </c>
      <c r="BX112" s="188" t="str">
        <f t="shared" si="43"/>
        <v xml:space="preserve"> </v>
      </c>
      <c r="BY112" s="50" t="str">
        <f t="shared" si="44"/>
        <v>BAKER CREEK_Coho</v>
      </c>
      <c r="BZ112" s="50" t="str">
        <f>IFERROR(VLOOKUP(BY112,'[1]WCVI Esc'!$C$5:$W$555,18,FALSE),"-")</f>
        <v>-</v>
      </c>
      <c r="CA112" s="50" t="str">
        <f t="shared" si="45"/>
        <v>-</v>
      </c>
      <c r="CB112" s="50" t="str">
        <f>IFERROR(VLOOKUP(BY112,'[1]WCVI Esc'!$C$5:$W$555,19,FALSE),"-")</f>
        <v>-</v>
      </c>
      <c r="CC112" s="50" t="str">
        <f t="shared" si="46"/>
        <v>-</v>
      </c>
      <c r="CE112" s="342" t="str">
        <f t="shared" si="47"/>
        <v>BAKER CREEK_Coho</v>
      </c>
      <c r="CF112" s="341" t="str">
        <f>IFERROR(VLOOKUP(BY112,'RawPL+D'!$O$8:$AB$503,12,FALSE),"-")</f>
        <v>-</v>
      </c>
      <c r="CG112" s="338" t="str">
        <f t="shared" si="48"/>
        <v>-</v>
      </c>
      <c r="CH112" s="341" t="str">
        <f>IFERROR(VLOOKUP(BY112,'RawPL+D'!$O$8:$AB$503,13,FALSE),"-")</f>
        <v>-</v>
      </c>
      <c r="CI112" s="338" t="str">
        <f t="shared" si="49"/>
        <v>-</v>
      </c>
    </row>
    <row r="113" spans="1:87" hidden="1" x14ac:dyDescent="0.2">
      <c r="A113" s="28">
        <v>4</v>
      </c>
      <c r="B113" s="28">
        <v>3</v>
      </c>
      <c r="C113" s="11">
        <v>20</v>
      </c>
      <c r="D113" s="11" t="s">
        <v>303</v>
      </c>
      <c r="E113" s="10" t="s">
        <v>150</v>
      </c>
      <c r="F113" s="10" t="s">
        <v>208</v>
      </c>
      <c r="G113" s="10"/>
      <c r="H113" s="10"/>
      <c r="I113" s="10"/>
      <c r="J113" s="10"/>
      <c r="K113" s="575"/>
      <c r="L113" s="152"/>
      <c r="M113" s="164"/>
      <c r="N113" s="62"/>
      <c r="O113" s="62"/>
      <c r="P113" s="62"/>
      <c r="Q113" s="164"/>
      <c r="R113" s="62"/>
      <c r="S113" s="62"/>
      <c r="T113" s="62"/>
      <c r="U113" s="64"/>
      <c r="V113" s="164"/>
      <c r="W113" s="62"/>
      <c r="X113" s="62"/>
      <c r="Y113" s="62"/>
      <c r="Z113" s="64"/>
      <c r="AA113" s="164"/>
      <c r="AB113" s="62"/>
      <c r="AC113" s="62"/>
      <c r="AD113" s="64"/>
      <c r="AE113" s="164"/>
      <c r="AF113" s="62"/>
      <c r="AG113" s="62"/>
      <c r="AH113" s="337"/>
      <c r="AI113" s="337"/>
      <c r="AJ113" s="337"/>
      <c r="AK113" s="337"/>
      <c r="AL113" s="414"/>
      <c r="AM113" s="414"/>
      <c r="AN113" s="45"/>
      <c r="AO113" s="45"/>
      <c r="AP113" s="45"/>
      <c r="AQ113" s="485"/>
      <c r="AR113" s="100"/>
      <c r="AS113" s="24"/>
      <c r="AT113" s="24"/>
      <c r="AU113" s="24"/>
      <c r="AV113" s="24"/>
      <c r="AW113" s="18">
        <v>20</v>
      </c>
      <c r="AX113" s="18" t="s">
        <v>303</v>
      </c>
      <c r="AY113" s="243" t="s">
        <v>150</v>
      </c>
      <c r="AZ113" s="243" t="str">
        <f t="shared" si="28"/>
        <v>Pink</v>
      </c>
      <c r="BA113" s="243" t="s">
        <v>419</v>
      </c>
      <c r="BB113" s="246"/>
      <c r="BC113" s="43" t="str">
        <f t="shared" si="29"/>
        <v>-</v>
      </c>
      <c r="BD113" s="43">
        <f t="shared" si="30"/>
        <v>0</v>
      </c>
      <c r="BE113" s="193">
        <f t="shared" si="31"/>
        <v>0</v>
      </c>
      <c r="BF113" s="193">
        <f t="shared" si="32"/>
        <v>0</v>
      </c>
      <c r="BG113" s="193">
        <f t="shared" si="33"/>
        <v>0</v>
      </c>
      <c r="BH113" s="307" t="str">
        <f t="shared" si="34"/>
        <v>-</v>
      </c>
      <c r="BI113" s="265" t="str">
        <f t="shared" si="50"/>
        <v>-</v>
      </c>
      <c r="BJ113" s="26" t="str">
        <f t="shared" si="35"/>
        <v>BAKER CREEKPink</v>
      </c>
      <c r="BK113" s="26">
        <f t="shared" si="36"/>
        <v>0</v>
      </c>
      <c r="BL113" s="33">
        <f t="shared" si="51"/>
        <v>0</v>
      </c>
      <c r="BQ113" s="47" t="str">
        <f t="shared" si="37"/>
        <v>BAKER CREEKPink</v>
      </c>
      <c r="BR113" s="49">
        <f t="shared" si="38"/>
        <v>0</v>
      </c>
      <c r="BS113" s="49">
        <f t="shared" si="39"/>
        <v>0</v>
      </c>
      <c r="BT113" s="31">
        <v>0</v>
      </c>
      <c r="BU113" s="188">
        <f t="shared" si="40"/>
        <v>0</v>
      </c>
      <c r="BV113" s="188" t="str">
        <f t="shared" si="41"/>
        <v xml:space="preserve"> </v>
      </c>
      <c r="BW113" s="188" t="str">
        <f t="shared" si="42"/>
        <v xml:space="preserve"> </v>
      </c>
      <c r="BX113" s="188" t="str">
        <f t="shared" si="43"/>
        <v xml:space="preserve"> </v>
      </c>
      <c r="BY113" s="50" t="str">
        <f t="shared" si="44"/>
        <v>BAKER CREEK_Pink</v>
      </c>
      <c r="BZ113" s="50" t="str">
        <f>IFERROR(VLOOKUP(BY113,'[1]WCVI Esc'!$C$5:$W$555,18,FALSE),"-")</f>
        <v>-</v>
      </c>
      <c r="CA113" s="50" t="str">
        <f t="shared" si="45"/>
        <v>-</v>
      </c>
      <c r="CB113" s="50" t="str">
        <f>IFERROR(VLOOKUP(BY113,'[1]WCVI Esc'!$C$5:$W$555,19,FALSE),"-")</f>
        <v>-</v>
      </c>
      <c r="CC113" s="50" t="str">
        <f t="shared" si="46"/>
        <v>-</v>
      </c>
      <c r="CE113" s="342" t="str">
        <f t="shared" si="47"/>
        <v>BAKER CREEK_Pink</v>
      </c>
      <c r="CF113" s="341" t="str">
        <f>IFERROR(VLOOKUP(BY113,'RawPL+D'!$O$8:$AB$503,12,FALSE),"-")</f>
        <v>-</v>
      </c>
      <c r="CG113" s="338" t="str">
        <f t="shared" si="48"/>
        <v>-</v>
      </c>
      <c r="CH113" s="341" t="str">
        <f>IFERROR(VLOOKUP(BY113,'RawPL+D'!$O$8:$AB$503,13,FALSE),"-")</f>
        <v>-</v>
      </c>
      <c r="CI113" s="338" t="str">
        <f t="shared" si="49"/>
        <v>-</v>
      </c>
    </row>
    <row r="114" spans="1:87" hidden="1" x14ac:dyDescent="0.2">
      <c r="A114" s="28">
        <v>4</v>
      </c>
      <c r="B114" s="28">
        <v>4</v>
      </c>
      <c r="C114" s="11">
        <v>20</v>
      </c>
      <c r="D114" s="11" t="s">
        <v>303</v>
      </c>
      <c r="E114" s="10" t="s">
        <v>150</v>
      </c>
      <c r="F114" s="10" t="s">
        <v>209</v>
      </c>
      <c r="G114" s="10"/>
      <c r="H114" s="10"/>
      <c r="I114" s="10"/>
      <c r="J114" s="10"/>
      <c r="K114" s="575"/>
      <c r="L114" s="152"/>
      <c r="M114" s="164"/>
      <c r="N114" s="62"/>
      <c r="O114" s="62"/>
      <c r="P114" s="62"/>
      <c r="Q114" s="164"/>
      <c r="R114" s="62"/>
      <c r="S114" s="62"/>
      <c r="T114" s="62"/>
      <c r="U114" s="64"/>
      <c r="V114" s="164"/>
      <c r="W114" s="62"/>
      <c r="X114" s="62"/>
      <c r="Y114" s="62"/>
      <c r="Z114" s="64"/>
      <c r="AA114" s="164"/>
      <c r="AB114" s="62"/>
      <c r="AC114" s="62"/>
      <c r="AD114" s="64"/>
      <c r="AE114" s="164"/>
      <c r="AF114" s="62"/>
      <c r="AG114" s="62"/>
      <c r="AH114" s="337"/>
      <c r="AI114" s="337"/>
      <c r="AJ114" s="337"/>
      <c r="AK114" s="337"/>
      <c r="AL114" s="414"/>
      <c r="AM114" s="414"/>
      <c r="AN114" s="45"/>
      <c r="AO114" s="45"/>
      <c r="AP114" s="45"/>
      <c r="AQ114" s="485"/>
      <c r="AR114" s="100"/>
      <c r="AS114" s="24"/>
      <c r="AT114" s="24"/>
      <c r="AU114" s="24"/>
      <c r="AV114" s="24"/>
      <c r="AW114" s="18">
        <v>20</v>
      </c>
      <c r="AX114" s="18" t="s">
        <v>303</v>
      </c>
      <c r="AY114" s="243" t="s">
        <v>150</v>
      </c>
      <c r="AZ114" s="243" t="str">
        <f t="shared" si="28"/>
        <v>Chum</v>
      </c>
      <c r="BA114" s="243" t="s">
        <v>419</v>
      </c>
      <c r="BB114" s="246"/>
      <c r="BC114" s="43" t="str">
        <f t="shared" si="29"/>
        <v>-</v>
      </c>
      <c r="BD114" s="43">
        <f t="shared" si="30"/>
        <v>0</v>
      </c>
      <c r="BE114" s="193">
        <f t="shared" si="31"/>
        <v>0</v>
      </c>
      <c r="BF114" s="193">
        <f t="shared" si="32"/>
        <v>0</v>
      </c>
      <c r="BG114" s="193">
        <f t="shared" si="33"/>
        <v>0</v>
      </c>
      <c r="BH114" s="307" t="str">
        <f t="shared" si="34"/>
        <v>-</v>
      </c>
      <c r="BI114" s="265" t="str">
        <f t="shared" si="50"/>
        <v>-</v>
      </c>
      <c r="BJ114" s="26" t="str">
        <f t="shared" si="35"/>
        <v>BAKER CREEKChum</v>
      </c>
      <c r="BK114" s="26">
        <f t="shared" si="36"/>
        <v>0</v>
      </c>
      <c r="BL114" s="33">
        <f t="shared" si="51"/>
        <v>0</v>
      </c>
      <c r="BQ114" s="47" t="str">
        <f t="shared" si="37"/>
        <v>BAKER CREEKChum</v>
      </c>
      <c r="BR114" s="49">
        <f t="shared" si="38"/>
        <v>0</v>
      </c>
      <c r="BS114" s="49">
        <f t="shared" si="39"/>
        <v>0</v>
      </c>
      <c r="BT114" s="31">
        <v>2000</v>
      </c>
      <c r="BU114" s="188">
        <f t="shared" si="40"/>
        <v>0</v>
      </c>
      <c r="BV114" s="188" t="str">
        <f t="shared" si="41"/>
        <v xml:space="preserve"> </v>
      </c>
      <c r="BW114" s="188" t="str">
        <f t="shared" si="42"/>
        <v xml:space="preserve"> </v>
      </c>
      <c r="BX114" s="188" t="str">
        <f t="shared" si="43"/>
        <v xml:space="preserve"> </v>
      </c>
      <c r="BY114" s="50" t="str">
        <f t="shared" si="44"/>
        <v>BAKER CREEK_Chum</v>
      </c>
      <c r="BZ114" s="50" t="str">
        <f>IFERROR(VLOOKUP(BY114,'[1]WCVI Esc'!$C$5:$W$555,18,FALSE),"-")</f>
        <v>-</v>
      </c>
      <c r="CA114" s="50" t="str">
        <f t="shared" si="45"/>
        <v>-</v>
      </c>
      <c r="CB114" s="50" t="str">
        <f>IFERROR(VLOOKUP(BY114,'[1]WCVI Esc'!$C$5:$W$555,19,FALSE),"-")</f>
        <v>-</v>
      </c>
      <c r="CC114" s="50" t="str">
        <f t="shared" si="46"/>
        <v>-</v>
      </c>
      <c r="CE114" s="342" t="str">
        <f t="shared" si="47"/>
        <v>BAKER CREEK_Chum</v>
      </c>
      <c r="CF114" s="341" t="str">
        <f>IFERROR(VLOOKUP(BY114,'RawPL+D'!$O$8:$AB$503,12,FALSE),"-")</f>
        <v>-</v>
      </c>
      <c r="CG114" s="338" t="str">
        <f t="shared" si="48"/>
        <v>-</v>
      </c>
      <c r="CH114" s="341" t="str">
        <f>IFERROR(VLOOKUP(BY114,'RawPL+D'!$O$8:$AB$503,13,FALSE),"-")</f>
        <v>-</v>
      </c>
      <c r="CI114" s="338" t="str">
        <f t="shared" si="49"/>
        <v>-</v>
      </c>
    </row>
    <row r="115" spans="1:87" hidden="1" x14ac:dyDescent="0.2">
      <c r="A115" s="28">
        <v>4</v>
      </c>
      <c r="B115" s="28">
        <v>5</v>
      </c>
      <c r="C115" s="11">
        <v>20</v>
      </c>
      <c r="D115" s="11" t="s">
        <v>303</v>
      </c>
      <c r="E115" s="10" t="s">
        <v>150</v>
      </c>
      <c r="F115" s="10" t="s">
        <v>210</v>
      </c>
      <c r="G115" s="10"/>
      <c r="H115" s="10"/>
      <c r="I115" s="10"/>
      <c r="J115" s="10"/>
      <c r="K115" s="575"/>
      <c r="L115" s="152"/>
      <c r="M115" s="164"/>
      <c r="N115" s="62"/>
      <c r="O115" s="62"/>
      <c r="P115" s="62"/>
      <c r="Q115" s="164"/>
      <c r="R115" s="62"/>
      <c r="S115" s="62"/>
      <c r="T115" s="62"/>
      <c r="U115" s="64"/>
      <c r="V115" s="164"/>
      <c r="W115" s="62"/>
      <c r="X115" s="62"/>
      <c r="Y115" s="62"/>
      <c r="Z115" s="64"/>
      <c r="AA115" s="164"/>
      <c r="AB115" s="62"/>
      <c r="AC115" s="62"/>
      <c r="AD115" s="64"/>
      <c r="AE115" s="164"/>
      <c r="AF115" s="62"/>
      <c r="AG115" s="62"/>
      <c r="AH115" s="337"/>
      <c r="AI115" s="337"/>
      <c r="AJ115" s="337"/>
      <c r="AK115" s="337"/>
      <c r="AL115" s="414"/>
      <c r="AM115" s="414"/>
      <c r="AN115" s="45"/>
      <c r="AO115" s="45"/>
      <c r="AP115" s="45"/>
      <c r="AQ115" s="485"/>
      <c r="AR115" s="100"/>
      <c r="AS115" s="24"/>
      <c r="AT115" s="24"/>
      <c r="AU115" s="24"/>
      <c r="AV115" s="24"/>
      <c r="AW115" s="18">
        <v>20</v>
      </c>
      <c r="AX115" s="18" t="s">
        <v>303</v>
      </c>
      <c r="AY115" s="243" t="s">
        <v>150</v>
      </c>
      <c r="AZ115" s="243" t="str">
        <f t="shared" si="28"/>
        <v>Chinook</v>
      </c>
      <c r="BA115" s="243" t="s">
        <v>419</v>
      </c>
      <c r="BB115" s="246"/>
      <c r="BC115" s="43" t="str">
        <f t="shared" si="29"/>
        <v>-</v>
      </c>
      <c r="BD115" s="43">
        <f t="shared" si="30"/>
        <v>0</v>
      </c>
      <c r="BE115" s="193">
        <f t="shared" si="31"/>
        <v>0</v>
      </c>
      <c r="BF115" s="193">
        <f t="shared" si="32"/>
        <v>0</v>
      </c>
      <c r="BG115" s="193">
        <f t="shared" si="33"/>
        <v>0</v>
      </c>
      <c r="BH115" s="307" t="str">
        <f t="shared" si="34"/>
        <v>-</v>
      </c>
      <c r="BI115" s="265" t="str">
        <f t="shared" si="50"/>
        <v>-</v>
      </c>
      <c r="BJ115" s="26" t="str">
        <f t="shared" si="35"/>
        <v>BAKER CREEKChinook</v>
      </c>
      <c r="BK115" s="26">
        <f t="shared" si="36"/>
        <v>0</v>
      </c>
      <c r="BL115" s="33">
        <f t="shared" si="51"/>
        <v>0</v>
      </c>
      <c r="BQ115" s="47" t="str">
        <f t="shared" si="37"/>
        <v>BAKER CREEKChinook</v>
      </c>
      <c r="BR115" s="49">
        <f t="shared" si="38"/>
        <v>0</v>
      </c>
      <c r="BS115" s="49">
        <f t="shared" si="39"/>
        <v>0</v>
      </c>
      <c r="BT115" s="31">
        <v>2000</v>
      </c>
      <c r="BU115" s="188">
        <f t="shared" si="40"/>
        <v>0</v>
      </c>
      <c r="BV115" s="188" t="str">
        <f t="shared" si="41"/>
        <v xml:space="preserve"> </v>
      </c>
      <c r="BW115" s="188" t="str">
        <f t="shared" si="42"/>
        <v xml:space="preserve"> </v>
      </c>
      <c r="BX115" s="188" t="str">
        <f t="shared" si="43"/>
        <v xml:space="preserve"> </v>
      </c>
      <c r="BY115" s="50" t="str">
        <f t="shared" si="44"/>
        <v>BAKER CREEK_Chinook</v>
      </c>
      <c r="BZ115" s="50" t="str">
        <f>IFERROR(VLOOKUP(BY115,'[1]WCVI Esc'!$C$5:$W$555,18,FALSE),"-")</f>
        <v>-</v>
      </c>
      <c r="CA115" s="50" t="str">
        <f t="shared" si="45"/>
        <v>-</v>
      </c>
      <c r="CB115" s="50" t="str">
        <f>IFERROR(VLOOKUP(BY115,'[1]WCVI Esc'!$C$5:$W$555,19,FALSE),"-")</f>
        <v>-</v>
      </c>
      <c r="CC115" s="50" t="str">
        <f t="shared" si="46"/>
        <v>-</v>
      </c>
      <c r="CE115" s="342" t="str">
        <f t="shared" si="47"/>
        <v>BAKER CREEK_Chinook</v>
      </c>
      <c r="CF115" s="341" t="str">
        <f>IFERROR(VLOOKUP(BY115,'RawPL+D'!$O$8:$AB$503,12,FALSE),"-")</f>
        <v>-</v>
      </c>
      <c r="CG115" s="338" t="str">
        <f t="shared" si="48"/>
        <v>-</v>
      </c>
      <c r="CH115" s="341" t="str">
        <f>IFERROR(VLOOKUP(BY115,'RawPL+D'!$O$8:$AB$503,13,FALSE),"-")</f>
        <v>-</v>
      </c>
      <c r="CI115" s="338" t="str">
        <f t="shared" si="49"/>
        <v>-</v>
      </c>
    </row>
    <row r="116" spans="1:87" hidden="1" x14ac:dyDescent="0.2">
      <c r="A116" s="28">
        <v>4</v>
      </c>
      <c r="B116" s="28">
        <v>6</v>
      </c>
      <c r="C116" s="11">
        <v>20</v>
      </c>
      <c r="D116" s="11" t="s">
        <v>303</v>
      </c>
      <c r="E116" s="10" t="s">
        <v>150</v>
      </c>
      <c r="F116" s="10" t="s">
        <v>211</v>
      </c>
      <c r="G116" s="10"/>
      <c r="H116" s="10"/>
      <c r="I116" s="10"/>
      <c r="J116" s="10"/>
      <c r="K116" s="575"/>
      <c r="L116" s="152"/>
      <c r="M116" s="164"/>
      <c r="N116" s="62"/>
      <c r="O116" s="62"/>
      <c r="P116" s="64"/>
      <c r="Q116" s="164"/>
      <c r="R116" s="62"/>
      <c r="S116" s="62"/>
      <c r="T116" s="62"/>
      <c r="U116" s="64"/>
      <c r="V116" s="164"/>
      <c r="W116" s="62"/>
      <c r="X116" s="62"/>
      <c r="Y116" s="62"/>
      <c r="Z116" s="64"/>
      <c r="AA116" s="164"/>
      <c r="AB116" s="62"/>
      <c r="AC116" s="62"/>
      <c r="AD116" s="64"/>
      <c r="AE116" s="164"/>
      <c r="AF116" s="62"/>
      <c r="AG116" s="62"/>
      <c r="AH116" s="337"/>
      <c r="AI116" s="337"/>
      <c r="AJ116" s="337"/>
      <c r="AK116" s="337"/>
      <c r="AL116" s="414"/>
      <c r="AM116" s="414"/>
      <c r="AN116" s="45"/>
      <c r="AO116" s="45"/>
      <c r="AP116" s="45"/>
      <c r="AQ116" s="485"/>
      <c r="AR116" s="100"/>
      <c r="AS116" s="24"/>
      <c r="AT116" s="24"/>
      <c r="AU116" s="24"/>
      <c r="AV116" s="24"/>
      <c r="AW116" s="18">
        <v>20</v>
      </c>
      <c r="AX116" s="18" t="s">
        <v>303</v>
      </c>
      <c r="AY116" s="243" t="s">
        <v>150</v>
      </c>
      <c r="AZ116" s="243" t="str">
        <f t="shared" si="28"/>
        <v>Steelhead</v>
      </c>
      <c r="BA116" s="243" t="s">
        <v>419</v>
      </c>
      <c r="BB116" s="246"/>
      <c r="BC116" s="43" t="str">
        <f t="shared" si="29"/>
        <v>-</v>
      </c>
      <c r="BD116" s="43">
        <f t="shared" si="30"/>
        <v>0</v>
      </c>
      <c r="BE116" s="193">
        <f t="shared" si="31"/>
        <v>0</v>
      </c>
      <c r="BF116" s="193">
        <f t="shared" si="32"/>
        <v>0</v>
      </c>
      <c r="BG116" s="193">
        <f t="shared" si="33"/>
        <v>0</v>
      </c>
      <c r="BH116" s="307" t="str">
        <f t="shared" si="34"/>
        <v>-</v>
      </c>
      <c r="BI116" s="265" t="str">
        <f t="shared" si="50"/>
        <v>-</v>
      </c>
      <c r="BJ116" s="26" t="str">
        <f t="shared" si="35"/>
        <v>BAKER CREEKSteelhead</v>
      </c>
      <c r="BK116" s="26">
        <f t="shared" si="36"/>
        <v>0</v>
      </c>
      <c r="BL116" s="33">
        <f t="shared" si="51"/>
        <v>0</v>
      </c>
      <c r="BQ116" s="47" t="str">
        <f t="shared" si="37"/>
        <v>BAKER CREEKSteelhead</v>
      </c>
      <c r="BR116" s="49">
        <f t="shared" si="38"/>
        <v>0</v>
      </c>
      <c r="BS116" s="49">
        <f t="shared" si="39"/>
        <v>0</v>
      </c>
      <c r="BT116" s="31">
        <v>0</v>
      </c>
      <c r="BU116" s="188">
        <f t="shared" si="40"/>
        <v>0</v>
      </c>
      <c r="BV116" s="188" t="str">
        <f t="shared" si="41"/>
        <v xml:space="preserve"> </v>
      </c>
      <c r="BW116" s="188" t="str">
        <f t="shared" si="42"/>
        <v xml:space="preserve"> </v>
      </c>
      <c r="BX116" s="188" t="str">
        <f t="shared" si="43"/>
        <v xml:space="preserve"> </v>
      </c>
      <c r="BY116" s="50" t="str">
        <f t="shared" si="44"/>
        <v>BAKER CREEK_Steelhead</v>
      </c>
      <c r="BZ116" s="50" t="str">
        <f>IFERROR(VLOOKUP(BY116,'[1]WCVI Esc'!$C$5:$W$555,18,FALSE),"-")</f>
        <v>-</v>
      </c>
      <c r="CA116" s="50" t="str">
        <f t="shared" si="45"/>
        <v>-</v>
      </c>
      <c r="CB116" s="50" t="str">
        <f>IFERROR(VLOOKUP(BY116,'[1]WCVI Esc'!$C$5:$W$555,19,FALSE),"-")</f>
        <v>-</v>
      </c>
      <c r="CC116" s="50" t="str">
        <f t="shared" si="46"/>
        <v>-</v>
      </c>
      <c r="CE116" s="342" t="str">
        <f t="shared" si="47"/>
        <v>BAKER CREEK_Steelhead</v>
      </c>
      <c r="CF116" s="341" t="str">
        <f>IFERROR(VLOOKUP(BY116,'RawPL+D'!$O$8:$AB$503,12,FALSE),"-")</f>
        <v>-</v>
      </c>
      <c r="CG116" s="338" t="str">
        <f t="shared" si="48"/>
        <v>-</v>
      </c>
      <c r="CH116" s="341" t="str">
        <f>IFERROR(VLOOKUP(BY116,'RawPL+D'!$O$8:$AB$503,13,FALSE),"-")</f>
        <v>-</v>
      </c>
      <c r="CI116" s="338" t="str">
        <f t="shared" si="49"/>
        <v>-</v>
      </c>
    </row>
    <row r="117" spans="1:87" ht="12.75" hidden="1" customHeight="1" x14ac:dyDescent="0.2">
      <c r="A117" s="28">
        <v>4</v>
      </c>
      <c r="B117" s="28">
        <v>1</v>
      </c>
      <c r="C117" s="11">
        <v>20</v>
      </c>
      <c r="D117" s="11" t="s">
        <v>303</v>
      </c>
      <c r="E117" s="10" t="s">
        <v>151</v>
      </c>
      <c r="F117" s="10" t="s">
        <v>207</v>
      </c>
      <c r="G117" s="10"/>
      <c r="H117" s="10"/>
      <c r="I117" s="10"/>
      <c r="J117" s="10"/>
      <c r="K117" s="575"/>
      <c r="L117" s="152"/>
      <c r="M117" s="164"/>
      <c r="N117" s="62"/>
      <c r="O117" s="62"/>
      <c r="P117" s="62"/>
      <c r="Q117" s="164"/>
      <c r="R117" s="62"/>
      <c r="S117" s="62"/>
      <c r="T117" s="62"/>
      <c r="U117" s="62"/>
      <c r="V117" s="164"/>
      <c r="W117" s="62"/>
      <c r="X117" s="62"/>
      <c r="Y117" s="62"/>
      <c r="Z117" s="64"/>
      <c r="AA117" s="164"/>
      <c r="AB117" s="62"/>
      <c r="AC117" s="62"/>
      <c r="AD117" s="64"/>
      <c r="AE117" s="164"/>
      <c r="AF117" s="62"/>
      <c r="AG117" s="62"/>
      <c r="AH117" s="337"/>
      <c r="AI117" s="337"/>
      <c r="AJ117" s="337"/>
      <c r="AK117" s="337"/>
      <c r="AL117" s="414"/>
      <c r="AM117" s="414"/>
      <c r="AN117" s="45"/>
      <c r="AO117" s="45"/>
      <c r="AP117" s="45"/>
      <c r="AQ117" s="485"/>
      <c r="AR117" s="100"/>
      <c r="AS117" s="24"/>
      <c r="AT117" s="24"/>
      <c r="AU117" s="24"/>
      <c r="AV117" s="24"/>
      <c r="AW117" s="18">
        <v>20</v>
      </c>
      <c r="AX117" s="18" t="s">
        <v>303</v>
      </c>
      <c r="AY117" s="243" t="s">
        <v>151</v>
      </c>
      <c r="AZ117" s="243" t="str">
        <f t="shared" si="28"/>
        <v>Sockeye</v>
      </c>
      <c r="BA117" s="243" t="s">
        <v>419</v>
      </c>
      <c r="BB117" s="246"/>
      <c r="BC117" s="43" t="str">
        <f t="shared" si="29"/>
        <v>-</v>
      </c>
      <c r="BD117" s="43">
        <f t="shared" si="30"/>
        <v>0</v>
      </c>
      <c r="BE117" s="193">
        <f t="shared" si="31"/>
        <v>0</v>
      </c>
      <c r="BF117" s="193">
        <f t="shared" si="32"/>
        <v>0</v>
      </c>
      <c r="BG117" s="193">
        <f t="shared" si="33"/>
        <v>0</v>
      </c>
      <c r="BH117" s="307" t="str">
        <f t="shared" si="34"/>
        <v>-</v>
      </c>
      <c r="BI117" s="265" t="str">
        <f t="shared" si="50"/>
        <v>-</v>
      </c>
      <c r="BJ117" s="26" t="str">
        <f t="shared" si="35"/>
        <v>CHARTERS RIVERSockeye</v>
      </c>
      <c r="BK117" s="26">
        <f t="shared" si="36"/>
        <v>0</v>
      </c>
      <c r="BL117" s="33">
        <f t="shared" si="51"/>
        <v>0</v>
      </c>
      <c r="BQ117" s="47" t="str">
        <f t="shared" si="37"/>
        <v>CHARTERS RIVERSockeye</v>
      </c>
      <c r="BR117" s="49">
        <f t="shared" si="38"/>
        <v>0</v>
      </c>
      <c r="BS117" s="49">
        <f t="shared" si="39"/>
        <v>0</v>
      </c>
      <c r="BT117" s="31">
        <v>2000</v>
      </c>
      <c r="BU117" s="188">
        <f t="shared" si="40"/>
        <v>0</v>
      </c>
      <c r="BV117" s="188" t="str">
        <f t="shared" si="41"/>
        <v xml:space="preserve"> </v>
      </c>
      <c r="BW117" s="188" t="str">
        <f t="shared" si="42"/>
        <v xml:space="preserve"> </v>
      </c>
      <c r="BX117" s="188" t="str">
        <f t="shared" si="43"/>
        <v xml:space="preserve"> </v>
      </c>
      <c r="BY117" s="50" t="str">
        <f t="shared" si="44"/>
        <v>CHARTERS RIVER_Sockeye</v>
      </c>
      <c r="BZ117" s="50" t="str">
        <f>IFERROR(VLOOKUP(BY117,'[1]WCVI Esc'!$C$5:$W$555,18,FALSE),"-")</f>
        <v>-</v>
      </c>
      <c r="CA117" s="50" t="str">
        <f t="shared" si="45"/>
        <v>-</v>
      </c>
      <c r="CB117" s="50" t="str">
        <f>IFERROR(VLOOKUP(BY117,'[1]WCVI Esc'!$C$5:$W$555,19,FALSE),"-")</f>
        <v>-</v>
      </c>
      <c r="CC117" s="50" t="str">
        <f t="shared" si="46"/>
        <v>-</v>
      </c>
      <c r="CE117" s="342" t="str">
        <f t="shared" si="47"/>
        <v>CHARTERS RIVER_Sockeye</v>
      </c>
      <c r="CF117" s="341" t="str">
        <f>IFERROR(VLOOKUP(BY117,'RawPL+D'!$O$8:$AB$503,12,FALSE),"-")</f>
        <v>-</v>
      </c>
      <c r="CG117" s="338" t="str">
        <f t="shared" si="48"/>
        <v>-</v>
      </c>
      <c r="CH117" s="341" t="str">
        <f>IFERROR(VLOOKUP(BY117,'RawPL+D'!$O$8:$AB$503,13,FALSE),"-")</f>
        <v>-</v>
      </c>
      <c r="CI117" s="338" t="str">
        <f t="shared" si="49"/>
        <v>-</v>
      </c>
    </row>
    <row r="118" spans="1:87" ht="12.75" hidden="1" customHeight="1" x14ac:dyDescent="0.2">
      <c r="A118" s="28">
        <v>4</v>
      </c>
      <c r="B118" s="28">
        <v>2</v>
      </c>
      <c r="C118" s="11">
        <v>20</v>
      </c>
      <c r="D118" s="11" t="s">
        <v>303</v>
      </c>
      <c r="E118" s="10" t="s">
        <v>151</v>
      </c>
      <c r="F118" s="10" t="s">
        <v>219</v>
      </c>
      <c r="G118" s="10"/>
      <c r="H118" s="10"/>
      <c r="I118" s="10"/>
      <c r="J118" s="10"/>
      <c r="K118" s="575"/>
      <c r="L118" s="152"/>
      <c r="M118" s="164"/>
      <c r="N118" s="62"/>
      <c r="O118" s="62"/>
      <c r="P118" s="62"/>
      <c r="Q118" s="164"/>
      <c r="R118" s="62"/>
      <c r="S118" s="62"/>
      <c r="T118" s="62"/>
      <c r="U118" s="62"/>
      <c r="V118" s="164"/>
      <c r="W118" s="62"/>
      <c r="X118" s="62"/>
      <c r="Y118" s="62"/>
      <c r="Z118" s="64"/>
      <c r="AA118" s="164"/>
      <c r="AB118" s="62"/>
      <c r="AC118" s="62"/>
      <c r="AD118" s="64"/>
      <c r="AE118" s="164"/>
      <c r="AF118" s="62"/>
      <c r="AG118" s="62"/>
      <c r="AH118" s="337"/>
      <c r="AI118" s="337"/>
      <c r="AJ118" s="337"/>
      <c r="AK118" s="337"/>
      <c r="AL118" s="414"/>
      <c r="AM118" s="414"/>
      <c r="AN118" s="45"/>
      <c r="AO118" s="45"/>
      <c r="AP118" s="45"/>
      <c r="AQ118" s="485"/>
      <c r="AR118" s="100"/>
      <c r="AS118" s="24"/>
      <c r="AT118" s="24"/>
      <c r="AU118" s="24"/>
      <c r="AV118" s="24"/>
      <c r="AW118" s="18">
        <v>20</v>
      </c>
      <c r="AX118" s="18" t="s">
        <v>303</v>
      </c>
      <c r="AY118" s="243" t="s">
        <v>151</v>
      </c>
      <c r="AZ118" s="243" t="str">
        <f t="shared" si="28"/>
        <v>Coho</v>
      </c>
      <c r="BA118" s="243" t="s">
        <v>419</v>
      </c>
      <c r="BB118" s="246"/>
      <c r="BC118" s="43" t="str">
        <f t="shared" si="29"/>
        <v>-</v>
      </c>
      <c r="BD118" s="43">
        <f t="shared" si="30"/>
        <v>0</v>
      </c>
      <c r="BE118" s="193">
        <f t="shared" si="31"/>
        <v>0</v>
      </c>
      <c r="BF118" s="193">
        <f t="shared" si="32"/>
        <v>0</v>
      </c>
      <c r="BG118" s="193">
        <f t="shared" si="33"/>
        <v>0</v>
      </c>
      <c r="BH118" s="307" t="str">
        <f t="shared" si="34"/>
        <v>-</v>
      </c>
      <c r="BI118" s="265" t="str">
        <f t="shared" si="50"/>
        <v>-</v>
      </c>
      <c r="BJ118" s="26" t="str">
        <f t="shared" si="35"/>
        <v>CHARTERS RIVERCoho</v>
      </c>
      <c r="BK118" s="26">
        <f t="shared" si="36"/>
        <v>0</v>
      </c>
      <c r="BL118" s="33">
        <f t="shared" si="51"/>
        <v>0</v>
      </c>
      <c r="BQ118" s="47" t="str">
        <f t="shared" si="37"/>
        <v>CHARTERS RIVERCoho</v>
      </c>
      <c r="BR118" s="49">
        <f t="shared" si="38"/>
        <v>0</v>
      </c>
      <c r="BS118" s="49">
        <f t="shared" si="39"/>
        <v>0</v>
      </c>
      <c r="BT118" s="31">
        <v>2000</v>
      </c>
      <c r="BU118" s="188">
        <f t="shared" si="40"/>
        <v>0</v>
      </c>
      <c r="BV118" s="188" t="str">
        <f t="shared" si="41"/>
        <v xml:space="preserve"> </v>
      </c>
      <c r="BW118" s="188" t="str">
        <f t="shared" si="42"/>
        <v xml:space="preserve"> </v>
      </c>
      <c r="BX118" s="188" t="str">
        <f t="shared" si="43"/>
        <v xml:space="preserve"> </v>
      </c>
      <c r="BY118" s="50" t="str">
        <f t="shared" si="44"/>
        <v>CHARTERS RIVER_Coho</v>
      </c>
      <c r="BZ118" s="50" t="str">
        <f>IFERROR(VLOOKUP(BY118,'[1]WCVI Esc'!$C$5:$W$555,18,FALSE),"-")</f>
        <v>-</v>
      </c>
      <c r="CA118" s="50" t="str">
        <f t="shared" si="45"/>
        <v>-</v>
      </c>
      <c r="CB118" s="50" t="str">
        <f>IFERROR(VLOOKUP(BY118,'[1]WCVI Esc'!$C$5:$W$555,19,FALSE),"-")</f>
        <v>-</v>
      </c>
      <c r="CC118" s="50" t="str">
        <f t="shared" si="46"/>
        <v>-</v>
      </c>
      <c r="CE118" s="342" t="str">
        <f t="shared" si="47"/>
        <v>CHARTERS RIVER_Coho</v>
      </c>
      <c r="CF118" s="341" t="str">
        <f>IFERROR(VLOOKUP(BY118,'RawPL+D'!$O$8:$AB$503,12,FALSE),"-")</f>
        <v>-</v>
      </c>
      <c r="CG118" s="338" t="str">
        <f t="shared" si="48"/>
        <v>-</v>
      </c>
      <c r="CH118" s="341" t="str">
        <f>IFERROR(VLOOKUP(BY118,'RawPL+D'!$O$8:$AB$503,13,FALSE),"-")</f>
        <v>-</v>
      </c>
      <c r="CI118" s="338" t="str">
        <f t="shared" si="49"/>
        <v>-</v>
      </c>
    </row>
    <row r="119" spans="1:87" ht="12.75" hidden="1" customHeight="1" x14ac:dyDescent="0.2">
      <c r="A119" s="28">
        <v>4</v>
      </c>
      <c r="B119" s="28">
        <v>3</v>
      </c>
      <c r="C119" s="11">
        <v>20</v>
      </c>
      <c r="D119" s="11" t="s">
        <v>303</v>
      </c>
      <c r="E119" s="10" t="s">
        <v>151</v>
      </c>
      <c r="F119" s="10" t="s">
        <v>208</v>
      </c>
      <c r="G119" s="10"/>
      <c r="H119" s="10"/>
      <c r="I119" s="10"/>
      <c r="J119" s="10"/>
      <c r="K119" s="575"/>
      <c r="L119" s="152"/>
      <c r="M119" s="164"/>
      <c r="N119" s="62"/>
      <c r="O119" s="62"/>
      <c r="P119" s="62"/>
      <c r="Q119" s="164"/>
      <c r="R119" s="62"/>
      <c r="S119" s="62"/>
      <c r="T119" s="62"/>
      <c r="U119" s="62"/>
      <c r="V119" s="164"/>
      <c r="W119" s="62"/>
      <c r="X119" s="62"/>
      <c r="Y119" s="62"/>
      <c r="Z119" s="64"/>
      <c r="AA119" s="164"/>
      <c r="AB119" s="62"/>
      <c r="AC119" s="62"/>
      <c r="AD119" s="64"/>
      <c r="AE119" s="164"/>
      <c r="AF119" s="62"/>
      <c r="AG119" s="62"/>
      <c r="AH119" s="337"/>
      <c r="AI119" s="337"/>
      <c r="AJ119" s="337"/>
      <c r="AK119" s="337"/>
      <c r="AL119" s="414"/>
      <c r="AM119" s="414"/>
      <c r="AN119" s="45"/>
      <c r="AO119" s="45"/>
      <c r="AP119" s="45"/>
      <c r="AQ119" s="485"/>
      <c r="AR119" s="100"/>
      <c r="AS119" s="24"/>
      <c r="AT119" s="24"/>
      <c r="AU119" s="24"/>
      <c r="AV119" s="24"/>
      <c r="AW119" s="18">
        <v>20</v>
      </c>
      <c r="AX119" s="18" t="s">
        <v>303</v>
      </c>
      <c r="AY119" s="243" t="s">
        <v>151</v>
      </c>
      <c r="AZ119" s="243" t="str">
        <f t="shared" si="28"/>
        <v>Pink</v>
      </c>
      <c r="BA119" s="243" t="s">
        <v>419</v>
      </c>
      <c r="BB119" s="246"/>
      <c r="BC119" s="43" t="str">
        <f t="shared" si="29"/>
        <v>-</v>
      </c>
      <c r="BD119" s="43">
        <f t="shared" si="30"/>
        <v>0</v>
      </c>
      <c r="BE119" s="193">
        <f t="shared" si="31"/>
        <v>0</v>
      </c>
      <c r="BF119" s="193">
        <f t="shared" si="32"/>
        <v>0</v>
      </c>
      <c r="BG119" s="193">
        <f t="shared" si="33"/>
        <v>0</v>
      </c>
      <c r="BH119" s="307" t="str">
        <f t="shared" si="34"/>
        <v>-</v>
      </c>
      <c r="BI119" s="265" t="str">
        <f t="shared" si="50"/>
        <v>-</v>
      </c>
      <c r="BJ119" s="26" t="str">
        <f t="shared" si="35"/>
        <v>CHARTERS RIVERPink</v>
      </c>
      <c r="BK119" s="26">
        <f t="shared" si="36"/>
        <v>0</v>
      </c>
      <c r="BL119" s="33">
        <f t="shared" si="51"/>
        <v>0</v>
      </c>
      <c r="BQ119" s="47" t="str">
        <f t="shared" si="37"/>
        <v>CHARTERS RIVERPink</v>
      </c>
      <c r="BR119" s="49">
        <f t="shared" si="38"/>
        <v>0</v>
      </c>
      <c r="BS119" s="49">
        <f t="shared" si="39"/>
        <v>0</v>
      </c>
      <c r="BT119" s="31">
        <v>0</v>
      </c>
      <c r="BU119" s="188">
        <f t="shared" si="40"/>
        <v>0</v>
      </c>
      <c r="BV119" s="188" t="str">
        <f t="shared" si="41"/>
        <v xml:space="preserve"> </v>
      </c>
      <c r="BW119" s="188" t="str">
        <f t="shared" si="42"/>
        <v xml:space="preserve"> </v>
      </c>
      <c r="BX119" s="188" t="str">
        <f t="shared" si="43"/>
        <v xml:space="preserve"> </v>
      </c>
      <c r="BY119" s="50" t="str">
        <f t="shared" si="44"/>
        <v>CHARTERS RIVER_Pink</v>
      </c>
      <c r="BZ119" s="50" t="str">
        <f>IFERROR(VLOOKUP(BY119,'[1]WCVI Esc'!$C$5:$W$555,18,FALSE),"-")</f>
        <v>-</v>
      </c>
      <c r="CA119" s="50" t="str">
        <f t="shared" si="45"/>
        <v>-</v>
      </c>
      <c r="CB119" s="50" t="str">
        <f>IFERROR(VLOOKUP(BY119,'[1]WCVI Esc'!$C$5:$W$555,19,FALSE),"-")</f>
        <v>-</v>
      </c>
      <c r="CC119" s="50" t="str">
        <f t="shared" si="46"/>
        <v>-</v>
      </c>
      <c r="CE119" s="342" t="str">
        <f t="shared" si="47"/>
        <v>CHARTERS RIVER_Pink</v>
      </c>
      <c r="CF119" s="341" t="str">
        <f>IFERROR(VLOOKUP(BY119,'RawPL+D'!$O$8:$AB$503,12,FALSE),"-")</f>
        <v>-</v>
      </c>
      <c r="CG119" s="338" t="str">
        <f t="shared" si="48"/>
        <v>-</v>
      </c>
      <c r="CH119" s="341" t="str">
        <f>IFERROR(VLOOKUP(BY119,'RawPL+D'!$O$8:$AB$503,13,FALSE),"-")</f>
        <v>-</v>
      </c>
      <c r="CI119" s="338" t="str">
        <f t="shared" si="49"/>
        <v>-</v>
      </c>
    </row>
    <row r="120" spans="1:87" ht="12.75" hidden="1" customHeight="1" x14ac:dyDescent="0.2">
      <c r="A120" s="28">
        <v>4</v>
      </c>
      <c r="B120" s="28">
        <v>4</v>
      </c>
      <c r="C120" s="11">
        <v>20</v>
      </c>
      <c r="D120" s="11" t="s">
        <v>303</v>
      </c>
      <c r="E120" s="10" t="s">
        <v>151</v>
      </c>
      <c r="F120" s="10" t="s">
        <v>209</v>
      </c>
      <c r="G120" s="10"/>
      <c r="H120" s="10"/>
      <c r="I120" s="10"/>
      <c r="J120" s="10"/>
      <c r="K120" s="575"/>
      <c r="L120" s="152"/>
      <c r="M120" s="164"/>
      <c r="N120" s="62"/>
      <c r="O120" s="62"/>
      <c r="P120" s="62"/>
      <c r="Q120" s="164"/>
      <c r="R120" s="62"/>
      <c r="S120" s="62"/>
      <c r="T120" s="62"/>
      <c r="U120" s="62"/>
      <c r="V120" s="164"/>
      <c r="W120" s="62"/>
      <c r="X120" s="62"/>
      <c r="Y120" s="62"/>
      <c r="Z120" s="64"/>
      <c r="AA120" s="164"/>
      <c r="AB120" s="62"/>
      <c r="AC120" s="62"/>
      <c r="AD120" s="64"/>
      <c r="AE120" s="164"/>
      <c r="AF120" s="62"/>
      <c r="AG120" s="62"/>
      <c r="AH120" s="337"/>
      <c r="AI120" s="337"/>
      <c r="AJ120" s="337"/>
      <c r="AK120" s="337"/>
      <c r="AL120" s="414"/>
      <c r="AM120" s="414"/>
      <c r="AN120" s="45"/>
      <c r="AO120" s="45"/>
      <c r="AP120" s="45"/>
      <c r="AQ120" s="485"/>
      <c r="AR120" s="100"/>
      <c r="AS120" s="24"/>
      <c r="AT120" s="24"/>
      <c r="AU120" s="24"/>
      <c r="AV120" s="24"/>
      <c r="AW120" s="18">
        <v>20</v>
      </c>
      <c r="AX120" s="18" t="s">
        <v>303</v>
      </c>
      <c r="AY120" s="243" t="s">
        <v>151</v>
      </c>
      <c r="AZ120" s="243" t="str">
        <f t="shared" si="28"/>
        <v>Chum</v>
      </c>
      <c r="BA120" s="243" t="s">
        <v>419</v>
      </c>
      <c r="BB120" s="246"/>
      <c r="BC120" s="43" t="str">
        <f t="shared" si="29"/>
        <v>-</v>
      </c>
      <c r="BD120" s="43">
        <f t="shared" si="30"/>
        <v>0</v>
      </c>
      <c r="BE120" s="193">
        <f t="shared" si="31"/>
        <v>0</v>
      </c>
      <c r="BF120" s="193">
        <f t="shared" si="32"/>
        <v>0</v>
      </c>
      <c r="BG120" s="193">
        <f t="shared" si="33"/>
        <v>0</v>
      </c>
      <c r="BH120" s="307" t="str">
        <f t="shared" si="34"/>
        <v>-</v>
      </c>
      <c r="BI120" s="265" t="str">
        <f t="shared" si="50"/>
        <v>-</v>
      </c>
      <c r="BJ120" s="26" t="str">
        <f t="shared" si="35"/>
        <v>CHARTERS RIVERChum</v>
      </c>
      <c r="BK120" s="26">
        <f t="shared" si="36"/>
        <v>0</v>
      </c>
      <c r="BL120" s="33">
        <f t="shared" si="51"/>
        <v>0</v>
      </c>
      <c r="BQ120" s="47" t="str">
        <f t="shared" si="37"/>
        <v>CHARTERS RIVERChum</v>
      </c>
      <c r="BR120" s="49">
        <f t="shared" si="38"/>
        <v>0</v>
      </c>
      <c r="BS120" s="49">
        <f t="shared" si="39"/>
        <v>0</v>
      </c>
      <c r="BT120" s="31">
        <v>2000</v>
      </c>
      <c r="BU120" s="188">
        <f t="shared" si="40"/>
        <v>0</v>
      </c>
      <c r="BV120" s="188" t="str">
        <f t="shared" si="41"/>
        <v xml:space="preserve"> </v>
      </c>
      <c r="BW120" s="188" t="str">
        <f t="shared" si="42"/>
        <v xml:space="preserve"> </v>
      </c>
      <c r="BX120" s="188" t="str">
        <f t="shared" si="43"/>
        <v xml:space="preserve"> </v>
      </c>
      <c r="BY120" s="50" t="str">
        <f t="shared" si="44"/>
        <v>CHARTERS RIVER_Chum</v>
      </c>
      <c r="BZ120" s="50" t="str">
        <f>IFERROR(VLOOKUP(BY120,'[1]WCVI Esc'!$C$5:$W$555,18,FALSE),"-")</f>
        <v>-</v>
      </c>
      <c r="CA120" s="50" t="str">
        <f t="shared" si="45"/>
        <v>-</v>
      </c>
      <c r="CB120" s="50" t="str">
        <f>IFERROR(VLOOKUP(BY120,'[1]WCVI Esc'!$C$5:$W$555,19,FALSE),"-")</f>
        <v>-</v>
      </c>
      <c r="CC120" s="50" t="str">
        <f t="shared" si="46"/>
        <v>-</v>
      </c>
      <c r="CE120" s="342" t="str">
        <f t="shared" si="47"/>
        <v>CHARTERS RIVER_Chum</v>
      </c>
      <c r="CF120" s="341" t="str">
        <f>IFERROR(VLOOKUP(BY120,'RawPL+D'!$O$8:$AB$503,12,FALSE),"-")</f>
        <v>-</v>
      </c>
      <c r="CG120" s="338" t="str">
        <f t="shared" si="48"/>
        <v>-</v>
      </c>
      <c r="CH120" s="341" t="str">
        <f>IFERROR(VLOOKUP(BY120,'RawPL+D'!$O$8:$AB$503,13,FALSE),"-")</f>
        <v>-</v>
      </c>
      <c r="CI120" s="338" t="str">
        <f t="shared" si="49"/>
        <v>-</v>
      </c>
    </row>
    <row r="121" spans="1:87" ht="12.75" hidden="1" customHeight="1" x14ac:dyDescent="0.2">
      <c r="A121" s="28">
        <v>4</v>
      </c>
      <c r="B121" s="28">
        <v>5</v>
      </c>
      <c r="C121" s="11">
        <v>20</v>
      </c>
      <c r="D121" s="11" t="s">
        <v>303</v>
      </c>
      <c r="E121" s="10" t="s">
        <v>151</v>
      </c>
      <c r="F121" s="10" t="s">
        <v>210</v>
      </c>
      <c r="G121" s="10"/>
      <c r="H121" s="10"/>
      <c r="I121" s="10"/>
      <c r="J121" s="10"/>
      <c r="K121" s="575"/>
      <c r="L121" s="152"/>
      <c r="M121" s="164"/>
      <c r="N121" s="62"/>
      <c r="O121" s="62"/>
      <c r="P121" s="62"/>
      <c r="Q121" s="164"/>
      <c r="R121" s="62"/>
      <c r="S121" s="62"/>
      <c r="T121" s="62"/>
      <c r="U121" s="62"/>
      <c r="V121" s="164"/>
      <c r="W121" s="62"/>
      <c r="X121" s="62"/>
      <c r="Y121" s="62"/>
      <c r="Z121" s="64"/>
      <c r="AA121" s="164"/>
      <c r="AB121" s="62"/>
      <c r="AC121" s="62"/>
      <c r="AD121" s="64"/>
      <c r="AE121" s="164"/>
      <c r="AF121" s="62"/>
      <c r="AG121" s="62"/>
      <c r="AH121" s="337"/>
      <c r="AI121" s="337"/>
      <c r="AJ121" s="337"/>
      <c r="AK121" s="337"/>
      <c r="AL121" s="414"/>
      <c r="AM121" s="414"/>
      <c r="AN121" s="45"/>
      <c r="AO121" s="45"/>
      <c r="AP121" s="45"/>
      <c r="AQ121" s="485"/>
      <c r="AR121" s="100"/>
      <c r="AS121" s="24"/>
      <c r="AT121" s="24"/>
      <c r="AU121" s="24"/>
      <c r="AV121" s="24"/>
      <c r="AW121" s="18">
        <v>20</v>
      </c>
      <c r="AX121" s="18" t="s">
        <v>303</v>
      </c>
      <c r="AY121" s="243" t="s">
        <v>151</v>
      </c>
      <c r="AZ121" s="243" t="str">
        <f t="shared" si="28"/>
        <v>Chinook</v>
      </c>
      <c r="BA121" s="243" t="s">
        <v>419</v>
      </c>
      <c r="BB121" s="246"/>
      <c r="BC121" s="43" t="str">
        <f t="shared" si="29"/>
        <v>-</v>
      </c>
      <c r="BD121" s="43">
        <f t="shared" si="30"/>
        <v>0</v>
      </c>
      <c r="BE121" s="193">
        <f t="shared" si="31"/>
        <v>0</v>
      </c>
      <c r="BF121" s="193">
        <f t="shared" si="32"/>
        <v>0</v>
      </c>
      <c r="BG121" s="193">
        <f t="shared" si="33"/>
        <v>0</v>
      </c>
      <c r="BH121" s="307" t="str">
        <f t="shared" si="34"/>
        <v>-</v>
      </c>
      <c r="BI121" s="265" t="str">
        <f t="shared" si="50"/>
        <v>-</v>
      </c>
      <c r="BJ121" s="26" t="str">
        <f t="shared" si="35"/>
        <v>CHARTERS RIVERChinook</v>
      </c>
      <c r="BK121" s="26">
        <f t="shared" si="36"/>
        <v>0</v>
      </c>
      <c r="BL121" s="33">
        <f t="shared" si="51"/>
        <v>0</v>
      </c>
      <c r="BQ121" s="47" t="str">
        <f t="shared" si="37"/>
        <v>CHARTERS RIVERChinook</v>
      </c>
      <c r="BR121" s="49">
        <f t="shared" si="38"/>
        <v>0</v>
      </c>
      <c r="BS121" s="49">
        <f t="shared" si="39"/>
        <v>0</v>
      </c>
      <c r="BT121" s="31">
        <v>2000</v>
      </c>
      <c r="BU121" s="188">
        <f t="shared" si="40"/>
        <v>0</v>
      </c>
      <c r="BV121" s="188" t="str">
        <f t="shared" si="41"/>
        <v xml:space="preserve"> </v>
      </c>
      <c r="BW121" s="188" t="str">
        <f t="shared" si="42"/>
        <v xml:space="preserve"> </v>
      </c>
      <c r="BX121" s="188" t="str">
        <f t="shared" si="43"/>
        <v xml:space="preserve"> </v>
      </c>
      <c r="BY121" s="50" t="str">
        <f t="shared" si="44"/>
        <v>CHARTERS RIVER_Chinook</v>
      </c>
      <c r="BZ121" s="50" t="str">
        <f>IFERROR(VLOOKUP(BY121,'[1]WCVI Esc'!$C$5:$W$555,18,FALSE),"-")</f>
        <v>-</v>
      </c>
      <c r="CA121" s="50" t="str">
        <f t="shared" si="45"/>
        <v>-</v>
      </c>
      <c r="CB121" s="50" t="str">
        <f>IFERROR(VLOOKUP(BY121,'[1]WCVI Esc'!$C$5:$W$555,19,FALSE),"-")</f>
        <v>-</v>
      </c>
      <c r="CC121" s="50" t="str">
        <f t="shared" si="46"/>
        <v>-</v>
      </c>
      <c r="CE121" s="342" t="str">
        <f t="shared" si="47"/>
        <v>CHARTERS RIVER_Chinook</v>
      </c>
      <c r="CF121" s="341" t="str">
        <f>IFERROR(VLOOKUP(BY121,'RawPL+D'!$O$8:$AB$503,12,FALSE),"-")</f>
        <v>-</v>
      </c>
      <c r="CG121" s="338" t="str">
        <f t="shared" si="48"/>
        <v>-</v>
      </c>
      <c r="CH121" s="341" t="str">
        <f>IFERROR(VLOOKUP(BY121,'RawPL+D'!$O$8:$AB$503,13,FALSE),"-")</f>
        <v>-</v>
      </c>
      <c r="CI121" s="338" t="str">
        <f t="shared" si="49"/>
        <v>-</v>
      </c>
    </row>
    <row r="122" spans="1:87" ht="12.75" hidden="1" customHeight="1" x14ac:dyDescent="0.2">
      <c r="A122" s="28">
        <v>4</v>
      </c>
      <c r="B122" s="28">
        <v>6</v>
      </c>
      <c r="C122" s="11">
        <v>20</v>
      </c>
      <c r="D122" s="11" t="s">
        <v>303</v>
      </c>
      <c r="E122" s="10" t="s">
        <v>151</v>
      </c>
      <c r="F122" s="10" t="s">
        <v>211</v>
      </c>
      <c r="G122" s="10"/>
      <c r="H122" s="10"/>
      <c r="I122" s="10"/>
      <c r="J122" s="10"/>
      <c r="K122" s="575"/>
      <c r="L122" s="152"/>
      <c r="M122" s="164"/>
      <c r="N122" s="62"/>
      <c r="O122" s="62"/>
      <c r="P122" s="62"/>
      <c r="Q122" s="164"/>
      <c r="R122" s="62"/>
      <c r="S122" s="62"/>
      <c r="T122" s="62"/>
      <c r="U122" s="62"/>
      <c r="V122" s="164"/>
      <c r="W122" s="62"/>
      <c r="X122" s="62"/>
      <c r="Y122" s="62"/>
      <c r="Z122" s="64"/>
      <c r="AA122" s="164"/>
      <c r="AB122" s="62"/>
      <c r="AC122" s="62"/>
      <c r="AD122" s="64"/>
      <c r="AE122" s="164"/>
      <c r="AF122" s="62"/>
      <c r="AG122" s="62"/>
      <c r="AH122" s="337"/>
      <c r="AI122" s="337"/>
      <c r="AJ122" s="337"/>
      <c r="AK122" s="337"/>
      <c r="AL122" s="414"/>
      <c r="AM122" s="414"/>
      <c r="AN122" s="45"/>
      <c r="AO122" s="45"/>
      <c r="AP122" s="45"/>
      <c r="AQ122" s="485"/>
      <c r="AR122" s="100"/>
      <c r="AS122" s="24"/>
      <c r="AT122" s="24"/>
      <c r="AU122" s="24"/>
      <c r="AV122" s="24"/>
      <c r="AW122" s="18">
        <v>20</v>
      </c>
      <c r="AX122" s="18" t="s">
        <v>303</v>
      </c>
      <c r="AY122" s="243" t="s">
        <v>151</v>
      </c>
      <c r="AZ122" s="243" t="str">
        <f t="shared" si="28"/>
        <v>Steelhead</v>
      </c>
      <c r="BA122" s="243" t="s">
        <v>419</v>
      </c>
      <c r="BB122" s="246"/>
      <c r="BC122" s="43" t="str">
        <f t="shared" si="29"/>
        <v>-</v>
      </c>
      <c r="BD122" s="43">
        <f t="shared" si="30"/>
        <v>0</v>
      </c>
      <c r="BE122" s="193">
        <f t="shared" si="31"/>
        <v>0</v>
      </c>
      <c r="BF122" s="193">
        <f t="shared" si="32"/>
        <v>0</v>
      </c>
      <c r="BG122" s="193">
        <f t="shared" si="33"/>
        <v>0</v>
      </c>
      <c r="BH122" s="307" t="str">
        <f t="shared" si="34"/>
        <v>-</v>
      </c>
      <c r="BI122" s="265" t="str">
        <f t="shared" si="50"/>
        <v>-</v>
      </c>
      <c r="BJ122" s="26" t="str">
        <f t="shared" si="35"/>
        <v>CHARTERS RIVERSteelhead</v>
      </c>
      <c r="BK122" s="26">
        <f t="shared" si="36"/>
        <v>0</v>
      </c>
      <c r="BL122" s="33">
        <f t="shared" si="51"/>
        <v>0</v>
      </c>
      <c r="BQ122" s="47" t="str">
        <f t="shared" si="37"/>
        <v>CHARTERS RIVERSteelhead</v>
      </c>
      <c r="BR122" s="49">
        <f t="shared" si="38"/>
        <v>0</v>
      </c>
      <c r="BS122" s="49">
        <f t="shared" si="39"/>
        <v>0</v>
      </c>
      <c r="BT122" s="31">
        <v>0</v>
      </c>
      <c r="BU122" s="188">
        <f t="shared" si="40"/>
        <v>0</v>
      </c>
      <c r="BV122" s="188" t="str">
        <f t="shared" si="41"/>
        <v xml:space="preserve"> </v>
      </c>
      <c r="BW122" s="188" t="str">
        <f t="shared" si="42"/>
        <v xml:space="preserve"> </v>
      </c>
      <c r="BX122" s="188" t="str">
        <f t="shared" si="43"/>
        <v xml:space="preserve"> </v>
      </c>
      <c r="BY122" s="50" t="str">
        <f t="shared" si="44"/>
        <v>CHARTERS RIVER_Steelhead</v>
      </c>
      <c r="BZ122" s="50" t="str">
        <f>IFERROR(VLOOKUP(BY122,'[1]WCVI Esc'!$C$5:$W$555,18,FALSE),"-")</f>
        <v>-</v>
      </c>
      <c r="CA122" s="50" t="str">
        <f t="shared" si="45"/>
        <v>-</v>
      </c>
      <c r="CB122" s="50" t="str">
        <f>IFERROR(VLOOKUP(BY122,'[1]WCVI Esc'!$C$5:$W$555,19,FALSE),"-")</f>
        <v>-</v>
      </c>
      <c r="CC122" s="50" t="str">
        <f t="shared" si="46"/>
        <v>-</v>
      </c>
      <c r="CE122" s="342" t="str">
        <f t="shared" si="47"/>
        <v>CHARTERS RIVER_Steelhead</v>
      </c>
      <c r="CF122" s="341" t="str">
        <f>IFERROR(VLOOKUP(BY122,'RawPL+D'!$O$8:$AB$503,12,FALSE),"-")</f>
        <v>-</v>
      </c>
      <c r="CG122" s="338" t="str">
        <f t="shared" si="48"/>
        <v>-</v>
      </c>
      <c r="CH122" s="341" t="str">
        <f>IFERROR(VLOOKUP(BY122,'RawPL+D'!$O$8:$AB$503,13,FALSE),"-")</f>
        <v>-</v>
      </c>
      <c r="CI122" s="338" t="str">
        <f t="shared" si="49"/>
        <v>-</v>
      </c>
    </row>
    <row r="123" spans="1:87" ht="12.75" hidden="1" customHeight="1" x14ac:dyDescent="0.2">
      <c r="A123" s="28">
        <v>4</v>
      </c>
      <c r="B123" s="28">
        <v>1</v>
      </c>
      <c r="C123" s="11">
        <v>20</v>
      </c>
      <c r="D123" s="11" t="s">
        <v>303</v>
      </c>
      <c r="E123" s="10" t="s">
        <v>71</v>
      </c>
      <c r="F123" s="10" t="s">
        <v>207</v>
      </c>
      <c r="G123" s="10"/>
      <c r="H123" s="10"/>
      <c r="I123" s="10"/>
      <c r="J123" s="10"/>
      <c r="K123" s="575"/>
      <c r="L123" s="152"/>
      <c r="M123" s="164"/>
      <c r="N123" s="62"/>
      <c r="O123" s="62"/>
      <c r="P123" s="62"/>
      <c r="Q123" s="164"/>
      <c r="R123" s="62"/>
      <c r="S123" s="62"/>
      <c r="T123" s="62"/>
      <c r="U123" s="64"/>
      <c r="V123" s="164"/>
      <c r="W123" s="62"/>
      <c r="X123" s="164"/>
      <c r="Y123" s="62"/>
      <c r="Z123" s="64"/>
      <c r="AA123" s="164"/>
      <c r="AB123" s="62"/>
      <c r="AC123" s="62"/>
      <c r="AD123" s="64"/>
      <c r="AE123" s="164"/>
      <c r="AF123" s="62"/>
      <c r="AG123" s="62"/>
      <c r="AH123" s="337"/>
      <c r="AI123" s="337"/>
      <c r="AJ123" s="337"/>
      <c r="AK123" s="337"/>
      <c r="AL123" s="414"/>
      <c r="AM123" s="414"/>
      <c r="AN123" s="45"/>
      <c r="AO123" s="45"/>
      <c r="AP123" s="45"/>
      <c r="AQ123" s="485"/>
      <c r="AR123" s="100"/>
      <c r="AS123" s="24"/>
      <c r="AT123" s="24"/>
      <c r="AU123" s="24"/>
      <c r="AV123" s="24"/>
      <c r="AW123" s="18">
        <v>20</v>
      </c>
      <c r="AX123" s="18" t="s">
        <v>303</v>
      </c>
      <c r="AY123" s="243" t="s">
        <v>71</v>
      </c>
      <c r="AZ123" s="243" t="str">
        <f t="shared" si="28"/>
        <v>Sockeye</v>
      </c>
      <c r="BA123" s="243" t="s">
        <v>419</v>
      </c>
      <c r="BB123" s="246"/>
      <c r="BC123" s="43" t="str">
        <f t="shared" si="29"/>
        <v>-</v>
      </c>
      <c r="BD123" s="43">
        <f t="shared" si="30"/>
        <v>0</v>
      </c>
      <c r="BE123" s="193">
        <f t="shared" si="31"/>
        <v>0</v>
      </c>
      <c r="BF123" s="193">
        <f t="shared" si="32"/>
        <v>0</v>
      </c>
      <c r="BG123" s="193">
        <f t="shared" si="33"/>
        <v>0</v>
      </c>
      <c r="BH123" s="307" t="str">
        <f t="shared" si="34"/>
        <v>-</v>
      </c>
      <c r="BI123" s="265" t="str">
        <f t="shared" si="50"/>
        <v>-</v>
      </c>
      <c r="BJ123" s="26" t="str">
        <f t="shared" si="35"/>
        <v>DE MAMIEL CREEKSockeye</v>
      </c>
      <c r="BK123" s="26">
        <f t="shared" si="36"/>
        <v>0</v>
      </c>
      <c r="BL123" s="33">
        <f t="shared" si="51"/>
        <v>0</v>
      </c>
      <c r="BQ123" s="47" t="str">
        <f t="shared" si="37"/>
        <v>DE MAMIEL CREEKSockeye</v>
      </c>
      <c r="BR123" s="49">
        <f t="shared" si="38"/>
        <v>0</v>
      </c>
      <c r="BS123" s="49">
        <f t="shared" si="39"/>
        <v>0</v>
      </c>
      <c r="BT123" s="31">
        <v>2010</v>
      </c>
      <c r="BU123" s="188">
        <f t="shared" si="40"/>
        <v>0</v>
      </c>
      <c r="BV123" s="188" t="str">
        <f t="shared" si="41"/>
        <v xml:space="preserve"> </v>
      </c>
      <c r="BW123" s="188" t="str">
        <f t="shared" si="42"/>
        <v xml:space="preserve"> </v>
      </c>
      <c r="BX123" s="188" t="str">
        <f t="shared" si="43"/>
        <v xml:space="preserve"> </v>
      </c>
      <c r="BY123" s="50" t="str">
        <f t="shared" si="44"/>
        <v>DE MAMIEL CREEK_Sockeye</v>
      </c>
      <c r="BZ123" s="50" t="str">
        <f>IFERROR(VLOOKUP(BY123,'[1]WCVI Esc'!$C$5:$W$555,18,FALSE),"-")</f>
        <v>-</v>
      </c>
      <c r="CA123" s="50" t="str">
        <f t="shared" si="45"/>
        <v>-</v>
      </c>
      <c r="CB123" s="50" t="str">
        <f>IFERROR(VLOOKUP(BY123,'[1]WCVI Esc'!$C$5:$W$555,19,FALSE),"-")</f>
        <v>-</v>
      </c>
      <c r="CC123" s="50" t="str">
        <f t="shared" si="46"/>
        <v>-</v>
      </c>
      <c r="CE123" s="342" t="str">
        <f t="shared" si="47"/>
        <v>DE MAMIEL CREEK_Sockeye</v>
      </c>
      <c r="CF123" s="341" t="str">
        <f>IFERROR(VLOOKUP(BY123,'RawPL+D'!$O$8:$AB$503,12,FALSE),"-")</f>
        <v>-</v>
      </c>
      <c r="CG123" s="338" t="str">
        <f t="shared" si="48"/>
        <v>-</v>
      </c>
      <c r="CH123" s="341" t="str">
        <f>IFERROR(VLOOKUP(BY123,'RawPL+D'!$O$8:$AB$503,13,FALSE),"-")</f>
        <v>-</v>
      </c>
      <c r="CI123" s="338" t="str">
        <f t="shared" si="49"/>
        <v>-</v>
      </c>
    </row>
    <row r="124" spans="1:87" ht="12.75" hidden="1" customHeight="1" x14ac:dyDescent="0.2">
      <c r="A124" s="28">
        <v>4</v>
      </c>
      <c r="B124" s="28">
        <v>2</v>
      </c>
      <c r="C124" s="11">
        <v>20</v>
      </c>
      <c r="D124" s="11" t="s">
        <v>303</v>
      </c>
      <c r="E124" s="10" t="s">
        <v>71</v>
      </c>
      <c r="F124" s="10" t="s">
        <v>219</v>
      </c>
      <c r="G124" s="10"/>
      <c r="H124" s="10"/>
      <c r="I124" s="10"/>
      <c r="J124" s="10"/>
      <c r="K124" s="575"/>
      <c r="L124" s="152"/>
      <c r="M124" s="164"/>
      <c r="N124" s="62"/>
      <c r="O124" s="62"/>
      <c r="P124" s="62"/>
      <c r="Q124" s="164"/>
      <c r="R124" s="62"/>
      <c r="S124" s="62"/>
      <c r="T124" s="62"/>
      <c r="U124" s="64"/>
      <c r="V124" s="164"/>
      <c r="W124" s="62"/>
      <c r="X124" s="164"/>
      <c r="Y124" s="62"/>
      <c r="Z124" s="64"/>
      <c r="AA124" s="164"/>
      <c r="AB124" s="62"/>
      <c r="AC124" s="62"/>
      <c r="AD124" s="64"/>
      <c r="AE124" s="164"/>
      <c r="AF124" s="62"/>
      <c r="AG124" s="62"/>
      <c r="AH124" s="337"/>
      <c r="AI124" s="337"/>
      <c r="AJ124" s="337"/>
      <c r="AK124" s="337"/>
      <c r="AL124" s="414"/>
      <c r="AM124" s="414"/>
      <c r="AN124" s="45"/>
      <c r="AO124" s="45"/>
      <c r="AP124" s="45"/>
      <c r="AQ124" s="485">
        <f>AL124/BI124</f>
        <v>0</v>
      </c>
      <c r="AR124" s="100">
        <f>BL124/BI124</f>
        <v>0</v>
      </c>
      <c r="AS124" s="24"/>
      <c r="AT124" s="24"/>
      <c r="AU124" s="24"/>
      <c r="AV124" s="24"/>
      <c r="AW124" s="18">
        <v>20</v>
      </c>
      <c r="AX124" s="18" t="s">
        <v>303</v>
      </c>
      <c r="AY124" s="243" t="s">
        <v>71</v>
      </c>
      <c r="AZ124" s="243" t="str">
        <f t="shared" si="28"/>
        <v>Coho</v>
      </c>
      <c r="BA124" s="243" t="s">
        <v>419</v>
      </c>
      <c r="BB124" s="246"/>
      <c r="BC124" s="43" t="str">
        <f t="shared" si="29"/>
        <v>-</v>
      </c>
      <c r="BD124" s="43">
        <f t="shared" si="30"/>
        <v>0</v>
      </c>
      <c r="BE124" s="193">
        <f t="shared" si="31"/>
        <v>0</v>
      </c>
      <c r="BF124" s="193">
        <f t="shared" si="32"/>
        <v>0</v>
      </c>
      <c r="BG124" s="193">
        <f t="shared" si="33"/>
        <v>0</v>
      </c>
      <c r="BH124" s="307" t="str">
        <f t="shared" si="34"/>
        <v>-</v>
      </c>
      <c r="BI124" s="265">
        <f t="shared" si="50"/>
        <v>200</v>
      </c>
      <c r="BJ124" s="26" t="str">
        <f t="shared" si="35"/>
        <v>DE MAMIEL CREEKCoho</v>
      </c>
      <c r="BK124" s="26">
        <f t="shared" si="36"/>
        <v>0</v>
      </c>
      <c r="BL124" s="33">
        <f t="shared" si="51"/>
        <v>0</v>
      </c>
      <c r="BQ124" s="47" t="str">
        <f t="shared" si="37"/>
        <v>DE MAMIEL CREEKCoho</v>
      </c>
      <c r="BR124" s="49">
        <f t="shared" si="38"/>
        <v>0</v>
      </c>
      <c r="BS124" s="49">
        <f t="shared" si="39"/>
        <v>0</v>
      </c>
      <c r="BT124" s="31">
        <v>2010</v>
      </c>
      <c r="BU124" s="188">
        <f t="shared" si="40"/>
        <v>0</v>
      </c>
      <c r="BV124" s="188" t="str">
        <f t="shared" si="41"/>
        <v xml:space="preserve"> </v>
      </c>
      <c r="BW124" s="188" t="str">
        <f t="shared" si="42"/>
        <v xml:space="preserve"> </v>
      </c>
      <c r="BX124" s="188" t="str">
        <f t="shared" si="43"/>
        <v xml:space="preserve"> </v>
      </c>
      <c r="BY124" s="50" t="str">
        <f t="shared" si="44"/>
        <v>DE MAMIEL CREEK_Coho</v>
      </c>
      <c r="BZ124" s="50" t="str">
        <f>IFERROR(VLOOKUP(BY124,'[1]WCVI Esc'!$C$5:$W$555,18,FALSE),"-")</f>
        <v>-</v>
      </c>
      <c r="CA124" s="50" t="str">
        <f t="shared" si="45"/>
        <v>-</v>
      </c>
      <c r="CB124" s="50">
        <f>IFERROR(VLOOKUP(BY124,'[1]WCVI Esc'!$C$5:$W$555,19,FALSE),"-")</f>
        <v>200</v>
      </c>
      <c r="CC124" s="50">
        <f t="shared" si="46"/>
        <v>200</v>
      </c>
      <c r="CE124" s="342" t="str">
        <f t="shared" si="47"/>
        <v>DE MAMIEL CREEK_Coho</v>
      </c>
      <c r="CF124" s="341" t="str">
        <f>IFERROR(VLOOKUP(BY124,'RawPL+D'!$O$8:$AB$503,12,FALSE),"-")</f>
        <v>-</v>
      </c>
      <c r="CG124" s="338" t="str">
        <f t="shared" si="48"/>
        <v>-</v>
      </c>
      <c r="CH124" s="341" t="str">
        <f>IFERROR(VLOOKUP(BY124,'RawPL+D'!$O$8:$AB$503,13,FALSE),"-")</f>
        <v>-</v>
      </c>
      <c r="CI124" s="338" t="str">
        <f t="shared" si="49"/>
        <v>-</v>
      </c>
    </row>
    <row r="125" spans="1:87" ht="12.75" hidden="1" customHeight="1" x14ac:dyDescent="0.2">
      <c r="A125" s="28">
        <v>4</v>
      </c>
      <c r="B125" s="28">
        <v>3</v>
      </c>
      <c r="C125" s="11">
        <v>20</v>
      </c>
      <c r="D125" s="11" t="s">
        <v>303</v>
      </c>
      <c r="E125" s="10" t="s">
        <v>71</v>
      </c>
      <c r="F125" s="10" t="s">
        <v>208</v>
      </c>
      <c r="G125" s="10"/>
      <c r="H125" s="10"/>
      <c r="I125" s="10"/>
      <c r="J125" s="10"/>
      <c r="K125" s="575"/>
      <c r="L125" s="152"/>
      <c r="M125" s="164"/>
      <c r="N125" s="62"/>
      <c r="O125" s="62"/>
      <c r="P125" s="62"/>
      <c r="Q125" s="164"/>
      <c r="R125" s="62"/>
      <c r="S125" s="62"/>
      <c r="T125" s="62"/>
      <c r="U125" s="64"/>
      <c r="V125" s="164"/>
      <c r="W125" s="62"/>
      <c r="X125" s="164"/>
      <c r="Y125" s="62"/>
      <c r="Z125" s="64"/>
      <c r="AA125" s="164"/>
      <c r="AB125" s="62"/>
      <c r="AC125" s="62"/>
      <c r="AD125" s="64"/>
      <c r="AE125" s="164"/>
      <c r="AF125" s="62"/>
      <c r="AG125" s="62"/>
      <c r="AH125" s="337"/>
      <c r="AI125" s="337"/>
      <c r="AJ125" s="337"/>
      <c r="AK125" s="337"/>
      <c r="AL125" s="414"/>
      <c r="AM125" s="414"/>
      <c r="AN125" s="45"/>
      <c r="AO125" s="45"/>
      <c r="AP125" s="45"/>
      <c r="AQ125" s="485"/>
      <c r="AR125" s="100"/>
      <c r="AS125" s="24"/>
      <c r="AT125" s="24"/>
      <c r="AU125" s="24"/>
      <c r="AV125" s="24"/>
      <c r="AW125" s="18">
        <v>20</v>
      </c>
      <c r="AX125" s="18" t="s">
        <v>303</v>
      </c>
      <c r="AY125" s="243" t="s">
        <v>71</v>
      </c>
      <c r="AZ125" s="243" t="str">
        <f t="shared" si="28"/>
        <v>Pink</v>
      </c>
      <c r="BA125" s="243" t="s">
        <v>419</v>
      </c>
      <c r="BB125" s="246"/>
      <c r="BC125" s="43" t="str">
        <f t="shared" si="29"/>
        <v>-</v>
      </c>
      <c r="BD125" s="43">
        <f t="shared" si="30"/>
        <v>0</v>
      </c>
      <c r="BE125" s="193">
        <f t="shared" si="31"/>
        <v>0</v>
      </c>
      <c r="BF125" s="193">
        <f t="shared" si="32"/>
        <v>0</v>
      </c>
      <c r="BG125" s="193">
        <f t="shared" si="33"/>
        <v>0</v>
      </c>
      <c r="BH125" s="307" t="str">
        <f t="shared" si="34"/>
        <v>-</v>
      </c>
      <c r="BI125" s="265" t="str">
        <f t="shared" si="50"/>
        <v>-</v>
      </c>
      <c r="BJ125" s="26" t="str">
        <f t="shared" si="35"/>
        <v>DE MAMIEL CREEKPink</v>
      </c>
      <c r="BK125" s="26">
        <f t="shared" si="36"/>
        <v>0</v>
      </c>
      <c r="BL125" s="33">
        <f t="shared" si="51"/>
        <v>0</v>
      </c>
      <c r="BQ125" s="47" t="str">
        <f t="shared" si="37"/>
        <v>DE MAMIEL CREEKPink</v>
      </c>
      <c r="BR125" s="49">
        <f t="shared" si="38"/>
        <v>0</v>
      </c>
      <c r="BS125" s="49">
        <f t="shared" si="39"/>
        <v>0</v>
      </c>
      <c r="BT125" s="31">
        <v>0</v>
      </c>
      <c r="BU125" s="188">
        <f t="shared" si="40"/>
        <v>0</v>
      </c>
      <c r="BV125" s="188" t="str">
        <f t="shared" si="41"/>
        <v xml:space="preserve"> </v>
      </c>
      <c r="BW125" s="188" t="str">
        <f t="shared" si="42"/>
        <v xml:space="preserve"> </v>
      </c>
      <c r="BX125" s="188" t="str">
        <f t="shared" si="43"/>
        <v xml:space="preserve"> </v>
      </c>
      <c r="BY125" s="50" t="str">
        <f t="shared" si="44"/>
        <v>DE MAMIEL CREEK_Pink</v>
      </c>
      <c r="BZ125" s="50" t="str">
        <f>IFERROR(VLOOKUP(BY125,'[1]WCVI Esc'!$C$5:$W$555,18,FALSE),"-")</f>
        <v>-</v>
      </c>
      <c r="CA125" s="50" t="str">
        <f t="shared" si="45"/>
        <v>-</v>
      </c>
      <c r="CB125" s="50" t="str">
        <f>IFERROR(VLOOKUP(BY125,'[1]WCVI Esc'!$C$5:$W$555,19,FALSE),"-")</f>
        <v>-</v>
      </c>
      <c r="CC125" s="50" t="str">
        <f t="shared" si="46"/>
        <v>-</v>
      </c>
      <c r="CE125" s="342" t="str">
        <f t="shared" si="47"/>
        <v>DE MAMIEL CREEK_Pink</v>
      </c>
      <c r="CF125" s="341" t="str">
        <f>IFERROR(VLOOKUP(BY125,'RawPL+D'!$O$8:$AB$503,12,FALSE),"-")</f>
        <v>-</v>
      </c>
      <c r="CG125" s="338" t="str">
        <f t="shared" si="48"/>
        <v>-</v>
      </c>
      <c r="CH125" s="341" t="str">
        <f>IFERROR(VLOOKUP(BY125,'RawPL+D'!$O$8:$AB$503,13,FALSE),"-")</f>
        <v>-</v>
      </c>
      <c r="CI125" s="338" t="str">
        <f t="shared" si="49"/>
        <v>-</v>
      </c>
    </row>
    <row r="126" spans="1:87" ht="12.75" hidden="1" customHeight="1" x14ac:dyDescent="0.2">
      <c r="A126" s="28">
        <v>4</v>
      </c>
      <c r="B126" s="28">
        <v>4</v>
      </c>
      <c r="C126" s="11">
        <v>20</v>
      </c>
      <c r="D126" s="11" t="s">
        <v>303</v>
      </c>
      <c r="E126" s="10" t="s">
        <v>71</v>
      </c>
      <c r="F126" s="10" t="s">
        <v>209</v>
      </c>
      <c r="G126" s="10"/>
      <c r="H126" s="10"/>
      <c r="I126" s="10"/>
      <c r="J126" s="10"/>
      <c r="K126" s="575"/>
      <c r="L126" s="152"/>
      <c r="M126" s="164"/>
      <c r="N126" s="62"/>
      <c r="O126" s="62"/>
      <c r="P126" s="62"/>
      <c r="Q126" s="164"/>
      <c r="R126" s="62"/>
      <c r="S126" s="62"/>
      <c r="T126" s="62"/>
      <c r="U126" s="64"/>
      <c r="V126" s="164"/>
      <c r="W126" s="62"/>
      <c r="X126" s="164"/>
      <c r="Y126" s="62"/>
      <c r="Z126" s="64"/>
      <c r="AA126" s="164"/>
      <c r="AB126" s="62"/>
      <c r="AC126" s="62"/>
      <c r="AD126" s="64"/>
      <c r="AE126" s="164"/>
      <c r="AF126" s="62"/>
      <c r="AG126" s="62"/>
      <c r="AH126" s="337"/>
      <c r="AI126" s="337"/>
      <c r="AJ126" s="337"/>
      <c r="AK126" s="337"/>
      <c r="AL126" s="414"/>
      <c r="AM126" s="414"/>
      <c r="AN126" s="45"/>
      <c r="AO126" s="45"/>
      <c r="AP126" s="45"/>
      <c r="AQ126" s="485"/>
      <c r="AR126" s="100"/>
      <c r="AS126" s="24"/>
      <c r="AT126" s="24"/>
      <c r="AU126" s="24"/>
      <c r="AV126" s="24"/>
      <c r="AW126" s="18">
        <v>20</v>
      </c>
      <c r="AX126" s="18" t="s">
        <v>303</v>
      </c>
      <c r="AY126" s="243" t="s">
        <v>71</v>
      </c>
      <c r="AZ126" s="243" t="str">
        <f t="shared" si="28"/>
        <v>Chum</v>
      </c>
      <c r="BA126" s="243" t="s">
        <v>419</v>
      </c>
      <c r="BB126" s="246"/>
      <c r="BC126" s="43" t="str">
        <f t="shared" si="29"/>
        <v>-</v>
      </c>
      <c r="BD126" s="43">
        <f t="shared" si="30"/>
        <v>0</v>
      </c>
      <c r="BE126" s="193">
        <f t="shared" si="31"/>
        <v>0</v>
      </c>
      <c r="BF126" s="193">
        <f t="shared" si="32"/>
        <v>0</v>
      </c>
      <c r="BG126" s="193">
        <f t="shared" si="33"/>
        <v>0</v>
      </c>
      <c r="BH126" s="307" t="str">
        <f t="shared" si="34"/>
        <v>-</v>
      </c>
      <c r="BI126" s="265">
        <f t="shared" ref="BI126:BI157" si="52">CC126</f>
        <v>3750</v>
      </c>
      <c r="BJ126" s="26" t="str">
        <f t="shared" si="35"/>
        <v>DE MAMIEL CREEKChum</v>
      </c>
      <c r="BK126" s="26">
        <f t="shared" si="36"/>
        <v>0</v>
      </c>
      <c r="BL126" s="33">
        <f t="shared" si="51"/>
        <v>0</v>
      </c>
      <c r="BQ126" s="47" t="str">
        <f t="shared" si="37"/>
        <v>DE MAMIEL CREEKChum</v>
      </c>
      <c r="BR126" s="49">
        <f t="shared" si="38"/>
        <v>0</v>
      </c>
      <c r="BS126" s="49">
        <f t="shared" si="39"/>
        <v>0</v>
      </c>
      <c r="BT126" s="31">
        <v>2010</v>
      </c>
      <c r="BU126" s="188">
        <f t="shared" si="40"/>
        <v>0</v>
      </c>
      <c r="BV126" s="188" t="str">
        <f t="shared" si="41"/>
        <v xml:space="preserve"> </v>
      </c>
      <c r="BW126" s="188" t="str">
        <f t="shared" si="42"/>
        <v xml:space="preserve"> </v>
      </c>
      <c r="BX126" s="188" t="str">
        <f t="shared" si="43"/>
        <v xml:space="preserve"> </v>
      </c>
      <c r="BY126" s="50" t="str">
        <f t="shared" si="44"/>
        <v>DE MAMIEL CREEK_Chum</v>
      </c>
      <c r="BZ126" s="50" t="str">
        <f>IFERROR(VLOOKUP(BY126,'[1]WCVI Esc'!$C$5:$W$555,18,FALSE),"-")</f>
        <v>-</v>
      </c>
      <c r="CA126" s="50" t="str">
        <f t="shared" si="45"/>
        <v>-</v>
      </c>
      <c r="CB126" s="50">
        <f>IFERROR(VLOOKUP(BY126,'[1]WCVI Esc'!$C$5:$W$555,19,FALSE),"-")</f>
        <v>3754</v>
      </c>
      <c r="CC126" s="50">
        <f t="shared" si="46"/>
        <v>3750</v>
      </c>
      <c r="CE126" s="342" t="str">
        <f t="shared" si="47"/>
        <v>DE MAMIEL CREEK_Chum</v>
      </c>
      <c r="CF126" s="341" t="str">
        <f>IFERROR(VLOOKUP(BY126,'RawPL+D'!$O$8:$AB$503,12,FALSE),"-")</f>
        <v>-</v>
      </c>
      <c r="CG126" s="338" t="str">
        <f t="shared" si="48"/>
        <v>-</v>
      </c>
      <c r="CH126" s="341" t="str">
        <f>IFERROR(VLOOKUP(BY126,'RawPL+D'!$O$8:$AB$503,13,FALSE),"-")</f>
        <v>-</v>
      </c>
      <c r="CI126" s="338" t="str">
        <f t="shared" si="49"/>
        <v>-</v>
      </c>
    </row>
    <row r="127" spans="1:87" ht="12.75" hidden="1" customHeight="1" x14ac:dyDescent="0.2">
      <c r="A127" s="28">
        <v>4</v>
      </c>
      <c r="B127" s="28">
        <v>5</v>
      </c>
      <c r="C127" s="11">
        <v>20</v>
      </c>
      <c r="D127" s="11" t="s">
        <v>303</v>
      </c>
      <c r="E127" s="10" t="s">
        <v>71</v>
      </c>
      <c r="F127" s="10" t="s">
        <v>210</v>
      </c>
      <c r="G127" s="10"/>
      <c r="H127" s="10"/>
      <c r="I127" s="10"/>
      <c r="J127" s="10"/>
      <c r="K127" s="575"/>
      <c r="L127" s="152"/>
      <c r="M127" s="164"/>
      <c r="N127" s="62"/>
      <c r="O127" s="62"/>
      <c r="P127" s="62"/>
      <c r="Q127" s="164"/>
      <c r="R127" s="62"/>
      <c r="S127" s="62"/>
      <c r="T127" s="62"/>
      <c r="U127" s="64"/>
      <c r="V127" s="164"/>
      <c r="W127" s="62"/>
      <c r="X127" s="164"/>
      <c r="Y127" s="164"/>
      <c r="Z127" s="64"/>
      <c r="AA127" s="164"/>
      <c r="AB127" s="62"/>
      <c r="AC127" s="62"/>
      <c r="AD127" s="64"/>
      <c r="AE127" s="164"/>
      <c r="AF127" s="62"/>
      <c r="AG127" s="62"/>
      <c r="AH127" s="337"/>
      <c r="AI127" s="337"/>
      <c r="AJ127" s="337"/>
      <c r="AK127" s="337"/>
      <c r="AL127" s="414"/>
      <c r="AM127" s="414"/>
      <c r="AN127" s="45"/>
      <c r="AO127" s="45"/>
      <c r="AP127" s="45"/>
      <c r="AQ127" s="485"/>
      <c r="AR127" s="100"/>
      <c r="AS127" s="24"/>
      <c r="AT127" s="24"/>
      <c r="AU127" s="24"/>
      <c r="AV127" s="24"/>
      <c r="AW127" s="18">
        <v>20</v>
      </c>
      <c r="AX127" s="18" t="s">
        <v>303</v>
      </c>
      <c r="AY127" s="243" t="s">
        <v>71</v>
      </c>
      <c r="AZ127" s="243" t="str">
        <f t="shared" si="28"/>
        <v>Chinook</v>
      </c>
      <c r="BA127" s="243" t="s">
        <v>419</v>
      </c>
      <c r="BB127" s="246"/>
      <c r="BC127" s="43" t="str">
        <f t="shared" si="29"/>
        <v>-</v>
      </c>
      <c r="BD127" s="43">
        <f t="shared" si="30"/>
        <v>0</v>
      </c>
      <c r="BE127" s="193">
        <f t="shared" si="31"/>
        <v>0</v>
      </c>
      <c r="BF127" s="193">
        <f t="shared" si="32"/>
        <v>0</v>
      </c>
      <c r="BG127" s="193">
        <f t="shared" si="33"/>
        <v>0</v>
      </c>
      <c r="BH127" s="307" t="str">
        <f t="shared" si="34"/>
        <v>-</v>
      </c>
      <c r="BI127" s="265">
        <f t="shared" si="52"/>
        <v>80</v>
      </c>
      <c r="BJ127" s="26" t="str">
        <f t="shared" si="35"/>
        <v>DE MAMIEL CREEKChinook</v>
      </c>
      <c r="BK127" s="26">
        <f t="shared" si="36"/>
        <v>0</v>
      </c>
      <c r="BL127" s="33">
        <f t="shared" si="51"/>
        <v>0</v>
      </c>
      <c r="BQ127" s="47" t="str">
        <f t="shared" si="37"/>
        <v>DE MAMIEL CREEKChinook</v>
      </c>
      <c r="BR127" s="49">
        <f t="shared" si="38"/>
        <v>0</v>
      </c>
      <c r="BS127" s="49">
        <f t="shared" si="39"/>
        <v>0</v>
      </c>
      <c r="BT127" s="31">
        <v>2010</v>
      </c>
      <c r="BU127" s="188">
        <f t="shared" si="40"/>
        <v>0</v>
      </c>
      <c r="BV127" s="188" t="str">
        <f t="shared" si="41"/>
        <v xml:space="preserve"> </v>
      </c>
      <c r="BW127" s="188" t="str">
        <f t="shared" si="42"/>
        <v xml:space="preserve"> </v>
      </c>
      <c r="BX127" s="188" t="str">
        <f t="shared" si="43"/>
        <v xml:space="preserve"> </v>
      </c>
      <c r="BY127" s="50" t="str">
        <f t="shared" si="44"/>
        <v>DE MAMIEL CREEK_Chinook</v>
      </c>
      <c r="BZ127" s="50" t="str">
        <f>IFERROR(VLOOKUP(BY127,'[1]WCVI Esc'!$C$5:$W$555,18,FALSE),"-")</f>
        <v>-</v>
      </c>
      <c r="CA127" s="50" t="str">
        <f t="shared" si="45"/>
        <v>-</v>
      </c>
      <c r="CB127" s="50">
        <f>IFERROR(VLOOKUP(BY127,'[1]WCVI Esc'!$C$5:$W$555,19,FALSE),"-")</f>
        <v>75</v>
      </c>
      <c r="CC127" s="50">
        <f t="shared" si="46"/>
        <v>80</v>
      </c>
      <c r="CE127" s="342" t="str">
        <f t="shared" si="47"/>
        <v>DE MAMIEL CREEK_Chinook</v>
      </c>
      <c r="CF127" s="341" t="str">
        <f>IFERROR(VLOOKUP(BY127,'RawPL+D'!$O$8:$AB$503,12,FALSE),"-")</f>
        <v>-</v>
      </c>
      <c r="CG127" s="338" t="str">
        <f t="shared" si="48"/>
        <v>-</v>
      </c>
      <c r="CH127" s="341" t="str">
        <f>IFERROR(VLOOKUP(BY127,'RawPL+D'!$O$8:$AB$503,13,FALSE),"-")</f>
        <v>-</v>
      </c>
      <c r="CI127" s="338" t="str">
        <f t="shared" si="49"/>
        <v>-</v>
      </c>
    </row>
    <row r="128" spans="1:87" ht="12.75" hidden="1" customHeight="1" x14ac:dyDescent="0.2">
      <c r="A128" s="28">
        <v>4</v>
      </c>
      <c r="B128" s="28">
        <v>6</v>
      </c>
      <c r="C128" s="11">
        <v>20</v>
      </c>
      <c r="D128" s="11" t="s">
        <v>303</v>
      </c>
      <c r="E128" s="10" t="s">
        <v>71</v>
      </c>
      <c r="F128" s="10" t="s">
        <v>211</v>
      </c>
      <c r="G128" s="10"/>
      <c r="H128" s="10"/>
      <c r="I128" s="10"/>
      <c r="J128" s="10"/>
      <c r="K128" s="575"/>
      <c r="L128" s="152"/>
      <c r="M128" s="164"/>
      <c r="N128" s="62"/>
      <c r="O128" s="62"/>
      <c r="P128" s="62"/>
      <c r="Q128" s="164"/>
      <c r="R128" s="62"/>
      <c r="S128" s="62"/>
      <c r="T128" s="62"/>
      <c r="U128" s="64"/>
      <c r="V128" s="164"/>
      <c r="W128" s="62"/>
      <c r="X128" s="62"/>
      <c r="Y128" s="62"/>
      <c r="Z128" s="177"/>
      <c r="AA128" s="586"/>
      <c r="AB128" s="581"/>
      <c r="AC128" s="581"/>
      <c r="AD128" s="585"/>
      <c r="AE128" s="164"/>
      <c r="AF128" s="62"/>
      <c r="AG128" s="62"/>
      <c r="AH128" s="337"/>
      <c r="AI128" s="337"/>
      <c r="AJ128" s="337"/>
      <c r="AK128" s="337"/>
      <c r="AL128" s="414"/>
      <c r="AM128" s="414"/>
      <c r="AN128" s="45"/>
      <c r="AO128" s="45"/>
      <c r="AP128" s="45"/>
      <c r="AQ128" s="485"/>
      <c r="AR128" s="100"/>
      <c r="AS128" s="24"/>
      <c r="AT128" s="24"/>
      <c r="AU128" s="24"/>
      <c r="AV128" s="24"/>
      <c r="AW128" s="18">
        <v>20</v>
      </c>
      <c r="AX128" s="18" t="s">
        <v>303</v>
      </c>
      <c r="AY128" s="243" t="s">
        <v>71</v>
      </c>
      <c r="AZ128" s="243" t="str">
        <f t="shared" si="28"/>
        <v>Steelhead</v>
      </c>
      <c r="BA128" s="243" t="s">
        <v>419</v>
      </c>
      <c r="BB128" s="246"/>
      <c r="BC128" s="43" t="str">
        <f t="shared" si="29"/>
        <v>-</v>
      </c>
      <c r="BD128" s="43">
        <f t="shared" si="30"/>
        <v>0</v>
      </c>
      <c r="BE128" s="193">
        <f t="shared" si="31"/>
        <v>0</v>
      </c>
      <c r="BF128" s="193">
        <f t="shared" si="32"/>
        <v>0</v>
      </c>
      <c r="BG128" s="193">
        <f t="shared" si="33"/>
        <v>0</v>
      </c>
      <c r="BH128" s="307" t="str">
        <f t="shared" si="34"/>
        <v>-</v>
      </c>
      <c r="BI128" s="265" t="str">
        <f t="shared" si="52"/>
        <v>-</v>
      </c>
      <c r="BJ128" s="26" t="str">
        <f t="shared" si="35"/>
        <v>DE MAMIEL CREEKSteelhead</v>
      </c>
      <c r="BK128" s="26">
        <f t="shared" si="36"/>
        <v>0</v>
      </c>
      <c r="BL128" s="33">
        <f t="shared" si="51"/>
        <v>0</v>
      </c>
      <c r="BQ128" s="47" t="str">
        <f t="shared" si="37"/>
        <v>DE MAMIEL CREEKSteelhead</v>
      </c>
      <c r="BR128" s="49">
        <f t="shared" si="38"/>
        <v>0</v>
      </c>
      <c r="BS128" s="49">
        <f t="shared" si="39"/>
        <v>0</v>
      </c>
      <c r="BT128" s="31">
        <v>0</v>
      </c>
      <c r="BU128" s="188">
        <f t="shared" si="40"/>
        <v>0</v>
      </c>
      <c r="BV128" s="188" t="str">
        <f t="shared" si="41"/>
        <v xml:space="preserve"> </v>
      </c>
      <c r="BW128" s="188" t="str">
        <f t="shared" si="42"/>
        <v xml:space="preserve"> </v>
      </c>
      <c r="BX128" s="188" t="str">
        <f t="shared" si="43"/>
        <v xml:space="preserve"> </v>
      </c>
      <c r="BY128" s="50" t="str">
        <f t="shared" si="44"/>
        <v>DE MAMIEL CREEK_Steelhead</v>
      </c>
      <c r="BZ128" s="50" t="str">
        <f>IFERROR(VLOOKUP(BY128,'[1]WCVI Esc'!$C$5:$W$555,18,FALSE),"-")</f>
        <v>-</v>
      </c>
      <c r="CA128" s="50" t="str">
        <f t="shared" si="45"/>
        <v>-</v>
      </c>
      <c r="CB128" s="50" t="str">
        <f>IFERROR(VLOOKUP(BY128,'[1]WCVI Esc'!$C$5:$W$555,19,FALSE),"-")</f>
        <v>-</v>
      </c>
      <c r="CC128" s="50" t="str">
        <f t="shared" si="46"/>
        <v>-</v>
      </c>
      <c r="CE128" s="342" t="str">
        <f t="shared" si="47"/>
        <v>DE MAMIEL CREEK_Steelhead</v>
      </c>
      <c r="CF128" s="341" t="str">
        <f>IFERROR(VLOOKUP(BY128,'RawPL+D'!$O$8:$AB$503,12,FALSE),"-")</f>
        <v>-</v>
      </c>
      <c r="CG128" s="338" t="str">
        <f t="shared" si="48"/>
        <v>-</v>
      </c>
      <c r="CH128" s="341" t="str">
        <f>IFERROR(VLOOKUP(BY128,'RawPL+D'!$O$8:$AB$503,13,FALSE),"-")</f>
        <v>-</v>
      </c>
      <c r="CI128" s="338" t="str">
        <f t="shared" si="49"/>
        <v>-</v>
      </c>
    </row>
    <row r="129" spans="1:87" ht="12.75" hidden="1" customHeight="1" x14ac:dyDescent="0.2">
      <c r="A129" s="28">
        <v>4</v>
      </c>
      <c r="B129" s="28">
        <v>1</v>
      </c>
      <c r="C129" s="11">
        <v>20</v>
      </c>
      <c r="D129" s="13" t="s">
        <v>303</v>
      </c>
      <c r="E129" s="10" t="s">
        <v>158</v>
      </c>
      <c r="F129" s="10" t="s">
        <v>207</v>
      </c>
      <c r="G129" s="10"/>
      <c r="H129" s="10"/>
      <c r="I129" s="10"/>
      <c r="J129" s="10"/>
      <c r="K129" s="575"/>
      <c r="L129" s="152"/>
      <c r="M129" s="164"/>
      <c r="N129" s="62"/>
      <c r="O129" s="62"/>
      <c r="P129" s="64"/>
      <c r="Q129" s="164"/>
      <c r="R129" s="62"/>
      <c r="S129" s="64"/>
      <c r="T129" s="62"/>
      <c r="U129" s="64"/>
      <c r="V129" s="289"/>
      <c r="W129" s="328"/>
      <c r="X129" s="328"/>
      <c r="Y129" s="328"/>
      <c r="Z129" s="577"/>
      <c r="AA129" s="164"/>
      <c r="AB129" s="62"/>
      <c r="AC129" s="62"/>
      <c r="AD129" s="64"/>
      <c r="AE129" s="164"/>
      <c r="AF129" s="62"/>
      <c r="AG129" s="62"/>
      <c r="AH129" s="337"/>
      <c r="AI129" s="337"/>
      <c r="AJ129" s="337"/>
      <c r="AK129" s="337"/>
      <c r="AL129" s="414"/>
      <c r="AM129" s="414"/>
      <c r="AN129" s="45"/>
      <c r="AO129" s="45"/>
      <c r="AP129" s="45"/>
      <c r="AQ129" s="100"/>
      <c r="AR129" s="100"/>
      <c r="AS129" s="24"/>
      <c r="AT129" s="24"/>
      <c r="AU129" s="24"/>
      <c r="AV129" s="24"/>
      <c r="AW129" s="18">
        <v>20</v>
      </c>
      <c r="AX129" s="69" t="s">
        <v>303</v>
      </c>
      <c r="AY129" s="243" t="s">
        <v>158</v>
      </c>
      <c r="AZ129" s="243" t="str">
        <f t="shared" si="28"/>
        <v>Sockeye</v>
      </c>
      <c r="BA129" s="243" t="s">
        <v>419</v>
      </c>
      <c r="BB129" s="246"/>
      <c r="BC129" s="43" t="str">
        <f t="shared" si="29"/>
        <v>-</v>
      </c>
      <c r="BD129" s="43">
        <f t="shared" si="30"/>
        <v>0</v>
      </c>
      <c r="BE129" s="193">
        <f t="shared" si="31"/>
        <v>0</v>
      </c>
      <c r="BF129" s="193">
        <f t="shared" si="32"/>
        <v>0</v>
      </c>
      <c r="BG129" s="193">
        <f t="shared" si="33"/>
        <v>0</v>
      </c>
      <c r="BH129" s="307" t="str">
        <f t="shared" si="34"/>
        <v>-</v>
      </c>
      <c r="BI129" s="265" t="str">
        <f t="shared" si="52"/>
        <v>-</v>
      </c>
      <c r="BJ129" s="26" t="str">
        <f t="shared" si="35"/>
        <v>KING CREEKSockeye</v>
      </c>
      <c r="BK129" s="26">
        <f t="shared" si="36"/>
        <v>0</v>
      </c>
      <c r="BL129" s="33">
        <f t="shared" si="51"/>
        <v>0</v>
      </c>
      <c r="BQ129" s="47" t="str">
        <f t="shared" si="37"/>
        <v>KING CREEKSockeye</v>
      </c>
      <c r="BR129" s="49">
        <f t="shared" si="38"/>
        <v>0</v>
      </c>
      <c r="BS129" s="49">
        <f t="shared" si="39"/>
        <v>0</v>
      </c>
      <c r="BT129" s="31">
        <v>0</v>
      </c>
      <c r="BU129" s="188">
        <f t="shared" si="40"/>
        <v>0</v>
      </c>
      <c r="BV129" s="188" t="str">
        <f t="shared" si="41"/>
        <v xml:space="preserve"> </v>
      </c>
      <c r="BW129" s="188" t="str">
        <f t="shared" si="42"/>
        <v xml:space="preserve"> </v>
      </c>
      <c r="BX129" s="188" t="str">
        <f t="shared" si="43"/>
        <v xml:space="preserve"> </v>
      </c>
      <c r="BY129" s="50" t="str">
        <f t="shared" si="44"/>
        <v>KING CREEK_Sockeye</v>
      </c>
      <c r="BZ129" s="50" t="str">
        <f>IFERROR(VLOOKUP(BY129,'[1]WCVI Esc'!$C$5:$W$555,18,FALSE),"-")</f>
        <v>-</v>
      </c>
      <c r="CA129" s="50" t="str">
        <f t="shared" si="45"/>
        <v>-</v>
      </c>
      <c r="CB129" s="50" t="str">
        <f>IFERROR(VLOOKUP(BY129,'[1]WCVI Esc'!$C$5:$W$555,19,FALSE),"-")</f>
        <v>-</v>
      </c>
      <c r="CC129" s="50" t="str">
        <f t="shared" si="46"/>
        <v>-</v>
      </c>
      <c r="CE129" s="342" t="str">
        <f t="shared" si="47"/>
        <v>KING CREEK_Sockeye</v>
      </c>
      <c r="CF129" s="341" t="str">
        <f>IFERROR(VLOOKUP(BY129,'RawPL+D'!$O$8:$AB$503,12,FALSE),"-")</f>
        <v>-</v>
      </c>
      <c r="CG129" s="338" t="str">
        <f t="shared" si="48"/>
        <v>-</v>
      </c>
      <c r="CH129" s="341" t="str">
        <f>IFERROR(VLOOKUP(BY129,'RawPL+D'!$O$8:$AB$503,13,FALSE),"-")</f>
        <v>-</v>
      </c>
      <c r="CI129" s="338" t="str">
        <f t="shared" si="49"/>
        <v>-</v>
      </c>
    </row>
    <row r="130" spans="1:87" ht="12.75" hidden="1" customHeight="1" x14ac:dyDescent="0.2">
      <c r="A130" s="28">
        <v>4</v>
      </c>
      <c r="B130" s="28">
        <v>2</v>
      </c>
      <c r="C130" s="11">
        <v>20</v>
      </c>
      <c r="D130" s="13" t="s">
        <v>303</v>
      </c>
      <c r="E130" s="10" t="s">
        <v>158</v>
      </c>
      <c r="F130" s="10" t="s">
        <v>219</v>
      </c>
      <c r="G130" s="10"/>
      <c r="H130" s="10"/>
      <c r="I130" s="10"/>
      <c r="J130" s="10"/>
      <c r="K130" s="575"/>
      <c r="L130" s="152"/>
      <c r="M130" s="164"/>
      <c r="N130" s="62"/>
      <c r="O130" s="62"/>
      <c r="P130" s="64"/>
      <c r="Q130" s="164"/>
      <c r="R130" s="62"/>
      <c r="S130" s="64"/>
      <c r="T130" s="62"/>
      <c r="U130" s="64"/>
      <c r="V130" s="164"/>
      <c r="W130" s="62"/>
      <c r="X130" s="62"/>
      <c r="Y130" s="62"/>
      <c r="Z130" s="64"/>
      <c r="AA130" s="164"/>
      <c r="AB130" s="62"/>
      <c r="AC130" s="62"/>
      <c r="AD130" s="64"/>
      <c r="AE130" s="164"/>
      <c r="AF130" s="62"/>
      <c r="AG130" s="62"/>
      <c r="AH130" s="337"/>
      <c r="AI130" s="337"/>
      <c r="AJ130" s="337"/>
      <c r="AK130" s="337"/>
      <c r="AL130" s="414"/>
      <c r="AM130" s="414"/>
      <c r="AN130" s="45"/>
      <c r="AO130" s="45"/>
      <c r="AP130" s="45"/>
      <c r="AQ130" s="100"/>
      <c r="AR130" s="100"/>
      <c r="AS130" s="24"/>
      <c r="AT130" s="24"/>
      <c r="AU130" s="24"/>
      <c r="AV130" s="24"/>
      <c r="AW130" s="18">
        <v>20</v>
      </c>
      <c r="AX130" s="69" t="s">
        <v>303</v>
      </c>
      <c r="AY130" s="243" t="s">
        <v>158</v>
      </c>
      <c r="AZ130" s="243" t="str">
        <f t="shared" si="28"/>
        <v>Coho</v>
      </c>
      <c r="BA130" s="243" t="s">
        <v>419</v>
      </c>
      <c r="BB130" s="246"/>
      <c r="BC130" s="43" t="str">
        <f t="shared" si="29"/>
        <v>-</v>
      </c>
      <c r="BD130" s="43">
        <f t="shared" si="30"/>
        <v>0</v>
      </c>
      <c r="BE130" s="193">
        <f t="shared" si="31"/>
        <v>0</v>
      </c>
      <c r="BF130" s="193">
        <f t="shared" si="32"/>
        <v>0</v>
      </c>
      <c r="BG130" s="193">
        <f t="shared" si="33"/>
        <v>0</v>
      </c>
      <c r="BH130" s="307" t="str">
        <f t="shared" si="34"/>
        <v>-</v>
      </c>
      <c r="BI130" s="265" t="str">
        <f t="shared" si="52"/>
        <v>-</v>
      </c>
      <c r="BJ130" s="26" t="str">
        <f t="shared" si="35"/>
        <v>KING CREEKCoho</v>
      </c>
      <c r="BK130" s="26">
        <f t="shared" si="36"/>
        <v>0</v>
      </c>
      <c r="BL130" s="33">
        <f t="shared" si="51"/>
        <v>0</v>
      </c>
      <c r="BQ130" s="47" t="str">
        <f t="shared" si="37"/>
        <v>KING CREEKCoho</v>
      </c>
      <c r="BR130" s="49">
        <f t="shared" si="38"/>
        <v>0</v>
      </c>
      <c r="BS130" s="49">
        <f t="shared" si="39"/>
        <v>0</v>
      </c>
      <c r="BT130" s="31">
        <v>0</v>
      </c>
      <c r="BU130" s="188">
        <f t="shared" si="40"/>
        <v>0</v>
      </c>
      <c r="BV130" s="188" t="str">
        <f t="shared" si="41"/>
        <v xml:space="preserve"> </v>
      </c>
      <c r="BW130" s="188" t="str">
        <f t="shared" si="42"/>
        <v xml:space="preserve"> </v>
      </c>
      <c r="BX130" s="188" t="str">
        <f t="shared" si="43"/>
        <v xml:space="preserve"> </v>
      </c>
      <c r="BY130" s="50" t="str">
        <f t="shared" si="44"/>
        <v>KING CREEK_Coho</v>
      </c>
      <c r="BZ130" s="50" t="str">
        <f>IFERROR(VLOOKUP(BY130,'[1]WCVI Esc'!$C$5:$W$555,18,FALSE),"-")</f>
        <v>-</v>
      </c>
      <c r="CA130" s="50" t="str">
        <f t="shared" si="45"/>
        <v>-</v>
      </c>
      <c r="CB130" s="50" t="str">
        <f>IFERROR(VLOOKUP(BY130,'[1]WCVI Esc'!$C$5:$W$555,19,FALSE),"-")</f>
        <v>-</v>
      </c>
      <c r="CC130" s="50" t="str">
        <f t="shared" si="46"/>
        <v>-</v>
      </c>
      <c r="CE130" s="342" t="str">
        <f t="shared" si="47"/>
        <v>KING CREEK_Coho</v>
      </c>
      <c r="CF130" s="341" t="str">
        <f>IFERROR(VLOOKUP(BY130,'RawPL+D'!$O$8:$AB$503,12,FALSE),"-")</f>
        <v>-</v>
      </c>
      <c r="CG130" s="338" t="str">
        <f t="shared" si="48"/>
        <v>-</v>
      </c>
      <c r="CH130" s="341" t="str">
        <f>IFERROR(VLOOKUP(BY130,'RawPL+D'!$O$8:$AB$503,13,FALSE),"-")</f>
        <v>-</v>
      </c>
      <c r="CI130" s="338" t="str">
        <f t="shared" si="49"/>
        <v>-</v>
      </c>
    </row>
    <row r="131" spans="1:87" ht="12.75" hidden="1" customHeight="1" x14ac:dyDescent="0.2">
      <c r="A131" s="28">
        <v>4</v>
      </c>
      <c r="B131" s="28">
        <v>3</v>
      </c>
      <c r="C131" s="11">
        <v>20</v>
      </c>
      <c r="D131" s="13" t="s">
        <v>303</v>
      </c>
      <c r="E131" s="10" t="s">
        <v>158</v>
      </c>
      <c r="F131" s="10" t="s">
        <v>208</v>
      </c>
      <c r="G131" s="10"/>
      <c r="H131" s="10"/>
      <c r="I131" s="10"/>
      <c r="J131" s="10"/>
      <c r="K131" s="575"/>
      <c r="L131" s="152"/>
      <c r="M131" s="164"/>
      <c r="N131" s="62"/>
      <c r="O131" s="62"/>
      <c r="P131" s="64"/>
      <c r="Q131" s="164"/>
      <c r="R131" s="62"/>
      <c r="S131" s="64"/>
      <c r="T131" s="62"/>
      <c r="U131" s="64"/>
      <c r="V131" s="164"/>
      <c r="W131" s="62"/>
      <c r="X131" s="62"/>
      <c r="Y131" s="62"/>
      <c r="Z131" s="64"/>
      <c r="AA131" s="164"/>
      <c r="AB131" s="62"/>
      <c r="AC131" s="62"/>
      <c r="AD131" s="64"/>
      <c r="AE131" s="164"/>
      <c r="AF131" s="62"/>
      <c r="AG131" s="62"/>
      <c r="AH131" s="337"/>
      <c r="AI131" s="337"/>
      <c r="AJ131" s="337"/>
      <c r="AK131" s="337"/>
      <c r="AL131" s="414"/>
      <c r="AM131" s="414"/>
      <c r="AN131" s="45"/>
      <c r="AO131" s="45"/>
      <c r="AP131" s="45"/>
      <c r="AQ131" s="100"/>
      <c r="AR131" s="100"/>
      <c r="AS131" s="24"/>
      <c r="AT131" s="24"/>
      <c r="AU131" s="24"/>
      <c r="AV131" s="24"/>
      <c r="AW131" s="18">
        <v>20</v>
      </c>
      <c r="AX131" s="69" t="s">
        <v>303</v>
      </c>
      <c r="AY131" s="243" t="s">
        <v>158</v>
      </c>
      <c r="AZ131" s="243" t="str">
        <f t="shared" si="28"/>
        <v>Pink</v>
      </c>
      <c r="BA131" s="243" t="s">
        <v>419</v>
      </c>
      <c r="BB131" s="246"/>
      <c r="BC131" s="43" t="str">
        <f t="shared" si="29"/>
        <v>-</v>
      </c>
      <c r="BD131" s="43">
        <f t="shared" si="30"/>
        <v>0</v>
      </c>
      <c r="BE131" s="193">
        <f t="shared" si="31"/>
        <v>0</v>
      </c>
      <c r="BF131" s="193">
        <f t="shared" si="32"/>
        <v>0</v>
      </c>
      <c r="BG131" s="193">
        <f t="shared" si="33"/>
        <v>0</v>
      </c>
      <c r="BH131" s="307" t="str">
        <f t="shared" si="34"/>
        <v>-</v>
      </c>
      <c r="BI131" s="265" t="str">
        <f t="shared" si="52"/>
        <v>-</v>
      </c>
      <c r="BJ131" s="26" t="str">
        <f t="shared" si="35"/>
        <v>KING CREEKPink</v>
      </c>
      <c r="BK131" s="26">
        <f t="shared" si="36"/>
        <v>0</v>
      </c>
      <c r="BL131" s="33">
        <f t="shared" si="51"/>
        <v>0</v>
      </c>
      <c r="BQ131" s="47" t="str">
        <f t="shared" si="37"/>
        <v>KING CREEKPink</v>
      </c>
      <c r="BR131" s="49">
        <f t="shared" si="38"/>
        <v>0</v>
      </c>
      <c r="BS131" s="49">
        <f t="shared" si="39"/>
        <v>0</v>
      </c>
      <c r="BT131" s="31">
        <v>0</v>
      </c>
      <c r="BU131" s="188">
        <f t="shared" si="40"/>
        <v>0</v>
      </c>
      <c r="BV131" s="188" t="str">
        <f t="shared" si="41"/>
        <v xml:space="preserve"> </v>
      </c>
      <c r="BW131" s="188" t="str">
        <f t="shared" si="42"/>
        <v xml:space="preserve"> </v>
      </c>
      <c r="BX131" s="188" t="str">
        <f t="shared" si="43"/>
        <v xml:space="preserve"> </v>
      </c>
      <c r="BY131" s="50" t="str">
        <f t="shared" si="44"/>
        <v>KING CREEK_Pink</v>
      </c>
      <c r="BZ131" s="50" t="str">
        <f>IFERROR(VLOOKUP(BY131,'[1]WCVI Esc'!$C$5:$W$555,18,FALSE),"-")</f>
        <v>-</v>
      </c>
      <c r="CA131" s="50" t="str">
        <f t="shared" si="45"/>
        <v>-</v>
      </c>
      <c r="CB131" s="50" t="str">
        <f>IFERROR(VLOOKUP(BY131,'[1]WCVI Esc'!$C$5:$W$555,19,FALSE),"-")</f>
        <v>-</v>
      </c>
      <c r="CC131" s="50" t="str">
        <f t="shared" si="46"/>
        <v>-</v>
      </c>
      <c r="CE131" s="342" t="str">
        <f t="shared" si="47"/>
        <v>KING CREEK_Pink</v>
      </c>
      <c r="CF131" s="341" t="str">
        <f>IFERROR(VLOOKUP(BY131,'RawPL+D'!$O$8:$AB$503,12,FALSE),"-")</f>
        <v>-</v>
      </c>
      <c r="CG131" s="338" t="str">
        <f t="shared" si="48"/>
        <v>-</v>
      </c>
      <c r="CH131" s="341" t="str">
        <f>IFERROR(VLOOKUP(BY131,'RawPL+D'!$O$8:$AB$503,13,FALSE),"-")</f>
        <v>-</v>
      </c>
      <c r="CI131" s="338" t="str">
        <f t="shared" si="49"/>
        <v>-</v>
      </c>
    </row>
    <row r="132" spans="1:87" ht="12.75" hidden="1" customHeight="1" x14ac:dyDescent="0.2">
      <c r="A132" s="28">
        <v>4</v>
      </c>
      <c r="B132" s="28">
        <v>4</v>
      </c>
      <c r="C132" s="11">
        <v>20</v>
      </c>
      <c r="D132" s="13" t="s">
        <v>303</v>
      </c>
      <c r="E132" s="10" t="s">
        <v>158</v>
      </c>
      <c r="F132" s="10" t="s">
        <v>209</v>
      </c>
      <c r="G132" s="10"/>
      <c r="H132" s="10"/>
      <c r="I132" s="10"/>
      <c r="J132" s="10"/>
      <c r="K132" s="575"/>
      <c r="L132" s="152"/>
      <c r="M132" s="164"/>
      <c r="N132" s="62"/>
      <c r="O132" s="62"/>
      <c r="P132" s="64"/>
      <c r="Q132" s="164"/>
      <c r="R132" s="62"/>
      <c r="S132" s="64"/>
      <c r="T132" s="62"/>
      <c r="U132" s="64"/>
      <c r="V132" s="164"/>
      <c r="W132" s="62"/>
      <c r="X132" s="62"/>
      <c r="Y132" s="62"/>
      <c r="Z132" s="64"/>
      <c r="AA132" s="164"/>
      <c r="AB132" s="62"/>
      <c r="AC132" s="62"/>
      <c r="AD132" s="64"/>
      <c r="AE132" s="164"/>
      <c r="AF132" s="62"/>
      <c r="AG132" s="62"/>
      <c r="AH132" s="337"/>
      <c r="AI132" s="337"/>
      <c r="AJ132" s="337"/>
      <c r="AK132" s="337"/>
      <c r="AL132" s="414"/>
      <c r="AM132" s="414"/>
      <c r="AN132" s="45"/>
      <c r="AO132" s="45"/>
      <c r="AP132" s="45"/>
      <c r="AQ132" s="100"/>
      <c r="AR132" s="100"/>
      <c r="AS132" s="24"/>
      <c r="AT132" s="24"/>
      <c r="AU132" s="24"/>
      <c r="AV132" s="24"/>
      <c r="AW132" s="18">
        <v>20</v>
      </c>
      <c r="AX132" s="69" t="s">
        <v>303</v>
      </c>
      <c r="AY132" s="243" t="s">
        <v>158</v>
      </c>
      <c r="AZ132" s="243" t="str">
        <f t="shared" si="28"/>
        <v>Chum</v>
      </c>
      <c r="BA132" s="243" t="s">
        <v>419</v>
      </c>
      <c r="BB132" s="246"/>
      <c r="BC132" s="43" t="str">
        <f t="shared" si="29"/>
        <v>-</v>
      </c>
      <c r="BD132" s="43">
        <f t="shared" si="30"/>
        <v>0</v>
      </c>
      <c r="BE132" s="193">
        <f t="shared" si="31"/>
        <v>0</v>
      </c>
      <c r="BF132" s="193">
        <f t="shared" si="32"/>
        <v>0</v>
      </c>
      <c r="BG132" s="193">
        <f t="shared" si="33"/>
        <v>0</v>
      </c>
      <c r="BH132" s="307" t="str">
        <f t="shared" si="34"/>
        <v>-</v>
      </c>
      <c r="BI132" s="265" t="str">
        <f t="shared" si="52"/>
        <v>-</v>
      </c>
      <c r="BJ132" s="26" t="str">
        <f t="shared" si="35"/>
        <v>KING CREEKChum</v>
      </c>
      <c r="BK132" s="26">
        <f t="shared" si="36"/>
        <v>0</v>
      </c>
      <c r="BL132" s="33">
        <f t="shared" si="51"/>
        <v>0</v>
      </c>
      <c r="BQ132" s="47" t="str">
        <f t="shared" si="37"/>
        <v>KING CREEKChum</v>
      </c>
      <c r="BR132" s="49">
        <f t="shared" si="38"/>
        <v>0</v>
      </c>
      <c r="BS132" s="49">
        <f t="shared" si="39"/>
        <v>0</v>
      </c>
      <c r="BT132" s="31">
        <v>0</v>
      </c>
      <c r="BU132" s="188">
        <f t="shared" si="40"/>
        <v>0</v>
      </c>
      <c r="BV132" s="188" t="str">
        <f t="shared" si="41"/>
        <v xml:space="preserve"> </v>
      </c>
      <c r="BW132" s="188" t="str">
        <f t="shared" si="42"/>
        <v xml:space="preserve"> </v>
      </c>
      <c r="BX132" s="188" t="str">
        <f t="shared" si="43"/>
        <v xml:space="preserve"> </v>
      </c>
      <c r="BY132" s="50" t="str">
        <f t="shared" si="44"/>
        <v>KING CREEK_Chum</v>
      </c>
      <c r="BZ132" s="50" t="str">
        <f>IFERROR(VLOOKUP(BY132,'[1]WCVI Esc'!$C$5:$W$555,18,FALSE),"-")</f>
        <v>-</v>
      </c>
      <c r="CA132" s="50" t="str">
        <f t="shared" si="45"/>
        <v>-</v>
      </c>
      <c r="CB132" s="50" t="str">
        <f>IFERROR(VLOOKUP(BY132,'[1]WCVI Esc'!$C$5:$W$555,19,FALSE),"-")</f>
        <v>-</v>
      </c>
      <c r="CC132" s="50" t="str">
        <f t="shared" si="46"/>
        <v>-</v>
      </c>
      <c r="CE132" s="342" t="str">
        <f t="shared" si="47"/>
        <v>KING CREEK_Chum</v>
      </c>
      <c r="CF132" s="341" t="str">
        <f>IFERROR(VLOOKUP(BY132,'RawPL+D'!$O$8:$AB$503,12,FALSE),"-")</f>
        <v>-</v>
      </c>
      <c r="CG132" s="338" t="str">
        <f t="shared" si="48"/>
        <v>-</v>
      </c>
      <c r="CH132" s="341" t="str">
        <f>IFERROR(VLOOKUP(BY132,'RawPL+D'!$O$8:$AB$503,13,FALSE),"-")</f>
        <v>-</v>
      </c>
      <c r="CI132" s="338" t="str">
        <f t="shared" si="49"/>
        <v>-</v>
      </c>
    </row>
    <row r="133" spans="1:87" ht="12.75" hidden="1" customHeight="1" x14ac:dyDescent="0.2">
      <c r="A133" s="28">
        <v>4</v>
      </c>
      <c r="B133" s="28">
        <v>5</v>
      </c>
      <c r="C133" s="11">
        <v>20</v>
      </c>
      <c r="D133" s="13" t="s">
        <v>303</v>
      </c>
      <c r="E133" s="10" t="s">
        <v>158</v>
      </c>
      <c r="F133" s="10" t="s">
        <v>210</v>
      </c>
      <c r="G133" s="10"/>
      <c r="H133" s="10"/>
      <c r="I133" s="10"/>
      <c r="J133" s="10"/>
      <c r="K133" s="575"/>
      <c r="L133" s="152"/>
      <c r="M133" s="164"/>
      <c r="N133" s="62"/>
      <c r="O133" s="62"/>
      <c r="P133" s="64"/>
      <c r="Q133" s="164"/>
      <c r="R133" s="62"/>
      <c r="S133" s="64"/>
      <c r="T133" s="62"/>
      <c r="U133" s="64"/>
      <c r="V133" s="164"/>
      <c r="W133" s="62"/>
      <c r="X133" s="62"/>
      <c r="Y133" s="62"/>
      <c r="Z133" s="64"/>
      <c r="AA133" s="164"/>
      <c r="AB133" s="62"/>
      <c r="AC133" s="62"/>
      <c r="AD133" s="64"/>
      <c r="AE133" s="164"/>
      <c r="AF133" s="62"/>
      <c r="AG133" s="62"/>
      <c r="AH133" s="337"/>
      <c r="AI133" s="337"/>
      <c r="AJ133" s="337"/>
      <c r="AK133" s="337"/>
      <c r="AL133" s="414"/>
      <c r="AM133" s="414"/>
      <c r="AN133" s="45"/>
      <c r="AO133" s="45"/>
      <c r="AP133" s="45"/>
      <c r="AQ133" s="100"/>
      <c r="AR133" s="100"/>
      <c r="AS133" s="24"/>
      <c r="AT133" s="24"/>
      <c r="AU133" s="24"/>
      <c r="AV133" s="24"/>
      <c r="AW133" s="18">
        <v>20</v>
      </c>
      <c r="AX133" s="69" t="s">
        <v>303</v>
      </c>
      <c r="AY133" s="243" t="s">
        <v>158</v>
      </c>
      <c r="AZ133" s="243" t="str">
        <f t="shared" si="28"/>
        <v>Chinook</v>
      </c>
      <c r="BA133" s="243" t="s">
        <v>419</v>
      </c>
      <c r="BB133" s="246"/>
      <c r="BC133" s="43" t="str">
        <f t="shared" si="29"/>
        <v>-</v>
      </c>
      <c r="BD133" s="43">
        <f t="shared" si="30"/>
        <v>0</v>
      </c>
      <c r="BE133" s="193">
        <f t="shared" si="31"/>
        <v>0</v>
      </c>
      <c r="BF133" s="193">
        <f t="shared" si="32"/>
        <v>0</v>
      </c>
      <c r="BG133" s="193">
        <f t="shared" si="33"/>
        <v>0</v>
      </c>
      <c r="BH133" s="307" t="str">
        <f t="shared" si="34"/>
        <v>-</v>
      </c>
      <c r="BI133" s="265" t="str">
        <f t="shared" si="52"/>
        <v>-</v>
      </c>
      <c r="BJ133" s="26" t="str">
        <f t="shared" si="35"/>
        <v>KING CREEKChinook</v>
      </c>
      <c r="BK133" s="26">
        <f t="shared" si="36"/>
        <v>0</v>
      </c>
      <c r="BL133" s="33">
        <f t="shared" si="51"/>
        <v>0</v>
      </c>
      <c r="BQ133" s="47" t="str">
        <f t="shared" si="37"/>
        <v>KING CREEKChinook</v>
      </c>
      <c r="BR133" s="49">
        <f t="shared" si="38"/>
        <v>0</v>
      </c>
      <c r="BS133" s="49">
        <f t="shared" si="39"/>
        <v>0</v>
      </c>
      <c r="BT133" s="31">
        <v>0</v>
      </c>
      <c r="BU133" s="188">
        <f t="shared" si="40"/>
        <v>0</v>
      </c>
      <c r="BV133" s="188" t="str">
        <f t="shared" si="41"/>
        <v xml:space="preserve"> </v>
      </c>
      <c r="BW133" s="188" t="str">
        <f t="shared" si="42"/>
        <v xml:space="preserve"> </v>
      </c>
      <c r="BX133" s="188" t="str">
        <f t="shared" si="43"/>
        <v xml:space="preserve"> </v>
      </c>
      <c r="BY133" s="50" t="str">
        <f t="shared" si="44"/>
        <v>KING CREEK_Chinook</v>
      </c>
      <c r="BZ133" s="50" t="str">
        <f>IFERROR(VLOOKUP(BY133,'[1]WCVI Esc'!$C$5:$W$555,18,FALSE),"-")</f>
        <v>-</v>
      </c>
      <c r="CA133" s="50" t="str">
        <f t="shared" si="45"/>
        <v>-</v>
      </c>
      <c r="CB133" s="50" t="str">
        <f>IFERROR(VLOOKUP(BY133,'[1]WCVI Esc'!$C$5:$W$555,19,FALSE),"-")</f>
        <v>-</v>
      </c>
      <c r="CC133" s="50" t="str">
        <f t="shared" si="46"/>
        <v>-</v>
      </c>
      <c r="CE133" s="342" t="str">
        <f t="shared" si="47"/>
        <v>KING CREEK_Chinook</v>
      </c>
      <c r="CF133" s="341" t="str">
        <f>IFERROR(VLOOKUP(BY133,'RawPL+D'!$O$8:$AB$503,12,FALSE),"-")</f>
        <v>-</v>
      </c>
      <c r="CG133" s="338" t="str">
        <f t="shared" si="48"/>
        <v>-</v>
      </c>
      <c r="CH133" s="341" t="str">
        <f>IFERROR(VLOOKUP(BY133,'RawPL+D'!$O$8:$AB$503,13,FALSE),"-")</f>
        <v>-</v>
      </c>
      <c r="CI133" s="338" t="str">
        <f t="shared" si="49"/>
        <v>-</v>
      </c>
    </row>
    <row r="134" spans="1:87" ht="12.75" hidden="1" customHeight="1" x14ac:dyDescent="0.2">
      <c r="A134" s="28">
        <v>4</v>
      </c>
      <c r="B134" s="28">
        <v>6</v>
      </c>
      <c r="C134" s="11">
        <v>20</v>
      </c>
      <c r="D134" s="13" t="s">
        <v>303</v>
      </c>
      <c r="E134" s="10" t="s">
        <v>158</v>
      </c>
      <c r="F134" s="10" t="s">
        <v>211</v>
      </c>
      <c r="G134" s="10"/>
      <c r="H134" s="10"/>
      <c r="I134" s="10"/>
      <c r="J134" s="10"/>
      <c r="K134" s="575"/>
      <c r="L134" s="152"/>
      <c r="M134" s="164"/>
      <c r="N134" s="62"/>
      <c r="O134" s="62"/>
      <c r="P134" s="64"/>
      <c r="Q134" s="164"/>
      <c r="R134" s="62"/>
      <c r="S134" s="64"/>
      <c r="T134" s="62"/>
      <c r="U134" s="64"/>
      <c r="V134" s="164"/>
      <c r="W134" s="62"/>
      <c r="X134" s="62"/>
      <c r="Y134" s="62"/>
      <c r="Z134" s="64"/>
      <c r="AA134" s="164"/>
      <c r="AB134" s="62"/>
      <c r="AC134" s="62"/>
      <c r="AD134" s="64"/>
      <c r="AE134" s="164"/>
      <c r="AF134" s="62"/>
      <c r="AG134" s="62"/>
      <c r="AH134" s="337"/>
      <c r="AI134" s="337"/>
      <c r="AJ134" s="337"/>
      <c r="AK134" s="337"/>
      <c r="AL134" s="414"/>
      <c r="AM134" s="414"/>
      <c r="AN134" s="45"/>
      <c r="AO134" s="45"/>
      <c r="AP134" s="45"/>
      <c r="AQ134" s="100"/>
      <c r="AR134" s="100"/>
      <c r="AS134" s="24"/>
      <c r="AT134" s="24"/>
      <c r="AU134" s="24"/>
      <c r="AV134" s="24"/>
      <c r="AW134" s="18">
        <v>20</v>
      </c>
      <c r="AX134" s="69" t="s">
        <v>303</v>
      </c>
      <c r="AY134" s="243" t="s">
        <v>158</v>
      </c>
      <c r="AZ134" s="243" t="str">
        <f t="shared" si="28"/>
        <v>Steelhead</v>
      </c>
      <c r="BA134" s="243" t="s">
        <v>419</v>
      </c>
      <c r="BB134" s="246"/>
      <c r="BC134" s="43" t="str">
        <f t="shared" si="29"/>
        <v>-</v>
      </c>
      <c r="BD134" s="43">
        <f t="shared" si="30"/>
        <v>0</v>
      </c>
      <c r="BE134" s="193">
        <f t="shared" si="31"/>
        <v>0</v>
      </c>
      <c r="BF134" s="193">
        <f t="shared" si="32"/>
        <v>0</v>
      </c>
      <c r="BG134" s="193">
        <f t="shared" si="33"/>
        <v>0</v>
      </c>
      <c r="BH134" s="307" t="str">
        <f t="shared" si="34"/>
        <v>-</v>
      </c>
      <c r="BI134" s="265" t="str">
        <f t="shared" si="52"/>
        <v>-</v>
      </c>
      <c r="BJ134" s="26" t="str">
        <f t="shared" si="35"/>
        <v>KING CREEKSteelhead</v>
      </c>
      <c r="BK134" s="26">
        <f t="shared" si="36"/>
        <v>0</v>
      </c>
      <c r="BL134" s="33">
        <f t="shared" si="51"/>
        <v>0</v>
      </c>
      <c r="BQ134" s="47" t="str">
        <f t="shared" si="37"/>
        <v>KING CREEKSteelhead</v>
      </c>
      <c r="BR134" s="49">
        <f t="shared" si="38"/>
        <v>0</v>
      </c>
      <c r="BS134" s="49">
        <f t="shared" si="39"/>
        <v>0</v>
      </c>
      <c r="BT134" s="31">
        <v>0</v>
      </c>
      <c r="BU134" s="188">
        <f t="shared" si="40"/>
        <v>0</v>
      </c>
      <c r="BV134" s="188" t="str">
        <f t="shared" si="41"/>
        <v xml:space="preserve"> </v>
      </c>
      <c r="BW134" s="188" t="str">
        <f t="shared" si="42"/>
        <v xml:space="preserve"> </v>
      </c>
      <c r="BX134" s="188" t="str">
        <f t="shared" si="43"/>
        <v xml:space="preserve"> </v>
      </c>
      <c r="BY134" s="50" t="str">
        <f t="shared" si="44"/>
        <v>KING CREEK_Steelhead</v>
      </c>
      <c r="BZ134" s="50" t="str">
        <f>IFERROR(VLOOKUP(BY134,'[1]WCVI Esc'!$C$5:$W$555,18,FALSE),"-")</f>
        <v>-</v>
      </c>
      <c r="CA134" s="50" t="str">
        <f t="shared" si="45"/>
        <v>-</v>
      </c>
      <c r="CB134" s="50" t="str">
        <f>IFERROR(VLOOKUP(BY134,'[1]WCVI Esc'!$C$5:$W$555,19,FALSE),"-")</f>
        <v>-</v>
      </c>
      <c r="CC134" s="50" t="str">
        <f t="shared" si="46"/>
        <v>-</v>
      </c>
      <c r="CE134" s="342" t="str">
        <f t="shared" si="47"/>
        <v>KING CREEK_Steelhead</v>
      </c>
      <c r="CF134" s="341" t="str">
        <f>IFERROR(VLOOKUP(BY134,'RawPL+D'!$O$8:$AB$503,12,FALSE),"-")</f>
        <v>-</v>
      </c>
      <c r="CG134" s="338" t="str">
        <f t="shared" si="48"/>
        <v>-</v>
      </c>
      <c r="CH134" s="341" t="str">
        <f>IFERROR(VLOOKUP(BY134,'RawPL+D'!$O$8:$AB$503,13,FALSE),"-")</f>
        <v>-</v>
      </c>
      <c r="CI134" s="338" t="str">
        <f t="shared" si="49"/>
        <v>-</v>
      </c>
    </row>
    <row r="135" spans="1:87" ht="12.75" hidden="1" customHeight="1" x14ac:dyDescent="0.2">
      <c r="A135" s="28">
        <v>4</v>
      </c>
      <c r="B135" s="28">
        <v>1</v>
      </c>
      <c r="C135" s="11">
        <v>20</v>
      </c>
      <c r="D135" s="13" t="s">
        <v>303</v>
      </c>
      <c r="E135" s="10" t="s">
        <v>19</v>
      </c>
      <c r="F135" s="10" t="s">
        <v>207</v>
      </c>
      <c r="G135" s="10"/>
      <c r="H135" s="10"/>
      <c r="I135" s="10"/>
      <c r="J135" s="10"/>
      <c r="K135" s="575"/>
      <c r="L135" s="580"/>
      <c r="M135" s="62"/>
      <c r="N135" s="62"/>
      <c r="O135" s="62"/>
      <c r="P135" s="64"/>
      <c r="Q135" s="164"/>
      <c r="R135" s="62"/>
      <c r="S135" s="62"/>
      <c r="T135" s="62"/>
      <c r="U135" s="177"/>
      <c r="V135" s="164"/>
      <c r="W135" s="62"/>
      <c r="X135" s="62"/>
      <c r="Y135" s="62"/>
      <c r="Z135" s="64"/>
      <c r="AA135" s="164"/>
      <c r="AB135" s="62"/>
      <c r="AC135" s="62"/>
      <c r="AD135" s="64"/>
      <c r="AE135" s="164"/>
      <c r="AF135" s="62"/>
      <c r="AG135" s="62"/>
      <c r="AH135" s="337"/>
      <c r="AI135" s="337"/>
      <c r="AJ135" s="337"/>
      <c r="AK135" s="337"/>
      <c r="AL135" s="414"/>
      <c r="AM135" s="414"/>
      <c r="AN135" s="45"/>
      <c r="AO135" s="45"/>
      <c r="AP135" s="45"/>
      <c r="AQ135" s="100"/>
      <c r="AR135" s="100"/>
      <c r="AS135" s="24"/>
      <c r="AT135" s="24"/>
      <c r="AU135" s="24"/>
      <c r="AV135" s="24"/>
      <c r="AW135" s="18">
        <v>20</v>
      </c>
      <c r="AX135" s="69" t="s">
        <v>303</v>
      </c>
      <c r="AY135" s="243" t="s">
        <v>19</v>
      </c>
      <c r="AZ135" s="243" t="str">
        <f t="shared" si="28"/>
        <v>Sockeye</v>
      </c>
      <c r="BA135" s="243" t="s">
        <v>419</v>
      </c>
      <c r="BB135" s="246"/>
      <c r="BC135" s="43" t="str">
        <f t="shared" si="29"/>
        <v>-</v>
      </c>
      <c r="BD135" s="43">
        <f t="shared" si="30"/>
        <v>0</v>
      </c>
      <c r="BE135" s="193">
        <f t="shared" si="31"/>
        <v>0</v>
      </c>
      <c r="BF135" s="193">
        <f t="shared" si="32"/>
        <v>0</v>
      </c>
      <c r="BG135" s="193">
        <f t="shared" si="33"/>
        <v>0</v>
      </c>
      <c r="BH135" s="307" t="str">
        <f t="shared" si="34"/>
        <v>-</v>
      </c>
      <c r="BI135" s="265" t="str">
        <f t="shared" si="52"/>
        <v>-</v>
      </c>
      <c r="BJ135" s="26" t="str">
        <f t="shared" si="35"/>
        <v>KIRBY CREEKSockeye</v>
      </c>
      <c r="BK135" s="26">
        <f t="shared" si="36"/>
        <v>0</v>
      </c>
      <c r="BL135" s="33">
        <f t="shared" si="51"/>
        <v>0</v>
      </c>
      <c r="BQ135" s="47" t="str">
        <f t="shared" si="37"/>
        <v>KIRBY CREEKSockeye</v>
      </c>
      <c r="BR135" s="49">
        <f t="shared" si="38"/>
        <v>0</v>
      </c>
      <c r="BS135" s="49">
        <f t="shared" si="39"/>
        <v>0</v>
      </c>
      <c r="BT135" s="31">
        <v>0</v>
      </c>
      <c r="BU135" s="188">
        <f t="shared" si="40"/>
        <v>0</v>
      </c>
      <c r="BV135" s="188" t="str">
        <f t="shared" si="41"/>
        <v xml:space="preserve"> </v>
      </c>
      <c r="BW135" s="188" t="str">
        <f t="shared" si="42"/>
        <v xml:space="preserve"> </v>
      </c>
      <c r="BX135" s="188" t="str">
        <f t="shared" si="43"/>
        <v xml:space="preserve"> </v>
      </c>
      <c r="BY135" s="50" t="str">
        <f t="shared" si="44"/>
        <v>KIRBY CREEK_Sockeye</v>
      </c>
      <c r="BZ135" s="50" t="str">
        <f>IFERROR(VLOOKUP(BY135,'[1]WCVI Esc'!$C$5:$W$555,18,FALSE),"-")</f>
        <v>-</v>
      </c>
      <c r="CA135" s="50" t="str">
        <f t="shared" si="45"/>
        <v>-</v>
      </c>
      <c r="CB135" s="50" t="str">
        <f>IFERROR(VLOOKUP(BY135,'[1]WCVI Esc'!$C$5:$W$555,19,FALSE),"-")</f>
        <v>-</v>
      </c>
      <c r="CC135" s="50" t="str">
        <f t="shared" si="46"/>
        <v>-</v>
      </c>
      <c r="CE135" s="342" t="str">
        <f t="shared" si="47"/>
        <v>KIRBY CREEK_Sockeye</v>
      </c>
      <c r="CF135" s="341" t="str">
        <f>IFERROR(VLOOKUP(BY135,'RawPL+D'!$O$8:$AB$503,12,FALSE),"-")</f>
        <v>-</v>
      </c>
      <c r="CG135" s="338" t="str">
        <f t="shared" si="48"/>
        <v>-</v>
      </c>
      <c r="CH135" s="341" t="str">
        <f>IFERROR(VLOOKUP(BY135,'RawPL+D'!$O$8:$AB$503,13,FALSE),"-")</f>
        <v>-</v>
      </c>
      <c r="CI135" s="338" t="str">
        <f t="shared" si="49"/>
        <v>-</v>
      </c>
    </row>
    <row r="136" spans="1:87" ht="12.75" hidden="1" customHeight="1" x14ac:dyDescent="0.2">
      <c r="A136" s="28">
        <v>4</v>
      </c>
      <c r="B136" s="28">
        <v>2</v>
      </c>
      <c r="C136" s="11">
        <v>20</v>
      </c>
      <c r="D136" s="13" t="s">
        <v>303</v>
      </c>
      <c r="E136" s="10" t="s">
        <v>19</v>
      </c>
      <c r="F136" s="10" t="s">
        <v>219</v>
      </c>
      <c r="G136" s="10"/>
      <c r="H136" s="10"/>
      <c r="I136" s="10"/>
      <c r="J136" s="10"/>
      <c r="K136" s="575"/>
      <c r="L136" s="580"/>
      <c r="M136" s="62"/>
      <c r="N136" s="62"/>
      <c r="O136" s="62"/>
      <c r="P136" s="64"/>
      <c r="Q136" s="164"/>
      <c r="R136" s="62"/>
      <c r="S136" s="62"/>
      <c r="T136" s="62"/>
      <c r="U136" s="177"/>
      <c r="V136" s="164"/>
      <c r="W136" s="62"/>
      <c r="X136" s="62"/>
      <c r="Y136" s="62"/>
      <c r="Z136" s="64"/>
      <c r="AA136" s="164"/>
      <c r="AB136" s="62"/>
      <c r="AC136" s="62"/>
      <c r="AD136" s="64"/>
      <c r="AE136" s="164"/>
      <c r="AF136" s="62"/>
      <c r="AG136" s="62"/>
      <c r="AH136" s="337"/>
      <c r="AI136" s="337"/>
      <c r="AJ136" s="337"/>
      <c r="AK136" s="337"/>
      <c r="AL136" s="414"/>
      <c r="AM136" s="414"/>
      <c r="AN136" s="45"/>
      <c r="AO136" s="45"/>
      <c r="AP136" s="45"/>
      <c r="AQ136" s="100"/>
      <c r="AR136" s="100"/>
      <c r="AS136" s="24"/>
      <c r="AT136" s="24"/>
      <c r="AU136" s="24"/>
      <c r="AV136" s="24"/>
      <c r="AW136" s="18">
        <v>20</v>
      </c>
      <c r="AX136" s="69" t="s">
        <v>303</v>
      </c>
      <c r="AY136" s="243" t="s">
        <v>19</v>
      </c>
      <c r="AZ136" s="243" t="str">
        <f t="shared" si="28"/>
        <v>Coho</v>
      </c>
      <c r="BA136" s="243" t="s">
        <v>419</v>
      </c>
      <c r="BB136" s="246"/>
      <c r="BC136" s="43" t="str">
        <f t="shared" si="29"/>
        <v>-</v>
      </c>
      <c r="BD136" s="43">
        <f t="shared" si="30"/>
        <v>0</v>
      </c>
      <c r="BE136" s="193">
        <f t="shared" si="31"/>
        <v>0</v>
      </c>
      <c r="BF136" s="193">
        <f t="shared" si="32"/>
        <v>0</v>
      </c>
      <c r="BG136" s="193">
        <f t="shared" si="33"/>
        <v>0</v>
      </c>
      <c r="BH136" s="307" t="str">
        <f t="shared" si="34"/>
        <v>-</v>
      </c>
      <c r="BI136" s="265" t="str">
        <f t="shared" si="52"/>
        <v>-</v>
      </c>
      <c r="BJ136" s="26" t="str">
        <f t="shared" si="35"/>
        <v>KIRBY CREEKCoho</v>
      </c>
      <c r="BK136" s="26">
        <f t="shared" si="36"/>
        <v>0</v>
      </c>
      <c r="BL136" s="33">
        <f t="shared" si="51"/>
        <v>0</v>
      </c>
      <c r="BQ136" s="47" t="str">
        <f t="shared" si="37"/>
        <v>KIRBY CREEKCoho</v>
      </c>
      <c r="BR136" s="49">
        <f t="shared" si="38"/>
        <v>0</v>
      </c>
      <c r="BS136" s="49">
        <f t="shared" si="39"/>
        <v>0</v>
      </c>
      <c r="BT136" s="31">
        <v>0</v>
      </c>
      <c r="BU136" s="188">
        <f t="shared" si="40"/>
        <v>0</v>
      </c>
      <c r="BV136" s="188" t="str">
        <f t="shared" si="41"/>
        <v xml:space="preserve"> </v>
      </c>
      <c r="BW136" s="188" t="str">
        <f t="shared" si="42"/>
        <v xml:space="preserve"> </v>
      </c>
      <c r="BX136" s="188" t="str">
        <f t="shared" si="43"/>
        <v xml:space="preserve"> </v>
      </c>
      <c r="BY136" s="50" t="str">
        <f t="shared" si="44"/>
        <v>KIRBY CREEK_Coho</v>
      </c>
      <c r="BZ136" s="50" t="str">
        <f>IFERROR(VLOOKUP(BY136,'[1]WCVI Esc'!$C$5:$W$555,18,FALSE),"-")</f>
        <v>-</v>
      </c>
      <c r="CA136" s="50" t="str">
        <f t="shared" si="45"/>
        <v>-</v>
      </c>
      <c r="CB136" s="50" t="str">
        <f>IFERROR(VLOOKUP(BY136,'[1]WCVI Esc'!$C$5:$W$555,19,FALSE),"-")</f>
        <v>-</v>
      </c>
      <c r="CC136" s="50" t="str">
        <f t="shared" si="46"/>
        <v>-</v>
      </c>
      <c r="CE136" s="342" t="str">
        <f t="shared" si="47"/>
        <v>KIRBY CREEK_Coho</v>
      </c>
      <c r="CF136" s="341" t="str">
        <f>IFERROR(VLOOKUP(BY136,'RawPL+D'!$O$8:$AB$503,12,FALSE),"-")</f>
        <v>-</v>
      </c>
      <c r="CG136" s="338" t="str">
        <f t="shared" si="48"/>
        <v>-</v>
      </c>
      <c r="CH136" s="341" t="str">
        <f>IFERROR(VLOOKUP(BY136,'RawPL+D'!$O$8:$AB$503,13,FALSE),"-")</f>
        <v>-</v>
      </c>
      <c r="CI136" s="338" t="str">
        <f t="shared" si="49"/>
        <v>-</v>
      </c>
    </row>
    <row r="137" spans="1:87" ht="12.75" hidden="1" customHeight="1" x14ac:dyDescent="0.2">
      <c r="A137" s="28">
        <v>4</v>
      </c>
      <c r="B137" s="28">
        <v>3</v>
      </c>
      <c r="C137" s="11">
        <v>20</v>
      </c>
      <c r="D137" s="13" t="s">
        <v>303</v>
      </c>
      <c r="E137" s="10" t="s">
        <v>19</v>
      </c>
      <c r="F137" s="10" t="s">
        <v>208</v>
      </c>
      <c r="G137" s="10"/>
      <c r="H137" s="10"/>
      <c r="I137" s="10"/>
      <c r="J137" s="10"/>
      <c r="K137" s="575"/>
      <c r="L137" s="580"/>
      <c r="M137" s="62"/>
      <c r="N137" s="62"/>
      <c r="O137" s="62"/>
      <c r="P137" s="64"/>
      <c r="Q137" s="164"/>
      <c r="R137" s="62"/>
      <c r="S137" s="62"/>
      <c r="T137" s="62"/>
      <c r="U137" s="177"/>
      <c r="V137" s="164"/>
      <c r="W137" s="62"/>
      <c r="X137" s="62"/>
      <c r="Y137" s="62"/>
      <c r="Z137" s="64"/>
      <c r="AA137" s="164"/>
      <c r="AB137" s="62"/>
      <c r="AC137" s="62"/>
      <c r="AD137" s="64"/>
      <c r="AE137" s="164"/>
      <c r="AF137" s="62"/>
      <c r="AG137" s="62"/>
      <c r="AH137" s="337"/>
      <c r="AI137" s="337"/>
      <c r="AJ137" s="337"/>
      <c r="AK137" s="337"/>
      <c r="AL137" s="414"/>
      <c r="AM137" s="414"/>
      <c r="AN137" s="45"/>
      <c r="AO137" s="45"/>
      <c r="AP137" s="45"/>
      <c r="AQ137" s="100"/>
      <c r="AR137" s="100"/>
      <c r="AS137" s="24"/>
      <c r="AT137" s="24"/>
      <c r="AU137" s="24"/>
      <c r="AV137" s="24"/>
      <c r="AW137" s="18">
        <v>20</v>
      </c>
      <c r="AX137" s="69" t="s">
        <v>303</v>
      </c>
      <c r="AY137" s="243" t="s">
        <v>19</v>
      </c>
      <c r="AZ137" s="243" t="str">
        <f t="shared" ref="AZ137:AZ200" si="53">F137</f>
        <v>Pink</v>
      </c>
      <c r="BA137" s="243" t="s">
        <v>419</v>
      </c>
      <c r="BB137" s="246"/>
      <c r="BC137" s="43" t="str">
        <f t="shared" ref="BC137:BC200" si="54">IF(BX137=" ",IF(BW137=" ", IF(BV137=" ","-",BV137),BW137), BX137)</f>
        <v>-</v>
      </c>
      <c r="BD137" s="43">
        <f t="shared" ref="BD137:BD200" si="55">BK137</f>
        <v>0</v>
      </c>
      <c r="BE137" s="193">
        <f t="shared" ref="BE137:BE200" si="56">BL137</f>
        <v>0</v>
      </c>
      <c r="BF137" s="193">
        <f t="shared" ref="BF137:BF200" si="57">AL137</f>
        <v>0</v>
      </c>
      <c r="BG137" s="193">
        <f t="shared" ref="BG137:BG200" si="58">AH137</f>
        <v>0</v>
      </c>
      <c r="BH137" s="307" t="str">
        <f t="shared" ref="BH137:BH200" si="59">CI137</f>
        <v>-</v>
      </c>
      <c r="BI137" s="265" t="str">
        <f t="shared" si="52"/>
        <v>-</v>
      </c>
      <c r="BJ137" s="26" t="str">
        <f t="shared" ref="BJ137:BJ200" si="60">CONCATENATE(E137,F137)</f>
        <v>KIRBY CREEKPink</v>
      </c>
      <c r="BK137" s="26">
        <f t="shared" ref="BK137:BK200" si="61">COUNT(K137:AB137)</f>
        <v>0</v>
      </c>
      <c r="BL137" s="33">
        <f t="shared" si="51"/>
        <v>0</v>
      </c>
      <c r="BQ137" s="47" t="str">
        <f t="shared" ref="BQ137:BQ200" si="62">CONCATENATE(E137,F137)</f>
        <v>KIRBY CREEKPink</v>
      </c>
      <c r="BR137" s="49">
        <f t="shared" ref="BR137:BR200" si="63">AP137</f>
        <v>0</v>
      </c>
      <c r="BS137" s="49">
        <f t="shared" ref="BS137:BS200" si="64">AL137</f>
        <v>0</v>
      </c>
      <c r="BT137" s="31">
        <v>0</v>
      </c>
      <c r="BU137" s="188">
        <f t="shared" ref="BU137:BU200" si="65">BB137</f>
        <v>0</v>
      </c>
      <c r="BV137" s="188" t="str">
        <f t="shared" ref="BV137:BV200" si="66">IF(ISNUMBER(Q137),Q$8,IF(ISNUMBER(P137),P$8,IF(ISNUMBER(O137),O$8,IF(ISNUMBER(N137),N$8,IF(ISNUMBER(M137),M$8,IF(ISNUMBER(L137),L$8, IF(ISNUMBER(K137),K$8," ")))))))</f>
        <v xml:space="preserve"> </v>
      </c>
      <c r="BW137" s="188" t="str">
        <f t="shared" ref="BW137:BW200" si="67">IF(ISNUMBER(W137),W$8,IF(ISNUMBER(V137),V$8,IF(ISNUMBER(U137),U$8,IF(ISNUMBER(T137),T$8,IF(ISNUMBER(S137),S$8,IF(ISNUMBER(R137),R$8," "))))))</f>
        <v xml:space="preserve"> </v>
      </c>
      <c r="BX137" s="188" t="str">
        <f t="shared" ref="BX137:BX200" si="68">IF(ISNUMBER(AB137),AB$8,IF(ISNUMBER(AA137),AA$8,IF(ISNUMBER(Z137),Z$8,IF(ISNUMBER(Y137),Y$8,IF(ISNUMBER(X137),X$8," ")))))</f>
        <v xml:space="preserve"> </v>
      </c>
      <c r="BY137" s="50" t="str">
        <f t="shared" ref="BY137:BY200" si="69">CONCATENATE(E137,"_",F137)</f>
        <v>KIRBY CREEK_Pink</v>
      </c>
      <c r="BZ137" s="50" t="str">
        <f>IFERROR(VLOOKUP(BY137,'[1]WCVI Esc'!$C$5:$W$555,18,FALSE),"-")</f>
        <v>-</v>
      </c>
      <c r="CA137" s="50" t="str">
        <f t="shared" ref="CA137:CA200" si="70">IFERROR(ROUND(BZ137,-1),"-")</f>
        <v>-</v>
      </c>
      <c r="CB137" s="50" t="str">
        <f>IFERROR(VLOOKUP(BY137,'[1]WCVI Esc'!$C$5:$W$555,19,FALSE),"-")</f>
        <v>-</v>
      </c>
      <c r="CC137" s="50" t="str">
        <f t="shared" ref="CC137:CC200" si="71">IFERROR(ROUND(CB137,-1),"-")</f>
        <v>-</v>
      </c>
      <c r="CE137" s="342" t="str">
        <f t="shared" ref="CE137:CE200" si="72">CONCATENATE(E137,"_",F137)</f>
        <v>KIRBY CREEK_Pink</v>
      </c>
      <c r="CF137" s="341" t="str">
        <f>IFERROR(VLOOKUP(BY137,'RawPL+D'!$O$8:$AB$503,12,FALSE),"-")</f>
        <v>-</v>
      </c>
      <c r="CG137" s="338" t="str">
        <f t="shared" ref="CG137:CG200" si="73">IFERROR(ROUND(CF137,-1),"-")</f>
        <v>-</v>
      </c>
      <c r="CH137" s="341" t="str">
        <f>IFERROR(VLOOKUP(BY137,'RawPL+D'!$O$8:$AB$503,13,FALSE),"-")</f>
        <v>-</v>
      </c>
      <c r="CI137" s="338" t="str">
        <f t="shared" ref="CI137:CI200" si="74">IFERROR(ROUND(CH137,-1),"-")</f>
        <v>-</v>
      </c>
    </row>
    <row r="138" spans="1:87" ht="12.75" hidden="1" customHeight="1" x14ac:dyDescent="0.2">
      <c r="A138" s="28">
        <v>4</v>
      </c>
      <c r="B138" s="28">
        <v>4</v>
      </c>
      <c r="C138" s="11">
        <v>20</v>
      </c>
      <c r="D138" s="13" t="s">
        <v>303</v>
      </c>
      <c r="E138" s="10" t="s">
        <v>19</v>
      </c>
      <c r="F138" s="10" t="s">
        <v>209</v>
      </c>
      <c r="G138" s="10"/>
      <c r="H138" s="10"/>
      <c r="I138" s="10"/>
      <c r="J138" s="10"/>
      <c r="K138" s="575"/>
      <c r="L138" s="580"/>
      <c r="M138" s="62"/>
      <c r="N138" s="62"/>
      <c r="O138" s="62"/>
      <c r="P138" s="64"/>
      <c r="Q138" s="164"/>
      <c r="R138" s="164"/>
      <c r="S138" s="62"/>
      <c r="T138" s="62"/>
      <c r="U138" s="177"/>
      <c r="V138" s="164"/>
      <c r="W138" s="62"/>
      <c r="X138" s="62"/>
      <c r="Y138" s="62"/>
      <c r="Z138" s="64"/>
      <c r="AA138" s="164"/>
      <c r="AB138" s="62"/>
      <c r="AC138" s="62"/>
      <c r="AD138" s="64"/>
      <c r="AE138" s="164"/>
      <c r="AF138" s="62"/>
      <c r="AG138" s="62"/>
      <c r="AH138" s="337"/>
      <c r="AI138" s="337"/>
      <c r="AJ138" s="337"/>
      <c r="AK138" s="337"/>
      <c r="AL138" s="414"/>
      <c r="AM138" s="414"/>
      <c r="AN138" s="45"/>
      <c r="AO138" s="45"/>
      <c r="AP138" s="45"/>
      <c r="AQ138" s="100"/>
      <c r="AR138"/>
      <c r="AS138" s="24"/>
      <c r="AT138" s="24"/>
      <c r="AU138" s="24"/>
      <c r="AV138" s="24"/>
      <c r="AW138" s="18">
        <v>20</v>
      </c>
      <c r="AX138" s="69" t="s">
        <v>303</v>
      </c>
      <c r="AY138" s="243" t="s">
        <v>19</v>
      </c>
      <c r="AZ138" s="243" t="str">
        <f t="shared" si="53"/>
        <v>Chum</v>
      </c>
      <c r="BA138" s="243" t="s">
        <v>419</v>
      </c>
      <c r="BB138" s="246"/>
      <c r="BC138" s="43" t="str">
        <f t="shared" si="54"/>
        <v>-</v>
      </c>
      <c r="BD138" s="43">
        <f t="shared" si="55"/>
        <v>0</v>
      </c>
      <c r="BE138" s="193">
        <f t="shared" si="56"/>
        <v>0</v>
      </c>
      <c r="BF138" s="193">
        <f t="shared" si="57"/>
        <v>0</v>
      </c>
      <c r="BG138" s="193">
        <f t="shared" si="58"/>
        <v>0</v>
      </c>
      <c r="BH138" s="307" t="str">
        <f t="shared" si="59"/>
        <v>-</v>
      </c>
      <c r="BI138" s="265" t="str">
        <f t="shared" si="52"/>
        <v>-</v>
      </c>
      <c r="BJ138" s="26" t="str">
        <f t="shared" si="60"/>
        <v>KIRBY CREEKChum</v>
      </c>
      <c r="BK138" s="26">
        <f t="shared" si="61"/>
        <v>0</v>
      </c>
      <c r="BL138" s="33">
        <f t="shared" si="51"/>
        <v>0</v>
      </c>
      <c r="BQ138" s="47" t="str">
        <f t="shared" si="62"/>
        <v>KIRBY CREEKChum</v>
      </c>
      <c r="BR138" s="49">
        <f t="shared" si="63"/>
        <v>0</v>
      </c>
      <c r="BS138" s="49">
        <f t="shared" si="64"/>
        <v>0</v>
      </c>
      <c r="BT138" s="31">
        <v>0</v>
      </c>
      <c r="BU138" s="188">
        <f t="shared" si="65"/>
        <v>0</v>
      </c>
      <c r="BV138" s="188" t="str">
        <f t="shared" si="66"/>
        <v xml:space="preserve"> </v>
      </c>
      <c r="BW138" s="188" t="str">
        <f t="shared" si="67"/>
        <v xml:space="preserve"> </v>
      </c>
      <c r="BX138" s="188" t="str">
        <f t="shared" si="68"/>
        <v xml:space="preserve"> </v>
      </c>
      <c r="BY138" s="50" t="str">
        <f t="shared" si="69"/>
        <v>KIRBY CREEK_Chum</v>
      </c>
      <c r="BZ138" s="50" t="str">
        <f>IFERROR(VLOOKUP(BY138,'[1]WCVI Esc'!$C$5:$W$555,18,FALSE),"-")</f>
        <v>-</v>
      </c>
      <c r="CA138" s="50" t="str">
        <f t="shared" si="70"/>
        <v>-</v>
      </c>
      <c r="CB138" s="50" t="str">
        <f>IFERROR(VLOOKUP(BY138,'[1]WCVI Esc'!$C$5:$W$555,19,FALSE),"-")</f>
        <v>-</v>
      </c>
      <c r="CC138" s="50" t="str">
        <f t="shared" si="71"/>
        <v>-</v>
      </c>
      <c r="CE138" s="342" t="str">
        <f t="shared" si="72"/>
        <v>KIRBY CREEK_Chum</v>
      </c>
      <c r="CF138" s="341" t="str">
        <f>IFERROR(VLOOKUP(BY138,'RawPL+D'!$O$8:$AB$503,12,FALSE),"-")</f>
        <v>-</v>
      </c>
      <c r="CG138" s="338" t="str">
        <f t="shared" si="73"/>
        <v>-</v>
      </c>
      <c r="CH138" s="341" t="str">
        <f>IFERROR(VLOOKUP(BY138,'RawPL+D'!$O$8:$AB$503,13,FALSE),"-")</f>
        <v>-</v>
      </c>
      <c r="CI138" s="338" t="str">
        <f t="shared" si="74"/>
        <v>-</v>
      </c>
    </row>
    <row r="139" spans="1:87" ht="12.75" hidden="1" customHeight="1" x14ac:dyDescent="0.2">
      <c r="A139" s="28">
        <v>4</v>
      </c>
      <c r="B139" s="28">
        <v>5</v>
      </c>
      <c r="C139" s="11">
        <v>20</v>
      </c>
      <c r="D139" s="13" t="s">
        <v>303</v>
      </c>
      <c r="E139" s="10" t="s">
        <v>19</v>
      </c>
      <c r="F139" s="10" t="s">
        <v>210</v>
      </c>
      <c r="G139" s="10"/>
      <c r="H139" s="10"/>
      <c r="I139" s="10"/>
      <c r="J139" s="10"/>
      <c r="K139" s="575"/>
      <c r="L139" s="580"/>
      <c r="M139" s="62"/>
      <c r="N139" s="62"/>
      <c r="O139" s="62"/>
      <c r="P139" s="64"/>
      <c r="Q139" s="164"/>
      <c r="R139" s="164"/>
      <c r="S139" s="62"/>
      <c r="T139" s="62"/>
      <c r="U139" s="177"/>
      <c r="V139" s="164"/>
      <c r="W139" s="62"/>
      <c r="X139" s="62"/>
      <c r="Y139" s="62"/>
      <c r="Z139" s="64"/>
      <c r="AA139" s="164"/>
      <c r="AB139" s="62"/>
      <c r="AC139" s="62"/>
      <c r="AD139" s="64"/>
      <c r="AE139" s="164"/>
      <c r="AF139" s="62"/>
      <c r="AG139" s="62"/>
      <c r="AH139" s="337"/>
      <c r="AI139" s="337"/>
      <c r="AJ139" s="337"/>
      <c r="AK139" s="337"/>
      <c r="AL139" s="414"/>
      <c r="AM139" s="414"/>
      <c r="AN139" s="45"/>
      <c r="AO139" s="45"/>
      <c r="AP139" s="45"/>
      <c r="AQ139" s="100"/>
      <c r="AR139"/>
      <c r="AS139" s="24"/>
      <c r="AT139" s="24"/>
      <c r="AU139" s="24"/>
      <c r="AV139" s="24"/>
      <c r="AW139" s="18">
        <v>20</v>
      </c>
      <c r="AX139" s="69" t="s">
        <v>303</v>
      </c>
      <c r="AY139" s="243" t="s">
        <v>19</v>
      </c>
      <c r="AZ139" s="243" t="str">
        <f t="shared" si="53"/>
        <v>Chinook</v>
      </c>
      <c r="BA139" s="243" t="s">
        <v>419</v>
      </c>
      <c r="BB139" s="246"/>
      <c r="BC139" s="43" t="str">
        <f t="shared" si="54"/>
        <v>-</v>
      </c>
      <c r="BD139" s="43">
        <f t="shared" si="55"/>
        <v>0</v>
      </c>
      <c r="BE139" s="193">
        <f t="shared" si="56"/>
        <v>0</v>
      </c>
      <c r="BF139" s="193">
        <f t="shared" si="57"/>
        <v>0</v>
      </c>
      <c r="BG139" s="193">
        <f t="shared" si="58"/>
        <v>0</v>
      </c>
      <c r="BH139" s="307" t="str">
        <f t="shared" si="59"/>
        <v>-</v>
      </c>
      <c r="BI139" s="265" t="str">
        <f t="shared" si="52"/>
        <v>-</v>
      </c>
      <c r="BJ139" s="26" t="str">
        <f t="shared" si="60"/>
        <v>KIRBY CREEKChinook</v>
      </c>
      <c r="BK139" s="26">
        <f t="shared" si="61"/>
        <v>0</v>
      </c>
      <c r="BL139" s="33">
        <f t="shared" si="51"/>
        <v>0</v>
      </c>
      <c r="BQ139" s="47" t="str">
        <f t="shared" si="62"/>
        <v>KIRBY CREEKChinook</v>
      </c>
      <c r="BR139" s="49">
        <f t="shared" si="63"/>
        <v>0</v>
      </c>
      <c r="BS139" s="49">
        <f t="shared" si="64"/>
        <v>0</v>
      </c>
      <c r="BT139" s="31">
        <v>0</v>
      </c>
      <c r="BU139" s="188">
        <f t="shared" si="65"/>
        <v>0</v>
      </c>
      <c r="BV139" s="188" t="str">
        <f t="shared" si="66"/>
        <v xml:space="preserve"> </v>
      </c>
      <c r="BW139" s="188" t="str">
        <f t="shared" si="67"/>
        <v xml:space="preserve"> </v>
      </c>
      <c r="BX139" s="188" t="str">
        <f t="shared" si="68"/>
        <v xml:space="preserve"> </v>
      </c>
      <c r="BY139" s="50" t="str">
        <f t="shared" si="69"/>
        <v>KIRBY CREEK_Chinook</v>
      </c>
      <c r="BZ139" s="50" t="str">
        <f>IFERROR(VLOOKUP(BY139,'[1]WCVI Esc'!$C$5:$W$555,18,FALSE),"-")</f>
        <v>-</v>
      </c>
      <c r="CA139" s="50" t="str">
        <f t="shared" si="70"/>
        <v>-</v>
      </c>
      <c r="CB139" s="50" t="str">
        <f>IFERROR(VLOOKUP(BY139,'[1]WCVI Esc'!$C$5:$W$555,19,FALSE),"-")</f>
        <v>-</v>
      </c>
      <c r="CC139" s="50" t="str">
        <f t="shared" si="71"/>
        <v>-</v>
      </c>
      <c r="CE139" s="342" t="str">
        <f t="shared" si="72"/>
        <v>KIRBY CREEK_Chinook</v>
      </c>
      <c r="CF139" s="341" t="str">
        <f>IFERROR(VLOOKUP(BY139,'RawPL+D'!$O$8:$AB$503,12,FALSE),"-")</f>
        <v>-</v>
      </c>
      <c r="CG139" s="338" t="str">
        <f t="shared" si="73"/>
        <v>-</v>
      </c>
      <c r="CH139" s="341" t="str">
        <f>IFERROR(VLOOKUP(BY139,'RawPL+D'!$O$8:$AB$503,13,FALSE),"-")</f>
        <v>-</v>
      </c>
      <c r="CI139" s="338" t="str">
        <f t="shared" si="74"/>
        <v>-</v>
      </c>
    </row>
    <row r="140" spans="1:87" ht="12.75" hidden="1" customHeight="1" x14ac:dyDescent="0.2">
      <c r="A140" s="28">
        <v>4</v>
      </c>
      <c r="B140" s="28">
        <v>6</v>
      </c>
      <c r="C140" s="11">
        <v>20</v>
      </c>
      <c r="D140" s="13" t="s">
        <v>303</v>
      </c>
      <c r="E140" s="10" t="s">
        <v>19</v>
      </c>
      <c r="F140" s="10" t="s">
        <v>211</v>
      </c>
      <c r="G140" s="10"/>
      <c r="H140" s="10"/>
      <c r="I140" s="10"/>
      <c r="J140" s="10"/>
      <c r="K140" s="575"/>
      <c r="L140" s="580"/>
      <c r="M140" s="62"/>
      <c r="N140" s="62"/>
      <c r="O140" s="62"/>
      <c r="P140" s="64"/>
      <c r="Q140" s="164"/>
      <c r="R140" s="62"/>
      <c r="S140" s="62"/>
      <c r="T140" s="62"/>
      <c r="U140" s="177"/>
      <c r="V140" s="164"/>
      <c r="W140" s="62"/>
      <c r="X140" s="62"/>
      <c r="Y140" s="62"/>
      <c r="Z140" s="64"/>
      <c r="AA140" s="164"/>
      <c r="AB140" s="62"/>
      <c r="AC140" s="62"/>
      <c r="AD140" s="64"/>
      <c r="AE140" s="164"/>
      <c r="AF140" s="62"/>
      <c r="AG140" s="62"/>
      <c r="AH140" s="337"/>
      <c r="AI140" s="337"/>
      <c r="AJ140" s="337"/>
      <c r="AK140" s="337"/>
      <c r="AL140" s="414"/>
      <c r="AM140" s="414"/>
      <c r="AN140" s="45"/>
      <c r="AO140" s="45"/>
      <c r="AP140" s="45"/>
      <c r="AQ140" s="100"/>
      <c r="AR140"/>
      <c r="AS140" s="24"/>
      <c r="AT140" s="24"/>
      <c r="AU140" s="24"/>
      <c r="AV140" s="24"/>
      <c r="AW140" s="18">
        <v>20</v>
      </c>
      <c r="AX140" s="69" t="s">
        <v>303</v>
      </c>
      <c r="AY140" s="243" t="s">
        <v>19</v>
      </c>
      <c r="AZ140" s="243" t="str">
        <f t="shared" si="53"/>
        <v>Steelhead</v>
      </c>
      <c r="BA140" s="243" t="s">
        <v>419</v>
      </c>
      <c r="BB140" s="246"/>
      <c r="BC140" s="43" t="str">
        <f t="shared" si="54"/>
        <v>-</v>
      </c>
      <c r="BD140" s="43">
        <f t="shared" si="55"/>
        <v>0</v>
      </c>
      <c r="BE140" s="193">
        <f t="shared" si="56"/>
        <v>0</v>
      </c>
      <c r="BF140" s="193">
        <f t="shared" si="57"/>
        <v>0</v>
      </c>
      <c r="BG140" s="193">
        <f t="shared" si="58"/>
        <v>0</v>
      </c>
      <c r="BH140" s="307" t="str">
        <f t="shared" si="59"/>
        <v>-</v>
      </c>
      <c r="BI140" s="265" t="str">
        <f t="shared" si="52"/>
        <v>-</v>
      </c>
      <c r="BJ140" s="26" t="str">
        <f t="shared" si="60"/>
        <v>KIRBY CREEKSteelhead</v>
      </c>
      <c r="BK140" s="26">
        <f t="shared" si="61"/>
        <v>0</v>
      </c>
      <c r="BL140" s="33">
        <f t="shared" si="51"/>
        <v>0</v>
      </c>
      <c r="BQ140" s="47" t="str">
        <f t="shared" si="62"/>
        <v>KIRBY CREEKSteelhead</v>
      </c>
      <c r="BR140" s="49">
        <f t="shared" si="63"/>
        <v>0</v>
      </c>
      <c r="BS140" s="49">
        <f t="shared" si="64"/>
        <v>0</v>
      </c>
      <c r="BT140" s="31">
        <v>0</v>
      </c>
      <c r="BU140" s="188">
        <f t="shared" si="65"/>
        <v>0</v>
      </c>
      <c r="BV140" s="188" t="str">
        <f t="shared" si="66"/>
        <v xml:space="preserve"> </v>
      </c>
      <c r="BW140" s="188" t="str">
        <f t="shared" si="67"/>
        <v xml:space="preserve"> </v>
      </c>
      <c r="BX140" s="188" t="str">
        <f t="shared" si="68"/>
        <v xml:space="preserve"> </v>
      </c>
      <c r="BY140" s="50" t="str">
        <f t="shared" si="69"/>
        <v>KIRBY CREEK_Steelhead</v>
      </c>
      <c r="BZ140" s="50" t="str">
        <f>IFERROR(VLOOKUP(BY140,'[1]WCVI Esc'!$C$5:$W$555,18,FALSE),"-")</f>
        <v>-</v>
      </c>
      <c r="CA140" s="50" t="str">
        <f t="shared" si="70"/>
        <v>-</v>
      </c>
      <c r="CB140" s="50" t="str">
        <f>IFERROR(VLOOKUP(BY140,'[1]WCVI Esc'!$C$5:$W$555,19,FALSE),"-")</f>
        <v>-</v>
      </c>
      <c r="CC140" s="50" t="str">
        <f t="shared" si="71"/>
        <v>-</v>
      </c>
      <c r="CE140" s="342" t="str">
        <f t="shared" si="72"/>
        <v>KIRBY CREEK_Steelhead</v>
      </c>
      <c r="CF140" s="341" t="str">
        <f>IFERROR(VLOOKUP(BY140,'RawPL+D'!$O$8:$AB$503,12,FALSE),"-")</f>
        <v>-</v>
      </c>
      <c r="CG140" s="338" t="str">
        <f t="shared" si="73"/>
        <v>-</v>
      </c>
      <c r="CH140" s="341" t="str">
        <f>IFERROR(VLOOKUP(BY140,'RawPL+D'!$O$8:$AB$503,13,FALSE),"-")</f>
        <v>-</v>
      </c>
      <c r="CI140" s="338" t="str">
        <f t="shared" si="74"/>
        <v>-</v>
      </c>
    </row>
    <row r="141" spans="1:87" ht="12.75" hidden="1" customHeight="1" x14ac:dyDescent="0.2">
      <c r="A141" s="28">
        <v>4</v>
      </c>
      <c r="B141" s="28">
        <v>1</v>
      </c>
      <c r="C141" s="11">
        <v>20</v>
      </c>
      <c r="D141" s="13" t="s">
        <v>303</v>
      </c>
      <c r="E141" s="10" t="s">
        <v>159</v>
      </c>
      <c r="F141" s="10" t="s">
        <v>207</v>
      </c>
      <c r="G141" s="10"/>
      <c r="H141" s="10"/>
      <c r="I141" s="10"/>
      <c r="J141" s="10"/>
      <c r="K141" s="575"/>
      <c r="L141" s="152"/>
      <c r="M141" s="164"/>
      <c r="N141" s="62"/>
      <c r="O141" s="62"/>
      <c r="P141" s="64"/>
      <c r="Q141" s="164"/>
      <c r="R141" s="62"/>
      <c r="S141" s="62"/>
      <c r="T141" s="62"/>
      <c r="U141" s="64"/>
      <c r="V141" s="164"/>
      <c r="W141" s="62"/>
      <c r="X141" s="62"/>
      <c r="Y141" s="62"/>
      <c r="Z141" s="64"/>
      <c r="AA141" s="164"/>
      <c r="AB141" s="62"/>
      <c r="AC141" s="62"/>
      <c r="AD141" s="64"/>
      <c r="AE141" s="164"/>
      <c r="AF141" s="62"/>
      <c r="AG141" s="62"/>
      <c r="AH141" s="337"/>
      <c r="AI141" s="337"/>
      <c r="AJ141" s="337"/>
      <c r="AK141" s="337"/>
      <c r="AL141" s="414"/>
      <c r="AM141" s="414"/>
      <c r="AN141" s="45"/>
      <c r="AO141" s="45"/>
      <c r="AP141" s="45"/>
      <c r="AQ141" s="100"/>
      <c r="AR141"/>
      <c r="AS141" s="24"/>
      <c r="AT141" s="24"/>
      <c r="AU141" s="24"/>
      <c r="AV141" s="24"/>
      <c r="AW141" s="18">
        <v>20</v>
      </c>
      <c r="AX141" s="69" t="s">
        <v>303</v>
      </c>
      <c r="AY141" s="243" t="s">
        <v>159</v>
      </c>
      <c r="AZ141" s="243" t="str">
        <f t="shared" si="53"/>
        <v>Sockeye</v>
      </c>
      <c r="BA141" s="243" t="s">
        <v>419</v>
      </c>
      <c r="BB141" s="246"/>
      <c r="BC141" s="43" t="str">
        <f t="shared" si="54"/>
        <v>-</v>
      </c>
      <c r="BD141" s="43">
        <f t="shared" si="55"/>
        <v>0</v>
      </c>
      <c r="BE141" s="193">
        <f t="shared" si="56"/>
        <v>0</v>
      </c>
      <c r="BF141" s="193">
        <f t="shared" si="57"/>
        <v>0</v>
      </c>
      <c r="BG141" s="193">
        <f t="shared" si="58"/>
        <v>0</v>
      </c>
      <c r="BH141" s="307" t="str">
        <f t="shared" si="59"/>
        <v>-</v>
      </c>
      <c r="BI141" s="265" t="str">
        <f t="shared" si="52"/>
        <v>-</v>
      </c>
      <c r="BJ141" s="26" t="str">
        <f t="shared" si="60"/>
        <v>LANNON CREEKSockeye</v>
      </c>
      <c r="BK141" s="26">
        <f t="shared" si="61"/>
        <v>0</v>
      </c>
      <c r="BL141" s="33">
        <f t="shared" si="51"/>
        <v>0</v>
      </c>
      <c r="BQ141" s="47" t="str">
        <f t="shared" si="62"/>
        <v>LANNON CREEKSockeye</v>
      </c>
      <c r="BR141" s="49">
        <f t="shared" si="63"/>
        <v>0</v>
      </c>
      <c r="BS141" s="49">
        <f t="shared" si="64"/>
        <v>0</v>
      </c>
      <c r="BT141" s="31">
        <v>0</v>
      </c>
      <c r="BU141" s="188">
        <f t="shared" si="65"/>
        <v>0</v>
      </c>
      <c r="BV141" s="188" t="str">
        <f t="shared" si="66"/>
        <v xml:space="preserve"> </v>
      </c>
      <c r="BW141" s="188" t="str">
        <f t="shared" si="67"/>
        <v xml:space="preserve"> </v>
      </c>
      <c r="BX141" s="188" t="str">
        <f t="shared" si="68"/>
        <v xml:space="preserve"> </v>
      </c>
      <c r="BY141" s="50" t="str">
        <f t="shared" si="69"/>
        <v>LANNON CREEK_Sockeye</v>
      </c>
      <c r="BZ141" s="50" t="str">
        <f>IFERROR(VLOOKUP(BY141,'[1]WCVI Esc'!$C$5:$W$555,18,FALSE),"-")</f>
        <v>-</v>
      </c>
      <c r="CA141" s="50" t="str">
        <f t="shared" si="70"/>
        <v>-</v>
      </c>
      <c r="CB141" s="50" t="str">
        <f>IFERROR(VLOOKUP(BY141,'[1]WCVI Esc'!$C$5:$W$555,19,FALSE),"-")</f>
        <v>-</v>
      </c>
      <c r="CC141" s="50" t="str">
        <f t="shared" si="71"/>
        <v>-</v>
      </c>
      <c r="CE141" s="342" t="str">
        <f t="shared" si="72"/>
        <v>LANNON CREEK_Sockeye</v>
      </c>
      <c r="CF141" s="341" t="str">
        <f>IFERROR(VLOOKUP(BY141,'RawPL+D'!$O$8:$AB$503,12,FALSE),"-")</f>
        <v>-</v>
      </c>
      <c r="CG141" s="338" t="str">
        <f t="shared" si="73"/>
        <v>-</v>
      </c>
      <c r="CH141" s="341" t="str">
        <f>IFERROR(VLOOKUP(BY141,'RawPL+D'!$O$8:$AB$503,13,FALSE),"-")</f>
        <v>-</v>
      </c>
      <c r="CI141" s="338" t="str">
        <f t="shared" si="74"/>
        <v>-</v>
      </c>
    </row>
    <row r="142" spans="1:87" ht="12.75" hidden="1" customHeight="1" x14ac:dyDescent="0.2">
      <c r="A142" s="28">
        <v>4</v>
      </c>
      <c r="B142" s="28">
        <v>2</v>
      </c>
      <c r="C142" s="11">
        <v>20</v>
      </c>
      <c r="D142" s="13" t="s">
        <v>303</v>
      </c>
      <c r="E142" s="10" t="s">
        <v>159</v>
      </c>
      <c r="F142" s="10" t="s">
        <v>219</v>
      </c>
      <c r="G142" s="10"/>
      <c r="H142" s="10"/>
      <c r="I142" s="10"/>
      <c r="J142" s="10"/>
      <c r="K142" s="575"/>
      <c r="L142" s="152"/>
      <c r="M142" s="164"/>
      <c r="N142" s="62"/>
      <c r="O142" s="62"/>
      <c r="P142" s="64"/>
      <c r="Q142" s="164"/>
      <c r="R142" s="62"/>
      <c r="S142" s="62"/>
      <c r="T142" s="62"/>
      <c r="U142" s="64"/>
      <c r="V142" s="164"/>
      <c r="W142" s="62"/>
      <c r="X142" s="62"/>
      <c r="Y142" s="62"/>
      <c r="Z142" s="64"/>
      <c r="AA142" s="164"/>
      <c r="AB142" s="62"/>
      <c r="AC142" s="62"/>
      <c r="AD142" s="64"/>
      <c r="AE142" s="164"/>
      <c r="AF142" s="62"/>
      <c r="AG142" s="62"/>
      <c r="AH142" s="337"/>
      <c r="AI142" s="337"/>
      <c r="AJ142" s="337"/>
      <c r="AK142" s="337"/>
      <c r="AL142" s="414"/>
      <c r="AM142" s="414"/>
      <c r="AN142" s="45"/>
      <c r="AO142" s="45"/>
      <c r="AP142" s="45"/>
      <c r="AQ142" s="100"/>
      <c r="AR142"/>
      <c r="AS142" s="24"/>
      <c r="AT142" s="24"/>
      <c r="AU142" s="24"/>
      <c r="AV142" s="24"/>
      <c r="AW142" s="18">
        <v>20</v>
      </c>
      <c r="AX142" s="69" t="s">
        <v>303</v>
      </c>
      <c r="AY142" s="243" t="s">
        <v>159</v>
      </c>
      <c r="AZ142" s="243" t="str">
        <f t="shared" si="53"/>
        <v>Coho</v>
      </c>
      <c r="BA142" s="243" t="s">
        <v>419</v>
      </c>
      <c r="BB142" s="246"/>
      <c r="BC142" s="43" t="str">
        <f t="shared" si="54"/>
        <v>-</v>
      </c>
      <c r="BD142" s="43">
        <f t="shared" si="55"/>
        <v>0</v>
      </c>
      <c r="BE142" s="193">
        <f t="shared" si="56"/>
        <v>0</v>
      </c>
      <c r="BF142" s="193">
        <f t="shared" si="57"/>
        <v>0</v>
      </c>
      <c r="BG142" s="193">
        <f t="shared" si="58"/>
        <v>0</v>
      </c>
      <c r="BH142" s="307" t="str">
        <f t="shared" si="59"/>
        <v>-</v>
      </c>
      <c r="BI142" s="265" t="str">
        <f t="shared" si="52"/>
        <v>-</v>
      </c>
      <c r="BJ142" s="26" t="str">
        <f t="shared" si="60"/>
        <v>LANNON CREEKCoho</v>
      </c>
      <c r="BK142" s="26">
        <f t="shared" si="61"/>
        <v>0</v>
      </c>
      <c r="BL142" s="33">
        <f t="shared" si="51"/>
        <v>0</v>
      </c>
      <c r="BQ142" s="47" t="str">
        <f t="shared" si="62"/>
        <v>LANNON CREEKCoho</v>
      </c>
      <c r="BR142" s="49">
        <f t="shared" si="63"/>
        <v>0</v>
      </c>
      <c r="BS142" s="49">
        <f t="shared" si="64"/>
        <v>0</v>
      </c>
      <c r="BT142" s="31">
        <v>0</v>
      </c>
      <c r="BU142" s="188">
        <f t="shared" si="65"/>
        <v>0</v>
      </c>
      <c r="BV142" s="188" t="str">
        <f t="shared" si="66"/>
        <v xml:space="preserve"> </v>
      </c>
      <c r="BW142" s="188" t="str">
        <f t="shared" si="67"/>
        <v xml:space="preserve"> </v>
      </c>
      <c r="BX142" s="188" t="str">
        <f t="shared" si="68"/>
        <v xml:space="preserve"> </v>
      </c>
      <c r="BY142" s="50" t="str">
        <f t="shared" si="69"/>
        <v>LANNON CREEK_Coho</v>
      </c>
      <c r="BZ142" s="50" t="str">
        <f>IFERROR(VLOOKUP(BY142,'[1]WCVI Esc'!$C$5:$W$555,18,FALSE),"-")</f>
        <v>-</v>
      </c>
      <c r="CA142" s="50" t="str">
        <f t="shared" si="70"/>
        <v>-</v>
      </c>
      <c r="CB142" s="50" t="str">
        <f>IFERROR(VLOOKUP(BY142,'[1]WCVI Esc'!$C$5:$W$555,19,FALSE),"-")</f>
        <v>-</v>
      </c>
      <c r="CC142" s="50" t="str">
        <f t="shared" si="71"/>
        <v>-</v>
      </c>
      <c r="CE142" s="342" t="str">
        <f t="shared" si="72"/>
        <v>LANNON CREEK_Coho</v>
      </c>
      <c r="CF142" s="341" t="str">
        <f>IFERROR(VLOOKUP(BY142,'RawPL+D'!$O$8:$AB$503,12,FALSE),"-")</f>
        <v>-</v>
      </c>
      <c r="CG142" s="338" t="str">
        <f t="shared" si="73"/>
        <v>-</v>
      </c>
      <c r="CH142" s="341" t="str">
        <f>IFERROR(VLOOKUP(BY142,'RawPL+D'!$O$8:$AB$503,13,FALSE),"-")</f>
        <v>-</v>
      </c>
      <c r="CI142" s="338" t="str">
        <f t="shared" si="74"/>
        <v>-</v>
      </c>
    </row>
    <row r="143" spans="1:87" ht="12.75" hidden="1" customHeight="1" x14ac:dyDescent="0.2">
      <c r="A143" s="28">
        <v>4</v>
      </c>
      <c r="B143" s="28">
        <v>3</v>
      </c>
      <c r="C143" s="11">
        <v>20</v>
      </c>
      <c r="D143" s="13" t="s">
        <v>303</v>
      </c>
      <c r="E143" s="10" t="s">
        <v>159</v>
      </c>
      <c r="F143" s="10" t="s">
        <v>208</v>
      </c>
      <c r="G143" s="10"/>
      <c r="H143" s="10"/>
      <c r="I143" s="10"/>
      <c r="J143" s="10"/>
      <c r="K143" s="575"/>
      <c r="L143" s="152"/>
      <c r="M143" s="164"/>
      <c r="N143" s="62"/>
      <c r="O143" s="62"/>
      <c r="P143" s="64"/>
      <c r="Q143" s="164"/>
      <c r="R143" s="62"/>
      <c r="S143" s="62"/>
      <c r="T143" s="62"/>
      <c r="U143" s="64"/>
      <c r="V143" s="164"/>
      <c r="W143" s="62"/>
      <c r="X143" s="62"/>
      <c r="Y143" s="62"/>
      <c r="Z143" s="64"/>
      <c r="AA143" s="164"/>
      <c r="AB143" s="62"/>
      <c r="AC143" s="62"/>
      <c r="AD143" s="64"/>
      <c r="AE143" s="164"/>
      <c r="AF143" s="62"/>
      <c r="AG143" s="62"/>
      <c r="AH143" s="337"/>
      <c r="AI143" s="337"/>
      <c r="AJ143" s="337"/>
      <c r="AK143" s="337"/>
      <c r="AL143" s="414"/>
      <c r="AM143" s="414"/>
      <c r="AN143" s="45"/>
      <c r="AO143" s="45"/>
      <c r="AP143" s="45"/>
      <c r="AQ143" s="100"/>
      <c r="AR143" s="100"/>
      <c r="AS143" s="24"/>
      <c r="AT143" s="24"/>
      <c r="AU143" s="24"/>
      <c r="AV143" s="24"/>
      <c r="AW143" s="18">
        <v>20</v>
      </c>
      <c r="AX143" s="69" t="s">
        <v>303</v>
      </c>
      <c r="AY143" s="243" t="s">
        <v>159</v>
      </c>
      <c r="AZ143" s="243" t="str">
        <f t="shared" si="53"/>
        <v>Pink</v>
      </c>
      <c r="BA143" s="243" t="s">
        <v>419</v>
      </c>
      <c r="BB143" s="246"/>
      <c r="BC143" s="43" t="str">
        <f t="shared" si="54"/>
        <v>-</v>
      </c>
      <c r="BD143" s="43">
        <f t="shared" si="55"/>
        <v>0</v>
      </c>
      <c r="BE143" s="193">
        <f t="shared" si="56"/>
        <v>0</v>
      </c>
      <c r="BF143" s="193">
        <f t="shared" si="57"/>
        <v>0</v>
      </c>
      <c r="BG143" s="193">
        <f t="shared" si="58"/>
        <v>0</v>
      </c>
      <c r="BH143" s="307" t="str">
        <f t="shared" si="59"/>
        <v>-</v>
      </c>
      <c r="BI143" s="265" t="str">
        <f t="shared" si="52"/>
        <v>-</v>
      </c>
      <c r="BJ143" s="26" t="str">
        <f t="shared" si="60"/>
        <v>LANNON CREEKPink</v>
      </c>
      <c r="BK143" s="26">
        <f t="shared" si="61"/>
        <v>0</v>
      </c>
      <c r="BL143" s="33">
        <f t="shared" si="51"/>
        <v>0</v>
      </c>
      <c r="BQ143" s="47" t="str">
        <f t="shared" si="62"/>
        <v>LANNON CREEKPink</v>
      </c>
      <c r="BR143" s="49">
        <f t="shared" si="63"/>
        <v>0</v>
      </c>
      <c r="BS143" s="49">
        <f t="shared" si="64"/>
        <v>0</v>
      </c>
      <c r="BT143" s="31">
        <v>0</v>
      </c>
      <c r="BU143" s="188">
        <f t="shared" si="65"/>
        <v>0</v>
      </c>
      <c r="BV143" s="188" t="str">
        <f t="shared" si="66"/>
        <v xml:space="preserve"> </v>
      </c>
      <c r="BW143" s="188" t="str">
        <f t="shared" si="67"/>
        <v xml:space="preserve"> </v>
      </c>
      <c r="BX143" s="188" t="str">
        <f t="shared" si="68"/>
        <v xml:space="preserve"> </v>
      </c>
      <c r="BY143" s="50" t="str">
        <f t="shared" si="69"/>
        <v>LANNON CREEK_Pink</v>
      </c>
      <c r="BZ143" s="50" t="str">
        <f>IFERROR(VLOOKUP(BY143,'[1]WCVI Esc'!$C$5:$W$555,18,FALSE),"-")</f>
        <v>-</v>
      </c>
      <c r="CA143" s="50" t="str">
        <f t="shared" si="70"/>
        <v>-</v>
      </c>
      <c r="CB143" s="50" t="str">
        <f>IFERROR(VLOOKUP(BY143,'[1]WCVI Esc'!$C$5:$W$555,19,FALSE),"-")</f>
        <v>-</v>
      </c>
      <c r="CC143" s="50" t="str">
        <f t="shared" si="71"/>
        <v>-</v>
      </c>
      <c r="CE143" s="342" t="str">
        <f t="shared" si="72"/>
        <v>LANNON CREEK_Pink</v>
      </c>
      <c r="CF143" s="341" t="str">
        <f>IFERROR(VLOOKUP(BY143,'RawPL+D'!$O$8:$AB$503,12,FALSE),"-")</f>
        <v>-</v>
      </c>
      <c r="CG143" s="338" t="str">
        <f t="shared" si="73"/>
        <v>-</v>
      </c>
      <c r="CH143" s="341" t="str">
        <f>IFERROR(VLOOKUP(BY143,'RawPL+D'!$O$8:$AB$503,13,FALSE),"-")</f>
        <v>-</v>
      </c>
      <c r="CI143" s="338" t="str">
        <f t="shared" si="74"/>
        <v>-</v>
      </c>
    </row>
    <row r="144" spans="1:87" ht="12.75" hidden="1" customHeight="1" x14ac:dyDescent="0.2">
      <c r="A144" s="28">
        <v>4</v>
      </c>
      <c r="B144" s="28">
        <v>4</v>
      </c>
      <c r="C144" s="11">
        <v>20</v>
      </c>
      <c r="D144" s="13" t="s">
        <v>303</v>
      </c>
      <c r="E144" s="10" t="s">
        <v>159</v>
      </c>
      <c r="F144" s="10" t="s">
        <v>209</v>
      </c>
      <c r="G144" s="10"/>
      <c r="H144" s="10"/>
      <c r="I144" s="10"/>
      <c r="J144" s="10"/>
      <c r="K144" s="575"/>
      <c r="L144" s="152"/>
      <c r="M144" s="164"/>
      <c r="N144" s="62"/>
      <c r="O144" s="62"/>
      <c r="P144" s="64"/>
      <c r="Q144" s="164"/>
      <c r="R144" s="62"/>
      <c r="S144" s="62"/>
      <c r="T144" s="62"/>
      <c r="U144" s="64"/>
      <c r="V144" s="164"/>
      <c r="W144" s="62"/>
      <c r="X144" s="62"/>
      <c r="Y144" s="62"/>
      <c r="Z144" s="64"/>
      <c r="AA144" s="164"/>
      <c r="AB144" s="62"/>
      <c r="AC144" s="62"/>
      <c r="AD144" s="64"/>
      <c r="AE144" s="164"/>
      <c r="AF144" s="62"/>
      <c r="AG144" s="62"/>
      <c r="AH144" s="337"/>
      <c r="AI144" s="337"/>
      <c r="AJ144" s="337"/>
      <c r="AK144" s="337"/>
      <c r="AL144" s="414"/>
      <c r="AM144" s="414"/>
      <c r="AN144" s="45"/>
      <c r="AO144" s="45"/>
      <c r="AP144" s="45"/>
      <c r="AQ144" s="100"/>
      <c r="AR144" s="100"/>
      <c r="AS144" s="24"/>
      <c r="AT144" s="24"/>
      <c r="AU144" s="24"/>
      <c r="AV144" s="24"/>
      <c r="AW144" s="18">
        <v>20</v>
      </c>
      <c r="AX144" s="69" t="s">
        <v>303</v>
      </c>
      <c r="AY144" s="243" t="s">
        <v>159</v>
      </c>
      <c r="AZ144" s="243" t="str">
        <f t="shared" si="53"/>
        <v>Chum</v>
      </c>
      <c r="BA144" s="243" t="s">
        <v>419</v>
      </c>
      <c r="BB144" s="246"/>
      <c r="BC144" s="43" t="str">
        <f t="shared" si="54"/>
        <v>-</v>
      </c>
      <c r="BD144" s="43">
        <f t="shared" si="55"/>
        <v>0</v>
      </c>
      <c r="BE144" s="193">
        <f t="shared" si="56"/>
        <v>0</v>
      </c>
      <c r="BF144" s="193">
        <f t="shared" si="57"/>
        <v>0</v>
      </c>
      <c r="BG144" s="193">
        <f t="shared" si="58"/>
        <v>0</v>
      </c>
      <c r="BH144" s="307" t="str">
        <f t="shared" si="59"/>
        <v>-</v>
      </c>
      <c r="BI144" s="265" t="str">
        <f t="shared" si="52"/>
        <v>-</v>
      </c>
      <c r="BJ144" s="26" t="str">
        <f t="shared" si="60"/>
        <v>LANNON CREEKChum</v>
      </c>
      <c r="BK144" s="26">
        <f t="shared" si="61"/>
        <v>0</v>
      </c>
      <c r="BL144" s="33">
        <f t="shared" si="51"/>
        <v>0</v>
      </c>
      <c r="BQ144" s="47" t="str">
        <f t="shared" si="62"/>
        <v>LANNON CREEKChum</v>
      </c>
      <c r="BR144" s="49">
        <f t="shared" si="63"/>
        <v>0</v>
      </c>
      <c r="BS144" s="49">
        <f t="shared" si="64"/>
        <v>0</v>
      </c>
      <c r="BT144" s="31">
        <v>0</v>
      </c>
      <c r="BU144" s="188">
        <f t="shared" si="65"/>
        <v>0</v>
      </c>
      <c r="BV144" s="188" t="str">
        <f t="shared" si="66"/>
        <v xml:space="preserve"> </v>
      </c>
      <c r="BW144" s="188" t="str">
        <f t="shared" si="67"/>
        <v xml:space="preserve"> </v>
      </c>
      <c r="BX144" s="188" t="str">
        <f t="shared" si="68"/>
        <v xml:space="preserve"> </v>
      </c>
      <c r="BY144" s="50" t="str">
        <f t="shared" si="69"/>
        <v>LANNON CREEK_Chum</v>
      </c>
      <c r="BZ144" s="50" t="str">
        <f>IFERROR(VLOOKUP(BY144,'[1]WCVI Esc'!$C$5:$W$555,18,FALSE),"-")</f>
        <v>-</v>
      </c>
      <c r="CA144" s="50" t="str">
        <f t="shared" si="70"/>
        <v>-</v>
      </c>
      <c r="CB144" s="50" t="str">
        <f>IFERROR(VLOOKUP(BY144,'[1]WCVI Esc'!$C$5:$W$555,19,FALSE),"-")</f>
        <v>-</v>
      </c>
      <c r="CC144" s="50" t="str">
        <f t="shared" si="71"/>
        <v>-</v>
      </c>
      <c r="CE144" s="342" t="str">
        <f t="shared" si="72"/>
        <v>LANNON CREEK_Chum</v>
      </c>
      <c r="CF144" s="341" t="str">
        <f>IFERROR(VLOOKUP(BY144,'RawPL+D'!$O$8:$AB$503,12,FALSE),"-")</f>
        <v>-</v>
      </c>
      <c r="CG144" s="338" t="str">
        <f t="shared" si="73"/>
        <v>-</v>
      </c>
      <c r="CH144" s="341" t="str">
        <f>IFERROR(VLOOKUP(BY144,'RawPL+D'!$O$8:$AB$503,13,FALSE),"-")</f>
        <v>-</v>
      </c>
      <c r="CI144" s="338" t="str">
        <f t="shared" si="74"/>
        <v>-</v>
      </c>
    </row>
    <row r="145" spans="1:87" ht="12.75" hidden="1" customHeight="1" x14ac:dyDescent="0.2">
      <c r="A145" s="28">
        <v>4</v>
      </c>
      <c r="B145" s="28">
        <v>5</v>
      </c>
      <c r="C145" s="11">
        <v>20</v>
      </c>
      <c r="D145" s="13" t="s">
        <v>303</v>
      </c>
      <c r="E145" s="10" t="s">
        <v>159</v>
      </c>
      <c r="F145" s="10" t="s">
        <v>210</v>
      </c>
      <c r="G145" s="10"/>
      <c r="H145" s="10"/>
      <c r="I145" s="10"/>
      <c r="J145" s="10"/>
      <c r="K145" s="575"/>
      <c r="L145" s="152"/>
      <c r="M145" s="164"/>
      <c r="N145" s="62"/>
      <c r="O145" s="62"/>
      <c r="P145" s="64"/>
      <c r="Q145" s="164"/>
      <c r="R145" s="62"/>
      <c r="S145" s="62"/>
      <c r="T145" s="62"/>
      <c r="U145" s="64"/>
      <c r="V145" s="164"/>
      <c r="W145" s="62"/>
      <c r="X145" s="62"/>
      <c r="Y145" s="62"/>
      <c r="Z145" s="64"/>
      <c r="AA145" s="164"/>
      <c r="AB145" s="62"/>
      <c r="AC145" s="62"/>
      <c r="AD145" s="64"/>
      <c r="AE145" s="164"/>
      <c r="AF145" s="62"/>
      <c r="AG145" s="62"/>
      <c r="AH145" s="337"/>
      <c r="AI145" s="337"/>
      <c r="AJ145" s="337"/>
      <c r="AK145" s="337"/>
      <c r="AL145" s="414"/>
      <c r="AM145" s="414"/>
      <c r="AN145" s="45"/>
      <c r="AO145" s="45"/>
      <c r="AP145" s="45"/>
      <c r="AQ145" s="100"/>
      <c r="AR145" s="100"/>
      <c r="AS145" s="24"/>
      <c r="AT145" s="24"/>
      <c r="AU145" s="24"/>
      <c r="AV145" s="24"/>
      <c r="AW145" s="18">
        <v>20</v>
      </c>
      <c r="AX145" s="69" t="s">
        <v>303</v>
      </c>
      <c r="AY145" s="243" t="s">
        <v>159</v>
      </c>
      <c r="AZ145" s="243" t="str">
        <f t="shared" si="53"/>
        <v>Chinook</v>
      </c>
      <c r="BA145" s="243" t="s">
        <v>419</v>
      </c>
      <c r="BB145" s="246"/>
      <c r="BC145" s="43" t="str">
        <f t="shared" si="54"/>
        <v>-</v>
      </c>
      <c r="BD145" s="43">
        <f t="shared" si="55"/>
        <v>0</v>
      </c>
      <c r="BE145" s="193">
        <f t="shared" si="56"/>
        <v>0</v>
      </c>
      <c r="BF145" s="193">
        <f t="shared" si="57"/>
        <v>0</v>
      </c>
      <c r="BG145" s="193">
        <f t="shared" si="58"/>
        <v>0</v>
      </c>
      <c r="BH145" s="307" t="str">
        <f t="shared" si="59"/>
        <v>-</v>
      </c>
      <c r="BI145" s="265" t="str">
        <f t="shared" si="52"/>
        <v>-</v>
      </c>
      <c r="BJ145" s="26" t="str">
        <f t="shared" si="60"/>
        <v>LANNON CREEKChinook</v>
      </c>
      <c r="BK145" s="26">
        <f t="shared" si="61"/>
        <v>0</v>
      </c>
      <c r="BL145" s="33">
        <f t="shared" si="51"/>
        <v>0</v>
      </c>
      <c r="BQ145" s="47" t="str">
        <f t="shared" si="62"/>
        <v>LANNON CREEKChinook</v>
      </c>
      <c r="BR145" s="49">
        <f t="shared" si="63"/>
        <v>0</v>
      </c>
      <c r="BS145" s="49">
        <f t="shared" si="64"/>
        <v>0</v>
      </c>
      <c r="BT145" s="31">
        <v>0</v>
      </c>
      <c r="BU145" s="188">
        <f t="shared" si="65"/>
        <v>0</v>
      </c>
      <c r="BV145" s="188" t="str">
        <f t="shared" si="66"/>
        <v xml:space="preserve"> </v>
      </c>
      <c r="BW145" s="188" t="str">
        <f t="shared" si="67"/>
        <v xml:space="preserve"> </v>
      </c>
      <c r="BX145" s="188" t="str">
        <f t="shared" si="68"/>
        <v xml:space="preserve"> </v>
      </c>
      <c r="BY145" s="50" t="str">
        <f t="shared" si="69"/>
        <v>LANNON CREEK_Chinook</v>
      </c>
      <c r="BZ145" s="50" t="str">
        <f>IFERROR(VLOOKUP(BY145,'[1]WCVI Esc'!$C$5:$W$555,18,FALSE),"-")</f>
        <v>-</v>
      </c>
      <c r="CA145" s="50" t="str">
        <f t="shared" si="70"/>
        <v>-</v>
      </c>
      <c r="CB145" s="50" t="str">
        <f>IFERROR(VLOOKUP(BY145,'[1]WCVI Esc'!$C$5:$W$555,19,FALSE),"-")</f>
        <v>-</v>
      </c>
      <c r="CC145" s="50" t="str">
        <f t="shared" si="71"/>
        <v>-</v>
      </c>
      <c r="CE145" s="342" t="str">
        <f t="shared" si="72"/>
        <v>LANNON CREEK_Chinook</v>
      </c>
      <c r="CF145" s="341" t="str">
        <f>IFERROR(VLOOKUP(BY145,'RawPL+D'!$O$8:$AB$503,12,FALSE),"-")</f>
        <v>-</v>
      </c>
      <c r="CG145" s="338" t="str">
        <f t="shared" si="73"/>
        <v>-</v>
      </c>
      <c r="CH145" s="341" t="str">
        <f>IFERROR(VLOOKUP(BY145,'RawPL+D'!$O$8:$AB$503,13,FALSE),"-")</f>
        <v>-</v>
      </c>
      <c r="CI145" s="338" t="str">
        <f t="shared" si="74"/>
        <v>-</v>
      </c>
    </row>
    <row r="146" spans="1:87" ht="12.75" hidden="1" customHeight="1" x14ac:dyDescent="0.2">
      <c r="A146" s="28">
        <v>4</v>
      </c>
      <c r="B146" s="28">
        <v>6</v>
      </c>
      <c r="C146" s="11">
        <v>20</v>
      </c>
      <c r="D146" s="13" t="s">
        <v>303</v>
      </c>
      <c r="E146" s="10" t="s">
        <v>159</v>
      </c>
      <c r="F146" s="10" t="s">
        <v>211</v>
      </c>
      <c r="G146" s="10"/>
      <c r="H146" s="10"/>
      <c r="I146" s="10"/>
      <c r="J146" s="10"/>
      <c r="K146" s="575"/>
      <c r="L146" s="152"/>
      <c r="M146" s="164"/>
      <c r="N146" s="62"/>
      <c r="O146" s="62"/>
      <c r="P146" s="64"/>
      <c r="Q146" s="164"/>
      <c r="R146" s="62"/>
      <c r="S146" s="62"/>
      <c r="T146" s="62"/>
      <c r="U146" s="64"/>
      <c r="V146" s="164"/>
      <c r="W146" s="62"/>
      <c r="X146" s="62"/>
      <c r="Y146" s="62"/>
      <c r="Z146" s="64"/>
      <c r="AA146" s="164"/>
      <c r="AB146" s="62"/>
      <c r="AC146" s="62"/>
      <c r="AD146" s="64"/>
      <c r="AE146" s="164"/>
      <c r="AF146" s="62"/>
      <c r="AG146" s="62"/>
      <c r="AH146" s="337"/>
      <c r="AI146" s="337"/>
      <c r="AJ146" s="337"/>
      <c r="AK146" s="337"/>
      <c r="AL146" s="414"/>
      <c r="AM146" s="414"/>
      <c r="AN146" s="45"/>
      <c r="AO146" s="45"/>
      <c r="AP146" s="45"/>
      <c r="AQ146" s="100"/>
      <c r="AR146" s="100"/>
      <c r="AS146" s="24"/>
      <c r="AT146" s="24"/>
      <c r="AU146" s="24"/>
      <c r="AV146" s="24"/>
      <c r="AW146" s="18">
        <v>20</v>
      </c>
      <c r="AX146" s="69" t="s">
        <v>303</v>
      </c>
      <c r="AY146" s="243" t="s">
        <v>159</v>
      </c>
      <c r="AZ146" s="243" t="str">
        <f t="shared" si="53"/>
        <v>Steelhead</v>
      </c>
      <c r="BA146" s="243" t="s">
        <v>419</v>
      </c>
      <c r="BB146" s="246"/>
      <c r="BC146" s="43" t="str">
        <f t="shared" si="54"/>
        <v>-</v>
      </c>
      <c r="BD146" s="43">
        <f t="shared" si="55"/>
        <v>0</v>
      </c>
      <c r="BE146" s="193">
        <f t="shared" si="56"/>
        <v>0</v>
      </c>
      <c r="BF146" s="193">
        <f t="shared" si="57"/>
        <v>0</v>
      </c>
      <c r="BG146" s="193">
        <f t="shared" si="58"/>
        <v>0</v>
      </c>
      <c r="BH146" s="307" t="str">
        <f t="shared" si="59"/>
        <v>-</v>
      </c>
      <c r="BI146" s="265" t="str">
        <f t="shared" si="52"/>
        <v>-</v>
      </c>
      <c r="BJ146" s="26" t="str">
        <f t="shared" si="60"/>
        <v>LANNON CREEKSteelhead</v>
      </c>
      <c r="BK146" s="26">
        <f t="shared" si="61"/>
        <v>0</v>
      </c>
      <c r="BL146" s="33">
        <f t="shared" si="51"/>
        <v>0</v>
      </c>
      <c r="BQ146" s="47" t="str">
        <f t="shared" si="62"/>
        <v>LANNON CREEKSteelhead</v>
      </c>
      <c r="BR146" s="49">
        <f t="shared" si="63"/>
        <v>0</v>
      </c>
      <c r="BS146" s="49">
        <f t="shared" si="64"/>
        <v>0</v>
      </c>
      <c r="BT146" s="31">
        <v>0</v>
      </c>
      <c r="BU146" s="188">
        <f t="shared" si="65"/>
        <v>0</v>
      </c>
      <c r="BV146" s="188" t="str">
        <f t="shared" si="66"/>
        <v xml:space="preserve"> </v>
      </c>
      <c r="BW146" s="188" t="str">
        <f t="shared" si="67"/>
        <v xml:space="preserve"> </v>
      </c>
      <c r="BX146" s="188" t="str">
        <f t="shared" si="68"/>
        <v xml:space="preserve"> </v>
      </c>
      <c r="BY146" s="50" t="str">
        <f t="shared" si="69"/>
        <v>LANNON CREEK_Steelhead</v>
      </c>
      <c r="BZ146" s="50" t="str">
        <f>IFERROR(VLOOKUP(BY146,'[1]WCVI Esc'!$C$5:$W$555,18,FALSE),"-")</f>
        <v>-</v>
      </c>
      <c r="CA146" s="50" t="str">
        <f t="shared" si="70"/>
        <v>-</v>
      </c>
      <c r="CB146" s="50" t="str">
        <f>IFERROR(VLOOKUP(BY146,'[1]WCVI Esc'!$C$5:$W$555,19,FALSE),"-")</f>
        <v>-</v>
      </c>
      <c r="CC146" s="50" t="str">
        <f t="shared" si="71"/>
        <v>-</v>
      </c>
      <c r="CE146" s="342" t="str">
        <f t="shared" si="72"/>
        <v>LANNON CREEK_Steelhead</v>
      </c>
      <c r="CF146" s="341" t="str">
        <f>IFERROR(VLOOKUP(BY146,'RawPL+D'!$O$8:$AB$503,12,FALSE),"-")</f>
        <v>-</v>
      </c>
      <c r="CG146" s="338" t="str">
        <f t="shared" si="73"/>
        <v>-</v>
      </c>
      <c r="CH146" s="341" t="str">
        <f>IFERROR(VLOOKUP(BY146,'RawPL+D'!$O$8:$AB$503,13,FALSE),"-")</f>
        <v>-</v>
      </c>
      <c r="CI146" s="338" t="str">
        <f t="shared" si="74"/>
        <v>-</v>
      </c>
    </row>
    <row r="147" spans="1:87" ht="12.75" hidden="1" customHeight="1" x14ac:dyDescent="0.2">
      <c r="A147" s="28">
        <v>4</v>
      </c>
      <c r="B147" s="28">
        <v>1</v>
      </c>
      <c r="C147" s="11">
        <v>20</v>
      </c>
      <c r="D147" s="13" t="s">
        <v>303</v>
      </c>
      <c r="E147" s="10" t="s">
        <v>160</v>
      </c>
      <c r="F147" s="10" t="s">
        <v>207</v>
      </c>
      <c r="G147" s="10"/>
      <c r="H147" s="10"/>
      <c r="I147" s="10"/>
      <c r="J147" s="10"/>
      <c r="K147" s="575"/>
      <c r="L147" s="152"/>
      <c r="M147" s="164"/>
      <c r="N147" s="62"/>
      <c r="O147" s="62"/>
      <c r="P147" s="64"/>
      <c r="Q147" s="164"/>
      <c r="R147" s="164"/>
      <c r="S147" s="62"/>
      <c r="T147" s="62"/>
      <c r="U147" s="64"/>
      <c r="V147" s="62"/>
      <c r="W147" s="164"/>
      <c r="X147" s="62"/>
      <c r="Y147" s="62"/>
      <c r="Z147" s="62"/>
      <c r="AA147" s="62"/>
      <c r="AB147" s="62"/>
      <c r="AC147" s="62"/>
      <c r="AD147" s="64"/>
      <c r="AE147" s="164"/>
      <c r="AF147" s="62"/>
      <c r="AG147" s="62"/>
      <c r="AH147" s="337"/>
      <c r="AI147" s="337"/>
      <c r="AJ147" s="337"/>
      <c r="AK147" s="337"/>
      <c r="AL147" s="412"/>
      <c r="AM147" s="414"/>
      <c r="AN147" s="45"/>
      <c r="AO147" s="45"/>
      <c r="AP147" s="45"/>
      <c r="AQ147" s="100"/>
      <c r="AR147" s="100"/>
      <c r="AS147" s="100"/>
      <c r="AT147" s="100"/>
      <c r="AU147" s="100"/>
      <c r="AV147" s="100"/>
      <c r="AW147" s="18">
        <v>20</v>
      </c>
      <c r="AX147" s="69" t="s">
        <v>303</v>
      </c>
      <c r="AY147" s="243" t="s">
        <v>160</v>
      </c>
      <c r="AZ147" s="243" t="str">
        <f t="shared" si="53"/>
        <v>Sockeye</v>
      </c>
      <c r="BA147" s="243" t="s">
        <v>419</v>
      </c>
      <c r="BB147" s="246"/>
      <c r="BC147" s="43" t="str">
        <f t="shared" si="54"/>
        <v>-</v>
      </c>
      <c r="BD147" s="43">
        <f t="shared" si="55"/>
        <v>0</v>
      </c>
      <c r="BE147" s="193">
        <f t="shared" si="56"/>
        <v>0</v>
      </c>
      <c r="BF147" s="193">
        <f t="shared" si="57"/>
        <v>0</v>
      </c>
      <c r="BG147" s="193">
        <f t="shared" si="58"/>
        <v>0</v>
      </c>
      <c r="BH147" s="307" t="str">
        <f t="shared" si="59"/>
        <v>-</v>
      </c>
      <c r="BI147" s="265" t="str">
        <f t="shared" si="52"/>
        <v>-</v>
      </c>
      <c r="BJ147" s="26" t="str">
        <f t="shared" si="60"/>
        <v>LUNSON CREEKSockeye</v>
      </c>
      <c r="BK147" s="26">
        <f t="shared" si="61"/>
        <v>0</v>
      </c>
      <c r="BL147" s="33">
        <f t="shared" si="51"/>
        <v>0</v>
      </c>
      <c r="BQ147" s="47" t="str">
        <f t="shared" si="62"/>
        <v>LUNSON CREEKSockeye</v>
      </c>
      <c r="BR147" s="49">
        <f t="shared" si="63"/>
        <v>0</v>
      </c>
      <c r="BS147" s="49">
        <f t="shared" si="64"/>
        <v>0</v>
      </c>
      <c r="BT147" s="31">
        <v>0</v>
      </c>
      <c r="BU147" s="188">
        <f t="shared" si="65"/>
        <v>0</v>
      </c>
      <c r="BV147" s="188" t="str">
        <f t="shared" si="66"/>
        <v xml:space="preserve"> </v>
      </c>
      <c r="BW147" s="188" t="str">
        <f t="shared" si="67"/>
        <v xml:space="preserve"> </v>
      </c>
      <c r="BX147" s="188" t="str">
        <f t="shared" si="68"/>
        <v xml:space="preserve"> </v>
      </c>
      <c r="BY147" s="50" t="str">
        <f t="shared" si="69"/>
        <v>LUNSON CREEK_Sockeye</v>
      </c>
      <c r="BZ147" s="50" t="str">
        <f>IFERROR(VLOOKUP(BY147,'[1]WCVI Esc'!$C$5:$W$555,18,FALSE),"-")</f>
        <v>-</v>
      </c>
      <c r="CA147" s="50" t="str">
        <f t="shared" si="70"/>
        <v>-</v>
      </c>
      <c r="CB147" s="50" t="str">
        <f>IFERROR(VLOOKUP(BY147,'[1]WCVI Esc'!$C$5:$W$555,19,FALSE),"-")</f>
        <v>-</v>
      </c>
      <c r="CC147" s="50" t="str">
        <f t="shared" si="71"/>
        <v>-</v>
      </c>
      <c r="CE147" s="342" t="str">
        <f t="shared" si="72"/>
        <v>LUNSON CREEK_Sockeye</v>
      </c>
      <c r="CF147" s="341" t="str">
        <f>IFERROR(VLOOKUP(BY147,'RawPL+D'!$O$8:$AB$503,12,FALSE),"-")</f>
        <v>-</v>
      </c>
      <c r="CG147" s="338" t="str">
        <f t="shared" si="73"/>
        <v>-</v>
      </c>
      <c r="CH147" s="341" t="str">
        <f>IFERROR(VLOOKUP(BY147,'RawPL+D'!$O$8:$AB$503,13,FALSE),"-")</f>
        <v>-</v>
      </c>
      <c r="CI147" s="338" t="str">
        <f t="shared" si="74"/>
        <v>-</v>
      </c>
    </row>
    <row r="148" spans="1:87" ht="12.75" hidden="1" customHeight="1" x14ac:dyDescent="0.2">
      <c r="A148" s="28">
        <v>4</v>
      </c>
      <c r="B148" s="28">
        <v>2</v>
      </c>
      <c r="C148" s="11">
        <v>20</v>
      </c>
      <c r="D148" s="13" t="s">
        <v>303</v>
      </c>
      <c r="E148" s="10" t="s">
        <v>160</v>
      </c>
      <c r="F148" s="10" t="s">
        <v>219</v>
      </c>
      <c r="G148" s="10"/>
      <c r="H148" s="10"/>
      <c r="I148" s="10"/>
      <c r="J148" s="10"/>
      <c r="K148" s="575"/>
      <c r="L148" s="152"/>
      <c r="M148" s="164"/>
      <c r="N148" s="62"/>
      <c r="O148" s="62"/>
      <c r="P148" s="64"/>
      <c r="Q148" s="164"/>
      <c r="R148" s="164"/>
      <c r="S148" s="62"/>
      <c r="T148" s="62"/>
      <c r="U148" s="64"/>
      <c r="V148" s="164"/>
      <c r="W148" s="164"/>
      <c r="X148" s="62"/>
      <c r="Y148" s="164"/>
      <c r="Z148" s="164"/>
      <c r="AA148" s="62"/>
      <c r="AB148" s="62"/>
      <c r="AC148" s="62"/>
      <c r="AD148" s="64"/>
      <c r="AE148" s="164"/>
      <c r="AF148" s="62"/>
      <c r="AG148" s="62"/>
      <c r="AH148" s="337"/>
      <c r="AI148" s="337"/>
      <c r="AJ148" s="337"/>
      <c r="AK148" s="337"/>
      <c r="AL148" s="412"/>
      <c r="AM148" s="414"/>
      <c r="AN148" s="45"/>
      <c r="AO148" s="45"/>
      <c r="AP148" s="45"/>
      <c r="AQ148" s="100"/>
      <c r="AR148" s="100"/>
      <c r="AS148" s="100"/>
      <c r="AT148" s="100"/>
      <c r="AU148" s="100"/>
      <c r="AV148" s="100"/>
      <c r="AW148" s="18">
        <v>20</v>
      </c>
      <c r="AX148" s="69" t="s">
        <v>303</v>
      </c>
      <c r="AY148" s="243" t="s">
        <v>160</v>
      </c>
      <c r="AZ148" s="243" t="str">
        <f t="shared" si="53"/>
        <v>Coho</v>
      </c>
      <c r="BA148" s="243" t="s">
        <v>419</v>
      </c>
      <c r="BB148" s="246"/>
      <c r="BC148" s="43" t="str">
        <f t="shared" si="54"/>
        <v>-</v>
      </c>
      <c r="BD148" s="43">
        <f t="shared" si="55"/>
        <v>0</v>
      </c>
      <c r="BE148" s="193">
        <f t="shared" si="56"/>
        <v>0</v>
      </c>
      <c r="BF148" s="193">
        <f t="shared" si="57"/>
        <v>0</v>
      </c>
      <c r="BG148" s="193">
        <f t="shared" si="58"/>
        <v>0</v>
      </c>
      <c r="BH148" s="307" t="str">
        <f t="shared" si="59"/>
        <v>-</v>
      </c>
      <c r="BI148" s="265" t="str">
        <f t="shared" si="52"/>
        <v>-</v>
      </c>
      <c r="BJ148" s="26" t="str">
        <f t="shared" si="60"/>
        <v>LUNSON CREEKCoho</v>
      </c>
      <c r="BK148" s="26">
        <f t="shared" si="61"/>
        <v>0</v>
      </c>
      <c r="BL148" s="33">
        <f t="shared" si="51"/>
        <v>0</v>
      </c>
      <c r="BQ148" s="47" t="str">
        <f t="shared" si="62"/>
        <v>LUNSON CREEKCoho</v>
      </c>
      <c r="BR148" s="49">
        <f t="shared" si="63"/>
        <v>0</v>
      </c>
      <c r="BS148" s="49">
        <f t="shared" si="64"/>
        <v>0</v>
      </c>
      <c r="BT148" s="31">
        <v>0</v>
      </c>
      <c r="BU148" s="188">
        <f t="shared" si="65"/>
        <v>0</v>
      </c>
      <c r="BV148" s="188" t="str">
        <f t="shared" si="66"/>
        <v xml:space="preserve"> </v>
      </c>
      <c r="BW148" s="188" t="str">
        <f t="shared" si="67"/>
        <v xml:space="preserve"> </v>
      </c>
      <c r="BX148" s="188" t="str">
        <f t="shared" si="68"/>
        <v xml:space="preserve"> </v>
      </c>
      <c r="BY148" s="50" t="str">
        <f t="shared" si="69"/>
        <v>LUNSON CREEK_Coho</v>
      </c>
      <c r="BZ148" s="50" t="str">
        <f>IFERROR(VLOOKUP(BY148,'[1]WCVI Esc'!$C$5:$W$555,18,FALSE),"-")</f>
        <v>-</v>
      </c>
      <c r="CA148" s="50" t="str">
        <f t="shared" si="70"/>
        <v>-</v>
      </c>
      <c r="CB148" s="50" t="str">
        <f>IFERROR(VLOOKUP(BY148,'[1]WCVI Esc'!$C$5:$W$555,19,FALSE),"-")</f>
        <v>-</v>
      </c>
      <c r="CC148" s="50" t="str">
        <f t="shared" si="71"/>
        <v>-</v>
      </c>
      <c r="CE148" s="342" t="str">
        <f t="shared" si="72"/>
        <v>LUNSON CREEK_Coho</v>
      </c>
      <c r="CF148" s="341" t="str">
        <f>IFERROR(VLOOKUP(BY148,'RawPL+D'!$O$8:$AB$503,12,FALSE),"-")</f>
        <v>-</v>
      </c>
      <c r="CG148" s="338" t="str">
        <f t="shared" si="73"/>
        <v>-</v>
      </c>
      <c r="CH148" s="341" t="str">
        <f>IFERROR(VLOOKUP(BY148,'RawPL+D'!$O$8:$AB$503,13,FALSE),"-")</f>
        <v>-</v>
      </c>
      <c r="CI148" s="338" t="str">
        <f t="shared" si="74"/>
        <v>-</v>
      </c>
    </row>
    <row r="149" spans="1:87" ht="12.75" hidden="1" customHeight="1" x14ac:dyDescent="0.2">
      <c r="A149" s="28">
        <v>4</v>
      </c>
      <c r="B149" s="28">
        <v>3</v>
      </c>
      <c r="C149" s="11">
        <v>20</v>
      </c>
      <c r="D149" s="13" t="s">
        <v>303</v>
      </c>
      <c r="E149" s="10" t="s">
        <v>160</v>
      </c>
      <c r="F149" s="10" t="s">
        <v>208</v>
      </c>
      <c r="G149" s="10"/>
      <c r="H149" s="10"/>
      <c r="I149" s="10"/>
      <c r="J149" s="10"/>
      <c r="K149" s="575"/>
      <c r="L149" s="152"/>
      <c r="M149" s="164"/>
      <c r="N149" s="62"/>
      <c r="O149" s="62"/>
      <c r="P149" s="64"/>
      <c r="Q149" s="164"/>
      <c r="R149" s="164"/>
      <c r="S149" s="62"/>
      <c r="T149" s="62"/>
      <c r="U149" s="64"/>
      <c r="V149" s="164"/>
      <c r="W149" s="164"/>
      <c r="X149" s="62"/>
      <c r="Y149" s="164"/>
      <c r="Z149" s="164"/>
      <c r="AA149" s="62"/>
      <c r="AB149" s="62"/>
      <c r="AC149" s="62"/>
      <c r="AD149" s="64"/>
      <c r="AE149" s="164"/>
      <c r="AF149" s="62"/>
      <c r="AG149" s="62"/>
      <c r="AH149" s="337"/>
      <c r="AI149" s="337"/>
      <c r="AJ149" s="337"/>
      <c r="AK149" s="337"/>
      <c r="AL149" s="412"/>
      <c r="AM149" s="414"/>
      <c r="AN149" s="45"/>
      <c r="AO149" s="45"/>
      <c r="AP149" s="45"/>
      <c r="AQ149" s="100"/>
      <c r="AR149" s="100"/>
      <c r="AS149" s="100"/>
      <c r="AT149" s="100"/>
      <c r="AU149" s="100"/>
      <c r="AV149" s="100"/>
      <c r="AW149" s="18">
        <v>20</v>
      </c>
      <c r="AX149" s="69" t="s">
        <v>303</v>
      </c>
      <c r="AY149" s="243" t="s">
        <v>160</v>
      </c>
      <c r="AZ149" s="243" t="str">
        <f t="shared" si="53"/>
        <v>Pink</v>
      </c>
      <c r="BA149" s="243" t="s">
        <v>419</v>
      </c>
      <c r="BB149" s="246"/>
      <c r="BC149" s="43" t="str">
        <f t="shared" si="54"/>
        <v>-</v>
      </c>
      <c r="BD149" s="43">
        <f t="shared" si="55"/>
        <v>0</v>
      </c>
      <c r="BE149" s="193">
        <f t="shared" si="56"/>
        <v>0</v>
      </c>
      <c r="BF149" s="193">
        <f t="shared" si="57"/>
        <v>0</v>
      </c>
      <c r="BG149" s="193">
        <f t="shared" si="58"/>
        <v>0</v>
      </c>
      <c r="BH149" s="307" t="str">
        <f t="shared" si="59"/>
        <v>-</v>
      </c>
      <c r="BI149" s="265" t="str">
        <f t="shared" si="52"/>
        <v>-</v>
      </c>
      <c r="BJ149" s="26" t="str">
        <f t="shared" si="60"/>
        <v>LUNSON CREEKPink</v>
      </c>
      <c r="BK149" s="26">
        <f t="shared" si="61"/>
        <v>0</v>
      </c>
      <c r="BL149" s="33">
        <f t="shared" si="51"/>
        <v>0</v>
      </c>
      <c r="BQ149" s="47" t="str">
        <f t="shared" si="62"/>
        <v>LUNSON CREEKPink</v>
      </c>
      <c r="BR149" s="49">
        <f t="shared" si="63"/>
        <v>0</v>
      </c>
      <c r="BS149" s="49">
        <f t="shared" si="64"/>
        <v>0</v>
      </c>
      <c r="BT149" s="31">
        <v>0</v>
      </c>
      <c r="BU149" s="188">
        <f t="shared" si="65"/>
        <v>0</v>
      </c>
      <c r="BV149" s="188" t="str">
        <f t="shared" si="66"/>
        <v xml:space="preserve"> </v>
      </c>
      <c r="BW149" s="188" t="str">
        <f t="shared" si="67"/>
        <v xml:space="preserve"> </v>
      </c>
      <c r="BX149" s="188" t="str">
        <f t="shared" si="68"/>
        <v xml:space="preserve"> </v>
      </c>
      <c r="BY149" s="50" t="str">
        <f t="shared" si="69"/>
        <v>LUNSON CREEK_Pink</v>
      </c>
      <c r="BZ149" s="50" t="str">
        <f>IFERROR(VLOOKUP(BY149,'[1]WCVI Esc'!$C$5:$W$555,18,FALSE),"-")</f>
        <v>-</v>
      </c>
      <c r="CA149" s="50" t="str">
        <f t="shared" si="70"/>
        <v>-</v>
      </c>
      <c r="CB149" s="50" t="str">
        <f>IFERROR(VLOOKUP(BY149,'[1]WCVI Esc'!$C$5:$W$555,19,FALSE),"-")</f>
        <v>-</v>
      </c>
      <c r="CC149" s="50" t="str">
        <f t="shared" si="71"/>
        <v>-</v>
      </c>
      <c r="CE149" s="342" t="str">
        <f t="shared" si="72"/>
        <v>LUNSON CREEK_Pink</v>
      </c>
      <c r="CF149" s="341" t="str">
        <f>IFERROR(VLOOKUP(BY149,'RawPL+D'!$O$8:$AB$503,12,FALSE),"-")</f>
        <v>-</v>
      </c>
      <c r="CG149" s="338" t="str">
        <f t="shared" si="73"/>
        <v>-</v>
      </c>
      <c r="CH149" s="341" t="str">
        <f>IFERROR(VLOOKUP(BY149,'RawPL+D'!$O$8:$AB$503,13,FALSE),"-")</f>
        <v>-</v>
      </c>
      <c r="CI149" s="338" t="str">
        <f t="shared" si="74"/>
        <v>-</v>
      </c>
    </row>
    <row r="150" spans="1:87" ht="12.75" hidden="1" customHeight="1" x14ac:dyDescent="0.2">
      <c r="A150" s="28">
        <v>4</v>
      </c>
      <c r="B150" s="28">
        <v>4</v>
      </c>
      <c r="C150" s="11">
        <v>20</v>
      </c>
      <c r="D150" s="13" t="s">
        <v>303</v>
      </c>
      <c r="E150" s="10" t="s">
        <v>160</v>
      </c>
      <c r="F150" s="10" t="s">
        <v>209</v>
      </c>
      <c r="G150" s="10"/>
      <c r="H150" s="10"/>
      <c r="I150" s="10"/>
      <c r="J150" s="10"/>
      <c r="K150" s="575"/>
      <c r="L150" s="152"/>
      <c r="M150" s="164"/>
      <c r="N150" s="62"/>
      <c r="O150" s="62"/>
      <c r="P150" s="64"/>
      <c r="Q150" s="164"/>
      <c r="R150" s="164"/>
      <c r="S150" s="62"/>
      <c r="T150" s="62"/>
      <c r="U150" s="64"/>
      <c r="V150" s="164"/>
      <c r="W150" s="164"/>
      <c r="X150" s="62"/>
      <c r="Y150" s="164"/>
      <c r="Z150" s="164"/>
      <c r="AA150" s="62"/>
      <c r="AB150" s="62"/>
      <c r="AC150" s="62"/>
      <c r="AD150" s="64"/>
      <c r="AE150" s="164"/>
      <c r="AF150" s="62"/>
      <c r="AG150" s="62"/>
      <c r="AH150" s="337"/>
      <c r="AI150" s="337"/>
      <c r="AJ150" s="337"/>
      <c r="AK150" s="337"/>
      <c r="AL150" s="412"/>
      <c r="AM150" s="414"/>
      <c r="AN150" s="45"/>
      <c r="AO150" s="45"/>
      <c r="AP150" s="45"/>
      <c r="AQ150" s="100"/>
      <c r="AR150" s="100"/>
      <c r="AS150" s="100"/>
      <c r="AT150" s="100"/>
      <c r="AU150" s="100"/>
      <c r="AV150" s="100"/>
      <c r="AW150" s="18">
        <v>20</v>
      </c>
      <c r="AX150" s="69" t="s">
        <v>303</v>
      </c>
      <c r="AY150" s="243" t="s">
        <v>160</v>
      </c>
      <c r="AZ150" s="243" t="str">
        <f t="shared" si="53"/>
        <v>Chum</v>
      </c>
      <c r="BA150" s="243" t="s">
        <v>419</v>
      </c>
      <c r="BB150" s="246"/>
      <c r="BC150" s="43" t="str">
        <f t="shared" si="54"/>
        <v>-</v>
      </c>
      <c r="BD150" s="43">
        <f t="shared" si="55"/>
        <v>0</v>
      </c>
      <c r="BE150" s="193">
        <f t="shared" si="56"/>
        <v>0</v>
      </c>
      <c r="BF150" s="193">
        <f t="shared" si="57"/>
        <v>0</v>
      </c>
      <c r="BG150" s="193">
        <f t="shared" si="58"/>
        <v>0</v>
      </c>
      <c r="BH150" s="307" t="str">
        <f t="shared" si="59"/>
        <v>-</v>
      </c>
      <c r="BI150" s="265" t="str">
        <f t="shared" si="52"/>
        <v>-</v>
      </c>
      <c r="BJ150" s="26" t="str">
        <f t="shared" si="60"/>
        <v>LUNSON CREEKChum</v>
      </c>
      <c r="BK150" s="26">
        <f t="shared" si="61"/>
        <v>0</v>
      </c>
      <c r="BL150" s="33">
        <f t="shared" si="51"/>
        <v>0</v>
      </c>
      <c r="BQ150" s="47" t="str">
        <f t="shared" si="62"/>
        <v>LUNSON CREEKChum</v>
      </c>
      <c r="BR150" s="49">
        <f t="shared" si="63"/>
        <v>0</v>
      </c>
      <c r="BS150" s="49">
        <f t="shared" si="64"/>
        <v>0</v>
      </c>
      <c r="BT150" s="31">
        <v>0</v>
      </c>
      <c r="BU150" s="188">
        <f t="shared" si="65"/>
        <v>0</v>
      </c>
      <c r="BV150" s="188" t="str">
        <f t="shared" si="66"/>
        <v xml:space="preserve"> </v>
      </c>
      <c r="BW150" s="188" t="str">
        <f t="shared" si="67"/>
        <v xml:space="preserve"> </v>
      </c>
      <c r="BX150" s="188" t="str">
        <f t="shared" si="68"/>
        <v xml:space="preserve"> </v>
      </c>
      <c r="BY150" s="50" t="str">
        <f t="shared" si="69"/>
        <v>LUNSON CREEK_Chum</v>
      </c>
      <c r="BZ150" s="50" t="str">
        <f>IFERROR(VLOOKUP(BY150,'[1]WCVI Esc'!$C$5:$W$555,18,FALSE),"-")</f>
        <v>-</v>
      </c>
      <c r="CA150" s="50" t="str">
        <f t="shared" si="70"/>
        <v>-</v>
      </c>
      <c r="CB150" s="50" t="str">
        <f>IFERROR(VLOOKUP(BY150,'[1]WCVI Esc'!$C$5:$W$555,19,FALSE),"-")</f>
        <v>-</v>
      </c>
      <c r="CC150" s="50" t="str">
        <f t="shared" si="71"/>
        <v>-</v>
      </c>
      <c r="CE150" s="342" t="str">
        <f t="shared" si="72"/>
        <v>LUNSON CREEK_Chum</v>
      </c>
      <c r="CF150" s="341" t="str">
        <f>IFERROR(VLOOKUP(BY150,'RawPL+D'!$O$8:$AB$503,12,FALSE),"-")</f>
        <v>-</v>
      </c>
      <c r="CG150" s="338" t="str">
        <f t="shared" si="73"/>
        <v>-</v>
      </c>
      <c r="CH150" s="341" t="str">
        <f>IFERROR(VLOOKUP(BY150,'RawPL+D'!$O$8:$AB$503,13,FALSE),"-")</f>
        <v>-</v>
      </c>
      <c r="CI150" s="338" t="str">
        <f t="shared" si="74"/>
        <v>-</v>
      </c>
    </row>
    <row r="151" spans="1:87" ht="12.75" hidden="1" customHeight="1" x14ac:dyDescent="0.2">
      <c r="A151" s="28">
        <v>4</v>
      </c>
      <c r="B151" s="28">
        <v>5</v>
      </c>
      <c r="C151" s="11">
        <v>20</v>
      </c>
      <c r="D151" s="13" t="s">
        <v>303</v>
      </c>
      <c r="E151" s="10" t="s">
        <v>160</v>
      </c>
      <c r="F151" s="10" t="s">
        <v>210</v>
      </c>
      <c r="G151" s="10"/>
      <c r="H151" s="10"/>
      <c r="I151" s="10"/>
      <c r="J151" s="10"/>
      <c r="K151" s="575"/>
      <c r="L151" s="152"/>
      <c r="M151" s="164"/>
      <c r="N151" s="62"/>
      <c r="O151" s="62"/>
      <c r="P151" s="64"/>
      <c r="Q151" s="164"/>
      <c r="R151" s="164"/>
      <c r="S151" s="62"/>
      <c r="T151" s="62"/>
      <c r="U151" s="64"/>
      <c r="V151" s="164"/>
      <c r="W151" s="164"/>
      <c r="X151" s="62"/>
      <c r="Y151" s="164"/>
      <c r="Z151" s="164"/>
      <c r="AA151" s="62"/>
      <c r="AB151" s="62"/>
      <c r="AC151" s="62"/>
      <c r="AD151" s="64"/>
      <c r="AE151" s="164"/>
      <c r="AF151" s="62"/>
      <c r="AG151" s="62"/>
      <c r="AH151" s="337"/>
      <c r="AI151" s="337"/>
      <c r="AJ151" s="337"/>
      <c r="AK151" s="337"/>
      <c r="AL151" s="412"/>
      <c r="AM151" s="414"/>
      <c r="AN151" s="45"/>
      <c r="AO151" s="45"/>
      <c r="AP151" s="45"/>
      <c r="AQ151" s="100"/>
      <c r="AR151" s="100"/>
      <c r="AS151" s="100"/>
      <c r="AT151" s="100"/>
      <c r="AU151" s="100"/>
      <c r="AV151" s="100"/>
      <c r="AW151" s="18">
        <v>20</v>
      </c>
      <c r="AX151" s="69" t="s">
        <v>303</v>
      </c>
      <c r="AY151" s="243" t="s">
        <v>160</v>
      </c>
      <c r="AZ151" s="243" t="str">
        <f t="shared" si="53"/>
        <v>Chinook</v>
      </c>
      <c r="BA151" s="243" t="s">
        <v>419</v>
      </c>
      <c r="BB151" s="246"/>
      <c r="BC151" s="43" t="str">
        <f t="shared" si="54"/>
        <v>-</v>
      </c>
      <c r="BD151" s="43">
        <f t="shared" si="55"/>
        <v>0</v>
      </c>
      <c r="BE151" s="193">
        <f t="shared" si="56"/>
        <v>0</v>
      </c>
      <c r="BF151" s="193">
        <f t="shared" si="57"/>
        <v>0</v>
      </c>
      <c r="BG151" s="193">
        <f t="shared" si="58"/>
        <v>0</v>
      </c>
      <c r="BH151" s="307" t="str">
        <f t="shared" si="59"/>
        <v>-</v>
      </c>
      <c r="BI151" s="265" t="str">
        <f t="shared" si="52"/>
        <v>-</v>
      </c>
      <c r="BJ151" s="26" t="str">
        <f t="shared" si="60"/>
        <v>LUNSON CREEKChinook</v>
      </c>
      <c r="BK151" s="26">
        <f t="shared" si="61"/>
        <v>0</v>
      </c>
      <c r="BL151" s="33">
        <f t="shared" si="51"/>
        <v>0</v>
      </c>
      <c r="BQ151" s="47" t="str">
        <f t="shared" si="62"/>
        <v>LUNSON CREEKChinook</v>
      </c>
      <c r="BR151" s="49">
        <f t="shared" si="63"/>
        <v>0</v>
      </c>
      <c r="BS151" s="49">
        <f t="shared" si="64"/>
        <v>0</v>
      </c>
      <c r="BT151" s="31">
        <v>0</v>
      </c>
      <c r="BU151" s="188">
        <f t="shared" si="65"/>
        <v>0</v>
      </c>
      <c r="BV151" s="188" t="str">
        <f t="shared" si="66"/>
        <v xml:space="preserve"> </v>
      </c>
      <c r="BW151" s="188" t="str">
        <f t="shared" si="67"/>
        <v xml:space="preserve"> </v>
      </c>
      <c r="BX151" s="188" t="str">
        <f t="shared" si="68"/>
        <v xml:space="preserve"> </v>
      </c>
      <c r="BY151" s="50" t="str">
        <f t="shared" si="69"/>
        <v>LUNSON CREEK_Chinook</v>
      </c>
      <c r="BZ151" s="50" t="str">
        <f>IFERROR(VLOOKUP(BY151,'[1]WCVI Esc'!$C$5:$W$555,18,FALSE),"-")</f>
        <v>-</v>
      </c>
      <c r="CA151" s="50" t="str">
        <f t="shared" si="70"/>
        <v>-</v>
      </c>
      <c r="CB151" s="50" t="str">
        <f>IFERROR(VLOOKUP(BY151,'[1]WCVI Esc'!$C$5:$W$555,19,FALSE),"-")</f>
        <v>-</v>
      </c>
      <c r="CC151" s="50" t="str">
        <f t="shared" si="71"/>
        <v>-</v>
      </c>
      <c r="CE151" s="342" t="str">
        <f t="shared" si="72"/>
        <v>LUNSON CREEK_Chinook</v>
      </c>
      <c r="CF151" s="341" t="str">
        <f>IFERROR(VLOOKUP(BY151,'RawPL+D'!$O$8:$AB$503,12,FALSE),"-")</f>
        <v>-</v>
      </c>
      <c r="CG151" s="338" t="str">
        <f t="shared" si="73"/>
        <v>-</v>
      </c>
      <c r="CH151" s="341" t="str">
        <f>IFERROR(VLOOKUP(BY151,'RawPL+D'!$O$8:$AB$503,13,FALSE),"-")</f>
        <v>-</v>
      </c>
      <c r="CI151" s="338" t="str">
        <f t="shared" si="74"/>
        <v>-</v>
      </c>
    </row>
    <row r="152" spans="1:87" ht="12.75" hidden="1" customHeight="1" x14ac:dyDescent="0.2">
      <c r="A152" s="28">
        <v>4</v>
      </c>
      <c r="B152" s="28">
        <v>6</v>
      </c>
      <c r="C152" s="11">
        <v>20</v>
      </c>
      <c r="D152" s="13" t="s">
        <v>303</v>
      </c>
      <c r="E152" s="10" t="s">
        <v>160</v>
      </c>
      <c r="F152" s="10" t="s">
        <v>211</v>
      </c>
      <c r="G152" s="10"/>
      <c r="H152" s="10"/>
      <c r="I152" s="10"/>
      <c r="J152" s="10"/>
      <c r="K152" s="575"/>
      <c r="L152" s="152"/>
      <c r="M152" s="164"/>
      <c r="N152" s="62"/>
      <c r="O152" s="62"/>
      <c r="P152" s="64"/>
      <c r="Q152" s="164"/>
      <c r="R152" s="164"/>
      <c r="S152" s="62"/>
      <c r="T152" s="62"/>
      <c r="U152" s="64"/>
      <c r="V152" s="164"/>
      <c r="W152" s="164"/>
      <c r="X152" s="62"/>
      <c r="Y152" s="164"/>
      <c r="Z152" s="164"/>
      <c r="AA152" s="62"/>
      <c r="AB152" s="62"/>
      <c r="AC152" s="62"/>
      <c r="AD152" s="64"/>
      <c r="AE152" s="164"/>
      <c r="AF152" s="62"/>
      <c r="AG152" s="62"/>
      <c r="AH152" s="337"/>
      <c r="AI152" s="337"/>
      <c r="AJ152" s="337"/>
      <c r="AK152" s="337"/>
      <c r="AL152" s="412"/>
      <c r="AM152" s="414"/>
      <c r="AN152" s="45"/>
      <c r="AO152" s="45"/>
      <c r="AP152" s="45"/>
      <c r="AQ152" s="100"/>
      <c r="AR152" s="100"/>
      <c r="AS152" s="100"/>
      <c r="AT152" s="100"/>
      <c r="AU152" s="100"/>
      <c r="AV152" s="100"/>
      <c r="AW152" s="18">
        <v>20</v>
      </c>
      <c r="AX152" s="69" t="s">
        <v>303</v>
      </c>
      <c r="AY152" s="243" t="s">
        <v>160</v>
      </c>
      <c r="AZ152" s="243" t="str">
        <f t="shared" si="53"/>
        <v>Steelhead</v>
      </c>
      <c r="BA152" s="243" t="s">
        <v>419</v>
      </c>
      <c r="BB152" s="246"/>
      <c r="BC152" s="43" t="str">
        <f t="shared" si="54"/>
        <v>-</v>
      </c>
      <c r="BD152" s="43">
        <f t="shared" si="55"/>
        <v>0</v>
      </c>
      <c r="BE152" s="193">
        <f t="shared" si="56"/>
        <v>0</v>
      </c>
      <c r="BF152" s="193">
        <f t="shared" si="57"/>
        <v>0</v>
      </c>
      <c r="BG152" s="193">
        <f t="shared" si="58"/>
        <v>0</v>
      </c>
      <c r="BH152" s="307" t="str">
        <f t="shared" si="59"/>
        <v>-</v>
      </c>
      <c r="BI152" s="265" t="str">
        <f t="shared" si="52"/>
        <v>-</v>
      </c>
      <c r="BJ152" s="26" t="str">
        <f t="shared" si="60"/>
        <v>LUNSON CREEKSteelhead</v>
      </c>
      <c r="BK152" s="26">
        <f t="shared" si="61"/>
        <v>0</v>
      </c>
      <c r="BL152" s="33">
        <f t="shared" si="51"/>
        <v>0</v>
      </c>
      <c r="BQ152" s="47" t="str">
        <f t="shared" si="62"/>
        <v>LUNSON CREEKSteelhead</v>
      </c>
      <c r="BR152" s="49">
        <f t="shared" si="63"/>
        <v>0</v>
      </c>
      <c r="BS152" s="49">
        <f t="shared" si="64"/>
        <v>0</v>
      </c>
      <c r="BT152" s="31">
        <v>0</v>
      </c>
      <c r="BU152" s="188">
        <f t="shared" si="65"/>
        <v>0</v>
      </c>
      <c r="BV152" s="188" t="str">
        <f t="shared" si="66"/>
        <v xml:space="preserve"> </v>
      </c>
      <c r="BW152" s="188" t="str">
        <f t="shared" si="67"/>
        <v xml:space="preserve"> </v>
      </c>
      <c r="BX152" s="188" t="str">
        <f t="shared" si="68"/>
        <v xml:space="preserve"> </v>
      </c>
      <c r="BY152" s="50" t="str">
        <f t="shared" si="69"/>
        <v>LUNSON CREEK_Steelhead</v>
      </c>
      <c r="BZ152" s="50" t="str">
        <f>IFERROR(VLOOKUP(BY152,'[1]WCVI Esc'!$C$5:$W$555,18,FALSE),"-")</f>
        <v>-</v>
      </c>
      <c r="CA152" s="50" t="str">
        <f t="shared" si="70"/>
        <v>-</v>
      </c>
      <c r="CB152" s="50" t="str">
        <f>IFERROR(VLOOKUP(BY152,'[1]WCVI Esc'!$C$5:$W$555,19,FALSE),"-")</f>
        <v>-</v>
      </c>
      <c r="CC152" s="50" t="str">
        <f t="shared" si="71"/>
        <v>-</v>
      </c>
      <c r="CE152" s="342" t="str">
        <f t="shared" si="72"/>
        <v>LUNSON CREEK_Steelhead</v>
      </c>
      <c r="CF152" s="341" t="str">
        <f>IFERROR(VLOOKUP(BY152,'RawPL+D'!$O$8:$AB$503,12,FALSE),"-")</f>
        <v>-</v>
      </c>
      <c r="CG152" s="338" t="str">
        <f t="shared" si="73"/>
        <v>-</v>
      </c>
      <c r="CH152" s="341" t="str">
        <f>IFERROR(VLOOKUP(BY152,'RawPL+D'!$O$8:$AB$503,13,FALSE),"-")</f>
        <v>-</v>
      </c>
      <c r="CI152" s="338" t="str">
        <f t="shared" si="74"/>
        <v>-</v>
      </c>
    </row>
    <row r="153" spans="1:87" ht="12.75" hidden="1" customHeight="1" x14ac:dyDescent="0.2">
      <c r="A153" s="28">
        <v>4</v>
      </c>
      <c r="B153" s="28">
        <v>1</v>
      </c>
      <c r="C153" s="11">
        <v>20</v>
      </c>
      <c r="D153" s="13" t="s">
        <v>303</v>
      </c>
      <c r="E153" s="10" t="s">
        <v>21</v>
      </c>
      <c r="F153" s="10" t="s">
        <v>207</v>
      </c>
      <c r="G153" s="10"/>
      <c r="H153" s="10"/>
      <c r="I153" s="10"/>
      <c r="J153" s="10"/>
      <c r="K153" s="575"/>
      <c r="L153" s="152"/>
      <c r="M153" s="164"/>
      <c r="N153" s="62"/>
      <c r="O153" s="62"/>
      <c r="P153" s="64"/>
      <c r="Q153" s="164"/>
      <c r="R153" s="62"/>
      <c r="S153" s="62"/>
      <c r="T153" s="62"/>
      <c r="U153" s="64"/>
      <c r="V153" s="164"/>
      <c r="W153" s="62"/>
      <c r="X153" s="62"/>
      <c r="Y153" s="62"/>
      <c r="Z153" s="64"/>
      <c r="AA153" s="164"/>
      <c r="AB153" s="62"/>
      <c r="AC153" s="62"/>
      <c r="AD153" s="64"/>
      <c r="AE153" s="164"/>
      <c r="AF153" s="62"/>
      <c r="AG153" s="62"/>
      <c r="AH153" s="337"/>
      <c r="AI153" s="337"/>
      <c r="AJ153" s="337"/>
      <c r="AK153" s="337"/>
      <c r="AL153" s="412"/>
      <c r="AM153" s="414"/>
      <c r="AN153" s="45"/>
      <c r="AO153" s="45"/>
      <c r="AP153" s="45"/>
      <c r="AQ153" s="100"/>
      <c r="AR153" s="100"/>
      <c r="AS153" s="100"/>
      <c r="AT153" s="100"/>
      <c r="AU153" s="100"/>
      <c r="AV153" s="100"/>
      <c r="AW153" s="18">
        <v>20</v>
      </c>
      <c r="AX153" s="69" t="s">
        <v>303</v>
      </c>
      <c r="AY153" s="243" t="s">
        <v>21</v>
      </c>
      <c r="AZ153" s="243" t="str">
        <f t="shared" si="53"/>
        <v>Sockeye</v>
      </c>
      <c r="BA153" s="243" t="s">
        <v>419</v>
      </c>
      <c r="BB153" s="246"/>
      <c r="BC153" s="43" t="str">
        <f t="shared" si="54"/>
        <v>-</v>
      </c>
      <c r="BD153" s="43">
        <f t="shared" si="55"/>
        <v>0</v>
      </c>
      <c r="BE153" s="193">
        <f t="shared" si="56"/>
        <v>0</v>
      </c>
      <c r="BF153" s="193">
        <f t="shared" si="57"/>
        <v>0</v>
      </c>
      <c r="BG153" s="193">
        <f t="shared" si="58"/>
        <v>0</v>
      </c>
      <c r="BH153" s="307" t="str">
        <f t="shared" si="59"/>
        <v>-</v>
      </c>
      <c r="BI153" s="265" t="str">
        <f t="shared" si="52"/>
        <v>-</v>
      </c>
      <c r="BJ153" s="26" t="str">
        <f t="shared" si="60"/>
        <v>MUIR CREEKSockeye</v>
      </c>
      <c r="BK153" s="26">
        <f t="shared" si="61"/>
        <v>0</v>
      </c>
      <c r="BL153" s="33">
        <f t="shared" si="51"/>
        <v>0</v>
      </c>
      <c r="BQ153" s="47" t="str">
        <f t="shared" si="62"/>
        <v>MUIR CREEKSockeye</v>
      </c>
      <c r="BR153" s="49">
        <f t="shared" si="63"/>
        <v>0</v>
      </c>
      <c r="BS153" s="49">
        <f t="shared" si="64"/>
        <v>0</v>
      </c>
      <c r="BT153" s="31">
        <v>2003</v>
      </c>
      <c r="BU153" s="188">
        <f t="shared" si="65"/>
        <v>0</v>
      </c>
      <c r="BV153" s="188" t="str">
        <f t="shared" si="66"/>
        <v xml:space="preserve"> </v>
      </c>
      <c r="BW153" s="188" t="str">
        <f t="shared" si="67"/>
        <v xml:space="preserve"> </v>
      </c>
      <c r="BX153" s="188" t="str">
        <f t="shared" si="68"/>
        <v xml:space="preserve"> </v>
      </c>
      <c r="BY153" s="50" t="str">
        <f t="shared" si="69"/>
        <v>MUIR CREEK_Sockeye</v>
      </c>
      <c r="BZ153" s="50" t="str">
        <f>IFERROR(VLOOKUP(BY153,'[1]WCVI Esc'!$C$5:$W$555,18,FALSE),"-")</f>
        <v>-</v>
      </c>
      <c r="CA153" s="50" t="str">
        <f t="shared" si="70"/>
        <v>-</v>
      </c>
      <c r="CB153" s="50" t="str">
        <f>IFERROR(VLOOKUP(BY153,'[1]WCVI Esc'!$C$5:$W$555,19,FALSE),"-")</f>
        <v>-</v>
      </c>
      <c r="CC153" s="50" t="str">
        <f t="shared" si="71"/>
        <v>-</v>
      </c>
      <c r="CE153" s="342" t="str">
        <f t="shared" si="72"/>
        <v>MUIR CREEK_Sockeye</v>
      </c>
      <c r="CF153" s="341" t="str">
        <f>IFERROR(VLOOKUP(BY153,'RawPL+D'!$O$8:$AB$503,12,FALSE),"-")</f>
        <v>-</v>
      </c>
      <c r="CG153" s="338" t="str">
        <f t="shared" si="73"/>
        <v>-</v>
      </c>
      <c r="CH153" s="341" t="str">
        <f>IFERROR(VLOOKUP(BY153,'RawPL+D'!$O$8:$AB$503,13,FALSE),"-")</f>
        <v>-</v>
      </c>
      <c r="CI153" s="338" t="str">
        <f t="shared" si="74"/>
        <v>-</v>
      </c>
    </row>
    <row r="154" spans="1:87" ht="12.75" hidden="1" customHeight="1" x14ac:dyDescent="0.2">
      <c r="A154" s="28">
        <v>4</v>
      </c>
      <c r="B154" s="28">
        <v>2</v>
      </c>
      <c r="C154" s="11">
        <v>20</v>
      </c>
      <c r="D154" s="13" t="s">
        <v>303</v>
      </c>
      <c r="E154" s="10" t="s">
        <v>21</v>
      </c>
      <c r="F154" s="10" t="s">
        <v>219</v>
      </c>
      <c r="G154" s="10"/>
      <c r="H154" s="10"/>
      <c r="I154" s="10"/>
      <c r="J154" s="10"/>
      <c r="K154" s="575"/>
      <c r="L154" s="152"/>
      <c r="M154" s="164"/>
      <c r="N154" s="62"/>
      <c r="O154" s="62"/>
      <c r="P154" s="64"/>
      <c r="Q154" s="164"/>
      <c r="R154" s="62"/>
      <c r="S154" s="62"/>
      <c r="T154" s="62"/>
      <c r="U154" s="64"/>
      <c r="V154" s="164"/>
      <c r="W154" s="62"/>
      <c r="X154" s="62"/>
      <c r="Y154" s="62"/>
      <c r="Z154" s="64"/>
      <c r="AA154" s="164"/>
      <c r="AB154" s="62"/>
      <c r="AC154" s="62"/>
      <c r="AD154" s="64"/>
      <c r="AE154" s="164"/>
      <c r="AF154" s="62"/>
      <c r="AG154" s="62"/>
      <c r="AH154" s="337"/>
      <c r="AI154" s="337"/>
      <c r="AJ154" s="337"/>
      <c r="AK154" s="337"/>
      <c r="AL154" s="412"/>
      <c r="AM154" s="414"/>
      <c r="AN154" s="45"/>
      <c r="AO154" s="45"/>
      <c r="AP154" s="45"/>
      <c r="AQ154" s="100"/>
      <c r="AR154" s="100"/>
      <c r="AS154" s="100"/>
      <c r="AT154" s="100"/>
      <c r="AU154" s="100"/>
      <c r="AV154" s="100"/>
      <c r="AW154" s="18">
        <v>20</v>
      </c>
      <c r="AX154" s="69" t="s">
        <v>303</v>
      </c>
      <c r="AY154" s="243" t="s">
        <v>21</v>
      </c>
      <c r="AZ154" s="243" t="str">
        <f t="shared" si="53"/>
        <v>Coho</v>
      </c>
      <c r="BA154" s="243" t="s">
        <v>419</v>
      </c>
      <c r="BB154" s="246"/>
      <c r="BC154" s="43" t="str">
        <f t="shared" si="54"/>
        <v>-</v>
      </c>
      <c r="BD154" s="43">
        <f t="shared" si="55"/>
        <v>0</v>
      </c>
      <c r="BE154" s="193">
        <f t="shared" si="56"/>
        <v>0</v>
      </c>
      <c r="BF154" s="193">
        <f t="shared" si="57"/>
        <v>0</v>
      </c>
      <c r="BG154" s="193">
        <f t="shared" si="58"/>
        <v>0</v>
      </c>
      <c r="BH154" s="307" t="str">
        <f t="shared" si="59"/>
        <v>-</v>
      </c>
      <c r="BI154" s="265" t="str">
        <f t="shared" si="52"/>
        <v>-</v>
      </c>
      <c r="BJ154" s="26" t="str">
        <f t="shared" si="60"/>
        <v>MUIR CREEKCoho</v>
      </c>
      <c r="BK154" s="26">
        <f t="shared" si="61"/>
        <v>0</v>
      </c>
      <c r="BL154" s="33">
        <f t="shared" si="51"/>
        <v>0</v>
      </c>
      <c r="BQ154" s="47" t="str">
        <f t="shared" si="62"/>
        <v>MUIR CREEKCoho</v>
      </c>
      <c r="BR154" s="49">
        <f t="shared" si="63"/>
        <v>0</v>
      </c>
      <c r="BS154" s="49">
        <f t="shared" si="64"/>
        <v>0</v>
      </c>
      <c r="BT154" s="31">
        <v>2003</v>
      </c>
      <c r="BU154" s="188">
        <f t="shared" si="65"/>
        <v>0</v>
      </c>
      <c r="BV154" s="188" t="str">
        <f t="shared" si="66"/>
        <v xml:space="preserve"> </v>
      </c>
      <c r="BW154" s="188" t="str">
        <f t="shared" si="67"/>
        <v xml:space="preserve"> </v>
      </c>
      <c r="BX154" s="188" t="str">
        <f t="shared" si="68"/>
        <v xml:space="preserve"> </v>
      </c>
      <c r="BY154" s="50" t="str">
        <f t="shared" si="69"/>
        <v>MUIR CREEK_Coho</v>
      </c>
      <c r="BZ154" s="50" t="str">
        <f>IFERROR(VLOOKUP(BY154,'[1]WCVI Esc'!$C$5:$W$555,18,FALSE),"-")</f>
        <v>-</v>
      </c>
      <c r="CA154" s="50" t="str">
        <f t="shared" si="70"/>
        <v>-</v>
      </c>
      <c r="CB154" s="50" t="str">
        <f>IFERROR(VLOOKUP(BY154,'[1]WCVI Esc'!$C$5:$W$555,19,FALSE),"-")</f>
        <v>-</v>
      </c>
      <c r="CC154" s="50" t="str">
        <f t="shared" si="71"/>
        <v>-</v>
      </c>
      <c r="CE154" s="342" t="str">
        <f t="shared" si="72"/>
        <v>MUIR CREEK_Coho</v>
      </c>
      <c r="CF154" s="341" t="str">
        <f>IFERROR(VLOOKUP(BY154,'RawPL+D'!$O$8:$AB$503,12,FALSE),"-")</f>
        <v>-</v>
      </c>
      <c r="CG154" s="338" t="str">
        <f t="shared" si="73"/>
        <v>-</v>
      </c>
      <c r="CH154" s="341" t="str">
        <f>IFERROR(VLOOKUP(BY154,'RawPL+D'!$O$8:$AB$503,13,FALSE),"-")</f>
        <v>-</v>
      </c>
      <c r="CI154" s="338" t="str">
        <f t="shared" si="74"/>
        <v>-</v>
      </c>
    </row>
    <row r="155" spans="1:87" ht="12.75" hidden="1" customHeight="1" x14ac:dyDescent="0.2">
      <c r="A155" s="28">
        <v>4</v>
      </c>
      <c r="B155" s="28">
        <v>3</v>
      </c>
      <c r="C155" s="11">
        <v>20</v>
      </c>
      <c r="D155" s="13" t="s">
        <v>303</v>
      </c>
      <c r="E155" s="10" t="s">
        <v>21</v>
      </c>
      <c r="F155" s="10" t="s">
        <v>208</v>
      </c>
      <c r="G155" s="10"/>
      <c r="H155" s="10"/>
      <c r="I155" s="10"/>
      <c r="J155" s="10"/>
      <c r="K155" s="575"/>
      <c r="L155" s="152"/>
      <c r="M155" s="164"/>
      <c r="N155" s="62"/>
      <c r="O155" s="62"/>
      <c r="P155" s="64"/>
      <c r="Q155" s="164"/>
      <c r="R155" s="62"/>
      <c r="S155" s="62"/>
      <c r="T155" s="62"/>
      <c r="U155" s="64"/>
      <c r="V155" s="164"/>
      <c r="W155" s="62"/>
      <c r="X155" s="62"/>
      <c r="Y155" s="62"/>
      <c r="Z155" s="64"/>
      <c r="AA155" s="164"/>
      <c r="AB155" s="62"/>
      <c r="AC155" s="62"/>
      <c r="AD155" s="64"/>
      <c r="AE155" s="164"/>
      <c r="AF155" s="62"/>
      <c r="AG155" s="62"/>
      <c r="AH155" s="337"/>
      <c r="AI155" s="337"/>
      <c r="AJ155" s="337"/>
      <c r="AK155" s="337"/>
      <c r="AL155" s="412"/>
      <c r="AM155" s="414"/>
      <c r="AN155" s="45"/>
      <c r="AO155" s="45"/>
      <c r="AP155" s="45"/>
      <c r="AQ155" s="100"/>
      <c r="AR155" s="100"/>
      <c r="AS155" s="100"/>
      <c r="AT155" s="100"/>
      <c r="AU155" s="100"/>
      <c r="AV155" s="100"/>
      <c r="AW155" s="18">
        <v>20</v>
      </c>
      <c r="AX155" s="69" t="s">
        <v>303</v>
      </c>
      <c r="AY155" s="243" t="s">
        <v>21</v>
      </c>
      <c r="AZ155" s="243" t="str">
        <f t="shared" si="53"/>
        <v>Pink</v>
      </c>
      <c r="BA155" s="243" t="s">
        <v>419</v>
      </c>
      <c r="BB155" s="246"/>
      <c r="BC155" s="43" t="str">
        <f t="shared" si="54"/>
        <v>-</v>
      </c>
      <c r="BD155" s="43">
        <f t="shared" si="55"/>
        <v>0</v>
      </c>
      <c r="BE155" s="193">
        <f t="shared" si="56"/>
        <v>0</v>
      </c>
      <c r="BF155" s="193">
        <f t="shared" si="57"/>
        <v>0</v>
      </c>
      <c r="BG155" s="193">
        <f t="shared" si="58"/>
        <v>0</v>
      </c>
      <c r="BH155" s="307" t="str">
        <f t="shared" si="59"/>
        <v>-</v>
      </c>
      <c r="BI155" s="265" t="str">
        <f t="shared" si="52"/>
        <v>-</v>
      </c>
      <c r="BJ155" s="26" t="str">
        <f t="shared" si="60"/>
        <v>MUIR CREEKPink</v>
      </c>
      <c r="BK155" s="26">
        <f t="shared" si="61"/>
        <v>0</v>
      </c>
      <c r="BL155" s="33">
        <f t="shared" si="51"/>
        <v>0</v>
      </c>
      <c r="BQ155" s="47" t="str">
        <f t="shared" si="62"/>
        <v>MUIR CREEKPink</v>
      </c>
      <c r="BR155" s="49">
        <f t="shared" si="63"/>
        <v>0</v>
      </c>
      <c r="BS155" s="49">
        <f t="shared" si="64"/>
        <v>0</v>
      </c>
      <c r="BT155" s="31">
        <v>0</v>
      </c>
      <c r="BU155" s="188">
        <f t="shared" si="65"/>
        <v>0</v>
      </c>
      <c r="BV155" s="188" t="str">
        <f t="shared" si="66"/>
        <v xml:space="preserve"> </v>
      </c>
      <c r="BW155" s="188" t="str">
        <f t="shared" si="67"/>
        <v xml:space="preserve"> </v>
      </c>
      <c r="BX155" s="188" t="str">
        <f t="shared" si="68"/>
        <v xml:space="preserve"> </v>
      </c>
      <c r="BY155" s="50" t="str">
        <f t="shared" si="69"/>
        <v>MUIR CREEK_Pink</v>
      </c>
      <c r="BZ155" s="50" t="str">
        <f>IFERROR(VLOOKUP(BY155,'[1]WCVI Esc'!$C$5:$W$555,18,FALSE),"-")</f>
        <v>-</v>
      </c>
      <c r="CA155" s="50" t="str">
        <f t="shared" si="70"/>
        <v>-</v>
      </c>
      <c r="CB155" s="50" t="str">
        <f>IFERROR(VLOOKUP(BY155,'[1]WCVI Esc'!$C$5:$W$555,19,FALSE),"-")</f>
        <v>-</v>
      </c>
      <c r="CC155" s="50" t="str">
        <f t="shared" si="71"/>
        <v>-</v>
      </c>
      <c r="CE155" s="342" t="str">
        <f t="shared" si="72"/>
        <v>MUIR CREEK_Pink</v>
      </c>
      <c r="CF155" s="341" t="str">
        <f>IFERROR(VLOOKUP(BY155,'RawPL+D'!$O$8:$AB$503,12,FALSE),"-")</f>
        <v>-</v>
      </c>
      <c r="CG155" s="338" t="str">
        <f t="shared" si="73"/>
        <v>-</v>
      </c>
      <c r="CH155" s="341" t="str">
        <f>IFERROR(VLOOKUP(BY155,'RawPL+D'!$O$8:$AB$503,13,FALSE),"-")</f>
        <v>-</v>
      </c>
      <c r="CI155" s="338" t="str">
        <f t="shared" si="74"/>
        <v>-</v>
      </c>
    </row>
    <row r="156" spans="1:87" ht="12.75" hidden="1" customHeight="1" x14ac:dyDescent="0.2">
      <c r="A156" s="28">
        <v>4</v>
      </c>
      <c r="B156" s="28">
        <v>4</v>
      </c>
      <c r="C156" s="11">
        <v>20</v>
      </c>
      <c r="D156" s="13" t="s">
        <v>303</v>
      </c>
      <c r="E156" s="10" t="s">
        <v>21</v>
      </c>
      <c r="F156" s="10" t="s">
        <v>209</v>
      </c>
      <c r="G156" s="10"/>
      <c r="H156" s="10"/>
      <c r="I156" s="10"/>
      <c r="J156" s="10"/>
      <c r="K156" s="575"/>
      <c r="L156" s="152"/>
      <c r="M156" s="164"/>
      <c r="N156" s="62"/>
      <c r="O156" s="62"/>
      <c r="P156" s="64"/>
      <c r="Q156" s="164"/>
      <c r="R156" s="62"/>
      <c r="S156" s="62"/>
      <c r="T156" s="62"/>
      <c r="U156" s="64"/>
      <c r="V156" s="164"/>
      <c r="W156" s="62"/>
      <c r="X156" s="62"/>
      <c r="Y156" s="62"/>
      <c r="Z156" s="64"/>
      <c r="AA156" s="164"/>
      <c r="AB156" s="62"/>
      <c r="AC156" s="62"/>
      <c r="AD156" s="64"/>
      <c r="AE156" s="164"/>
      <c r="AF156" s="62"/>
      <c r="AG156" s="62"/>
      <c r="AH156" s="337"/>
      <c r="AI156" s="337"/>
      <c r="AJ156" s="337"/>
      <c r="AK156" s="337"/>
      <c r="AL156" s="412"/>
      <c r="AM156" s="414"/>
      <c r="AN156" s="45"/>
      <c r="AO156" s="45"/>
      <c r="AP156" s="45"/>
      <c r="AQ156" s="100"/>
      <c r="AR156" s="100"/>
      <c r="AS156" s="100"/>
      <c r="AT156" s="100"/>
      <c r="AU156" s="100"/>
      <c r="AV156" s="100"/>
      <c r="AW156" s="18">
        <v>20</v>
      </c>
      <c r="AX156" s="69" t="s">
        <v>303</v>
      </c>
      <c r="AY156" s="243" t="s">
        <v>21</v>
      </c>
      <c r="AZ156" s="243" t="str">
        <f t="shared" si="53"/>
        <v>Chum</v>
      </c>
      <c r="BA156" s="243" t="s">
        <v>419</v>
      </c>
      <c r="BB156" s="246"/>
      <c r="BC156" s="43" t="str">
        <f t="shared" si="54"/>
        <v>-</v>
      </c>
      <c r="BD156" s="43">
        <f t="shared" si="55"/>
        <v>0</v>
      </c>
      <c r="BE156" s="193">
        <f t="shared" si="56"/>
        <v>0</v>
      </c>
      <c r="BF156" s="193">
        <f t="shared" si="57"/>
        <v>0</v>
      </c>
      <c r="BG156" s="193">
        <f t="shared" si="58"/>
        <v>0</v>
      </c>
      <c r="BH156" s="307" t="str">
        <f t="shared" si="59"/>
        <v>-</v>
      </c>
      <c r="BI156" s="265" t="str">
        <f t="shared" si="52"/>
        <v>-</v>
      </c>
      <c r="BJ156" s="26" t="str">
        <f t="shared" si="60"/>
        <v>MUIR CREEKChum</v>
      </c>
      <c r="BK156" s="26">
        <f t="shared" si="61"/>
        <v>0</v>
      </c>
      <c r="BL156" s="33">
        <f t="shared" si="51"/>
        <v>0</v>
      </c>
      <c r="BQ156" s="47" t="str">
        <f t="shared" si="62"/>
        <v>MUIR CREEKChum</v>
      </c>
      <c r="BR156" s="49">
        <f t="shared" si="63"/>
        <v>0</v>
      </c>
      <c r="BS156" s="49">
        <f t="shared" si="64"/>
        <v>0</v>
      </c>
      <c r="BT156" s="31">
        <v>2003</v>
      </c>
      <c r="BU156" s="188">
        <f t="shared" si="65"/>
        <v>0</v>
      </c>
      <c r="BV156" s="188" t="str">
        <f t="shared" si="66"/>
        <v xml:space="preserve"> </v>
      </c>
      <c r="BW156" s="188" t="str">
        <f t="shared" si="67"/>
        <v xml:space="preserve"> </v>
      </c>
      <c r="BX156" s="188" t="str">
        <f t="shared" si="68"/>
        <v xml:space="preserve"> </v>
      </c>
      <c r="BY156" s="50" t="str">
        <f t="shared" si="69"/>
        <v>MUIR CREEK_Chum</v>
      </c>
      <c r="BZ156" s="50" t="str">
        <f>IFERROR(VLOOKUP(BY156,'[1]WCVI Esc'!$C$5:$W$555,18,FALSE),"-")</f>
        <v>-</v>
      </c>
      <c r="CA156" s="50" t="str">
        <f t="shared" si="70"/>
        <v>-</v>
      </c>
      <c r="CB156" s="50" t="str">
        <f>IFERROR(VLOOKUP(BY156,'[1]WCVI Esc'!$C$5:$W$555,19,FALSE),"-")</f>
        <v>-</v>
      </c>
      <c r="CC156" s="50" t="str">
        <f t="shared" si="71"/>
        <v>-</v>
      </c>
      <c r="CE156" s="342" t="str">
        <f t="shared" si="72"/>
        <v>MUIR CREEK_Chum</v>
      </c>
      <c r="CF156" s="341" t="str">
        <f>IFERROR(VLOOKUP(BY156,'RawPL+D'!$O$8:$AB$503,12,FALSE),"-")</f>
        <v>-</v>
      </c>
      <c r="CG156" s="338" t="str">
        <f t="shared" si="73"/>
        <v>-</v>
      </c>
      <c r="CH156" s="341" t="str">
        <f>IFERROR(VLOOKUP(BY156,'RawPL+D'!$O$8:$AB$503,13,FALSE),"-")</f>
        <v>-</v>
      </c>
      <c r="CI156" s="338" t="str">
        <f t="shared" si="74"/>
        <v>-</v>
      </c>
    </row>
    <row r="157" spans="1:87" ht="12.75" hidden="1" customHeight="1" x14ac:dyDescent="0.2">
      <c r="A157" s="28">
        <v>4</v>
      </c>
      <c r="B157" s="28">
        <v>5</v>
      </c>
      <c r="C157" s="11">
        <v>20</v>
      </c>
      <c r="D157" s="13" t="s">
        <v>303</v>
      </c>
      <c r="E157" s="10" t="s">
        <v>21</v>
      </c>
      <c r="F157" s="10" t="s">
        <v>210</v>
      </c>
      <c r="G157" s="10"/>
      <c r="H157" s="10"/>
      <c r="I157" s="10"/>
      <c r="J157" s="10"/>
      <c r="K157" s="575"/>
      <c r="L157" s="152"/>
      <c r="M157" s="164"/>
      <c r="N157" s="62"/>
      <c r="O157" s="62"/>
      <c r="P157" s="64"/>
      <c r="Q157" s="164"/>
      <c r="R157" s="62"/>
      <c r="S157" s="62"/>
      <c r="T157" s="62"/>
      <c r="U157" s="64"/>
      <c r="V157" s="164"/>
      <c r="W157" s="62"/>
      <c r="X157" s="62"/>
      <c r="Y157" s="62"/>
      <c r="Z157" s="64"/>
      <c r="AA157" s="164"/>
      <c r="AB157" s="62"/>
      <c r="AC157" s="62"/>
      <c r="AD157" s="64"/>
      <c r="AE157" s="164"/>
      <c r="AF157" s="62"/>
      <c r="AG157" s="62"/>
      <c r="AH157" s="337"/>
      <c r="AI157" s="337"/>
      <c r="AJ157" s="337"/>
      <c r="AK157" s="337"/>
      <c r="AL157" s="412"/>
      <c r="AM157" s="414"/>
      <c r="AN157" s="45"/>
      <c r="AO157" s="45"/>
      <c r="AP157" s="45"/>
      <c r="AQ157" s="100"/>
      <c r="AR157" s="100"/>
      <c r="AS157" s="100"/>
      <c r="AT157" s="100"/>
      <c r="AU157" s="100"/>
      <c r="AV157" s="100"/>
      <c r="AW157" s="18">
        <v>20</v>
      </c>
      <c r="AX157" s="69" t="s">
        <v>303</v>
      </c>
      <c r="AY157" s="243" t="s">
        <v>21</v>
      </c>
      <c r="AZ157" s="243" t="str">
        <f t="shared" si="53"/>
        <v>Chinook</v>
      </c>
      <c r="BA157" s="243" t="s">
        <v>419</v>
      </c>
      <c r="BB157" s="246"/>
      <c r="BC157" s="43" t="str">
        <f t="shared" si="54"/>
        <v>-</v>
      </c>
      <c r="BD157" s="43">
        <f t="shared" si="55"/>
        <v>0</v>
      </c>
      <c r="BE157" s="193">
        <f t="shared" si="56"/>
        <v>0</v>
      </c>
      <c r="BF157" s="193">
        <f t="shared" si="57"/>
        <v>0</v>
      </c>
      <c r="BG157" s="193">
        <f t="shared" si="58"/>
        <v>0</v>
      </c>
      <c r="BH157" s="307" t="str">
        <f t="shared" si="59"/>
        <v>-</v>
      </c>
      <c r="BI157" s="265" t="str">
        <f t="shared" si="52"/>
        <v>-</v>
      </c>
      <c r="BJ157" s="26" t="str">
        <f t="shared" si="60"/>
        <v>MUIR CREEKChinook</v>
      </c>
      <c r="BK157" s="26">
        <f t="shared" si="61"/>
        <v>0</v>
      </c>
      <c r="BL157" s="33">
        <f t="shared" si="51"/>
        <v>0</v>
      </c>
      <c r="BQ157" s="47" t="str">
        <f t="shared" si="62"/>
        <v>MUIR CREEKChinook</v>
      </c>
      <c r="BR157" s="49">
        <f t="shared" si="63"/>
        <v>0</v>
      </c>
      <c r="BS157" s="49">
        <f t="shared" si="64"/>
        <v>0</v>
      </c>
      <c r="BT157" s="31">
        <v>2003</v>
      </c>
      <c r="BU157" s="188">
        <f t="shared" si="65"/>
        <v>0</v>
      </c>
      <c r="BV157" s="188" t="str">
        <f t="shared" si="66"/>
        <v xml:space="preserve"> </v>
      </c>
      <c r="BW157" s="188" t="str">
        <f t="shared" si="67"/>
        <v xml:space="preserve"> </v>
      </c>
      <c r="BX157" s="188" t="str">
        <f t="shared" si="68"/>
        <v xml:space="preserve"> </v>
      </c>
      <c r="BY157" s="50" t="str">
        <f t="shared" si="69"/>
        <v>MUIR CREEK_Chinook</v>
      </c>
      <c r="BZ157" s="50" t="str">
        <f>IFERROR(VLOOKUP(BY157,'[1]WCVI Esc'!$C$5:$W$555,18,FALSE),"-")</f>
        <v>-</v>
      </c>
      <c r="CA157" s="50" t="str">
        <f t="shared" si="70"/>
        <v>-</v>
      </c>
      <c r="CB157" s="50" t="str">
        <f>IFERROR(VLOOKUP(BY157,'[1]WCVI Esc'!$C$5:$W$555,19,FALSE),"-")</f>
        <v>-</v>
      </c>
      <c r="CC157" s="50" t="str">
        <f t="shared" si="71"/>
        <v>-</v>
      </c>
      <c r="CE157" s="342" t="str">
        <f t="shared" si="72"/>
        <v>MUIR CREEK_Chinook</v>
      </c>
      <c r="CF157" s="341" t="str">
        <f>IFERROR(VLOOKUP(BY157,'RawPL+D'!$O$8:$AB$503,12,FALSE),"-")</f>
        <v>-</v>
      </c>
      <c r="CG157" s="338" t="str">
        <f t="shared" si="73"/>
        <v>-</v>
      </c>
      <c r="CH157" s="341" t="str">
        <f>IFERROR(VLOOKUP(BY157,'RawPL+D'!$O$8:$AB$503,13,FALSE),"-")</f>
        <v>-</v>
      </c>
      <c r="CI157" s="338" t="str">
        <f t="shared" si="74"/>
        <v>-</v>
      </c>
    </row>
    <row r="158" spans="1:87" ht="12.75" hidden="1" customHeight="1" x14ac:dyDescent="0.2">
      <c r="A158" s="28">
        <v>4</v>
      </c>
      <c r="B158" s="28">
        <v>6</v>
      </c>
      <c r="C158" s="11">
        <v>20</v>
      </c>
      <c r="D158" s="13" t="s">
        <v>303</v>
      </c>
      <c r="E158" s="10" t="s">
        <v>21</v>
      </c>
      <c r="F158" s="10" t="s">
        <v>211</v>
      </c>
      <c r="G158" s="10"/>
      <c r="H158" s="10"/>
      <c r="I158" s="10"/>
      <c r="J158" s="10"/>
      <c r="K158" s="575"/>
      <c r="L158" s="152"/>
      <c r="M158" s="164"/>
      <c r="N158" s="62"/>
      <c r="O158" s="62"/>
      <c r="P158" s="64"/>
      <c r="Q158" s="164"/>
      <c r="R158" s="62"/>
      <c r="S158" s="62"/>
      <c r="T158" s="62"/>
      <c r="U158" s="64"/>
      <c r="V158" s="164"/>
      <c r="W158" s="62"/>
      <c r="X158" s="62"/>
      <c r="Y158" s="62"/>
      <c r="Z158" s="64"/>
      <c r="AA158" s="164"/>
      <c r="AB158" s="62"/>
      <c r="AC158" s="62"/>
      <c r="AD158" s="64"/>
      <c r="AE158" s="164"/>
      <c r="AF158" s="62"/>
      <c r="AG158" s="62"/>
      <c r="AH158" s="337"/>
      <c r="AI158" s="337"/>
      <c r="AJ158" s="337"/>
      <c r="AK158" s="337"/>
      <c r="AL158" s="412"/>
      <c r="AM158" s="414"/>
      <c r="AN158" s="45"/>
      <c r="AO158" s="45"/>
      <c r="AP158" s="45"/>
      <c r="AQ158" s="100"/>
      <c r="AR158" s="100"/>
      <c r="AS158" s="100"/>
      <c r="AT158" s="100"/>
      <c r="AU158" s="100"/>
      <c r="AV158" s="100"/>
      <c r="AW158" s="18">
        <v>20</v>
      </c>
      <c r="AX158" s="69" t="s">
        <v>303</v>
      </c>
      <c r="AY158" s="243" t="s">
        <v>21</v>
      </c>
      <c r="AZ158" s="243" t="str">
        <f t="shared" si="53"/>
        <v>Steelhead</v>
      </c>
      <c r="BA158" s="243" t="s">
        <v>419</v>
      </c>
      <c r="BB158" s="246"/>
      <c r="BC158" s="43" t="str">
        <f t="shared" si="54"/>
        <v>-</v>
      </c>
      <c r="BD158" s="43">
        <f t="shared" si="55"/>
        <v>0</v>
      </c>
      <c r="BE158" s="193">
        <f t="shared" si="56"/>
        <v>0</v>
      </c>
      <c r="BF158" s="193">
        <f t="shared" si="57"/>
        <v>0</v>
      </c>
      <c r="BG158" s="193">
        <f t="shared" si="58"/>
        <v>0</v>
      </c>
      <c r="BH158" s="307" t="str">
        <f t="shared" si="59"/>
        <v>-</v>
      </c>
      <c r="BI158" s="265" t="str">
        <f t="shared" ref="BI158:BI189" si="75">CC158</f>
        <v>-</v>
      </c>
      <c r="BJ158" s="26" t="str">
        <f t="shared" si="60"/>
        <v>MUIR CREEKSteelhead</v>
      </c>
      <c r="BK158" s="26">
        <f t="shared" si="61"/>
        <v>0</v>
      </c>
      <c r="BL158" s="33">
        <f t="shared" si="51"/>
        <v>0</v>
      </c>
      <c r="BQ158" s="47" t="str">
        <f t="shared" si="62"/>
        <v>MUIR CREEKSteelhead</v>
      </c>
      <c r="BR158" s="49">
        <f t="shared" si="63"/>
        <v>0</v>
      </c>
      <c r="BS158" s="49">
        <f t="shared" si="64"/>
        <v>0</v>
      </c>
      <c r="BT158" s="31">
        <v>0</v>
      </c>
      <c r="BU158" s="188">
        <f t="shared" si="65"/>
        <v>0</v>
      </c>
      <c r="BV158" s="188" t="str">
        <f t="shared" si="66"/>
        <v xml:space="preserve"> </v>
      </c>
      <c r="BW158" s="188" t="str">
        <f t="shared" si="67"/>
        <v xml:space="preserve"> </v>
      </c>
      <c r="BX158" s="188" t="str">
        <f t="shared" si="68"/>
        <v xml:space="preserve"> </v>
      </c>
      <c r="BY158" s="50" t="str">
        <f t="shared" si="69"/>
        <v>MUIR CREEK_Steelhead</v>
      </c>
      <c r="BZ158" s="50" t="str">
        <f>IFERROR(VLOOKUP(BY158,'[1]WCVI Esc'!$C$5:$W$555,18,FALSE),"-")</f>
        <v>-</v>
      </c>
      <c r="CA158" s="50" t="str">
        <f t="shared" si="70"/>
        <v>-</v>
      </c>
      <c r="CB158" s="50" t="str">
        <f>IFERROR(VLOOKUP(BY158,'[1]WCVI Esc'!$C$5:$W$555,19,FALSE),"-")</f>
        <v>-</v>
      </c>
      <c r="CC158" s="50" t="str">
        <f t="shared" si="71"/>
        <v>-</v>
      </c>
      <c r="CE158" s="342" t="str">
        <f t="shared" si="72"/>
        <v>MUIR CREEK_Steelhead</v>
      </c>
      <c r="CF158" s="341" t="str">
        <f>IFERROR(VLOOKUP(BY158,'RawPL+D'!$O$8:$AB$503,12,FALSE),"-")</f>
        <v>-</v>
      </c>
      <c r="CG158" s="338" t="str">
        <f t="shared" si="73"/>
        <v>-</v>
      </c>
      <c r="CH158" s="341" t="str">
        <f>IFERROR(VLOOKUP(BY158,'RawPL+D'!$O$8:$AB$503,13,FALSE),"-")</f>
        <v>-</v>
      </c>
      <c r="CI158" s="338" t="str">
        <f t="shared" si="74"/>
        <v>-</v>
      </c>
    </row>
    <row r="159" spans="1:87" ht="12.75" hidden="1" customHeight="1" x14ac:dyDescent="0.2">
      <c r="A159" s="28">
        <v>4</v>
      </c>
      <c r="B159" s="28">
        <v>1</v>
      </c>
      <c r="C159" s="11">
        <v>20</v>
      </c>
      <c r="D159" s="13" t="s">
        <v>303</v>
      </c>
      <c r="E159" s="10" t="s">
        <v>162</v>
      </c>
      <c r="F159" s="10" t="s">
        <v>207</v>
      </c>
      <c r="G159" s="10"/>
      <c r="H159" s="10"/>
      <c r="I159" s="10"/>
      <c r="J159" s="10"/>
      <c r="K159" s="575"/>
      <c r="L159" s="152"/>
      <c r="M159" s="164"/>
      <c r="N159" s="62"/>
      <c r="O159" s="62"/>
      <c r="P159" s="62"/>
      <c r="Q159" s="164"/>
      <c r="R159" s="62"/>
      <c r="S159" s="62"/>
      <c r="T159" s="62"/>
      <c r="U159" s="64"/>
      <c r="V159" s="164"/>
      <c r="W159" s="62"/>
      <c r="X159" s="62"/>
      <c r="Y159" s="62"/>
      <c r="Z159" s="64"/>
      <c r="AA159" s="164"/>
      <c r="AB159" s="62"/>
      <c r="AC159" s="62"/>
      <c r="AD159" s="64"/>
      <c r="AE159" s="164"/>
      <c r="AF159" s="62"/>
      <c r="AG159" s="62"/>
      <c r="AH159" s="337"/>
      <c r="AI159" s="337"/>
      <c r="AJ159" s="337"/>
      <c r="AK159" s="337"/>
      <c r="AL159" s="415"/>
      <c r="AM159" s="414"/>
      <c r="AN159" s="45"/>
      <c r="AO159" s="45"/>
      <c r="AP159" s="45"/>
      <c r="AQ159" s="100"/>
      <c r="AR159" s="100"/>
      <c r="AS159" s="100"/>
      <c r="AT159" s="100"/>
      <c r="AU159" s="100"/>
      <c r="AV159" s="100"/>
      <c r="AW159" s="18">
        <v>20</v>
      </c>
      <c r="AX159" s="69" t="s">
        <v>303</v>
      </c>
      <c r="AY159" s="243" t="s">
        <v>162</v>
      </c>
      <c r="AZ159" s="243" t="str">
        <f t="shared" si="53"/>
        <v>Sockeye</v>
      </c>
      <c r="BA159" s="243" t="s">
        <v>419</v>
      </c>
      <c r="BB159" s="246"/>
      <c r="BC159" s="43" t="str">
        <f t="shared" si="54"/>
        <v>-</v>
      </c>
      <c r="BD159" s="43">
        <f t="shared" si="55"/>
        <v>0</v>
      </c>
      <c r="BE159" s="193">
        <f t="shared" si="56"/>
        <v>0</v>
      </c>
      <c r="BF159" s="193">
        <f t="shared" si="57"/>
        <v>0</v>
      </c>
      <c r="BG159" s="193">
        <f t="shared" si="58"/>
        <v>0</v>
      </c>
      <c r="BH159" s="307" t="str">
        <f t="shared" si="59"/>
        <v>-</v>
      </c>
      <c r="BI159" s="265" t="str">
        <f t="shared" si="75"/>
        <v>-</v>
      </c>
      <c r="BJ159" s="26" t="str">
        <f t="shared" si="60"/>
        <v>ORVEAS CREEKSockeye</v>
      </c>
      <c r="BK159" s="26">
        <f t="shared" si="61"/>
        <v>0</v>
      </c>
      <c r="BL159" s="33">
        <f t="shared" si="51"/>
        <v>0</v>
      </c>
      <c r="BQ159" s="47" t="str">
        <f t="shared" si="62"/>
        <v>ORVEAS CREEKSockeye</v>
      </c>
      <c r="BR159" s="49">
        <f t="shared" si="63"/>
        <v>0</v>
      </c>
      <c r="BS159" s="49">
        <f t="shared" si="64"/>
        <v>0</v>
      </c>
      <c r="BT159" s="31">
        <v>0</v>
      </c>
      <c r="BU159" s="188">
        <f t="shared" si="65"/>
        <v>0</v>
      </c>
      <c r="BV159" s="188" t="str">
        <f t="shared" si="66"/>
        <v xml:space="preserve"> </v>
      </c>
      <c r="BW159" s="188" t="str">
        <f t="shared" si="67"/>
        <v xml:space="preserve"> </v>
      </c>
      <c r="BX159" s="188" t="str">
        <f t="shared" si="68"/>
        <v xml:space="preserve"> </v>
      </c>
      <c r="BY159" s="50" t="str">
        <f t="shared" si="69"/>
        <v>ORVEAS CREEK_Sockeye</v>
      </c>
      <c r="BZ159" s="50" t="str">
        <f>IFERROR(VLOOKUP(BY159,'[1]WCVI Esc'!$C$5:$W$555,18,FALSE),"-")</f>
        <v>-</v>
      </c>
      <c r="CA159" s="50" t="str">
        <f t="shared" si="70"/>
        <v>-</v>
      </c>
      <c r="CB159" s="50" t="str">
        <f>IFERROR(VLOOKUP(BY159,'[1]WCVI Esc'!$C$5:$W$555,19,FALSE),"-")</f>
        <v>-</v>
      </c>
      <c r="CC159" s="50" t="str">
        <f t="shared" si="71"/>
        <v>-</v>
      </c>
      <c r="CE159" s="342" t="str">
        <f t="shared" si="72"/>
        <v>ORVEAS CREEK_Sockeye</v>
      </c>
      <c r="CF159" s="341" t="str">
        <f>IFERROR(VLOOKUP(BY159,'RawPL+D'!$O$8:$AB$503,12,FALSE),"-")</f>
        <v>-</v>
      </c>
      <c r="CG159" s="338" t="str">
        <f t="shared" si="73"/>
        <v>-</v>
      </c>
      <c r="CH159" s="341" t="str">
        <f>IFERROR(VLOOKUP(BY159,'RawPL+D'!$O$8:$AB$503,13,FALSE),"-")</f>
        <v>-</v>
      </c>
      <c r="CI159" s="338" t="str">
        <f t="shared" si="74"/>
        <v>-</v>
      </c>
    </row>
    <row r="160" spans="1:87" ht="12.75" hidden="1" customHeight="1" x14ac:dyDescent="0.2">
      <c r="A160" s="28">
        <v>4</v>
      </c>
      <c r="B160" s="28">
        <v>2</v>
      </c>
      <c r="C160" s="11">
        <v>20</v>
      </c>
      <c r="D160" s="13" t="s">
        <v>303</v>
      </c>
      <c r="E160" s="10" t="s">
        <v>162</v>
      </c>
      <c r="F160" s="10" t="s">
        <v>219</v>
      </c>
      <c r="G160" s="10"/>
      <c r="H160" s="10"/>
      <c r="I160" s="10"/>
      <c r="J160" s="10"/>
      <c r="K160" s="575"/>
      <c r="L160" s="152"/>
      <c r="M160" s="164"/>
      <c r="N160" s="62"/>
      <c r="O160" s="62"/>
      <c r="P160" s="62"/>
      <c r="Q160" s="164"/>
      <c r="R160" s="62"/>
      <c r="S160" s="62"/>
      <c r="T160" s="62"/>
      <c r="U160" s="64"/>
      <c r="V160" s="164"/>
      <c r="W160" s="62"/>
      <c r="X160" s="62"/>
      <c r="Y160" s="62"/>
      <c r="Z160" s="64"/>
      <c r="AA160" s="164"/>
      <c r="AB160" s="62"/>
      <c r="AC160" s="62"/>
      <c r="AD160" s="64"/>
      <c r="AE160" s="164"/>
      <c r="AF160" s="62"/>
      <c r="AG160" s="62"/>
      <c r="AH160" s="337"/>
      <c r="AI160" s="337"/>
      <c r="AJ160" s="337"/>
      <c r="AK160" s="337"/>
      <c r="AL160" s="412"/>
      <c r="AM160" s="414"/>
      <c r="AN160" s="45"/>
      <c r="AO160" s="45"/>
      <c r="AP160" s="45"/>
      <c r="AQ160" s="100"/>
      <c r="AR160" s="100"/>
      <c r="AS160" s="100"/>
      <c r="AT160" s="100"/>
      <c r="AU160" s="100"/>
      <c r="AV160" s="100"/>
      <c r="AW160" s="18">
        <v>20</v>
      </c>
      <c r="AX160" s="69" t="s">
        <v>303</v>
      </c>
      <c r="AY160" s="243" t="s">
        <v>162</v>
      </c>
      <c r="AZ160" s="243" t="str">
        <f t="shared" si="53"/>
        <v>Coho</v>
      </c>
      <c r="BA160" s="243" t="s">
        <v>419</v>
      </c>
      <c r="BB160" s="246"/>
      <c r="BC160" s="43" t="str">
        <f t="shared" si="54"/>
        <v>-</v>
      </c>
      <c r="BD160" s="43">
        <f t="shared" si="55"/>
        <v>0</v>
      </c>
      <c r="BE160" s="193">
        <f t="shared" si="56"/>
        <v>0</v>
      </c>
      <c r="BF160" s="193">
        <f t="shared" si="57"/>
        <v>0</v>
      </c>
      <c r="BG160" s="193">
        <f t="shared" si="58"/>
        <v>0</v>
      </c>
      <c r="BH160" s="307" t="str">
        <f t="shared" si="59"/>
        <v>-</v>
      </c>
      <c r="BI160" s="265" t="str">
        <f t="shared" si="75"/>
        <v>-</v>
      </c>
      <c r="BJ160" s="26" t="str">
        <f t="shared" si="60"/>
        <v>ORVEAS CREEKCoho</v>
      </c>
      <c r="BK160" s="26">
        <f t="shared" si="61"/>
        <v>0</v>
      </c>
      <c r="BL160" s="33">
        <f t="shared" si="51"/>
        <v>0</v>
      </c>
      <c r="BQ160" s="47" t="str">
        <f t="shared" si="62"/>
        <v>ORVEAS CREEKCoho</v>
      </c>
      <c r="BR160" s="49">
        <f t="shared" si="63"/>
        <v>0</v>
      </c>
      <c r="BS160" s="49">
        <f t="shared" si="64"/>
        <v>0</v>
      </c>
      <c r="BT160" s="31">
        <v>0</v>
      </c>
      <c r="BU160" s="188">
        <f t="shared" si="65"/>
        <v>0</v>
      </c>
      <c r="BV160" s="188" t="str">
        <f t="shared" si="66"/>
        <v xml:space="preserve"> </v>
      </c>
      <c r="BW160" s="188" t="str">
        <f t="shared" si="67"/>
        <v xml:space="preserve"> </v>
      </c>
      <c r="BX160" s="188" t="str">
        <f t="shared" si="68"/>
        <v xml:space="preserve"> </v>
      </c>
      <c r="BY160" s="50" t="str">
        <f t="shared" si="69"/>
        <v>ORVEAS CREEK_Coho</v>
      </c>
      <c r="BZ160" s="50" t="str">
        <f>IFERROR(VLOOKUP(BY160,'[1]WCVI Esc'!$C$5:$W$555,18,FALSE),"-")</f>
        <v>-</v>
      </c>
      <c r="CA160" s="50" t="str">
        <f t="shared" si="70"/>
        <v>-</v>
      </c>
      <c r="CB160" s="50" t="str">
        <f>IFERROR(VLOOKUP(BY160,'[1]WCVI Esc'!$C$5:$W$555,19,FALSE),"-")</f>
        <v>-</v>
      </c>
      <c r="CC160" s="50" t="str">
        <f t="shared" si="71"/>
        <v>-</v>
      </c>
      <c r="CE160" s="342" t="str">
        <f t="shared" si="72"/>
        <v>ORVEAS CREEK_Coho</v>
      </c>
      <c r="CF160" s="341" t="str">
        <f>IFERROR(VLOOKUP(BY160,'RawPL+D'!$O$8:$AB$503,12,FALSE),"-")</f>
        <v>-</v>
      </c>
      <c r="CG160" s="338" t="str">
        <f t="shared" si="73"/>
        <v>-</v>
      </c>
      <c r="CH160" s="341" t="str">
        <f>IFERROR(VLOOKUP(BY160,'RawPL+D'!$O$8:$AB$503,13,FALSE),"-")</f>
        <v>-</v>
      </c>
      <c r="CI160" s="338" t="str">
        <f t="shared" si="74"/>
        <v>-</v>
      </c>
    </row>
    <row r="161" spans="1:87" ht="12.75" hidden="1" customHeight="1" x14ac:dyDescent="0.2">
      <c r="A161" s="28">
        <v>4</v>
      </c>
      <c r="B161" s="28">
        <v>3</v>
      </c>
      <c r="C161" s="11">
        <v>20</v>
      </c>
      <c r="D161" s="13" t="s">
        <v>303</v>
      </c>
      <c r="E161" s="10" t="s">
        <v>162</v>
      </c>
      <c r="F161" s="10" t="s">
        <v>208</v>
      </c>
      <c r="G161" s="10"/>
      <c r="H161" s="10"/>
      <c r="I161" s="10"/>
      <c r="J161" s="10"/>
      <c r="K161" s="575"/>
      <c r="L161" s="152"/>
      <c r="M161" s="164"/>
      <c r="N161" s="62"/>
      <c r="O161" s="62"/>
      <c r="P161" s="62"/>
      <c r="Q161" s="164"/>
      <c r="R161" s="62"/>
      <c r="S161" s="62"/>
      <c r="T161" s="62"/>
      <c r="U161" s="64"/>
      <c r="V161" s="164"/>
      <c r="W161" s="62"/>
      <c r="X161" s="62"/>
      <c r="Y161" s="62"/>
      <c r="Z161" s="64"/>
      <c r="AA161" s="164"/>
      <c r="AB161" s="62"/>
      <c r="AC161" s="62"/>
      <c r="AD161" s="64"/>
      <c r="AE161" s="164"/>
      <c r="AF161" s="62"/>
      <c r="AG161" s="62"/>
      <c r="AH161" s="337"/>
      <c r="AI161" s="337"/>
      <c r="AJ161" s="337"/>
      <c r="AK161" s="337"/>
      <c r="AL161" s="414"/>
      <c r="AM161" s="414"/>
      <c r="AN161" s="45"/>
      <c r="AO161" s="45"/>
      <c r="AP161" s="45"/>
      <c r="AQ161" s="100"/>
      <c r="AR161" s="100"/>
      <c r="AS161" s="100"/>
      <c r="AT161" s="100"/>
      <c r="AU161" s="100"/>
      <c r="AV161" s="100"/>
      <c r="AW161" s="18">
        <v>20</v>
      </c>
      <c r="AX161" s="69" t="s">
        <v>303</v>
      </c>
      <c r="AY161" s="243" t="s">
        <v>162</v>
      </c>
      <c r="AZ161" s="243" t="str">
        <f t="shared" si="53"/>
        <v>Pink</v>
      </c>
      <c r="BA161" s="243" t="s">
        <v>419</v>
      </c>
      <c r="BB161" s="246"/>
      <c r="BC161" s="43" t="str">
        <f t="shared" si="54"/>
        <v>-</v>
      </c>
      <c r="BD161" s="43">
        <f t="shared" si="55"/>
        <v>0</v>
      </c>
      <c r="BE161" s="193">
        <f t="shared" si="56"/>
        <v>0</v>
      </c>
      <c r="BF161" s="193">
        <f t="shared" si="57"/>
        <v>0</v>
      </c>
      <c r="BG161" s="193">
        <f t="shared" si="58"/>
        <v>0</v>
      </c>
      <c r="BH161" s="307" t="str">
        <f t="shared" si="59"/>
        <v>-</v>
      </c>
      <c r="BI161" s="265" t="str">
        <f t="shared" si="75"/>
        <v>-</v>
      </c>
      <c r="BJ161" s="26" t="str">
        <f t="shared" si="60"/>
        <v>ORVEAS CREEKPink</v>
      </c>
      <c r="BK161" s="26">
        <f t="shared" si="61"/>
        <v>0</v>
      </c>
      <c r="BL161" s="33">
        <f t="shared" si="51"/>
        <v>0</v>
      </c>
      <c r="BQ161" s="47" t="str">
        <f t="shared" si="62"/>
        <v>ORVEAS CREEKPink</v>
      </c>
      <c r="BR161" s="49">
        <f t="shared" si="63"/>
        <v>0</v>
      </c>
      <c r="BS161" s="49">
        <f t="shared" si="64"/>
        <v>0</v>
      </c>
      <c r="BT161" s="31">
        <v>0</v>
      </c>
      <c r="BU161" s="188">
        <f t="shared" si="65"/>
        <v>0</v>
      </c>
      <c r="BV161" s="188" t="str">
        <f t="shared" si="66"/>
        <v xml:space="preserve"> </v>
      </c>
      <c r="BW161" s="188" t="str">
        <f t="shared" si="67"/>
        <v xml:space="preserve"> </v>
      </c>
      <c r="BX161" s="188" t="str">
        <f t="shared" si="68"/>
        <v xml:space="preserve"> </v>
      </c>
      <c r="BY161" s="50" t="str">
        <f t="shared" si="69"/>
        <v>ORVEAS CREEK_Pink</v>
      </c>
      <c r="BZ161" s="50" t="str">
        <f>IFERROR(VLOOKUP(BY161,'[1]WCVI Esc'!$C$5:$W$555,18,FALSE),"-")</f>
        <v>-</v>
      </c>
      <c r="CA161" s="50" t="str">
        <f t="shared" si="70"/>
        <v>-</v>
      </c>
      <c r="CB161" s="50" t="str">
        <f>IFERROR(VLOOKUP(BY161,'[1]WCVI Esc'!$C$5:$W$555,19,FALSE),"-")</f>
        <v>-</v>
      </c>
      <c r="CC161" s="50" t="str">
        <f t="shared" si="71"/>
        <v>-</v>
      </c>
      <c r="CE161" s="342" t="str">
        <f t="shared" si="72"/>
        <v>ORVEAS CREEK_Pink</v>
      </c>
      <c r="CF161" s="341" t="str">
        <f>IFERROR(VLOOKUP(BY161,'RawPL+D'!$O$8:$AB$503,12,FALSE),"-")</f>
        <v>-</v>
      </c>
      <c r="CG161" s="338" t="str">
        <f t="shared" si="73"/>
        <v>-</v>
      </c>
      <c r="CH161" s="341" t="str">
        <f>IFERROR(VLOOKUP(BY161,'RawPL+D'!$O$8:$AB$503,13,FALSE),"-")</f>
        <v>-</v>
      </c>
      <c r="CI161" s="338" t="str">
        <f t="shared" si="74"/>
        <v>-</v>
      </c>
    </row>
    <row r="162" spans="1:87" ht="12.75" hidden="1" customHeight="1" x14ac:dyDescent="0.2">
      <c r="A162" s="28">
        <v>4</v>
      </c>
      <c r="B162" s="28">
        <v>4</v>
      </c>
      <c r="C162" s="11">
        <v>20</v>
      </c>
      <c r="D162" s="13" t="s">
        <v>303</v>
      </c>
      <c r="E162" s="10" t="s">
        <v>162</v>
      </c>
      <c r="F162" s="10" t="s">
        <v>209</v>
      </c>
      <c r="G162" s="10"/>
      <c r="H162" s="10"/>
      <c r="I162" s="10"/>
      <c r="J162" s="10"/>
      <c r="K162" s="575"/>
      <c r="L162" s="152"/>
      <c r="M162" s="164"/>
      <c r="N162" s="62"/>
      <c r="O162" s="62"/>
      <c r="P162" s="62"/>
      <c r="Q162" s="164"/>
      <c r="R162" s="62"/>
      <c r="S162" s="62"/>
      <c r="T162" s="62"/>
      <c r="U162" s="64"/>
      <c r="V162" s="164"/>
      <c r="W162" s="62"/>
      <c r="X162" s="62"/>
      <c r="Y162" s="62"/>
      <c r="Z162" s="64"/>
      <c r="AA162" s="164"/>
      <c r="AB162" s="62"/>
      <c r="AC162" s="62"/>
      <c r="AD162" s="64"/>
      <c r="AE162" s="164"/>
      <c r="AF162" s="62"/>
      <c r="AG162" s="62"/>
      <c r="AH162" s="337"/>
      <c r="AI162" s="337"/>
      <c r="AJ162" s="337"/>
      <c r="AK162" s="337"/>
      <c r="AL162" s="412"/>
      <c r="AM162" s="414"/>
      <c r="AN162" s="45"/>
      <c r="AO162" s="45"/>
      <c r="AP162" s="45"/>
      <c r="AQ162" s="100"/>
      <c r="AR162" s="100"/>
      <c r="AS162" s="100"/>
      <c r="AT162" s="100"/>
      <c r="AU162" s="100"/>
      <c r="AV162" s="100"/>
      <c r="AW162" s="18">
        <v>20</v>
      </c>
      <c r="AX162" s="69" t="s">
        <v>303</v>
      </c>
      <c r="AY162" s="243" t="s">
        <v>162</v>
      </c>
      <c r="AZ162" s="243" t="str">
        <f t="shared" si="53"/>
        <v>Chum</v>
      </c>
      <c r="BA162" s="243" t="s">
        <v>419</v>
      </c>
      <c r="BB162" s="246"/>
      <c r="BC162" s="43" t="str">
        <f t="shared" si="54"/>
        <v>-</v>
      </c>
      <c r="BD162" s="43">
        <f t="shared" si="55"/>
        <v>0</v>
      </c>
      <c r="BE162" s="193">
        <f t="shared" si="56"/>
        <v>0</v>
      </c>
      <c r="BF162" s="193">
        <f t="shared" si="57"/>
        <v>0</v>
      </c>
      <c r="BG162" s="193">
        <f t="shared" si="58"/>
        <v>0</v>
      </c>
      <c r="BH162" s="307" t="str">
        <f t="shared" si="59"/>
        <v>-</v>
      </c>
      <c r="BI162" s="265" t="str">
        <f t="shared" si="75"/>
        <v>-</v>
      </c>
      <c r="BJ162" s="26" t="str">
        <f t="shared" si="60"/>
        <v>ORVEAS CREEKChum</v>
      </c>
      <c r="BK162" s="26">
        <f t="shared" si="61"/>
        <v>0</v>
      </c>
      <c r="BL162" s="33">
        <f t="shared" si="51"/>
        <v>0</v>
      </c>
      <c r="BQ162" s="47" t="str">
        <f t="shared" si="62"/>
        <v>ORVEAS CREEKChum</v>
      </c>
      <c r="BR162" s="49">
        <f t="shared" si="63"/>
        <v>0</v>
      </c>
      <c r="BS162" s="49">
        <f t="shared" si="64"/>
        <v>0</v>
      </c>
      <c r="BT162" s="31">
        <v>0</v>
      </c>
      <c r="BU162" s="188">
        <f t="shared" si="65"/>
        <v>0</v>
      </c>
      <c r="BV162" s="188" t="str">
        <f t="shared" si="66"/>
        <v xml:space="preserve"> </v>
      </c>
      <c r="BW162" s="188" t="str">
        <f t="shared" si="67"/>
        <v xml:space="preserve"> </v>
      </c>
      <c r="BX162" s="188" t="str">
        <f t="shared" si="68"/>
        <v xml:space="preserve"> </v>
      </c>
      <c r="BY162" s="50" t="str">
        <f t="shared" si="69"/>
        <v>ORVEAS CREEK_Chum</v>
      </c>
      <c r="BZ162" s="50" t="str">
        <f>IFERROR(VLOOKUP(BY162,'[1]WCVI Esc'!$C$5:$W$555,18,FALSE),"-")</f>
        <v>-</v>
      </c>
      <c r="CA162" s="50" t="str">
        <f t="shared" si="70"/>
        <v>-</v>
      </c>
      <c r="CB162" s="50" t="str">
        <f>IFERROR(VLOOKUP(BY162,'[1]WCVI Esc'!$C$5:$W$555,19,FALSE),"-")</f>
        <v>-</v>
      </c>
      <c r="CC162" s="50" t="str">
        <f t="shared" si="71"/>
        <v>-</v>
      </c>
      <c r="CE162" s="342" t="str">
        <f t="shared" si="72"/>
        <v>ORVEAS CREEK_Chum</v>
      </c>
      <c r="CF162" s="341" t="str">
        <f>IFERROR(VLOOKUP(BY162,'RawPL+D'!$O$8:$AB$503,12,FALSE),"-")</f>
        <v>-</v>
      </c>
      <c r="CG162" s="338" t="str">
        <f t="shared" si="73"/>
        <v>-</v>
      </c>
      <c r="CH162" s="341" t="str">
        <f>IFERROR(VLOOKUP(BY162,'RawPL+D'!$O$8:$AB$503,13,FALSE),"-")</f>
        <v>-</v>
      </c>
      <c r="CI162" s="338" t="str">
        <f t="shared" si="74"/>
        <v>-</v>
      </c>
    </row>
    <row r="163" spans="1:87" ht="12.75" hidden="1" customHeight="1" x14ac:dyDescent="0.2">
      <c r="A163" s="28">
        <v>4</v>
      </c>
      <c r="B163" s="28">
        <v>5</v>
      </c>
      <c r="C163" s="11">
        <v>20</v>
      </c>
      <c r="D163" s="13" t="s">
        <v>303</v>
      </c>
      <c r="E163" s="10" t="s">
        <v>162</v>
      </c>
      <c r="F163" s="10" t="s">
        <v>210</v>
      </c>
      <c r="G163" s="10"/>
      <c r="H163" s="10"/>
      <c r="I163" s="10"/>
      <c r="J163" s="10"/>
      <c r="K163" s="575"/>
      <c r="L163" s="152"/>
      <c r="M163" s="164"/>
      <c r="N163" s="62"/>
      <c r="O163" s="62"/>
      <c r="P163" s="62"/>
      <c r="Q163" s="164"/>
      <c r="R163" s="62"/>
      <c r="S163" s="62"/>
      <c r="T163" s="62"/>
      <c r="U163" s="64"/>
      <c r="V163" s="164"/>
      <c r="W163" s="62"/>
      <c r="X163" s="62"/>
      <c r="Y163" s="62"/>
      <c r="Z163" s="64"/>
      <c r="AA163" s="164"/>
      <c r="AB163" s="62"/>
      <c r="AC163" s="62"/>
      <c r="AD163" s="64"/>
      <c r="AE163" s="164"/>
      <c r="AF163" s="62"/>
      <c r="AG163" s="62"/>
      <c r="AH163" s="337"/>
      <c r="AI163" s="337"/>
      <c r="AJ163" s="337"/>
      <c r="AK163" s="337"/>
      <c r="AL163" s="412"/>
      <c r="AM163" s="414"/>
      <c r="AN163" s="45"/>
      <c r="AO163" s="45"/>
      <c r="AP163" s="45"/>
      <c r="AQ163" s="100"/>
      <c r="AR163" s="100"/>
      <c r="AS163" s="100"/>
      <c r="AT163" s="100"/>
      <c r="AU163" s="100"/>
      <c r="AV163" s="100"/>
      <c r="AW163" s="18">
        <v>20</v>
      </c>
      <c r="AX163" s="69" t="s">
        <v>303</v>
      </c>
      <c r="AY163" s="243" t="s">
        <v>162</v>
      </c>
      <c r="AZ163" s="243" t="str">
        <f t="shared" si="53"/>
        <v>Chinook</v>
      </c>
      <c r="BA163" s="243" t="s">
        <v>419</v>
      </c>
      <c r="BB163" s="246"/>
      <c r="BC163" s="43" t="str">
        <f t="shared" si="54"/>
        <v>-</v>
      </c>
      <c r="BD163" s="43">
        <f t="shared" si="55"/>
        <v>0</v>
      </c>
      <c r="BE163" s="193">
        <f t="shared" si="56"/>
        <v>0</v>
      </c>
      <c r="BF163" s="193">
        <f t="shared" si="57"/>
        <v>0</v>
      </c>
      <c r="BG163" s="193">
        <f t="shared" si="58"/>
        <v>0</v>
      </c>
      <c r="BH163" s="307" t="str">
        <f t="shared" si="59"/>
        <v>-</v>
      </c>
      <c r="BI163" s="265" t="str">
        <f t="shared" si="75"/>
        <v>-</v>
      </c>
      <c r="BJ163" s="26" t="str">
        <f t="shared" si="60"/>
        <v>ORVEAS CREEKChinook</v>
      </c>
      <c r="BK163" s="26">
        <f t="shared" si="61"/>
        <v>0</v>
      </c>
      <c r="BL163" s="33">
        <f t="shared" si="51"/>
        <v>0</v>
      </c>
      <c r="BQ163" s="47" t="str">
        <f t="shared" si="62"/>
        <v>ORVEAS CREEKChinook</v>
      </c>
      <c r="BR163" s="49">
        <f t="shared" si="63"/>
        <v>0</v>
      </c>
      <c r="BS163" s="49">
        <f t="shared" si="64"/>
        <v>0</v>
      </c>
      <c r="BT163" s="31">
        <v>0</v>
      </c>
      <c r="BU163" s="188">
        <f t="shared" si="65"/>
        <v>0</v>
      </c>
      <c r="BV163" s="188" t="str">
        <f t="shared" si="66"/>
        <v xml:space="preserve"> </v>
      </c>
      <c r="BW163" s="188" t="str">
        <f t="shared" si="67"/>
        <v xml:space="preserve"> </v>
      </c>
      <c r="BX163" s="188" t="str">
        <f t="shared" si="68"/>
        <v xml:space="preserve"> </v>
      </c>
      <c r="BY163" s="50" t="str">
        <f t="shared" si="69"/>
        <v>ORVEAS CREEK_Chinook</v>
      </c>
      <c r="BZ163" s="50" t="str">
        <f>IFERROR(VLOOKUP(BY163,'[1]WCVI Esc'!$C$5:$W$555,18,FALSE),"-")</f>
        <v>-</v>
      </c>
      <c r="CA163" s="50" t="str">
        <f t="shared" si="70"/>
        <v>-</v>
      </c>
      <c r="CB163" s="50" t="str">
        <f>IFERROR(VLOOKUP(BY163,'[1]WCVI Esc'!$C$5:$W$555,19,FALSE),"-")</f>
        <v>-</v>
      </c>
      <c r="CC163" s="50" t="str">
        <f t="shared" si="71"/>
        <v>-</v>
      </c>
      <c r="CE163" s="342" t="str">
        <f t="shared" si="72"/>
        <v>ORVEAS CREEK_Chinook</v>
      </c>
      <c r="CF163" s="341" t="str">
        <f>IFERROR(VLOOKUP(BY163,'RawPL+D'!$O$8:$AB$503,12,FALSE),"-")</f>
        <v>-</v>
      </c>
      <c r="CG163" s="338" t="str">
        <f t="shared" si="73"/>
        <v>-</v>
      </c>
      <c r="CH163" s="341" t="str">
        <f>IFERROR(VLOOKUP(BY163,'RawPL+D'!$O$8:$AB$503,13,FALSE),"-")</f>
        <v>-</v>
      </c>
      <c r="CI163" s="338" t="str">
        <f t="shared" si="74"/>
        <v>-</v>
      </c>
    </row>
    <row r="164" spans="1:87" ht="12.75" hidden="1" customHeight="1" x14ac:dyDescent="0.2">
      <c r="A164" s="28">
        <v>4</v>
      </c>
      <c r="B164" s="28">
        <v>6</v>
      </c>
      <c r="C164" s="11">
        <v>20</v>
      </c>
      <c r="D164" s="13" t="s">
        <v>303</v>
      </c>
      <c r="E164" s="10" t="s">
        <v>162</v>
      </c>
      <c r="F164" s="10" t="s">
        <v>211</v>
      </c>
      <c r="G164" s="10"/>
      <c r="H164" s="10"/>
      <c r="I164" s="10"/>
      <c r="J164" s="10"/>
      <c r="K164" s="575"/>
      <c r="L164" s="152"/>
      <c r="M164" s="164"/>
      <c r="N164" s="62"/>
      <c r="O164" s="62"/>
      <c r="P164" s="62"/>
      <c r="Q164" s="164"/>
      <c r="R164" s="62"/>
      <c r="S164" s="62"/>
      <c r="T164" s="62"/>
      <c r="U164" s="64"/>
      <c r="V164" s="164"/>
      <c r="W164" s="62"/>
      <c r="X164" s="62"/>
      <c r="Y164" s="62"/>
      <c r="Z164" s="64"/>
      <c r="AA164" s="164"/>
      <c r="AB164" s="62"/>
      <c r="AC164" s="62"/>
      <c r="AD164" s="64"/>
      <c r="AE164" s="164"/>
      <c r="AF164" s="62"/>
      <c r="AG164" s="62"/>
      <c r="AH164" s="337"/>
      <c r="AI164" s="337"/>
      <c r="AJ164" s="337"/>
      <c r="AK164" s="337"/>
      <c r="AL164" s="414"/>
      <c r="AM164" s="414"/>
      <c r="AN164" s="45"/>
      <c r="AO164" s="45"/>
      <c r="AP164" s="45"/>
      <c r="AQ164" s="100"/>
      <c r="AR164" s="100"/>
      <c r="AS164" s="100"/>
      <c r="AT164" s="100"/>
      <c r="AU164" s="100"/>
      <c r="AV164" s="100"/>
      <c r="AW164" s="18">
        <v>20</v>
      </c>
      <c r="AX164" s="69" t="s">
        <v>303</v>
      </c>
      <c r="AY164" s="243" t="s">
        <v>162</v>
      </c>
      <c r="AZ164" s="243" t="str">
        <f t="shared" si="53"/>
        <v>Steelhead</v>
      </c>
      <c r="BA164" s="243" t="s">
        <v>419</v>
      </c>
      <c r="BB164" s="246"/>
      <c r="BC164" s="43" t="str">
        <f t="shared" si="54"/>
        <v>-</v>
      </c>
      <c r="BD164" s="43">
        <f t="shared" si="55"/>
        <v>0</v>
      </c>
      <c r="BE164" s="193">
        <f t="shared" si="56"/>
        <v>0</v>
      </c>
      <c r="BF164" s="193">
        <f t="shared" si="57"/>
        <v>0</v>
      </c>
      <c r="BG164" s="193">
        <f t="shared" si="58"/>
        <v>0</v>
      </c>
      <c r="BH164" s="307" t="str">
        <f t="shared" si="59"/>
        <v>-</v>
      </c>
      <c r="BI164" s="265" t="str">
        <f t="shared" si="75"/>
        <v>-</v>
      </c>
      <c r="BJ164" s="26" t="str">
        <f t="shared" si="60"/>
        <v>ORVEAS CREEKSteelhead</v>
      </c>
      <c r="BK164" s="26">
        <f t="shared" si="61"/>
        <v>0</v>
      </c>
      <c r="BL164" s="33">
        <f t="shared" si="51"/>
        <v>0</v>
      </c>
      <c r="BQ164" s="47" t="str">
        <f t="shared" si="62"/>
        <v>ORVEAS CREEKSteelhead</v>
      </c>
      <c r="BR164" s="49">
        <f t="shared" si="63"/>
        <v>0</v>
      </c>
      <c r="BS164" s="49">
        <f t="shared" si="64"/>
        <v>0</v>
      </c>
      <c r="BT164" s="31">
        <v>0</v>
      </c>
      <c r="BU164" s="188">
        <f t="shared" si="65"/>
        <v>0</v>
      </c>
      <c r="BV164" s="188" t="str">
        <f t="shared" si="66"/>
        <v xml:space="preserve"> </v>
      </c>
      <c r="BW164" s="188" t="str">
        <f t="shared" si="67"/>
        <v xml:space="preserve"> </v>
      </c>
      <c r="BX164" s="188" t="str">
        <f t="shared" si="68"/>
        <v xml:space="preserve"> </v>
      </c>
      <c r="BY164" s="50" t="str">
        <f t="shared" si="69"/>
        <v>ORVEAS CREEK_Steelhead</v>
      </c>
      <c r="BZ164" s="50" t="str">
        <f>IFERROR(VLOOKUP(BY164,'[1]WCVI Esc'!$C$5:$W$555,18,FALSE),"-")</f>
        <v>-</v>
      </c>
      <c r="CA164" s="50" t="str">
        <f t="shared" si="70"/>
        <v>-</v>
      </c>
      <c r="CB164" s="50" t="str">
        <f>IFERROR(VLOOKUP(BY164,'[1]WCVI Esc'!$C$5:$W$555,19,FALSE),"-")</f>
        <v>-</v>
      </c>
      <c r="CC164" s="50" t="str">
        <f t="shared" si="71"/>
        <v>-</v>
      </c>
      <c r="CE164" s="342" t="str">
        <f t="shared" si="72"/>
        <v>ORVEAS CREEK_Steelhead</v>
      </c>
      <c r="CF164" s="341" t="str">
        <f>IFERROR(VLOOKUP(BY164,'RawPL+D'!$O$8:$AB$503,12,FALSE),"-")</f>
        <v>-</v>
      </c>
      <c r="CG164" s="338" t="str">
        <f t="shared" si="73"/>
        <v>-</v>
      </c>
      <c r="CH164" s="341" t="str">
        <f>IFERROR(VLOOKUP(BY164,'RawPL+D'!$O$8:$AB$503,13,FALSE),"-")</f>
        <v>-</v>
      </c>
      <c r="CI164" s="338" t="str">
        <f t="shared" si="74"/>
        <v>-</v>
      </c>
    </row>
    <row r="165" spans="1:87" ht="12.75" hidden="1" customHeight="1" x14ac:dyDescent="0.2">
      <c r="A165" s="28">
        <v>4</v>
      </c>
      <c r="B165" s="28">
        <v>1</v>
      </c>
      <c r="C165" s="11">
        <v>20</v>
      </c>
      <c r="D165" s="13" t="s">
        <v>303</v>
      </c>
      <c r="E165" s="10" t="s">
        <v>164</v>
      </c>
      <c r="F165" s="10" t="s">
        <v>207</v>
      </c>
      <c r="G165" s="10"/>
      <c r="H165" s="10"/>
      <c r="I165" s="10"/>
      <c r="J165" s="10"/>
      <c r="K165" s="575"/>
      <c r="L165" s="152"/>
      <c r="M165" s="164"/>
      <c r="N165" s="62"/>
      <c r="O165" s="62"/>
      <c r="P165" s="64"/>
      <c r="Q165" s="164"/>
      <c r="R165" s="62"/>
      <c r="S165" s="62"/>
      <c r="T165" s="64"/>
      <c r="U165" s="64"/>
      <c r="V165" s="164"/>
      <c r="W165" s="62"/>
      <c r="X165" s="62"/>
      <c r="Y165" s="62"/>
      <c r="Z165" s="64"/>
      <c r="AA165" s="164"/>
      <c r="AB165" s="62"/>
      <c r="AC165" s="62"/>
      <c r="AD165" s="64"/>
      <c r="AE165" s="164"/>
      <c r="AF165" s="62"/>
      <c r="AG165" s="62"/>
      <c r="AH165" s="337"/>
      <c r="AI165" s="337"/>
      <c r="AJ165" s="337"/>
      <c r="AK165" s="337"/>
      <c r="AL165" s="412"/>
      <c r="AM165" s="414"/>
      <c r="AN165" s="45"/>
      <c r="AO165" s="45"/>
      <c r="AP165" s="45"/>
      <c r="AQ165" s="100"/>
      <c r="AR165" s="100"/>
      <c r="AS165" s="100"/>
      <c r="AT165" s="100"/>
      <c r="AU165" s="100"/>
      <c r="AV165" s="100"/>
      <c r="AW165" s="18">
        <v>20</v>
      </c>
      <c r="AX165" s="69" t="s">
        <v>303</v>
      </c>
      <c r="AY165" s="243" t="s">
        <v>164</v>
      </c>
      <c r="AZ165" s="243" t="str">
        <f t="shared" si="53"/>
        <v>Sockeye</v>
      </c>
      <c r="BA165" s="243" t="s">
        <v>419</v>
      </c>
      <c r="BB165" s="246"/>
      <c r="BC165" s="43" t="str">
        <f t="shared" si="54"/>
        <v>-</v>
      </c>
      <c r="BD165" s="43">
        <f t="shared" si="55"/>
        <v>0</v>
      </c>
      <c r="BE165" s="193">
        <f t="shared" si="56"/>
        <v>0</v>
      </c>
      <c r="BF165" s="193">
        <f t="shared" si="57"/>
        <v>0</v>
      </c>
      <c r="BG165" s="193">
        <f t="shared" si="58"/>
        <v>0</v>
      </c>
      <c r="BH165" s="307" t="str">
        <f t="shared" si="59"/>
        <v>-</v>
      </c>
      <c r="BI165" s="265" t="str">
        <f t="shared" si="75"/>
        <v>-</v>
      </c>
      <c r="BJ165" s="26" t="str">
        <f t="shared" si="60"/>
        <v>ROCKY CREEKSockeye</v>
      </c>
      <c r="BK165" s="26">
        <f t="shared" si="61"/>
        <v>0</v>
      </c>
      <c r="BL165" s="33">
        <f t="shared" si="51"/>
        <v>0</v>
      </c>
      <c r="BQ165" s="47" t="str">
        <f t="shared" si="62"/>
        <v>ROCKY CREEKSockeye</v>
      </c>
      <c r="BR165" s="49">
        <f t="shared" si="63"/>
        <v>0</v>
      </c>
      <c r="BS165" s="49">
        <f t="shared" si="64"/>
        <v>0</v>
      </c>
      <c r="BT165" s="31">
        <v>0</v>
      </c>
      <c r="BU165" s="188">
        <f t="shared" si="65"/>
        <v>0</v>
      </c>
      <c r="BV165" s="188" t="str">
        <f t="shared" si="66"/>
        <v xml:space="preserve"> </v>
      </c>
      <c r="BW165" s="188" t="str">
        <f t="shared" si="67"/>
        <v xml:space="preserve"> </v>
      </c>
      <c r="BX165" s="188" t="str">
        <f t="shared" si="68"/>
        <v xml:space="preserve"> </v>
      </c>
      <c r="BY165" s="50" t="str">
        <f t="shared" si="69"/>
        <v>ROCKY CREEK_Sockeye</v>
      </c>
      <c r="BZ165" s="50" t="str">
        <f>IFERROR(VLOOKUP(BY165,'[1]WCVI Esc'!$C$5:$W$555,18,FALSE),"-")</f>
        <v>-</v>
      </c>
      <c r="CA165" s="50" t="str">
        <f t="shared" si="70"/>
        <v>-</v>
      </c>
      <c r="CB165" s="50" t="str">
        <f>IFERROR(VLOOKUP(BY165,'[1]WCVI Esc'!$C$5:$W$555,19,FALSE),"-")</f>
        <v>-</v>
      </c>
      <c r="CC165" s="50" t="str">
        <f t="shared" si="71"/>
        <v>-</v>
      </c>
      <c r="CE165" s="342" t="str">
        <f t="shared" si="72"/>
        <v>ROCKY CREEK_Sockeye</v>
      </c>
      <c r="CF165" s="341" t="str">
        <f>IFERROR(VLOOKUP(BY165,'RawPL+D'!$O$8:$AB$503,12,FALSE),"-")</f>
        <v>-</v>
      </c>
      <c r="CG165" s="338" t="str">
        <f t="shared" si="73"/>
        <v>-</v>
      </c>
      <c r="CH165" s="341" t="str">
        <f>IFERROR(VLOOKUP(BY165,'RawPL+D'!$O$8:$AB$503,13,FALSE),"-")</f>
        <v>-</v>
      </c>
      <c r="CI165" s="338" t="str">
        <f t="shared" si="74"/>
        <v>-</v>
      </c>
    </row>
    <row r="166" spans="1:87" ht="12.75" hidden="1" customHeight="1" x14ac:dyDescent="0.2">
      <c r="A166" s="28">
        <v>4</v>
      </c>
      <c r="B166" s="28">
        <v>2</v>
      </c>
      <c r="C166" s="11">
        <v>20</v>
      </c>
      <c r="D166" s="13" t="s">
        <v>303</v>
      </c>
      <c r="E166" s="10" t="s">
        <v>164</v>
      </c>
      <c r="F166" s="10" t="s">
        <v>219</v>
      </c>
      <c r="G166" s="10"/>
      <c r="H166" s="10"/>
      <c r="I166" s="10"/>
      <c r="J166" s="10"/>
      <c r="K166" s="575"/>
      <c r="L166" s="152"/>
      <c r="M166" s="164"/>
      <c r="N166" s="62"/>
      <c r="O166" s="62"/>
      <c r="P166" s="64"/>
      <c r="Q166" s="164"/>
      <c r="R166" s="62"/>
      <c r="S166" s="62"/>
      <c r="T166" s="64"/>
      <c r="U166" s="64"/>
      <c r="V166" s="164"/>
      <c r="W166" s="62"/>
      <c r="X166" s="62"/>
      <c r="Y166" s="62"/>
      <c r="Z166" s="64"/>
      <c r="AA166" s="164"/>
      <c r="AB166" s="62"/>
      <c r="AC166" s="62"/>
      <c r="AD166" s="64"/>
      <c r="AE166" s="164"/>
      <c r="AF166" s="62"/>
      <c r="AG166" s="62"/>
      <c r="AH166" s="337"/>
      <c r="AI166" s="337"/>
      <c r="AJ166" s="337"/>
      <c r="AK166" s="337"/>
      <c r="AL166" s="412"/>
      <c r="AM166" s="414"/>
      <c r="AN166" s="45"/>
      <c r="AO166" s="45"/>
      <c r="AP166" s="45"/>
      <c r="AQ166" s="100"/>
      <c r="AR166" s="100"/>
      <c r="AS166" s="100"/>
      <c r="AT166" s="100"/>
      <c r="AU166" s="100"/>
      <c r="AV166" s="100"/>
      <c r="AW166" s="18">
        <v>20</v>
      </c>
      <c r="AX166" s="69" t="s">
        <v>303</v>
      </c>
      <c r="AY166" s="243" t="s">
        <v>164</v>
      </c>
      <c r="AZ166" s="243" t="str">
        <f t="shared" si="53"/>
        <v>Coho</v>
      </c>
      <c r="BA166" s="243" t="s">
        <v>419</v>
      </c>
      <c r="BB166" s="246"/>
      <c r="BC166" s="43" t="str">
        <f t="shared" si="54"/>
        <v>-</v>
      </c>
      <c r="BD166" s="43">
        <f t="shared" si="55"/>
        <v>0</v>
      </c>
      <c r="BE166" s="193">
        <f t="shared" si="56"/>
        <v>0</v>
      </c>
      <c r="BF166" s="193">
        <f t="shared" si="57"/>
        <v>0</v>
      </c>
      <c r="BG166" s="193">
        <f t="shared" si="58"/>
        <v>0</v>
      </c>
      <c r="BH166" s="307" t="str">
        <f t="shared" si="59"/>
        <v>-</v>
      </c>
      <c r="BI166" s="265" t="str">
        <f t="shared" si="75"/>
        <v>-</v>
      </c>
      <c r="BJ166" s="26" t="str">
        <f t="shared" si="60"/>
        <v>ROCKY CREEKCoho</v>
      </c>
      <c r="BK166" s="26">
        <f t="shared" si="61"/>
        <v>0</v>
      </c>
      <c r="BL166" s="33">
        <f t="shared" si="51"/>
        <v>0</v>
      </c>
      <c r="BQ166" s="47" t="str">
        <f t="shared" si="62"/>
        <v>ROCKY CREEKCoho</v>
      </c>
      <c r="BR166" s="49">
        <f t="shared" si="63"/>
        <v>0</v>
      </c>
      <c r="BS166" s="49">
        <f t="shared" si="64"/>
        <v>0</v>
      </c>
      <c r="BT166" s="31">
        <v>0</v>
      </c>
      <c r="BU166" s="188">
        <f t="shared" si="65"/>
        <v>0</v>
      </c>
      <c r="BV166" s="188" t="str">
        <f t="shared" si="66"/>
        <v xml:space="preserve"> </v>
      </c>
      <c r="BW166" s="188" t="str">
        <f t="shared" si="67"/>
        <v xml:space="preserve"> </v>
      </c>
      <c r="BX166" s="188" t="str">
        <f t="shared" si="68"/>
        <v xml:space="preserve"> </v>
      </c>
      <c r="BY166" s="50" t="str">
        <f t="shared" si="69"/>
        <v>ROCKY CREEK_Coho</v>
      </c>
      <c r="BZ166" s="50" t="str">
        <f>IFERROR(VLOOKUP(BY166,'[1]WCVI Esc'!$C$5:$W$555,18,FALSE),"-")</f>
        <v>-</v>
      </c>
      <c r="CA166" s="50" t="str">
        <f t="shared" si="70"/>
        <v>-</v>
      </c>
      <c r="CB166" s="50" t="str">
        <f>IFERROR(VLOOKUP(BY166,'[1]WCVI Esc'!$C$5:$W$555,19,FALSE),"-")</f>
        <v>-</v>
      </c>
      <c r="CC166" s="50" t="str">
        <f t="shared" si="71"/>
        <v>-</v>
      </c>
      <c r="CE166" s="342" t="str">
        <f t="shared" si="72"/>
        <v>ROCKY CREEK_Coho</v>
      </c>
      <c r="CF166" s="341" t="str">
        <f>IFERROR(VLOOKUP(BY166,'RawPL+D'!$O$8:$AB$503,12,FALSE),"-")</f>
        <v>-</v>
      </c>
      <c r="CG166" s="338" t="str">
        <f t="shared" si="73"/>
        <v>-</v>
      </c>
      <c r="CH166" s="341" t="str">
        <f>IFERROR(VLOOKUP(BY166,'RawPL+D'!$O$8:$AB$503,13,FALSE),"-")</f>
        <v>-</v>
      </c>
      <c r="CI166" s="338" t="str">
        <f t="shared" si="74"/>
        <v>-</v>
      </c>
    </row>
    <row r="167" spans="1:87" ht="12.75" hidden="1" customHeight="1" x14ac:dyDescent="0.2">
      <c r="A167" s="28">
        <v>4</v>
      </c>
      <c r="B167" s="28">
        <v>3</v>
      </c>
      <c r="C167" s="11">
        <v>20</v>
      </c>
      <c r="D167" s="13" t="s">
        <v>303</v>
      </c>
      <c r="E167" s="10" t="s">
        <v>164</v>
      </c>
      <c r="F167" s="10" t="s">
        <v>208</v>
      </c>
      <c r="G167" s="10"/>
      <c r="H167" s="10"/>
      <c r="I167" s="10"/>
      <c r="J167" s="10"/>
      <c r="K167" s="575"/>
      <c r="L167" s="152"/>
      <c r="M167" s="164"/>
      <c r="N167" s="62"/>
      <c r="O167" s="62"/>
      <c r="P167" s="64"/>
      <c r="Q167" s="164"/>
      <c r="R167" s="62"/>
      <c r="S167" s="62"/>
      <c r="T167" s="64"/>
      <c r="U167" s="64"/>
      <c r="V167" s="164"/>
      <c r="W167" s="62"/>
      <c r="X167" s="62"/>
      <c r="Y167" s="62"/>
      <c r="Z167" s="64"/>
      <c r="AA167" s="164"/>
      <c r="AB167" s="62"/>
      <c r="AC167" s="62"/>
      <c r="AD167" s="64"/>
      <c r="AE167" s="164"/>
      <c r="AF167" s="62"/>
      <c r="AG167" s="62"/>
      <c r="AH167" s="337"/>
      <c r="AI167" s="337"/>
      <c r="AJ167" s="337"/>
      <c r="AK167" s="337"/>
      <c r="AL167" s="414"/>
      <c r="AM167" s="414"/>
      <c r="AN167" s="45"/>
      <c r="AO167" s="45"/>
      <c r="AP167" s="45"/>
      <c r="AQ167" s="100"/>
      <c r="AR167" s="100"/>
      <c r="AS167" s="100"/>
      <c r="AT167" s="100"/>
      <c r="AU167" s="100"/>
      <c r="AV167" s="100"/>
      <c r="AW167" s="18">
        <v>20</v>
      </c>
      <c r="AX167" s="69" t="s">
        <v>303</v>
      </c>
      <c r="AY167" s="243" t="s">
        <v>164</v>
      </c>
      <c r="AZ167" s="243" t="str">
        <f t="shared" si="53"/>
        <v>Pink</v>
      </c>
      <c r="BA167" s="243" t="s">
        <v>419</v>
      </c>
      <c r="BB167" s="246"/>
      <c r="BC167" s="43" t="str">
        <f t="shared" si="54"/>
        <v>-</v>
      </c>
      <c r="BD167" s="43">
        <f t="shared" si="55"/>
        <v>0</v>
      </c>
      <c r="BE167" s="193">
        <f t="shared" si="56"/>
        <v>0</v>
      </c>
      <c r="BF167" s="193">
        <f t="shared" si="57"/>
        <v>0</v>
      </c>
      <c r="BG167" s="193">
        <f t="shared" si="58"/>
        <v>0</v>
      </c>
      <c r="BH167" s="307" t="str">
        <f t="shared" si="59"/>
        <v>-</v>
      </c>
      <c r="BI167" s="265" t="str">
        <f t="shared" si="75"/>
        <v>-</v>
      </c>
      <c r="BJ167" s="26" t="str">
        <f t="shared" si="60"/>
        <v>ROCKY CREEKPink</v>
      </c>
      <c r="BK167" s="26">
        <f t="shared" si="61"/>
        <v>0</v>
      </c>
      <c r="BL167" s="33">
        <f t="shared" ref="BL167:BL230" si="76">MAX(K167:AB167)</f>
        <v>0</v>
      </c>
      <c r="BQ167" s="47" t="str">
        <f t="shared" si="62"/>
        <v>ROCKY CREEKPink</v>
      </c>
      <c r="BR167" s="49">
        <f t="shared" si="63"/>
        <v>0</v>
      </c>
      <c r="BS167" s="49">
        <f t="shared" si="64"/>
        <v>0</v>
      </c>
      <c r="BT167" s="31">
        <v>0</v>
      </c>
      <c r="BU167" s="188">
        <f t="shared" si="65"/>
        <v>0</v>
      </c>
      <c r="BV167" s="188" t="str">
        <f t="shared" si="66"/>
        <v xml:space="preserve"> </v>
      </c>
      <c r="BW167" s="188" t="str">
        <f t="shared" si="67"/>
        <v xml:space="preserve"> </v>
      </c>
      <c r="BX167" s="188" t="str">
        <f t="shared" si="68"/>
        <v xml:space="preserve"> </v>
      </c>
      <c r="BY167" s="50" t="str">
        <f t="shared" si="69"/>
        <v>ROCKY CREEK_Pink</v>
      </c>
      <c r="BZ167" s="50" t="str">
        <f>IFERROR(VLOOKUP(BY167,'[1]WCVI Esc'!$C$5:$W$555,18,FALSE),"-")</f>
        <v>-</v>
      </c>
      <c r="CA167" s="50" t="str">
        <f t="shared" si="70"/>
        <v>-</v>
      </c>
      <c r="CB167" s="50" t="str">
        <f>IFERROR(VLOOKUP(BY167,'[1]WCVI Esc'!$C$5:$W$555,19,FALSE),"-")</f>
        <v>-</v>
      </c>
      <c r="CC167" s="50" t="str">
        <f t="shared" si="71"/>
        <v>-</v>
      </c>
      <c r="CE167" s="342" t="str">
        <f t="shared" si="72"/>
        <v>ROCKY CREEK_Pink</v>
      </c>
      <c r="CF167" s="341" t="str">
        <f>IFERROR(VLOOKUP(BY167,'RawPL+D'!$O$8:$AB$503,12,FALSE),"-")</f>
        <v>-</v>
      </c>
      <c r="CG167" s="338" t="str">
        <f t="shared" si="73"/>
        <v>-</v>
      </c>
      <c r="CH167" s="341" t="str">
        <f>IFERROR(VLOOKUP(BY167,'RawPL+D'!$O$8:$AB$503,13,FALSE),"-")</f>
        <v>-</v>
      </c>
      <c r="CI167" s="338" t="str">
        <f t="shared" si="74"/>
        <v>-</v>
      </c>
    </row>
    <row r="168" spans="1:87" ht="12.75" hidden="1" customHeight="1" x14ac:dyDescent="0.2">
      <c r="A168" s="28">
        <v>4</v>
      </c>
      <c r="B168" s="28">
        <v>4</v>
      </c>
      <c r="C168" s="11">
        <v>20</v>
      </c>
      <c r="D168" s="13" t="s">
        <v>303</v>
      </c>
      <c r="E168" s="10" t="s">
        <v>164</v>
      </c>
      <c r="F168" s="10" t="s">
        <v>209</v>
      </c>
      <c r="G168" s="10"/>
      <c r="H168" s="10"/>
      <c r="I168" s="10"/>
      <c r="J168" s="10"/>
      <c r="K168" s="575"/>
      <c r="L168" s="152"/>
      <c r="M168" s="164"/>
      <c r="N168" s="62"/>
      <c r="O168" s="62"/>
      <c r="P168" s="64"/>
      <c r="Q168" s="164"/>
      <c r="R168" s="62"/>
      <c r="S168" s="62"/>
      <c r="T168" s="64"/>
      <c r="U168" s="64"/>
      <c r="V168" s="164"/>
      <c r="W168" s="62"/>
      <c r="X168" s="62"/>
      <c r="Y168" s="62"/>
      <c r="Z168" s="64"/>
      <c r="AA168" s="164"/>
      <c r="AB168" s="62"/>
      <c r="AC168" s="62"/>
      <c r="AD168" s="64"/>
      <c r="AE168" s="164"/>
      <c r="AF168" s="62"/>
      <c r="AG168" s="62"/>
      <c r="AH168" s="337"/>
      <c r="AI168" s="337"/>
      <c r="AJ168" s="337"/>
      <c r="AK168" s="337"/>
      <c r="AL168" s="412"/>
      <c r="AM168" s="414"/>
      <c r="AN168" s="45"/>
      <c r="AO168" s="45"/>
      <c r="AP168" s="45"/>
      <c r="AQ168" s="100"/>
      <c r="AR168" s="100"/>
      <c r="AS168" s="100"/>
      <c r="AT168" s="100"/>
      <c r="AU168" s="100"/>
      <c r="AV168" s="100"/>
      <c r="AW168" s="18">
        <v>20</v>
      </c>
      <c r="AX168" s="69" t="s">
        <v>303</v>
      </c>
      <c r="AY168" s="243" t="s">
        <v>164</v>
      </c>
      <c r="AZ168" s="243" t="str">
        <f t="shared" si="53"/>
        <v>Chum</v>
      </c>
      <c r="BA168" s="243" t="s">
        <v>419</v>
      </c>
      <c r="BB168" s="246"/>
      <c r="BC168" s="43" t="str">
        <f t="shared" si="54"/>
        <v>-</v>
      </c>
      <c r="BD168" s="43">
        <f t="shared" si="55"/>
        <v>0</v>
      </c>
      <c r="BE168" s="193">
        <f t="shared" si="56"/>
        <v>0</v>
      </c>
      <c r="BF168" s="193">
        <f t="shared" si="57"/>
        <v>0</v>
      </c>
      <c r="BG168" s="193">
        <f t="shared" si="58"/>
        <v>0</v>
      </c>
      <c r="BH168" s="307" t="str">
        <f t="shared" si="59"/>
        <v>-</v>
      </c>
      <c r="BI168" s="265" t="str">
        <f t="shared" si="75"/>
        <v>-</v>
      </c>
      <c r="BJ168" s="26" t="str">
        <f t="shared" si="60"/>
        <v>ROCKY CREEKChum</v>
      </c>
      <c r="BK168" s="26">
        <f t="shared" si="61"/>
        <v>0</v>
      </c>
      <c r="BL168" s="33">
        <f t="shared" si="76"/>
        <v>0</v>
      </c>
      <c r="BQ168" s="47" t="str">
        <f t="shared" si="62"/>
        <v>ROCKY CREEKChum</v>
      </c>
      <c r="BR168" s="49">
        <f t="shared" si="63"/>
        <v>0</v>
      </c>
      <c r="BS168" s="49">
        <f t="shared" si="64"/>
        <v>0</v>
      </c>
      <c r="BT168" s="31">
        <v>0</v>
      </c>
      <c r="BU168" s="188">
        <f t="shared" si="65"/>
        <v>0</v>
      </c>
      <c r="BV168" s="188" t="str">
        <f t="shared" si="66"/>
        <v xml:space="preserve"> </v>
      </c>
      <c r="BW168" s="188" t="str">
        <f t="shared" si="67"/>
        <v xml:space="preserve"> </v>
      </c>
      <c r="BX168" s="188" t="str">
        <f t="shared" si="68"/>
        <v xml:space="preserve"> </v>
      </c>
      <c r="BY168" s="50" t="str">
        <f t="shared" si="69"/>
        <v>ROCKY CREEK_Chum</v>
      </c>
      <c r="BZ168" s="50" t="str">
        <f>IFERROR(VLOOKUP(BY168,'[1]WCVI Esc'!$C$5:$W$555,18,FALSE),"-")</f>
        <v>-</v>
      </c>
      <c r="CA168" s="50" t="str">
        <f t="shared" si="70"/>
        <v>-</v>
      </c>
      <c r="CB168" s="50" t="str">
        <f>IFERROR(VLOOKUP(BY168,'[1]WCVI Esc'!$C$5:$W$555,19,FALSE),"-")</f>
        <v>-</v>
      </c>
      <c r="CC168" s="50" t="str">
        <f t="shared" si="71"/>
        <v>-</v>
      </c>
      <c r="CE168" s="342" t="str">
        <f t="shared" si="72"/>
        <v>ROCKY CREEK_Chum</v>
      </c>
      <c r="CF168" s="341" t="str">
        <f>IFERROR(VLOOKUP(BY168,'RawPL+D'!$O$8:$AB$503,12,FALSE),"-")</f>
        <v>-</v>
      </c>
      <c r="CG168" s="338" t="str">
        <f t="shared" si="73"/>
        <v>-</v>
      </c>
      <c r="CH168" s="341" t="str">
        <f>IFERROR(VLOOKUP(BY168,'RawPL+D'!$O$8:$AB$503,13,FALSE),"-")</f>
        <v>-</v>
      </c>
      <c r="CI168" s="338" t="str">
        <f t="shared" si="74"/>
        <v>-</v>
      </c>
    </row>
    <row r="169" spans="1:87" ht="12.75" hidden="1" customHeight="1" x14ac:dyDescent="0.2">
      <c r="A169" s="28">
        <v>4</v>
      </c>
      <c r="B169" s="28">
        <v>5</v>
      </c>
      <c r="C169" s="11">
        <v>20</v>
      </c>
      <c r="D169" s="13" t="s">
        <v>303</v>
      </c>
      <c r="E169" s="10" t="s">
        <v>164</v>
      </c>
      <c r="F169" s="10" t="s">
        <v>210</v>
      </c>
      <c r="G169" s="10"/>
      <c r="H169" s="10"/>
      <c r="I169" s="10"/>
      <c r="J169" s="10"/>
      <c r="K169" s="575"/>
      <c r="L169" s="152"/>
      <c r="M169" s="164"/>
      <c r="N169" s="62"/>
      <c r="O169" s="62"/>
      <c r="P169" s="64"/>
      <c r="Q169" s="164"/>
      <c r="R169" s="62"/>
      <c r="S169" s="62"/>
      <c r="T169" s="64"/>
      <c r="U169" s="64"/>
      <c r="V169" s="164"/>
      <c r="W169" s="62"/>
      <c r="X169" s="62"/>
      <c r="Y169" s="62"/>
      <c r="Z169" s="64"/>
      <c r="AA169" s="164"/>
      <c r="AB169" s="62"/>
      <c r="AC169" s="62"/>
      <c r="AD169" s="64"/>
      <c r="AE169" s="164"/>
      <c r="AF169" s="62"/>
      <c r="AG169" s="62"/>
      <c r="AH169" s="337"/>
      <c r="AI169" s="337"/>
      <c r="AJ169" s="337"/>
      <c r="AK169" s="337"/>
      <c r="AL169" s="412"/>
      <c r="AM169" s="414"/>
      <c r="AN169" s="45"/>
      <c r="AO169" s="45"/>
      <c r="AP169" s="45"/>
      <c r="AQ169" s="100"/>
      <c r="AR169" s="100"/>
      <c r="AS169" s="100"/>
      <c r="AT169" s="100"/>
      <c r="AU169" s="100"/>
      <c r="AV169" s="100"/>
      <c r="AW169" s="18">
        <v>20</v>
      </c>
      <c r="AX169" s="69" t="s">
        <v>303</v>
      </c>
      <c r="AY169" s="243" t="s">
        <v>164</v>
      </c>
      <c r="AZ169" s="243" t="str">
        <f t="shared" si="53"/>
        <v>Chinook</v>
      </c>
      <c r="BA169" s="243" t="s">
        <v>419</v>
      </c>
      <c r="BB169" s="246"/>
      <c r="BC169" s="43" t="str">
        <f t="shared" si="54"/>
        <v>-</v>
      </c>
      <c r="BD169" s="43">
        <f t="shared" si="55"/>
        <v>0</v>
      </c>
      <c r="BE169" s="193">
        <f t="shared" si="56"/>
        <v>0</v>
      </c>
      <c r="BF169" s="193">
        <f t="shared" si="57"/>
        <v>0</v>
      </c>
      <c r="BG169" s="193">
        <f t="shared" si="58"/>
        <v>0</v>
      </c>
      <c r="BH169" s="307" t="str">
        <f t="shared" si="59"/>
        <v>-</v>
      </c>
      <c r="BI169" s="265" t="str">
        <f t="shared" si="75"/>
        <v>-</v>
      </c>
      <c r="BJ169" s="26" t="str">
        <f t="shared" si="60"/>
        <v>ROCKY CREEKChinook</v>
      </c>
      <c r="BK169" s="26">
        <f t="shared" si="61"/>
        <v>0</v>
      </c>
      <c r="BL169" s="33">
        <f t="shared" si="76"/>
        <v>0</v>
      </c>
      <c r="BQ169" s="47" t="str">
        <f t="shared" si="62"/>
        <v>ROCKY CREEKChinook</v>
      </c>
      <c r="BR169" s="49">
        <f t="shared" si="63"/>
        <v>0</v>
      </c>
      <c r="BS169" s="49">
        <f t="shared" si="64"/>
        <v>0</v>
      </c>
      <c r="BT169" s="31">
        <v>0</v>
      </c>
      <c r="BU169" s="188">
        <f t="shared" si="65"/>
        <v>0</v>
      </c>
      <c r="BV169" s="188" t="str">
        <f t="shared" si="66"/>
        <v xml:space="preserve"> </v>
      </c>
      <c r="BW169" s="188" t="str">
        <f t="shared" si="67"/>
        <v xml:space="preserve"> </v>
      </c>
      <c r="BX169" s="188" t="str">
        <f t="shared" si="68"/>
        <v xml:space="preserve"> </v>
      </c>
      <c r="BY169" s="50" t="str">
        <f t="shared" si="69"/>
        <v>ROCKY CREEK_Chinook</v>
      </c>
      <c r="BZ169" s="50" t="str">
        <f>IFERROR(VLOOKUP(BY169,'[1]WCVI Esc'!$C$5:$W$555,18,FALSE),"-")</f>
        <v>-</v>
      </c>
      <c r="CA169" s="50" t="str">
        <f t="shared" si="70"/>
        <v>-</v>
      </c>
      <c r="CB169" s="50" t="str">
        <f>IFERROR(VLOOKUP(BY169,'[1]WCVI Esc'!$C$5:$W$555,19,FALSE),"-")</f>
        <v>-</v>
      </c>
      <c r="CC169" s="50" t="str">
        <f t="shared" si="71"/>
        <v>-</v>
      </c>
      <c r="CE169" s="342" t="str">
        <f t="shared" si="72"/>
        <v>ROCKY CREEK_Chinook</v>
      </c>
      <c r="CF169" s="341" t="str">
        <f>IFERROR(VLOOKUP(BY169,'RawPL+D'!$O$8:$AB$503,12,FALSE),"-")</f>
        <v>-</v>
      </c>
      <c r="CG169" s="338" t="str">
        <f t="shared" si="73"/>
        <v>-</v>
      </c>
      <c r="CH169" s="341" t="str">
        <f>IFERROR(VLOOKUP(BY169,'RawPL+D'!$O$8:$AB$503,13,FALSE),"-")</f>
        <v>-</v>
      </c>
      <c r="CI169" s="338" t="str">
        <f t="shared" si="74"/>
        <v>-</v>
      </c>
    </row>
    <row r="170" spans="1:87" ht="12.75" hidden="1" customHeight="1" x14ac:dyDescent="0.2">
      <c r="A170" s="28">
        <v>4</v>
      </c>
      <c r="B170" s="28">
        <v>6</v>
      </c>
      <c r="C170" s="11">
        <v>20</v>
      </c>
      <c r="D170" s="13" t="s">
        <v>303</v>
      </c>
      <c r="E170" s="10" t="s">
        <v>164</v>
      </c>
      <c r="F170" s="10" t="s">
        <v>211</v>
      </c>
      <c r="G170" s="10"/>
      <c r="H170" s="10"/>
      <c r="I170" s="10"/>
      <c r="J170" s="10"/>
      <c r="K170" s="575"/>
      <c r="L170" s="152"/>
      <c r="M170" s="164"/>
      <c r="N170" s="62"/>
      <c r="O170" s="62"/>
      <c r="P170" s="64"/>
      <c r="Q170" s="164"/>
      <c r="R170" s="62"/>
      <c r="S170" s="62"/>
      <c r="T170" s="64"/>
      <c r="U170" s="64"/>
      <c r="V170" s="164"/>
      <c r="W170" s="62"/>
      <c r="X170" s="62"/>
      <c r="Y170" s="62"/>
      <c r="Z170" s="64"/>
      <c r="AA170" s="164"/>
      <c r="AB170" s="62"/>
      <c r="AC170" s="62"/>
      <c r="AD170" s="64"/>
      <c r="AE170" s="164"/>
      <c r="AF170" s="62"/>
      <c r="AG170" s="62"/>
      <c r="AH170" s="337"/>
      <c r="AI170" s="337"/>
      <c r="AJ170" s="337"/>
      <c r="AK170" s="337"/>
      <c r="AL170" s="414"/>
      <c r="AM170" s="414"/>
      <c r="AN170" s="45"/>
      <c r="AO170" s="45"/>
      <c r="AP170" s="45"/>
      <c r="AQ170" s="100"/>
      <c r="AR170" s="100"/>
      <c r="AS170" s="100"/>
      <c r="AT170" s="100"/>
      <c r="AU170" s="100"/>
      <c r="AV170" s="100"/>
      <c r="AW170" s="18">
        <v>20</v>
      </c>
      <c r="AX170" s="69" t="s">
        <v>303</v>
      </c>
      <c r="AY170" s="243" t="s">
        <v>164</v>
      </c>
      <c r="AZ170" s="243" t="str">
        <f t="shared" si="53"/>
        <v>Steelhead</v>
      </c>
      <c r="BA170" s="243" t="s">
        <v>419</v>
      </c>
      <c r="BB170" s="246"/>
      <c r="BC170" s="43" t="str">
        <f t="shared" si="54"/>
        <v>-</v>
      </c>
      <c r="BD170" s="43">
        <f t="shared" si="55"/>
        <v>0</v>
      </c>
      <c r="BE170" s="193">
        <f t="shared" si="56"/>
        <v>0</v>
      </c>
      <c r="BF170" s="193">
        <f t="shared" si="57"/>
        <v>0</v>
      </c>
      <c r="BG170" s="193">
        <f t="shared" si="58"/>
        <v>0</v>
      </c>
      <c r="BH170" s="307" t="str">
        <f t="shared" si="59"/>
        <v>-</v>
      </c>
      <c r="BI170" s="265" t="str">
        <f t="shared" si="75"/>
        <v>-</v>
      </c>
      <c r="BJ170" s="26" t="str">
        <f t="shared" si="60"/>
        <v>ROCKY CREEKSteelhead</v>
      </c>
      <c r="BK170" s="26">
        <f t="shared" si="61"/>
        <v>0</v>
      </c>
      <c r="BL170" s="33">
        <f t="shared" si="76"/>
        <v>0</v>
      </c>
      <c r="BQ170" s="47" t="str">
        <f t="shared" si="62"/>
        <v>ROCKY CREEKSteelhead</v>
      </c>
      <c r="BR170" s="49">
        <f t="shared" si="63"/>
        <v>0</v>
      </c>
      <c r="BS170" s="49">
        <f t="shared" si="64"/>
        <v>0</v>
      </c>
      <c r="BT170" s="31">
        <v>0</v>
      </c>
      <c r="BU170" s="188">
        <f t="shared" si="65"/>
        <v>0</v>
      </c>
      <c r="BV170" s="188" t="str">
        <f t="shared" si="66"/>
        <v xml:space="preserve"> </v>
      </c>
      <c r="BW170" s="188" t="str">
        <f t="shared" si="67"/>
        <v xml:space="preserve"> </v>
      </c>
      <c r="BX170" s="188" t="str">
        <f t="shared" si="68"/>
        <v xml:space="preserve"> </v>
      </c>
      <c r="BY170" s="50" t="str">
        <f t="shared" si="69"/>
        <v>ROCKY CREEK_Steelhead</v>
      </c>
      <c r="BZ170" s="50" t="str">
        <f>IFERROR(VLOOKUP(BY170,'[1]WCVI Esc'!$C$5:$W$555,18,FALSE),"-")</f>
        <v>-</v>
      </c>
      <c r="CA170" s="50" t="str">
        <f t="shared" si="70"/>
        <v>-</v>
      </c>
      <c r="CB170" s="50" t="str">
        <f>IFERROR(VLOOKUP(BY170,'[1]WCVI Esc'!$C$5:$W$555,19,FALSE),"-")</f>
        <v>-</v>
      </c>
      <c r="CC170" s="50" t="str">
        <f t="shared" si="71"/>
        <v>-</v>
      </c>
      <c r="CE170" s="342" t="str">
        <f t="shared" si="72"/>
        <v>ROCKY CREEK_Steelhead</v>
      </c>
      <c r="CF170" s="341" t="str">
        <f>IFERROR(VLOOKUP(BY170,'RawPL+D'!$O$8:$AB$503,12,FALSE),"-")</f>
        <v>-</v>
      </c>
      <c r="CG170" s="338" t="str">
        <f t="shared" si="73"/>
        <v>-</v>
      </c>
      <c r="CH170" s="341" t="str">
        <f>IFERROR(VLOOKUP(BY170,'RawPL+D'!$O$8:$AB$503,13,FALSE),"-")</f>
        <v>-</v>
      </c>
      <c r="CI170" s="338" t="str">
        <f t="shared" si="74"/>
        <v>-</v>
      </c>
    </row>
    <row r="171" spans="1:87" ht="12.75" hidden="1" customHeight="1" x14ac:dyDescent="0.2">
      <c r="A171" s="28">
        <v>4</v>
      </c>
      <c r="B171" s="28">
        <v>1</v>
      </c>
      <c r="C171" s="11">
        <v>20</v>
      </c>
      <c r="D171" s="13" t="s">
        <v>303</v>
      </c>
      <c r="E171" s="10" t="s">
        <v>75</v>
      </c>
      <c r="F171" s="10" t="s">
        <v>207</v>
      </c>
      <c r="G171" s="10"/>
      <c r="H171" s="10"/>
      <c r="I171" s="10"/>
      <c r="J171" s="10"/>
      <c r="K171" s="575"/>
      <c r="L171" s="152"/>
      <c r="M171" s="164"/>
      <c r="N171" s="62"/>
      <c r="O171" s="62"/>
      <c r="P171" s="64"/>
      <c r="Q171" s="164"/>
      <c r="R171" s="62"/>
      <c r="S171" s="62"/>
      <c r="T171" s="62"/>
      <c r="U171" s="64"/>
      <c r="V171" s="164"/>
      <c r="W171" s="62"/>
      <c r="X171" s="62"/>
      <c r="Y171" s="62"/>
      <c r="Z171" s="64"/>
      <c r="AA171" s="164"/>
      <c r="AB171" s="62"/>
      <c r="AC171" s="62"/>
      <c r="AD171" s="64"/>
      <c r="AE171" s="164"/>
      <c r="AF171" s="62"/>
      <c r="AG171" s="62"/>
      <c r="AH171" s="337"/>
      <c r="AI171" s="337"/>
      <c r="AJ171" s="337"/>
      <c r="AK171" s="337"/>
      <c r="AL171" s="412"/>
      <c r="AM171" s="414"/>
      <c r="AN171" s="45"/>
      <c r="AO171" s="45"/>
      <c r="AP171" s="45"/>
      <c r="AQ171" s="396"/>
      <c r="AR171"/>
      <c r="AS171" s="100"/>
      <c r="AT171" s="100"/>
      <c r="AU171" s="100"/>
      <c r="AV171" s="100"/>
      <c r="AW171" s="18">
        <v>20</v>
      </c>
      <c r="AX171" s="69" t="s">
        <v>303</v>
      </c>
      <c r="AY171" s="243" t="s">
        <v>75</v>
      </c>
      <c r="AZ171" s="243" t="str">
        <f t="shared" si="53"/>
        <v>Sockeye</v>
      </c>
      <c r="BA171" s="243" t="s">
        <v>419</v>
      </c>
      <c r="BB171" s="246"/>
      <c r="BC171" s="43" t="str">
        <f t="shared" si="54"/>
        <v>-</v>
      </c>
      <c r="BD171" s="43">
        <f t="shared" si="55"/>
        <v>0</v>
      </c>
      <c r="BE171" s="193">
        <f t="shared" si="56"/>
        <v>0</v>
      </c>
      <c r="BF171" s="193">
        <f t="shared" si="57"/>
        <v>0</v>
      </c>
      <c r="BG171" s="193">
        <f t="shared" si="58"/>
        <v>0</v>
      </c>
      <c r="BH171" s="307" t="str">
        <f t="shared" si="59"/>
        <v>-</v>
      </c>
      <c r="BI171" s="265" t="str">
        <f t="shared" si="75"/>
        <v>-</v>
      </c>
      <c r="BJ171" s="26" t="str">
        <f t="shared" si="60"/>
        <v>SOOKE RIVERSockeye</v>
      </c>
      <c r="BK171" s="26">
        <f t="shared" si="61"/>
        <v>0</v>
      </c>
      <c r="BL171" s="33">
        <f t="shared" si="76"/>
        <v>0</v>
      </c>
      <c r="BQ171" s="47" t="str">
        <f t="shared" si="62"/>
        <v>SOOKE RIVERSockeye</v>
      </c>
      <c r="BR171" s="49">
        <f t="shared" si="63"/>
        <v>0</v>
      </c>
      <c r="BS171" s="49">
        <f t="shared" si="64"/>
        <v>0</v>
      </c>
      <c r="BT171" s="31">
        <v>0</v>
      </c>
      <c r="BU171" s="188">
        <f t="shared" si="65"/>
        <v>0</v>
      </c>
      <c r="BV171" s="188" t="str">
        <f t="shared" si="66"/>
        <v xml:space="preserve"> </v>
      </c>
      <c r="BW171" s="188" t="str">
        <f t="shared" si="67"/>
        <v xml:space="preserve"> </v>
      </c>
      <c r="BX171" s="188" t="str">
        <f t="shared" si="68"/>
        <v xml:space="preserve"> </v>
      </c>
      <c r="BY171" s="50" t="str">
        <f t="shared" si="69"/>
        <v>SOOKE RIVER_Sockeye</v>
      </c>
      <c r="BZ171" s="50" t="str">
        <f>IFERROR(VLOOKUP(BY171,'[1]WCVI Esc'!$C$5:$W$555,18,FALSE),"-")</f>
        <v>-</v>
      </c>
      <c r="CA171" s="50" t="str">
        <f t="shared" si="70"/>
        <v>-</v>
      </c>
      <c r="CB171" s="50" t="str">
        <f>IFERROR(VLOOKUP(BY171,'[1]WCVI Esc'!$C$5:$W$555,19,FALSE),"-")</f>
        <v>-</v>
      </c>
      <c r="CC171" s="50" t="str">
        <f t="shared" si="71"/>
        <v>-</v>
      </c>
      <c r="CE171" s="342" t="str">
        <f t="shared" si="72"/>
        <v>SOOKE RIVER_Sockeye</v>
      </c>
      <c r="CF171" s="341" t="str">
        <f>IFERROR(VLOOKUP(BY171,'RawPL+D'!$O$8:$AB$503,12,FALSE),"-")</f>
        <v>-</v>
      </c>
      <c r="CG171" s="338" t="str">
        <f t="shared" si="73"/>
        <v>-</v>
      </c>
      <c r="CH171" s="341" t="str">
        <f>IFERROR(VLOOKUP(BY171,'RawPL+D'!$O$8:$AB$503,13,FALSE),"-")</f>
        <v>-</v>
      </c>
      <c r="CI171" s="338" t="str">
        <f t="shared" si="74"/>
        <v>-</v>
      </c>
    </row>
    <row r="172" spans="1:87" ht="12.75" hidden="1" customHeight="1" x14ac:dyDescent="0.2">
      <c r="A172" s="28">
        <v>4</v>
      </c>
      <c r="B172" s="28">
        <v>2</v>
      </c>
      <c r="C172" s="11">
        <v>20</v>
      </c>
      <c r="D172" s="13" t="s">
        <v>303</v>
      </c>
      <c r="E172" s="10" t="s">
        <v>75</v>
      </c>
      <c r="F172" s="10" t="s">
        <v>219</v>
      </c>
      <c r="G172" s="10"/>
      <c r="H172" s="10"/>
      <c r="I172" s="10"/>
      <c r="J172" s="10"/>
      <c r="K172" s="575"/>
      <c r="L172" s="152"/>
      <c r="M172" s="164"/>
      <c r="N172" s="62"/>
      <c r="O172" s="62"/>
      <c r="P172" s="64"/>
      <c r="Q172" s="164"/>
      <c r="R172" s="62"/>
      <c r="S172" s="62"/>
      <c r="T172" s="62"/>
      <c r="U172" s="64"/>
      <c r="V172" s="164"/>
      <c r="W172" s="62"/>
      <c r="X172" s="62"/>
      <c r="Y172" s="62"/>
      <c r="Z172" s="64"/>
      <c r="AA172" s="164"/>
      <c r="AB172" s="62"/>
      <c r="AC172" s="62"/>
      <c r="AD172" s="64"/>
      <c r="AE172" s="164"/>
      <c r="AF172" s="62"/>
      <c r="AG172" s="62"/>
      <c r="AH172" s="337"/>
      <c r="AI172" s="337"/>
      <c r="AJ172" s="337"/>
      <c r="AK172" s="337"/>
      <c r="AL172" s="412"/>
      <c r="AM172" s="414"/>
      <c r="AN172" s="45"/>
      <c r="AO172" s="45"/>
      <c r="AP172" s="45"/>
      <c r="AQ172" s="100"/>
      <c r="AR172"/>
      <c r="AS172" s="100"/>
      <c r="AT172" s="100"/>
      <c r="AU172" s="100"/>
      <c r="AV172" s="100"/>
      <c r="AW172" s="18">
        <v>20</v>
      </c>
      <c r="AX172" s="69" t="s">
        <v>303</v>
      </c>
      <c r="AY172" s="243" t="s">
        <v>75</v>
      </c>
      <c r="AZ172" s="243" t="str">
        <f t="shared" si="53"/>
        <v>Coho</v>
      </c>
      <c r="BA172" s="243" t="s">
        <v>419</v>
      </c>
      <c r="BB172" s="246"/>
      <c r="BC172" s="43" t="str">
        <f t="shared" si="54"/>
        <v>-</v>
      </c>
      <c r="BD172" s="43">
        <f t="shared" si="55"/>
        <v>0</v>
      </c>
      <c r="BE172" s="193">
        <f t="shared" si="56"/>
        <v>0</v>
      </c>
      <c r="BF172" s="193">
        <f t="shared" si="57"/>
        <v>0</v>
      </c>
      <c r="BG172" s="193">
        <f t="shared" si="58"/>
        <v>0</v>
      </c>
      <c r="BH172" s="307" t="str">
        <f t="shared" si="59"/>
        <v>-</v>
      </c>
      <c r="BI172" s="265" t="str">
        <f t="shared" si="75"/>
        <v>-</v>
      </c>
      <c r="BJ172" s="26" t="str">
        <f t="shared" si="60"/>
        <v>SOOKE RIVERCoho</v>
      </c>
      <c r="BK172" s="26">
        <f t="shared" si="61"/>
        <v>0</v>
      </c>
      <c r="BL172" s="33">
        <f t="shared" si="76"/>
        <v>0</v>
      </c>
      <c r="BQ172" s="47" t="str">
        <f t="shared" si="62"/>
        <v>SOOKE RIVERCoho</v>
      </c>
      <c r="BR172" s="49">
        <f t="shared" si="63"/>
        <v>0</v>
      </c>
      <c r="BS172" s="49">
        <f t="shared" si="64"/>
        <v>0</v>
      </c>
      <c r="BT172" s="31">
        <v>0</v>
      </c>
      <c r="BU172" s="188">
        <f t="shared" si="65"/>
        <v>0</v>
      </c>
      <c r="BV172" s="188" t="str">
        <f t="shared" si="66"/>
        <v xml:space="preserve"> </v>
      </c>
      <c r="BW172" s="188" t="str">
        <f t="shared" si="67"/>
        <v xml:space="preserve"> </v>
      </c>
      <c r="BX172" s="188" t="str">
        <f t="shared" si="68"/>
        <v xml:space="preserve"> </v>
      </c>
      <c r="BY172" s="50" t="str">
        <f t="shared" si="69"/>
        <v>SOOKE RIVER_Coho</v>
      </c>
      <c r="BZ172" s="50" t="str">
        <f>IFERROR(VLOOKUP(BY172,'[1]WCVI Esc'!$C$5:$W$555,18,FALSE),"-")</f>
        <v>-</v>
      </c>
      <c r="CA172" s="50" t="str">
        <f t="shared" si="70"/>
        <v>-</v>
      </c>
      <c r="CB172" s="50" t="str">
        <f>IFERROR(VLOOKUP(BY172,'[1]WCVI Esc'!$C$5:$W$555,19,FALSE),"-")</f>
        <v>-</v>
      </c>
      <c r="CC172" s="50" t="str">
        <f t="shared" si="71"/>
        <v>-</v>
      </c>
      <c r="CE172" s="342" t="str">
        <f t="shared" si="72"/>
        <v>SOOKE RIVER_Coho</v>
      </c>
      <c r="CF172" s="341" t="str">
        <f>IFERROR(VLOOKUP(BY172,'RawPL+D'!$O$8:$AB$503,12,FALSE),"-")</f>
        <v>-</v>
      </c>
      <c r="CG172" s="338" t="str">
        <f t="shared" si="73"/>
        <v>-</v>
      </c>
      <c r="CH172" s="341" t="str">
        <f>IFERROR(VLOOKUP(BY172,'RawPL+D'!$O$8:$AB$503,13,FALSE),"-")</f>
        <v>-</v>
      </c>
      <c r="CI172" s="338" t="str">
        <f t="shared" si="74"/>
        <v>-</v>
      </c>
    </row>
    <row r="173" spans="1:87" ht="12.75" hidden="1" customHeight="1" x14ac:dyDescent="0.2">
      <c r="A173" s="28">
        <v>4</v>
      </c>
      <c r="B173" s="28">
        <v>3</v>
      </c>
      <c r="C173" s="11">
        <v>20</v>
      </c>
      <c r="D173" s="13" t="s">
        <v>303</v>
      </c>
      <c r="E173" s="10" t="s">
        <v>75</v>
      </c>
      <c r="F173" s="10" t="s">
        <v>208</v>
      </c>
      <c r="G173" s="10"/>
      <c r="H173" s="10"/>
      <c r="I173" s="10"/>
      <c r="J173" s="10"/>
      <c r="K173" s="575"/>
      <c r="L173" s="152"/>
      <c r="M173" s="164"/>
      <c r="N173" s="62"/>
      <c r="O173" s="62"/>
      <c r="P173" s="64"/>
      <c r="Q173" s="164"/>
      <c r="R173" s="62"/>
      <c r="S173" s="62"/>
      <c r="T173" s="62"/>
      <c r="U173" s="64"/>
      <c r="V173" s="164"/>
      <c r="W173" s="62"/>
      <c r="X173" s="62"/>
      <c r="Y173" s="62"/>
      <c r="Z173" s="64"/>
      <c r="AA173" s="164"/>
      <c r="AB173" s="62"/>
      <c r="AC173" s="62"/>
      <c r="AD173" s="64"/>
      <c r="AE173" s="164"/>
      <c r="AF173" s="62"/>
      <c r="AG173" s="62"/>
      <c r="AH173" s="337"/>
      <c r="AI173" s="337"/>
      <c r="AJ173" s="337"/>
      <c r="AK173" s="337"/>
      <c r="AL173" s="412"/>
      <c r="AM173" s="414"/>
      <c r="AN173" s="45"/>
      <c r="AO173" s="45"/>
      <c r="AP173" s="45"/>
      <c r="AQ173" s="396"/>
      <c r="AR173"/>
      <c r="AS173" s="100"/>
      <c r="AT173" s="100"/>
      <c r="AU173" s="100"/>
      <c r="AV173" s="100"/>
      <c r="AW173" s="18">
        <v>20</v>
      </c>
      <c r="AX173" s="69" t="s">
        <v>303</v>
      </c>
      <c r="AY173" s="243" t="s">
        <v>75</v>
      </c>
      <c r="AZ173" s="243" t="str">
        <f t="shared" si="53"/>
        <v>Pink</v>
      </c>
      <c r="BA173" s="243" t="s">
        <v>419</v>
      </c>
      <c r="BB173" s="246"/>
      <c r="BC173" s="43" t="str">
        <f t="shared" si="54"/>
        <v>-</v>
      </c>
      <c r="BD173" s="43">
        <f t="shared" si="55"/>
        <v>0</v>
      </c>
      <c r="BE173" s="193">
        <f t="shared" si="56"/>
        <v>0</v>
      </c>
      <c r="BF173" s="193">
        <f t="shared" si="57"/>
        <v>0</v>
      </c>
      <c r="BG173" s="193">
        <f t="shared" si="58"/>
        <v>0</v>
      </c>
      <c r="BH173" s="307" t="str">
        <f t="shared" si="59"/>
        <v>-</v>
      </c>
      <c r="BI173" s="265" t="str">
        <f t="shared" si="75"/>
        <v>-</v>
      </c>
      <c r="BJ173" s="26" t="str">
        <f t="shared" si="60"/>
        <v>SOOKE RIVERPink</v>
      </c>
      <c r="BK173" s="26">
        <f t="shared" si="61"/>
        <v>0</v>
      </c>
      <c r="BL173" s="33">
        <f t="shared" si="76"/>
        <v>0</v>
      </c>
      <c r="BQ173" s="47" t="str">
        <f t="shared" si="62"/>
        <v>SOOKE RIVERPink</v>
      </c>
      <c r="BR173" s="49">
        <f t="shared" si="63"/>
        <v>0</v>
      </c>
      <c r="BS173" s="49">
        <f t="shared" si="64"/>
        <v>0</v>
      </c>
      <c r="BT173" s="31">
        <v>0</v>
      </c>
      <c r="BU173" s="188">
        <f t="shared" si="65"/>
        <v>0</v>
      </c>
      <c r="BV173" s="188" t="str">
        <f t="shared" si="66"/>
        <v xml:space="preserve"> </v>
      </c>
      <c r="BW173" s="188" t="str">
        <f t="shared" si="67"/>
        <v xml:space="preserve"> </v>
      </c>
      <c r="BX173" s="188" t="str">
        <f t="shared" si="68"/>
        <v xml:space="preserve"> </v>
      </c>
      <c r="BY173" s="50" t="str">
        <f t="shared" si="69"/>
        <v>SOOKE RIVER_Pink</v>
      </c>
      <c r="BZ173" s="50" t="str">
        <f>IFERROR(VLOOKUP(BY173,'[1]WCVI Esc'!$C$5:$W$555,18,FALSE),"-")</f>
        <v>-</v>
      </c>
      <c r="CA173" s="50" t="str">
        <f t="shared" si="70"/>
        <v>-</v>
      </c>
      <c r="CB173" s="50" t="str">
        <f>IFERROR(VLOOKUP(BY173,'[1]WCVI Esc'!$C$5:$W$555,19,FALSE),"-")</f>
        <v>-</v>
      </c>
      <c r="CC173" s="50" t="str">
        <f t="shared" si="71"/>
        <v>-</v>
      </c>
      <c r="CE173" s="342" t="str">
        <f t="shared" si="72"/>
        <v>SOOKE RIVER_Pink</v>
      </c>
      <c r="CF173" s="341" t="str">
        <f>IFERROR(VLOOKUP(BY173,'RawPL+D'!$O$8:$AB$503,12,FALSE),"-")</f>
        <v>-</v>
      </c>
      <c r="CG173" s="338" t="str">
        <f t="shared" si="73"/>
        <v>-</v>
      </c>
      <c r="CH173" s="341" t="str">
        <f>IFERROR(VLOOKUP(BY173,'RawPL+D'!$O$8:$AB$503,13,FALSE),"-")</f>
        <v>-</v>
      </c>
      <c r="CI173" s="338" t="str">
        <f t="shared" si="74"/>
        <v>-</v>
      </c>
    </row>
    <row r="174" spans="1:87" ht="12.75" hidden="1" customHeight="1" x14ac:dyDescent="0.2">
      <c r="A174" s="28">
        <v>4</v>
      </c>
      <c r="B174" s="28">
        <v>4</v>
      </c>
      <c r="C174" s="11">
        <v>20</v>
      </c>
      <c r="D174" s="147" t="s">
        <v>303</v>
      </c>
      <c r="E174" s="10" t="s">
        <v>75</v>
      </c>
      <c r="F174" s="10" t="s">
        <v>209</v>
      </c>
      <c r="G174" s="10"/>
      <c r="H174" s="10"/>
      <c r="I174" s="10"/>
      <c r="J174" s="10"/>
      <c r="K174" s="575"/>
      <c r="L174" s="152"/>
      <c r="M174" s="164"/>
      <c r="N174" s="62"/>
      <c r="O174" s="62"/>
      <c r="P174" s="64"/>
      <c r="Q174" s="164"/>
      <c r="R174" s="62"/>
      <c r="S174" s="62"/>
      <c r="T174" s="62"/>
      <c r="U174" s="64"/>
      <c r="V174" s="164"/>
      <c r="W174" s="62"/>
      <c r="X174" s="62"/>
      <c r="Y174" s="62"/>
      <c r="Z174" s="64"/>
      <c r="AA174" s="164"/>
      <c r="AB174" s="62"/>
      <c r="AC174" s="62"/>
      <c r="AD174" s="64"/>
      <c r="AE174" s="164"/>
      <c r="AF174" s="62"/>
      <c r="AG174" s="62"/>
      <c r="AH174" s="337"/>
      <c r="AI174" s="337"/>
      <c r="AJ174" s="337"/>
      <c r="AK174" s="337"/>
      <c r="AL174" s="412"/>
      <c r="AM174" s="414"/>
      <c r="AN174" s="45"/>
      <c r="AO174" s="45"/>
      <c r="AP174" s="45"/>
      <c r="AQ174" s="100"/>
      <c r="AR174"/>
      <c r="AS174" s="100"/>
      <c r="AT174" s="100"/>
      <c r="AU174" s="100"/>
      <c r="AV174" s="100"/>
      <c r="AW174" s="18">
        <v>20</v>
      </c>
      <c r="AX174" s="69" t="s">
        <v>303</v>
      </c>
      <c r="AY174" s="243" t="s">
        <v>75</v>
      </c>
      <c r="AZ174" s="243" t="str">
        <f t="shared" si="53"/>
        <v>Chum</v>
      </c>
      <c r="BA174" s="243" t="s">
        <v>419</v>
      </c>
      <c r="BB174" s="246"/>
      <c r="BC174" s="43" t="str">
        <f t="shared" si="54"/>
        <v>-</v>
      </c>
      <c r="BD174" s="43">
        <f t="shared" si="55"/>
        <v>0</v>
      </c>
      <c r="BE174" s="193">
        <f t="shared" si="56"/>
        <v>0</v>
      </c>
      <c r="BF174" s="193">
        <f t="shared" si="57"/>
        <v>0</v>
      </c>
      <c r="BG174" s="193">
        <f t="shared" si="58"/>
        <v>0</v>
      </c>
      <c r="BH174" s="307" t="str">
        <f t="shared" si="59"/>
        <v>-</v>
      </c>
      <c r="BI174" s="265" t="str">
        <f t="shared" si="75"/>
        <v>-</v>
      </c>
      <c r="BJ174" s="26" t="str">
        <f t="shared" si="60"/>
        <v>SOOKE RIVERChum</v>
      </c>
      <c r="BK174" s="26">
        <f t="shared" si="61"/>
        <v>0</v>
      </c>
      <c r="BL174" s="33">
        <f t="shared" si="76"/>
        <v>0</v>
      </c>
      <c r="BQ174" s="47" t="str">
        <f t="shared" si="62"/>
        <v>SOOKE RIVERChum</v>
      </c>
      <c r="BR174" s="49">
        <f t="shared" si="63"/>
        <v>0</v>
      </c>
      <c r="BS174" s="49">
        <f t="shared" si="64"/>
        <v>0</v>
      </c>
      <c r="BT174" s="31">
        <v>0</v>
      </c>
      <c r="BU174" s="188">
        <f t="shared" si="65"/>
        <v>0</v>
      </c>
      <c r="BV174" s="188" t="str">
        <f t="shared" si="66"/>
        <v xml:space="preserve"> </v>
      </c>
      <c r="BW174" s="188" t="str">
        <f t="shared" si="67"/>
        <v xml:space="preserve"> </v>
      </c>
      <c r="BX174" s="188" t="str">
        <f t="shared" si="68"/>
        <v xml:space="preserve"> </v>
      </c>
      <c r="BY174" s="50" t="str">
        <f t="shared" si="69"/>
        <v>SOOKE RIVER_Chum</v>
      </c>
      <c r="BZ174" s="50" t="str">
        <f>IFERROR(VLOOKUP(BY174,'[1]WCVI Esc'!$C$5:$W$555,18,FALSE),"-")</f>
        <v>-</v>
      </c>
      <c r="CA174" s="50" t="str">
        <f t="shared" si="70"/>
        <v>-</v>
      </c>
      <c r="CB174" s="50" t="str">
        <f>IFERROR(VLOOKUP(BY174,'[1]WCVI Esc'!$C$5:$W$555,19,FALSE),"-")</f>
        <v>-</v>
      </c>
      <c r="CC174" s="50" t="str">
        <f t="shared" si="71"/>
        <v>-</v>
      </c>
      <c r="CE174" s="342" t="str">
        <f t="shared" si="72"/>
        <v>SOOKE RIVER_Chum</v>
      </c>
      <c r="CF174" s="341" t="str">
        <f>IFERROR(VLOOKUP(BY174,'RawPL+D'!$O$8:$AB$503,12,FALSE),"-")</f>
        <v>-</v>
      </c>
      <c r="CG174" s="338" t="str">
        <f t="shared" si="73"/>
        <v>-</v>
      </c>
      <c r="CH174" s="341" t="str">
        <f>IFERROR(VLOOKUP(BY174,'RawPL+D'!$O$8:$AB$503,13,FALSE),"-")</f>
        <v>-</v>
      </c>
      <c r="CI174" s="338" t="str">
        <f t="shared" si="74"/>
        <v>-</v>
      </c>
    </row>
    <row r="175" spans="1:87" ht="12.75" hidden="1" customHeight="1" x14ac:dyDescent="0.2">
      <c r="A175" s="28">
        <v>4</v>
      </c>
      <c r="B175" s="28">
        <v>5</v>
      </c>
      <c r="C175" s="11">
        <v>20</v>
      </c>
      <c r="D175" s="147" t="s">
        <v>303</v>
      </c>
      <c r="E175" s="10" t="s">
        <v>75</v>
      </c>
      <c r="F175" s="10" t="s">
        <v>210</v>
      </c>
      <c r="G175" s="10"/>
      <c r="H175" s="10"/>
      <c r="I175" s="10"/>
      <c r="J175" s="10"/>
      <c r="K175" s="575"/>
      <c r="L175" s="152"/>
      <c r="M175" s="164"/>
      <c r="N175" s="62"/>
      <c r="O175" s="62"/>
      <c r="P175" s="64"/>
      <c r="Q175" s="164"/>
      <c r="R175" s="62"/>
      <c r="S175" s="62"/>
      <c r="T175" s="62"/>
      <c r="U175" s="64"/>
      <c r="V175" s="164"/>
      <c r="W175" s="62"/>
      <c r="X175" s="62"/>
      <c r="Y175" s="62"/>
      <c r="Z175" s="64"/>
      <c r="AA175" s="164"/>
      <c r="AB175" s="62"/>
      <c r="AC175" s="62"/>
      <c r="AD175" s="64"/>
      <c r="AE175" s="164"/>
      <c r="AF175" s="62"/>
      <c r="AG175" s="62"/>
      <c r="AH175" s="337"/>
      <c r="AI175" s="337"/>
      <c r="AJ175" s="337"/>
      <c r="AK175" s="337"/>
      <c r="AL175" s="412"/>
      <c r="AM175" s="414"/>
      <c r="AN175" s="45"/>
      <c r="AO175" s="45"/>
      <c r="AP175" s="45"/>
      <c r="AQ175" s="396"/>
      <c r="AR175"/>
      <c r="AS175" s="100"/>
      <c r="AT175" s="100"/>
      <c r="AU175" s="100"/>
      <c r="AV175" s="100"/>
      <c r="AW175" s="18">
        <v>20</v>
      </c>
      <c r="AX175" s="69" t="s">
        <v>303</v>
      </c>
      <c r="AY175" s="243" t="s">
        <v>75</v>
      </c>
      <c r="AZ175" s="243" t="str">
        <f t="shared" si="53"/>
        <v>Chinook</v>
      </c>
      <c r="BA175" s="243" t="s">
        <v>419</v>
      </c>
      <c r="BB175" s="246"/>
      <c r="BC175" s="43" t="str">
        <f t="shared" si="54"/>
        <v>-</v>
      </c>
      <c r="BD175" s="43">
        <f t="shared" si="55"/>
        <v>0</v>
      </c>
      <c r="BE175" s="193">
        <f t="shared" si="56"/>
        <v>0</v>
      </c>
      <c r="BF175" s="193">
        <f t="shared" si="57"/>
        <v>0</v>
      </c>
      <c r="BG175" s="193">
        <f t="shared" si="58"/>
        <v>0</v>
      </c>
      <c r="BH175" s="307" t="str">
        <f t="shared" si="59"/>
        <v>-</v>
      </c>
      <c r="BI175" s="265" t="str">
        <f t="shared" si="75"/>
        <v>-</v>
      </c>
      <c r="BJ175" s="26" t="str">
        <f t="shared" si="60"/>
        <v>SOOKE RIVERChinook</v>
      </c>
      <c r="BK175" s="26">
        <f t="shared" si="61"/>
        <v>0</v>
      </c>
      <c r="BL175" s="33">
        <f t="shared" si="76"/>
        <v>0</v>
      </c>
      <c r="BQ175" s="47" t="str">
        <f t="shared" si="62"/>
        <v>SOOKE RIVERChinook</v>
      </c>
      <c r="BR175" s="49">
        <f t="shared" si="63"/>
        <v>0</v>
      </c>
      <c r="BS175" s="49">
        <f t="shared" si="64"/>
        <v>0</v>
      </c>
      <c r="BT175" s="31">
        <v>0</v>
      </c>
      <c r="BU175" s="188">
        <f t="shared" si="65"/>
        <v>0</v>
      </c>
      <c r="BV175" s="188" t="str">
        <f t="shared" si="66"/>
        <v xml:space="preserve"> </v>
      </c>
      <c r="BW175" s="188" t="str">
        <f t="shared" si="67"/>
        <v xml:space="preserve"> </v>
      </c>
      <c r="BX175" s="188" t="str">
        <f t="shared" si="68"/>
        <v xml:space="preserve"> </v>
      </c>
      <c r="BY175" s="50" t="str">
        <f t="shared" si="69"/>
        <v>SOOKE RIVER_Chinook</v>
      </c>
      <c r="BZ175" s="50" t="str">
        <f>IFERROR(VLOOKUP(BY175,'[1]WCVI Esc'!$C$5:$W$555,18,FALSE),"-")</f>
        <v>-</v>
      </c>
      <c r="CA175" s="50" t="str">
        <f t="shared" si="70"/>
        <v>-</v>
      </c>
      <c r="CB175" s="50" t="str">
        <f>IFERROR(VLOOKUP(BY175,'[1]WCVI Esc'!$C$5:$W$555,19,FALSE),"-")</f>
        <v>-</v>
      </c>
      <c r="CC175" s="50" t="str">
        <f t="shared" si="71"/>
        <v>-</v>
      </c>
      <c r="CE175" s="342" t="str">
        <f t="shared" si="72"/>
        <v>SOOKE RIVER_Chinook</v>
      </c>
      <c r="CF175" s="341" t="str">
        <f>IFERROR(VLOOKUP(BY175,'RawPL+D'!$O$8:$AB$503,12,FALSE),"-")</f>
        <v>-</v>
      </c>
      <c r="CG175" s="338" t="str">
        <f t="shared" si="73"/>
        <v>-</v>
      </c>
      <c r="CH175" s="341" t="str">
        <f>IFERROR(VLOOKUP(BY175,'RawPL+D'!$O$8:$AB$503,13,FALSE),"-")</f>
        <v>-</v>
      </c>
      <c r="CI175" s="338" t="str">
        <f t="shared" si="74"/>
        <v>-</v>
      </c>
    </row>
    <row r="176" spans="1:87" ht="12.75" hidden="1" customHeight="1" x14ac:dyDescent="0.2">
      <c r="A176" s="28">
        <v>4</v>
      </c>
      <c r="B176" s="28">
        <v>6</v>
      </c>
      <c r="C176" s="11">
        <v>20</v>
      </c>
      <c r="D176" s="147" t="s">
        <v>303</v>
      </c>
      <c r="E176" s="10" t="s">
        <v>75</v>
      </c>
      <c r="F176" s="10" t="s">
        <v>211</v>
      </c>
      <c r="G176" s="10"/>
      <c r="H176" s="10"/>
      <c r="I176" s="10"/>
      <c r="J176" s="10"/>
      <c r="K176" s="575"/>
      <c r="L176" s="152"/>
      <c r="M176" s="164"/>
      <c r="N176" s="62"/>
      <c r="O176" s="62"/>
      <c r="P176" s="64"/>
      <c r="Q176" s="164"/>
      <c r="R176" s="62"/>
      <c r="S176" s="62"/>
      <c r="T176" s="62"/>
      <c r="U176" s="64"/>
      <c r="V176" s="164"/>
      <c r="W176" s="62"/>
      <c r="X176" s="62"/>
      <c r="Y176" s="62"/>
      <c r="Z176" s="64"/>
      <c r="AA176" s="164"/>
      <c r="AB176" s="62"/>
      <c r="AC176" s="62"/>
      <c r="AD176" s="64"/>
      <c r="AE176" s="164"/>
      <c r="AF176" s="62"/>
      <c r="AG176" s="62"/>
      <c r="AH176" s="337"/>
      <c r="AI176" s="337"/>
      <c r="AJ176" s="337"/>
      <c r="AK176" s="337"/>
      <c r="AL176" s="412"/>
      <c r="AM176" s="414"/>
      <c r="AN176" s="45"/>
      <c r="AO176" s="45"/>
      <c r="AP176" s="45"/>
      <c r="AQ176" s="396"/>
      <c r="AR176"/>
      <c r="AS176" s="100"/>
      <c r="AT176" s="100"/>
      <c r="AU176" s="100"/>
      <c r="AV176" s="100"/>
      <c r="AW176" s="18">
        <v>20</v>
      </c>
      <c r="AX176" s="69" t="s">
        <v>303</v>
      </c>
      <c r="AY176" s="243" t="s">
        <v>75</v>
      </c>
      <c r="AZ176" s="243" t="str">
        <f t="shared" si="53"/>
        <v>Steelhead</v>
      </c>
      <c r="BA176" s="243" t="s">
        <v>419</v>
      </c>
      <c r="BB176" s="246"/>
      <c r="BC176" s="43" t="str">
        <f t="shared" si="54"/>
        <v>-</v>
      </c>
      <c r="BD176" s="43">
        <f t="shared" si="55"/>
        <v>0</v>
      </c>
      <c r="BE176" s="193">
        <f t="shared" si="56"/>
        <v>0</v>
      </c>
      <c r="BF176" s="193">
        <f t="shared" si="57"/>
        <v>0</v>
      </c>
      <c r="BG176" s="193">
        <f t="shared" si="58"/>
        <v>0</v>
      </c>
      <c r="BH176" s="307" t="str">
        <f t="shared" si="59"/>
        <v>-</v>
      </c>
      <c r="BI176" s="265" t="str">
        <f t="shared" si="75"/>
        <v>-</v>
      </c>
      <c r="BJ176" s="26" t="str">
        <f t="shared" si="60"/>
        <v>SOOKE RIVERSteelhead</v>
      </c>
      <c r="BK176" s="26">
        <f t="shared" si="61"/>
        <v>0</v>
      </c>
      <c r="BL176" s="33">
        <f t="shared" si="76"/>
        <v>0</v>
      </c>
      <c r="BQ176" s="47" t="str">
        <f t="shared" si="62"/>
        <v>SOOKE RIVERSteelhead</v>
      </c>
      <c r="BR176" s="49">
        <f t="shared" si="63"/>
        <v>0</v>
      </c>
      <c r="BS176" s="49">
        <f t="shared" si="64"/>
        <v>0</v>
      </c>
      <c r="BT176" s="31">
        <v>0</v>
      </c>
      <c r="BU176" s="188">
        <f t="shared" si="65"/>
        <v>0</v>
      </c>
      <c r="BV176" s="188" t="str">
        <f t="shared" si="66"/>
        <v xml:space="preserve"> </v>
      </c>
      <c r="BW176" s="188" t="str">
        <f t="shared" si="67"/>
        <v xml:space="preserve"> </v>
      </c>
      <c r="BX176" s="188" t="str">
        <f t="shared" si="68"/>
        <v xml:space="preserve"> </v>
      </c>
      <c r="BY176" s="50" t="str">
        <f t="shared" si="69"/>
        <v>SOOKE RIVER_Steelhead</v>
      </c>
      <c r="BZ176" s="50" t="str">
        <f>IFERROR(VLOOKUP(BY176,'[1]WCVI Esc'!$C$5:$W$555,18,FALSE),"-")</f>
        <v>-</v>
      </c>
      <c r="CA176" s="50" t="str">
        <f t="shared" si="70"/>
        <v>-</v>
      </c>
      <c r="CB176" s="50" t="str">
        <f>IFERROR(VLOOKUP(BY176,'[1]WCVI Esc'!$C$5:$W$555,19,FALSE),"-")</f>
        <v>-</v>
      </c>
      <c r="CC176" s="50" t="str">
        <f t="shared" si="71"/>
        <v>-</v>
      </c>
      <c r="CE176" s="342" t="str">
        <f t="shared" si="72"/>
        <v>SOOKE RIVER_Steelhead</v>
      </c>
      <c r="CF176" s="341" t="str">
        <f>IFERROR(VLOOKUP(BY176,'RawPL+D'!$O$8:$AB$503,12,FALSE),"-")</f>
        <v>-</v>
      </c>
      <c r="CG176" s="338" t="str">
        <f t="shared" si="73"/>
        <v>-</v>
      </c>
      <c r="CH176" s="341" t="str">
        <f>IFERROR(VLOOKUP(BY176,'RawPL+D'!$O$8:$AB$503,13,FALSE),"-")</f>
        <v>-</v>
      </c>
      <c r="CI176" s="338" t="str">
        <f t="shared" si="74"/>
        <v>-</v>
      </c>
    </row>
    <row r="177" spans="1:87" ht="12.75" hidden="1" customHeight="1" x14ac:dyDescent="0.2">
      <c r="A177" s="28">
        <v>4</v>
      </c>
      <c r="B177" s="28">
        <v>1</v>
      </c>
      <c r="C177" s="11">
        <v>20</v>
      </c>
      <c r="D177" s="147" t="s">
        <v>303</v>
      </c>
      <c r="E177" s="10" t="s">
        <v>23</v>
      </c>
      <c r="F177" s="10" t="s">
        <v>207</v>
      </c>
      <c r="G177" s="10"/>
      <c r="H177" s="10"/>
      <c r="I177" s="10"/>
      <c r="J177" s="10"/>
      <c r="K177" s="575"/>
      <c r="L177" s="152"/>
      <c r="M177" s="164"/>
      <c r="N177" s="62"/>
      <c r="O177" s="62"/>
      <c r="P177" s="64"/>
      <c r="Q177" s="164"/>
      <c r="R177" s="62"/>
      <c r="S177" s="62"/>
      <c r="T177" s="62"/>
      <c r="U177" s="62"/>
      <c r="V177" s="164"/>
      <c r="W177" s="62"/>
      <c r="X177" s="62"/>
      <c r="Y177" s="62"/>
      <c r="Z177" s="64"/>
      <c r="AA177" s="164"/>
      <c r="AB177" s="62"/>
      <c r="AC177" s="62"/>
      <c r="AD177" s="64"/>
      <c r="AE177" s="164"/>
      <c r="AF177" s="62"/>
      <c r="AG177" s="62"/>
      <c r="AH177" s="337"/>
      <c r="AI177" s="337"/>
      <c r="AJ177" s="337"/>
      <c r="AK177" s="337"/>
      <c r="AL177" s="412"/>
      <c r="AM177" s="414"/>
      <c r="AN177" s="45"/>
      <c r="AO177" s="45"/>
      <c r="AP177" s="45"/>
      <c r="AQ177" s="396"/>
      <c r="AR177"/>
      <c r="AS177" s="100"/>
      <c r="AT177" s="100"/>
      <c r="AU177" s="100"/>
      <c r="AV177" s="100"/>
      <c r="AW177" s="18">
        <v>20</v>
      </c>
      <c r="AX177" s="69" t="s">
        <v>303</v>
      </c>
      <c r="AY177" s="243" t="s">
        <v>23</v>
      </c>
      <c r="AZ177" s="243" t="str">
        <f t="shared" si="53"/>
        <v>Sockeye</v>
      </c>
      <c r="BA177" s="243" t="s">
        <v>419</v>
      </c>
      <c r="BB177" s="246"/>
      <c r="BC177" s="43" t="str">
        <f t="shared" si="54"/>
        <v>-</v>
      </c>
      <c r="BD177" s="43">
        <f t="shared" si="55"/>
        <v>0</v>
      </c>
      <c r="BE177" s="193">
        <f t="shared" si="56"/>
        <v>0</v>
      </c>
      <c r="BF177" s="193">
        <f t="shared" si="57"/>
        <v>0</v>
      </c>
      <c r="BG177" s="193">
        <f t="shared" si="58"/>
        <v>0</v>
      </c>
      <c r="BH177" s="307" t="str">
        <f t="shared" si="59"/>
        <v>-</v>
      </c>
      <c r="BI177" s="265" t="str">
        <f t="shared" si="75"/>
        <v>-</v>
      </c>
      <c r="BJ177" s="26" t="str">
        <f t="shared" si="60"/>
        <v>TUGWELL CREEKSockeye</v>
      </c>
      <c r="BK177" s="26">
        <f t="shared" si="61"/>
        <v>0</v>
      </c>
      <c r="BL177" s="33">
        <f t="shared" si="76"/>
        <v>0</v>
      </c>
      <c r="BQ177" s="47" t="str">
        <f t="shared" si="62"/>
        <v>TUGWELL CREEKSockeye</v>
      </c>
      <c r="BR177" s="49">
        <f t="shared" si="63"/>
        <v>0</v>
      </c>
      <c r="BS177" s="49">
        <f t="shared" si="64"/>
        <v>0</v>
      </c>
      <c r="BT177" s="31">
        <v>0</v>
      </c>
      <c r="BU177" s="188">
        <f t="shared" si="65"/>
        <v>0</v>
      </c>
      <c r="BV177" s="188" t="str">
        <f t="shared" si="66"/>
        <v xml:space="preserve"> </v>
      </c>
      <c r="BW177" s="188" t="str">
        <f t="shared" si="67"/>
        <v xml:space="preserve"> </v>
      </c>
      <c r="BX177" s="188" t="str">
        <f t="shared" si="68"/>
        <v xml:space="preserve"> </v>
      </c>
      <c r="BY177" s="50" t="str">
        <f t="shared" si="69"/>
        <v>TUGWELL CREEK_Sockeye</v>
      </c>
      <c r="BZ177" s="50" t="str">
        <f>IFERROR(VLOOKUP(BY177,'[1]WCVI Esc'!$C$5:$W$555,18,FALSE),"-")</f>
        <v>-</v>
      </c>
      <c r="CA177" s="50" t="str">
        <f t="shared" si="70"/>
        <v>-</v>
      </c>
      <c r="CB177" s="50" t="str">
        <f>IFERROR(VLOOKUP(BY177,'[1]WCVI Esc'!$C$5:$W$555,19,FALSE),"-")</f>
        <v>-</v>
      </c>
      <c r="CC177" s="50" t="str">
        <f t="shared" si="71"/>
        <v>-</v>
      </c>
      <c r="CE177" s="342" t="str">
        <f t="shared" si="72"/>
        <v>TUGWELL CREEK_Sockeye</v>
      </c>
      <c r="CF177" s="341" t="str">
        <f>IFERROR(VLOOKUP(BY177,'RawPL+D'!$O$8:$AB$503,12,FALSE),"-")</f>
        <v>-</v>
      </c>
      <c r="CG177" s="338" t="str">
        <f t="shared" si="73"/>
        <v>-</v>
      </c>
      <c r="CH177" s="341" t="str">
        <f>IFERROR(VLOOKUP(BY177,'RawPL+D'!$O$8:$AB$503,13,FALSE),"-")</f>
        <v>-</v>
      </c>
      <c r="CI177" s="338" t="str">
        <f t="shared" si="74"/>
        <v>-</v>
      </c>
    </row>
    <row r="178" spans="1:87" ht="12.75" hidden="1" customHeight="1" x14ac:dyDescent="0.2">
      <c r="A178" s="28">
        <v>4</v>
      </c>
      <c r="B178" s="28">
        <v>2</v>
      </c>
      <c r="C178" s="11">
        <v>20</v>
      </c>
      <c r="D178" s="147" t="s">
        <v>303</v>
      </c>
      <c r="E178" s="10" t="s">
        <v>23</v>
      </c>
      <c r="F178" s="10" t="s">
        <v>219</v>
      </c>
      <c r="G178" s="10"/>
      <c r="H178" s="10"/>
      <c r="I178" s="10"/>
      <c r="J178" s="10"/>
      <c r="K178" s="575"/>
      <c r="L178" s="152"/>
      <c r="M178" s="164"/>
      <c r="N178" s="62"/>
      <c r="O178" s="62"/>
      <c r="P178" s="64"/>
      <c r="Q178" s="164"/>
      <c r="R178" s="62"/>
      <c r="S178" s="62"/>
      <c r="T178" s="62"/>
      <c r="U178" s="62"/>
      <c r="V178" s="164"/>
      <c r="W178" s="62"/>
      <c r="X178" s="62"/>
      <c r="Y178" s="62"/>
      <c r="Z178" s="64"/>
      <c r="AA178" s="164"/>
      <c r="AB178" s="62"/>
      <c r="AC178" s="62"/>
      <c r="AD178" s="64"/>
      <c r="AE178" s="164"/>
      <c r="AF178" s="62"/>
      <c r="AG178" s="62"/>
      <c r="AH178" s="337"/>
      <c r="AI178" s="337"/>
      <c r="AJ178" s="337"/>
      <c r="AK178" s="337"/>
      <c r="AL178" s="412"/>
      <c r="AM178" s="414"/>
      <c r="AN178" s="45"/>
      <c r="AO178" s="45"/>
      <c r="AP178" s="45"/>
      <c r="AQ178" s="396"/>
      <c r="AR178"/>
      <c r="AS178" s="100"/>
      <c r="AT178" s="100"/>
      <c r="AU178" s="100"/>
      <c r="AV178" s="100"/>
      <c r="AW178" s="18">
        <v>20</v>
      </c>
      <c r="AX178" s="69" t="s">
        <v>303</v>
      </c>
      <c r="AY178" s="243" t="s">
        <v>23</v>
      </c>
      <c r="AZ178" s="243" t="str">
        <f t="shared" si="53"/>
        <v>Coho</v>
      </c>
      <c r="BA178" s="243" t="s">
        <v>419</v>
      </c>
      <c r="BB178" s="246"/>
      <c r="BC178" s="43" t="str">
        <f t="shared" si="54"/>
        <v>-</v>
      </c>
      <c r="BD178" s="43">
        <f t="shared" si="55"/>
        <v>0</v>
      </c>
      <c r="BE178" s="193">
        <f t="shared" si="56"/>
        <v>0</v>
      </c>
      <c r="BF178" s="193">
        <f t="shared" si="57"/>
        <v>0</v>
      </c>
      <c r="BG178" s="193">
        <f t="shared" si="58"/>
        <v>0</v>
      </c>
      <c r="BH178" s="307" t="str">
        <f t="shared" si="59"/>
        <v>-</v>
      </c>
      <c r="BI178" s="265" t="str">
        <f t="shared" si="75"/>
        <v>-</v>
      </c>
      <c r="BJ178" s="26" t="str">
        <f t="shared" si="60"/>
        <v>TUGWELL CREEKCoho</v>
      </c>
      <c r="BK178" s="26">
        <f t="shared" si="61"/>
        <v>0</v>
      </c>
      <c r="BL178" s="33">
        <f t="shared" si="76"/>
        <v>0</v>
      </c>
      <c r="BQ178" s="47" t="str">
        <f t="shared" si="62"/>
        <v>TUGWELL CREEKCoho</v>
      </c>
      <c r="BR178" s="49">
        <f t="shared" si="63"/>
        <v>0</v>
      </c>
      <c r="BS178" s="49">
        <f t="shared" si="64"/>
        <v>0</v>
      </c>
      <c r="BT178" s="31">
        <v>0</v>
      </c>
      <c r="BU178" s="188">
        <f t="shared" si="65"/>
        <v>0</v>
      </c>
      <c r="BV178" s="188" t="str">
        <f t="shared" si="66"/>
        <v xml:space="preserve"> </v>
      </c>
      <c r="BW178" s="188" t="str">
        <f t="shared" si="67"/>
        <v xml:space="preserve"> </v>
      </c>
      <c r="BX178" s="188" t="str">
        <f t="shared" si="68"/>
        <v xml:space="preserve"> </v>
      </c>
      <c r="BY178" s="50" t="str">
        <f t="shared" si="69"/>
        <v>TUGWELL CREEK_Coho</v>
      </c>
      <c r="BZ178" s="50" t="str">
        <f>IFERROR(VLOOKUP(BY178,'[1]WCVI Esc'!$C$5:$W$555,18,FALSE),"-")</f>
        <v>-</v>
      </c>
      <c r="CA178" s="50" t="str">
        <f t="shared" si="70"/>
        <v>-</v>
      </c>
      <c r="CB178" s="50" t="str">
        <f>IFERROR(VLOOKUP(BY178,'[1]WCVI Esc'!$C$5:$W$555,19,FALSE),"-")</f>
        <v>-</v>
      </c>
      <c r="CC178" s="50" t="str">
        <f t="shared" si="71"/>
        <v>-</v>
      </c>
      <c r="CE178" s="342" t="str">
        <f t="shared" si="72"/>
        <v>TUGWELL CREEK_Coho</v>
      </c>
      <c r="CF178" s="341" t="str">
        <f>IFERROR(VLOOKUP(BY178,'RawPL+D'!$O$8:$AB$503,12,FALSE),"-")</f>
        <v>-</v>
      </c>
      <c r="CG178" s="338" t="str">
        <f t="shared" si="73"/>
        <v>-</v>
      </c>
      <c r="CH178" s="341" t="str">
        <f>IFERROR(VLOOKUP(BY178,'RawPL+D'!$O$8:$AB$503,13,FALSE),"-")</f>
        <v>-</v>
      </c>
      <c r="CI178" s="338" t="str">
        <f t="shared" si="74"/>
        <v>-</v>
      </c>
    </row>
    <row r="179" spans="1:87" ht="12.75" hidden="1" customHeight="1" x14ac:dyDescent="0.2">
      <c r="A179" s="28">
        <v>4</v>
      </c>
      <c r="B179" s="28">
        <v>3</v>
      </c>
      <c r="C179" s="11">
        <v>20</v>
      </c>
      <c r="D179" s="147" t="s">
        <v>303</v>
      </c>
      <c r="E179" s="10" t="s">
        <v>23</v>
      </c>
      <c r="F179" s="10" t="s">
        <v>208</v>
      </c>
      <c r="G179" s="10"/>
      <c r="H179" s="10"/>
      <c r="I179" s="10"/>
      <c r="J179" s="10"/>
      <c r="K179" s="575"/>
      <c r="L179" s="152"/>
      <c r="M179" s="164"/>
      <c r="N179" s="62"/>
      <c r="O179" s="62"/>
      <c r="P179" s="64"/>
      <c r="Q179" s="164"/>
      <c r="R179" s="62"/>
      <c r="S179" s="62"/>
      <c r="T179" s="62"/>
      <c r="U179" s="62"/>
      <c r="V179" s="164"/>
      <c r="W179" s="62"/>
      <c r="X179" s="62"/>
      <c r="Y179" s="62"/>
      <c r="Z179" s="64"/>
      <c r="AA179" s="164"/>
      <c r="AB179" s="62"/>
      <c r="AC179" s="62"/>
      <c r="AD179" s="64"/>
      <c r="AE179" s="164"/>
      <c r="AF179" s="62"/>
      <c r="AG179" s="62"/>
      <c r="AH179" s="337"/>
      <c r="AI179" s="337"/>
      <c r="AJ179" s="337"/>
      <c r="AK179" s="337"/>
      <c r="AL179" s="412"/>
      <c r="AM179" s="414"/>
      <c r="AN179" s="45"/>
      <c r="AO179" s="45"/>
      <c r="AP179" s="45"/>
      <c r="AQ179" s="396"/>
      <c r="AR179"/>
      <c r="AS179" s="100"/>
      <c r="AT179" s="100"/>
      <c r="AU179" s="100"/>
      <c r="AV179" s="100"/>
      <c r="AW179" s="18">
        <v>20</v>
      </c>
      <c r="AX179" s="69" t="s">
        <v>303</v>
      </c>
      <c r="AY179" s="243" t="s">
        <v>23</v>
      </c>
      <c r="AZ179" s="243" t="str">
        <f t="shared" si="53"/>
        <v>Pink</v>
      </c>
      <c r="BA179" s="243" t="s">
        <v>419</v>
      </c>
      <c r="BB179" s="246"/>
      <c r="BC179" s="43" t="str">
        <f t="shared" si="54"/>
        <v>-</v>
      </c>
      <c r="BD179" s="43">
        <f t="shared" si="55"/>
        <v>0</v>
      </c>
      <c r="BE179" s="193">
        <f t="shared" si="56"/>
        <v>0</v>
      </c>
      <c r="BF179" s="193">
        <f t="shared" si="57"/>
        <v>0</v>
      </c>
      <c r="BG179" s="193">
        <f t="shared" si="58"/>
        <v>0</v>
      </c>
      <c r="BH179" s="307" t="str">
        <f t="shared" si="59"/>
        <v>-</v>
      </c>
      <c r="BI179" s="265" t="str">
        <f t="shared" si="75"/>
        <v>-</v>
      </c>
      <c r="BJ179" s="26" t="str">
        <f t="shared" si="60"/>
        <v>TUGWELL CREEKPink</v>
      </c>
      <c r="BK179" s="26">
        <f t="shared" si="61"/>
        <v>0</v>
      </c>
      <c r="BL179" s="33">
        <f t="shared" si="76"/>
        <v>0</v>
      </c>
      <c r="BQ179" s="47" t="str">
        <f t="shared" si="62"/>
        <v>TUGWELL CREEKPink</v>
      </c>
      <c r="BR179" s="49">
        <f t="shared" si="63"/>
        <v>0</v>
      </c>
      <c r="BS179" s="49">
        <f t="shared" si="64"/>
        <v>0</v>
      </c>
      <c r="BT179" s="31">
        <v>0</v>
      </c>
      <c r="BU179" s="188">
        <f t="shared" si="65"/>
        <v>0</v>
      </c>
      <c r="BV179" s="188" t="str">
        <f t="shared" si="66"/>
        <v xml:space="preserve"> </v>
      </c>
      <c r="BW179" s="188" t="str">
        <f t="shared" si="67"/>
        <v xml:space="preserve"> </v>
      </c>
      <c r="BX179" s="188" t="str">
        <f t="shared" si="68"/>
        <v xml:space="preserve"> </v>
      </c>
      <c r="BY179" s="50" t="str">
        <f t="shared" si="69"/>
        <v>TUGWELL CREEK_Pink</v>
      </c>
      <c r="BZ179" s="50" t="str">
        <f>IFERROR(VLOOKUP(BY179,'[1]WCVI Esc'!$C$5:$W$555,18,FALSE),"-")</f>
        <v>-</v>
      </c>
      <c r="CA179" s="50" t="str">
        <f t="shared" si="70"/>
        <v>-</v>
      </c>
      <c r="CB179" s="50" t="str">
        <f>IFERROR(VLOOKUP(BY179,'[1]WCVI Esc'!$C$5:$W$555,19,FALSE),"-")</f>
        <v>-</v>
      </c>
      <c r="CC179" s="50" t="str">
        <f t="shared" si="71"/>
        <v>-</v>
      </c>
      <c r="CE179" s="342" t="str">
        <f t="shared" si="72"/>
        <v>TUGWELL CREEK_Pink</v>
      </c>
      <c r="CF179" s="341" t="str">
        <f>IFERROR(VLOOKUP(BY179,'RawPL+D'!$O$8:$AB$503,12,FALSE),"-")</f>
        <v>-</v>
      </c>
      <c r="CG179" s="338" t="str">
        <f t="shared" si="73"/>
        <v>-</v>
      </c>
      <c r="CH179" s="341" t="str">
        <f>IFERROR(VLOOKUP(BY179,'RawPL+D'!$O$8:$AB$503,13,FALSE),"-")</f>
        <v>-</v>
      </c>
      <c r="CI179" s="338" t="str">
        <f t="shared" si="74"/>
        <v>-</v>
      </c>
    </row>
    <row r="180" spans="1:87" ht="12.75" hidden="1" customHeight="1" x14ac:dyDescent="0.2">
      <c r="A180" s="28">
        <v>4</v>
      </c>
      <c r="B180" s="28">
        <v>4</v>
      </c>
      <c r="C180" s="11">
        <v>20</v>
      </c>
      <c r="D180" s="147" t="s">
        <v>303</v>
      </c>
      <c r="E180" s="10" t="s">
        <v>23</v>
      </c>
      <c r="F180" s="10" t="s">
        <v>209</v>
      </c>
      <c r="G180" s="10"/>
      <c r="H180" s="10"/>
      <c r="I180" s="10"/>
      <c r="J180" s="10"/>
      <c r="K180" s="575"/>
      <c r="L180" s="152"/>
      <c r="M180" s="164"/>
      <c r="N180" s="62"/>
      <c r="O180" s="62"/>
      <c r="P180" s="62"/>
      <c r="Q180" s="164"/>
      <c r="R180" s="62"/>
      <c r="S180" s="62"/>
      <c r="T180" s="62"/>
      <c r="U180" s="62"/>
      <c r="V180" s="164"/>
      <c r="W180" s="62"/>
      <c r="X180" s="62"/>
      <c r="Y180" s="62"/>
      <c r="Z180" s="64"/>
      <c r="AA180" s="164"/>
      <c r="AB180" s="62"/>
      <c r="AC180" s="62"/>
      <c r="AD180" s="64"/>
      <c r="AE180" s="164"/>
      <c r="AF180" s="62"/>
      <c r="AG180" s="62"/>
      <c r="AH180" s="337"/>
      <c r="AI180" s="337"/>
      <c r="AJ180" s="337"/>
      <c r="AK180" s="337"/>
      <c r="AL180" s="412"/>
      <c r="AM180" s="414"/>
      <c r="AN180" s="45"/>
      <c r="AO180" s="45"/>
      <c r="AP180" s="45"/>
      <c r="AQ180" s="485"/>
      <c r="AR180"/>
      <c r="AS180" s="100"/>
      <c r="AT180" s="100"/>
      <c r="AU180" s="100"/>
      <c r="AV180" s="100"/>
      <c r="AW180" s="18">
        <v>20</v>
      </c>
      <c r="AX180" s="69" t="s">
        <v>303</v>
      </c>
      <c r="AY180" s="243" t="s">
        <v>23</v>
      </c>
      <c r="AZ180" s="243" t="str">
        <f t="shared" si="53"/>
        <v>Chum</v>
      </c>
      <c r="BA180" s="243" t="s">
        <v>419</v>
      </c>
      <c r="BB180" s="246"/>
      <c r="BC180" s="43" t="str">
        <f t="shared" si="54"/>
        <v>-</v>
      </c>
      <c r="BD180" s="43">
        <f t="shared" si="55"/>
        <v>0</v>
      </c>
      <c r="BE180" s="193">
        <f t="shared" si="56"/>
        <v>0</v>
      </c>
      <c r="BF180" s="193">
        <f t="shared" si="57"/>
        <v>0</v>
      </c>
      <c r="BG180" s="193">
        <f t="shared" si="58"/>
        <v>0</v>
      </c>
      <c r="BH180" s="307" t="str">
        <f t="shared" si="59"/>
        <v>-</v>
      </c>
      <c r="BI180" s="265" t="str">
        <f t="shared" si="75"/>
        <v>-</v>
      </c>
      <c r="BJ180" s="26" t="str">
        <f t="shared" si="60"/>
        <v>TUGWELL CREEKChum</v>
      </c>
      <c r="BK180" s="26">
        <f t="shared" si="61"/>
        <v>0</v>
      </c>
      <c r="BL180" s="33">
        <f t="shared" si="76"/>
        <v>0</v>
      </c>
      <c r="BQ180" s="47" t="str">
        <f t="shared" si="62"/>
        <v>TUGWELL CREEKChum</v>
      </c>
      <c r="BR180" s="49">
        <f t="shared" si="63"/>
        <v>0</v>
      </c>
      <c r="BS180" s="49">
        <f t="shared" si="64"/>
        <v>0</v>
      </c>
      <c r="BT180" s="31">
        <v>0</v>
      </c>
      <c r="BU180" s="188">
        <f t="shared" si="65"/>
        <v>0</v>
      </c>
      <c r="BV180" s="188" t="str">
        <f t="shared" si="66"/>
        <v xml:space="preserve"> </v>
      </c>
      <c r="BW180" s="188" t="str">
        <f t="shared" si="67"/>
        <v xml:space="preserve"> </v>
      </c>
      <c r="BX180" s="188" t="str">
        <f t="shared" si="68"/>
        <v xml:space="preserve"> </v>
      </c>
      <c r="BY180" s="50" t="str">
        <f t="shared" si="69"/>
        <v>TUGWELL CREEK_Chum</v>
      </c>
      <c r="BZ180" s="50" t="str">
        <f>IFERROR(VLOOKUP(BY180,'[1]WCVI Esc'!$C$5:$W$555,18,FALSE),"-")</f>
        <v>-</v>
      </c>
      <c r="CA180" s="50" t="str">
        <f t="shared" si="70"/>
        <v>-</v>
      </c>
      <c r="CB180" s="50" t="str">
        <f>IFERROR(VLOOKUP(BY180,'[1]WCVI Esc'!$C$5:$W$555,19,FALSE),"-")</f>
        <v>-</v>
      </c>
      <c r="CC180" s="50" t="str">
        <f t="shared" si="71"/>
        <v>-</v>
      </c>
      <c r="CE180" s="342" t="str">
        <f t="shared" si="72"/>
        <v>TUGWELL CREEK_Chum</v>
      </c>
      <c r="CF180" s="341" t="str">
        <f>IFERROR(VLOOKUP(BY180,'RawPL+D'!$O$8:$AB$503,12,FALSE),"-")</f>
        <v>-</v>
      </c>
      <c r="CG180" s="338" t="str">
        <f t="shared" si="73"/>
        <v>-</v>
      </c>
      <c r="CH180" s="341" t="str">
        <f>IFERROR(VLOOKUP(BY180,'RawPL+D'!$O$8:$AB$503,13,FALSE),"-")</f>
        <v>-</v>
      </c>
      <c r="CI180" s="338" t="str">
        <f t="shared" si="74"/>
        <v>-</v>
      </c>
    </row>
    <row r="181" spans="1:87" ht="12.75" hidden="1" customHeight="1" x14ac:dyDescent="0.2">
      <c r="A181" s="28">
        <v>4</v>
      </c>
      <c r="B181" s="28">
        <v>5</v>
      </c>
      <c r="C181" s="11">
        <v>20</v>
      </c>
      <c r="D181" s="147" t="s">
        <v>303</v>
      </c>
      <c r="E181" s="10" t="s">
        <v>23</v>
      </c>
      <c r="F181" s="10" t="s">
        <v>210</v>
      </c>
      <c r="G181" s="10"/>
      <c r="H181" s="10"/>
      <c r="I181" s="10"/>
      <c r="J181" s="10"/>
      <c r="K181" s="575"/>
      <c r="L181" s="152"/>
      <c r="M181" s="164"/>
      <c r="N181" s="62"/>
      <c r="O181" s="62"/>
      <c r="P181" s="62"/>
      <c r="Q181" s="164"/>
      <c r="R181" s="62"/>
      <c r="S181" s="62"/>
      <c r="T181" s="62"/>
      <c r="U181" s="62"/>
      <c r="V181" s="164"/>
      <c r="W181" s="62"/>
      <c r="X181" s="62"/>
      <c r="Y181" s="62"/>
      <c r="Z181" s="64"/>
      <c r="AA181" s="164"/>
      <c r="AB181" s="62"/>
      <c r="AC181" s="62"/>
      <c r="AD181" s="64"/>
      <c r="AE181" s="164"/>
      <c r="AF181" s="62"/>
      <c r="AG181" s="62"/>
      <c r="AH181" s="337"/>
      <c r="AI181" s="337"/>
      <c r="AJ181" s="337"/>
      <c r="AK181" s="337"/>
      <c r="AL181" s="412"/>
      <c r="AM181" s="414"/>
      <c r="AN181" s="45"/>
      <c r="AO181" s="45"/>
      <c r="AP181" s="45"/>
      <c r="AQ181" s="396"/>
      <c r="AR181"/>
      <c r="AS181" s="100"/>
      <c r="AT181" s="100"/>
      <c r="AU181" s="100"/>
      <c r="AV181" s="100"/>
      <c r="AW181" s="18">
        <v>20</v>
      </c>
      <c r="AX181" s="69" t="s">
        <v>303</v>
      </c>
      <c r="AY181" s="243" t="s">
        <v>23</v>
      </c>
      <c r="AZ181" s="243" t="str">
        <f t="shared" si="53"/>
        <v>Chinook</v>
      </c>
      <c r="BA181" s="243" t="s">
        <v>419</v>
      </c>
      <c r="BB181" s="246"/>
      <c r="BC181" s="43" t="str">
        <f t="shared" si="54"/>
        <v>-</v>
      </c>
      <c r="BD181" s="43">
        <f t="shared" si="55"/>
        <v>0</v>
      </c>
      <c r="BE181" s="193">
        <f t="shared" si="56"/>
        <v>0</v>
      </c>
      <c r="BF181" s="193">
        <f t="shared" si="57"/>
        <v>0</v>
      </c>
      <c r="BG181" s="193">
        <f t="shared" si="58"/>
        <v>0</v>
      </c>
      <c r="BH181" s="307" t="str">
        <f t="shared" si="59"/>
        <v>-</v>
      </c>
      <c r="BI181" s="265" t="str">
        <f t="shared" si="75"/>
        <v>-</v>
      </c>
      <c r="BJ181" s="26" t="str">
        <f t="shared" si="60"/>
        <v>TUGWELL CREEKChinook</v>
      </c>
      <c r="BK181" s="26">
        <f t="shared" si="61"/>
        <v>0</v>
      </c>
      <c r="BL181" s="33">
        <f t="shared" si="76"/>
        <v>0</v>
      </c>
      <c r="BQ181" s="47" t="str">
        <f t="shared" si="62"/>
        <v>TUGWELL CREEKChinook</v>
      </c>
      <c r="BR181" s="49">
        <f t="shared" si="63"/>
        <v>0</v>
      </c>
      <c r="BS181" s="49">
        <f t="shared" si="64"/>
        <v>0</v>
      </c>
      <c r="BT181" s="31">
        <v>0</v>
      </c>
      <c r="BU181" s="188">
        <f t="shared" si="65"/>
        <v>0</v>
      </c>
      <c r="BV181" s="188" t="str">
        <f t="shared" si="66"/>
        <v xml:space="preserve"> </v>
      </c>
      <c r="BW181" s="188" t="str">
        <f t="shared" si="67"/>
        <v xml:space="preserve"> </v>
      </c>
      <c r="BX181" s="188" t="str">
        <f t="shared" si="68"/>
        <v xml:space="preserve"> </v>
      </c>
      <c r="BY181" s="50" t="str">
        <f t="shared" si="69"/>
        <v>TUGWELL CREEK_Chinook</v>
      </c>
      <c r="BZ181" s="50" t="str">
        <f>IFERROR(VLOOKUP(BY181,'[1]WCVI Esc'!$C$5:$W$555,18,FALSE),"-")</f>
        <v>-</v>
      </c>
      <c r="CA181" s="50" t="str">
        <f t="shared" si="70"/>
        <v>-</v>
      </c>
      <c r="CB181" s="50" t="str">
        <f>IFERROR(VLOOKUP(BY181,'[1]WCVI Esc'!$C$5:$W$555,19,FALSE),"-")</f>
        <v>-</v>
      </c>
      <c r="CC181" s="50" t="str">
        <f t="shared" si="71"/>
        <v>-</v>
      </c>
      <c r="CE181" s="342" t="str">
        <f t="shared" si="72"/>
        <v>TUGWELL CREEK_Chinook</v>
      </c>
      <c r="CF181" s="341" t="str">
        <f>IFERROR(VLOOKUP(BY181,'RawPL+D'!$O$8:$AB$503,12,FALSE),"-")</f>
        <v>-</v>
      </c>
      <c r="CG181" s="338" t="str">
        <f t="shared" si="73"/>
        <v>-</v>
      </c>
      <c r="CH181" s="341" t="str">
        <f>IFERROR(VLOOKUP(BY181,'RawPL+D'!$O$8:$AB$503,13,FALSE),"-")</f>
        <v>-</v>
      </c>
      <c r="CI181" s="338" t="str">
        <f t="shared" si="74"/>
        <v>-</v>
      </c>
    </row>
    <row r="182" spans="1:87" ht="12.75" hidden="1" customHeight="1" x14ac:dyDescent="0.2">
      <c r="A182" s="28">
        <v>4</v>
      </c>
      <c r="B182" s="28">
        <v>6</v>
      </c>
      <c r="C182" s="11">
        <v>20</v>
      </c>
      <c r="D182" s="147" t="s">
        <v>303</v>
      </c>
      <c r="E182" s="10" t="s">
        <v>23</v>
      </c>
      <c r="F182" s="10" t="s">
        <v>211</v>
      </c>
      <c r="G182" s="10"/>
      <c r="H182" s="10"/>
      <c r="I182" s="10"/>
      <c r="J182" s="10"/>
      <c r="K182" s="575"/>
      <c r="L182" s="152"/>
      <c r="M182" s="164"/>
      <c r="N182" s="62"/>
      <c r="O182" s="62"/>
      <c r="P182" s="62"/>
      <c r="Q182" s="164"/>
      <c r="R182" s="62"/>
      <c r="S182" s="62"/>
      <c r="T182" s="62"/>
      <c r="U182" s="62"/>
      <c r="V182" s="164"/>
      <c r="W182" s="62"/>
      <c r="X182" s="62"/>
      <c r="Y182" s="62"/>
      <c r="Z182" s="64"/>
      <c r="AA182" s="164"/>
      <c r="AB182" s="62"/>
      <c r="AC182" s="62"/>
      <c r="AD182" s="64"/>
      <c r="AE182" s="164"/>
      <c r="AF182" s="62"/>
      <c r="AG182" s="62"/>
      <c r="AH182" s="337"/>
      <c r="AI182" s="337"/>
      <c r="AJ182" s="337"/>
      <c r="AK182" s="337"/>
      <c r="AL182" s="412"/>
      <c r="AM182" s="414"/>
      <c r="AN182" s="45"/>
      <c r="AO182" s="45"/>
      <c r="AP182" s="45"/>
      <c r="AQ182" s="396"/>
      <c r="AR182"/>
      <c r="AS182" s="100"/>
      <c r="AT182" s="100"/>
      <c r="AU182" s="100"/>
      <c r="AV182" s="100"/>
      <c r="AW182" s="18">
        <v>20</v>
      </c>
      <c r="AX182" s="69" t="s">
        <v>303</v>
      </c>
      <c r="AY182" s="243" t="s">
        <v>23</v>
      </c>
      <c r="AZ182" s="243" t="str">
        <f t="shared" si="53"/>
        <v>Steelhead</v>
      </c>
      <c r="BA182" s="243" t="s">
        <v>419</v>
      </c>
      <c r="BB182" s="246"/>
      <c r="BC182" s="43" t="str">
        <f t="shared" si="54"/>
        <v>-</v>
      </c>
      <c r="BD182" s="43">
        <f t="shared" si="55"/>
        <v>0</v>
      </c>
      <c r="BE182" s="193">
        <f t="shared" si="56"/>
        <v>0</v>
      </c>
      <c r="BF182" s="193">
        <f t="shared" si="57"/>
        <v>0</v>
      </c>
      <c r="BG182" s="193">
        <f t="shared" si="58"/>
        <v>0</v>
      </c>
      <c r="BH182" s="307" t="str">
        <f t="shared" si="59"/>
        <v>-</v>
      </c>
      <c r="BI182" s="265" t="str">
        <f t="shared" si="75"/>
        <v>-</v>
      </c>
      <c r="BJ182" s="26" t="str">
        <f t="shared" si="60"/>
        <v>TUGWELL CREEKSteelhead</v>
      </c>
      <c r="BK182" s="26">
        <f t="shared" si="61"/>
        <v>0</v>
      </c>
      <c r="BL182" s="33">
        <f t="shared" si="76"/>
        <v>0</v>
      </c>
      <c r="BQ182" s="47" t="str">
        <f t="shared" si="62"/>
        <v>TUGWELL CREEKSteelhead</v>
      </c>
      <c r="BR182" s="49">
        <f t="shared" si="63"/>
        <v>0</v>
      </c>
      <c r="BS182" s="49">
        <f t="shared" si="64"/>
        <v>0</v>
      </c>
      <c r="BT182" s="31">
        <v>0</v>
      </c>
      <c r="BU182" s="188">
        <f t="shared" si="65"/>
        <v>0</v>
      </c>
      <c r="BV182" s="188" t="str">
        <f t="shared" si="66"/>
        <v xml:space="preserve"> </v>
      </c>
      <c r="BW182" s="188" t="str">
        <f t="shared" si="67"/>
        <v xml:space="preserve"> </v>
      </c>
      <c r="BX182" s="188" t="str">
        <f t="shared" si="68"/>
        <v xml:space="preserve"> </v>
      </c>
      <c r="BY182" s="50" t="str">
        <f t="shared" si="69"/>
        <v>TUGWELL CREEK_Steelhead</v>
      </c>
      <c r="BZ182" s="50" t="str">
        <f>IFERROR(VLOOKUP(BY182,'[1]WCVI Esc'!$C$5:$W$555,18,FALSE),"-")</f>
        <v>-</v>
      </c>
      <c r="CA182" s="50" t="str">
        <f t="shared" si="70"/>
        <v>-</v>
      </c>
      <c r="CB182" s="50" t="str">
        <f>IFERROR(VLOOKUP(BY182,'[1]WCVI Esc'!$C$5:$W$555,19,FALSE),"-")</f>
        <v>-</v>
      </c>
      <c r="CC182" s="50" t="str">
        <f t="shared" si="71"/>
        <v>-</v>
      </c>
      <c r="CE182" s="342" t="str">
        <f t="shared" si="72"/>
        <v>TUGWELL CREEK_Steelhead</v>
      </c>
      <c r="CF182" s="341" t="str">
        <f>IFERROR(VLOOKUP(BY182,'RawPL+D'!$O$8:$AB$503,12,FALSE),"-")</f>
        <v>-</v>
      </c>
      <c r="CG182" s="338" t="str">
        <f t="shared" si="73"/>
        <v>-</v>
      </c>
      <c r="CH182" s="341" t="str">
        <f>IFERROR(VLOOKUP(BY182,'RawPL+D'!$O$8:$AB$503,13,FALSE),"-")</f>
        <v>-</v>
      </c>
      <c r="CI182" s="338" t="str">
        <f t="shared" si="74"/>
        <v>-</v>
      </c>
    </row>
    <row r="183" spans="1:87" ht="12.75" hidden="1" customHeight="1" x14ac:dyDescent="0.2">
      <c r="A183" s="28">
        <v>3</v>
      </c>
      <c r="B183" s="29">
        <v>1</v>
      </c>
      <c r="C183" s="13">
        <v>21</v>
      </c>
      <c r="D183" s="147" t="s">
        <v>304</v>
      </c>
      <c r="E183" s="10" t="s">
        <v>24</v>
      </c>
      <c r="F183" s="10" t="s">
        <v>207</v>
      </c>
      <c r="G183" s="10"/>
      <c r="H183" s="10"/>
      <c r="I183" s="10"/>
      <c r="J183" s="10"/>
      <c r="K183" s="575"/>
      <c r="L183" s="152"/>
      <c r="M183" s="164"/>
      <c r="N183" s="62"/>
      <c r="O183" s="62"/>
      <c r="P183" s="62"/>
      <c r="Q183" s="62"/>
      <c r="R183" s="62"/>
      <c r="S183" s="441"/>
      <c r="T183" s="441"/>
      <c r="U183" s="441"/>
      <c r="V183" s="563"/>
      <c r="W183" s="390"/>
      <c r="X183" s="442"/>
      <c r="Y183" s="443"/>
      <c r="Z183" s="440"/>
      <c r="AA183" s="164"/>
      <c r="AB183" s="62"/>
      <c r="AC183" s="62"/>
      <c r="AD183" s="64"/>
      <c r="AE183" s="164"/>
      <c r="AF183" s="62"/>
      <c r="AG183" s="62"/>
      <c r="AH183" s="337"/>
      <c r="AI183" s="337"/>
      <c r="AJ183" s="337"/>
      <c r="AK183" s="337"/>
      <c r="AL183" s="555"/>
      <c r="AM183" s="552"/>
      <c r="AN183" s="45"/>
      <c r="AO183" s="45"/>
      <c r="AP183" s="45"/>
      <c r="AQ183" s="67"/>
      <c r="AR183" s="100">
        <f>BL183/BI183</f>
        <v>0</v>
      </c>
      <c r="AS183" s="100"/>
      <c r="AT183" s="100"/>
      <c r="AU183" s="100"/>
      <c r="AV183" s="100"/>
      <c r="AW183" s="69">
        <v>21</v>
      </c>
      <c r="AX183" s="69" t="s">
        <v>304</v>
      </c>
      <c r="AY183" s="243" t="s">
        <v>24</v>
      </c>
      <c r="AZ183" s="243" t="str">
        <f t="shared" si="53"/>
        <v>Sockeye</v>
      </c>
      <c r="BA183" s="243" t="s">
        <v>419</v>
      </c>
      <c r="BB183" s="244" t="s">
        <v>492</v>
      </c>
      <c r="BC183" s="43" t="str">
        <f t="shared" si="54"/>
        <v>-</v>
      </c>
      <c r="BD183" s="43">
        <f t="shared" si="55"/>
        <v>0</v>
      </c>
      <c r="BE183" s="193">
        <f t="shared" si="56"/>
        <v>0</v>
      </c>
      <c r="BF183" s="193">
        <f t="shared" si="57"/>
        <v>0</v>
      </c>
      <c r="BG183" s="193">
        <f t="shared" si="58"/>
        <v>0</v>
      </c>
      <c r="BH183" s="307" t="str">
        <f t="shared" si="59"/>
        <v>-</v>
      </c>
      <c r="BI183" s="265">
        <f t="shared" si="75"/>
        <v>830</v>
      </c>
      <c r="BJ183" s="26" t="str">
        <f t="shared" si="60"/>
        <v>CHEEWHAT RIVERSockeye</v>
      </c>
      <c r="BK183" s="26">
        <f t="shared" si="61"/>
        <v>0</v>
      </c>
      <c r="BL183" s="33">
        <f t="shared" si="76"/>
        <v>0</v>
      </c>
      <c r="BQ183" s="47" t="str">
        <f t="shared" si="62"/>
        <v>CHEEWHAT RIVERSockeye</v>
      </c>
      <c r="BR183" s="49">
        <f t="shared" si="63"/>
        <v>0</v>
      </c>
      <c r="BS183" s="49">
        <f t="shared" si="64"/>
        <v>0</v>
      </c>
      <c r="BT183" s="31">
        <v>2000</v>
      </c>
      <c r="BU183" s="188" t="str">
        <f t="shared" si="65"/>
        <v>Parks Canada</v>
      </c>
      <c r="BV183" s="188" t="str">
        <f t="shared" si="66"/>
        <v xml:space="preserve"> </v>
      </c>
      <c r="BW183" s="188" t="str">
        <f t="shared" si="67"/>
        <v xml:space="preserve"> </v>
      </c>
      <c r="BX183" s="188" t="str">
        <f t="shared" si="68"/>
        <v xml:space="preserve"> </v>
      </c>
      <c r="BY183" s="50" t="str">
        <f t="shared" si="69"/>
        <v>CHEEWHAT RIVER_Sockeye</v>
      </c>
      <c r="BZ183" s="50" t="str">
        <f>IFERROR(VLOOKUP(BY183,'[1]WCVI Esc'!$C$5:$W$555,18,FALSE),"-")</f>
        <v>-</v>
      </c>
      <c r="CA183" s="50" t="str">
        <f t="shared" si="70"/>
        <v>-</v>
      </c>
      <c r="CB183" s="50">
        <f>IFERROR(VLOOKUP(BY183,'[1]WCVI Esc'!$C$5:$W$555,19,FALSE),"-")</f>
        <v>834</v>
      </c>
      <c r="CC183" s="50">
        <f t="shared" si="71"/>
        <v>830</v>
      </c>
      <c r="CE183" s="342" t="str">
        <f t="shared" si="72"/>
        <v>CHEEWHAT RIVER_Sockeye</v>
      </c>
      <c r="CF183" s="341">
        <f>IFERROR(VLOOKUP(BY183,'RawPL+D'!$O$8:$AB$503,12,FALSE),"-")</f>
        <v>0</v>
      </c>
      <c r="CG183" s="338">
        <f t="shared" si="73"/>
        <v>0</v>
      </c>
      <c r="CH183" s="341" t="str">
        <f>IFERROR(VLOOKUP(BY183,'RawPL+D'!$O$8:$AB$503,13,FALSE),"-")</f>
        <v>-</v>
      </c>
      <c r="CI183" s="338" t="str">
        <f t="shared" si="74"/>
        <v>-</v>
      </c>
    </row>
    <row r="184" spans="1:87" ht="12.75" hidden="1" customHeight="1" x14ac:dyDescent="0.2">
      <c r="A184" s="28">
        <v>3</v>
      </c>
      <c r="B184" s="29">
        <v>2</v>
      </c>
      <c r="C184" s="13">
        <v>21</v>
      </c>
      <c r="D184" s="147" t="s">
        <v>304</v>
      </c>
      <c r="E184" s="10" t="s">
        <v>24</v>
      </c>
      <c r="F184" s="10" t="s">
        <v>219</v>
      </c>
      <c r="G184" s="10"/>
      <c r="H184" s="10"/>
      <c r="I184" s="10"/>
      <c r="J184" s="10"/>
      <c r="K184" s="575"/>
      <c r="L184" s="152"/>
      <c r="M184" s="164"/>
      <c r="N184" s="62"/>
      <c r="O184" s="62"/>
      <c r="P184" s="62"/>
      <c r="Q184" s="62"/>
      <c r="R184" s="62"/>
      <c r="S184" s="443"/>
      <c r="T184" s="442"/>
      <c r="U184" s="441"/>
      <c r="V184" s="587"/>
      <c r="W184" s="62"/>
      <c r="X184" s="443"/>
      <c r="Y184" s="443"/>
      <c r="Z184" s="440"/>
      <c r="AA184" s="164"/>
      <c r="AB184" s="62"/>
      <c r="AC184" s="62"/>
      <c r="AD184" s="64"/>
      <c r="AE184" s="164"/>
      <c r="AF184" s="62"/>
      <c r="AG184" s="62"/>
      <c r="AH184" s="337"/>
      <c r="AI184" s="337"/>
      <c r="AJ184" s="337"/>
      <c r="AK184" s="337"/>
      <c r="AL184" s="412"/>
      <c r="AM184" s="414"/>
      <c r="AN184" s="45"/>
      <c r="AO184" s="45"/>
      <c r="AP184" s="45"/>
      <c r="AQ184" s="67"/>
      <c r="AR184" s="100"/>
      <c r="AS184" s="100"/>
      <c r="AT184" s="100"/>
      <c r="AU184" s="100"/>
      <c r="AV184" s="100"/>
      <c r="AW184" s="69">
        <v>21</v>
      </c>
      <c r="AX184" s="69" t="s">
        <v>304</v>
      </c>
      <c r="AY184" s="243" t="s">
        <v>24</v>
      </c>
      <c r="AZ184" s="243" t="str">
        <f t="shared" si="53"/>
        <v>Coho</v>
      </c>
      <c r="BA184" s="243" t="s">
        <v>419</v>
      </c>
      <c r="BB184" s="244" t="s">
        <v>492</v>
      </c>
      <c r="BC184" s="43" t="str">
        <f t="shared" si="54"/>
        <v>-</v>
      </c>
      <c r="BD184" s="43">
        <f t="shared" si="55"/>
        <v>0</v>
      </c>
      <c r="BE184" s="193">
        <f t="shared" si="56"/>
        <v>0</v>
      </c>
      <c r="BF184" s="193">
        <f t="shared" si="57"/>
        <v>0</v>
      </c>
      <c r="BG184" s="193">
        <f t="shared" si="58"/>
        <v>0</v>
      </c>
      <c r="BH184" s="307">
        <f t="shared" si="59"/>
        <v>0</v>
      </c>
      <c r="BI184" s="265">
        <f t="shared" si="75"/>
        <v>80</v>
      </c>
      <c r="BJ184" s="26" t="str">
        <f t="shared" si="60"/>
        <v>CHEEWHAT RIVERCoho</v>
      </c>
      <c r="BK184" s="26">
        <f t="shared" si="61"/>
        <v>0</v>
      </c>
      <c r="BL184" s="33">
        <f t="shared" si="76"/>
        <v>0</v>
      </c>
      <c r="BQ184" s="47" t="str">
        <f t="shared" si="62"/>
        <v>CHEEWHAT RIVERCoho</v>
      </c>
      <c r="BR184" s="49">
        <f t="shared" si="63"/>
        <v>0</v>
      </c>
      <c r="BS184" s="49">
        <f t="shared" si="64"/>
        <v>0</v>
      </c>
      <c r="BT184" s="31">
        <v>2000</v>
      </c>
      <c r="BU184" s="188" t="str">
        <f t="shared" si="65"/>
        <v>Parks Canada</v>
      </c>
      <c r="BV184" s="188" t="str">
        <f t="shared" si="66"/>
        <v xml:space="preserve"> </v>
      </c>
      <c r="BW184" s="188" t="str">
        <f t="shared" si="67"/>
        <v xml:space="preserve"> </v>
      </c>
      <c r="BX184" s="188" t="str">
        <f t="shared" si="68"/>
        <v xml:space="preserve"> </v>
      </c>
      <c r="BY184" s="50" t="str">
        <f t="shared" si="69"/>
        <v>CHEEWHAT RIVER_Coho</v>
      </c>
      <c r="BZ184" s="50" t="str">
        <f>IFERROR(VLOOKUP(BY184,'[1]WCVI Esc'!$C$5:$W$555,18,FALSE),"-")</f>
        <v>-</v>
      </c>
      <c r="CA184" s="50" t="str">
        <f t="shared" si="70"/>
        <v>-</v>
      </c>
      <c r="CB184" s="50">
        <f>IFERROR(VLOOKUP(BY184,'[1]WCVI Esc'!$C$5:$W$555,19,FALSE),"-")</f>
        <v>78</v>
      </c>
      <c r="CC184" s="50">
        <f t="shared" si="71"/>
        <v>80</v>
      </c>
      <c r="CE184" s="342" t="str">
        <f t="shared" si="72"/>
        <v>CHEEWHAT RIVER_Coho</v>
      </c>
      <c r="CF184" s="341">
        <f>IFERROR(VLOOKUP(BY184,'RawPL+D'!$O$8:$AB$503,12,FALSE),"-")</f>
        <v>0</v>
      </c>
      <c r="CG184" s="338">
        <f t="shared" si="73"/>
        <v>0</v>
      </c>
      <c r="CH184" s="341">
        <f>IFERROR(VLOOKUP(BY184,'RawPL+D'!$O$8:$AB$503,13,FALSE),"-")</f>
        <v>0</v>
      </c>
      <c r="CI184" s="338">
        <f t="shared" si="74"/>
        <v>0</v>
      </c>
    </row>
    <row r="185" spans="1:87" ht="12.75" hidden="1" customHeight="1" x14ac:dyDescent="0.2">
      <c r="A185" s="28">
        <v>3</v>
      </c>
      <c r="B185" s="29">
        <v>3</v>
      </c>
      <c r="C185" s="13">
        <v>21</v>
      </c>
      <c r="D185" s="147" t="s">
        <v>304</v>
      </c>
      <c r="E185" s="10" t="s">
        <v>24</v>
      </c>
      <c r="F185" s="10" t="s">
        <v>208</v>
      </c>
      <c r="G185" s="10"/>
      <c r="H185" s="10"/>
      <c r="I185" s="10"/>
      <c r="J185" s="10"/>
      <c r="K185" s="575"/>
      <c r="L185" s="152"/>
      <c r="M185" s="164"/>
      <c r="N185" s="62"/>
      <c r="O185" s="62"/>
      <c r="P185" s="62"/>
      <c r="Q185" s="62"/>
      <c r="R185" s="62"/>
      <c r="S185" s="443"/>
      <c r="T185" s="443"/>
      <c r="U185" s="443"/>
      <c r="V185" s="588"/>
      <c r="W185" s="62"/>
      <c r="X185" s="443"/>
      <c r="Y185" s="443"/>
      <c r="Z185" s="440"/>
      <c r="AA185" s="164"/>
      <c r="AB185" s="62"/>
      <c r="AC185" s="62"/>
      <c r="AD185" s="64"/>
      <c r="AE185" s="164"/>
      <c r="AF185" s="62"/>
      <c r="AG185" s="62"/>
      <c r="AH185" s="337"/>
      <c r="AI185" s="337"/>
      <c r="AJ185" s="337"/>
      <c r="AK185" s="337"/>
      <c r="AL185" s="412"/>
      <c r="AM185" s="414"/>
      <c r="AN185" s="45"/>
      <c r="AO185" s="45"/>
      <c r="AP185" s="45"/>
      <c r="AQ185" s="67"/>
      <c r="AR185" s="100"/>
      <c r="AS185" s="100"/>
      <c r="AT185" s="100"/>
      <c r="AU185" s="100"/>
      <c r="AV185" s="100"/>
      <c r="AW185" s="69">
        <v>21</v>
      </c>
      <c r="AX185" s="69" t="s">
        <v>304</v>
      </c>
      <c r="AY185" s="243" t="s">
        <v>24</v>
      </c>
      <c r="AZ185" s="243" t="str">
        <f t="shared" si="53"/>
        <v>Pink</v>
      </c>
      <c r="BA185" s="243" t="s">
        <v>419</v>
      </c>
      <c r="BB185" s="244" t="s">
        <v>492</v>
      </c>
      <c r="BC185" s="43" t="str">
        <f t="shared" si="54"/>
        <v>-</v>
      </c>
      <c r="BD185" s="43">
        <f t="shared" si="55"/>
        <v>0</v>
      </c>
      <c r="BE185" s="193">
        <f t="shared" si="56"/>
        <v>0</v>
      </c>
      <c r="BF185" s="193">
        <f t="shared" si="57"/>
        <v>0</v>
      </c>
      <c r="BG185" s="193">
        <f t="shared" si="58"/>
        <v>0</v>
      </c>
      <c r="BH185" s="307" t="str">
        <f t="shared" si="59"/>
        <v>-</v>
      </c>
      <c r="BI185" s="265" t="str">
        <f t="shared" si="75"/>
        <v>-</v>
      </c>
      <c r="BJ185" s="26" t="str">
        <f t="shared" si="60"/>
        <v>CHEEWHAT RIVERPink</v>
      </c>
      <c r="BK185" s="26">
        <f t="shared" si="61"/>
        <v>0</v>
      </c>
      <c r="BL185" s="33">
        <f t="shared" si="76"/>
        <v>0</v>
      </c>
      <c r="BQ185" s="47" t="str">
        <f t="shared" si="62"/>
        <v>CHEEWHAT RIVERPink</v>
      </c>
      <c r="BR185" s="49">
        <f t="shared" si="63"/>
        <v>0</v>
      </c>
      <c r="BS185" s="49">
        <f t="shared" si="64"/>
        <v>0</v>
      </c>
      <c r="BT185" s="31">
        <v>0</v>
      </c>
      <c r="BU185" s="188" t="str">
        <f t="shared" si="65"/>
        <v>Parks Canada</v>
      </c>
      <c r="BV185" s="188" t="str">
        <f t="shared" si="66"/>
        <v xml:space="preserve"> </v>
      </c>
      <c r="BW185" s="188" t="str">
        <f t="shared" si="67"/>
        <v xml:space="preserve"> </v>
      </c>
      <c r="BX185" s="188" t="str">
        <f t="shared" si="68"/>
        <v xml:space="preserve"> </v>
      </c>
      <c r="BY185" s="50" t="str">
        <f t="shared" si="69"/>
        <v>CHEEWHAT RIVER_Pink</v>
      </c>
      <c r="BZ185" s="50" t="str">
        <f>IFERROR(VLOOKUP(BY185,'[1]WCVI Esc'!$C$5:$W$555,18,FALSE),"-")</f>
        <v>-</v>
      </c>
      <c r="CA185" s="50" t="str">
        <f t="shared" si="70"/>
        <v>-</v>
      </c>
      <c r="CB185" s="50" t="str">
        <f>IFERROR(VLOOKUP(BY185,'[1]WCVI Esc'!$C$5:$W$555,19,FALSE),"-")</f>
        <v>-</v>
      </c>
      <c r="CC185" s="50" t="str">
        <f t="shared" si="71"/>
        <v>-</v>
      </c>
      <c r="CE185" s="342" t="str">
        <f t="shared" si="72"/>
        <v>CHEEWHAT RIVER_Pink</v>
      </c>
      <c r="CF185" s="341" t="str">
        <f>IFERROR(VLOOKUP(BY185,'RawPL+D'!$O$8:$AB$503,12,FALSE),"-")</f>
        <v>-</v>
      </c>
      <c r="CG185" s="338" t="str">
        <f t="shared" si="73"/>
        <v>-</v>
      </c>
      <c r="CH185" s="341" t="str">
        <f>IFERROR(VLOOKUP(BY185,'RawPL+D'!$O$8:$AB$503,13,FALSE),"-")</f>
        <v>-</v>
      </c>
      <c r="CI185" s="338" t="str">
        <f t="shared" si="74"/>
        <v>-</v>
      </c>
    </row>
    <row r="186" spans="1:87" ht="12.75" hidden="1" customHeight="1" x14ac:dyDescent="0.2">
      <c r="A186" s="28">
        <v>3</v>
      </c>
      <c r="B186" s="29">
        <v>4</v>
      </c>
      <c r="C186" s="13">
        <v>21</v>
      </c>
      <c r="D186" s="147" t="s">
        <v>304</v>
      </c>
      <c r="E186" s="10" t="s">
        <v>24</v>
      </c>
      <c r="F186" s="10" t="s">
        <v>209</v>
      </c>
      <c r="G186" s="10"/>
      <c r="H186" s="10"/>
      <c r="I186" s="10"/>
      <c r="J186" s="10"/>
      <c r="K186" s="575"/>
      <c r="L186" s="152"/>
      <c r="M186" s="164"/>
      <c r="N186" s="62"/>
      <c r="O186" s="62"/>
      <c r="P186" s="62"/>
      <c r="Q186" s="62"/>
      <c r="R186" s="62"/>
      <c r="S186" s="443"/>
      <c r="T186" s="443"/>
      <c r="U186" s="443"/>
      <c r="V186" s="588"/>
      <c r="W186" s="62"/>
      <c r="X186" s="443"/>
      <c r="Y186" s="443"/>
      <c r="Z186" s="440"/>
      <c r="AA186" s="164"/>
      <c r="AB186" s="62"/>
      <c r="AC186" s="62"/>
      <c r="AD186" s="64"/>
      <c r="AE186" s="164"/>
      <c r="AF186" s="62"/>
      <c r="AG186" s="62"/>
      <c r="AH186" s="337"/>
      <c r="AI186" s="337"/>
      <c r="AJ186" s="337"/>
      <c r="AK186" s="337"/>
      <c r="AL186" s="412"/>
      <c r="AM186" s="414"/>
      <c r="AN186" s="45"/>
      <c r="AO186" s="45"/>
      <c r="AP186" s="45"/>
      <c r="AQ186" s="67"/>
      <c r="AR186" s="100"/>
      <c r="AS186" s="100"/>
      <c r="AT186" s="100"/>
      <c r="AU186" s="100"/>
      <c r="AV186" s="100"/>
      <c r="AW186" s="69">
        <v>21</v>
      </c>
      <c r="AX186" s="69" t="s">
        <v>304</v>
      </c>
      <c r="AY186" s="243" t="s">
        <v>24</v>
      </c>
      <c r="AZ186" s="243" t="str">
        <f t="shared" si="53"/>
        <v>Chum</v>
      </c>
      <c r="BA186" s="243" t="s">
        <v>419</v>
      </c>
      <c r="BB186" s="244" t="s">
        <v>492</v>
      </c>
      <c r="BC186" s="43" t="str">
        <f t="shared" si="54"/>
        <v>-</v>
      </c>
      <c r="BD186" s="43">
        <f t="shared" si="55"/>
        <v>0</v>
      </c>
      <c r="BE186" s="193">
        <f t="shared" si="56"/>
        <v>0</v>
      </c>
      <c r="BF186" s="193">
        <f t="shared" si="57"/>
        <v>0</v>
      </c>
      <c r="BG186" s="193">
        <f t="shared" si="58"/>
        <v>0</v>
      </c>
      <c r="BH186" s="307">
        <f t="shared" si="59"/>
        <v>0</v>
      </c>
      <c r="BI186" s="265" t="str">
        <f t="shared" si="75"/>
        <v>-</v>
      </c>
      <c r="BJ186" s="26" t="str">
        <f t="shared" si="60"/>
        <v>CHEEWHAT RIVERChum</v>
      </c>
      <c r="BK186" s="26">
        <f t="shared" si="61"/>
        <v>0</v>
      </c>
      <c r="BL186" s="33">
        <f t="shared" si="76"/>
        <v>0</v>
      </c>
      <c r="BQ186" s="47" t="str">
        <f t="shared" si="62"/>
        <v>CHEEWHAT RIVERChum</v>
      </c>
      <c r="BR186" s="49">
        <f t="shared" si="63"/>
        <v>0</v>
      </c>
      <c r="BS186" s="49">
        <f t="shared" si="64"/>
        <v>0</v>
      </c>
      <c r="BT186" s="31">
        <v>2000</v>
      </c>
      <c r="BU186" s="188" t="str">
        <f t="shared" si="65"/>
        <v>Parks Canada</v>
      </c>
      <c r="BV186" s="188" t="str">
        <f t="shared" si="66"/>
        <v xml:space="preserve"> </v>
      </c>
      <c r="BW186" s="188" t="str">
        <f t="shared" si="67"/>
        <v xml:space="preserve"> </v>
      </c>
      <c r="BX186" s="188" t="str">
        <f t="shared" si="68"/>
        <v xml:space="preserve"> </v>
      </c>
      <c r="BY186" s="50" t="str">
        <f t="shared" si="69"/>
        <v>CHEEWHAT RIVER_Chum</v>
      </c>
      <c r="BZ186" s="50" t="str">
        <f>IFERROR(VLOOKUP(BY186,'[1]WCVI Esc'!$C$5:$W$555,18,FALSE),"-")</f>
        <v>-</v>
      </c>
      <c r="CA186" s="50" t="str">
        <f t="shared" si="70"/>
        <v>-</v>
      </c>
      <c r="CB186" s="50" t="str">
        <f>IFERROR(VLOOKUP(BY186,'[1]WCVI Esc'!$C$5:$W$555,19,FALSE),"-")</f>
        <v>-</v>
      </c>
      <c r="CC186" s="50" t="str">
        <f t="shared" si="71"/>
        <v>-</v>
      </c>
      <c r="CE186" s="342" t="str">
        <f t="shared" si="72"/>
        <v>CHEEWHAT RIVER_Chum</v>
      </c>
      <c r="CF186" s="341">
        <f>IFERROR(VLOOKUP(BY186,'RawPL+D'!$O$8:$AB$503,12,FALSE),"-")</f>
        <v>0</v>
      </c>
      <c r="CG186" s="338">
        <f t="shared" si="73"/>
        <v>0</v>
      </c>
      <c r="CH186" s="341">
        <f>IFERROR(VLOOKUP(BY186,'RawPL+D'!$O$8:$AB$503,13,FALSE),"-")</f>
        <v>0</v>
      </c>
      <c r="CI186" s="338">
        <f t="shared" si="74"/>
        <v>0</v>
      </c>
    </row>
    <row r="187" spans="1:87" ht="12.75" hidden="1" customHeight="1" x14ac:dyDescent="0.2">
      <c r="A187" s="28">
        <v>3</v>
      </c>
      <c r="B187" s="29">
        <v>5</v>
      </c>
      <c r="C187" s="13">
        <v>21</v>
      </c>
      <c r="D187" s="147" t="s">
        <v>304</v>
      </c>
      <c r="E187" s="10" t="s">
        <v>24</v>
      </c>
      <c r="F187" s="10" t="s">
        <v>210</v>
      </c>
      <c r="G187" s="10"/>
      <c r="H187" s="10"/>
      <c r="I187" s="10"/>
      <c r="J187" s="10"/>
      <c r="K187" s="575"/>
      <c r="L187" s="152"/>
      <c r="M187" s="164"/>
      <c r="N187" s="62"/>
      <c r="O187" s="62"/>
      <c r="P187" s="62"/>
      <c r="Q187" s="62"/>
      <c r="R187" s="62"/>
      <c r="S187" s="443"/>
      <c r="T187" s="443"/>
      <c r="U187" s="443"/>
      <c r="V187" s="588"/>
      <c r="W187" s="62"/>
      <c r="X187" s="443"/>
      <c r="Y187" s="443"/>
      <c r="Z187" s="440"/>
      <c r="AA187" s="164"/>
      <c r="AB187" s="62"/>
      <c r="AC187" s="62"/>
      <c r="AD187" s="64"/>
      <c r="AE187" s="164"/>
      <c r="AF187" s="62"/>
      <c r="AG187" s="62"/>
      <c r="AH187" s="337"/>
      <c r="AI187" s="337"/>
      <c r="AJ187" s="337"/>
      <c r="AK187" s="337"/>
      <c r="AL187" s="412"/>
      <c r="AM187" s="414"/>
      <c r="AN187" s="45"/>
      <c r="AO187" s="45"/>
      <c r="AP187" s="45"/>
      <c r="AQ187" s="67"/>
      <c r="AR187" s="100"/>
      <c r="AS187" s="100"/>
      <c r="AT187" s="100"/>
      <c r="AU187" s="100"/>
      <c r="AV187" s="100"/>
      <c r="AW187" s="69">
        <v>21</v>
      </c>
      <c r="AX187" s="69" t="s">
        <v>304</v>
      </c>
      <c r="AY187" s="243" t="s">
        <v>24</v>
      </c>
      <c r="AZ187" s="243" t="str">
        <f t="shared" si="53"/>
        <v>Chinook</v>
      </c>
      <c r="BA187" s="243" t="s">
        <v>419</v>
      </c>
      <c r="BB187" s="244" t="s">
        <v>492</v>
      </c>
      <c r="BC187" s="43" t="str">
        <f t="shared" si="54"/>
        <v>-</v>
      </c>
      <c r="BD187" s="43">
        <f t="shared" si="55"/>
        <v>0</v>
      </c>
      <c r="BE187" s="193">
        <f t="shared" si="56"/>
        <v>0</v>
      </c>
      <c r="BF187" s="193">
        <f t="shared" si="57"/>
        <v>0</v>
      </c>
      <c r="BG187" s="193">
        <f t="shared" si="58"/>
        <v>0</v>
      </c>
      <c r="BH187" s="307" t="str">
        <f t="shared" si="59"/>
        <v>-</v>
      </c>
      <c r="BI187" s="265" t="str">
        <f t="shared" si="75"/>
        <v>-</v>
      </c>
      <c r="BJ187" s="26" t="str">
        <f t="shared" si="60"/>
        <v>CHEEWHAT RIVERChinook</v>
      </c>
      <c r="BK187" s="26">
        <f t="shared" si="61"/>
        <v>0</v>
      </c>
      <c r="BL187" s="33">
        <f t="shared" si="76"/>
        <v>0</v>
      </c>
      <c r="BQ187" s="47" t="str">
        <f t="shared" si="62"/>
        <v>CHEEWHAT RIVERChinook</v>
      </c>
      <c r="BR187" s="49">
        <f t="shared" si="63"/>
        <v>0</v>
      </c>
      <c r="BS187" s="49">
        <f t="shared" si="64"/>
        <v>0</v>
      </c>
      <c r="BT187" s="31">
        <v>2000</v>
      </c>
      <c r="BU187" s="188" t="str">
        <f t="shared" si="65"/>
        <v>Parks Canada</v>
      </c>
      <c r="BV187" s="188" t="str">
        <f t="shared" si="66"/>
        <v xml:space="preserve"> </v>
      </c>
      <c r="BW187" s="188" t="str">
        <f t="shared" si="67"/>
        <v xml:space="preserve"> </v>
      </c>
      <c r="BX187" s="188" t="str">
        <f t="shared" si="68"/>
        <v xml:space="preserve"> </v>
      </c>
      <c r="BY187" s="50" t="str">
        <f t="shared" si="69"/>
        <v>CHEEWHAT RIVER_Chinook</v>
      </c>
      <c r="BZ187" s="50" t="str">
        <f>IFERROR(VLOOKUP(BY187,'[1]WCVI Esc'!$C$5:$W$555,18,FALSE),"-")</f>
        <v>-</v>
      </c>
      <c r="CA187" s="50" t="str">
        <f t="shared" si="70"/>
        <v>-</v>
      </c>
      <c r="CB187" s="50" t="str">
        <f>IFERROR(VLOOKUP(BY187,'[1]WCVI Esc'!$C$5:$W$555,19,FALSE),"-")</f>
        <v>-</v>
      </c>
      <c r="CC187" s="50" t="str">
        <f t="shared" si="71"/>
        <v>-</v>
      </c>
      <c r="CE187" s="342" t="str">
        <f t="shared" si="72"/>
        <v>CHEEWHAT RIVER_Chinook</v>
      </c>
      <c r="CF187" s="341" t="str">
        <f>IFERROR(VLOOKUP(BY187,'RawPL+D'!$O$8:$AB$503,12,FALSE),"-")</f>
        <v>-</v>
      </c>
      <c r="CG187" s="338" t="str">
        <f t="shared" si="73"/>
        <v>-</v>
      </c>
      <c r="CH187" s="341" t="str">
        <f>IFERROR(VLOOKUP(BY187,'RawPL+D'!$O$8:$AB$503,13,FALSE),"-")</f>
        <v>-</v>
      </c>
      <c r="CI187" s="338" t="str">
        <f t="shared" si="74"/>
        <v>-</v>
      </c>
    </row>
    <row r="188" spans="1:87" ht="12.75" hidden="1" customHeight="1" x14ac:dyDescent="0.2">
      <c r="A188" s="28">
        <v>3</v>
      </c>
      <c r="B188" s="29">
        <v>6</v>
      </c>
      <c r="C188" s="13">
        <v>21</v>
      </c>
      <c r="D188" s="147" t="s">
        <v>304</v>
      </c>
      <c r="E188" s="10" t="s">
        <v>24</v>
      </c>
      <c r="F188" s="10" t="s">
        <v>211</v>
      </c>
      <c r="G188" s="10"/>
      <c r="H188" s="10"/>
      <c r="I188" s="10"/>
      <c r="J188" s="10"/>
      <c r="K188" s="575"/>
      <c r="L188" s="152"/>
      <c r="M188" s="164"/>
      <c r="N188" s="62"/>
      <c r="O188" s="62"/>
      <c r="P188" s="62"/>
      <c r="Q188" s="62"/>
      <c r="R188" s="62"/>
      <c r="S188" s="62"/>
      <c r="T188" s="62"/>
      <c r="U188" s="62"/>
      <c r="V188" s="164"/>
      <c r="W188" s="62"/>
      <c r="X188" s="62"/>
      <c r="Y188" s="63"/>
      <c r="Z188" s="64"/>
      <c r="AA188" s="164"/>
      <c r="AB188" s="62"/>
      <c r="AC188" s="62"/>
      <c r="AD188" s="64"/>
      <c r="AE188" s="164"/>
      <c r="AF188" s="62"/>
      <c r="AG188" s="62"/>
      <c r="AH188" s="337"/>
      <c r="AI188" s="337"/>
      <c r="AJ188" s="337"/>
      <c r="AK188" s="337"/>
      <c r="AL188" s="412"/>
      <c r="AM188" s="414"/>
      <c r="AN188" s="45"/>
      <c r="AO188" s="45"/>
      <c r="AP188" s="45"/>
      <c r="AQ188" s="67"/>
      <c r="AR188" s="100"/>
      <c r="AS188" s="100"/>
      <c r="AT188" s="100"/>
      <c r="AU188" s="100"/>
      <c r="AV188" s="100"/>
      <c r="AW188" s="69">
        <v>21</v>
      </c>
      <c r="AX188" s="69" t="s">
        <v>304</v>
      </c>
      <c r="AY188" s="243" t="s">
        <v>24</v>
      </c>
      <c r="AZ188" s="243" t="str">
        <f t="shared" si="53"/>
        <v>Steelhead</v>
      </c>
      <c r="BA188" s="243" t="s">
        <v>419</v>
      </c>
      <c r="BB188" s="244" t="s">
        <v>492</v>
      </c>
      <c r="BC188" s="43" t="str">
        <f t="shared" si="54"/>
        <v>-</v>
      </c>
      <c r="BD188" s="43">
        <f t="shared" si="55"/>
        <v>0</v>
      </c>
      <c r="BE188" s="193">
        <f t="shared" si="56"/>
        <v>0</v>
      </c>
      <c r="BF188" s="193">
        <f t="shared" si="57"/>
        <v>0</v>
      </c>
      <c r="BG188" s="193">
        <f t="shared" si="58"/>
        <v>0</v>
      </c>
      <c r="BH188" s="307" t="str">
        <f t="shared" si="59"/>
        <v>-</v>
      </c>
      <c r="BI188" s="265" t="str">
        <f t="shared" si="75"/>
        <v>-</v>
      </c>
      <c r="BJ188" s="26" t="str">
        <f t="shared" si="60"/>
        <v>CHEEWHAT RIVERSteelhead</v>
      </c>
      <c r="BK188" s="26">
        <f t="shared" si="61"/>
        <v>0</v>
      </c>
      <c r="BL188" s="33">
        <f t="shared" si="76"/>
        <v>0</v>
      </c>
      <c r="BQ188" s="47" t="str">
        <f t="shared" si="62"/>
        <v>CHEEWHAT RIVERSteelhead</v>
      </c>
      <c r="BR188" s="49">
        <f t="shared" si="63"/>
        <v>0</v>
      </c>
      <c r="BS188" s="49">
        <f t="shared" si="64"/>
        <v>0</v>
      </c>
      <c r="BT188" s="31">
        <v>0</v>
      </c>
      <c r="BU188" s="188" t="str">
        <f t="shared" si="65"/>
        <v>Parks Canada</v>
      </c>
      <c r="BV188" s="188" t="str">
        <f t="shared" si="66"/>
        <v xml:space="preserve"> </v>
      </c>
      <c r="BW188" s="188" t="str">
        <f t="shared" si="67"/>
        <v xml:space="preserve"> </v>
      </c>
      <c r="BX188" s="188" t="str">
        <f t="shared" si="68"/>
        <v xml:space="preserve"> </v>
      </c>
      <c r="BY188" s="50" t="str">
        <f t="shared" si="69"/>
        <v>CHEEWHAT RIVER_Steelhead</v>
      </c>
      <c r="BZ188" s="50" t="str">
        <f>IFERROR(VLOOKUP(BY188,'[1]WCVI Esc'!$C$5:$W$555,18,FALSE),"-")</f>
        <v>-</v>
      </c>
      <c r="CA188" s="50" t="str">
        <f t="shared" si="70"/>
        <v>-</v>
      </c>
      <c r="CB188" s="50" t="str">
        <f>IFERROR(VLOOKUP(BY188,'[1]WCVI Esc'!$C$5:$W$555,19,FALSE),"-")</f>
        <v>-</v>
      </c>
      <c r="CC188" s="50" t="str">
        <f t="shared" si="71"/>
        <v>-</v>
      </c>
      <c r="CE188" s="342" t="str">
        <f t="shared" si="72"/>
        <v>CHEEWHAT RIVER_Steelhead</v>
      </c>
      <c r="CF188" s="341" t="str">
        <f>IFERROR(VLOOKUP(BY188,'RawPL+D'!$O$8:$AB$503,12,FALSE),"-")</f>
        <v>-</v>
      </c>
      <c r="CG188" s="338" t="str">
        <f t="shared" si="73"/>
        <v>-</v>
      </c>
      <c r="CH188" s="341" t="str">
        <f>IFERROR(VLOOKUP(BY188,'RawPL+D'!$O$8:$AB$503,13,FALSE),"-")</f>
        <v>-</v>
      </c>
      <c r="CI188" s="338" t="str">
        <f t="shared" si="74"/>
        <v>-</v>
      </c>
    </row>
    <row r="189" spans="1:87" ht="12.75" hidden="1" customHeight="1" x14ac:dyDescent="0.2">
      <c r="A189" s="28">
        <v>4</v>
      </c>
      <c r="B189" s="29">
        <v>1</v>
      </c>
      <c r="C189" s="13">
        <v>21</v>
      </c>
      <c r="D189" s="147" t="s">
        <v>304</v>
      </c>
      <c r="E189" s="10" t="s">
        <v>76</v>
      </c>
      <c r="F189" s="10" t="s">
        <v>207</v>
      </c>
      <c r="G189" s="10"/>
      <c r="H189" s="10"/>
      <c r="I189" s="10"/>
      <c r="J189" s="10"/>
      <c r="K189" s="575"/>
      <c r="L189" s="152"/>
      <c r="M189" s="164"/>
      <c r="N189" s="62"/>
      <c r="O189" s="62"/>
      <c r="P189" s="64"/>
      <c r="Q189" s="62"/>
      <c r="R189" s="62"/>
      <c r="S189" s="62"/>
      <c r="T189" s="62"/>
      <c r="U189" s="64"/>
      <c r="V189" s="164"/>
      <c r="W189" s="62"/>
      <c r="X189" s="62"/>
      <c r="Y189" s="62"/>
      <c r="Z189" s="64"/>
      <c r="AA189" s="164"/>
      <c r="AB189" s="62"/>
      <c r="AC189" s="62"/>
      <c r="AD189" s="64"/>
      <c r="AE189" s="164"/>
      <c r="AF189" s="62"/>
      <c r="AG189" s="62"/>
      <c r="AH189" s="337"/>
      <c r="AI189" s="337"/>
      <c r="AJ189" s="337"/>
      <c r="AK189" s="337"/>
      <c r="AL189" s="412"/>
      <c r="AM189" s="414"/>
      <c r="AN189" s="45"/>
      <c r="AO189" s="45"/>
      <c r="AP189" s="45"/>
      <c r="AQ189" s="396"/>
      <c r="AR189"/>
      <c r="AS189" s="100"/>
      <c r="AT189" s="100"/>
      <c r="AU189" s="100"/>
      <c r="AV189" s="100"/>
      <c r="AW189" s="69">
        <v>21</v>
      </c>
      <c r="AX189" s="69" t="s">
        <v>304</v>
      </c>
      <c r="AY189" s="243" t="s">
        <v>76</v>
      </c>
      <c r="AZ189" s="243" t="str">
        <f t="shared" si="53"/>
        <v>Sockeye</v>
      </c>
      <c r="BA189" s="243" t="s">
        <v>419</v>
      </c>
      <c r="BB189" s="246"/>
      <c r="BC189" s="43" t="str">
        <f t="shared" si="54"/>
        <v>-</v>
      </c>
      <c r="BD189" s="43">
        <f t="shared" si="55"/>
        <v>0</v>
      </c>
      <c r="BE189" s="193">
        <f t="shared" si="56"/>
        <v>0</v>
      </c>
      <c r="BF189" s="193">
        <f t="shared" si="57"/>
        <v>0</v>
      </c>
      <c r="BG189" s="193">
        <f t="shared" si="58"/>
        <v>0</v>
      </c>
      <c r="BH189" s="307" t="str">
        <f t="shared" si="59"/>
        <v>-</v>
      </c>
      <c r="BI189" s="265" t="str">
        <f t="shared" si="75"/>
        <v>-</v>
      </c>
      <c r="BJ189" s="26" t="str">
        <f t="shared" si="60"/>
        <v>BLUE CREEKSockeye</v>
      </c>
      <c r="BK189" s="26">
        <f t="shared" si="61"/>
        <v>0</v>
      </c>
      <c r="BL189" s="33">
        <f t="shared" si="76"/>
        <v>0</v>
      </c>
      <c r="BQ189" s="47" t="str">
        <f t="shared" si="62"/>
        <v>BLUE CREEKSockeye</v>
      </c>
      <c r="BR189" s="49">
        <f t="shared" si="63"/>
        <v>0</v>
      </c>
      <c r="BS189" s="49">
        <f t="shared" si="64"/>
        <v>0</v>
      </c>
      <c r="BT189" s="31">
        <v>0</v>
      </c>
      <c r="BU189" s="188">
        <f t="shared" si="65"/>
        <v>0</v>
      </c>
      <c r="BV189" s="188" t="str">
        <f t="shared" si="66"/>
        <v xml:space="preserve"> </v>
      </c>
      <c r="BW189" s="188" t="str">
        <f t="shared" si="67"/>
        <v xml:space="preserve"> </v>
      </c>
      <c r="BX189" s="188" t="str">
        <f t="shared" si="68"/>
        <v xml:space="preserve"> </v>
      </c>
      <c r="BY189" s="50" t="str">
        <f t="shared" si="69"/>
        <v>BLUE CREEK_Sockeye</v>
      </c>
      <c r="BZ189" s="50" t="str">
        <f>IFERROR(VLOOKUP(BY189,'[1]WCVI Esc'!$C$5:$W$555,18,FALSE),"-")</f>
        <v>-</v>
      </c>
      <c r="CA189" s="50" t="str">
        <f t="shared" si="70"/>
        <v>-</v>
      </c>
      <c r="CB189" s="50" t="str">
        <f>IFERROR(VLOOKUP(BY189,'[1]WCVI Esc'!$C$5:$W$555,19,FALSE),"-")</f>
        <v>-</v>
      </c>
      <c r="CC189" s="50" t="str">
        <f t="shared" si="71"/>
        <v>-</v>
      </c>
      <c r="CE189" s="342" t="str">
        <f t="shared" si="72"/>
        <v>BLUE CREEK_Sockeye</v>
      </c>
      <c r="CF189" s="341" t="str">
        <f>IFERROR(VLOOKUP(BY189,'RawPL+D'!$O$8:$AB$503,12,FALSE),"-")</f>
        <v>-</v>
      </c>
      <c r="CG189" s="338" t="str">
        <f t="shared" si="73"/>
        <v>-</v>
      </c>
      <c r="CH189" s="341" t="str">
        <f>IFERROR(VLOOKUP(BY189,'RawPL+D'!$O$8:$AB$503,13,FALSE),"-")</f>
        <v>-</v>
      </c>
      <c r="CI189" s="338" t="str">
        <f t="shared" si="74"/>
        <v>-</v>
      </c>
    </row>
    <row r="190" spans="1:87" ht="12.75" hidden="1" customHeight="1" x14ac:dyDescent="0.2">
      <c r="A190" s="28">
        <v>4</v>
      </c>
      <c r="B190" s="29">
        <v>2</v>
      </c>
      <c r="C190" s="13">
        <v>21</v>
      </c>
      <c r="D190" s="147" t="s">
        <v>304</v>
      </c>
      <c r="E190" s="10" t="s">
        <v>76</v>
      </c>
      <c r="F190" s="10" t="s">
        <v>219</v>
      </c>
      <c r="G190" s="10"/>
      <c r="H190" s="10"/>
      <c r="I190" s="10"/>
      <c r="J190" s="10"/>
      <c r="K190" s="575"/>
      <c r="L190" s="152"/>
      <c r="M190" s="164"/>
      <c r="N190" s="62"/>
      <c r="O190" s="62"/>
      <c r="P190" s="64"/>
      <c r="Q190" s="62"/>
      <c r="R190" s="62"/>
      <c r="S190" s="62"/>
      <c r="T190" s="62"/>
      <c r="U190" s="64"/>
      <c r="V190" s="164"/>
      <c r="W190" s="62"/>
      <c r="X190" s="62"/>
      <c r="Y190" s="62"/>
      <c r="Z190" s="64"/>
      <c r="AA190" s="164"/>
      <c r="AB190" s="62"/>
      <c r="AC190" s="62"/>
      <c r="AD190" s="64"/>
      <c r="AE190" s="164"/>
      <c r="AF190" s="62"/>
      <c r="AG190" s="62"/>
      <c r="AH190" s="337"/>
      <c r="AI190" s="337"/>
      <c r="AJ190" s="337"/>
      <c r="AK190" s="337"/>
      <c r="AL190" s="412"/>
      <c r="AM190" s="414"/>
      <c r="AN190" s="45"/>
      <c r="AO190" s="45"/>
      <c r="AP190" s="45"/>
      <c r="AQ190" s="396"/>
      <c r="AR190" s="100"/>
      <c r="AS190" s="100"/>
      <c r="AT190" s="100"/>
      <c r="AU190" s="100"/>
      <c r="AV190" s="100"/>
      <c r="AW190" s="69">
        <v>21</v>
      </c>
      <c r="AX190" s="69" t="s">
        <v>304</v>
      </c>
      <c r="AY190" s="243" t="s">
        <v>76</v>
      </c>
      <c r="AZ190" s="243" t="str">
        <f t="shared" si="53"/>
        <v>Coho</v>
      </c>
      <c r="BA190" s="243" t="s">
        <v>419</v>
      </c>
      <c r="BB190" s="246"/>
      <c r="BC190" s="43" t="str">
        <f t="shared" si="54"/>
        <v>-</v>
      </c>
      <c r="BD190" s="43">
        <f t="shared" si="55"/>
        <v>0</v>
      </c>
      <c r="BE190" s="193">
        <f t="shared" si="56"/>
        <v>0</v>
      </c>
      <c r="BF190" s="193">
        <f t="shared" si="57"/>
        <v>0</v>
      </c>
      <c r="BG190" s="193">
        <f t="shared" si="58"/>
        <v>0</v>
      </c>
      <c r="BH190" s="307" t="str">
        <f t="shared" si="59"/>
        <v>-</v>
      </c>
      <c r="BI190" s="265" t="str">
        <f t="shared" ref="BI190:BI218" si="77">CC190</f>
        <v>-</v>
      </c>
      <c r="BJ190" s="26" t="str">
        <f t="shared" si="60"/>
        <v>BLUE CREEKCoho</v>
      </c>
      <c r="BK190" s="26">
        <f t="shared" si="61"/>
        <v>0</v>
      </c>
      <c r="BL190" s="33">
        <f t="shared" si="76"/>
        <v>0</v>
      </c>
      <c r="BQ190" s="47" t="str">
        <f t="shared" si="62"/>
        <v>BLUE CREEKCoho</v>
      </c>
      <c r="BR190" s="49">
        <f t="shared" si="63"/>
        <v>0</v>
      </c>
      <c r="BS190" s="49">
        <f t="shared" si="64"/>
        <v>0</v>
      </c>
      <c r="BT190" s="31">
        <v>0</v>
      </c>
      <c r="BU190" s="188">
        <f t="shared" si="65"/>
        <v>0</v>
      </c>
      <c r="BV190" s="188" t="str">
        <f t="shared" si="66"/>
        <v xml:space="preserve"> </v>
      </c>
      <c r="BW190" s="188" t="str">
        <f t="shared" si="67"/>
        <v xml:space="preserve"> </v>
      </c>
      <c r="BX190" s="188" t="str">
        <f t="shared" si="68"/>
        <v xml:space="preserve"> </v>
      </c>
      <c r="BY190" s="50" t="str">
        <f t="shared" si="69"/>
        <v>BLUE CREEK_Coho</v>
      </c>
      <c r="BZ190" s="50" t="str">
        <f>IFERROR(VLOOKUP(BY190,'[1]WCVI Esc'!$C$5:$W$555,18,FALSE),"-")</f>
        <v>-</v>
      </c>
      <c r="CA190" s="50" t="str">
        <f t="shared" si="70"/>
        <v>-</v>
      </c>
      <c r="CB190" s="50" t="str">
        <f>IFERROR(VLOOKUP(BY190,'[1]WCVI Esc'!$C$5:$W$555,19,FALSE),"-")</f>
        <v>-</v>
      </c>
      <c r="CC190" s="50" t="str">
        <f t="shared" si="71"/>
        <v>-</v>
      </c>
      <c r="CE190" s="342" t="str">
        <f t="shared" si="72"/>
        <v>BLUE CREEK_Coho</v>
      </c>
      <c r="CF190" s="341" t="str">
        <f>IFERROR(VLOOKUP(BY190,'RawPL+D'!$O$8:$AB$503,12,FALSE),"-")</f>
        <v>-</v>
      </c>
      <c r="CG190" s="338" t="str">
        <f t="shared" si="73"/>
        <v>-</v>
      </c>
      <c r="CH190" s="341" t="str">
        <f>IFERROR(VLOOKUP(BY190,'RawPL+D'!$O$8:$AB$503,13,FALSE),"-")</f>
        <v>-</v>
      </c>
      <c r="CI190" s="338" t="str">
        <f t="shared" si="74"/>
        <v>-</v>
      </c>
    </row>
    <row r="191" spans="1:87" ht="12.75" hidden="1" customHeight="1" x14ac:dyDescent="0.2">
      <c r="A191" s="28">
        <v>4</v>
      </c>
      <c r="B191" s="29">
        <v>3</v>
      </c>
      <c r="C191" s="13">
        <v>21</v>
      </c>
      <c r="D191" s="147" t="s">
        <v>304</v>
      </c>
      <c r="E191" s="10" t="s">
        <v>76</v>
      </c>
      <c r="F191" s="10" t="s">
        <v>208</v>
      </c>
      <c r="G191" s="10"/>
      <c r="H191" s="10"/>
      <c r="I191" s="10"/>
      <c r="J191" s="10"/>
      <c r="K191" s="575"/>
      <c r="L191" s="152"/>
      <c r="M191" s="164"/>
      <c r="N191" s="62"/>
      <c r="O191" s="62"/>
      <c r="P191" s="64"/>
      <c r="Q191" s="62"/>
      <c r="R191" s="62"/>
      <c r="S191" s="62"/>
      <c r="T191" s="62"/>
      <c r="U191" s="64"/>
      <c r="V191" s="164"/>
      <c r="W191" s="62"/>
      <c r="X191" s="62"/>
      <c r="Y191" s="62"/>
      <c r="Z191" s="64"/>
      <c r="AA191" s="164"/>
      <c r="AB191" s="62"/>
      <c r="AC191" s="62"/>
      <c r="AD191" s="64"/>
      <c r="AE191" s="164"/>
      <c r="AF191" s="62"/>
      <c r="AG191" s="62"/>
      <c r="AH191" s="337"/>
      <c r="AI191" s="337"/>
      <c r="AJ191" s="337"/>
      <c r="AK191" s="337"/>
      <c r="AL191" s="412"/>
      <c r="AM191" s="414"/>
      <c r="AN191" s="45"/>
      <c r="AO191" s="45"/>
      <c r="AP191" s="45"/>
      <c r="AQ191" s="396"/>
      <c r="AR191" s="100"/>
      <c r="AS191" s="100"/>
      <c r="AT191" s="100"/>
      <c r="AU191" s="100"/>
      <c r="AV191" s="100"/>
      <c r="AW191" s="69">
        <v>21</v>
      </c>
      <c r="AX191" s="69" t="s">
        <v>304</v>
      </c>
      <c r="AY191" s="243" t="s">
        <v>76</v>
      </c>
      <c r="AZ191" s="243" t="str">
        <f t="shared" si="53"/>
        <v>Pink</v>
      </c>
      <c r="BA191" s="243" t="s">
        <v>419</v>
      </c>
      <c r="BB191" s="246"/>
      <c r="BC191" s="43" t="str">
        <f t="shared" si="54"/>
        <v>-</v>
      </c>
      <c r="BD191" s="43">
        <f t="shared" si="55"/>
        <v>0</v>
      </c>
      <c r="BE191" s="193">
        <f t="shared" si="56"/>
        <v>0</v>
      </c>
      <c r="BF191" s="193">
        <f t="shared" si="57"/>
        <v>0</v>
      </c>
      <c r="BG191" s="193">
        <f t="shared" si="58"/>
        <v>0</v>
      </c>
      <c r="BH191" s="307" t="str">
        <f t="shared" si="59"/>
        <v>-</v>
      </c>
      <c r="BI191" s="265" t="str">
        <f t="shared" si="77"/>
        <v>-</v>
      </c>
      <c r="BJ191" s="26" t="str">
        <f t="shared" si="60"/>
        <v>BLUE CREEKPink</v>
      </c>
      <c r="BK191" s="26">
        <f t="shared" si="61"/>
        <v>0</v>
      </c>
      <c r="BL191" s="33">
        <f t="shared" si="76"/>
        <v>0</v>
      </c>
      <c r="BQ191" s="47" t="str">
        <f t="shared" si="62"/>
        <v>BLUE CREEKPink</v>
      </c>
      <c r="BR191" s="49">
        <f t="shared" si="63"/>
        <v>0</v>
      </c>
      <c r="BS191" s="49">
        <f t="shared" si="64"/>
        <v>0</v>
      </c>
      <c r="BT191" s="31">
        <v>0</v>
      </c>
      <c r="BU191" s="188">
        <f t="shared" si="65"/>
        <v>0</v>
      </c>
      <c r="BV191" s="188" t="str">
        <f t="shared" si="66"/>
        <v xml:space="preserve"> </v>
      </c>
      <c r="BW191" s="188" t="str">
        <f t="shared" si="67"/>
        <v xml:space="preserve"> </v>
      </c>
      <c r="BX191" s="188" t="str">
        <f t="shared" si="68"/>
        <v xml:space="preserve"> </v>
      </c>
      <c r="BY191" s="50" t="str">
        <f t="shared" si="69"/>
        <v>BLUE CREEK_Pink</v>
      </c>
      <c r="BZ191" s="50" t="str">
        <f>IFERROR(VLOOKUP(BY191,'[1]WCVI Esc'!$C$5:$W$555,18,FALSE),"-")</f>
        <v>-</v>
      </c>
      <c r="CA191" s="50" t="str">
        <f t="shared" si="70"/>
        <v>-</v>
      </c>
      <c r="CB191" s="50" t="str">
        <f>IFERROR(VLOOKUP(BY191,'[1]WCVI Esc'!$C$5:$W$555,19,FALSE),"-")</f>
        <v>-</v>
      </c>
      <c r="CC191" s="50" t="str">
        <f t="shared" si="71"/>
        <v>-</v>
      </c>
      <c r="CE191" s="342" t="str">
        <f t="shared" si="72"/>
        <v>BLUE CREEK_Pink</v>
      </c>
      <c r="CF191" s="341" t="str">
        <f>IFERROR(VLOOKUP(BY191,'RawPL+D'!$O$8:$AB$503,12,FALSE),"-")</f>
        <v>-</v>
      </c>
      <c r="CG191" s="338" t="str">
        <f t="shared" si="73"/>
        <v>-</v>
      </c>
      <c r="CH191" s="341" t="str">
        <f>IFERROR(VLOOKUP(BY191,'RawPL+D'!$O$8:$AB$503,13,FALSE),"-")</f>
        <v>-</v>
      </c>
      <c r="CI191" s="338" t="str">
        <f t="shared" si="74"/>
        <v>-</v>
      </c>
    </row>
    <row r="192" spans="1:87" ht="12.75" hidden="1" customHeight="1" x14ac:dyDescent="0.2">
      <c r="A192" s="28">
        <v>4</v>
      </c>
      <c r="B192" s="29">
        <v>4</v>
      </c>
      <c r="C192" s="13">
        <v>21</v>
      </c>
      <c r="D192" s="147" t="s">
        <v>304</v>
      </c>
      <c r="E192" s="10" t="s">
        <v>76</v>
      </c>
      <c r="F192" s="10" t="s">
        <v>209</v>
      </c>
      <c r="G192" s="10"/>
      <c r="H192" s="10"/>
      <c r="I192" s="10"/>
      <c r="J192" s="10"/>
      <c r="K192" s="575"/>
      <c r="L192" s="152"/>
      <c r="M192" s="164"/>
      <c r="N192" s="62"/>
      <c r="O192" s="62"/>
      <c r="P192" s="64"/>
      <c r="Q192" s="62"/>
      <c r="R192" s="62"/>
      <c r="S192" s="62"/>
      <c r="T192" s="62"/>
      <c r="U192" s="64"/>
      <c r="V192" s="164"/>
      <c r="W192" s="62"/>
      <c r="X192" s="62"/>
      <c r="Y192" s="62"/>
      <c r="Z192" s="64"/>
      <c r="AA192" s="164"/>
      <c r="AB192" s="62"/>
      <c r="AC192" s="62"/>
      <c r="AD192" s="64"/>
      <c r="AE192" s="164"/>
      <c r="AF192" s="62"/>
      <c r="AG192" s="62"/>
      <c r="AH192" s="337"/>
      <c r="AI192" s="337"/>
      <c r="AJ192" s="337"/>
      <c r="AK192" s="337"/>
      <c r="AL192" s="412"/>
      <c r="AM192" s="414"/>
      <c r="AN192" s="45"/>
      <c r="AO192" s="45"/>
      <c r="AP192" s="45"/>
      <c r="AQ192" s="396"/>
      <c r="AR192" s="100"/>
      <c r="AS192" s="100"/>
      <c r="AT192" s="100"/>
      <c r="AU192" s="100"/>
      <c r="AV192" s="100"/>
      <c r="AW192" s="69">
        <v>21</v>
      </c>
      <c r="AX192" s="69" t="s">
        <v>304</v>
      </c>
      <c r="AY192" s="243" t="s">
        <v>76</v>
      </c>
      <c r="AZ192" s="243" t="str">
        <f t="shared" si="53"/>
        <v>Chum</v>
      </c>
      <c r="BA192" s="243" t="s">
        <v>419</v>
      </c>
      <c r="BB192" s="246"/>
      <c r="BC192" s="43" t="str">
        <f t="shared" si="54"/>
        <v>-</v>
      </c>
      <c r="BD192" s="43">
        <f t="shared" si="55"/>
        <v>0</v>
      </c>
      <c r="BE192" s="193">
        <f t="shared" si="56"/>
        <v>0</v>
      </c>
      <c r="BF192" s="193">
        <f t="shared" si="57"/>
        <v>0</v>
      </c>
      <c r="BG192" s="193">
        <f t="shared" si="58"/>
        <v>0</v>
      </c>
      <c r="BH192" s="307" t="str">
        <f t="shared" si="59"/>
        <v>-</v>
      </c>
      <c r="BI192" s="265" t="str">
        <f t="shared" si="77"/>
        <v>-</v>
      </c>
      <c r="BJ192" s="26" t="str">
        <f t="shared" si="60"/>
        <v>BLUE CREEKChum</v>
      </c>
      <c r="BK192" s="26">
        <f t="shared" si="61"/>
        <v>0</v>
      </c>
      <c r="BL192" s="33">
        <f t="shared" si="76"/>
        <v>0</v>
      </c>
      <c r="BQ192" s="47" t="str">
        <f t="shared" si="62"/>
        <v>BLUE CREEKChum</v>
      </c>
      <c r="BR192" s="49">
        <f t="shared" si="63"/>
        <v>0</v>
      </c>
      <c r="BS192" s="49">
        <f t="shared" si="64"/>
        <v>0</v>
      </c>
      <c r="BT192" s="31">
        <v>0</v>
      </c>
      <c r="BU192" s="188">
        <f t="shared" si="65"/>
        <v>0</v>
      </c>
      <c r="BV192" s="188" t="str">
        <f t="shared" si="66"/>
        <v xml:space="preserve"> </v>
      </c>
      <c r="BW192" s="188" t="str">
        <f t="shared" si="67"/>
        <v xml:space="preserve"> </v>
      </c>
      <c r="BX192" s="188" t="str">
        <f t="shared" si="68"/>
        <v xml:space="preserve"> </v>
      </c>
      <c r="BY192" s="50" t="str">
        <f t="shared" si="69"/>
        <v>BLUE CREEK_Chum</v>
      </c>
      <c r="BZ192" s="50" t="str">
        <f>IFERROR(VLOOKUP(BY192,'[1]WCVI Esc'!$C$5:$W$555,18,FALSE),"-")</f>
        <v>-</v>
      </c>
      <c r="CA192" s="50" t="str">
        <f t="shared" si="70"/>
        <v>-</v>
      </c>
      <c r="CB192" s="50" t="str">
        <f>IFERROR(VLOOKUP(BY192,'[1]WCVI Esc'!$C$5:$W$555,19,FALSE),"-")</f>
        <v>-</v>
      </c>
      <c r="CC192" s="50" t="str">
        <f t="shared" si="71"/>
        <v>-</v>
      </c>
      <c r="CE192" s="342" t="str">
        <f t="shared" si="72"/>
        <v>BLUE CREEK_Chum</v>
      </c>
      <c r="CF192" s="341" t="str">
        <f>IFERROR(VLOOKUP(BY192,'RawPL+D'!$O$8:$AB$503,12,FALSE),"-")</f>
        <v>-</v>
      </c>
      <c r="CG192" s="338" t="str">
        <f t="shared" si="73"/>
        <v>-</v>
      </c>
      <c r="CH192" s="341" t="str">
        <f>IFERROR(VLOOKUP(BY192,'RawPL+D'!$O$8:$AB$503,13,FALSE),"-")</f>
        <v>-</v>
      </c>
      <c r="CI192" s="338" t="str">
        <f t="shared" si="74"/>
        <v>-</v>
      </c>
    </row>
    <row r="193" spans="1:87" ht="12.75" hidden="1" customHeight="1" x14ac:dyDescent="0.2">
      <c r="A193" s="28">
        <v>4</v>
      </c>
      <c r="B193" s="29">
        <v>5</v>
      </c>
      <c r="C193" s="13">
        <v>21</v>
      </c>
      <c r="D193" s="147" t="s">
        <v>304</v>
      </c>
      <c r="E193" s="10" t="s">
        <v>76</v>
      </c>
      <c r="F193" s="10" t="s">
        <v>210</v>
      </c>
      <c r="G193" s="10"/>
      <c r="H193" s="10"/>
      <c r="I193" s="10"/>
      <c r="J193" s="10"/>
      <c r="K193" s="575"/>
      <c r="L193" s="152"/>
      <c r="M193" s="164"/>
      <c r="N193" s="62"/>
      <c r="O193" s="62"/>
      <c r="P193" s="64"/>
      <c r="Q193" s="62"/>
      <c r="R193" s="62"/>
      <c r="S193" s="62"/>
      <c r="T193" s="62"/>
      <c r="U193" s="64"/>
      <c r="V193" s="164"/>
      <c r="W193" s="62"/>
      <c r="X193" s="62"/>
      <c r="Y193" s="62"/>
      <c r="Z193" s="64"/>
      <c r="AA193" s="164"/>
      <c r="AB193" s="62"/>
      <c r="AC193" s="62"/>
      <c r="AD193" s="64"/>
      <c r="AE193" s="164"/>
      <c r="AF193" s="62"/>
      <c r="AG193" s="62"/>
      <c r="AH193" s="337"/>
      <c r="AI193" s="337"/>
      <c r="AJ193" s="337"/>
      <c r="AK193" s="337"/>
      <c r="AL193" s="412"/>
      <c r="AM193" s="414"/>
      <c r="AN193" s="45"/>
      <c r="AO193" s="45"/>
      <c r="AP193" s="45"/>
      <c r="AQ193" s="396"/>
      <c r="AR193" s="100"/>
      <c r="AS193" s="100"/>
      <c r="AT193" s="100"/>
      <c r="AU193" s="100"/>
      <c r="AV193" s="100"/>
      <c r="AW193" s="69">
        <v>21</v>
      </c>
      <c r="AX193" s="69" t="s">
        <v>304</v>
      </c>
      <c r="AY193" s="243" t="s">
        <v>76</v>
      </c>
      <c r="AZ193" s="243" t="str">
        <f t="shared" si="53"/>
        <v>Chinook</v>
      </c>
      <c r="BA193" s="243" t="s">
        <v>419</v>
      </c>
      <c r="BB193" s="246"/>
      <c r="BC193" s="43" t="str">
        <f t="shared" si="54"/>
        <v>-</v>
      </c>
      <c r="BD193" s="43">
        <f t="shared" si="55"/>
        <v>0</v>
      </c>
      <c r="BE193" s="193">
        <f t="shared" si="56"/>
        <v>0</v>
      </c>
      <c r="BF193" s="193">
        <f t="shared" si="57"/>
        <v>0</v>
      </c>
      <c r="BG193" s="193">
        <f t="shared" si="58"/>
        <v>0</v>
      </c>
      <c r="BH193" s="307" t="str">
        <f t="shared" si="59"/>
        <v>-</v>
      </c>
      <c r="BI193" s="265" t="str">
        <f t="shared" si="77"/>
        <v>-</v>
      </c>
      <c r="BJ193" s="26" t="str">
        <f t="shared" si="60"/>
        <v>BLUE CREEKChinook</v>
      </c>
      <c r="BK193" s="26">
        <f t="shared" si="61"/>
        <v>0</v>
      </c>
      <c r="BL193" s="33">
        <f t="shared" si="76"/>
        <v>0</v>
      </c>
      <c r="BQ193" s="47" t="str">
        <f t="shared" si="62"/>
        <v>BLUE CREEKChinook</v>
      </c>
      <c r="BR193" s="49">
        <f t="shared" si="63"/>
        <v>0</v>
      </c>
      <c r="BS193" s="49">
        <f t="shared" si="64"/>
        <v>0</v>
      </c>
      <c r="BT193" s="31">
        <v>0</v>
      </c>
      <c r="BU193" s="188">
        <f t="shared" si="65"/>
        <v>0</v>
      </c>
      <c r="BV193" s="188" t="str">
        <f t="shared" si="66"/>
        <v xml:space="preserve"> </v>
      </c>
      <c r="BW193" s="188" t="str">
        <f t="shared" si="67"/>
        <v xml:space="preserve"> </v>
      </c>
      <c r="BX193" s="188" t="str">
        <f t="shared" si="68"/>
        <v xml:space="preserve"> </v>
      </c>
      <c r="BY193" s="50" t="str">
        <f t="shared" si="69"/>
        <v>BLUE CREEK_Chinook</v>
      </c>
      <c r="BZ193" s="50" t="str">
        <f>IFERROR(VLOOKUP(BY193,'[1]WCVI Esc'!$C$5:$W$555,18,FALSE),"-")</f>
        <v>-</v>
      </c>
      <c r="CA193" s="50" t="str">
        <f t="shared" si="70"/>
        <v>-</v>
      </c>
      <c r="CB193" s="50" t="str">
        <f>IFERROR(VLOOKUP(BY193,'[1]WCVI Esc'!$C$5:$W$555,19,FALSE),"-")</f>
        <v>-</v>
      </c>
      <c r="CC193" s="50" t="str">
        <f t="shared" si="71"/>
        <v>-</v>
      </c>
      <c r="CE193" s="342" t="str">
        <f t="shared" si="72"/>
        <v>BLUE CREEK_Chinook</v>
      </c>
      <c r="CF193" s="341" t="str">
        <f>IFERROR(VLOOKUP(BY193,'RawPL+D'!$O$8:$AB$503,12,FALSE),"-")</f>
        <v>-</v>
      </c>
      <c r="CG193" s="338" t="str">
        <f t="shared" si="73"/>
        <v>-</v>
      </c>
      <c r="CH193" s="341" t="str">
        <f>IFERROR(VLOOKUP(BY193,'RawPL+D'!$O$8:$AB$503,13,FALSE),"-")</f>
        <v>-</v>
      </c>
      <c r="CI193" s="338" t="str">
        <f t="shared" si="74"/>
        <v>-</v>
      </c>
    </row>
    <row r="194" spans="1:87" ht="12.75" hidden="1" customHeight="1" x14ac:dyDescent="0.2">
      <c r="A194" s="28">
        <v>4</v>
      </c>
      <c r="B194" s="29">
        <v>6</v>
      </c>
      <c r="C194" s="13">
        <v>21</v>
      </c>
      <c r="D194" s="147" t="s">
        <v>304</v>
      </c>
      <c r="E194" s="10" t="s">
        <v>76</v>
      </c>
      <c r="F194" s="10" t="s">
        <v>211</v>
      </c>
      <c r="G194" s="10"/>
      <c r="H194" s="10"/>
      <c r="I194" s="10"/>
      <c r="J194" s="10"/>
      <c r="K194" s="575"/>
      <c r="L194" s="152"/>
      <c r="M194" s="164"/>
      <c r="N194" s="62"/>
      <c r="O194" s="62"/>
      <c r="P194" s="64"/>
      <c r="Q194" s="62"/>
      <c r="R194" s="62"/>
      <c r="S194" s="62"/>
      <c r="T194" s="62"/>
      <c r="U194" s="64"/>
      <c r="V194" s="164"/>
      <c r="W194" s="62"/>
      <c r="X194" s="62"/>
      <c r="Y194" s="62"/>
      <c r="Z194" s="64"/>
      <c r="AA194" s="164"/>
      <c r="AB194" s="62"/>
      <c r="AC194" s="62"/>
      <c r="AD194" s="64"/>
      <c r="AE194" s="164"/>
      <c r="AF194" s="62"/>
      <c r="AG194" s="62"/>
      <c r="AH194" s="337"/>
      <c r="AI194" s="337"/>
      <c r="AJ194" s="337"/>
      <c r="AK194" s="337"/>
      <c r="AL194" s="412"/>
      <c r="AM194" s="414"/>
      <c r="AN194" s="45"/>
      <c r="AO194" s="45"/>
      <c r="AP194" s="45"/>
      <c r="AQ194" s="396"/>
      <c r="AR194" s="100"/>
      <c r="AS194" s="100"/>
      <c r="AT194" s="100"/>
      <c r="AU194" s="100"/>
      <c r="AV194" s="100"/>
      <c r="AW194" s="69">
        <v>21</v>
      </c>
      <c r="AX194" s="69" t="s">
        <v>304</v>
      </c>
      <c r="AY194" s="243" t="s">
        <v>76</v>
      </c>
      <c r="AZ194" s="243" t="str">
        <f t="shared" si="53"/>
        <v>Steelhead</v>
      </c>
      <c r="BA194" s="243" t="s">
        <v>419</v>
      </c>
      <c r="BB194" s="246"/>
      <c r="BC194" s="43" t="str">
        <f t="shared" si="54"/>
        <v>-</v>
      </c>
      <c r="BD194" s="43">
        <f t="shared" si="55"/>
        <v>0</v>
      </c>
      <c r="BE194" s="193">
        <f t="shared" si="56"/>
        <v>0</v>
      </c>
      <c r="BF194" s="193">
        <f t="shared" si="57"/>
        <v>0</v>
      </c>
      <c r="BG194" s="193">
        <f t="shared" si="58"/>
        <v>0</v>
      </c>
      <c r="BH194" s="307" t="str">
        <f t="shared" si="59"/>
        <v>-</v>
      </c>
      <c r="BI194" s="265" t="str">
        <f t="shared" si="77"/>
        <v>-</v>
      </c>
      <c r="BJ194" s="26" t="str">
        <f t="shared" si="60"/>
        <v>BLUE CREEKSteelhead</v>
      </c>
      <c r="BK194" s="26">
        <f t="shared" si="61"/>
        <v>0</v>
      </c>
      <c r="BL194" s="33">
        <f t="shared" si="76"/>
        <v>0</v>
      </c>
      <c r="BQ194" s="47" t="str">
        <f t="shared" si="62"/>
        <v>BLUE CREEKSteelhead</v>
      </c>
      <c r="BR194" s="49">
        <f t="shared" si="63"/>
        <v>0</v>
      </c>
      <c r="BS194" s="49">
        <f t="shared" si="64"/>
        <v>0</v>
      </c>
      <c r="BT194" s="31">
        <v>0</v>
      </c>
      <c r="BU194" s="188">
        <f t="shared" si="65"/>
        <v>0</v>
      </c>
      <c r="BV194" s="188" t="str">
        <f t="shared" si="66"/>
        <v xml:space="preserve"> </v>
      </c>
      <c r="BW194" s="188" t="str">
        <f t="shared" si="67"/>
        <v xml:space="preserve"> </v>
      </c>
      <c r="BX194" s="188" t="str">
        <f t="shared" si="68"/>
        <v xml:space="preserve"> </v>
      </c>
      <c r="BY194" s="50" t="str">
        <f t="shared" si="69"/>
        <v>BLUE CREEK_Steelhead</v>
      </c>
      <c r="BZ194" s="50" t="str">
        <f>IFERROR(VLOOKUP(BY194,'[1]WCVI Esc'!$C$5:$W$555,18,FALSE),"-")</f>
        <v>-</v>
      </c>
      <c r="CA194" s="50" t="str">
        <f t="shared" si="70"/>
        <v>-</v>
      </c>
      <c r="CB194" s="50" t="str">
        <f>IFERROR(VLOOKUP(BY194,'[1]WCVI Esc'!$C$5:$W$555,19,FALSE),"-")</f>
        <v>-</v>
      </c>
      <c r="CC194" s="50" t="str">
        <f t="shared" si="71"/>
        <v>-</v>
      </c>
      <c r="CE194" s="342" t="str">
        <f t="shared" si="72"/>
        <v>BLUE CREEK_Steelhead</v>
      </c>
      <c r="CF194" s="341" t="str">
        <f>IFERROR(VLOOKUP(BY194,'RawPL+D'!$O$8:$AB$503,12,FALSE),"-")</f>
        <v>-</v>
      </c>
      <c r="CG194" s="338" t="str">
        <f t="shared" si="73"/>
        <v>-</v>
      </c>
      <c r="CH194" s="341" t="str">
        <f>IFERROR(VLOOKUP(BY194,'RawPL+D'!$O$8:$AB$503,13,FALSE),"-")</f>
        <v>-</v>
      </c>
      <c r="CI194" s="338" t="str">
        <f t="shared" si="74"/>
        <v>-</v>
      </c>
    </row>
    <row r="195" spans="1:87" ht="12.75" hidden="1" customHeight="1" x14ac:dyDescent="0.2">
      <c r="A195" s="28">
        <v>4</v>
      </c>
      <c r="B195" s="29">
        <v>1</v>
      </c>
      <c r="C195" s="13">
        <v>21</v>
      </c>
      <c r="D195" s="147" t="s">
        <v>304</v>
      </c>
      <c r="E195" s="10" t="s">
        <v>166</v>
      </c>
      <c r="F195" s="10" t="s">
        <v>207</v>
      </c>
      <c r="G195" s="10"/>
      <c r="H195" s="10"/>
      <c r="I195" s="10"/>
      <c r="J195" s="10"/>
      <c r="K195" s="575"/>
      <c r="L195" s="152"/>
      <c r="M195" s="164"/>
      <c r="N195" s="62"/>
      <c r="O195" s="62"/>
      <c r="P195" s="64"/>
      <c r="Q195" s="62"/>
      <c r="R195" s="62"/>
      <c r="S195" s="62"/>
      <c r="T195" s="62"/>
      <c r="U195" s="62"/>
      <c r="V195" s="164"/>
      <c r="W195" s="62"/>
      <c r="X195" s="62"/>
      <c r="Y195" s="62"/>
      <c r="Z195" s="64"/>
      <c r="AA195" s="164"/>
      <c r="AB195" s="62"/>
      <c r="AC195" s="62"/>
      <c r="AD195" s="64"/>
      <c r="AE195" s="164"/>
      <c r="AF195" s="62"/>
      <c r="AG195" s="62"/>
      <c r="AH195" s="337"/>
      <c r="AI195" s="337"/>
      <c r="AJ195" s="337"/>
      <c r="AK195" s="337"/>
      <c r="AL195" s="412"/>
      <c r="AM195" s="414"/>
      <c r="AN195" s="45"/>
      <c r="AO195" s="45"/>
      <c r="AP195" s="45"/>
      <c r="AQ195" s="396"/>
      <c r="AR195" s="100"/>
      <c r="AS195" s="100"/>
      <c r="AT195" s="100"/>
      <c r="AU195" s="100"/>
      <c r="AV195" s="100"/>
      <c r="AW195" s="69">
        <v>21</v>
      </c>
      <c r="AX195" s="69" t="s">
        <v>304</v>
      </c>
      <c r="AY195" s="243" t="s">
        <v>166</v>
      </c>
      <c r="AZ195" s="243" t="str">
        <f t="shared" si="53"/>
        <v>Sockeye</v>
      </c>
      <c r="BA195" s="243" t="s">
        <v>419</v>
      </c>
      <c r="BB195" s="246"/>
      <c r="BC195" s="43" t="str">
        <f t="shared" si="54"/>
        <v>-</v>
      </c>
      <c r="BD195" s="43">
        <f t="shared" si="55"/>
        <v>0</v>
      </c>
      <c r="BE195" s="193">
        <f t="shared" si="56"/>
        <v>0</v>
      </c>
      <c r="BF195" s="193">
        <f t="shared" si="57"/>
        <v>0</v>
      </c>
      <c r="BG195" s="193">
        <f t="shared" si="58"/>
        <v>0</v>
      </c>
      <c r="BH195" s="307" t="str">
        <f t="shared" si="59"/>
        <v>-</v>
      </c>
      <c r="BI195" s="265" t="str">
        <f t="shared" si="77"/>
        <v>-</v>
      </c>
      <c r="BJ195" s="26" t="str">
        <f t="shared" si="60"/>
        <v>CARMANAH CREEKSockeye</v>
      </c>
      <c r="BK195" s="26">
        <f t="shared" si="61"/>
        <v>0</v>
      </c>
      <c r="BL195" s="33">
        <f t="shared" si="76"/>
        <v>0</v>
      </c>
      <c r="BQ195" s="47" t="str">
        <f t="shared" si="62"/>
        <v>CARMANAH CREEKSockeye</v>
      </c>
      <c r="BR195" s="49">
        <f t="shared" si="63"/>
        <v>0</v>
      </c>
      <c r="BS195" s="49">
        <f t="shared" si="64"/>
        <v>0</v>
      </c>
      <c r="BT195" s="31">
        <v>1993</v>
      </c>
      <c r="BU195" s="188">
        <f t="shared" si="65"/>
        <v>0</v>
      </c>
      <c r="BV195" s="188" t="str">
        <f t="shared" si="66"/>
        <v xml:space="preserve"> </v>
      </c>
      <c r="BW195" s="188" t="str">
        <f t="shared" si="67"/>
        <v xml:space="preserve"> </v>
      </c>
      <c r="BX195" s="188" t="str">
        <f t="shared" si="68"/>
        <v xml:space="preserve"> </v>
      </c>
      <c r="BY195" s="50" t="str">
        <f t="shared" si="69"/>
        <v>CARMANAH CREEK_Sockeye</v>
      </c>
      <c r="BZ195" s="50" t="str">
        <f>IFERROR(VLOOKUP(BY195,'[1]WCVI Esc'!$C$5:$W$555,18,FALSE),"-")</f>
        <v>-</v>
      </c>
      <c r="CA195" s="50" t="str">
        <f t="shared" si="70"/>
        <v>-</v>
      </c>
      <c r="CB195" s="50" t="str">
        <f>IFERROR(VLOOKUP(BY195,'[1]WCVI Esc'!$C$5:$W$555,19,FALSE),"-")</f>
        <v>-</v>
      </c>
      <c r="CC195" s="50" t="str">
        <f t="shared" si="71"/>
        <v>-</v>
      </c>
      <c r="CE195" s="342" t="str">
        <f t="shared" si="72"/>
        <v>CARMANAH CREEK_Sockeye</v>
      </c>
      <c r="CF195" s="341" t="str">
        <f>IFERROR(VLOOKUP(BY195,'RawPL+D'!$O$8:$AB$503,12,FALSE),"-")</f>
        <v>-</v>
      </c>
      <c r="CG195" s="338" t="str">
        <f t="shared" si="73"/>
        <v>-</v>
      </c>
      <c r="CH195" s="341" t="str">
        <f>IFERROR(VLOOKUP(BY195,'RawPL+D'!$O$8:$AB$503,13,FALSE),"-")</f>
        <v>-</v>
      </c>
      <c r="CI195" s="338" t="str">
        <f t="shared" si="74"/>
        <v>-</v>
      </c>
    </row>
    <row r="196" spans="1:87" ht="12.75" hidden="1" customHeight="1" x14ac:dyDescent="0.2">
      <c r="A196" s="28">
        <v>4</v>
      </c>
      <c r="B196" s="29">
        <v>2</v>
      </c>
      <c r="C196" s="13">
        <v>21</v>
      </c>
      <c r="D196" s="147" t="s">
        <v>304</v>
      </c>
      <c r="E196" s="10" t="s">
        <v>166</v>
      </c>
      <c r="F196" s="10" t="s">
        <v>219</v>
      </c>
      <c r="G196" s="10"/>
      <c r="H196" s="10"/>
      <c r="I196" s="10"/>
      <c r="J196" s="10"/>
      <c r="K196" s="575"/>
      <c r="L196" s="152"/>
      <c r="M196" s="164"/>
      <c r="N196" s="62"/>
      <c r="O196" s="62"/>
      <c r="P196" s="64"/>
      <c r="Q196" s="62"/>
      <c r="R196" s="62"/>
      <c r="S196" s="62"/>
      <c r="T196" s="62"/>
      <c r="U196" s="62"/>
      <c r="V196" s="164"/>
      <c r="W196" s="62"/>
      <c r="X196" s="62"/>
      <c r="Y196" s="62"/>
      <c r="Z196" s="64"/>
      <c r="AA196" s="164"/>
      <c r="AB196" s="62"/>
      <c r="AC196" s="62"/>
      <c r="AD196" s="64"/>
      <c r="AE196" s="164"/>
      <c r="AF196" s="62"/>
      <c r="AG196" s="62"/>
      <c r="AH196" s="337"/>
      <c r="AI196" s="337"/>
      <c r="AJ196" s="337"/>
      <c r="AK196" s="337"/>
      <c r="AL196" s="412"/>
      <c r="AM196" s="414"/>
      <c r="AN196" s="45"/>
      <c r="AO196" s="45"/>
      <c r="AP196" s="45"/>
      <c r="AQ196" s="396"/>
      <c r="AR196" s="100"/>
      <c r="AS196" s="100"/>
      <c r="AT196" s="100"/>
      <c r="AU196" s="100"/>
      <c r="AV196" s="100"/>
      <c r="AW196" s="69">
        <v>21</v>
      </c>
      <c r="AX196" s="69" t="s">
        <v>304</v>
      </c>
      <c r="AY196" s="243" t="s">
        <v>166</v>
      </c>
      <c r="AZ196" s="243" t="str">
        <f t="shared" si="53"/>
        <v>Coho</v>
      </c>
      <c r="BA196" s="243" t="s">
        <v>419</v>
      </c>
      <c r="BB196" s="246"/>
      <c r="BC196" s="43" t="str">
        <f t="shared" si="54"/>
        <v>-</v>
      </c>
      <c r="BD196" s="43">
        <f t="shared" si="55"/>
        <v>0</v>
      </c>
      <c r="BE196" s="193">
        <f t="shared" si="56"/>
        <v>0</v>
      </c>
      <c r="BF196" s="193">
        <f t="shared" si="57"/>
        <v>0</v>
      </c>
      <c r="BG196" s="193">
        <f t="shared" si="58"/>
        <v>0</v>
      </c>
      <c r="BH196" s="307" t="str">
        <f t="shared" si="59"/>
        <v>-</v>
      </c>
      <c r="BI196" s="265" t="str">
        <f t="shared" si="77"/>
        <v>-</v>
      </c>
      <c r="BJ196" s="26" t="str">
        <f t="shared" si="60"/>
        <v>CARMANAH CREEKCoho</v>
      </c>
      <c r="BK196" s="26">
        <f t="shared" si="61"/>
        <v>0</v>
      </c>
      <c r="BL196" s="33">
        <f t="shared" si="76"/>
        <v>0</v>
      </c>
      <c r="BQ196" s="47" t="str">
        <f t="shared" si="62"/>
        <v>CARMANAH CREEKCoho</v>
      </c>
      <c r="BR196" s="49">
        <f t="shared" si="63"/>
        <v>0</v>
      </c>
      <c r="BS196" s="49">
        <f t="shared" si="64"/>
        <v>0</v>
      </c>
      <c r="BT196" s="31">
        <v>1993</v>
      </c>
      <c r="BU196" s="188">
        <f t="shared" si="65"/>
        <v>0</v>
      </c>
      <c r="BV196" s="188" t="str">
        <f t="shared" si="66"/>
        <v xml:space="preserve"> </v>
      </c>
      <c r="BW196" s="188" t="str">
        <f t="shared" si="67"/>
        <v xml:space="preserve"> </v>
      </c>
      <c r="BX196" s="188" t="str">
        <f t="shared" si="68"/>
        <v xml:space="preserve"> </v>
      </c>
      <c r="BY196" s="50" t="str">
        <f t="shared" si="69"/>
        <v>CARMANAH CREEK_Coho</v>
      </c>
      <c r="BZ196" s="50" t="str">
        <f>IFERROR(VLOOKUP(BY196,'[1]WCVI Esc'!$C$5:$W$555,18,FALSE),"-")</f>
        <v>-</v>
      </c>
      <c r="CA196" s="50" t="str">
        <f t="shared" si="70"/>
        <v>-</v>
      </c>
      <c r="CB196" s="50" t="str">
        <f>IFERROR(VLOOKUP(BY196,'[1]WCVI Esc'!$C$5:$W$555,19,FALSE),"-")</f>
        <v>-</v>
      </c>
      <c r="CC196" s="50" t="str">
        <f t="shared" si="71"/>
        <v>-</v>
      </c>
      <c r="CE196" s="342" t="str">
        <f t="shared" si="72"/>
        <v>CARMANAH CREEK_Coho</v>
      </c>
      <c r="CF196" s="341" t="str">
        <f>IFERROR(VLOOKUP(BY196,'RawPL+D'!$O$8:$AB$503,12,FALSE),"-")</f>
        <v>-</v>
      </c>
      <c r="CG196" s="338" t="str">
        <f t="shared" si="73"/>
        <v>-</v>
      </c>
      <c r="CH196" s="341" t="str">
        <f>IFERROR(VLOOKUP(BY196,'RawPL+D'!$O$8:$AB$503,13,FALSE),"-")</f>
        <v>-</v>
      </c>
      <c r="CI196" s="338" t="str">
        <f t="shared" si="74"/>
        <v>-</v>
      </c>
    </row>
    <row r="197" spans="1:87" ht="12.75" hidden="1" customHeight="1" x14ac:dyDescent="0.2">
      <c r="A197" s="28">
        <v>4</v>
      </c>
      <c r="B197" s="29">
        <v>3</v>
      </c>
      <c r="C197" s="13">
        <v>21</v>
      </c>
      <c r="D197" s="147" t="s">
        <v>304</v>
      </c>
      <c r="E197" s="10" t="s">
        <v>166</v>
      </c>
      <c r="F197" s="10" t="s">
        <v>208</v>
      </c>
      <c r="G197" s="10"/>
      <c r="H197" s="10"/>
      <c r="I197" s="10"/>
      <c r="J197" s="10"/>
      <c r="K197" s="575"/>
      <c r="L197" s="152"/>
      <c r="M197" s="164"/>
      <c r="N197" s="62"/>
      <c r="O197" s="62"/>
      <c r="P197" s="64"/>
      <c r="Q197" s="62"/>
      <c r="R197" s="62"/>
      <c r="S197" s="62"/>
      <c r="T197" s="62"/>
      <c r="U197" s="62"/>
      <c r="V197" s="164"/>
      <c r="W197" s="62"/>
      <c r="X197" s="62"/>
      <c r="Y197" s="62"/>
      <c r="Z197" s="64"/>
      <c r="AA197" s="164"/>
      <c r="AB197" s="62"/>
      <c r="AC197" s="62"/>
      <c r="AD197" s="64"/>
      <c r="AE197" s="164"/>
      <c r="AF197" s="62"/>
      <c r="AG197" s="62"/>
      <c r="AH197" s="337"/>
      <c r="AI197" s="337"/>
      <c r="AJ197" s="337"/>
      <c r="AK197" s="337"/>
      <c r="AL197" s="412"/>
      <c r="AM197" s="414"/>
      <c r="AN197" s="45"/>
      <c r="AO197" s="45"/>
      <c r="AP197" s="45"/>
      <c r="AQ197" s="396"/>
      <c r="AR197" s="100"/>
      <c r="AS197" s="100"/>
      <c r="AT197" s="100"/>
      <c r="AU197" s="100"/>
      <c r="AV197" s="100"/>
      <c r="AW197" s="69">
        <v>21</v>
      </c>
      <c r="AX197" s="69" t="s">
        <v>304</v>
      </c>
      <c r="AY197" s="243" t="s">
        <v>166</v>
      </c>
      <c r="AZ197" s="243" t="str">
        <f t="shared" si="53"/>
        <v>Pink</v>
      </c>
      <c r="BA197" s="243" t="s">
        <v>419</v>
      </c>
      <c r="BB197" s="246"/>
      <c r="BC197" s="43" t="str">
        <f t="shared" si="54"/>
        <v>-</v>
      </c>
      <c r="BD197" s="43">
        <f t="shared" si="55"/>
        <v>0</v>
      </c>
      <c r="BE197" s="193">
        <f t="shared" si="56"/>
        <v>0</v>
      </c>
      <c r="BF197" s="193">
        <f t="shared" si="57"/>
        <v>0</v>
      </c>
      <c r="BG197" s="193">
        <f t="shared" si="58"/>
        <v>0</v>
      </c>
      <c r="BH197" s="307" t="str">
        <f t="shared" si="59"/>
        <v>-</v>
      </c>
      <c r="BI197" s="265" t="str">
        <f t="shared" si="77"/>
        <v>-</v>
      </c>
      <c r="BJ197" s="26" t="str">
        <f t="shared" si="60"/>
        <v>CARMANAH CREEKPink</v>
      </c>
      <c r="BK197" s="26">
        <f t="shared" si="61"/>
        <v>0</v>
      </c>
      <c r="BL197" s="33">
        <f t="shared" si="76"/>
        <v>0</v>
      </c>
      <c r="BQ197" s="47" t="str">
        <f t="shared" si="62"/>
        <v>CARMANAH CREEKPink</v>
      </c>
      <c r="BR197" s="49">
        <f t="shared" si="63"/>
        <v>0</v>
      </c>
      <c r="BS197" s="49">
        <f t="shared" si="64"/>
        <v>0</v>
      </c>
      <c r="BT197" s="31">
        <v>0</v>
      </c>
      <c r="BU197" s="188">
        <f t="shared" si="65"/>
        <v>0</v>
      </c>
      <c r="BV197" s="188" t="str">
        <f t="shared" si="66"/>
        <v xml:space="preserve"> </v>
      </c>
      <c r="BW197" s="188" t="str">
        <f t="shared" si="67"/>
        <v xml:space="preserve"> </v>
      </c>
      <c r="BX197" s="188" t="str">
        <f t="shared" si="68"/>
        <v xml:space="preserve"> </v>
      </c>
      <c r="BY197" s="50" t="str">
        <f t="shared" si="69"/>
        <v>CARMANAH CREEK_Pink</v>
      </c>
      <c r="BZ197" s="50" t="str">
        <f>IFERROR(VLOOKUP(BY197,'[1]WCVI Esc'!$C$5:$W$555,18,FALSE),"-")</f>
        <v>-</v>
      </c>
      <c r="CA197" s="50" t="str">
        <f t="shared" si="70"/>
        <v>-</v>
      </c>
      <c r="CB197" s="50" t="str">
        <f>IFERROR(VLOOKUP(BY197,'[1]WCVI Esc'!$C$5:$W$555,19,FALSE),"-")</f>
        <v>-</v>
      </c>
      <c r="CC197" s="50" t="str">
        <f t="shared" si="71"/>
        <v>-</v>
      </c>
      <c r="CE197" s="342" t="str">
        <f t="shared" si="72"/>
        <v>CARMANAH CREEK_Pink</v>
      </c>
      <c r="CF197" s="341" t="str">
        <f>IFERROR(VLOOKUP(BY197,'RawPL+D'!$O$8:$AB$503,12,FALSE),"-")</f>
        <v>-</v>
      </c>
      <c r="CG197" s="338" t="str">
        <f t="shared" si="73"/>
        <v>-</v>
      </c>
      <c r="CH197" s="341" t="str">
        <f>IFERROR(VLOOKUP(BY197,'RawPL+D'!$O$8:$AB$503,13,FALSE),"-")</f>
        <v>-</v>
      </c>
      <c r="CI197" s="338" t="str">
        <f t="shared" si="74"/>
        <v>-</v>
      </c>
    </row>
    <row r="198" spans="1:87" ht="12.75" hidden="1" customHeight="1" x14ac:dyDescent="0.2">
      <c r="A198" s="28">
        <v>4</v>
      </c>
      <c r="B198" s="29">
        <v>4</v>
      </c>
      <c r="C198" s="13">
        <v>21</v>
      </c>
      <c r="D198" s="147" t="s">
        <v>304</v>
      </c>
      <c r="E198" s="10" t="s">
        <v>166</v>
      </c>
      <c r="F198" s="10" t="s">
        <v>209</v>
      </c>
      <c r="G198" s="10"/>
      <c r="H198" s="10"/>
      <c r="I198" s="10"/>
      <c r="J198" s="10"/>
      <c r="K198" s="575"/>
      <c r="L198" s="152"/>
      <c r="M198" s="164"/>
      <c r="N198" s="62"/>
      <c r="O198" s="62"/>
      <c r="P198" s="64"/>
      <c r="Q198" s="62"/>
      <c r="R198" s="62"/>
      <c r="S198" s="62"/>
      <c r="T198" s="62"/>
      <c r="U198" s="62"/>
      <c r="V198" s="164"/>
      <c r="W198" s="62"/>
      <c r="X198" s="62"/>
      <c r="Y198" s="62"/>
      <c r="Z198" s="64"/>
      <c r="AA198" s="164"/>
      <c r="AB198" s="62"/>
      <c r="AC198" s="62"/>
      <c r="AD198" s="64"/>
      <c r="AE198" s="164"/>
      <c r="AF198" s="62"/>
      <c r="AG198" s="62"/>
      <c r="AH198" s="337"/>
      <c r="AI198" s="337"/>
      <c r="AJ198" s="337"/>
      <c r="AK198" s="337"/>
      <c r="AL198" s="412"/>
      <c r="AM198" s="414"/>
      <c r="AN198" s="45"/>
      <c r="AO198" s="45"/>
      <c r="AP198" s="45"/>
      <c r="AQ198" s="396"/>
      <c r="AR198" s="100"/>
      <c r="AS198" s="100"/>
      <c r="AT198" s="100"/>
      <c r="AU198" s="100"/>
      <c r="AV198" s="100"/>
      <c r="AW198" s="69">
        <v>21</v>
      </c>
      <c r="AX198" s="69" t="s">
        <v>304</v>
      </c>
      <c r="AY198" s="243" t="s">
        <v>166</v>
      </c>
      <c r="AZ198" s="243" t="str">
        <f t="shared" si="53"/>
        <v>Chum</v>
      </c>
      <c r="BA198" s="243" t="s">
        <v>419</v>
      </c>
      <c r="BB198" s="246"/>
      <c r="BC198" s="43" t="str">
        <f t="shared" si="54"/>
        <v>-</v>
      </c>
      <c r="BD198" s="43">
        <f t="shared" si="55"/>
        <v>0</v>
      </c>
      <c r="BE198" s="193">
        <f t="shared" si="56"/>
        <v>0</v>
      </c>
      <c r="BF198" s="193">
        <f t="shared" si="57"/>
        <v>0</v>
      </c>
      <c r="BG198" s="193">
        <f t="shared" si="58"/>
        <v>0</v>
      </c>
      <c r="BH198" s="307" t="str">
        <f t="shared" si="59"/>
        <v>-</v>
      </c>
      <c r="BI198" s="265" t="str">
        <f t="shared" si="77"/>
        <v>-</v>
      </c>
      <c r="BJ198" s="26" t="str">
        <f t="shared" si="60"/>
        <v>CARMANAH CREEKChum</v>
      </c>
      <c r="BK198" s="26">
        <f t="shared" si="61"/>
        <v>0</v>
      </c>
      <c r="BL198" s="33">
        <f t="shared" si="76"/>
        <v>0</v>
      </c>
      <c r="BQ198" s="47" t="str">
        <f t="shared" si="62"/>
        <v>CARMANAH CREEKChum</v>
      </c>
      <c r="BR198" s="49">
        <f t="shared" si="63"/>
        <v>0</v>
      </c>
      <c r="BS198" s="49">
        <f t="shared" si="64"/>
        <v>0</v>
      </c>
      <c r="BT198" s="31">
        <v>1993</v>
      </c>
      <c r="BU198" s="188">
        <f t="shared" si="65"/>
        <v>0</v>
      </c>
      <c r="BV198" s="188" t="str">
        <f t="shared" si="66"/>
        <v xml:space="preserve"> </v>
      </c>
      <c r="BW198" s="188" t="str">
        <f t="shared" si="67"/>
        <v xml:space="preserve"> </v>
      </c>
      <c r="BX198" s="188" t="str">
        <f t="shared" si="68"/>
        <v xml:space="preserve"> </v>
      </c>
      <c r="BY198" s="50" t="str">
        <f t="shared" si="69"/>
        <v>CARMANAH CREEK_Chum</v>
      </c>
      <c r="BZ198" s="50" t="str">
        <f>IFERROR(VLOOKUP(BY198,'[1]WCVI Esc'!$C$5:$W$555,18,FALSE),"-")</f>
        <v>-</v>
      </c>
      <c r="CA198" s="50" t="str">
        <f t="shared" si="70"/>
        <v>-</v>
      </c>
      <c r="CB198" s="50" t="str">
        <f>IFERROR(VLOOKUP(BY198,'[1]WCVI Esc'!$C$5:$W$555,19,FALSE),"-")</f>
        <v>-</v>
      </c>
      <c r="CC198" s="50" t="str">
        <f t="shared" si="71"/>
        <v>-</v>
      </c>
      <c r="CE198" s="342" t="str">
        <f t="shared" si="72"/>
        <v>CARMANAH CREEK_Chum</v>
      </c>
      <c r="CF198" s="341" t="str">
        <f>IFERROR(VLOOKUP(BY198,'RawPL+D'!$O$8:$AB$503,12,FALSE),"-")</f>
        <v>-</v>
      </c>
      <c r="CG198" s="338" t="str">
        <f t="shared" si="73"/>
        <v>-</v>
      </c>
      <c r="CH198" s="341" t="str">
        <f>IFERROR(VLOOKUP(BY198,'RawPL+D'!$O$8:$AB$503,13,FALSE),"-")</f>
        <v>-</v>
      </c>
      <c r="CI198" s="338" t="str">
        <f t="shared" si="74"/>
        <v>-</v>
      </c>
    </row>
    <row r="199" spans="1:87" ht="12.75" hidden="1" customHeight="1" x14ac:dyDescent="0.2">
      <c r="A199" s="28">
        <v>4</v>
      </c>
      <c r="B199" s="29">
        <v>5</v>
      </c>
      <c r="C199" s="13">
        <v>21</v>
      </c>
      <c r="D199" s="147" t="s">
        <v>304</v>
      </c>
      <c r="E199" s="10" t="s">
        <v>166</v>
      </c>
      <c r="F199" s="10" t="s">
        <v>210</v>
      </c>
      <c r="G199" s="10"/>
      <c r="H199" s="10"/>
      <c r="I199" s="10"/>
      <c r="J199" s="10"/>
      <c r="K199" s="575"/>
      <c r="L199" s="152"/>
      <c r="M199" s="164"/>
      <c r="N199" s="62"/>
      <c r="O199" s="62"/>
      <c r="P199" s="64"/>
      <c r="Q199" s="62"/>
      <c r="R199" s="62"/>
      <c r="S199" s="62"/>
      <c r="T199" s="62"/>
      <c r="U199" s="62"/>
      <c r="V199" s="164"/>
      <c r="W199" s="62"/>
      <c r="X199" s="62"/>
      <c r="Y199" s="62"/>
      <c r="Z199" s="64"/>
      <c r="AA199" s="164"/>
      <c r="AB199" s="62"/>
      <c r="AC199" s="62"/>
      <c r="AD199" s="64"/>
      <c r="AE199" s="164"/>
      <c r="AF199" s="62"/>
      <c r="AG199" s="62"/>
      <c r="AH199" s="337"/>
      <c r="AI199" s="337"/>
      <c r="AJ199" s="337"/>
      <c r="AK199" s="337"/>
      <c r="AL199" s="412"/>
      <c r="AM199" s="414"/>
      <c r="AN199" s="45"/>
      <c r="AO199" s="45"/>
      <c r="AP199" s="45"/>
      <c r="AQ199" s="396"/>
      <c r="AR199" s="100"/>
      <c r="AS199" s="100"/>
      <c r="AT199" s="100"/>
      <c r="AU199" s="100"/>
      <c r="AV199" s="100"/>
      <c r="AW199" s="69">
        <v>21</v>
      </c>
      <c r="AX199" s="69" t="s">
        <v>304</v>
      </c>
      <c r="AY199" s="243" t="s">
        <v>166</v>
      </c>
      <c r="AZ199" s="243" t="str">
        <f t="shared" si="53"/>
        <v>Chinook</v>
      </c>
      <c r="BA199" s="243" t="s">
        <v>419</v>
      </c>
      <c r="BB199" s="246"/>
      <c r="BC199" s="43" t="str">
        <f t="shared" si="54"/>
        <v>-</v>
      </c>
      <c r="BD199" s="43">
        <f t="shared" si="55"/>
        <v>0</v>
      </c>
      <c r="BE199" s="193">
        <f t="shared" si="56"/>
        <v>0</v>
      </c>
      <c r="BF199" s="193">
        <f t="shared" si="57"/>
        <v>0</v>
      </c>
      <c r="BG199" s="193">
        <f t="shared" si="58"/>
        <v>0</v>
      </c>
      <c r="BH199" s="307" t="str">
        <f t="shared" si="59"/>
        <v>-</v>
      </c>
      <c r="BI199" s="265" t="str">
        <f t="shared" si="77"/>
        <v>-</v>
      </c>
      <c r="BJ199" s="26" t="str">
        <f t="shared" si="60"/>
        <v>CARMANAH CREEKChinook</v>
      </c>
      <c r="BK199" s="26">
        <f t="shared" si="61"/>
        <v>0</v>
      </c>
      <c r="BL199" s="33">
        <f t="shared" si="76"/>
        <v>0</v>
      </c>
      <c r="BQ199" s="47" t="str">
        <f t="shared" si="62"/>
        <v>CARMANAH CREEKChinook</v>
      </c>
      <c r="BR199" s="49">
        <f t="shared" si="63"/>
        <v>0</v>
      </c>
      <c r="BS199" s="49">
        <f t="shared" si="64"/>
        <v>0</v>
      </c>
      <c r="BT199" s="31">
        <v>1993</v>
      </c>
      <c r="BU199" s="188">
        <f t="shared" si="65"/>
        <v>0</v>
      </c>
      <c r="BV199" s="188" t="str">
        <f t="shared" si="66"/>
        <v xml:space="preserve"> </v>
      </c>
      <c r="BW199" s="188" t="str">
        <f t="shared" si="67"/>
        <v xml:space="preserve"> </v>
      </c>
      <c r="BX199" s="188" t="str">
        <f t="shared" si="68"/>
        <v xml:space="preserve"> </v>
      </c>
      <c r="BY199" s="50" t="str">
        <f t="shared" si="69"/>
        <v>CARMANAH CREEK_Chinook</v>
      </c>
      <c r="BZ199" s="50" t="str">
        <f>IFERROR(VLOOKUP(BY199,'[1]WCVI Esc'!$C$5:$W$555,18,FALSE),"-")</f>
        <v>-</v>
      </c>
      <c r="CA199" s="50" t="str">
        <f t="shared" si="70"/>
        <v>-</v>
      </c>
      <c r="CB199" s="50" t="str">
        <f>IFERROR(VLOOKUP(BY199,'[1]WCVI Esc'!$C$5:$W$555,19,FALSE),"-")</f>
        <v>-</v>
      </c>
      <c r="CC199" s="50" t="str">
        <f t="shared" si="71"/>
        <v>-</v>
      </c>
      <c r="CE199" s="342" t="str">
        <f t="shared" si="72"/>
        <v>CARMANAH CREEK_Chinook</v>
      </c>
      <c r="CF199" s="341" t="str">
        <f>IFERROR(VLOOKUP(BY199,'RawPL+D'!$O$8:$AB$503,12,FALSE),"-")</f>
        <v>-</v>
      </c>
      <c r="CG199" s="338" t="str">
        <f t="shared" si="73"/>
        <v>-</v>
      </c>
      <c r="CH199" s="341" t="str">
        <f>IFERROR(VLOOKUP(BY199,'RawPL+D'!$O$8:$AB$503,13,FALSE),"-")</f>
        <v>-</v>
      </c>
      <c r="CI199" s="338" t="str">
        <f t="shared" si="74"/>
        <v>-</v>
      </c>
    </row>
    <row r="200" spans="1:87" ht="12.75" hidden="1" customHeight="1" x14ac:dyDescent="0.2">
      <c r="A200" s="28">
        <v>4</v>
      </c>
      <c r="B200" s="29">
        <v>6</v>
      </c>
      <c r="C200" s="13">
        <v>21</v>
      </c>
      <c r="D200" s="147" t="s">
        <v>304</v>
      </c>
      <c r="E200" s="10" t="s">
        <v>166</v>
      </c>
      <c r="F200" s="10" t="s">
        <v>211</v>
      </c>
      <c r="G200" s="10"/>
      <c r="H200" s="10"/>
      <c r="I200" s="10"/>
      <c r="J200" s="10"/>
      <c r="K200" s="575"/>
      <c r="L200" s="152"/>
      <c r="M200" s="164"/>
      <c r="N200" s="62"/>
      <c r="O200" s="62"/>
      <c r="P200" s="64"/>
      <c r="Q200" s="62"/>
      <c r="R200" s="62"/>
      <c r="S200" s="62"/>
      <c r="T200" s="62"/>
      <c r="U200" s="62"/>
      <c r="V200" s="164"/>
      <c r="W200" s="62"/>
      <c r="X200" s="62"/>
      <c r="Y200" s="62"/>
      <c r="Z200" s="64"/>
      <c r="AA200" s="164"/>
      <c r="AB200" s="62"/>
      <c r="AC200" s="62"/>
      <c r="AD200" s="64"/>
      <c r="AE200" s="164"/>
      <c r="AF200" s="62"/>
      <c r="AG200" s="62"/>
      <c r="AH200" s="337"/>
      <c r="AI200" s="337"/>
      <c r="AJ200" s="337"/>
      <c r="AK200" s="337"/>
      <c r="AL200" s="412"/>
      <c r="AM200" s="414"/>
      <c r="AN200" s="45"/>
      <c r="AO200" s="45"/>
      <c r="AP200" s="45"/>
      <c r="AQ200" s="396"/>
      <c r="AR200" s="100"/>
      <c r="AS200" s="100"/>
      <c r="AT200" s="100"/>
      <c r="AU200" s="100"/>
      <c r="AV200" s="100"/>
      <c r="AW200" s="69">
        <v>21</v>
      </c>
      <c r="AX200" s="69" t="s">
        <v>304</v>
      </c>
      <c r="AY200" s="243" t="s">
        <v>166</v>
      </c>
      <c r="AZ200" s="243" t="str">
        <f t="shared" si="53"/>
        <v>Steelhead</v>
      </c>
      <c r="BA200" s="243" t="s">
        <v>419</v>
      </c>
      <c r="BB200" s="246"/>
      <c r="BC200" s="43" t="str">
        <f t="shared" si="54"/>
        <v>-</v>
      </c>
      <c r="BD200" s="43">
        <f t="shared" si="55"/>
        <v>0</v>
      </c>
      <c r="BE200" s="193">
        <f t="shared" si="56"/>
        <v>0</v>
      </c>
      <c r="BF200" s="193">
        <f t="shared" si="57"/>
        <v>0</v>
      </c>
      <c r="BG200" s="193">
        <f t="shared" si="58"/>
        <v>0</v>
      </c>
      <c r="BH200" s="307" t="str">
        <f t="shared" si="59"/>
        <v>-</v>
      </c>
      <c r="BI200" s="265" t="str">
        <f t="shared" si="77"/>
        <v>-</v>
      </c>
      <c r="BJ200" s="26" t="str">
        <f t="shared" si="60"/>
        <v>CARMANAH CREEKSteelhead</v>
      </c>
      <c r="BK200" s="26">
        <f t="shared" si="61"/>
        <v>0</v>
      </c>
      <c r="BL200" s="33">
        <f t="shared" si="76"/>
        <v>0</v>
      </c>
      <c r="BQ200" s="47" t="str">
        <f t="shared" si="62"/>
        <v>CARMANAH CREEKSteelhead</v>
      </c>
      <c r="BR200" s="49">
        <f t="shared" si="63"/>
        <v>0</v>
      </c>
      <c r="BS200" s="49">
        <f t="shared" si="64"/>
        <v>0</v>
      </c>
      <c r="BT200" s="31">
        <v>0</v>
      </c>
      <c r="BU200" s="188">
        <f t="shared" si="65"/>
        <v>0</v>
      </c>
      <c r="BV200" s="188" t="str">
        <f t="shared" si="66"/>
        <v xml:space="preserve"> </v>
      </c>
      <c r="BW200" s="188" t="str">
        <f t="shared" si="67"/>
        <v xml:space="preserve"> </v>
      </c>
      <c r="BX200" s="188" t="str">
        <f t="shared" si="68"/>
        <v xml:space="preserve"> </v>
      </c>
      <c r="BY200" s="50" t="str">
        <f t="shared" si="69"/>
        <v>CARMANAH CREEK_Steelhead</v>
      </c>
      <c r="BZ200" s="50" t="str">
        <f>IFERROR(VLOOKUP(BY200,'[1]WCVI Esc'!$C$5:$W$555,18,FALSE),"-")</f>
        <v>-</v>
      </c>
      <c r="CA200" s="50" t="str">
        <f t="shared" si="70"/>
        <v>-</v>
      </c>
      <c r="CB200" s="50" t="str">
        <f>IFERROR(VLOOKUP(BY200,'[1]WCVI Esc'!$C$5:$W$555,19,FALSE),"-")</f>
        <v>-</v>
      </c>
      <c r="CC200" s="50" t="str">
        <f t="shared" si="71"/>
        <v>-</v>
      </c>
      <c r="CE200" s="342" t="str">
        <f t="shared" si="72"/>
        <v>CARMANAH CREEK_Steelhead</v>
      </c>
      <c r="CF200" s="341" t="str">
        <f>IFERROR(VLOOKUP(BY200,'RawPL+D'!$O$8:$AB$503,12,FALSE),"-")</f>
        <v>-</v>
      </c>
      <c r="CG200" s="338" t="str">
        <f t="shared" si="73"/>
        <v>-</v>
      </c>
      <c r="CH200" s="341" t="str">
        <f>IFERROR(VLOOKUP(BY200,'RawPL+D'!$O$8:$AB$503,13,FALSE),"-")</f>
        <v>-</v>
      </c>
      <c r="CI200" s="338" t="str">
        <f t="shared" si="74"/>
        <v>-</v>
      </c>
    </row>
    <row r="201" spans="1:87" ht="12.75" hidden="1" customHeight="1" x14ac:dyDescent="0.2">
      <c r="A201" s="28">
        <v>4</v>
      </c>
      <c r="B201" s="29">
        <v>1</v>
      </c>
      <c r="C201" s="103">
        <v>21</v>
      </c>
      <c r="D201" s="103" t="s">
        <v>304</v>
      </c>
      <c r="E201" s="22" t="s">
        <v>77</v>
      </c>
      <c r="F201" s="22" t="s">
        <v>207</v>
      </c>
      <c r="G201" s="22"/>
      <c r="H201" s="22"/>
      <c r="I201" s="22"/>
      <c r="J201" s="22"/>
      <c r="K201" s="589"/>
      <c r="L201" s="152"/>
      <c r="M201" s="164"/>
      <c r="N201" s="62"/>
      <c r="O201" s="62"/>
      <c r="P201" s="177"/>
      <c r="Q201" s="171"/>
      <c r="R201" s="62"/>
      <c r="S201" s="63"/>
      <c r="T201" s="62"/>
      <c r="U201" s="64"/>
      <c r="V201" s="803">
        <v>0</v>
      </c>
      <c r="W201" s="62"/>
      <c r="X201" s="62"/>
      <c r="Y201" s="62"/>
      <c r="Z201" s="64"/>
      <c r="AA201" s="164"/>
      <c r="AB201" s="62"/>
      <c r="AC201" s="62"/>
      <c r="AD201" s="64"/>
      <c r="AE201" s="164"/>
      <c r="AF201" s="62"/>
      <c r="AG201" s="62"/>
      <c r="AH201" s="337"/>
      <c r="AI201" s="337"/>
      <c r="AJ201" s="337"/>
      <c r="AK201" s="337"/>
      <c r="AL201" s="842"/>
      <c r="AM201" s="552"/>
      <c r="AN201" s="841"/>
      <c r="AO201" s="45"/>
      <c r="AP201" s="45"/>
      <c r="AQ201" s="396" t="e">
        <f>AL201/BI201</f>
        <v>#VALUE!</v>
      </c>
      <c r="AR201" s="100"/>
      <c r="AS201" s="100"/>
      <c r="AT201" s="100"/>
      <c r="AU201" s="100"/>
      <c r="AV201" s="100"/>
      <c r="AW201" s="69">
        <v>21</v>
      </c>
      <c r="AX201" s="69" t="s">
        <v>304</v>
      </c>
      <c r="AY201" s="243" t="s">
        <v>77</v>
      </c>
      <c r="AZ201" s="243" t="str">
        <f t="shared" ref="AZ201:AZ264" si="78">F201</f>
        <v>Sockeye</v>
      </c>
      <c r="BA201" s="243" t="s">
        <v>419</v>
      </c>
      <c r="BB201" s="244" t="s">
        <v>374</v>
      </c>
      <c r="BC201" s="43" t="str">
        <f t="shared" ref="BC201:BC264" si="79">IF(BX201=" ",IF(BW201=" ", IF(BV201=" ","-",BV201),BW201), BX201)</f>
        <v>Nov 5-11</v>
      </c>
      <c r="BD201" s="43">
        <f t="shared" ref="BD201:BD264" si="80">BK201</f>
        <v>1</v>
      </c>
      <c r="BE201" s="193">
        <f t="shared" ref="BE201:BE264" si="81">BL201</f>
        <v>0</v>
      </c>
      <c r="BF201" s="193">
        <f t="shared" ref="BF201:BF264" si="82">AL201</f>
        <v>0</v>
      </c>
      <c r="BG201" s="193">
        <f t="shared" ref="BG201:BG264" si="83">AH201</f>
        <v>0</v>
      </c>
      <c r="BH201" s="307">
        <f t="shared" ref="BH201:BH264" si="84">CI201</f>
        <v>0</v>
      </c>
      <c r="BI201" s="265" t="str">
        <f t="shared" si="77"/>
        <v>-</v>
      </c>
      <c r="BJ201" s="26" t="str">
        <f t="shared" ref="BJ201:BJ264" si="85">CONCATENATE(E201,F201)</f>
        <v>KLANAWA RIVERSockeye</v>
      </c>
      <c r="BK201" s="26">
        <f t="shared" ref="BK201:BK264" si="86">COUNT(K201:AB201)</f>
        <v>1</v>
      </c>
      <c r="BL201" s="33">
        <f t="shared" si="76"/>
        <v>0</v>
      </c>
      <c r="BQ201" s="47" t="str">
        <f t="shared" ref="BQ201:BQ264" si="87">CONCATENATE(E201,F201)</f>
        <v>KLANAWA RIVERSockeye</v>
      </c>
      <c r="BR201" s="49">
        <f t="shared" ref="BR201:BR264" si="88">AP201</f>
        <v>0</v>
      </c>
      <c r="BS201" s="49">
        <f t="shared" ref="BS201:BS264" si="89">AL201</f>
        <v>0</v>
      </c>
      <c r="BT201" s="31">
        <v>2011</v>
      </c>
      <c r="BU201" s="188" t="str">
        <f t="shared" ref="BU201:BU264" si="90">BB201</f>
        <v>HFN</v>
      </c>
      <c r="BV201" s="188" t="str">
        <f t="shared" ref="BV201:BV264" si="91">IF(ISNUMBER(Q201),Q$8,IF(ISNUMBER(P201),P$8,IF(ISNUMBER(O201),O$8,IF(ISNUMBER(N201),N$8,IF(ISNUMBER(M201),M$8,IF(ISNUMBER(L201),L$8, IF(ISNUMBER(K201),K$8," ")))))))</f>
        <v xml:space="preserve"> </v>
      </c>
      <c r="BW201" s="188" t="str">
        <f t="shared" ref="BW201:BW264" si="92">IF(ISNUMBER(W201),W$8,IF(ISNUMBER(V201),V$8,IF(ISNUMBER(U201),U$8,IF(ISNUMBER(T201),T$8,IF(ISNUMBER(S201),S$8,IF(ISNUMBER(R201),R$8," "))))))</f>
        <v>Nov 5-11</v>
      </c>
      <c r="BX201" s="188" t="str">
        <f t="shared" ref="BX201:BX264" si="93">IF(ISNUMBER(AB201),AB$8,IF(ISNUMBER(AA201),AA$8,IF(ISNUMBER(Z201),Z$8,IF(ISNUMBER(Y201),Y$8,IF(ISNUMBER(X201),X$8," ")))))</f>
        <v xml:space="preserve"> </v>
      </c>
      <c r="BY201" s="50" t="str">
        <f t="shared" ref="BY201:BY264" si="94">CONCATENATE(E201,"_",F201)</f>
        <v>KLANAWA RIVER_Sockeye</v>
      </c>
      <c r="BZ201" s="50" t="str">
        <f>IFERROR(VLOOKUP(BY201,'[1]WCVI Esc'!$C$5:$W$555,18,FALSE),"-")</f>
        <v>-</v>
      </c>
      <c r="CA201" s="50" t="str">
        <f t="shared" ref="CA201:CA264" si="95">IFERROR(ROUND(BZ201,-1),"-")</f>
        <v>-</v>
      </c>
      <c r="CB201" s="50" t="str">
        <f>IFERROR(VLOOKUP(BY201,'[1]WCVI Esc'!$C$5:$W$555,19,FALSE),"-")</f>
        <v>-</v>
      </c>
      <c r="CC201" s="50" t="str">
        <f t="shared" ref="CC201:CC264" si="96">IFERROR(ROUND(CB201,-1),"-")</f>
        <v>-</v>
      </c>
      <c r="CE201" s="342" t="str">
        <f t="shared" ref="CE201:CE264" si="97">CONCATENATE(E201,"_",F201)</f>
        <v>KLANAWA RIVER_Sockeye</v>
      </c>
      <c r="CF201" s="341">
        <f>IFERROR(VLOOKUP(BY201,'RawPL+D'!$O$8:$AB$503,12,FALSE),"-")</f>
        <v>0</v>
      </c>
      <c r="CG201" s="338">
        <f t="shared" ref="CG201:CG264" si="98">IFERROR(ROUND(CF201,-1),"-")</f>
        <v>0</v>
      </c>
      <c r="CH201" s="341">
        <f>IFERROR(VLOOKUP(BY201,'RawPL+D'!$O$8:$AB$503,13,FALSE),"-")</f>
        <v>0</v>
      </c>
      <c r="CI201" s="338">
        <f t="shared" ref="CI201:CI264" si="99">IFERROR(ROUND(CH201,-1),"-")</f>
        <v>0</v>
      </c>
    </row>
    <row r="202" spans="1:87" ht="12.75" hidden="1" customHeight="1" x14ac:dyDescent="0.2">
      <c r="A202" s="28">
        <v>4</v>
      </c>
      <c r="B202" s="29">
        <v>2</v>
      </c>
      <c r="C202" s="13">
        <v>21</v>
      </c>
      <c r="D202" s="103" t="s">
        <v>304</v>
      </c>
      <c r="E202" s="10" t="s">
        <v>77</v>
      </c>
      <c r="F202" s="10" t="s">
        <v>219</v>
      </c>
      <c r="G202" s="10"/>
      <c r="H202" s="10"/>
      <c r="I202" s="10"/>
      <c r="J202" s="10"/>
      <c r="K202" s="575"/>
      <c r="L202" s="152"/>
      <c r="M202" s="164"/>
      <c r="N202" s="62"/>
      <c r="O202" s="62"/>
      <c r="P202" s="177"/>
      <c r="Q202" s="171"/>
      <c r="R202" s="62"/>
      <c r="S202" s="63"/>
      <c r="T202" s="62"/>
      <c r="U202" s="64"/>
      <c r="V202" s="803">
        <v>71</v>
      </c>
      <c r="W202" s="62"/>
      <c r="X202" s="62"/>
      <c r="Y202" s="62"/>
      <c r="Z202" s="64"/>
      <c r="AA202" s="164"/>
      <c r="AB202" s="62"/>
      <c r="AC202" s="62"/>
      <c r="AD202" s="64"/>
      <c r="AE202" s="164"/>
      <c r="AF202" s="62"/>
      <c r="AG202" s="62"/>
      <c r="AH202" s="337"/>
      <c r="AI202" s="337"/>
      <c r="AJ202" s="337"/>
      <c r="AK202" s="337"/>
      <c r="AL202" s="842"/>
      <c r="AM202" s="552"/>
      <c r="AN202" s="839"/>
      <c r="AO202" s="45"/>
      <c r="AP202" s="45"/>
      <c r="AQ202" s="396">
        <f>AL202/BI202</f>
        <v>0</v>
      </c>
      <c r="AR202" s="100">
        <f>BL202/BI202</f>
        <v>0.32272727272727275</v>
      </c>
      <c r="AS202" s="100"/>
      <c r="AT202" s="100"/>
      <c r="AU202" s="100"/>
      <c r="AV202" s="100"/>
      <c r="AW202" s="69">
        <v>21</v>
      </c>
      <c r="AX202" s="69" t="s">
        <v>304</v>
      </c>
      <c r="AY202" s="243" t="s">
        <v>77</v>
      </c>
      <c r="AZ202" s="243" t="str">
        <f t="shared" si="78"/>
        <v>Coho</v>
      </c>
      <c r="BA202" s="243" t="s">
        <v>419</v>
      </c>
      <c r="BB202" s="244" t="s">
        <v>374</v>
      </c>
      <c r="BC202" s="43" t="str">
        <f t="shared" si="79"/>
        <v>Nov 5-11</v>
      </c>
      <c r="BD202" s="43">
        <f t="shared" si="80"/>
        <v>1</v>
      </c>
      <c r="BE202" s="193">
        <f t="shared" si="81"/>
        <v>71</v>
      </c>
      <c r="BF202" s="193">
        <f t="shared" si="82"/>
        <v>0</v>
      </c>
      <c r="BG202" s="193">
        <f t="shared" si="83"/>
        <v>0</v>
      </c>
      <c r="BH202" s="307">
        <f t="shared" si="84"/>
        <v>10</v>
      </c>
      <c r="BI202" s="265">
        <f t="shared" si="77"/>
        <v>220</v>
      </c>
      <c r="BJ202" s="26" t="str">
        <f t="shared" si="85"/>
        <v>KLANAWA RIVERCoho</v>
      </c>
      <c r="BK202" s="26">
        <f t="shared" si="86"/>
        <v>1</v>
      </c>
      <c r="BL202" s="33">
        <f t="shared" si="76"/>
        <v>71</v>
      </c>
      <c r="BQ202" s="47" t="str">
        <f t="shared" si="87"/>
        <v>KLANAWA RIVERCoho</v>
      </c>
      <c r="BR202" s="49">
        <f t="shared" si="88"/>
        <v>0</v>
      </c>
      <c r="BS202" s="49">
        <f t="shared" si="89"/>
        <v>0</v>
      </c>
      <c r="BT202" s="31">
        <v>2011</v>
      </c>
      <c r="BU202" s="188" t="str">
        <f t="shared" si="90"/>
        <v>HFN</v>
      </c>
      <c r="BV202" s="188" t="str">
        <f t="shared" si="91"/>
        <v xml:space="preserve"> </v>
      </c>
      <c r="BW202" s="188" t="str">
        <f t="shared" si="92"/>
        <v>Nov 5-11</v>
      </c>
      <c r="BX202" s="188" t="str">
        <f t="shared" si="93"/>
        <v xml:space="preserve"> </v>
      </c>
      <c r="BY202" s="50" t="str">
        <f t="shared" si="94"/>
        <v>KLANAWA RIVER_Coho</v>
      </c>
      <c r="BZ202" s="50">
        <f>IFERROR(VLOOKUP(BY202,'[1]WCVI Esc'!$C$5:$W$555,18,FALSE),"-")</f>
        <v>16</v>
      </c>
      <c r="CA202" s="50">
        <f t="shared" si="95"/>
        <v>20</v>
      </c>
      <c r="CB202" s="50">
        <f>IFERROR(VLOOKUP(BY202,'[1]WCVI Esc'!$C$5:$W$555,19,FALSE),"-")</f>
        <v>216</v>
      </c>
      <c r="CC202" s="50">
        <f t="shared" si="96"/>
        <v>220</v>
      </c>
      <c r="CE202" s="342" t="str">
        <f t="shared" si="97"/>
        <v>KLANAWA RIVER_Coho</v>
      </c>
      <c r="CF202" s="341">
        <f>IFERROR(VLOOKUP(BY202,'RawPL+D'!$O$8:$AB$503,12,FALSE),"-")</f>
        <v>14</v>
      </c>
      <c r="CG202" s="338">
        <f t="shared" si="98"/>
        <v>10</v>
      </c>
      <c r="CH202" s="341">
        <f>IFERROR(VLOOKUP(BY202,'RawPL+D'!$O$8:$AB$503,13,FALSE),"-")</f>
        <v>14</v>
      </c>
      <c r="CI202" s="338">
        <f t="shared" si="99"/>
        <v>10</v>
      </c>
    </row>
    <row r="203" spans="1:87" ht="12.75" hidden="1" customHeight="1" x14ac:dyDescent="0.2">
      <c r="A203" s="492">
        <v>4</v>
      </c>
      <c r="B203" s="104">
        <v>3</v>
      </c>
      <c r="C203" s="105">
        <v>21</v>
      </c>
      <c r="D203" s="103" t="s">
        <v>304</v>
      </c>
      <c r="E203" s="61" t="s">
        <v>77</v>
      </c>
      <c r="F203" s="61" t="s">
        <v>208</v>
      </c>
      <c r="G203" s="61"/>
      <c r="H203" s="61"/>
      <c r="I203" s="61"/>
      <c r="J203" s="61"/>
      <c r="K203" s="578"/>
      <c r="L203" s="170"/>
      <c r="M203" s="178"/>
      <c r="N203" s="65"/>
      <c r="O203" s="65"/>
      <c r="P203" s="179"/>
      <c r="Q203" s="172"/>
      <c r="R203" s="65"/>
      <c r="S203" s="234"/>
      <c r="T203" s="65"/>
      <c r="U203" s="288"/>
      <c r="V203" s="804">
        <v>0</v>
      </c>
      <c r="W203" s="65"/>
      <c r="X203" s="65"/>
      <c r="Y203" s="65"/>
      <c r="Z203" s="288"/>
      <c r="AA203" s="164"/>
      <c r="AB203" s="62"/>
      <c r="AC203" s="62"/>
      <c r="AD203" s="64"/>
      <c r="AE203" s="164"/>
      <c r="AF203" s="62"/>
      <c r="AG203" s="62"/>
      <c r="AH203" s="337"/>
      <c r="AI203" s="337"/>
      <c r="AJ203" s="337"/>
      <c r="AK203" s="337"/>
      <c r="AL203" s="555"/>
      <c r="AM203" s="552"/>
      <c r="AN203" s="45"/>
      <c r="AO203" s="45"/>
      <c r="AP203" s="45"/>
      <c r="AQ203" s="396"/>
      <c r="AR203" s="100"/>
      <c r="AS203" s="100"/>
      <c r="AT203" s="100"/>
      <c r="AU203" s="100"/>
      <c r="AV203" s="100"/>
      <c r="AW203" s="69">
        <v>21</v>
      </c>
      <c r="AX203" s="69" t="s">
        <v>304</v>
      </c>
      <c r="AY203" s="243" t="s">
        <v>77</v>
      </c>
      <c r="AZ203" s="243" t="str">
        <f t="shared" si="78"/>
        <v>Pink</v>
      </c>
      <c r="BA203" s="243" t="s">
        <v>419</v>
      </c>
      <c r="BB203" s="244" t="s">
        <v>374</v>
      </c>
      <c r="BC203" s="43" t="str">
        <f t="shared" si="79"/>
        <v>Nov 5-11</v>
      </c>
      <c r="BD203" s="43">
        <f t="shared" si="80"/>
        <v>1</v>
      </c>
      <c r="BE203" s="193">
        <f t="shared" si="81"/>
        <v>0</v>
      </c>
      <c r="BF203" s="193">
        <f t="shared" si="82"/>
        <v>0</v>
      </c>
      <c r="BG203" s="193">
        <f t="shared" si="83"/>
        <v>0</v>
      </c>
      <c r="BH203" s="307" t="str">
        <f t="shared" si="84"/>
        <v>-</v>
      </c>
      <c r="BI203" s="265" t="str">
        <f t="shared" si="77"/>
        <v>-</v>
      </c>
      <c r="BJ203" s="26" t="str">
        <f t="shared" si="85"/>
        <v>KLANAWA RIVERPink</v>
      </c>
      <c r="BK203" s="26">
        <f t="shared" si="86"/>
        <v>1</v>
      </c>
      <c r="BL203" s="33">
        <f t="shared" si="76"/>
        <v>0</v>
      </c>
      <c r="BQ203" s="47" t="str">
        <f t="shared" si="87"/>
        <v>KLANAWA RIVERPink</v>
      </c>
      <c r="BR203" s="49">
        <f t="shared" si="88"/>
        <v>0</v>
      </c>
      <c r="BS203" s="49">
        <f t="shared" si="89"/>
        <v>0</v>
      </c>
      <c r="BT203" s="31">
        <v>0</v>
      </c>
      <c r="BU203" s="188" t="str">
        <f t="shared" si="90"/>
        <v>HFN</v>
      </c>
      <c r="BV203" s="188" t="str">
        <f t="shared" si="91"/>
        <v xml:space="preserve"> </v>
      </c>
      <c r="BW203" s="188" t="str">
        <f t="shared" si="92"/>
        <v>Nov 5-11</v>
      </c>
      <c r="BX203" s="188" t="str">
        <f t="shared" si="93"/>
        <v xml:space="preserve"> </v>
      </c>
      <c r="BY203" s="50" t="str">
        <f t="shared" si="94"/>
        <v>KLANAWA RIVER_Pink</v>
      </c>
      <c r="BZ203" s="50" t="str">
        <f>IFERROR(VLOOKUP(BY203,'[1]WCVI Esc'!$C$5:$W$555,18,FALSE),"-")</f>
        <v>-</v>
      </c>
      <c r="CA203" s="50" t="str">
        <f t="shared" si="95"/>
        <v>-</v>
      </c>
      <c r="CB203" s="50" t="str">
        <f>IFERROR(VLOOKUP(BY203,'[1]WCVI Esc'!$C$5:$W$555,19,FALSE),"-")</f>
        <v>-</v>
      </c>
      <c r="CC203" s="50" t="str">
        <f t="shared" si="96"/>
        <v>-</v>
      </c>
      <c r="CE203" s="342" t="str">
        <f t="shared" si="97"/>
        <v>KLANAWA RIVER_Pink</v>
      </c>
      <c r="CF203" s="341" t="str">
        <f>IFERROR(VLOOKUP(BY203,'RawPL+D'!$O$8:$AB$503,12,FALSE),"-")</f>
        <v>-</v>
      </c>
      <c r="CG203" s="338" t="str">
        <f t="shared" si="98"/>
        <v>-</v>
      </c>
      <c r="CH203" s="341" t="str">
        <f>IFERROR(VLOOKUP(BY203,'RawPL+D'!$O$8:$AB$503,13,FALSE),"-")</f>
        <v>-</v>
      </c>
      <c r="CI203" s="338" t="str">
        <f t="shared" si="99"/>
        <v>-</v>
      </c>
    </row>
    <row r="204" spans="1:87" ht="12.75" hidden="1" customHeight="1" x14ac:dyDescent="0.2">
      <c r="A204" s="28">
        <v>4</v>
      </c>
      <c r="B204" s="29">
        <v>4</v>
      </c>
      <c r="C204" s="13">
        <v>21</v>
      </c>
      <c r="D204" s="103" t="s">
        <v>304</v>
      </c>
      <c r="E204" s="10" t="s">
        <v>77</v>
      </c>
      <c r="F204" s="10" t="s">
        <v>209</v>
      </c>
      <c r="G204" s="10"/>
      <c r="H204" s="10"/>
      <c r="I204" s="10"/>
      <c r="J204" s="10"/>
      <c r="K204" s="575"/>
      <c r="L204" s="152"/>
      <c r="M204" s="164"/>
      <c r="N204" s="62"/>
      <c r="O204" s="62"/>
      <c r="P204" s="177"/>
      <c r="Q204" s="171"/>
      <c r="R204" s="62"/>
      <c r="S204" s="63"/>
      <c r="T204" s="62"/>
      <c r="U204" s="64"/>
      <c r="V204" s="803">
        <v>0</v>
      </c>
      <c r="W204" s="62"/>
      <c r="X204" s="62"/>
      <c r="Y204" s="62"/>
      <c r="Z204" s="64"/>
      <c r="AA204" s="164"/>
      <c r="AB204" s="62"/>
      <c r="AC204" s="62"/>
      <c r="AD204" s="64"/>
      <c r="AE204" s="164"/>
      <c r="AF204" s="62"/>
      <c r="AG204" s="62"/>
      <c r="AH204" s="337"/>
      <c r="AI204" s="337"/>
      <c r="AJ204" s="337"/>
      <c r="AK204" s="337"/>
      <c r="AL204" s="842"/>
      <c r="AM204" s="552"/>
      <c r="AN204" s="841"/>
      <c r="AO204" s="45"/>
      <c r="AP204" s="45"/>
      <c r="AQ204" s="396">
        <f>AL204/BI204</f>
        <v>0</v>
      </c>
      <c r="AR204" s="100">
        <f>BL204/BI204</f>
        <v>0</v>
      </c>
      <c r="AS204" s="100"/>
      <c r="AT204" s="100"/>
      <c r="AU204" s="100"/>
      <c r="AV204" s="100"/>
      <c r="AW204" s="69">
        <v>21</v>
      </c>
      <c r="AX204" s="69" t="s">
        <v>304</v>
      </c>
      <c r="AY204" s="243" t="s">
        <v>77</v>
      </c>
      <c r="AZ204" s="243" t="str">
        <f t="shared" si="78"/>
        <v>Chum</v>
      </c>
      <c r="BA204" s="243" t="s">
        <v>419</v>
      </c>
      <c r="BB204" s="244" t="s">
        <v>374</v>
      </c>
      <c r="BC204" s="43" t="str">
        <f t="shared" si="79"/>
        <v>Nov 5-11</v>
      </c>
      <c r="BD204" s="43">
        <f t="shared" si="80"/>
        <v>1</v>
      </c>
      <c r="BE204" s="193">
        <f t="shared" si="81"/>
        <v>0</v>
      </c>
      <c r="BF204" s="193">
        <f t="shared" si="82"/>
        <v>0</v>
      </c>
      <c r="BG204" s="193">
        <f t="shared" si="83"/>
        <v>0</v>
      </c>
      <c r="BH204" s="307">
        <f t="shared" si="84"/>
        <v>0</v>
      </c>
      <c r="BI204" s="265">
        <f t="shared" si="77"/>
        <v>660</v>
      </c>
      <c r="BJ204" s="26" t="str">
        <f t="shared" si="85"/>
        <v>KLANAWA RIVERChum</v>
      </c>
      <c r="BK204" s="26">
        <f t="shared" si="86"/>
        <v>1</v>
      </c>
      <c r="BL204" s="33">
        <f t="shared" si="76"/>
        <v>0</v>
      </c>
      <c r="BQ204" s="47" t="str">
        <f t="shared" si="87"/>
        <v>KLANAWA RIVERChum</v>
      </c>
      <c r="BR204" s="49">
        <f t="shared" si="88"/>
        <v>0</v>
      </c>
      <c r="BS204" s="49">
        <f t="shared" si="89"/>
        <v>0</v>
      </c>
      <c r="BT204" s="31">
        <v>2011</v>
      </c>
      <c r="BU204" s="188" t="str">
        <f t="shared" si="90"/>
        <v>HFN</v>
      </c>
      <c r="BV204" s="188" t="str">
        <f t="shared" si="91"/>
        <v xml:space="preserve"> </v>
      </c>
      <c r="BW204" s="188" t="str">
        <f t="shared" si="92"/>
        <v>Nov 5-11</v>
      </c>
      <c r="BX204" s="188" t="str">
        <f t="shared" si="93"/>
        <v xml:space="preserve"> </v>
      </c>
      <c r="BY204" s="50" t="str">
        <f t="shared" si="94"/>
        <v>KLANAWA RIVER_Chum</v>
      </c>
      <c r="BZ204" s="50" t="str">
        <f>IFERROR(VLOOKUP(BY204,'[1]WCVI Esc'!$C$5:$W$555,18,FALSE),"-")</f>
        <v>-</v>
      </c>
      <c r="CA204" s="50" t="str">
        <f t="shared" si="95"/>
        <v>-</v>
      </c>
      <c r="CB204" s="50">
        <f>IFERROR(VLOOKUP(BY204,'[1]WCVI Esc'!$C$5:$W$555,19,FALSE),"-")</f>
        <v>655</v>
      </c>
      <c r="CC204" s="50">
        <f t="shared" si="96"/>
        <v>660</v>
      </c>
      <c r="CE204" s="342" t="str">
        <f t="shared" si="97"/>
        <v>KLANAWA RIVER_Chum</v>
      </c>
      <c r="CF204" s="341">
        <f>IFERROR(VLOOKUP(BY204,'RawPL+D'!$O$8:$AB$503,12,FALSE),"-")</f>
        <v>0</v>
      </c>
      <c r="CG204" s="338">
        <f t="shared" si="98"/>
        <v>0</v>
      </c>
      <c r="CH204" s="341">
        <f>IFERROR(VLOOKUP(BY204,'RawPL+D'!$O$8:$AB$503,13,FALSE),"-")</f>
        <v>0</v>
      </c>
      <c r="CI204" s="338">
        <f t="shared" si="99"/>
        <v>0</v>
      </c>
    </row>
    <row r="205" spans="1:87" ht="12.75" hidden="1" customHeight="1" x14ac:dyDescent="0.2">
      <c r="A205" s="28">
        <v>4</v>
      </c>
      <c r="B205" s="29">
        <v>5</v>
      </c>
      <c r="C205" s="13">
        <v>21</v>
      </c>
      <c r="D205" s="103" t="s">
        <v>304</v>
      </c>
      <c r="E205" s="10" t="s">
        <v>77</v>
      </c>
      <c r="F205" s="10" t="s">
        <v>210</v>
      </c>
      <c r="G205" s="10"/>
      <c r="H205" s="10"/>
      <c r="I205" s="10"/>
      <c r="J205" s="10"/>
      <c r="K205" s="575"/>
      <c r="L205" s="152"/>
      <c r="M205" s="164"/>
      <c r="N205" s="62"/>
      <c r="O205" s="62"/>
      <c r="P205" s="177"/>
      <c r="Q205" s="171"/>
      <c r="R205" s="62"/>
      <c r="S205" s="63"/>
      <c r="T205" s="62"/>
      <c r="U205" s="64"/>
      <c r="V205" s="803">
        <v>0</v>
      </c>
      <c r="W205" s="62"/>
      <c r="X205" s="62"/>
      <c r="Y205" s="62"/>
      <c r="Z205" s="64"/>
      <c r="AA205" s="164"/>
      <c r="AB205" s="62"/>
      <c r="AC205" s="62"/>
      <c r="AD205" s="64"/>
      <c r="AE205" s="164"/>
      <c r="AF205" s="62"/>
      <c r="AG205" s="62"/>
      <c r="AH205" s="337"/>
      <c r="AI205" s="337"/>
      <c r="AJ205" s="337"/>
      <c r="AK205" s="337"/>
      <c r="AL205" s="842"/>
      <c r="AM205" s="552"/>
      <c r="AN205" s="841"/>
      <c r="AO205" s="45"/>
      <c r="AP205" s="45"/>
      <c r="AQ205" s="396">
        <f>AL205/BI205</f>
        <v>0</v>
      </c>
      <c r="AR205" s="100">
        <f>BL205/BI205</f>
        <v>0</v>
      </c>
      <c r="AS205" s="100"/>
      <c r="AT205" s="100"/>
      <c r="AU205" s="100"/>
      <c r="AV205" s="100"/>
      <c r="AW205" s="69">
        <v>21</v>
      </c>
      <c r="AX205" s="69" t="s">
        <v>304</v>
      </c>
      <c r="AY205" s="243" t="s">
        <v>77</v>
      </c>
      <c r="AZ205" s="243" t="str">
        <f t="shared" si="78"/>
        <v>Chinook</v>
      </c>
      <c r="BA205" s="243" t="s">
        <v>419</v>
      </c>
      <c r="BB205" s="244" t="s">
        <v>374</v>
      </c>
      <c r="BC205" s="43" t="str">
        <f t="shared" si="79"/>
        <v>Nov 5-11</v>
      </c>
      <c r="BD205" s="43">
        <f t="shared" si="80"/>
        <v>1</v>
      </c>
      <c r="BE205" s="193">
        <f t="shared" si="81"/>
        <v>0</v>
      </c>
      <c r="BF205" s="193">
        <f t="shared" si="82"/>
        <v>0</v>
      </c>
      <c r="BG205" s="193">
        <f t="shared" si="83"/>
        <v>0</v>
      </c>
      <c r="BH205" s="307">
        <f t="shared" si="84"/>
        <v>0</v>
      </c>
      <c r="BI205" s="265">
        <f t="shared" si="77"/>
        <v>10</v>
      </c>
      <c r="BJ205" s="26" t="str">
        <f t="shared" si="85"/>
        <v>KLANAWA RIVERChinook</v>
      </c>
      <c r="BK205" s="26">
        <f t="shared" si="86"/>
        <v>1</v>
      </c>
      <c r="BL205" s="33">
        <f t="shared" si="76"/>
        <v>0</v>
      </c>
      <c r="BQ205" s="47" t="str">
        <f t="shared" si="87"/>
        <v>KLANAWA RIVERChinook</v>
      </c>
      <c r="BR205" s="49">
        <f t="shared" si="88"/>
        <v>0</v>
      </c>
      <c r="BS205" s="49">
        <f t="shared" si="89"/>
        <v>0</v>
      </c>
      <c r="BT205" s="31">
        <v>2011</v>
      </c>
      <c r="BU205" s="188" t="str">
        <f t="shared" si="90"/>
        <v>HFN</v>
      </c>
      <c r="BV205" s="188" t="str">
        <f t="shared" si="91"/>
        <v xml:space="preserve"> </v>
      </c>
      <c r="BW205" s="188" t="str">
        <f t="shared" si="92"/>
        <v>Nov 5-11</v>
      </c>
      <c r="BX205" s="188" t="str">
        <f t="shared" si="93"/>
        <v xml:space="preserve"> </v>
      </c>
      <c r="BY205" s="50" t="str">
        <f t="shared" si="94"/>
        <v>KLANAWA RIVER_Chinook</v>
      </c>
      <c r="BZ205" s="50" t="str">
        <f>IFERROR(VLOOKUP(BY205,'[1]WCVI Esc'!$C$5:$W$555,18,FALSE),"-")</f>
        <v>-</v>
      </c>
      <c r="CA205" s="50" t="str">
        <f t="shared" si="95"/>
        <v>-</v>
      </c>
      <c r="CB205" s="50">
        <f>IFERROR(VLOOKUP(BY205,'[1]WCVI Esc'!$C$5:$W$555,19,FALSE),"-")</f>
        <v>8</v>
      </c>
      <c r="CC205" s="50">
        <f t="shared" si="96"/>
        <v>10</v>
      </c>
      <c r="CE205" s="342" t="str">
        <f t="shared" si="97"/>
        <v>KLANAWA RIVER_Chinook</v>
      </c>
      <c r="CF205" s="341">
        <f>IFERROR(VLOOKUP(BY205,'RawPL+D'!$O$8:$AB$503,12,FALSE),"-")</f>
        <v>0</v>
      </c>
      <c r="CG205" s="338">
        <f t="shared" si="98"/>
        <v>0</v>
      </c>
      <c r="CH205" s="341">
        <f>IFERROR(VLOOKUP(BY205,'RawPL+D'!$O$8:$AB$503,13,FALSE),"-")</f>
        <v>0</v>
      </c>
      <c r="CI205" s="338">
        <f t="shared" si="99"/>
        <v>0</v>
      </c>
    </row>
    <row r="206" spans="1:87" ht="12.75" hidden="1" customHeight="1" x14ac:dyDescent="0.2">
      <c r="A206" s="28">
        <v>4</v>
      </c>
      <c r="B206" s="29">
        <v>6</v>
      </c>
      <c r="C206" s="13">
        <v>21</v>
      </c>
      <c r="D206" s="103" t="s">
        <v>304</v>
      </c>
      <c r="E206" s="10" t="s">
        <v>77</v>
      </c>
      <c r="F206" s="10" t="s">
        <v>211</v>
      </c>
      <c r="G206" s="10"/>
      <c r="H206" s="10"/>
      <c r="I206" s="10"/>
      <c r="J206" s="10"/>
      <c r="K206" s="575"/>
      <c r="L206" s="152"/>
      <c r="M206" s="164"/>
      <c r="N206" s="62"/>
      <c r="O206" s="62"/>
      <c r="P206" s="177"/>
      <c r="Q206" s="171"/>
      <c r="R206" s="62"/>
      <c r="S206" s="63"/>
      <c r="T206" s="62"/>
      <c r="U206" s="64"/>
      <c r="V206" s="803">
        <v>0</v>
      </c>
      <c r="W206" s="62"/>
      <c r="X206" s="62"/>
      <c r="Y206" s="62"/>
      <c r="Z206" s="64"/>
      <c r="AA206" s="164"/>
      <c r="AB206" s="62"/>
      <c r="AC206" s="62"/>
      <c r="AD206" s="64"/>
      <c r="AE206" s="164"/>
      <c r="AF206" s="62"/>
      <c r="AG206" s="62"/>
      <c r="AH206" s="337"/>
      <c r="AI206" s="337"/>
      <c r="AJ206" s="337"/>
      <c r="AK206" s="337"/>
      <c r="AL206" s="555"/>
      <c r="AM206" s="552"/>
      <c r="AN206" s="45"/>
      <c r="AO206" s="45"/>
      <c r="AP206" s="45"/>
      <c r="AQ206" s="396"/>
      <c r="AR206" s="100"/>
      <c r="AS206" s="100"/>
      <c r="AT206" s="100"/>
      <c r="AU206" s="100"/>
      <c r="AV206" s="100"/>
      <c r="AW206" s="69">
        <v>21</v>
      </c>
      <c r="AX206" s="69" t="s">
        <v>304</v>
      </c>
      <c r="AY206" s="243" t="s">
        <v>77</v>
      </c>
      <c r="AZ206" s="243" t="str">
        <f t="shared" si="78"/>
        <v>Steelhead</v>
      </c>
      <c r="BA206" s="243" t="s">
        <v>419</v>
      </c>
      <c r="BB206" s="246"/>
      <c r="BC206" s="43" t="str">
        <f t="shared" si="79"/>
        <v>Nov 5-11</v>
      </c>
      <c r="BD206" s="43">
        <f t="shared" si="80"/>
        <v>1</v>
      </c>
      <c r="BE206" s="193">
        <f t="shared" si="81"/>
        <v>0</v>
      </c>
      <c r="BF206" s="193">
        <f t="shared" si="82"/>
        <v>0</v>
      </c>
      <c r="BG206" s="193">
        <f t="shared" si="83"/>
        <v>0</v>
      </c>
      <c r="BH206" s="307" t="str">
        <f t="shared" si="84"/>
        <v>-</v>
      </c>
      <c r="BI206" s="265" t="str">
        <f t="shared" si="77"/>
        <v>-</v>
      </c>
      <c r="BJ206" s="26" t="str">
        <f t="shared" si="85"/>
        <v>KLANAWA RIVERSteelhead</v>
      </c>
      <c r="BK206" s="26">
        <f t="shared" si="86"/>
        <v>1</v>
      </c>
      <c r="BL206" s="33">
        <f t="shared" si="76"/>
        <v>0</v>
      </c>
      <c r="BQ206" s="47" t="str">
        <f t="shared" si="87"/>
        <v>KLANAWA RIVERSteelhead</v>
      </c>
      <c r="BR206" s="49">
        <f t="shared" si="88"/>
        <v>0</v>
      </c>
      <c r="BS206" s="49">
        <f t="shared" si="89"/>
        <v>0</v>
      </c>
      <c r="BT206" s="31">
        <v>0</v>
      </c>
      <c r="BU206" s="188">
        <f t="shared" si="90"/>
        <v>0</v>
      </c>
      <c r="BV206" s="188" t="str">
        <f t="shared" si="91"/>
        <v xml:space="preserve"> </v>
      </c>
      <c r="BW206" s="188" t="str">
        <f t="shared" si="92"/>
        <v>Nov 5-11</v>
      </c>
      <c r="BX206" s="188" t="str">
        <f t="shared" si="93"/>
        <v xml:space="preserve"> </v>
      </c>
      <c r="BY206" s="50" t="str">
        <f t="shared" si="94"/>
        <v>KLANAWA RIVER_Steelhead</v>
      </c>
      <c r="BZ206" s="50" t="str">
        <f>IFERROR(VLOOKUP(BY206,'[1]WCVI Esc'!$C$5:$W$555,18,FALSE),"-")</f>
        <v>-</v>
      </c>
      <c r="CA206" s="50" t="str">
        <f t="shared" si="95"/>
        <v>-</v>
      </c>
      <c r="CB206" s="50" t="str">
        <f>IFERROR(VLOOKUP(BY206,'[1]WCVI Esc'!$C$5:$W$555,19,FALSE),"-")</f>
        <v>-</v>
      </c>
      <c r="CC206" s="50" t="str">
        <f t="shared" si="96"/>
        <v>-</v>
      </c>
      <c r="CE206" s="342" t="str">
        <f t="shared" si="97"/>
        <v>KLANAWA RIVER_Steelhead</v>
      </c>
      <c r="CF206" s="341" t="str">
        <f>IFERROR(VLOOKUP(BY206,'RawPL+D'!$O$8:$AB$503,12,FALSE),"-")</f>
        <v>-</v>
      </c>
      <c r="CG206" s="338" t="str">
        <f t="shared" si="98"/>
        <v>-</v>
      </c>
      <c r="CH206" s="341" t="str">
        <f>IFERROR(VLOOKUP(BY206,'RawPL+D'!$O$8:$AB$503,13,FALSE),"-")</f>
        <v>-</v>
      </c>
      <c r="CI206" s="338" t="str">
        <f t="shared" si="99"/>
        <v>-</v>
      </c>
    </row>
    <row r="207" spans="1:87" ht="12.75" hidden="1" customHeight="1" x14ac:dyDescent="0.2">
      <c r="A207" s="28">
        <v>4</v>
      </c>
      <c r="B207" s="29">
        <v>1</v>
      </c>
      <c r="C207" s="13">
        <v>21</v>
      </c>
      <c r="D207" s="103" t="s">
        <v>304</v>
      </c>
      <c r="E207" s="10" t="s">
        <v>78</v>
      </c>
      <c r="F207" s="10" t="s">
        <v>207</v>
      </c>
      <c r="G207" s="10"/>
      <c r="H207" s="10"/>
      <c r="I207" s="10"/>
      <c r="J207" s="10"/>
      <c r="K207" s="575"/>
      <c r="L207" s="152"/>
      <c r="M207" s="164"/>
      <c r="N207" s="62"/>
      <c r="O207" s="62"/>
      <c r="P207" s="177"/>
      <c r="Q207" s="171"/>
      <c r="R207" s="62"/>
      <c r="S207" s="62"/>
      <c r="T207" s="62"/>
      <c r="U207" s="64"/>
      <c r="V207" s="164"/>
      <c r="W207" s="62"/>
      <c r="X207" s="62"/>
      <c r="Y207" s="62"/>
      <c r="Z207" s="64"/>
      <c r="AA207" s="164"/>
      <c r="AB207" s="62"/>
      <c r="AC207" s="62"/>
      <c r="AD207" s="64"/>
      <c r="AE207" s="164"/>
      <c r="AF207" s="62"/>
      <c r="AG207" s="62"/>
      <c r="AH207" s="337"/>
      <c r="AI207" s="337"/>
      <c r="AJ207" s="337"/>
      <c r="AK207" s="337"/>
      <c r="AL207" s="412"/>
      <c r="AM207" s="414"/>
      <c r="AN207" s="45"/>
      <c r="AO207" s="45"/>
      <c r="AP207" s="45"/>
      <c r="AQ207" s="396"/>
      <c r="AR207" s="100"/>
      <c r="AS207" s="100"/>
      <c r="AT207" s="100"/>
      <c r="AU207" s="100"/>
      <c r="AV207" s="100"/>
      <c r="AW207" s="69">
        <v>21</v>
      </c>
      <c r="AX207" s="69" t="s">
        <v>304</v>
      </c>
      <c r="AY207" s="243" t="s">
        <v>78</v>
      </c>
      <c r="AZ207" s="243" t="str">
        <f t="shared" si="78"/>
        <v>Sockeye</v>
      </c>
      <c r="BA207" s="243" t="s">
        <v>419</v>
      </c>
      <c r="BB207" s="246"/>
      <c r="BC207" s="43" t="str">
        <f t="shared" si="79"/>
        <v>-</v>
      </c>
      <c r="BD207" s="43">
        <f t="shared" si="80"/>
        <v>0</v>
      </c>
      <c r="BE207" s="193">
        <f t="shared" si="81"/>
        <v>0</v>
      </c>
      <c r="BF207" s="193">
        <f t="shared" si="82"/>
        <v>0</v>
      </c>
      <c r="BG207" s="193">
        <f t="shared" si="83"/>
        <v>0</v>
      </c>
      <c r="BH207" s="307" t="str">
        <f t="shared" si="84"/>
        <v>-</v>
      </c>
      <c r="BI207" s="265" t="str">
        <f t="shared" si="77"/>
        <v>-</v>
      </c>
      <c r="BJ207" s="26" t="str">
        <f t="shared" si="85"/>
        <v>RALF CREEKSockeye</v>
      </c>
      <c r="BK207" s="26">
        <f t="shared" si="86"/>
        <v>0</v>
      </c>
      <c r="BL207" s="33">
        <f t="shared" si="76"/>
        <v>0</v>
      </c>
      <c r="BQ207" s="47" t="str">
        <f t="shared" si="87"/>
        <v>RALF CREEKSockeye</v>
      </c>
      <c r="BR207" s="49">
        <f t="shared" si="88"/>
        <v>0</v>
      </c>
      <c r="BS207" s="49">
        <f t="shared" si="89"/>
        <v>0</v>
      </c>
      <c r="BT207" s="31">
        <v>0</v>
      </c>
      <c r="BU207" s="188">
        <f t="shared" si="90"/>
        <v>0</v>
      </c>
      <c r="BV207" s="188" t="str">
        <f t="shared" si="91"/>
        <v xml:space="preserve"> </v>
      </c>
      <c r="BW207" s="188" t="str">
        <f t="shared" si="92"/>
        <v xml:space="preserve"> </v>
      </c>
      <c r="BX207" s="188" t="str">
        <f t="shared" si="93"/>
        <v xml:space="preserve"> </v>
      </c>
      <c r="BY207" s="50" t="str">
        <f t="shared" si="94"/>
        <v>RALF CREEK_Sockeye</v>
      </c>
      <c r="BZ207" s="50" t="str">
        <f>IFERROR(VLOOKUP(BY207,'[1]WCVI Esc'!$C$5:$W$555,18,FALSE),"-")</f>
        <v>-</v>
      </c>
      <c r="CA207" s="50" t="str">
        <f t="shared" si="95"/>
        <v>-</v>
      </c>
      <c r="CB207" s="50" t="str">
        <f>IFERROR(VLOOKUP(BY207,'[1]WCVI Esc'!$C$5:$W$555,19,FALSE),"-")</f>
        <v>-</v>
      </c>
      <c r="CC207" s="50" t="str">
        <f t="shared" si="96"/>
        <v>-</v>
      </c>
      <c r="CE207" s="342" t="str">
        <f t="shared" si="97"/>
        <v>RALF CREEK_Sockeye</v>
      </c>
      <c r="CF207" s="341" t="str">
        <f>IFERROR(VLOOKUP(BY207,'RawPL+D'!$O$8:$AB$503,12,FALSE),"-")</f>
        <v>-</v>
      </c>
      <c r="CG207" s="338" t="str">
        <f t="shared" si="98"/>
        <v>-</v>
      </c>
      <c r="CH207" s="341" t="str">
        <f>IFERROR(VLOOKUP(BY207,'RawPL+D'!$O$8:$AB$503,13,FALSE),"-")</f>
        <v>-</v>
      </c>
      <c r="CI207" s="338" t="str">
        <f t="shared" si="99"/>
        <v>-</v>
      </c>
    </row>
    <row r="208" spans="1:87" ht="12.75" hidden="1" customHeight="1" x14ac:dyDescent="0.2">
      <c r="A208" s="28">
        <v>4</v>
      </c>
      <c r="B208" s="29">
        <v>2</v>
      </c>
      <c r="C208" s="13">
        <v>21</v>
      </c>
      <c r="D208" s="103" t="s">
        <v>304</v>
      </c>
      <c r="E208" s="10" t="s">
        <v>78</v>
      </c>
      <c r="F208" s="10" t="s">
        <v>219</v>
      </c>
      <c r="G208" s="10"/>
      <c r="H208" s="10"/>
      <c r="I208" s="10"/>
      <c r="J208" s="10"/>
      <c r="K208" s="575"/>
      <c r="L208" s="152"/>
      <c r="M208" s="164"/>
      <c r="N208" s="62"/>
      <c r="O208" s="62"/>
      <c r="P208" s="177"/>
      <c r="Q208" s="171"/>
      <c r="R208" s="62"/>
      <c r="S208" s="62"/>
      <c r="T208" s="62"/>
      <c r="U208" s="64"/>
      <c r="V208" s="164"/>
      <c r="W208" s="62"/>
      <c r="X208" s="62"/>
      <c r="Y208" s="62"/>
      <c r="Z208" s="64"/>
      <c r="AA208" s="164"/>
      <c r="AB208" s="62"/>
      <c r="AC208" s="62"/>
      <c r="AD208" s="64"/>
      <c r="AE208" s="164"/>
      <c r="AF208" s="62"/>
      <c r="AG208" s="62"/>
      <c r="AH208" s="337"/>
      <c r="AI208" s="337"/>
      <c r="AJ208" s="337"/>
      <c r="AK208" s="337"/>
      <c r="AL208" s="412"/>
      <c r="AM208" s="414"/>
      <c r="AN208" s="45"/>
      <c r="AO208" s="45"/>
      <c r="AP208" s="45"/>
      <c r="AQ208" s="396"/>
      <c r="AR208" s="100"/>
      <c r="AS208" s="100"/>
      <c r="AT208" s="100"/>
      <c r="AU208" s="100"/>
      <c r="AV208" s="100"/>
      <c r="AW208" s="69">
        <v>21</v>
      </c>
      <c r="AX208" s="69" t="s">
        <v>304</v>
      </c>
      <c r="AY208" s="243" t="s">
        <v>78</v>
      </c>
      <c r="AZ208" s="243" t="str">
        <f t="shared" si="78"/>
        <v>Coho</v>
      </c>
      <c r="BA208" s="243" t="s">
        <v>419</v>
      </c>
      <c r="BB208" s="246"/>
      <c r="BC208" s="43" t="str">
        <f t="shared" si="79"/>
        <v>-</v>
      </c>
      <c r="BD208" s="43">
        <f t="shared" si="80"/>
        <v>0</v>
      </c>
      <c r="BE208" s="193">
        <f t="shared" si="81"/>
        <v>0</v>
      </c>
      <c r="BF208" s="193">
        <f t="shared" si="82"/>
        <v>0</v>
      </c>
      <c r="BG208" s="193">
        <f t="shared" si="83"/>
        <v>0</v>
      </c>
      <c r="BH208" s="307" t="str">
        <f t="shared" si="84"/>
        <v>-</v>
      </c>
      <c r="BI208" s="265" t="str">
        <f t="shared" si="77"/>
        <v>-</v>
      </c>
      <c r="BJ208" s="26" t="str">
        <f t="shared" si="85"/>
        <v>RALF CREEKCoho</v>
      </c>
      <c r="BK208" s="26">
        <f t="shared" si="86"/>
        <v>0</v>
      </c>
      <c r="BL208" s="33">
        <f t="shared" si="76"/>
        <v>0</v>
      </c>
      <c r="BQ208" s="47" t="str">
        <f t="shared" si="87"/>
        <v>RALF CREEKCoho</v>
      </c>
      <c r="BR208" s="49">
        <f t="shared" si="88"/>
        <v>0</v>
      </c>
      <c r="BS208" s="49">
        <f t="shared" si="89"/>
        <v>0</v>
      </c>
      <c r="BT208" s="31">
        <v>0</v>
      </c>
      <c r="BU208" s="188">
        <f t="shared" si="90"/>
        <v>0</v>
      </c>
      <c r="BV208" s="188" t="str">
        <f t="shared" si="91"/>
        <v xml:space="preserve"> </v>
      </c>
      <c r="BW208" s="188" t="str">
        <f t="shared" si="92"/>
        <v xml:space="preserve"> </v>
      </c>
      <c r="BX208" s="188" t="str">
        <f t="shared" si="93"/>
        <v xml:space="preserve"> </v>
      </c>
      <c r="BY208" s="50" t="str">
        <f t="shared" si="94"/>
        <v>RALF CREEK_Coho</v>
      </c>
      <c r="BZ208" s="50" t="str">
        <f>IFERROR(VLOOKUP(BY208,'[1]WCVI Esc'!$C$5:$W$555,18,FALSE),"-")</f>
        <v>-</v>
      </c>
      <c r="CA208" s="50" t="str">
        <f t="shared" si="95"/>
        <v>-</v>
      </c>
      <c r="CB208" s="50" t="str">
        <f>IFERROR(VLOOKUP(BY208,'[1]WCVI Esc'!$C$5:$W$555,19,FALSE),"-")</f>
        <v>-</v>
      </c>
      <c r="CC208" s="50" t="str">
        <f t="shared" si="96"/>
        <v>-</v>
      </c>
      <c r="CE208" s="342" t="str">
        <f t="shared" si="97"/>
        <v>RALF CREEK_Coho</v>
      </c>
      <c r="CF208" s="341" t="str">
        <f>IFERROR(VLOOKUP(BY208,'RawPL+D'!$O$8:$AB$503,12,FALSE),"-")</f>
        <v>-</v>
      </c>
      <c r="CG208" s="338" t="str">
        <f t="shared" si="98"/>
        <v>-</v>
      </c>
      <c r="CH208" s="341" t="str">
        <f>IFERROR(VLOOKUP(BY208,'RawPL+D'!$O$8:$AB$503,13,FALSE),"-")</f>
        <v>-</v>
      </c>
      <c r="CI208" s="338" t="str">
        <f t="shared" si="99"/>
        <v>-</v>
      </c>
    </row>
    <row r="209" spans="1:87" ht="12.75" hidden="1" customHeight="1" x14ac:dyDescent="0.2">
      <c r="A209" s="28">
        <v>4</v>
      </c>
      <c r="B209" s="29">
        <v>3</v>
      </c>
      <c r="C209" s="13">
        <v>21</v>
      </c>
      <c r="D209" s="103" t="s">
        <v>304</v>
      </c>
      <c r="E209" s="10" t="s">
        <v>78</v>
      </c>
      <c r="F209" s="10" t="s">
        <v>208</v>
      </c>
      <c r="G209" s="10"/>
      <c r="H209" s="10"/>
      <c r="I209" s="10"/>
      <c r="J209" s="10"/>
      <c r="K209" s="575"/>
      <c r="L209" s="152"/>
      <c r="M209" s="164"/>
      <c r="N209" s="62"/>
      <c r="O209" s="62"/>
      <c r="P209" s="177"/>
      <c r="Q209" s="171"/>
      <c r="R209" s="62"/>
      <c r="S209" s="62"/>
      <c r="T209" s="62"/>
      <c r="U209" s="64"/>
      <c r="V209" s="164"/>
      <c r="W209" s="62"/>
      <c r="X209" s="62"/>
      <c r="Y209" s="62"/>
      <c r="Z209" s="64"/>
      <c r="AA209" s="164"/>
      <c r="AB209" s="62"/>
      <c r="AC209" s="62"/>
      <c r="AD209" s="64"/>
      <c r="AE209" s="164"/>
      <c r="AF209" s="62"/>
      <c r="AG209" s="62"/>
      <c r="AH209" s="337"/>
      <c r="AI209" s="337"/>
      <c r="AJ209" s="337"/>
      <c r="AK209" s="337"/>
      <c r="AL209" s="412"/>
      <c r="AM209" s="414"/>
      <c r="AN209" s="45"/>
      <c r="AO209" s="45"/>
      <c r="AP209" s="45"/>
      <c r="AQ209" s="396"/>
      <c r="AR209" s="100"/>
      <c r="AS209" s="100"/>
      <c r="AT209" s="100"/>
      <c r="AU209" s="100"/>
      <c r="AV209" s="100"/>
      <c r="AW209" s="69">
        <v>21</v>
      </c>
      <c r="AX209" s="69" t="s">
        <v>304</v>
      </c>
      <c r="AY209" s="243" t="s">
        <v>78</v>
      </c>
      <c r="AZ209" s="243" t="str">
        <f t="shared" si="78"/>
        <v>Pink</v>
      </c>
      <c r="BA209" s="243" t="s">
        <v>419</v>
      </c>
      <c r="BB209" s="246"/>
      <c r="BC209" s="43" t="str">
        <f t="shared" si="79"/>
        <v>-</v>
      </c>
      <c r="BD209" s="43">
        <f t="shared" si="80"/>
        <v>0</v>
      </c>
      <c r="BE209" s="193">
        <f t="shared" si="81"/>
        <v>0</v>
      </c>
      <c r="BF209" s="193">
        <f t="shared" si="82"/>
        <v>0</v>
      </c>
      <c r="BG209" s="193">
        <f t="shared" si="83"/>
        <v>0</v>
      </c>
      <c r="BH209" s="307" t="str">
        <f t="shared" si="84"/>
        <v>-</v>
      </c>
      <c r="BI209" s="265" t="str">
        <f t="shared" si="77"/>
        <v>-</v>
      </c>
      <c r="BJ209" s="26" t="str">
        <f t="shared" si="85"/>
        <v>RALF CREEKPink</v>
      </c>
      <c r="BK209" s="26">
        <f t="shared" si="86"/>
        <v>0</v>
      </c>
      <c r="BL209" s="33">
        <f t="shared" si="76"/>
        <v>0</v>
      </c>
      <c r="BQ209" s="47" t="str">
        <f t="shared" si="87"/>
        <v>RALF CREEKPink</v>
      </c>
      <c r="BR209" s="49">
        <f t="shared" si="88"/>
        <v>0</v>
      </c>
      <c r="BS209" s="49">
        <f t="shared" si="89"/>
        <v>0</v>
      </c>
      <c r="BT209" s="31">
        <v>0</v>
      </c>
      <c r="BU209" s="188">
        <f t="shared" si="90"/>
        <v>0</v>
      </c>
      <c r="BV209" s="188" t="str">
        <f t="shared" si="91"/>
        <v xml:space="preserve"> </v>
      </c>
      <c r="BW209" s="188" t="str">
        <f t="shared" si="92"/>
        <v xml:space="preserve"> </v>
      </c>
      <c r="BX209" s="188" t="str">
        <f t="shared" si="93"/>
        <v xml:space="preserve"> </v>
      </c>
      <c r="BY209" s="50" t="str">
        <f t="shared" si="94"/>
        <v>RALF CREEK_Pink</v>
      </c>
      <c r="BZ209" s="50" t="str">
        <f>IFERROR(VLOOKUP(BY209,'[1]WCVI Esc'!$C$5:$W$555,18,FALSE),"-")</f>
        <v>-</v>
      </c>
      <c r="CA209" s="50" t="str">
        <f t="shared" si="95"/>
        <v>-</v>
      </c>
      <c r="CB209" s="50" t="str">
        <f>IFERROR(VLOOKUP(BY209,'[1]WCVI Esc'!$C$5:$W$555,19,FALSE),"-")</f>
        <v>-</v>
      </c>
      <c r="CC209" s="50" t="str">
        <f t="shared" si="96"/>
        <v>-</v>
      </c>
      <c r="CE209" s="342" t="str">
        <f t="shared" si="97"/>
        <v>RALF CREEK_Pink</v>
      </c>
      <c r="CF209" s="341" t="str">
        <f>IFERROR(VLOOKUP(BY209,'RawPL+D'!$O$8:$AB$503,12,FALSE),"-")</f>
        <v>-</v>
      </c>
      <c r="CG209" s="338" t="str">
        <f t="shared" si="98"/>
        <v>-</v>
      </c>
      <c r="CH209" s="341" t="str">
        <f>IFERROR(VLOOKUP(BY209,'RawPL+D'!$O$8:$AB$503,13,FALSE),"-")</f>
        <v>-</v>
      </c>
      <c r="CI209" s="338" t="str">
        <f t="shared" si="99"/>
        <v>-</v>
      </c>
    </row>
    <row r="210" spans="1:87" ht="12.75" hidden="1" customHeight="1" x14ac:dyDescent="0.2">
      <c r="A210" s="28">
        <v>4</v>
      </c>
      <c r="B210" s="29">
        <v>4</v>
      </c>
      <c r="C210" s="13">
        <v>21</v>
      </c>
      <c r="D210" s="103" t="s">
        <v>304</v>
      </c>
      <c r="E210" s="10" t="s">
        <v>78</v>
      </c>
      <c r="F210" s="10" t="s">
        <v>209</v>
      </c>
      <c r="G210" s="10"/>
      <c r="H210" s="10"/>
      <c r="I210" s="10"/>
      <c r="J210" s="10"/>
      <c r="K210" s="575"/>
      <c r="L210" s="152"/>
      <c r="M210" s="164"/>
      <c r="N210" s="62"/>
      <c r="O210" s="62"/>
      <c r="P210" s="177"/>
      <c r="Q210" s="171"/>
      <c r="R210" s="62"/>
      <c r="S210" s="62"/>
      <c r="T210" s="62"/>
      <c r="U210" s="64"/>
      <c r="V210" s="164"/>
      <c r="W210" s="62"/>
      <c r="X210" s="62"/>
      <c r="Y210" s="62"/>
      <c r="Z210" s="64"/>
      <c r="AA210" s="164"/>
      <c r="AB210" s="62"/>
      <c r="AC210" s="62"/>
      <c r="AD210" s="64"/>
      <c r="AE210" s="164"/>
      <c r="AF210" s="62"/>
      <c r="AG210" s="62"/>
      <c r="AH210" s="337"/>
      <c r="AI210" s="337"/>
      <c r="AJ210" s="337"/>
      <c r="AK210" s="337"/>
      <c r="AL210" s="412"/>
      <c r="AM210" s="414"/>
      <c r="AN210" s="45"/>
      <c r="AO210" s="45"/>
      <c r="AP210" s="45"/>
      <c r="AQ210" s="396"/>
      <c r="AR210" s="100"/>
      <c r="AS210" s="100"/>
      <c r="AT210" s="100"/>
      <c r="AU210" s="100"/>
      <c r="AV210" s="100"/>
      <c r="AW210" s="69">
        <v>21</v>
      </c>
      <c r="AX210" s="69" t="s">
        <v>304</v>
      </c>
      <c r="AY210" s="243" t="s">
        <v>78</v>
      </c>
      <c r="AZ210" s="243" t="str">
        <f t="shared" si="78"/>
        <v>Chum</v>
      </c>
      <c r="BA210" s="243" t="s">
        <v>419</v>
      </c>
      <c r="BB210" s="246"/>
      <c r="BC210" s="43" t="str">
        <f t="shared" si="79"/>
        <v>-</v>
      </c>
      <c r="BD210" s="43">
        <f t="shared" si="80"/>
        <v>0</v>
      </c>
      <c r="BE210" s="193">
        <f t="shared" si="81"/>
        <v>0</v>
      </c>
      <c r="BF210" s="193">
        <f t="shared" si="82"/>
        <v>0</v>
      </c>
      <c r="BG210" s="193">
        <f t="shared" si="83"/>
        <v>0</v>
      </c>
      <c r="BH210" s="307" t="str">
        <f t="shared" si="84"/>
        <v>-</v>
      </c>
      <c r="BI210" s="265" t="str">
        <f t="shared" si="77"/>
        <v>-</v>
      </c>
      <c r="BJ210" s="26" t="str">
        <f t="shared" si="85"/>
        <v>RALF CREEKChum</v>
      </c>
      <c r="BK210" s="26">
        <f t="shared" si="86"/>
        <v>0</v>
      </c>
      <c r="BL210" s="33">
        <f t="shared" si="76"/>
        <v>0</v>
      </c>
      <c r="BQ210" s="47" t="str">
        <f t="shared" si="87"/>
        <v>RALF CREEKChum</v>
      </c>
      <c r="BR210" s="49">
        <f t="shared" si="88"/>
        <v>0</v>
      </c>
      <c r="BS210" s="49">
        <f t="shared" si="89"/>
        <v>0</v>
      </c>
      <c r="BT210" s="31">
        <v>0</v>
      </c>
      <c r="BU210" s="188">
        <f t="shared" si="90"/>
        <v>0</v>
      </c>
      <c r="BV210" s="188" t="str">
        <f t="shared" si="91"/>
        <v xml:space="preserve"> </v>
      </c>
      <c r="BW210" s="188" t="str">
        <f t="shared" si="92"/>
        <v xml:space="preserve"> </v>
      </c>
      <c r="BX210" s="188" t="str">
        <f t="shared" si="93"/>
        <v xml:space="preserve"> </v>
      </c>
      <c r="BY210" s="50" t="str">
        <f t="shared" si="94"/>
        <v>RALF CREEK_Chum</v>
      </c>
      <c r="BZ210" s="50" t="str">
        <f>IFERROR(VLOOKUP(BY210,'[1]WCVI Esc'!$C$5:$W$555,18,FALSE),"-")</f>
        <v>-</v>
      </c>
      <c r="CA210" s="50" t="str">
        <f t="shared" si="95"/>
        <v>-</v>
      </c>
      <c r="CB210" s="50" t="str">
        <f>IFERROR(VLOOKUP(BY210,'[1]WCVI Esc'!$C$5:$W$555,19,FALSE),"-")</f>
        <v>-</v>
      </c>
      <c r="CC210" s="50" t="str">
        <f t="shared" si="96"/>
        <v>-</v>
      </c>
      <c r="CE210" s="342" t="str">
        <f t="shared" si="97"/>
        <v>RALF CREEK_Chum</v>
      </c>
      <c r="CF210" s="341" t="str">
        <f>IFERROR(VLOOKUP(BY210,'RawPL+D'!$O$8:$AB$503,12,FALSE),"-")</f>
        <v>-</v>
      </c>
      <c r="CG210" s="338" t="str">
        <f t="shared" si="98"/>
        <v>-</v>
      </c>
      <c r="CH210" s="341" t="str">
        <f>IFERROR(VLOOKUP(BY210,'RawPL+D'!$O$8:$AB$503,13,FALSE),"-")</f>
        <v>-</v>
      </c>
      <c r="CI210" s="338" t="str">
        <f t="shared" si="99"/>
        <v>-</v>
      </c>
    </row>
    <row r="211" spans="1:87" ht="12.75" hidden="1" customHeight="1" x14ac:dyDescent="0.2">
      <c r="A211" s="28">
        <v>4</v>
      </c>
      <c r="B211" s="29">
        <v>5</v>
      </c>
      <c r="C211" s="13">
        <v>21</v>
      </c>
      <c r="D211" s="103" t="s">
        <v>304</v>
      </c>
      <c r="E211" s="10" t="s">
        <v>78</v>
      </c>
      <c r="F211" s="10" t="s">
        <v>210</v>
      </c>
      <c r="G211" s="10"/>
      <c r="H211" s="10"/>
      <c r="I211" s="10"/>
      <c r="J211" s="10"/>
      <c r="K211" s="575"/>
      <c r="L211" s="152"/>
      <c r="M211" s="164"/>
      <c r="N211" s="62"/>
      <c r="O211" s="62"/>
      <c r="P211" s="177"/>
      <c r="Q211" s="171"/>
      <c r="R211" s="62"/>
      <c r="S211" s="62"/>
      <c r="T211" s="62"/>
      <c r="U211" s="64"/>
      <c r="V211" s="164"/>
      <c r="W211" s="62"/>
      <c r="X211" s="62"/>
      <c r="Y211" s="62"/>
      <c r="Z211" s="64"/>
      <c r="AA211" s="164"/>
      <c r="AB211" s="62"/>
      <c r="AC211" s="62"/>
      <c r="AD211" s="64"/>
      <c r="AE211" s="164"/>
      <c r="AF211" s="62"/>
      <c r="AG211" s="62"/>
      <c r="AH211" s="337"/>
      <c r="AI211" s="337"/>
      <c r="AJ211" s="337"/>
      <c r="AK211" s="337"/>
      <c r="AL211" s="412"/>
      <c r="AM211" s="414"/>
      <c r="AN211" s="45"/>
      <c r="AO211" s="45"/>
      <c r="AP211" s="45"/>
      <c r="AQ211" s="396"/>
      <c r="AR211" s="100"/>
      <c r="AS211" s="100"/>
      <c r="AT211" s="100"/>
      <c r="AU211" s="100"/>
      <c r="AV211" s="100"/>
      <c r="AW211" s="69">
        <v>21</v>
      </c>
      <c r="AX211" s="69" t="s">
        <v>304</v>
      </c>
      <c r="AY211" s="243" t="s">
        <v>78</v>
      </c>
      <c r="AZ211" s="243" t="str">
        <f t="shared" si="78"/>
        <v>Chinook</v>
      </c>
      <c r="BA211" s="243" t="s">
        <v>419</v>
      </c>
      <c r="BB211" s="246"/>
      <c r="BC211" s="43" t="str">
        <f t="shared" si="79"/>
        <v>-</v>
      </c>
      <c r="BD211" s="43">
        <f t="shared" si="80"/>
        <v>0</v>
      </c>
      <c r="BE211" s="193">
        <f t="shared" si="81"/>
        <v>0</v>
      </c>
      <c r="BF211" s="193">
        <f t="shared" si="82"/>
        <v>0</v>
      </c>
      <c r="BG211" s="193">
        <f t="shared" si="83"/>
        <v>0</v>
      </c>
      <c r="BH211" s="307" t="str">
        <f t="shared" si="84"/>
        <v>-</v>
      </c>
      <c r="BI211" s="265" t="str">
        <f t="shared" si="77"/>
        <v>-</v>
      </c>
      <c r="BJ211" s="26" t="str">
        <f t="shared" si="85"/>
        <v>RALF CREEKChinook</v>
      </c>
      <c r="BK211" s="26">
        <f t="shared" si="86"/>
        <v>0</v>
      </c>
      <c r="BL211" s="33">
        <f t="shared" si="76"/>
        <v>0</v>
      </c>
      <c r="BQ211" s="47" t="str">
        <f t="shared" si="87"/>
        <v>RALF CREEKChinook</v>
      </c>
      <c r="BR211" s="49">
        <f t="shared" si="88"/>
        <v>0</v>
      </c>
      <c r="BS211" s="49">
        <f t="shared" si="89"/>
        <v>0</v>
      </c>
      <c r="BT211" s="31">
        <v>0</v>
      </c>
      <c r="BU211" s="188">
        <f t="shared" si="90"/>
        <v>0</v>
      </c>
      <c r="BV211" s="188" t="str">
        <f t="shared" si="91"/>
        <v xml:space="preserve"> </v>
      </c>
      <c r="BW211" s="188" t="str">
        <f t="shared" si="92"/>
        <v xml:space="preserve"> </v>
      </c>
      <c r="BX211" s="188" t="str">
        <f t="shared" si="93"/>
        <v xml:space="preserve"> </v>
      </c>
      <c r="BY211" s="50" t="str">
        <f t="shared" si="94"/>
        <v>RALF CREEK_Chinook</v>
      </c>
      <c r="BZ211" s="50" t="str">
        <f>IFERROR(VLOOKUP(BY211,'[1]WCVI Esc'!$C$5:$W$555,18,FALSE),"-")</f>
        <v>-</v>
      </c>
      <c r="CA211" s="50" t="str">
        <f t="shared" si="95"/>
        <v>-</v>
      </c>
      <c r="CB211" s="50" t="str">
        <f>IFERROR(VLOOKUP(BY211,'[1]WCVI Esc'!$C$5:$W$555,19,FALSE),"-")</f>
        <v>-</v>
      </c>
      <c r="CC211" s="50" t="str">
        <f t="shared" si="96"/>
        <v>-</v>
      </c>
      <c r="CE211" s="342" t="str">
        <f t="shared" si="97"/>
        <v>RALF CREEK_Chinook</v>
      </c>
      <c r="CF211" s="341" t="str">
        <f>IFERROR(VLOOKUP(BY211,'RawPL+D'!$O$8:$AB$503,12,FALSE),"-")</f>
        <v>-</v>
      </c>
      <c r="CG211" s="338" t="str">
        <f t="shared" si="98"/>
        <v>-</v>
      </c>
      <c r="CH211" s="341" t="str">
        <f>IFERROR(VLOOKUP(BY211,'RawPL+D'!$O$8:$AB$503,13,FALSE),"-")</f>
        <v>-</v>
      </c>
      <c r="CI211" s="338" t="str">
        <f t="shared" si="99"/>
        <v>-</v>
      </c>
    </row>
    <row r="212" spans="1:87" ht="12.75" hidden="1" customHeight="1" x14ac:dyDescent="0.2">
      <c r="A212" s="28">
        <v>4</v>
      </c>
      <c r="B212" s="29">
        <v>6</v>
      </c>
      <c r="C212" s="13">
        <v>21</v>
      </c>
      <c r="D212" s="103" t="s">
        <v>304</v>
      </c>
      <c r="E212" s="10" t="s">
        <v>78</v>
      </c>
      <c r="F212" s="10" t="s">
        <v>211</v>
      </c>
      <c r="G212" s="10"/>
      <c r="H212" s="10"/>
      <c r="I212" s="10"/>
      <c r="J212" s="10"/>
      <c r="K212" s="575"/>
      <c r="L212" s="152"/>
      <c r="M212" s="164"/>
      <c r="N212" s="62"/>
      <c r="O212" s="62"/>
      <c r="P212" s="177"/>
      <c r="Q212" s="171"/>
      <c r="R212" s="62"/>
      <c r="S212" s="62"/>
      <c r="T212" s="62"/>
      <c r="U212" s="64"/>
      <c r="V212" s="164"/>
      <c r="W212" s="62"/>
      <c r="X212" s="62"/>
      <c r="Y212" s="62"/>
      <c r="Z212" s="64"/>
      <c r="AA212" s="164"/>
      <c r="AB212" s="62"/>
      <c r="AC212" s="62"/>
      <c r="AD212" s="64"/>
      <c r="AE212" s="164"/>
      <c r="AF212" s="62"/>
      <c r="AG212" s="62"/>
      <c r="AH212" s="337"/>
      <c r="AI212" s="337"/>
      <c r="AJ212" s="337"/>
      <c r="AK212" s="337"/>
      <c r="AL212" s="412"/>
      <c r="AM212" s="414"/>
      <c r="AN212" s="45"/>
      <c r="AO212" s="45"/>
      <c r="AP212" s="45"/>
      <c r="AQ212" s="396"/>
      <c r="AR212" s="100"/>
      <c r="AS212" s="100"/>
      <c r="AT212" s="100"/>
      <c r="AU212" s="100"/>
      <c r="AV212" s="100"/>
      <c r="AW212" s="69">
        <v>21</v>
      </c>
      <c r="AX212" s="69" t="s">
        <v>304</v>
      </c>
      <c r="AY212" s="243" t="s">
        <v>78</v>
      </c>
      <c r="AZ212" s="243" t="str">
        <f t="shared" si="78"/>
        <v>Steelhead</v>
      </c>
      <c r="BA212" s="243" t="s">
        <v>419</v>
      </c>
      <c r="BB212" s="246"/>
      <c r="BC212" s="43" t="str">
        <f t="shared" si="79"/>
        <v>-</v>
      </c>
      <c r="BD212" s="43">
        <f t="shared" si="80"/>
        <v>0</v>
      </c>
      <c r="BE212" s="193">
        <f t="shared" si="81"/>
        <v>0</v>
      </c>
      <c r="BF212" s="193">
        <f t="shared" si="82"/>
        <v>0</v>
      </c>
      <c r="BG212" s="193">
        <f t="shared" si="83"/>
        <v>0</v>
      </c>
      <c r="BH212" s="307" t="str">
        <f t="shared" si="84"/>
        <v>-</v>
      </c>
      <c r="BI212" s="265" t="str">
        <f t="shared" si="77"/>
        <v>-</v>
      </c>
      <c r="BJ212" s="26" t="str">
        <f t="shared" si="85"/>
        <v>RALF CREEKSteelhead</v>
      </c>
      <c r="BK212" s="26">
        <f t="shared" si="86"/>
        <v>0</v>
      </c>
      <c r="BL212" s="33">
        <f t="shared" si="76"/>
        <v>0</v>
      </c>
      <c r="BQ212" s="47" t="str">
        <f t="shared" si="87"/>
        <v>RALF CREEKSteelhead</v>
      </c>
      <c r="BR212" s="49">
        <f t="shared" si="88"/>
        <v>0</v>
      </c>
      <c r="BS212" s="49">
        <f t="shared" si="89"/>
        <v>0</v>
      </c>
      <c r="BT212" s="31">
        <v>0</v>
      </c>
      <c r="BU212" s="188">
        <f t="shared" si="90"/>
        <v>0</v>
      </c>
      <c r="BV212" s="188" t="str">
        <f t="shared" si="91"/>
        <v xml:space="preserve"> </v>
      </c>
      <c r="BW212" s="188" t="str">
        <f t="shared" si="92"/>
        <v xml:space="preserve"> </v>
      </c>
      <c r="BX212" s="188" t="str">
        <f t="shared" si="93"/>
        <v xml:space="preserve"> </v>
      </c>
      <c r="BY212" s="50" t="str">
        <f t="shared" si="94"/>
        <v>RALF CREEK_Steelhead</v>
      </c>
      <c r="BZ212" s="50" t="str">
        <f>IFERROR(VLOOKUP(BY212,'[1]WCVI Esc'!$C$5:$W$555,18,FALSE),"-")</f>
        <v>-</v>
      </c>
      <c r="CA212" s="50" t="str">
        <f t="shared" si="95"/>
        <v>-</v>
      </c>
      <c r="CB212" s="50" t="str">
        <f>IFERROR(VLOOKUP(BY212,'[1]WCVI Esc'!$C$5:$W$555,19,FALSE),"-")</f>
        <v>-</v>
      </c>
      <c r="CC212" s="50" t="str">
        <f t="shared" si="96"/>
        <v>-</v>
      </c>
      <c r="CE212" s="342" t="str">
        <f t="shared" si="97"/>
        <v>RALF CREEK_Steelhead</v>
      </c>
      <c r="CF212" s="341" t="str">
        <f>IFERROR(VLOOKUP(BY212,'RawPL+D'!$O$8:$AB$503,12,FALSE),"-")</f>
        <v>-</v>
      </c>
      <c r="CG212" s="338" t="str">
        <f t="shared" si="98"/>
        <v>-</v>
      </c>
      <c r="CH212" s="341" t="str">
        <f>IFERROR(VLOOKUP(BY212,'RawPL+D'!$O$8:$AB$503,13,FALSE),"-")</f>
        <v>-</v>
      </c>
      <c r="CI212" s="338" t="str">
        <f t="shared" si="99"/>
        <v>-</v>
      </c>
    </row>
    <row r="213" spans="1:87" ht="12.75" hidden="1" customHeight="1" x14ac:dyDescent="0.2">
      <c r="A213" s="29">
        <v>2</v>
      </c>
      <c r="B213" s="29">
        <v>1</v>
      </c>
      <c r="C213" s="13">
        <v>22</v>
      </c>
      <c r="D213" s="103" t="s">
        <v>304</v>
      </c>
      <c r="E213" s="10" t="s">
        <v>26</v>
      </c>
      <c r="F213" s="10" t="s">
        <v>207</v>
      </c>
      <c r="G213" s="10"/>
      <c r="H213" s="10"/>
      <c r="I213" s="10"/>
      <c r="J213" s="10"/>
      <c r="K213" s="575"/>
      <c r="L213" s="632">
        <v>320</v>
      </c>
      <c r="M213" s="641">
        <f>279+8</f>
        <v>287</v>
      </c>
      <c r="N213" s="62"/>
      <c r="O213" s="642">
        <f>266+1</f>
        <v>267</v>
      </c>
      <c r="P213" s="686">
        <f>133+18</f>
        <v>151</v>
      </c>
      <c r="Q213" s="683">
        <f>24+34</f>
        <v>58</v>
      </c>
      <c r="R213" s="709"/>
      <c r="S213" s="62"/>
      <c r="T213" s="642">
        <v>10</v>
      </c>
      <c r="U213" s="591"/>
      <c r="V213" s="798">
        <v>0</v>
      </c>
      <c r="W213" s="590"/>
      <c r="X213" s="62"/>
      <c r="Y213" s="62"/>
      <c r="Z213" s="64"/>
      <c r="AA213" s="164"/>
      <c r="AB213" s="62"/>
      <c r="AC213" s="62"/>
      <c r="AD213" s="64"/>
      <c r="AE213" s="164"/>
      <c r="AF213" s="62"/>
      <c r="AG213" s="62"/>
      <c r="AH213" s="337">
        <v>509</v>
      </c>
      <c r="AI213" s="337">
        <v>10</v>
      </c>
      <c r="AJ213" s="337">
        <v>0</v>
      </c>
      <c r="AK213" s="337">
        <v>0</v>
      </c>
      <c r="AL213" s="555">
        <v>509</v>
      </c>
      <c r="AM213" s="552">
        <v>519</v>
      </c>
      <c r="AN213" s="552" t="s">
        <v>768</v>
      </c>
      <c r="AO213" s="552" t="s">
        <v>485</v>
      </c>
      <c r="AP213" s="44"/>
      <c r="AQ213" s="396">
        <f>AL213/BI213</f>
        <v>1.5424242424242425</v>
      </c>
      <c r="AR213" s="100">
        <f>BL213/BH213</f>
        <v>4.5714285714285712</v>
      </c>
      <c r="AS213" s="485">
        <f>BL213/BI213</f>
        <v>0.96969696969696972</v>
      </c>
      <c r="AT213" s="123"/>
      <c r="AU213" s="123"/>
      <c r="AV213" s="123"/>
      <c r="AW213" s="69">
        <v>22</v>
      </c>
      <c r="AX213" s="69" t="s">
        <v>304</v>
      </c>
      <c r="AY213" s="243" t="s">
        <v>26</v>
      </c>
      <c r="AZ213" s="243" t="str">
        <f t="shared" si="78"/>
        <v>Sockeye</v>
      </c>
      <c r="BA213" s="243" t="s">
        <v>419</v>
      </c>
      <c r="BB213" s="244" t="s">
        <v>494</v>
      </c>
      <c r="BC213" s="43" t="str">
        <f t="shared" si="79"/>
        <v>Nov 5-11</v>
      </c>
      <c r="BD213" s="43">
        <f t="shared" si="80"/>
        <v>7</v>
      </c>
      <c r="BE213" s="193">
        <f t="shared" si="81"/>
        <v>320</v>
      </c>
      <c r="BF213" s="193">
        <f t="shared" si="82"/>
        <v>509</v>
      </c>
      <c r="BG213" s="193">
        <f t="shared" si="83"/>
        <v>509</v>
      </c>
      <c r="BH213" s="307">
        <f t="shared" si="84"/>
        <v>70</v>
      </c>
      <c r="BI213" s="265">
        <f t="shared" si="77"/>
        <v>330</v>
      </c>
      <c r="BJ213" s="26" t="str">
        <f t="shared" si="85"/>
        <v>NITINAT RIVERSockeye</v>
      </c>
      <c r="BK213" s="26">
        <f t="shared" si="86"/>
        <v>7</v>
      </c>
      <c r="BL213" s="33">
        <f t="shared" si="76"/>
        <v>320</v>
      </c>
      <c r="BP213" s="34"/>
      <c r="BQ213" s="47" t="str">
        <f t="shared" si="87"/>
        <v>NITINAT RIVERSockeye</v>
      </c>
      <c r="BR213" s="49">
        <f t="shared" si="88"/>
        <v>0</v>
      </c>
      <c r="BS213" s="49">
        <f t="shared" si="89"/>
        <v>509</v>
      </c>
      <c r="BT213" s="31">
        <v>2016</v>
      </c>
      <c r="BU213" s="188" t="str">
        <f t="shared" si="90"/>
        <v>MCWright/Nitinat</v>
      </c>
      <c r="BV213" s="188" t="str">
        <f t="shared" si="91"/>
        <v>Oct 1-7</v>
      </c>
      <c r="BW213" s="188" t="str">
        <f t="shared" si="92"/>
        <v>Nov 5-11</v>
      </c>
      <c r="BX213" s="188" t="str">
        <f t="shared" si="93"/>
        <v xml:space="preserve"> </v>
      </c>
      <c r="BY213" s="50" t="str">
        <f t="shared" si="94"/>
        <v>NITINAT RIVER_Sockeye</v>
      </c>
      <c r="BZ213" s="50">
        <f>IFERROR(VLOOKUP(BY213,'[1]WCVI Esc'!$C$5:$W$555,18,FALSE),"-")</f>
        <v>92.75</v>
      </c>
      <c r="CA213" s="50">
        <f t="shared" si="95"/>
        <v>90</v>
      </c>
      <c r="CB213" s="50">
        <f>IFERROR(VLOOKUP(BY213,'[1]WCVI Esc'!$C$5:$W$555,19,FALSE),"-")</f>
        <v>327.3</v>
      </c>
      <c r="CC213" s="50">
        <f t="shared" si="96"/>
        <v>330</v>
      </c>
      <c r="CE213" s="342" t="str">
        <f t="shared" si="97"/>
        <v>NITINAT RIVER_Sockeye</v>
      </c>
      <c r="CF213" s="341">
        <f>IFERROR(VLOOKUP(CE213,'RawPL+D'!$O$8:$AB$503,12,FALSE),"-")</f>
        <v>31</v>
      </c>
      <c r="CG213" s="338">
        <f t="shared" si="98"/>
        <v>30</v>
      </c>
      <c r="CH213" s="341">
        <f>IFERROR(VLOOKUP(CE213,'RawPL+D'!$O$8:$AB$503,13,FALSE),"-")</f>
        <v>71.75</v>
      </c>
      <c r="CI213" s="338">
        <f t="shared" si="99"/>
        <v>70</v>
      </c>
    </row>
    <row r="214" spans="1:87" ht="12.75" hidden="1" customHeight="1" x14ac:dyDescent="0.2">
      <c r="A214" s="29">
        <v>2</v>
      </c>
      <c r="B214" s="29">
        <v>2</v>
      </c>
      <c r="C214" s="13">
        <v>22</v>
      </c>
      <c r="D214" s="103" t="s">
        <v>304</v>
      </c>
      <c r="E214" s="10" t="s">
        <v>26</v>
      </c>
      <c r="F214" s="10" t="s">
        <v>219</v>
      </c>
      <c r="G214" s="10"/>
      <c r="H214" s="10"/>
      <c r="I214" s="10"/>
      <c r="J214" s="10"/>
      <c r="K214" s="575"/>
      <c r="L214" s="632">
        <v>0</v>
      </c>
      <c r="M214" s="641">
        <v>1</v>
      </c>
      <c r="N214" s="62"/>
      <c r="O214" s="642">
        <v>0</v>
      </c>
      <c r="P214" s="686">
        <f>310+4</f>
        <v>314</v>
      </c>
      <c r="Q214" s="683">
        <f>136</f>
        <v>136</v>
      </c>
      <c r="R214" s="709"/>
      <c r="S214" s="62"/>
      <c r="T214" s="646">
        <v>1228</v>
      </c>
      <c r="U214" s="591"/>
      <c r="V214" s="799">
        <v>12</v>
      </c>
      <c r="W214" s="590"/>
      <c r="X214" s="62"/>
      <c r="Y214" s="62"/>
      <c r="Z214" s="64"/>
      <c r="AA214" s="164"/>
      <c r="AB214" s="62"/>
      <c r="AC214" s="62"/>
      <c r="AD214" s="64"/>
      <c r="AE214" s="164"/>
      <c r="AF214" s="62"/>
      <c r="AG214" s="62"/>
      <c r="AH214" s="337">
        <v>1364</v>
      </c>
      <c r="AI214" s="337">
        <v>154</v>
      </c>
      <c r="AJ214" s="337">
        <v>1092</v>
      </c>
      <c r="AK214" s="337">
        <v>58</v>
      </c>
      <c r="AL214" s="555">
        <v>2456</v>
      </c>
      <c r="AM214" s="552">
        <v>2668</v>
      </c>
      <c r="AN214" s="552" t="s">
        <v>765</v>
      </c>
      <c r="AO214" s="552" t="s">
        <v>485</v>
      </c>
      <c r="AP214" s="44"/>
      <c r="AQ214" s="396">
        <f>AL214/BI214</f>
        <v>0.69378531073446326</v>
      </c>
      <c r="AR214" s="100">
        <f>BL214/BH214</f>
        <v>1.1163636363636364</v>
      </c>
      <c r="AS214" s="485">
        <f>BL214/BI214</f>
        <v>0.34689265536723163</v>
      </c>
      <c r="AT214" s="123"/>
      <c r="AU214" s="123"/>
      <c r="AV214" s="123"/>
      <c r="AW214" s="69">
        <v>22</v>
      </c>
      <c r="AX214" s="69" t="s">
        <v>304</v>
      </c>
      <c r="AY214" s="243" t="s">
        <v>26</v>
      </c>
      <c r="AZ214" s="243" t="str">
        <f t="shared" si="78"/>
        <v>Coho</v>
      </c>
      <c r="BA214" s="243" t="s">
        <v>419</v>
      </c>
      <c r="BB214" s="244" t="s">
        <v>494</v>
      </c>
      <c r="BC214" s="43" t="str">
        <f t="shared" si="79"/>
        <v>Nov 5-11</v>
      </c>
      <c r="BD214" s="43">
        <f t="shared" si="80"/>
        <v>7</v>
      </c>
      <c r="BE214" s="193">
        <f t="shared" si="81"/>
        <v>1228</v>
      </c>
      <c r="BF214" s="193">
        <f t="shared" si="82"/>
        <v>2456</v>
      </c>
      <c r="BG214" s="193">
        <f t="shared" si="83"/>
        <v>1364</v>
      </c>
      <c r="BH214" s="307">
        <f t="shared" si="84"/>
        <v>1100</v>
      </c>
      <c r="BI214" s="265">
        <f t="shared" si="77"/>
        <v>3540</v>
      </c>
      <c r="BJ214" s="26" t="str">
        <f t="shared" si="85"/>
        <v>NITINAT RIVERCoho</v>
      </c>
      <c r="BK214" s="26">
        <f t="shared" si="86"/>
        <v>7</v>
      </c>
      <c r="BL214" s="33">
        <f t="shared" si="76"/>
        <v>1228</v>
      </c>
      <c r="BP214" s="34"/>
      <c r="BQ214" s="47" t="str">
        <f t="shared" si="87"/>
        <v>NITINAT RIVERCoho</v>
      </c>
      <c r="BR214" s="49">
        <f t="shared" si="88"/>
        <v>0</v>
      </c>
      <c r="BS214" s="49">
        <f t="shared" si="89"/>
        <v>2456</v>
      </c>
      <c r="BT214" s="31">
        <v>2016</v>
      </c>
      <c r="BU214" s="188" t="str">
        <f t="shared" si="90"/>
        <v>MCWright/Nitinat</v>
      </c>
      <c r="BV214" s="188" t="str">
        <f t="shared" si="91"/>
        <v>Oct 1-7</v>
      </c>
      <c r="BW214" s="188" t="str">
        <f t="shared" si="92"/>
        <v>Nov 5-11</v>
      </c>
      <c r="BX214" s="188" t="str">
        <f t="shared" si="93"/>
        <v xml:space="preserve"> </v>
      </c>
      <c r="BY214" s="50" t="str">
        <f t="shared" si="94"/>
        <v>NITINAT RIVER_Coho</v>
      </c>
      <c r="BZ214" s="50">
        <f>IFERROR(VLOOKUP(BY214,'[1]WCVI Esc'!$C$5:$W$555,18,FALSE),"-")</f>
        <v>1303.5</v>
      </c>
      <c r="CA214" s="50">
        <f t="shared" si="95"/>
        <v>1300</v>
      </c>
      <c r="CB214" s="50">
        <f>IFERROR(VLOOKUP(BY214,'[1]WCVI Esc'!$C$5:$W$555,19,FALSE),"-")</f>
        <v>3535.4166666666665</v>
      </c>
      <c r="CC214" s="50">
        <f t="shared" si="96"/>
        <v>3540</v>
      </c>
      <c r="CE214" s="342" t="str">
        <f t="shared" si="97"/>
        <v>NITINAT RIVER_Coho</v>
      </c>
      <c r="CF214" s="341">
        <f>IFERROR(VLOOKUP(CE214,'RawPL+D'!$O$8:$AB$503,12,FALSE),"-")</f>
        <v>864</v>
      </c>
      <c r="CG214" s="338">
        <f t="shared" si="98"/>
        <v>860</v>
      </c>
      <c r="CH214" s="341">
        <f>IFERROR(VLOOKUP(CE214,'RawPL+D'!$O$8:$AB$503,13,FALSE),"-")</f>
        <v>1100</v>
      </c>
      <c r="CI214" s="338">
        <f t="shared" si="99"/>
        <v>1100</v>
      </c>
    </row>
    <row r="215" spans="1:87" ht="12.75" hidden="1" customHeight="1" x14ac:dyDescent="0.2">
      <c r="A215" s="29">
        <v>2</v>
      </c>
      <c r="B215" s="29">
        <v>3</v>
      </c>
      <c r="C215" s="13">
        <v>22</v>
      </c>
      <c r="D215" s="103" t="s">
        <v>304</v>
      </c>
      <c r="E215" s="10" t="s">
        <v>26</v>
      </c>
      <c r="F215" s="10" t="s">
        <v>208</v>
      </c>
      <c r="G215" s="10"/>
      <c r="H215" s="10"/>
      <c r="I215" s="10"/>
      <c r="J215" s="10"/>
      <c r="K215" s="575"/>
      <c r="L215" s="632">
        <v>1</v>
      </c>
      <c r="M215" s="641">
        <v>2</v>
      </c>
      <c r="N215" s="62"/>
      <c r="O215" s="642">
        <v>3</v>
      </c>
      <c r="P215" s="686">
        <v>0</v>
      </c>
      <c r="Q215" s="683">
        <v>0</v>
      </c>
      <c r="R215" s="709"/>
      <c r="S215" s="62"/>
      <c r="T215" s="642">
        <v>0</v>
      </c>
      <c r="U215" s="591"/>
      <c r="V215" s="798">
        <v>0</v>
      </c>
      <c r="W215" s="590"/>
      <c r="X215" s="62"/>
      <c r="Y215" s="62"/>
      <c r="Z215" s="64"/>
      <c r="AA215" s="164"/>
      <c r="AB215" s="62"/>
      <c r="AC215" s="62"/>
      <c r="AD215" s="64"/>
      <c r="AE215" s="164"/>
      <c r="AF215" s="62"/>
      <c r="AG215" s="62"/>
      <c r="AH215" s="337">
        <v>4</v>
      </c>
      <c r="AI215" s="337">
        <v>0</v>
      </c>
      <c r="AJ215" s="337">
        <v>0</v>
      </c>
      <c r="AK215" s="337">
        <v>0</v>
      </c>
      <c r="AL215" s="556">
        <v>4</v>
      </c>
      <c r="AM215" s="567">
        <v>4</v>
      </c>
      <c r="AN215" s="567" t="s">
        <v>765</v>
      </c>
      <c r="AO215" s="567" t="s">
        <v>482</v>
      </c>
      <c r="AP215" s="44"/>
      <c r="AQ215" s="396">
        <f>AL215/BI215</f>
        <v>0.2</v>
      </c>
      <c r="AR215" s="100" t="e">
        <f>BL215/BH215</f>
        <v>#DIV/0!</v>
      </c>
      <c r="AS215" s="485">
        <f>BL215/BI215</f>
        <v>0.15</v>
      </c>
      <c r="AT215" s="123"/>
      <c r="AU215" s="123"/>
      <c r="AV215" s="123"/>
      <c r="AW215" s="69">
        <v>22</v>
      </c>
      <c r="AX215" s="69" t="s">
        <v>304</v>
      </c>
      <c r="AY215" s="243" t="s">
        <v>26</v>
      </c>
      <c r="AZ215" s="243" t="str">
        <f t="shared" si="78"/>
        <v>Pink</v>
      </c>
      <c r="BA215" s="243" t="s">
        <v>419</v>
      </c>
      <c r="BB215" s="244" t="s">
        <v>494</v>
      </c>
      <c r="BC215" s="43" t="str">
        <f t="shared" si="79"/>
        <v>Nov 5-11</v>
      </c>
      <c r="BD215" s="43">
        <f t="shared" si="80"/>
        <v>7</v>
      </c>
      <c r="BE215" s="193">
        <f t="shared" si="81"/>
        <v>3</v>
      </c>
      <c r="BF215" s="193">
        <f t="shared" si="82"/>
        <v>4</v>
      </c>
      <c r="BG215" s="193">
        <f t="shared" si="83"/>
        <v>4</v>
      </c>
      <c r="BH215" s="307">
        <f t="shared" si="84"/>
        <v>0</v>
      </c>
      <c r="BI215" s="265">
        <f t="shared" si="77"/>
        <v>20</v>
      </c>
      <c r="BJ215" s="26" t="str">
        <f t="shared" si="85"/>
        <v>NITINAT RIVERPink</v>
      </c>
      <c r="BK215" s="26">
        <f t="shared" si="86"/>
        <v>7</v>
      </c>
      <c r="BL215" s="33">
        <f t="shared" si="76"/>
        <v>3</v>
      </c>
      <c r="BP215" s="34"/>
      <c r="BQ215" s="47" t="str">
        <f t="shared" si="87"/>
        <v>NITINAT RIVERPink</v>
      </c>
      <c r="BR215" s="49">
        <f t="shared" si="88"/>
        <v>0</v>
      </c>
      <c r="BS215" s="49">
        <f t="shared" si="89"/>
        <v>4</v>
      </c>
      <c r="BT215" s="31">
        <v>2016</v>
      </c>
      <c r="BU215" s="188" t="str">
        <f t="shared" si="90"/>
        <v>MCWright/Nitinat</v>
      </c>
      <c r="BV215" s="188" t="str">
        <f t="shared" si="91"/>
        <v>Oct 1-7</v>
      </c>
      <c r="BW215" s="188" t="str">
        <f t="shared" si="92"/>
        <v>Nov 5-11</v>
      </c>
      <c r="BX215" s="188" t="str">
        <f t="shared" si="93"/>
        <v xml:space="preserve"> </v>
      </c>
      <c r="BY215" s="50" t="str">
        <f t="shared" si="94"/>
        <v>NITINAT RIVER_Pink</v>
      </c>
      <c r="BZ215" s="50">
        <f>IFERROR(VLOOKUP(BY215,'[1]WCVI Esc'!$C$5:$W$555,18,FALSE),"-")</f>
        <v>11</v>
      </c>
      <c r="CA215" s="50">
        <f t="shared" si="95"/>
        <v>10</v>
      </c>
      <c r="CB215" s="50">
        <f>IFERROR(VLOOKUP(BY215,'[1]WCVI Esc'!$C$5:$W$555,19,FALSE),"-")</f>
        <v>23.5</v>
      </c>
      <c r="CC215" s="50">
        <f t="shared" si="96"/>
        <v>20</v>
      </c>
      <c r="CE215" s="342" t="str">
        <f t="shared" si="97"/>
        <v>NITINAT RIVER_Pink</v>
      </c>
      <c r="CF215" s="341">
        <f>IFERROR(VLOOKUP(CE215,'RawPL+D'!$O$8:$AB$503,12,FALSE),"-")</f>
        <v>3</v>
      </c>
      <c r="CG215" s="338">
        <f t="shared" si="98"/>
        <v>0</v>
      </c>
      <c r="CH215" s="341">
        <f>IFERROR(VLOOKUP(CE215,'RawPL+D'!$O$8:$AB$503,13,FALSE),"-")</f>
        <v>4.75</v>
      </c>
      <c r="CI215" s="338">
        <f t="shared" si="99"/>
        <v>0</v>
      </c>
    </row>
    <row r="216" spans="1:87" ht="12.75" hidden="1" customHeight="1" x14ac:dyDescent="0.2">
      <c r="A216" s="29">
        <v>2</v>
      </c>
      <c r="B216" s="29">
        <v>4</v>
      </c>
      <c r="C216" s="13">
        <v>22</v>
      </c>
      <c r="D216" s="103" t="s">
        <v>304</v>
      </c>
      <c r="E216" s="10" t="s">
        <v>26</v>
      </c>
      <c r="F216" s="10" t="s">
        <v>209</v>
      </c>
      <c r="G216" s="10"/>
      <c r="H216" s="10"/>
      <c r="I216" s="10"/>
      <c r="J216" s="10"/>
      <c r="K216" s="575"/>
      <c r="L216" s="632">
        <v>3</v>
      </c>
      <c r="M216" s="641">
        <v>1</v>
      </c>
      <c r="N216" s="62"/>
      <c r="O216" s="642">
        <v>0</v>
      </c>
      <c r="P216" s="686">
        <f>936+68</f>
        <v>1004</v>
      </c>
      <c r="Q216" s="685">
        <f>1726+22</f>
        <v>1748</v>
      </c>
      <c r="R216" s="710">
        <v>13700</v>
      </c>
      <c r="S216" s="390"/>
      <c r="T216" s="676">
        <v>9555</v>
      </c>
      <c r="U216" s="591"/>
      <c r="V216" s="799">
        <f>2+8</f>
        <v>10</v>
      </c>
      <c r="W216" s="590"/>
      <c r="X216" s="62"/>
      <c r="Y216" s="62"/>
      <c r="Z216" s="64"/>
      <c r="AA216" s="164"/>
      <c r="AB216" s="62"/>
      <c r="AC216" s="62"/>
      <c r="AD216" s="64"/>
      <c r="AE216" s="164"/>
      <c r="AF216" s="62"/>
      <c r="AG216" s="62"/>
      <c r="AH216" s="337">
        <v>21344</v>
      </c>
      <c r="AI216" s="337">
        <v>0</v>
      </c>
      <c r="AJ216" s="337">
        <v>6186</v>
      </c>
      <c r="AK216" s="337">
        <v>0</v>
      </c>
      <c r="AL216" s="556">
        <v>27530</v>
      </c>
      <c r="AM216" s="567">
        <v>27350</v>
      </c>
      <c r="AN216" s="567" t="s">
        <v>768</v>
      </c>
      <c r="AO216" s="567" t="s">
        <v>482</v>
      </c>
      <c r="AP216" s="44"/>
      <c r="AQ216" s="396">
        <f>AL216/BI216</f>
        <v>0.20329345739181806</v>
      </c>
      <c r="AR216" s="100">
        <f>BL216/BH216</f>
        <v>0.40773809523809523</v>
      </c>
      <c r="AS216" s="485">
        <f>BL216/BI216</f>
        <v>0.1011667405110028</v>
      </c>
      <c r="AT216" s="123"/>
      <c r="AU216" s="123"/>
      <c r="AV216" s="123"/>
      <c r="AW216" s="69">
        <v>22</v>
      </c>
      <c r="AX216" s="69" t="s">
        <v>304</v>
      </c>
      <c r="AY216" s="243" t="s">
        <v>26</v>
      </c>
      <c r="AZ216" s="243" t="str">
        <f t="shared" si="78"/>
        <v>Chum</v>
      </c>
      <c r="BA216" s="243" t="s">
        <v>419</v>
      </c>
      <c r="BB216" s="244" t="s">
        <v>494</v>
      </c>
      <c r="BC216" s="43" t="str">
        <f t="shared" si="79"/>
        <v>Nov 5-11</v>
      </c>
      <c r="BD216" s="43">
        <f t="shared" si="80"/>
        <v>8</v>
      </c>
      <c r="BE216" s="193">
        <f t="shared" si="81"/>
        <v>13700</v>
      </c>
      <c r="BF216" s="193">
        <f t="shared" si="82"/>
        <v>27530</v>
      </c>
      <c r="BG216" s="193">
        <f t="shared" si="83"/>
        <v>21344</v>
      </c>
      <c r="BH216" s="307">
        <f t="shared" si="84"/>
        <v>33600</v>
      </c>
      <c r="BI216" s="265">
        <f t="shared" si="77"/>
        <v>135420</v>
      </c>
      <c r="BJ216" s="26" t="str">
        <f t="shared" si="85"/>
        <v>NITINAT RIVERChum</v>
      </c>
      <c r="BK216" s="26">
        <f t="shared" si="86"/>
        <v>8</v>
      </c>
      <c r="BL216" s="33">
        <f t="shared" si="76"/>
        <v>13700</v>
      </c>
      <c r="BP216" s="34"/>
      <c r="BQ216" s="47" t="str">
        <f t="shared" si="87"/>
        <v>NITINAT RIVERChum</v>
      </c>
      <c r="BR216" s="49">
        <f t="shared" si="88"/>
        <v>0</v>
      </c>
      <c r="BS216" s="49">
        <f t="shared" si="89"/>
        <v>27530</v>
      </c>
      <c r="BT216" s="31">
        <v>2016</v>
      </c>
      <c r="BU216" s="188" t="str">
        <f t="shared" si="90"/>
        <v>MCWright/Nitinat</v>
      </c>
      <c r="BV216" s="188" t="str">
        <f t="shared" si="91"/>
        <v>Oct 1-7</v>
      </c>
      <c r="BW216" s="188" t="str">
        <f t="shared" si="92"/>
        <v>Nov 5-11</v>
      </c>
      <c r="BX216" s="188" t="str">
        <f t="shared" si="93"/>
        <v xml:space="preserve"> </v>
      </c>
      <c r="BY216" s="50" t="str">
        <f t="shared" si="94"/>
        <v>NITINAT RIVER_Chum</v>
      </c>
      <c r="BZ216" s="50">
        <f>IFERROR(VLOOKUP(BY216,'[1]WCVI Esc'!$C$5:$W$555,18,FALSE),"-")</f>
        <v>57526.5</v>
      </c>
      <c r="CA216" s="50">
        <f t="shared" si="95"/>
        <v>57530</v>
      </c>
      <c r="CB216" s="50">
        <f>IFERROR(VLOOKUP(BY216,'[1]WCVI Esc'!$C$5:$W$555,19,FALSE),"-")</f>
        <v>135423.25</v>
      </c>
      <c r="CC216" s="50">
        <f t="shared" si="96"/>
        <v>135420</v>
      </c>
      <c r="CE216" s="342" t="str">
        <f t="shared" si="97"/>
        <v>NITINAT RIVER_Chum</v>
      </c>
      <c r="CF216" s="341">
        <f>IFERROR(VLOOKUP(CE216,'RawPL+D'!$O$8:$AB$503,12,FALSE),"-")</f>
        <v>16300</v>
      </c>
      <c r="CG216" s="338">
        <f t="shared" si="98"/>
        <v>16300</v>
      </c>
      <c r="CH216" s="341">
        <f>IFERROR(VLOOKUP(CE216,'RawPL+D'!$O$8:$AB$503,13,FALSE),"-")</f>
        <v>33604.25</v>
      </c>
      <c r="CI216" s="338">
        <f t="shared" si="99"/>
        <v>33600</v>
      </c>
    </row>
    <row r="217" spans="1:87" ht="12.75" hidden="1" customHeight="1" x14ac:dyDescent="0.2">
      <c r="A217" s="29">
        <v>2</v>
      </c>
      <c r="B217" s="29">
        <v>5</v>
      </c>
      <c r="C217" s="13">
        <v>22</v>
      </c>
      <c r="D217" s="103" t="s">
        <v>304</v>
      </c>
      <c r="E217" s="10" t="s">
        <v>26</v>
      </c>
      <c r="F217" s="10" t="s">
        <v>210</v>
      </c>
      <c r="G217" s="10"/>
      <c r="H217" s="10"/>
      <c r="I217" s="10"/>
      <c r="J217" s="10"/>
      <c r="K217" s="575"/>
      <c r="L217" s="632">
        <v>13</v>
      </c>
      <c r="M217" s="641">
        <v>213</v>
      </c>
      <c r="N217" s="62"/>
      <c r="O217" s="642">
        <v>2003</v>
      </c>
      <c r="P217" s="711">
        <f>13995+1570</f>
        <v>15565</v>
      </c>
      <c r="Q217" s="685">
        <f>2501+2+4288+88</f>
        <v>6879</v>
      </c>
      <c r="R217" s="710">
        <v>8580</v>
      </c>
      <c r="S217" s="390"/>
      <c r="T217" s="642">
        <v>269</v>
      </c>
      <c r="U217" s="591"/>
      <c r="V217" s="798">
        <f>0+7</f>
        <v>7</v>
      </c>
      <c r="W217" s="590"/>
      <c r="X217" s="62"/>
      <c r="Y217" s="62"/>
      <c r="Z217" s="64"/>
      <c r="AA217" s="164"/>
      <c r="AB217" s="62"/>
      <c r="AC217" s="62"/>
      <c r="AD217" s="64"/>
      <c r="AE217" s="164"/>
      <c r="AF217" s="62"/>
      <c r="AG217" s="62"/>
      <c r="AH217" s="337">
        <v>14247</v>
      </c>
      <c r="AI217" s="337">
        <v>3</v>
      </c>
      <c r="AJ217" s="337">
        <v>6846</v>
      </c>
      <c r="AK217" s="337">
        <v>113</v>
      </c>
      <c r="AL217" s="555">
        <v>21093</v>
      </c>
      <c r="AM217" s="552">
        <v>21209</v>
      </c>
      <c r="AN217" s="567" t="s">
        <v>768</v>
      </c>
      <c r="AO217" s="567" t="s">
        <v>482</v>
      </c>
      <c r="AP217" s="44"/>
      <c r="AQ217" s="396">
        <f>AL217/BI217</f>
        <v>1.5979545454545454</v>
      </c>
      <c r="AR217" s="100">
        <f>BL217/BH217</f>
        <v>1.671858216970999</v>
      </c>
      <c r="AS217" s="485">
        <f>BL217/BI217</f>
        <v>1.1791666666666667</v>
      </c>
      <c r="AT217" s="123">
        <v>2002</v>
      </c>
      <c r="AU217" s="123">
        <v>589</v>
      </c>
      <c r="AV217" s="123">
        <f>AL217</f>
        <v>21093</v>
      </c>
      <c r="AW217" s="69">
        <v>22</v>
      </c>
      <c r="AX217" s="69" t="s">
        <v>304</v>
      </c>
      <c r="AY217" s="243" t="s">
        <v>26</v>
      </c>
      <c r="AZ217" s="243" t="str">
        <f t="shared" si="78"/>
        <v>Chinook</v>
      </c>
      <c r="BA217" s="243" t="s">
        <v>419</v>
      </c>
      <c r="BB217" s="244" t="s">
        <v>494</v>
      </c>
      <c r="BC217" s="43" t="str">
        <f t="shared" si="79"/>
        <v>Nov 5-11</v>
      </c>
      <c r="BD217" s="43">
        <f t="shared" si="80"/>
        <v>8</v>
      </c>
      <c r="BE217" s="193">
        <f t="shared" si="81"/>
        <v>15565</v>
      </c>
      <c r="BF217" s="193">
        <f t="shared" si="82"/>
        <v>21093</v>
      </c>
      <c r="BG217" s="193">
        <f t="shared" si="83"/>
        <v>14247</v>
      </c>
      <c r="BH217" s="307">
        <f t="shared" si="84"/>
        <v>9310</v>
      </c>
      <c r="BI217" s="265">
        <f t="shared" si="77"/>
        <v>13200</v>
      </c>
      <c r="BJ217" s="26" t="str">
        <f t="shared" si="85"/>
        <v>NITINAT RIVERChinook</v>
      </c>
      <c r="BK217" s="26">
        <f t="shared" si="86"/>
        <v>8</v>
      </c>
      <c r="BL217" s="33">
        <f t="shared" si="76"/>
        <v>15565</v>
      </c>
      <c r="BM217" s="34">
        <f>BL217*1.14</f>
        <v>17744.099999999999</v>
      </c>
      <c r="BN217" s="34">
        <f>BL217*2.88</f>
        <v>44827.199999999997</v>
      </c>
      <c r="BP217" s="34">
        <f>SUM(BM217:BN217)/2</f>
        <v>31285.649999999998</v>
      </c>
      <c r="BQ217" s="47" t="str">
        <f t="shared" si="87"/>
        <v>NITINAT RIVERChinook</v>
      </c>
      <c r="BR217" s="49">
        <f t="shared" si="88"/>
        <v>0</v>
      </c>
      <c r="BS217" s="49">
        <f t="shared" si="89"/>
        <v>21093</v>
      </c>
      <c r="BT217" s="31">
        <v>2016</v>
      </c>
      <c r="BU217" s="188" t="str">
        <f t="shared" si="90"/>
        <v>MCWright/Nitinat</v>
      </c>
      <c r="BV217" s="188" t="str">
        <f t="shared" si="91"/>
        <v>Oct 1-7</v>
      </c>
      <c r="BW217" s="188" t="str">
        <f t="shared" si="92"/>
        <v>Nov 5-11</v>
      </c>
      <c r="BX217" s="188" t="str">
        <f t="shared" si="93"/>
        <v xml:space="preserve"> </v>
      </c>
      <c r="BY217" s="50" t="str">
        <f t="shared" si="94"/>
        <v>NITINAT RIVER_Chinook</v>
      </c>
      <c r="BZ217" s="50">
        <f>IFERROR(VLOOKUP(BY217,'[1]WCVI Esc'!$C$5:$W$555,18,FALSE),"-")</f>
        <v>14135.25</v>
      </c>
      <c r="CA217" s="50">
        <f t="shared" si="95"/>
        <v>14140</v>
      </c>
      <c r="CB217" s="50">
        <f>IFERROR(VLOOKUP(BY217,'[1]WCVI Esc'!$C$5:$W$555,19,FALSE),"-")</f>
        <v>13202.75</v>
      </c>
      <c r="CC217" s="50">
        <f t="shared" si="96"/>
        <v>13200</v>
      </c>
      <c r="CE217" s="342" t="str">
        <f t="shared" si="97"/>
        <v>NITINAT RIVER_Chinook</v>
      </c>
      <c r="CF217" s="341">
        <f>IFERROR(VLOOKUP(CE217,'RawPL+D'!$O$8:$AB$503,12,FALSE),"-")</f>
        <v>5644</v>
      </c>
      <c r="CG217" s="338">
        <f t="shared" si="98"/>
        <v>5640</v>
      </c>
      <c r="CH217" s="341">
        <f>IFERROR(VLOOKUP(CE217,'RawPL+D'!$O$8:$AB$503,13,FALSE),"-")</f>
        <v>9308</v>
      </c>
      <c r="CI217" s="338">
        <f t="shared" si="99"/>
        <v>9310</v>
      </c>
    </row>
    <row r="218" spans="1:87" ht="12.75" hidden="1" customHeight="1" x14ac:dyDescent="0.2">
      <c r="A218" s="29">
        <v>2</v>
      </c>
      <c r="B218" s="29">
        <v>6</v>
      </c>
      <c r="C218" s="13">
        <v>22</v>
      </c>
      <c r="D218" s="103" t="s">
        <v>304</v>
      </c>
      <c r="E218" s="10" t="s">
        <v>26</v>
      </c>
      <c r="F218" s="10" t="s">
        <v>211</v>
      </c>
      <c r="G218" s="10"/>
      <c r="H218" s="10"/>
      <c r="I218" s="10"/>
      <c r="J218" s="10"/>
      <c r="K218" s="575"/>
      <c r="L218" s="632">
        <v>50</v>
      </c>
      <c r="M218" s="641">
        <v>32</v>
      </c>
      <c r="N218" s="62"/>
      <c r="O218" s="642">
        <v>21</v>
      </c>
      <c r="P218" s="686">
        <f>330+1</f>
        <v>331</v>
      </c>
      <c r="Q218" s="683">
        <v>79</v>
      </c>
      <c r="R218" s="709"/>
      <c r="S218" s="62"/>
      <c r="T218" s="642">
        <v>3</v>
      </c>
      <c r="U218" s="591"/>
      <c r="V218" s="798">
        <v>0</v>
      </c>
      <c r="W218" s="590"/>
      <c r="X218" s="62"/>
      <c r="Y218" s="62"/>
      <c r="Z218" s="64"/>
      <c r="AA218" s="164"/>
      <c r="AB218" s="62"/>
      <c r="AC218" s="62"/>
      <c r="AD218" s="64"/>
      <c r="AE218" s="164"/>
      <c r="AF218" s="62"/>
      <c r="AG218" s="62"/>
      <c r="AH218" s="337"/>
      <c r="AI218" s="337"/>
      <c r="AJ218" s="337"/>
      <c r="AK218" s="337"/>
      <c r="AL218" s="556"/>
      <c r="AM218" s="567"/>
      <c r="AN218" s="46"/>
      <c r="AO218" s="46"/>
      <c r="AP218" s="44"/>
      <c r="AQ218" s="396"/>
      <c r="AR218" s="100"/>
      <c r="AS218" s="485"/>
      <c r="AT218" s="123"/>
      <c r="AU218" s="123"/>
      <c r="AV218" s="123"/>
      <c r="AW218" s="69">
        <v>22</v>
      </c>
      <c r="AX218" s="69" t="s">
        <v>304</v>
      </c>
      <c r="AY218" s="243" t="s">
        <v>26</v>
      </c>
      <c r="AZ218" s="243" t="str">
        <f t="shared" si="78"/>
        <v>Steelhead</v>
      </c>
      <c r="BA218" s="243" t="s">
        <v>419</v>
      </c>
      <c r="BB218" s="244" t="s">
        <v>494</v>
      </c>
      <c r="BC218" s="43" t="str">
        <f t="shared" si="79"/>
        <v>Nov 5-11</v>
      </c>
      <c r="BD218" s="43">
        <f t="shared" si="80"/>
        <v>7</v>
      </c>
      <c r="BE218" s="193">
        <f t="shared" si="81"/>
        <v>331</v>
      </c>
      <c r="BF218" s="193">
        <f t="shared" si="82"/>
        <v>0</v>
      </c>
      <c r="BG218" s="193">
        <f t="shared" si="83"/>
        <v>0</v>
      </c>
      <c r="BH218" s="307" t="str">
        <f t="shared" si="84"/>
        <v>-</v>
      </c>
      <c r="BI218" s="265" t="str">
        <f t="shared" si="77"/>
        <v>-</v>
      </c>
      <c r="BJ218" s="26" t="str">
        <f t="shared" si="85"/>
        <v>NITINAT RIVERSteelhead</v>
      </c>
      <c r="BK218" s="26">
        <f t="shared" si="86"/>
        <v>7</v>
      </c>
      <c r="BL218" s="33">
        <f t="shared" si="76"/>
        <v>331</v>
      </c>
      <c r="BP218" s="34"/>
      <c r="BQ218" s="47" t="str">
        <f t="shared" si="87"/>
        <v>NITINAT RIVERSteelhead</v>
      </c>
      <c r="BR218" s="49">
        <f t="shared" si="88"/>
        <v>0</v>
      </c>
      <c r="BS218" s="49">
        <f t="shared" si="89"/>
        <v>0</v>
      </c>
      <c r="BT218" s="31">
        <v>0</v>
      </c>
      <c r="BU218" s="188" t="str">
        <f t="shared" si="90"/>
        <v>MCWright/Nitinat</v>
      </c>
      <c r="BV218" s="188" t="str">
        <f t="shared" si="91"/>
        <v>Oct 1-7</v>
      </c>
      <c r="BW218" s="188" t="str">
        <f t="shared" si="92"/>
        <v>Nov 5-11</v>
      </c>
      <c r="BX218" s="188" t="str">
        <f t="shared" si="93"/>
        <v xml:space="preserve"> </v>
      </c>
      <c r="BY218" s="50" t="str">
        <f t="shared" si="94"/>
        <v>NITINAT RIVER_Steelhead</v>
      </c>
      <c r="BZ218" s="50" t="str">
        <f>IFERROR(VLOOKUP(BY218,'[1]WCVI Esc'!$C$5:$W$555,18,FALSE),"-")</f>
        <v>-</v>
      </c>
      <c r="CA218" s="50" t="str">
        <f t="shared" si="95"/>
        <v>-</v>
      </c>
      <c r="CB218" s="50" t="str">
        <f>IFERROR(VLOOKUP(BY218,'[1]WCVI Esc'!$C$5:$W$555,19,FALSE),"-")</f>
        <v>-</v>
      </c>
      <c r="CC218" s="50" t="str">
        <f t="shared" si="96"/>
        <v>-</v>
      </c>
      <c r="CE218" s="342" t="str">
        <f t="shared" si="97"/>
        <v>NITINAT RIVER_Steelhead</v>
      </c>
      <c r="CF218" s="341" t="str">
        <f>IFERROR(VLOOKUP(BY218,'RawPL+D'!$O$8:$AB$503,12,FALSE),"-")</f>
        <v>-</v>
      </c>
      <c r="CG218" s="338" t="str">
        <f t="shared" si="98"/>
        <v>-</v>
      </c>
      <c r="CH218" s="341" t="str">
        <f>IFERROR(VLOOKUP(BY218,'RawPL+D'!$O$8:$AB$503,13,FALSE),"-")</f>
        <v>-</v>
      </c>
      <c r="CI218" s="338" t="str">
        <f t="shared" si="99"/>
        <v>-</v>
      </c>
    </row>
    <row r="219" spans="1:87" ht="12.75" hidden="1" customHeight="1" x14ac:dyDescent="0.2">
      <c r="A219" s="28">
        <v>4</v>
      </c>
      <c r="B219" s="28">
        <v>1</v>
      </c>
      <c r="C219" s="11">
        <v>22</v>
      </c>
      <c r="D219" s="103" t="s">
        <v>304</v>
      </c>
      <c r="E219" s="10" t="s">
        <v>79</v>
      </c>
      <c r="F219" s="10" t="s">
        <v>207</v>
      </c>
      <c r="G219" s="10"/>
      <c r="H219" s="10"/>
      <c r="I219" s="10"/>
      <c r="J219" s="10"/>
      <c r="K219" s="575"/>
      <c r="L219" s="152"/>
      <c r="M219" s="164"/>
      <c r="N219" s="62"/>
      <c r="O219" s="62"/>
      <c r="P219" s="62"/>
      <c r="Q219" s="62"/>
      <c r="R219" s="62"/>
      <c r="S219" s="62"/>
      <c r="T219" s="642">
        <v>0</v>
      </c>
      <c r="U219" s="64"/>
      <c r="V219" s="164"/>
      <c r="W219" s="62"/>
      <c r="X219" s="62"/>
      <c r="Y219" s="62"/>
      <c r="Z219" s="64"/>
      <c r="AA219" s="164"/>
      <c r="AB219" s="62"/>
      <c r="AC219" s="62"/>
      <c r="AD219" s="64"/>
      <c r="AE219" s="164"/>
      <c r="AF219" s="62"/>
      <c r="AG219" s="62"/>
      <c r="AH219" s="337"/>
      <c r="AI219" s="337"/>
      <c r="AJ219" s="337"/>
      <c r="AK219" s="337"/>
      <c r="AL219" s="555"/>
      <c r="AM219" s="552"/>
      <c r="AN219" s="45"/>
      <c r="AO219" s="45"/>
      <c r="AP219" s="45"/>
      <c r="AQ219" s="396"/>
      <c r="AR219" s="100"/>
      <c r="AS219" s="485"/>
      <c r="AT219" s="100"/>
      <c r="AU219" s="100"/>
      <c r="AV219" s="100"/>
      <c r="AW219" s="18">
        <v>22</v>
      </c>
      <c r="AX219" s="69" t="s">
        <v>304</v>
      </c>
      <c r="AY219" s="243" t="s">
        <v>79</v>
      </c>
      <c r="AZ219" s="243" t="str">
        <f t="shared" si="78"/>
        <v>Sockeye</v>
      </c>
      <c r="BA219" s="243" t="s">
        <v>419</v>
      </c>
      <c r="BB219" s="244" t="s">
        <v>624</v>
      </c>
      <c r="BC219" s="43" t="str">
        <f t="shared" si="79"/>
        <v>Oct 22-28</v>
      </c>
      <c r="BD219" s="43">
        <f t="shared" si="80"/>
        <v>1</v>
      </c>
      <c r="BE219" s="193">
        <f t="shared" si="81"/>
        <v>0</v>
      </c>
      <c r="BF219" s="193">
        <f t="shared" si="82"/>
        <v>0</v>
      </c>
      <c r="BG219" s="193">
        <f t="shared" si="83"/>
        <v>0</v>
      </c>
      <c r="BH219" s="307">
        <f t="shared" si="84"/>
        <v>0</v>
      </c>
      <c r="BI219" s="265"/>
      <c r="BJ219" s="26" t="str">
        <f t="shared" si="85"/>
        <v>CAMPUS CREEKSockeye</v>
      </c>
      <c r="BK219" s="26">
        <f t="shared" si="86"/>
        <v>1</v>
      </c>
      <c r="BL219" s="33">
        <f t="shared" si="76"/>
        <v>0</v>
      </c>
      <c r="BQ219" s="47" t="str">
        <f t="shared" si="87"/>
        <v>CAMPUS CREEKSockeye</v>
      </c>
      <c r="BR219" s="49">
        <f t="shared" si="88"/>
        <v>0</v>
      </c>
      <c r="BS219" s="49">
        <f t="shared" si="89"/>
        <v>0</v>
      </c>
      <c r="BT219" s="31">
        <v>2015</v>
      </c>
      <c r="BU219" s="188" t="str">
        <f t="shared" si="90"/>
        <v>Ditidaht/MCWright</v>
      </c>
      <c r="BV219" s="188" t="str">
        <f t="shared" si="91"/>
        <v xml:space="preserve"> </v>
      </c>
      <c r="BW219" s="188" t="str">
        <f t="shared" si="92"/>
        <v>Oct 22-28</v>
      </c>
      <c r="BX219" s="188" t="str">
        <f t="shared" si="93"/>
        <v xml:space="preserve"> </v>
      </c>
      <c r="BY219" s="50" t="str">
        <f t="shared" si="94"/>
        <v>CAMPUS CREEK_Sockeye</v>
      </c>
      <c r="BZ219" s="50" t="str">
        <f>IFERROR(VLOOKUP(BY219,'[1]WCVI Esc'!$C$5:$W$555,18,FALSE),"-")</f>
        <v>-</v>
      </c>
      <c r="CA219" s="50" t="str">
        <f t="shared" si="95"/>
        <v>-</v>
      </c>
      <c r="CB219" s="50" t="str">
        <f>IFERROR(VLOOKUP(BY219,'[1]WCVI Esc'!$C$5:$W$555,19,FALSE),"-")</f>
        <v>-</v>
      </c>
      <c r="CC219" s="50" t="str">
        <f t="shared" si="96"/>
        <v>-</v>
      </c>
      <c r="CE219" s="342" t="str">
        <f t="shared" si="97"/>
        <v>CAMPUS CREEK_Sockeye</v>
      </c>
      <c r="CF219" s="341">
        <f>IFERROR(VLOOKUP(BY219,'RawPL+D'!$O$8:$AB$503,12,FALSE),"-")</f>
        <v>0</v>
      </c>
      <c r="CG219" s="338">
        <f t="shared" si="98"/>
        <v>0</v>
      </c>
      <c r="CH219" s="341">
        <f>IFERROR(VLOOKUP(BY219,'RawPL+D'!$O$8:$AB$503,13,FALSE),"-")</f>
        <v>0</v>
      </c>
      <c r="CI219" s="338">
        <f t="shared" si="99"/>
        <v>0</v>
      </c>
    </row>
    <row r="220" spans="1:87" ht="12.75" hidden="1" customHeight="1" x14ac:dyDescent="0.2">
      <c r="A220" s="28">
        <v>4</v>
      </c>
      <c r="B220" s="28">
        <v>2</v>
      </c>
      <c r="C220" s="11">
        <v>22</v>
      </c>
      <c r="D220" s="103" t="s">
        <v>304</v>
      </c>
      <c r="E220" s="10" t="s">
        <v>79</v>
      </c>
      <c r="F220" s="10" t="s">
        <v>219</v>
      </c>
      <c r="G220" s="10"/>
      <c r="H220" s="10"/>
      <c r="I220" s="10"/>
      <c r="J220" s="10"/>
      <c r="K220" s="575"/>
      <c r="L220" s="152"/>
      <c r="M220" s="164"/>
      <c r="N220" s="62"/>
      <c r="O220" s="62"/>
      <c r="P220" s="62"/>
      <c r="Q220" s="62"/>
      <c r="R220" s="62"/>
      <c r="S220" s="62"/>
      <c r="T220" s="642">
        <v>30</v>
      </c>
      <c r="U220" s="64"/>
      <c r="V220" s="164"/>
      <c r="W220" s="432"/>
      <c r="X220" s="62"/>
      <c r="Y220" s="62"/>
      <c r="Z220" s="64"/>
      <c r="AA220" s="164"/>
      <c r="AB220" s="62"/>
      <c r="AC220" s="62"/>
      <c r="AD220" s="64"/>
      <c r="AE220" s="164"/>
      <c r="AF220" s="62"/>
      <c r="AG220" s="62"/>
      <c r="AH220" s="337"/>
      <c r="AI220" s="337"/>
      <c r="AJ220" s="337"/>
      <c r="AK220" s="337"/>
      <c r="AL220" s="842"/>
      <c r="AM220" s="552"/>
      <c r="AN220" s="841"/>
      <c r="AO220" s="45"/>
      <c r="AP220" s="45"/>
      <c r="AQ220" s="396">
        <f>AL220/BI220</f>
        <v>0</v>
      </c>
      <c r="AR220" s="100">
        <f>BL220/BI220</f>
        <v>0.75</v>
      </c>
      <c r="AS220" s="485"/>
      <c r="AT220" s="100"/>
      <c r="AU220" s="100"/>
      <c r="AV220" s="100"/>
      <c r="AW220" s="18">
        <v>22</v>
      </c>
      <c r="AX220" s="69" t="s">
        <v>304</v>
      </c>
      <c r="AY220" s="243" t="s">
        <v>79</v>
      </c>
      <c r="AZ220" s="243" t="str">
        <f t="shared" si="78"/>
        <v>Coho</v>
      </c>
      <c r="BA220" s="243" t="s">
        <v>419</v>
      </c>
      <c r="BB220" s="244" t="s">
        <v>624</v>
      </c>
      <c r="BC220" s="43" t="str">
        <f t="shared" si="79"/>
        <v>Oct 22-28</v>
      </c>
      <c r="BD220" s="43">
        <f t="shared" si="80"/>
        <v>1</v>
      </c>
      <c r="BE220" s="193">
        <f t="shared" si="81"/>
        <v>30</v>
      </c>
      <c r="BF220" s="193">
        <f t="shared" si="82"/>
        <v>0</v>
      </c>
      <c r="BG220" s="193">
        <f t="shared" si="83"/>
        <v>0</v>
      </c>
      <c r="BH220" s="307">
        <f t="shared" si="84"/>
        <v>30</v>
      </c>
      <c r="BI220" s="265">
        <f t="shared" ref="BI220:BI230" si="100">CC220</f>
        <v>40</v>
      </c>
      <c r="BJ220" s="26" t="str">
        <f t="shared" si="85"/>
        <v>CAMPUS CREEKCoho</v>
      </c>
      <c r="BK220" s="26">
        <f t="shared" si="86"/>
        <v>1</v>
      </c>
      <c r="BL220" s="33">
        <f t="shared" si="76"/>
        <v>30</v>
      </c>
      <c r="BQ220" s="47" t="str">
        <f t="shared" si="87"/>
        <v>CAMPUS CREEKCoho</v>
      </c>
      <c r="BR220" s="49">
        <f t="shared" si="88"/>
        <v>0</v>
      </c>
      <c r="BS220" s="49">
        <f t="shared" si="89"/>
        <v>0</v>
      </c>
      <c r="BT220" s="31">
        <v>2015</v>
      </c>
      <c r="BU220" s="188" t="str">
        <f t="shared" si="90"/>
        <v>Ditidaht/MCWright</v>
      </c>
      <c r="BV220" s="188" t="str">
        <f t="shared" si="91"/>
        <v xml:space="preserve"> </v>
      </c>
      <c r="BW220" s="188" t="str">
        <f t="shared" si="92"/>
        <v>Oct 22-28</v>
      </c>
      <c r="BX220" s="188" t="str">
        <f t="shared" si="93"/>
        <v xml:space="preserve"> </v>
      </c>
      <c r="BY220" s="50" t="str">
        <f t="shared" si="94"/>
        <v>CAMPUS CREEK_Coho</v>
      </c>
      <c r="BZ220" s="50">
        <f>IFERROR(VLOOKUP(BY220,'[1]WCVI Esc'!$C$5:$W$555,18,FALSE),"-")</f>
        <v>40.333333333333336</v>
      </c>
      <c r="CA220" s="50">
        <f t="shared" si="95"/>
        <v>40</v>
      </c>
      <c r="CB220" s="50">
        <f>IFERROR(VLOOKUP(BY220,'[1]WCVI Esc'!$C$5:$W$555,19,FALSE),"-")</f>
        <v>40.333333333333336</v>
      </c>
      <c r="CC220" s="50">
        <f t="shared" si="96"/>
        <v>40</v>
      </c>
      <c r="CE220" s="342" t="str">
        <f t="shared" si="97"/>
        <v>CAMPUS CREEK_Coho</v>
      </c>
      <c r="CF220" s="341">
        <f>IFERROR(VLOOKUP(BY220,'RawPL+D'!$O$8:$AB$503,12,FALSE),"-")</f>
        <v>48</v>
      </c>
      <c r="CG220" s="338">
        <f t="shared" si="98"/>
        <v>50</v>
      </c>
      <c r="CH220" s="341">
        <f>IFERROR(VLOOKUP(BY220,'RawPL+D'!$O$8:$AB$503,13,FALSE),"-")</f>
        <v>31.333333333333332</v>
      </c>
      <c r="CI220" s="338">
        <f t="shared" si="99"/>
        <v>30</v>
      </c>
    </row>
    <row r="221" spans="1:87" ht="12.75" hidden="1" customHeight="1" x14ac:dyDescent="0.2">
      <c r="A221" s="28">
        <v>4</v>
      </c>
      <c r="B221" s="28">
        <v>3</v>
      </c>
      <c r="C221" s="11">
        <v>22</v>
      </c>
      <c r="D221" s="103" t="s">
        <v>304</v>
      </c>
      <c r="E221" s="10" t="s">
        <v>79</v>
      </c>
      <c r="F221" s="10" t="s">
        <v>208</v>
      </c>
      <c r="G221" s="10"/>
      <c r="H221" s="10"/>
      <c r="I221" s="10"/>
      <c r="J221" s="10"/>
      <c r="K221" s="575"/>
      <c r="L221" s="152"/>
      <c r="M221" s="164"/>
      <c r="N221" s="62"/>
      <c r="O221" s="62"/>
      <c r="P221" s="62"/>
      <c r="Q221" s="62"/>
      <c r="R221" s="62"/>
      <c r="S221" s="62"/>
      <c r="T221" s="642">
        <v>0</v>
      </c>
      <c r="U221" s="64"/>
      <c r="V221" s="164"/>
      <c r="W221" s="62"/>
      <c r="X221" s="62"/>
      <c r="Y221" s="62"/>
      <c r="Z221" s="64"/>
      <c r="AA221" s="164"/>
      <c r="AB221" s="62"/>
      <c r="AC221" s="62"/>
      <c r="AD221" s="64"/>
      <c r="AE221" s="164"/>
      <c r="AF221" s="62"/>
      <c r="AG221" s="62"/>
      <c r="AH221" s="337"/>
      <c r="AI221" s="337"/>
      <c r="AJ221" s="337"/>
      <c r="AK221" s="337"/>
      <c r="AL221" s="555"/>
      <c r="AM221" s="552"/>
      <c r="AN221" s="45"/>
      <c r="AO221" s="45"/>
      <c r="AP221" s="45"/>
      <c r="AQ221" s="396"/>
      <c r="AR221" s="100"/>
      <c r="AS221" s="485"/>
      <c r="AT221" s="100"/>
      <c r="AU221" s="100"/>
      <c r="AV221" s="100"/>
      <c r="AW221" s="18">
        <v>22</v>
      </c>
      <c r="AX221" s="69" t="s">
        <v>304</v>
      </c>
      <c r="AY221" s="243" t="s">
        <v>79</v>
      </c>
      <c r="AZ221" s="243" t="str">
        <f t="shared" si="78"/>
        <v>Pink</v>
      </c>
      <c r="BA221" s="243" t="s">
        <v>419</v>
      </c>
      <c r="BB221" s="244" t="s">
        <v>624</v>
      </c>
      <c r="BC221" s="43" t="str">
        <f t="shared" si="79"/>
        <v>Oct 22-28</v>
      </c>
      <c r="BD221" s="43">
        <f t="shared" si="80"/>
        <v>1</v>
      </c>
      <c r="BE221" s="193">
        <f t="shared" si="81"/>
        <v>0</v>
      </c>
      <c r="BF221" s="193">
        <f t="shared" si="82"/>
        <v>0</v>
      </c>
      <c r="BG221" s="193">
        <f t="shared" si="83"/>
        <v>0</v>
      </c>
      <c r="BH221" s="307" t="str">
        <f t="shared" si="84"/>
        <v>-</v>
      </c>
      <c r="BI221" s="265" t="str">
        <f t="shared" si="100"/>
        <v>-</v>
      </c>
      <c r="BJ221" s="26" t="str">
        <f t="shared" si="85"/>
        <v>CAMPUS CREEKPink</v>
      </c>
      <c r="BK221" s="26">
        <f t="shared" si="86"/>
        <v>1</v>
      </c>
      <c r="BL221" s="33">
        <f t="shared" si="76"/>
        <v>0</v>
      </c>
      <c r="BQ221" s="47" t="str">
        <f t="shared" si="87"/>
        <v>CAMPUS CREEKPink</v>
      </c>
      <c r="BR221" s="49">
        <f t="shared" si="88"/>
        <v>0</v>
      </c>
      <c r="BS221" s="49">
        <f t="shared" si="89"/>
        <v>0</v>
      </c>
      <c r="BT221" s="31">
        <v>0</v>
      </c>
      <c r="BU221" s="188" t="str">
        <f t="shared" si="90"/>
        <v>Ditidaht/MCWright</v>
      </c>
      <c r="BV221" s="188" t="str">
        <f t="shared" si="91"/>
        <v xml:space="preserve"> </v>
      </c>
      <c r="BW221" s="188" t="str">
        <f t="shared" si="92"/>
        <v>Oct 22-28</v>
      </c>
      <c r="BX221" s="188" t="str">
        <f t="shared" si="93"/>
        <v xml:space="preserve"> </v>
      </c>
      <c r="BY221" s="50" t="str">
        <f t="shared" si="94"/>
        <v>CAMPUS CREEK_Pink</v>
      </c>
      <c r="BZ221" s="50" t="str">
        <f>IFERROR(VLOOKUP(BY221,'[1]WCVI Esc'!$C$5:$W$555,18,FALSE),"-")</f>
        <v>-</v>
      </c>
      <c r="CA221" s="50" t="str">
        <f t="shared" si="95"/>
        <v>-</v>
      </c>
      <c r="CB221" s="50" t="str">
        <f>IFERROR(VLOOKUP(BY221,'[1]WCVI Esc'!$C$5:$W$555,19,FALSE),"-")</f>
        <v>-</v>
      </c>
      <c r="CC221" s="50" t="str">
        <f t="shared" si="96"/>
        <v>-</v>
      </c>
      <c r="CE221" s="342" t="str">
        <f t="shared" si="97"/>
        <v>CAMPUS CREEK_Pink</v>
      </c>
      <c r="CF221" s="341" t="str">
        <f>IFERROR(VLOOKUP(BY221,'RawPL+D'!$O$8:$AB$503,12,FALSE),"-")</f>
        <v>-</v>
      </c>
      <c r="CG221" s="338" t="str">
        <f t="shared" si="98"/>
        <v>-</v>
      </c>
      <c r="CH221" s="341" t="str">
        <f>IFERROR(VLOOKUP(BY221,'RawPL+D'!$O$8:$AB$503,13,FALSE),"-")</f>
        <v>-</v>
      </c>
      <c r="CI221" s="338" t="str">
        <f t="shared" si="99"/>
        <v>-</v>
      </c>
    </row>
    <row r="222" spans="1:87" ht="12.75" hidden="1" customHeight="1" x14ac:dyDescent="0.2">
      <c r="A222" s="28">
        <v>4</v>
      </c>
      <c r="B222" s="28">
        <v>4</v>
      </c>
      <c r="C222" s="11">
        <v>22</v>
      </c>
      <c r="D222" s="103" t="s">
        <v>304</v>
      </c>
      <c r="E222" s="10" t="s">
        <v>79</v>
      </c>
      <c r="F222" s="10" t="s">
        <v>209</v>
      </c>
      <c r="G222" s="10"/>
      <c r="H222" s="10"/>
      <c r="I222" s="10"/>
      <c r="J222" s="10"/>
      <c r="K222" s="575"/>
      <c r="L222" s="152"/>
      <c r="M222" s="164"/>
      <c r="N222" s="62"/>
      <c r="O222" s="62"/>
      <c r="P222" s="62"/>
      <c r="Q222" s="62"/>
      <c r="R222" s="62"/>
      <c r="S222" s="62"/>
      <c r="T222" s="675">
        <f>626+175</f>
        <v>801</v>
      </c>
      <c r="U222" s="427"/>
      <c r="V222" s="164"/>
      <c r="W222" s="431"/>
      <c r="X222" s="62"/>
      <c r="Y222" s="62"/>
      <c r="Z222" s="64"/>
      <c r="AA222" s="164"/>
      <c r="AB222" s="62"/>
      <c r="AC222" s="62"/>
      <c r="AD222" s="64"/>
      <c r="AE222" s="164"/>
      <c r="AF222" s="62"/>
      <c r="AG222" s="62"/>
      <c r="AH222" s="337"/>
      <c r="AI222" s="337"/>
      <c r="AJ222" s="337"/>
      <c r="AK222" s="337"/>
      <c r="AL222" s="842"/>
      <c r="AM222" s="552"/>
      <c r="AN222" s="839"/>
      <c r="AO222" s="45"/>
      <c r="AP222" s="45"/>
      <c r="AQ222" s="396">
        <f>AL222/BI222</f>
        <v>0</v>
      </c>
      <c r="AR222" s="100">
        <f>BL222/BI222</f>
        <v>0.54121621621621618</v>
      </c>
      <c r="AS222" s="485"/>
      <c r="AT222" s="100"/>
      <c r="AU222" s="100"/>
      <c r="AV222" s="100"/>
      <c r="AW222" s="18">
        <v>22</v>
      </c>
      <c r="AX222" s="69" t="s">
        <v>304</v>
      </c>
      <c r="AY222" s="243" t="s">
        <v>79</v>
      </c>
      <c r="AZ222" s="243" t="str">
        <f t="shared" si="78"/>
        <v>Chum</v>
      </c>
      <c r="BA222" s="243" t="s">
        <v>419</v>
      </c>
      <c r="BB222" s="244" t="s">
        <v>624</v>
      </c>
      <c r="BC222" s="43" t="str">
        <f t="shared" si="79"/>
        <v>Oct 22-28</v>
      </c>
      <c r="BD222" s="43">
        <f t="shared" si="80"/>
        <v>1</v>
      </c>
      <c r="BE222" s="193">
        <f t="shared" si="81"/>
        <v>801</v>
      </c>
      <c r="BF222" s="193">
        <f t="shared" si="82"/>
        <v>0</v>
      </c>
      <c r="BG222" s="193">
        <f t="shared" si="83"/>
        <v>0</v>
      </c>
      <c r="BH222" s="307">
        <f t="shared" si="84"/>
        <v>1160</v>
      </c>
      <c r="BI222" s="265">
        <f t="shared" si="100"/>
        <v>1480</v>
      </c>
      <c r="BJ222" s="26" t="str">
        <f t="shared" si="85"/>
        <v>CAMPUS CREEKChum</v>
      </c>
      <c r="BK222" s="26">
        <f t="shared" si="86"/>
        <v>1</v>
      </c>
      <c r="BL222" s="33">
        <f t="shared" si="76"/>
        <v>801</v>
      </c>
      <c r="BQ222" s="47" t="str">
        <f t="shared" si="87"/>
        <v>CAMPUS CREEKChum</v>
      </c>
      <c r="BR222" s="49">
        <f t="shared" si="88"/>
        <v>0</v>
      </c>
      <c r="BS222" s="49">
        <f t="shared" si="89"/>
        <v>0</v>
      </c>
      <c r="BT222" s="31">
        <v>2015</v>
      </c>
      <c r="BU222" s="188" t="str">
        <f t="shared" si="90"/>
        <v>Ditidaht/MCWright</v>
      </c>
      <c r="BV222" s="188" t="str">
        <f t="shared" si="91"/>
        <v xml:space="preserve"> </v>
      </c>
      <c r="BW222" s="188" t="str">
        <f t="shared" si="92"/>
        <v>Oct 22-28</v>
      </c>
      <c r="BX222" s="188" t="str">
        <f t="shared" si="93"/>
        <v xml:space="preserve"> </v>
      </c>
      <c r="BY222" s="50" t="str">
        <f t="shared" si="94"/>
        <v>CAMPUS CREEK_Chum</v>
      </c>
      <c r="BZ222" s="50">
        <f>IFERROR(VLOOKUP(BY222,'[1]WCVI Esc'!$C$5:$W$555,18,FALSE),"-")</f>
        <v>1796.5</v>
      </c>
      <c r="CA222" s="50">
        <f t="shared" si="95"/>
        <v>1800</v>
      </c>
      <c r="CB222" s="50">
        <f>IFERROR(VLOOKUP(BY222,'[1]WCVI Esc'!$C$5:$W$555,19,FALSE),"-")</f>
        <v>1476.2222222222222</v>
      </c>
      <c r="CC222" s="50">
        <f t="shared" si="96"/>
        <v>1480</v>
      </c>
      <c r="CE222" s="342" t="str">
        <f t="shared" si="97"/>
        <v>CAMPUS CREEK_Chum</v>
      </c>
      <c r="CF222" s="341">
        <f>IFERROR(VLOOKUP(BY222,'RawPL+D'!$O$8:$AB$503,12,FALSE),"-")</f>
        <v>1838</v>
      </c>
      <c r="CG222" s="338">
        <f t="shared" si="98"/>
        <v>1840</v>
      </c>
      <c r="CH222" s="341">
        <f>IFERROR(VLOOKUP(BY222,'RawPL+D'!$O$8:$AB$503,13,FALSE),"-")</f>
        <v>1162.6666666666667</v>
      </c>
      <c r="CI222" s="338">
        <f t="shared" si="99"/>
        <v>1160</v>
      </c>
    </row>
    <row r="223" spans="1:87" ht="12.75" hidden="1" customHeight="1" x14ac:dyDescent="0.2">
      <c r="A223" s="28">
        <v>4</v>
      </c>
      <c r="B223" s="28">
        <v>5</v>
      </c>
      <c r="C223" s="11">
        <v>22</v>
      </c>
      <c r="D223" s="103" t="s">
        <v>304</v>
      </c>
      <c r="E223" s="10" t="s">
        <v>79</v>
      </c>
      <c r="F223" s="10" t="s">
        <v>210</v>
      </c>
      <c r="G223" s="10"/>
      <c r="H223" s="10"/>
      <c r="I223" s="10"/>
      <c r="J223" s="10"/>
      <c r="K223" s="575"/>
      <c r="L223" s="152"/>
      <c r="M223" s="164"/>
      <c r="N223" s="62"/>
      <c r="O223" s="62"/>
      <c r="P223" s="62"/>
      <c r="Q223" s="62"/>
      <c r="R223" s="62"/>
      <c r="S223" s="62"/>
      <c r="T223" s="642">
        <v>0</v>
      </c>
      <c r="U223" s="64"/>
      <c r="V223" s="164"/>
      <c r="W223" s="62"/>
      <c r="X223" s="62"/>
      <c r="Y223" s="62"/>
      <c r="Z223" s="64"/>
      <c r="AA223" s="164"/>
      <c r="AB223" s="62"/>
      <c r="AC223" s="62"/>
      <c r="AD223" s="64"/>
      <c r="AE223" s="164"/>
      <c r="AF223" s="62"/>
      <c r="AG223" s="62"/>
      <c r="AH223" s="337"/>
      <c r="AI223" s="337"/>
      <c r="AJ223" s="337"/>
      <c r="AK223" s="337"/>
      <c r="AL223" s="555"/>
      <c r="AM223" s="552"/>
      <c r="AN223" s="552"/>
      <c r="AO223" s="45"/>
      <c r="AP223" s="45"/>
      <c r="AQ223" s="396">
        <f>AL223/BI223</f>
        <v>0</v>
      </c>
      <c r="AR223" s="100">
        <f>BL223/BI223</f>
        <v>0</v>
      </c>
      <c r="AS223" s="485"/>
      <c r="AT223" s="100"/>
      <c r="AU223" s="100"/>
      <c r="AV223" s="100"/>
      <c r="AW223" s="18">
        <v>22</v>
      </c>
      <c r="AX223" s="69" t="s">
        <v>304</v>
      </c>
      <c r="AY223" s="243" t="s">
        <v>79</v>
      </c>
      <c r="AZ223" s="243" t="str">
        <f t="shared" si="78"/>
        <v>Chinook</v>
      </c>
      <c r="BA223" s="243" t="s">
        <v>419</v>
      </c>
      <c r="BB223" s="244" t="s">
        <v>624</v>
      </c>
      <c r="BC223" s="43" t="str">
        <f t="shared" si="79"/>
        <v>Oct 22-28</v>
      </c>
      <c r="BD223" s="43">
        <f t="shared" si="80"/>
        <v>1</v>
      </c>
      <c r="BE223" s="193">
        <f t="shared" si="81"/>
        <v>0</v>
      </c>
      <c r="BF223" s="193">
        <f t="shared" si="82"/>
        <v>0</v>
      </c>
      <c r="BG223" s="193">
        <f t="shared" si="83"/>
        <v>0</v>
      </c>
      <c r="BH223" s="307">
        <f t="shared" si="84"/>
        <v>60</v>
      </c>
      <c r="BI223" s="265">
        <f t="shared" si="100"/>
        <v>70</v>
      </c>
      <c r="BJ223" s="26" t="str">
        <f t="shared" si="85"/>
        <v>CAMPUS CREEKChinook</v>
      </c>
      <c r="BK223" s="26">
        <f t="shared" si="86"/>
        <v>1</v>
      </c>
      <c r="BL223" s="33">
        <f t="shared" si="76"/>
        <v>0</v>
      </c>
      <c r="BQ223" s="47" t="str">
        <f t="shared" si="87"/>
        <v>CAMPUS CREEKChinook</v>
      </c>
      <c r="BR223" s="49">
        <f t="shared" si="88"/>
        <v>0</v>
      </c>
      <c r="BS223" s="49">
        <f t="shared" si="89"/>
        <v>0</v>
      </c>
      <c r="BT223" s="31">
        <v>2015</v>
      </c>
      <c r="BU223" s="188" t="str">
        <f t="shared" si="90"/>
        <v>Ditidaht/MCWright</v>
      </c>
      <c r="BV223" s="188" t="str">
        <f t="shared" si="91"/>
        <v xml:space="preserve"> </v>
      </c>
      <c r="BW223" s="188" t="str">
        <f t="shared" si="92"/>
        <v>Oct 22-28</v>
      </c>
      <c r="BX223" s="188" t="str">
        <f t="shared" si="93"/>
        <v xml:space="preserve"> </v>
      </c>
      <c r="BY223" s="50" t="str">
        <f t="shared" si="94"/>
        <v>CAMPUS CREEK_Chinook</v>
      </c>
      <c r="BZ223" s="50">
        <f>IFERROR(VLOOKUP(BY223,'[1]WCVI Esc'!$C$5:$W$555,18,FALSE),"-")</f>
        <v>72.333333333333329</v>
      </c>
      <c r="CA223" s="50">
        <f t="shared" si="95"/>
        <v>70</v>
      </c>
      <c r="CB223" s="50">
        <f>IFERROR(VLOOKUP(BY223,'[1]WCVI Esc'!$C$5:$W$555,19,FALSE),"-")</f>
        <v>72.333333333333329</v>
      </c>
      <c r="CC223" s="50">
        <f t="shared" si="96"/>
        <v>70</v>
      </c>
      <c r="CE223" s="342" t="str">
        <f t="shared" si="97"/>
        <v>CAMPUS CREEK_Chinook</v>
      </c>
      <c r="CF223" s="341">
        <f>IFERROR(VLOOKUP(BY223,'RawPL+D'!$O$8:$AB$503,12,FALSE),"-")</f>
        <v>7</v>
      </c>
      <c r="CG223" s="338">
        <f t="shared" si="98"/>
        <v>10</v>
      </c>
      <c r="CH223" s="341">
        <f>IFERROR(VLOOKUP(BY223,'RawPL+D'!$O$8:$AB$503,13,FALSE),"-")</f>
        <v>63.666666666666664</v>
      </c>
      <c r="CI223" s="338">
        <f t="shared" si="99"/>
        <v>60</v>
      </c>
    </row>
    <row r="224" spans="1:87" ht="12.75" hidden="1" customHeight="1" x14ac:dyDescent="0.2">
      <c r="A224" s="28">
        <v>4</v>
      </c>
      <c r="B224" s="28">
        <v>6</v>
      </c>
      <c r="C224" s="11">
        <v>22</v>
      </c>
      <c r="D224" s="103" t="s">
        <v>304</v>
      </c>
      <c r="E224" s="10" t="s">
        <v>79</v>
      </c>
      <c r="F224" s="10" t="s">
        <v>211</v>
      </c>
      <c r="G224" s="10"/>
      <c r="H224" s="10"/>
      <c r="I224" s="10"/>
      <c r="J224" s="10"/>
      <c r="K224" s="575"/>
      <c r="L224" s="152"/>
      <c r="M224" s="164"/>
      <c r="N224" s="62"/>
      <c r="O224" s="62"/>
      <c r="P224" s="62"/>
      <c r="Q224" s="62"/>
      <c r="R224" s="62"/>
      <c r="S224" s="62"/>
      <c r="T224" s="642">
        <v>2</v>
      </c>
      <c r="U224" s="64"/>
      <c r="V224" s="164"/>
      <c r="W224" s="62"/>
      <c r="X224" s="62"/>
      <c r="Y224" s="62"/>
      <c r="Z224" s="64"/>
      <c r="AA224" s="164"/>
      <c r="AB224" s="62"/>
      <c r="AC224" s="62"/>
      <c r="AD224" s="64"/>
      <c r="AE224" s="164"/>
      <c r="AF224" s="62"/>
      <c r="AG224" s="62"/>
      <c r="AH224" s="337"/>
      <c r="AI224" s="337"/>
      <c r="AJ224" s="337"/>
      <c r="AK224" s="337"/>
      <c r="AL224" s="555"/>
      <c r="AM224" s="552"/>
      <c r="AN224" s="45"/>
      <c r="AO224" s="45"/>
      <c r="AP224" s="45"/>
      <c r="AQ224" s="396"/>
      <c r="AR224" s="100"/>
      <c r="AS224" s="485"/>
      <c r="AT224" s="100"/>
      <c r="AU224" s="100"/>
      <c r="AV224" s="100"/>
      <c r="AW224" s="18">
        <v>22</v>
      </c>
      <c r="AX224" s="69" t="s">
        <v>304</v>
      </c>
      <c r="AY224" s="243" t="s">
        <v>79</v>
      </c>
      <c r="AZ224" s="243" t="str">
        <f t="shared" si="78"/>
        <v>Steelhead</v>
      </c>
      <c r="BA224" s="243" t="s">
        <v>419</v>
      </c>
      <c r="BB224" s="244" t="s">
        <v>624</v>
      </c>
      <c r="BC224" s="43" t="str">
        <f t="shared" si="79"/>
        <v>Oct 22-28</v>
      </c>
      <c r="BD224" s="43">
        <f t="shared" si="80"/>
        <v>1</v>
      </c>
      <c r="BE224" s="193">
        <f t="shared" si="81"/>
        <v>2</v>
      </c>
      <c r="BF224" s="193">
        <f t="shared" si="82"/>
        <v>0</v>
      </c>
      <c r="BG224" s="193">
        <f t="shared" si="83"/>
        <v>0</v>
      </c>
      <c r="BH224" s="307" t="str">
        <f t="shared" si="84"/>
        <v>-</v>
      </c>
      <c r="BI224" s="265" t="str">
        <f t="shared" si="100"/>
        <v>-</v>
      </c>
      <c r="BJ224" s="26" t="str">
        <f t="shared" si="85"/>
        <v>CAMPUS CREEKSteelhead</v>
      </c>
      <c r="BK224" s="26">
        <f t="shared" si="86"/>
        <v>1</v>
      </c>
      <c r="BL224" s="33">
        <f t="shared" si="76"/>
        <v>2</v>
      </c>
      <c r="BQ224" s="47" t="str">
        <f t="shared" si="87"/>
        <v>CAMPUS CREEKSteelhead</v>
      </c>
      <c r="BR224" s="49">
        <f t="shared" si="88"/>
        <v>0</v>
      </c>
      <c r="BS224" s="49">
        <f t="shared" si="89"/>
        <v>0</v>
      </c>
      <c r="BT224" s="31">
        <v>0</v>
      </c>
      <c r="BU224" s="188" t="str">
        <f t="shared" si="90"/>
        <v>Ditidaht/MCWright</v>
      </c>
      <c r="BV224" s="188" t="str">
        <f t="shared" si="91"/>
        <v xml:space="preserve"> </v>
      </c>
      <c r="BW224" s="188" t="str">
        <f t="shared" si="92"/>
        <v>Oct 22-28</v>
      </c>
      <c r="BX224" s="188" t="str">
        <f t="shared" si="93"/>
        <v xml:space="preserve"> </v>
      </c>
      <c r="BY224" s="50" t="str">
        <f t="shared" si="94"/>
        <v>CAMPUS CREEK_Steelhead</v>
      </c>
      <c r="BZ224" s="50" t="str">
        <f>IFERROR(VLOOKUP(BY224,'[1]WCVI Esc'!$C$5:$W$555,18,FALSE),"-")</f>
        <v>-</v>
      </c>
      <c r="CA224" s="50" t="str">
        <f t="shared" si="95"/>
        <v>-</v>
      </c>
      <c r="CB224" s="50" t="str">
        <f>IFERROR(VLOOKUP(BY224,'[1]WCVI Esc'!$C$5:$W$555,19,FALSE),"-")</f>
        <v>-</v>
      </c>
      <c r="CC224" s="50" t="str">
        <f t="shared" si="96"/>
        <v>-</v>
      </c>
      <c r="CE224" s="342" t="str">
        <f t="shared" si="97"/>
        <v>CAMPUS CREEK_Steelhead</v>
      </c>
      <c r="CF224" s="341" t="str">
        <f>IFERROR(VLOOKUP(BY224,'RawPL+D'!$O$8:$AB$503,12,FALSE),"-")</f>
        <v>-</v>
      </c>
      <c r="CG224" s="338" t="str">
        <f t="shared" si="98"/>
        <v>-</v>
      </c>
      <c r="CH224" s="341" t="str">
        <f>IFERROR(VLOOKUP(BY224,'RawPL+D'!$O$8:$AB$503,13,FALSE),"-")</f>
        <v>-</v>
      </c>
      <c r="CI224" s="338" t="str">
        <f t="shared" si="99"/>
        <v>-</v>
      </c>
    </row>
    <row r="225" spans="1:87" ht="12.75" hidden="1" customHeight="1" x14ac:dyDescent="0.2">
      <c r="A225" s="28">
        <v>4</v>
      </c>
      <c r="B225" s="28">
        <v>1</v>
      </c>
      <c r="C225" s="11">
        <v>22</v>
      </c>
      <c r="D225" s="13" t="s">
        <v>304</v>
      </c>
      <c r="E225" s="10" t="s">
        <v>80</v>
      </c>
      <c r="F225" s="10" t="s">
        <v>207</v>
      </c>
      <c r="G225" s="10"/>
      <c r="H225" s="10"/>
      <c r="I225" s="10"/>
      <c r="J225" s="10"/>
      <c r="K225" s="575"/>
      <c r="L225" s="152"/>
      <c r="M225" s="164"/>
      <c r="N225" s="62"/>
      <c r="O225" s="62"/>
      <c r="P225" s="177"/>
      <c r="Q225" s="171"/>
      <c r="R225" s="62"/>
      <c r="S225" s="62"/>
      <c r="T225" s="62"/>
      <c r="U225" s="64"/>
      <c r="V225" s="164"/>
      <c r="W225" s="62"/>
      <c r="X225" s="62"/>
      <c r="Y225" s="62"/>
      <c r="Z225" s="64"/>
      <c r="AA225" s="164"/>
      <c r="AB225" s="62"/>
      <c r="AC225" s="62"/>
      <c r="AD225" s="64"/>
      <c r="AE225" s="164"/>
      <c r="AF225" s="62"/>
      <c r="AG225" s="62"/>
      <c r="AH225" s="337"/>
      <c r="AI225" s="337"/>
      <c r="AJ225" s="337"/>
      <c r="AK225" s="337"/>
      <c r="AL225" s="412"/>
      <c r="AM225" s="414"/>
      <c r="AN225" s="45"/>
      <c r="AO225" s="45"/>
      <c r="AP225" s="45"/>
      <c r="AQ225" s="396"/>
      <c r="AR225" s="100"/>
      <c r="AS225" s="485"/>
      <c r="AT225" s="100"/>
      <c r="AU225" s="100"/>
      <c r="AV225" s="100"/>
      <c r="AW225" s="18">
        <v>22</v>
      </c>
      <c r="AX225" s="69" t="s">
        <v>304</v>
      </c>
      <c r="AY225" s="243" t="s">
        <v>80</v>
      </c>
      <c r="AZ225" s="243" t="str">
        <f t="shared" si="78"/>
        <v>Sockeye</v>
      </c>
      <c r="BA225" s="243" t="s">
        <v>419</v>
      </c>
      <c r="BB225" s="244" t="s">
        <v>624</v>
      </c>
      <c r="BC225" s="43" t="str">
        <f t="shared" si="79"/>
        <v>-</v>
      </c>
      <c r="BD225" s="43">
        <f t="shared" si="80"/>
        <v>0</v>
      </c>
      <c r="BE225" s="193">
        <f t="shared" si="81"/>
        <v>0</v>
      </c>
      <c r="BF225" s="193">
        <f t="shared" si="82"/>
        <v>0</v>
      </c>
      <c r="BG225" s="193">
        <f t="shared" si="83"/>
        <v>0</v>
      </c>
      <c r="BH225" s="307">
        <f t="shared" si="84"/>
        <v>0</v>
      </c>
      <c r="BI225" s="265" t="str">
        <f t="shared" si="100"/>
        <v>-</v>
      </c>
      <c r="BJ225" s="26" t="str">
        <f t="shared" si="85"/>
        <v>CAYCUSE RIVERSockeye</v>
      </c>
      <c r="BK225" s="26">
        <f t="shared" si="86"/>
        <v>0</v>
      </c>
      <c r="BL225" s="33">
        <f t="shared" si="76"/>
        <v>0</v>
      </c>
      <c r="BQ225" s="47" t="str">
        <f t="shared" si="87"/>
        <v>CAYCUSE RIVERSockeye</v>
      </c>
      <c r="BR225" s="49">
        <f t="shared" si="88"/>
        <v>0</v>
      </c>
      <c r="BS225" s="49">
        <f t="shared" si="89"/>
        <v>0</v>
      </c>
      <c r="BT225" s="31">
        <v>0</v>
      </c>
      <c r="BU225" s="188" t="str">
        <f t="shared" si="90"/>
        <v>Ditidaht/MCWright</v>
      </c>
      <c r="BV225" s="188" t="str">
        <f t="shared" si="91"/>
        <v xml:space="preserve"> </v>
      </c>
      <c r="BW225" s="188" t="str">
        <f t="shared" si="92"/>
        <v xml:space="preserve"> </v>
      </c>
      <c r="BX225" s="188" t="str">
        <f t="shared" si="93"/>
        <v xml:space="preserve"> </v>
      </c>
      <c r="BY225" s="50" t="str">
        <f t="shared" si="94"/>
        <v>CAYCUSE RIVER_Sockeye</v>
      </c>
      <c r="BZ225" s="50" t="str">
        <f>IFERROR(VLOOKUP(BY225,'[1]WCVI Esc'!$C$5:$W$555,18,FALSE),"-")</f>
        <v>-</v>
      </c>
      <c r="CA225" s="50" t="str">
        <f t="shared" si="95"/>
        <v>-</v>
      </c>
      <c r="CB225" s="50" t="str">
        <f>IFERROR(VLOOKUP(BY225,'[1]WCVI Esc'!$C$5:$W$555,19,FALSE),"-")</f>
        <v>-</v>
      </c>
      <c r="CC225" s="50" t="str">
        <f t="shared" si="96"/>
        <v>-</v>
      </c>
      <c r="CE225" s="342" t="str">
        <f t="shared" si="97"/>
        <v>CAYCUSE RIVER_Sockeye</v>
      </c>
      <c r="CF225" s="341">
        <f>IFERROR(VLOOKUP(BY225,'RawPL+D'!$O$8:$AB$503,12,FALSE),"-")</f>
        <v>0</v>
      </c>
      <c r="CG225" s="338">
        <f t="shared" si="98"/>
        <v>0</v>
      </c>
      <c r="CH225" s="341">
        <f>IFERROR(VLOOKUP(BY225,'RawPL+D'!$O$8:$AB$503,13,FALSE),"-")</f>
        <v>0</v>
      </c>
      <c r="CI225" s="338">
        <f t="shared" si="99"/>
        <v>0</v>
      </c>
    </row>
    <row r="226" spans="1:87" ht="12.75" hidden="1" customHeight="1" x14ac:dyDescent="0.2">
      <c r="A226" s="28">
        <v>4</v>
      </c>
      <c r="B226" s="28">
        <v>2</v>
      </c>
      <c r="C226" s="11">
        <v>22</v>
      </c>
      <c r="D226" s="13" t="s">
        <v>304</v>
      </c>
      <c r="E226" s="10" t="s">
        <v>80</v>
      </c>
      <c r="F226" s="10" t="s">
        <v>219</v>
      </c>
      <c r="G226" s="10"/>
      <c r="H226" s="10"/>
      <c r="I226" s="10"/>
      <c r="J226" s="10"/>
      <c r="K226" s="575"/>
      <c r="L226" s="152"/>
      <c r="M226" s="164"/>
      <c r="N226" s="62"/>
      <c r="O226" s="62"/>
      <c r="P226" s="177"/>
      <c r="Q226" s="171"/>
      <c r="R226" s="62"/>
      <c r="S226" s="62"/>
      <c r="T226" s="62"/>
      <c r="U226" s="64"/>
      <c r="V226" s="164"/>
      <c r="W226" s="62"/>
      <c r="X226" s="62"/>
      <c r="Y226" s="62"/>
      <c r="Z226" s="64"/>
      <c r="AA226" s="164"/>
      <c r="AB226" s="62"/>
      <c r="AC226" s="62"/>
      <c r="AD226" s="64"/>
      <c r="AE226" s="164"/>
      <c r="AF226" s="62"/>
      <c r="AG226" s="62"/>
      <c r="AH226" s="337"/>
      <c r="AI226" s="337"/>
      <c r="AJ226" s="337"/>
      <c r="AK226" s="337"/>
      <c r="AL226" s="412"/>
      <c r="AM226" s="414"/>
      <c r="AN226" s="45"/>
      <c r="AO226" s="45"/>
      <c r="AP226" s="45"/>
      <c r="AQ226" s="396"/>
      <c r="AR226" s="12"/>
      <c r="AS226" s="485"/>
      <c r="AT226" s="100"/>
      <c r="AU226" s="100"/>
      <c r="AV226" s="100"/>
      <c r="AW226" s="18">
        <v>22</v>
      </c>
      <c r="AX226" s="69" t="s">
        <v>304</v>
      </c>
      <c r="AY226" s="243" t="s">
        <v>80</v>
      </c>
      <c r="AZ226" s="243" t="str">
        <f t="shared" si="78"/>
        <v>Coho</v>
      </c>
      <c r="BA226" s="243" t="s">
        <v>419</v>
      </c>
      <c r="BB226" s="244" t="s">
        <v>624</v>
      </c>
      <c r="BC226" s="43" t="str">
        <f t="shared" si="79"/>
        <v>-</v>
      </c>
      <c r="BD226" s="43">
        <f t="shared" si="80"/>
        <v>0</v>
      </c>
      <c r="BE226" s="193">
        <f t="shared" si="81"/>
        <v>0</v>
      </c>
      <c r="BF226" s="193">
        <f t="shared" si="82"/>
        <v>0</v>
      </c>
      <c r="BG226" s="193">
        <f t="shared" si="83"/>
        <v>0</v>
      </c>
      <c r="BH226" s="307">
        <f t="shared" si="84"/>
        <v>90</v>
      </c>
      <c r="BI226" s="265">
        <f t="shared" si="100"/>
        <v>110</v>
      </c>
      <c r="BJ226" s="26" t="str">
        <f t="shared" si="85"/>
        <v>CAYCUSE RIVERCoho</v>
      </c>
      <c r="BK226" s="26">
        <f t="shared" si="86"/>
        <v>0</v>
      </c>
      <c r="BL226" s="33">
        <f t="shared" si="76"/>
        <v>0</v>
      </c>
      <c r="BQ226" s="47" t="str">
        <f t="shared" si="87"/>
        <v>CAYCUSE RIVERCoho</v>
      </c>
      <c r="BR226" s="49">
        <f t="shared" si="88"/>
        <v>0</v>
      </c>
      <c r="BS226" s="49">
        <f t="shared" si="89"/>
        <v>0</v>
      </c>
      <c r="BT226" s="31">
        <v>0</v>
      </c>
      <c r="BU226" s="188" t="str">
        <f t="shared" si="90"/>
        <v>Ditidaht/MCWright</v>
      </c>
      <c r="BV226" s="188" t="str">
        <f t="shared" si="91"/>
        <v xml:space="preserve"> </v>
      </c>
      <c r="BW226" s="188" t="str">
        <f t="shared" si="92"/>
        <v xml:space="preserve"> </v>
      </c>
      <c r="BX226" s="188" t="str">
        <f t="shared" si="93"/>
        <v xml:space="preserve"> </v>
      </c>
      <c r="BY226" s="50" t="str">
        <f t="shared" si="94"/>
        <v>CAYCUSE RIVER_Coho</v>
      </c>
      <c r="BZ226" s="50">
        <f>IFERROR(VLOOKUP(BY226,'[1]WCVI Esc'!$C$5:$W$555,18,FALSE),"-")</f>
        <v>106</v>
      </c>
      <c r="CA226" s="50">
        <f t="shared" si="95"/>
        <v>110</v>
      </c>
      <c r="CB226" s="50">
        <f>IFERROR(VLOOKUP(BY226,'[1]WCVI Esc'!$C$5:$W$555,19,FALSE),"-")</f>
        <v>106</v>
      </c>
      <c r="CC226" s="50">
        <f t="shared" si="96"/>
        <v>110</v>
      </c>
      <c r="CE226" s="342" t="str">
        <f t="shared" si="97"/>
        <v>CAYCUSE RIVER_Coho</v>
      </c>
      <c r="CF226" s="341">
        <f>IFERROR(VLOOKUP(BY226,'RawPL+D'!$O$8:$AB$503,12,FALSE),"-")</f>
        <v>0</v>
      </c>
      <c r="CG226" s="338">
        <f t="shared" si="98"/>
        <v>0</v>
      </c>
      <c r="CH226" s="341">
        <f>IFERROR(VLOOKUP(BY226,'RawPL+D'!$O$8:$AB$503,13,FALSE),"-")</f>
        <v>85</v>
      </c>
      <c r="CI226" s="338">
        <f t="shared" si="99"/>
        <v>90</v>
      </c>
    </row>
    <row r="227" spans="1:87" ht="12.75" hidden="1" customHeight="1" x14ac:dyDescent="0.2">
      <c r="A227" s="28">
        <v>4</v>
      </c>
      <c r="B227" s="28">
        <v>3</v>
      </c>
      <c r="C227" s="11">
        <v>22</v>
      </c>
      <c r="D227" s="13" t="s">
        <v>304</v>
      </c>
      <c r="E227" s="10" t="s">
        <v>80</v>
      </c>
      <c r="F227" s="10" t="s">
        <v>208</v>
      </c>
      <c r="G227" s="10"/>
      <c r="H227" s="10"/>
      <c r="I227" s="10"/>
      <c r="J227" s="10"/>
      <c r="K227" s="575"/>
      <c r="L227" s="152"/>
      <c r="M227" s="164"/>
      <c r="N227" s="62"/>
      <c r="O227" s="62"/>
      <c r="P227" s="177"/>
      <c r="Q227" s="171"/>
      <c r="R227" s="62"/>
      <c r="S227" s="62"/>
      <c r="T227" s="62"/>
      <c r="U227" s="64"/>
      <c r="V227" s="164"/>
      <c r="W227" s="62"/>
      <c r="X227" s="62"/>
      <c r="Y227" s="62"/>
      <c r="Z227" s="64"/>
      <c r="AA227" s="164"/>
      <c r="AB227" s="62"/>
      <c r="AC227" s="62"/>
      <c r="AD227" s="64"/>
      <c r="AE227" s="164"/>
      <c r="AF227" s="62"/>
      <c r="AG227" s="62"/>
      <c r="AH227" s="337"/>
      <c r="AI227" s="337"/>
      <c r="AJ227" s="337"/>
      <c r="AK227" s="337"/>
      <c r="AL227" s="412"/>
      <c r="AM227" s="414"/>
      <c r="AN227" s="45"/>
      <c r="AO227" s="45"/>
      <c r="AP227" s="45"/>
      <c r="AQ227" s="396"/>
      <c r="AR227" s="100"/>
      <c r="AS227" s="485"/>
      <c r="AT227" s="100"/>
      <c r="AU227" s="100"/>
      <c r="AV227" s="100"/>
      <c r="AW227" s="18">
        <v>22</v>
      </c>
      <c r="AX227" s="69" t="s">
        <v>304</v>
      </c>
      <c r="AY227" s="243" t="s">
        <v>80</v>
      </c>
      <c r="AZ227" s="243" t="str">
        <f t="shared" si="78"/>
        <v>Pink</v>
      </c>
      <c r="BA227" s="243" t="s">
        <v>419</v>
      </c>
      <c r="BB227" s="244" t="s">
        <v>624</v>
      </c>
      <c r="BC227" s="43" t="str">
        <f t="shared" si="79"/>
        <v>-</v>
      </c>
      <c r="BD227" s="43">
        <f t="shared" si="80"/>
        <v>0</v>
      </c>
      <c r="BE227" s="193">
        <f t="shared" si="81"/>
        <v>0</v>
      </c>
      <c r="BF227" s="193">
        <f t="shared" si="82"/>
        <v>0</v>
      </c>
      <c r="BG227" s="193">
        <f t="shared" si="83"/>
        <v>0</v>
      </c>
      <c r="BH227" s="307" t="str">
        <f t="shared" si="84"/>
        <v>-</v>
      </c>
      <c r="BI227" s="265" t="str">
        <f t="shared" si="100"/>
        <v>-</v>
      </c>
      <c r="BJ227" s="26" t="str">
        <f t="shared" si="85"/>
        <v>CAYCUSE RIVERPink</v>
      </c>
      <c r="BK227" s="26">
        <f t="shared" si="86"/>
        <v>0</v>
      </c>
      <c r="BL227" s="33">
        <f t="shared" si="76"/>
        <v>0</v>
      </c>
      <c r="BQ227" s="47" t="str">
        <f t="shared" si="87"/>
        <v>CAYCUSE RIVERPink</v>
      </c>
      <c r="BR227" s="49">
        <f t="shared" si="88"/>
        <v>0</v>
      </c>
      <c r="BS227" s="49">
        <f t="shared" si="89"/>
        <v>0</v>
      </c>
      <c r="BT227" s="31">
        <v>0</v>
      </c>
      <c r="BU227" s="188" t="str">
        <f t="shared" si="90"/>
        <v>Ditidaht/MCWright</v>
      </c>
      <c r="BV227" s="188" t="str">
        <f t="shared" si="91"/>
        <v xml:space="preserve"> </v>
      </c>
      <c r="BW227" s="188" t="str">
        <f t="shared" si="92"/>
        <v xml:space="preserve"> </v>
      </c>
      <c r="BX227" s="188" t="str">
        <f t="shared" si="93"/>
        <v xml:space="preserve"> </v>
      </c>
      <c r="BY227" s="50" t="str">
        <f t="shared" si="94"/>
        <v>CAYCUSE RIVER_Pink</v>
      </c>
      <c r="BZ227" s="50" t="str">
        <f>IFERROR(VLOOKUP(BY227,'[1]WCVI Esc'!$C$5:$W$555,18,FALSE),"-")</f>
        <v>-</v>
      </c>
      <c r="CA227" s="50" t="str">
        <f t="shared" si="95"/>
        <v>-</v>
      </c>
      <c r="CB227" s="50" t="str">
        <f>IFERROR(VLOOKUP(BY227,'[1]WCVI Esc'!$C$5:$W$555,19,FALSE),"-")</f>
        <v>-</v>
      </c>
      <c r="CC227" s="50" t="str">
        <f t="shared" si="96"/>
        <v>-</v>
      </c>
      <c r="CE227" s="342" t="str">
        <f t="shared" si="97"/>
        <v>CAYCUSE RIVER_Pink</v>
      </c>
      <c r="CF227" s="341" t="str">
        <f>IFERROR(VLOOKUP(BY227,'RawPL+D'!$O$8:$AB$503,12,FALSE),"-")</f>
        <v>-</v>
      </c>
      <c r="CG227" s="338" t="str">
        <f t="shared" si="98"/>
        <v>-</v>
      </c>
      <c r="CH227" s="341" t="str">
        <f>IFERROR(VLOOKUP(BY227,'RawPL+D'!$O$8:$AB$503,13,FALSE),"-")</f>
        <v>-</v>
      </c>
      <c r="CI227" s="338" t="str">
        <f t="shared" si="99"/>
        <v>-</v>
      </c>
    </row>
    <row r="228" spans="1:87" ht="12.75" hidden="1" customHeight="1" x14ac:dyDescent="0.2">
      <c r="A228" s="28">
        <v>4</v>
      </c>
      <c r="B228" s="28">
        <v>4</v>
      </c>
      <c r="C228" s="11">
        <v>22</v>
      </c>
      <c r="D228" s="13" t="s">
        <v>304</v>
      </c>
      <c r="E228" s="10" t="s">
        <v>80</v>
      </c>
      <c r="F228" s="10" t="s">
        <v>209</v>
      </c>
      <c r="G228" s="10"/>
      <c r="H228" s="10"/>
      <c r="I228" s="10"/>
      <c r="J228" s="10"/>
      <c r="K228" s="575"/>
      <c r="L228" s="152"/>
      <c r="M228" s="164"/>
      <c r="N228" s="62"/>
      <c r="O228" s="62"/>
      <c r="P228" s="177"/>
      <c r="Q228" s="171"/>
      <c r="R228" s="62"/>
      <c r="S228" s="62"/>
      <c r="T228" s="62"/>
      <c r="U228" s="391"/>
      <c r="V228" s="164"/>
      <c r="W228" s="62"/>
      <c r="X228" s="62"/>
      <c r="Y228" s="62"/>
      <c r="Z228" s="64"/>
      <c r="AA228" s="164"/>
      <c r="AB228" s="62"/>
      <c r="AC228" s="62"/>
      <c r="AD228" s="64"/>
      <c r="AE228" s="164"/>
      <c r="AF228" s="62"/>
      <c r="AG228" s="62"/>
      <c r="AH228" s="337"/>
      <c r="AI228" s="337"/>
      <c r="AJ228" s="337"/>
      <c r="AK228" s="337"/>
      <c r="AL228" s="412"/>
      <c r="AM228" s="414"/>
      <c r="AN228" s="45"/>
      <c r="AO228" s="45"/>
      <c r="AP228" s="45"/>
      <c r="AQ228" s="396">
        <f>AL228/BI228</f>
        <v>0</v>
      </c>
      <c r="AR228" s="100">
        <f>BL228/BI228</f>
        <v>0</v>
      </c>
      <c r="AS228" s="485"/>
      <c r="AT228" s="100"/>
      <c r="AU228" s="100"/>
      <c r="AV228" s="100"/>
      <c r="AW228" s="18">
        <v>22</v>
      </c>
      <c r="AX228" s="69" t="s">
        <v>304</v>
      </c>
      <c r="AY228" s="243" t="s">
        <v>80</v>
      </c>
      <c r="AZ228" s="243" t="str">
        <f t="shared" si="78"/>
        <v>Chum</v>
      </c>
      <c r="BA228" s="243" t="s">
        <v>419</v>
      </c>
      <c r="BB228" s="244" t="s">
        <v>624</v>
      </c>
      <c r="BC228" s="43" t="str">
        <f t="shared" si="79"/>
        <v>-</v>
      </c>
      <c r="BD228" s="43">
        <f t="shared" si="80"/>
        <v>0</v>
      </c>
      <c r="BE228" s="193">
        <f t="shared" si="81"/>
        <v>0</v>
      </c>
      <c r="BF228" s="193">
        <f t="shared" si="82"/>
        <v>0</v>
      </c>
      <c r="BG228" s="193">
        <f t="shared" si="83"/>
        <v>0</v>
      </c>
      <c r="BH228" s="307">
        <f t="shared" si="84"/>
        <v>260</v>
      </c>
      <c r="BI228" s="265">
        <f t="shared" si="100"/>
        <v>1550</v>
      </c>
      <c r="BJ228" s="26" t="str">
        <f t="shared" si="85"/>
        <v>CAYCUSE RIVERChum</v>
      </c>
      <c r="BK228" s="26">
        <f t="shared" si="86"/>
        <v>0</v>
      </c>
      <c r="BL228" s="33">
        <f t="shared" si="76"/>
        <v>0</v>
      </c>
      <c r="BQ228" s="47" t="str">
        <f t="shared" si="87"/>
        <v>CAYCUSE RIVERChum</v>
      </c>
      <c r="BR228" s="49">
        <f t="shared" si="88"/>
        <v>0</v>
      </c>
      <c r="BS228" s="49">
        <f t="shared" si="89"/>
        <v>0</v>
      </c>
      <c r="BT228" s="31">
        <v>0</v>
      </c>
      <c r="BU228" s="188" t="str">
        <f t="shared" si="90"/>
        <v>Ditidaht/MCWright</v>
      </c>
      <c r="BV228" s="188" t="str">
        <f t="shared" si="91"/>
        <v xml:space="preserve"> </v>
      </c>
      <c r="BW228" s="188" t="str">
        <f t="shared" si="92"/>
        <v xml:space="preserve"> </v>
      </c>
      <c r="BX228" s="188" t="str">
        <f t="shared" si="93"/>
        <v xml:space="preserve"> </v>
      </c>
      <c r="BY228" s="50" t="str">
        <f t="shared" si="94"/>
        <v>CAYCUSE RIVER_Chum</v>
      </c>
      <c r="BZ228" s="50">
        <f>IFERROR(VLOOKUP(BY228,'[1]WCVI Esc'!$C$5:$W$555,18,FALSE),"-")</f>
        <v>494.33333333333331</v>
      </c>
      <c r="CA228" s="50">
        <f t="shared" si="95"/>
        <v>490</v>
      </c>
      <c r="CB228" s="50">
        <f>IFERROR(VLOOKUP(BY228,'[1]WCVI Esc'!$C$5:$W$555,19,FALSE),"-")</f>
        <v>1547.875</v>
      </c>
      <c r="CC228" s="50">
        <f t="shared" si="96"/>
        <v>1550</v>
      </c>
      <c r="CE228" s="342" t="str">
        <f t="shared" si="97"/>
        <v>CAYCUSE RIVER_Chum</v>
      </c>
      <c r="CF228" s="341">
        <f>IFERROR(VLOOKUP(BY228,'RawPL+D'!$O$8:$AB$503,12,FALSE),"-")</f>
        <v>0</v>
      </c>
      <c r="CG228" s="338">
        <f t="shared" si="98"/>
        <v>0</v>
      </c>
      <c r="CH228" s="341">
        <f>IFERROR(VLOOKUP(BY228,'RawPL+D'!$O$8:$AB$503,13,FALSE),"-")</f>
        <v>255</v>
      </c>
      <c r="CI228" s="338">
        <f t="shared" si="99"/>
        <v>260</v>
      </c>
    </row>
    <row r="229" spans="1:87" ht="12.75" hidden="1" customHeight="1" x14ac:dyDescent="0.2">
      <c r="A229" s="28">
        <v>4</v>
      </c>
      <c r="B229" s="28">
        <v>5</v>
      </c>
      <c r="C229" s="11">
        <v>22</v>
      </c>
      <c r="D229" s="13" t="s">
        <v>304</v>
      </c>
      <c r="E229" s="10" t="s">
        <v>80</v>
      </c>
      <c r="F229" s="10" t="s">
        <v>210</v>
      </c>
      <c r="G229" s="10"/>
      <c r="H229" s="10"/>
      <c r="I229" s="10"/>
      <c r="J229" s="10"/>
      <c r="K229" s="575"/>
      <c r="L229" s="152"/>
      <c r="M229" s="164"/>
      <c r="N229" s="62"/>
      <c r="O229" s="62"/>
      <c r="P229" s="177"/>
      <c r="Q229" s="171"/>
      <c r="R229" s="62"/>
      <c r="S229" s="62"/>
      <c r="T229" s="62"/>
      <c r="U229" s="64"/>
      <c r="V229" s="164"/>
      <c r="W229" s="62"/>
      <c r="X229" s="62"/>
      <c r="Y229" s="62"/>
      <c r="Z229" s="64"/>
      <c r="AA229" s="164"/>
      <c r="AB229" s="62"/>
      <c r="AC229" s="62"/>
      <c r="AD229" s="64"/>
      <c r="AE229" s="164"/>
      <c r="AF229" s="62"/>
      <c r="AG229" s="62"/>
      <c r="AH229" s="337"/>
      <c r="AI229" s="337"/>
      <c r="AJ229" s="337"/>
      <c r="AK229" s="337"/>
      <c r="AL229" s="412"/>
      <c r="AM229" s="414"/>
      <c r="AN229" s="45"/>
      <c r="AO229" s="45"/>
      <c r="AP229" s="45"/>
      <c r="AQ229" s="396"/>
      <c r="AR229" s="12"/>
      <c r="AS229" s="485"/>
      <c r="AT229" s="100"/>
      <c r="AU229" s="100"/>
      <c r="AV229" s="100"/>
      <c r="AW229" s="18">
        <v>22</v>
      </c>
      <c r="AX229" s="69" t="s">
        <v>304</v>
      </c>
      <c r="AY229" s="243" t="s">
        <v>80</v>
      </c>
      <c r="AZ229" s="243" t="str">
        <f t="shared" si="78"/>
        <v>Chinook</v>
      </c>
      <c r="BA229" s="243" t="s">
        <v>419</v>
      </c>
      <c r="BB229" s="244" t="s">
        <v>624</v>
      </c>
      <c r="BC229" s="43" t="str">
        <f t="shared" si="79"/>
        <v>-</v>
      </c>
      <c r="BD229" s="43">
        <f t="shared" si="80"/>
        <v>0</v>
      </c>
      <c r="BE229" s="193">
        <f t="shared" si="81"/>
        <v>0</v>
      </c>
      <c r="BF229" s="193">
        <f t="shared" si="82"/>
        <v>0</v>
      </c>
      <c r="BG229" s="193">
        <f t="shared" si="83"/>
        <v>0</v>
      </c>
      <c r="BH229" s="307">
        <f t="shared" si="84"/>
        <v>0</v>
      </c>
      <c r="BI229" s="265" t="str">
        <f t="shared" si="100"/>
        <v>-</v>
      </c>
      <c r="BJ229" s="26" t="str">
        <f t="shared" si="85"/>
        <v>CAYCUSE RIVERChinook</v>
      </c>
      <c r="BK229" s="26">
        <f t="shared" si="86"/>
        <v>0</v>
      </c>
      <c r="BL229" s="33">
        <f t="shared" si="76"/>
        <v>0</v>
      </c>
      <c r="BQ229" s="47" t="str">
        <f t="shared" si="87"/>
        <v>CAYCUSE RIVERChinook</v>
      </c>
      <c r="BR229" s="49">
        <f t="shared" si="88"/>
        <v>0</v>
      </c>
      <c r="BS229" s="49">
        <f t="shared" si="89"/>
        <v>0</v>
      </c>
      <c r="BT229" s="31">
        <v>0</v>
      </c>
      <c r="BU229" s="188" t="str">
        <f t="shared" si="90"/>
        <v>Ditidaht/MCWright</v>
      </c>
      <c r="BV229" s="188" t="str">
        <f t="shared" si="91"/>
        <v xml:space="preserve"> </v>
      </c>
      <c r="BW229" s="188" t="str">
        <f t="shared" si="92"/>
        <v xml:space="preserve"> </v>
      </c>
      <c r="BX229" s="188" t="str">
        <f t="shared" si="93"/>
        <v xml:space="preserve"> </v>
      </c>
      <c r="BY229" s="50" t="str">
        <f t="shared" si="94"/>
        <v>CAYCUSE RIVER_Chinook</v>
      </c>
      <c r="BZ229" s="50" t="str">
        <f>IFERROR(VLOOKUP(BY229,'[1]WCVI Esc'!$C$5:$W$555,18,FALSE),"-")</f>
        <v>-</v>
      </c>
      <c r="CA229" s="50" t="str">
        <f t="shared" si="95"/>
        <v>-</v>
      </c>
      <c r="CB229" s="50" t="str">
        <f>IFERROR(VLOOKUP(BY229,'[1]WCVI Esc'!$C$5:$W$555,19,FALSE),"-")</f>
        <v>-</v>
      </c>
      <c r="CC229" s="50" t="str">
        <f t="shared" si="96"/>
        <v>-</v>
      </c>
      <c r="CE229" s="342" t="str">
        <f t="shared" si="97"/>
        <v>CAYCUSE RIVER_Chinook</v>
      </c>
      <c r="CF229" s="341">
        <f>IFERROR(VLOOKUP(BY229,'RawPL+D'!$O$8:$AB$503,12,FALSE),"-")</f>
        <v>0</v>
      </c>
      <c r="CG229" s="338">
        <f t="shared" si="98"/>
        <v>0</v>
      </c>
      <c r="CH229" s="341">
        <f>IFERROR(VLOOKUP(BY229,'RawPL+D'!$O$8:$AB$503,13,FALSE),"-")</f>
        <v>2</v>
      </c>
      <c r="CI229" s="338">
        <f t="shared" si="99"/>
        <v>0</v>
      </c>
    </row>
    <row r="230" spans="1:87" ht="12.75" hidden="1" customHeight="1" x14ac:dyDescent="0.2">
      <c r="A230" s="28">
        <v>4</v>
      </c>
      <c r="B230" s="28">
        <v>6</v>
      </c>
      <c r="C230" s="11">
        <v>22</v>
      </c>
      <c r="D230" s="13" t="s">
        <v>304</v>
      </c>
      <c r="E230" s="10" t="s">
        <v>80</v>
      </c>
      <c r="F230" s="10" t="s">
        <v>211</v>
      </c>
      <c r="G230" s="10"/>
      <c r="H230" s="10"/>
      <c r="I230" s="10"/>
      <c r="J230" s="10"/>
      <c r="K230" s="575"/>
      <c r="L230" s="152"/>
      <c r="M230" s="164"/>
      <c r="N230" s="62"/>
      <c r="O230" s="62"/>
      <c r="P230" s="177"/>
      <c r="Q230" s="171"/>
      <c r="R230" s="62"/>
      <c r="S230" s="62"/>
      <c r="T230" s="62"/>
      <c r="U230" s="64"/>
      <c r="V230" s="164"/>
      <c r="W230" s="62"/>
      <c r="X230" s="62"/>
      <c r="Y230" s="62"/>
      <c r="Z230" s="64"/>
      <c r="AA230" s="164"/>
      <c r="AB230" s="62"/>
      <c r="AC230" s="62"/>
      <c r="AD230" s="64"/>
      <c r="AE230" s="164"/>
      <c r="AF230" s="62"/>
      <c r="AG230" s="62"/>
      <c r="AH230" s="337"/>
      <c r="AI230" s="337"/>
      <c r="AJ230" s="337"/>
      <c r="AK230" s="337"/>
      <c r="AL230" s="412"/>
      <c r="AM230" s="414"/>
      <c r="AN230" s="45"/>
      <c r="AO230" s="45"/>
      <c r="AP230" s="45"/>
      <c r="AQ230" s="396"/>
      <c r="AR230" s="100"/>
      <c r="AS230" s="485"/>
      <c r="AT230" s="100"/>
      <c r="AU230" s="100"/>
      <c r="AV230" s="100"/>
      <c r="AW230" s="18">
        <v>22</v>
      </c>
      <c r="AX230" s="69" t="s">
        <v>304</v>
      </c>
      <c r="AY230" s="243" t="s">
        <v>80</v>
      </c>
      <c r="AZ230" s="243" t="str">
        <f t="shared" si="78"/>
        <v>Steelhead</v>
      </c>
      <c r="BA230" s="243" t="s">
        <v>419</v>
      </c>
      <c r="BB230" s="244" t="s">
        <v>624</v>
      </c>
      <c r="BC230" s="43" t="str">
        <f t="shared" si="79"/>
        <v>-</v>
      </c>
      <c r="BD230" s="43">
        <f t="shared" si="80"/>
        <v>0</v>
      </c>
      <c r="BE230" s="193">
        <f t="shared" si="81"/>
        <v>0</v>
      </c>
      <c r="BF230" s="193">
        <f t="shared" si="82"/>
        <v>0</v>
      </c>
      <c r="BG230" s="193">
        <f t="shared" si="83"/>
        <v>0</v>
      </c>
      <c r="BH230" s="307" t="str">
        <f t="shared" si="84"/>
        <v>-</v>
      </c>
      <c r="BI230" s="265" t="str">
        <f t="shared" si="100"/>
        <v>-</v>
      </c>
      <c r="BJ230" s="26" t="str">
        <f t="shared" si="85"/>
        <v>CAYCUSE RIVERSteelhead</v>
      </c>
      <c r="BK230" s="26">
        <f t="shared" si="86"/>
        <v>0</v>
      </c>
      <c r="BL230" s="33">
        <f t="shared" si="76"/>
        <v>0</v>
      </c>
      <c r="BQ230" s="47" t="str">
        <f t="shared" si="87"/>
        <v>CAYCUSE RIVERSteelhead</v>
      </c>
      <c r="BR230" s="49">
        <f t="shared" si="88"/>
        <v>0</v>
      </c>
      <c r="BS230" s="49">
        <f t="shared" si="89"/>
        <v>0</v>
      </c>
      <c r="BT230" s="31">
        <v>0</v>
      </c>
      <c r="BU230" s="188" t="str">
        <f t="shared" si="90"/>
        <v>Ditidaht/MCWright</v>
      </c>
      <c r="BV230" s="188" t="str">
        <f t="shared" si="91"/>
        <v xml:space="preserve"> </v>
      </c>
      <c r="BW230" s="188" t="str">
        <f t="shared" si="92"/>
        <v xml:space="preserve"> </v>
      </c>
      <c r="BX230" s="188" t="str">
        <f t="shared" si="93"/>
        <v xml:space="preserve"> </v>
      </c>
      <c r="BY230" s="50" t="str">
        <f t="shared" si="94"/>
        <v>CAYCUSE RIVER_Steelhead</v>
      </c>
      <c r="BZ230" s="50" t="str">
        <f>IFERROR(VLOOKUP(BY230,'[1]WCVI Esc'!$C$5:$W$555,18,FALSE),"-")</f>
        <v>-</v>
      </c>
      <c r="CA230" s="50" t="str">
        <f t="shared" si="95"/>
        <v>-</v>
      </c>
      <c r="CB230" s="50" t="str">
        <f>IFERROR(VLOOKUP(BY230,'[1]WCVI Esc'!$C$5:$W$555,19,FALSE),"-")</f>
        <v>-</v>
      </c>
      <c r="CC230" s="50" t="str">
        <f t="shared" si="96"/>
        <v>-</v>
      </c>
      <c r="CE230" s="342" t="str">
        <f t="shared" si="97"/>
        <v>CAYCUSE RIVER_Steelhead</v>
      </c>
      <c r="CF230" s="341" t="str">
        <f>IFERROR(VLOOKUP(BY230,'RawPL+D'!$O$8:$AB$503,12,FALSE),"-")</f>
        <v>-</v>
      </c>
      <c r="CG230" s="338" t="str">
        <f t="shared" si="98"/>
        <v>-</v>
      </c>
      <c r="CH230" s="341" t="str">
        <f>IFERROR(VLOOKUP(BY230,'RawPL+D'!$O$8:$AB$503,13,FALSE),"-")</f>
        <v>-</v>
      </c>
      <c r="CI230" s="338" t="str">
        <f t="shared" si="99"/>
        <v>-</v>
      </c>
    </row>
    <row r="231" spans="1:87" ht="12.75" hidden="1" customHeight="1" x14ac:dyDescent="0.2">
      <c r="A231" s="28">
        <v>4</v>
      </c>
      <c r="B231" s="28">
        <v>1</v>
      </c>
      <c r="C231" s="11">
        <v>22</v>
      </c>
      <c r="D231" s="13" t="s">
        <v>304</v>
      </c>
      <c r="E231" s="10" t="s">
        <v>81</v>
      </c>
      <c r="F231" s="10" t="s">
        <v>207</v>
      </c>
      <c r="G231" s="10"/>
      <c r="H231" s="10"/>
      <c r="I231" s="10"/>
      <c r="J231" s="10"/>
      <c r="K231" s="575"/>
      <c r="L231" s="152"/>
      <c r="M231" s="164"/>
      <c r="N231" s="62"/>
      <c r="O231" s="62"/>
      <c r="P231" s="177"/>
      <c r="Q231" s="171"/>
      <c r="R231" s="62"/>
      <c r="S231" s="62"/>
      <c r="T231" s="62"/>
      <c r="U231" s="64"/>
      <c r="V231" s="164"/>
      <c r="W231" s="62"/>
      <c r="X231" s="62"/>
      <c r="Y231" s="62"/>
      <c r="Z231" s="64"/>
      <c r="AA231" s="164"/>
      <c r="AB231" s="62"/>
      <c r="AC231" s="62"/>
      <c r="AD231" s="64"/>
      <c r="AE231" s="164"/>
      <c r="AF231" s="62"/>
      <c r="AG231" s="62"/>
      <c r="AH231" s="337"/>
      <c r="AI231" s="337"/>
      <c r="AJ231" s="337"/>
      <c r="AK231" s="337"/>
      <c r="AL231" s="555"/>
      <c r="AM231" s="552"/>
      <c r="AN231" s="45"/>
      <c r="AO231" s="45"/>
      <c r="AP231" s="45"/>
      <c r="AQ231" s="396"/>
      <c r="AR231" s="100"/>
      <c r="AS231" s="485"/>
      <c r="AT231" s="100"/>
      <c r="AU231" s="100"/>
      <c r="AV231" s="100"/>
      <c r="AW231" s="18">
        <v>22</v>
      </c>
      <c r="AX231" s="69" t="s">
        <v>304</v>
      </c>
      <c r="AY231" s="243" t="s">
        <v>81</v>
      </c>
      <c r="AZ231" s="243" t="str">
        <f t="shared" si="78"/>
        <v>Sockeye</v>
      </c>
      <c r="BA231" s="243" t="s">
        <v>419</v>
      </c>
      <c r="BB231" s="244" t="s">
        <v>624</v>
      </c>
      <c r="BC231" s="43" t="str">
        <f t="shared" si="79"/>
        <v>-</v>
      </c>
      <c r="BD231" s="43">
        <f t="shared" si="80"/>
        <v>0</v>
      </c>
      <c r="BE231" s="193">
        <f t="shared" si="81"/>
        <v>0</v>
      </c>
      <c r="BF231" s="193">
        <f t="shared" si="82"/>
        <v>0</v>
      </c>
      <c r="BG231" s="193">
        <f t="shared" si="83"/>
        <v>0</v>
      </c>
      <c r="BH231" s="307" t="str">
        <f t="shared" si="84"/>
        <v>-</v>
      </c>
      <c r="BI231" s="265"/>
      <c r="BJ231" s="26" t="str">
        <f t="shared" si="85"/>
        <v>DOOBAH CREEKSockeye</v>
      </c>
      <c r="BK231" s="26">
        <f t="shared" si="86"/>
        <v>0</v>
      </c>
      <c r="BL231" s="33">
        <f t="shared" ref="BL231:BL294" si="101">MAX(K231:AB231)</f>
        <v>0</v>
      </c>
      <c r="BQ231" s="47" t="str">
        <f t="shared" si="87"/>
        <v>DOOBAH CREEKSockeye</v>
      </c>
      <c r="BR231" s="49">
        <f t="shared" si="88"/>
        <v>0</v>
      </c>
      <c r="BS231" s="49">
        <f t="shared" si="89"/>
        <v>0</v>
      </c>
      <c r="BT231" s="31">
        <v>2015</v>
      </c>
      <c r="BU231" s="188" t="str">
        <f t="shared" si="90"/>
        <v>Ditidaht/MCWright</v>
      </c>
      <c r="BV231" s="188" t="str">
        <f t="shared" si="91"/>
        <v xml:space="preserve"> </v>
      </c>
      <c r="BW231" s="188" t="str">
        <f t="shared" si="92"/>
        <v xml:space="preserve"> </v>
      </c>
      <c r="BX231" s="188" t="str">
        <f t="shared" si="93"/>
        <v xml:space="preserve"> </v>
      </c>
      <c r="BY231" s="50" t="str">
        <f t="shared" si="94"/>
        <v>DOOBAH CREEK_Sockeye</v>
      </c>
      <c r="BZ231" s="50" t="str">
        <f>IFERROR(VLOOKUP(BY231,'[1]WCVI Esc'!$C$5:$W$555,18,FALSE),"-")</f>
        <v>-</v>
      </c>
      <c r="CA231" s="50" t="str">
        <f t="shared" si="95"/>
        <v>-</v>
      </c>
      <c r="CB231" s="50" t="str">
        <f>IFERROR(VLOOKUP(BY231,'[1]WCVI Esc'!$C$5:$W$555,19,FALSE),"-")</f>
        <v>-</v>
      </c>
      <c r="CC231" s="50" t="str">
        <f t="shared" si="96"/>
        <v>-</v>
      </c>
      <c r="CE231" s="342" t="str">
        <f t="shared" si="97"/>
        <v>DOOBAH CREEK_Sockeye</v>
      </c>
      <c r="CF231" s="341" t="str">
        <f>IFERROR(VLOOKUP(BY231,'RawPL+D'!$O$8:$AB$503,12,FALSE),"-")</f>
        <v>-</v>
      </c>
      <c r="CG231" s="338" t="str">
        <f t="shared" si="98"/>
        <v>-</v>
      </c>
      <c r="CH231" s="341" t="str">
        <f>IFERROR(VLOOKUP(BY231,'RawPL+D'!$O$8:$AB$503,13,FALSE),"-")</f>
        <v>-</v>
      </c>
      <c r="CI231" s="338" t="str">
        <f t="shared" si="99"/>
        <v>-</v>
      </c>
    </row>
    <row r="232" spans="1:87" ht="12.75" hidden="1" customHeight="1" x14ac:dyDescent="0.2">
      <c r="A232" s="28">
        <v>4</v>
      </c>
      <c r="B232" s="28">
        <v>2</v>
      </c>
      <c r="C232" s="11">
        <v>22</v>
      </c>
      <c r="D232" s="13" t="s">
        <v>304</v>
      </c>
      <c r="E232" s="10" t="s">
        <v>81</v>
      </c>
      <c r="F232" s="10" t="s">
        <v>219</v>
      </c>
      <c r="G232" s="10"/>
      <c r="H232" s="10"/>
      <c r="I232" s="10"/>
      <c r="J232" s="10"/>
      <c r="K232" s="575"/>
      <c r="L232" s="152"/>
      <c r="M232" s="164"/>
      <c r="N232" s="62"/>
      <c r="O232" s="62"/>
      <c r="P232" s="177"/>
      <c r="Q232" s="171"/>
      <c r="R232" s="62"/>
      <c r="S232" s="62"/>
      <c r="T232" s="62"/>
      <c r="U232" s="64"/>
      <c r="V232" s="164"/>
      <c r="W232" s="62"/>
      <c r="X232" s="62"/>
      <c r="Y232" s="62"/>
      <c r="Z232" s="64"/>
      <c r="AA232" s="164"/>
      <c r="AB232" s="62"/>
      <c r="AC232" s="62"/>
      <c r="AD232" s="64"/>
      <c r="AE232" s="164"/>
      <c r="AF232" s="62"/>
      <c r="AG232" s="62"/>
      <c r="AH232" s="337"/>
      <c r="AI232" s="337"/>
      <c r="AJ232" s="337"/>
      <c r="AK232" s="337"/>
      <c r="AL232" s="555"/>
      <c r="AM232" s="552"/>
      <c r="AN232" s="45"/>
      <c r="AO232" s="45"/>
      <c r="AP232" s="45"/>
      <c r="AQ232" s="396"/>
      <c r="AR232" s="12"/>
      <c r="AS232" s="485"/>
      <c r="AT232" s="100"/>
      <c r="AU232" s="100"/>
      <c r="AV232" s="100"/>
      <c r="AW232" s="18">
        <v>22</v>
      </c>
      <c r="AX232" s="69" t="s">
        <v>304</v>
      </c>
      <c r="AY232" s="243" t="s">
        <v>81</v>
      </c>
      <c r="AZ232" s="243" t="str">
        <f t="shared" si="78"/>
        <v>Coho</v>
      </c>
      <c r="BA232" s="243" t="s">
        <v>419</v>
      </c>
      <c r="BB232" s="244" t="s">
        <v>624</v>
      </c>
      <c r="BC232" s="43" t="str">
        <f t="shared" si="79"/>
        <v>-</v>
      </c>
      <c r="BD232" s="43">
        <f t="shared" si="80"/>
        <v>0</v>
      </c>
      <c r="BE232" s="193">
        <f t="shared" si="81"/>
        <v>0</v>
      </c>
      <c r="BF232" s="193">
        <f t="shared" si="82"/>
        <v>0</v>
      </c>
      <c r="BG232" s="193">
        <f t="shared" si="83"/>
        <v>0</v>
      </c>
      <c r="BH232" s="307">
        <f t="shared" si="84"/>
        <v>0</v>
      </c>
      <c r="BI232" s="265" t="str">
        <f t="shared" ref="BI232:BI240" si="102">CC232</f>
        <v>-</v>
      </c>
      <c r="BJ232" s="26" t="str">
        <f t="shared" si="85"/>
        <v>DOOBAH CREEKCoho</v>
      </c>
      <c r="BK232" s="26">
        <f t="shared" si="86"/>
        <v>0</v>
      </c>
      <c r="BL232" s="33">
        <f t="shared" si="101"/>
        <v>0</v>
      </c>
      <c r="BQ232" s="47" t="str">
        <f t="shared" si="87"/>
        <v>DOOBAH CREEKCoho</v>
      </c>
      <c r="BR232" s="49">
        <f t="shared" si="88"/>
        <v>0</v>
      </c>
      <c r="BS232" s="49">
        <f t="shared" si="89"/>
        <v>0</v>
      </c>
      <c r="BT232" s="31">
        <v>2015</v>
      </c>
      <c r="BU232" s="188" t="str">
        <f t="shared" si="90"/>
        <v>Ditidaht/MCWright</v>
      </c>
      <c r="BV232" s="188" t="str">
        <f t="shared" si="91"/>
        <v xml:space="preserve"> </v>
      </c>
      <c r="BW232" s="188" t="str">
        <f t="shared" si="92"/>
        <v xml:space="preserve"> </v>
      </c>
      <c r="BX232" s="188" t="str">
        <f t="shared" si="93"/>
        <v xml:space="preserve"> </v>
      </c>
      <c r="BY232" s="50" t="str">
        <f t="shared" si="94"/>
        <v>DOOBAH CREEK_Coho</v>
      </c>
      <c r="BZ232" s="50" t="str">
        <f>IFERROR(VLOOKUP(BY232,'[1]WCVI Esc'!$C$5:$W$555,18,FALSE),"-")</f>
        <v>-</v>
      </c>
      <c r="CA232" s="50" t="str">
        <f t="shared" si="95"/>
        <v>-</v>
      </c>
      <c r="CB232" s="50" t="str">
        <f>IFERROR(VLOOKUP(BY232,'[1]WCVI Esc'!$C$5:$W$555,19,FALSE),"-")</f>
        <v>-</v>
      </c>
      <c r="CC232" s="50" t="str">
        <f t="shared" si="96"/>
        <v>-</v>
      </c>
      <c r="CE232" s="342" t="str">
        <f t="shared" si="97"/>
        <v>DOOBAH CREEK_Coho</v>
      </c>
      <c r="CF232" s="341">
        <f>IFERROR(VLOOKUP(BY232,'RawPL+D'!$O$8:$AB$503,12,FALSE),"-")</f>
        <v>0</v>
      </c>
      <c r="CG232" s="338">
        <f t="shared" si="98"/>
        <v>0</v>
      </c>
      <c r="CH232" s="341">
        <f>IFERROR(VLOOKUP(BY232,'RawPL+D'!$O$8:$AB$503,13,FALSE),"-")</f>
        <v>0.5</v>
      </c>
      <c r="CI232" s="338">
        <f t="shared" si="99"/>
        <v>0</v>
      </c>
    </row>
    <row r="233" spans="1:87" ht="12.75" hidden="1" customHeight="1" x14ac:dyDescent="0.2">
      <c r="A233" s="28">
        <v>4</v>
      </c>
      <c r="B233" s="28">
        <v>3</v>
      </c>
      <c r="C233" s="11">
        <v>22</v>
      </c>
      <c r="D233" s="13" t="s">
        <v>304</v>
      </c>
      <c r="E233" s="10" t="s">
        <v>81</v>
      </c>
      <c r="F233" s="10" t="s">
        <v>208</v>
      </c>
      <c r="G233" s="10"/>
      <c r="H233" s="10"/>
      <c r="I233" s="10"/>
      <c r="J233" s="10"/>
      <c r="K233" s="575"/>
      <c r="L233" s="152"/>
      <c r="M233" s="164"/>
      <c r="N233" s="62"/>
      <c r="O233" s="62"/>
      <c r="P233" s="177"/>
      <c r="Q233" s="171"/>
      <c r="R233" s="62"/>
      <c r="S233" s="62"/>
      <c r="T233" s="62"/>
      <c r="U233" s="64"/>
      <c r="V233" s="164"/>
      <c r="W233" s="62"/>
      <c r="X233" s="62"/>
      <c r="Y233" s="62"/>
      <c r="Z233" s="64"/>
      <c r="AA233" s="164"/>
      <c r="AB233" s="62"/>
      <c r="AC233" s="62"/>
      <c r="AD233" s="64"/>
      <c r="AE233" s="164"/>
      <c r="AF233" s="62"/>
      <c r="AG233" s="62"/>
      <c r="AH233" s="337"/>
      <c r="AI233" s="337"/>
      <c r="AJ233" s="337"/>
      <c r="AK233" s="337"/>
      <c r="AL233" s="555"/>
      <c r="AM233" s="552"/>
      <c r="AN233" s="45"/>
      <c r="AO233" s="45"/>
      <c r="AP233" s="45"/>
      <c r="AQ233" s="396"/>
      <c r="AR233" s="100"/>
      <c r="AS233" s="485"/>
      <c r="AT233" s="100"/>
      <c r="AU233" s="100"/>
      <c r="AV233" s="100"/>
      <c r="AW233" s="18">
        <v>22</v>
      </c>
      <c r="AX233" s="69" t="s">
        <v>304</v>
      </c>
      <c r="AY233" s="243" t="s">
        <v>81</v>
      </c>
      <c r="AZ233" s="243" t="str">
        <f t="shared" si="78"/>
        <v>Pink</v>
      </c>
      <c r="BA233" s="243" t="s">
        <v>419</v>
      </c>
      <c r="BB233" s="244" t="s">
        <v>624</v>
      </c>
      <c r="BC233" s="43" t="str">
        <f t="shared" si="79"/>
        <v>-</v>
      </c>
      <c r="BD233" s="43">
        <f t="shared" si="80"/>
        <v>0</v>
      </c>
      <c r="BE233" s="193">
        <f t="shared" si="81"/>
        <v>0</v>
      </c>
      <c r="BF233" s="193">
        <f t="shared" si="82"/>
        <v>0</v>
      </c>
      <c r="BG233" s="193">
        <f t="shared" si="83"/>
        <v>0</v>
      </c>
      <c r="BH233" s="307" t="str">
        <f t="shared" si="84"/>
        <v>-</v>
      </c>
      <c r="BI233" s="265" t="str">
        <f t="shared" si="102"/>
        <v>-</v>
      </c>
      <c r="BJ233" s="26" t="str">
        <f t="shared" si="85"/>
        <v>DOOBAH CREEKPink</v>
      </c>
      <c r="BK233" s="26">
        <f t="shared" si="86"/>
        <v>0</v>
      </c>
      <c r="BL233" s="33">
        <f t="shared" si="101"/>
        <v>0</v>
      </c>
      <c r="BQ233" s="47" t="str">
        <f t="shared" si="87"/>
        <v>DOOBAH CREEKPink</v>
      </c>
      <c r="BR233" s="49">
        <f t="shared" si="88"/>
        <v>0</v>
      </c>
      <c r="BS233" s="49">
        <f t="shared" si="89"/>
        <v>0</v>
      </c>
      <c r="BT233" s="31">
        <v>0</v>
      </c>
      <c r="BU233" s="188" t="str">
        <f t="shared" si="90"/>
        <v>Ditidaht/MCWright</v>
      </c>
      <c r="BV233" s="188" t="str">
        <f t="shared" si="91"/>
        <v xml:space="preserve"> </v>
      </c>
      <c r="BW233" s="188" t="str">
        <f t="shared" si="92"/>
        <v xml:space="preserve"> </v>
      </c>
      <c r="BX233" s="188" t="str">
        <f t="shared" si="93"/>
        <v xml:space="preserve"> </v>
      </c>
      <c r="BY233" s="50" t="str">
        <f t="shared" si="94"/>
        <v>DOOBAH CREEK_Pink</v>
      </c>
      <c r="BZ233" s="50" t="str">
        <f>IFERROR(VLOOKUP(BY233,'[1]WCVI Esc'!$C$5:$W$555,18,FALSE),"-")</f>
        <v>-</v>
      </c>
      <c r="CA233" s="50" t="str">
        <f t="shared" si="95"/>
        <v>-</v>
      </c>
      <c r="CB233" s="50" t="str">
        <f>IFERROR(VLOOKUP(BY233,'[1]WCVI Esc'!$C$5:$W$555,19,FALSE),"-")</f>
        <v>-</v>
      </c>
      <c r="CC233" s="50" t="str">
        <f t="shared" si="96"/>
        <v>-</v>
      </c>
      <c r="CE233" s="342" t="str">
        <f t="shared" si="97"/>
        <v>DOOBAH CREEK_Pink</v>
      </c>
      <c r="CF233" s="341" t="str">
        <f>IFERROR(VLOOKUP(BY233,'RawPL+D'!$O$8:$AB$503,12,FALSE),"-")</f>
        <v>-</v>
      </c>
      <c r="CG233" s="338" t="str">
        <f t="shared" si="98"/>
        <v>-</v>
      </c>
      <c r="CH233" s="341" t="str">
        <f>IFERROR(VLOOKUP(BY233,'RawPL+D'!$O$8:$AB$503,13,FALSE),"-")</f>
        <v>-</v>
      </c>
      <c r="CI233" s="338" t="str">
        <f t="shared" si="99"/>
        <v>-</v>
      </c>
    </row>
    <row r="234" spans="1:87" ht="12.75" hidden="1" customHeight="1" x14ac:dyDescent="0.2">
      <c r="A234" s="28">
        <v>4</v>
      </c>
      <c r="B234" s="28">
        <v>4</v>
      </c>
      <c r="C234" s="11">
        <v>22</v>
      </c>
      <c r="D234" s="13" t="s">
        <v>304</v>
      </c>
      <c r="E234" s="10" t="s">
        <v>81</v>
      </c>
      <c r="F234" s="10" t="s">
        <v>209</v>
      </c>
      <c r="G234" s="10"/>
      <c r="H234" s="10"/>
      <c r="I234" s="10"/>
      <c r="J234" s="10"/>
      <c r="K234" s="575"/>
      <c r="L234" s="152"/>
      <c r="M234" s="164"/>
      <c r="N234" s="62"/>
      <c r="O234" s="62"/>
      <c r="P234" s="177"/>
      <c r="Q234" s="171"/>
      <c r="R234" s="62"/>
      <c r="S234" s="62"/>
      <c r="T234" s="62"/>
      <c r="U234" s="64"/>
      <c r="V234" s="164"/>
      <c r="W234" s="62"/>
      <c r="X234" s="62"/>
      <c r="Y234" s="62"/>
      <c r="Z234" s="64"/>
      <c r="AA234" s="164"/>
      <c r="AB234" s="62"/>
      <c r="AC234" s="62"/>
      <c r="AD234" s="64"/>
      <c r="AE234" s="164"/>
      <c r="AF234" s="62"/>
      <c r="AG234" s="62"/>
      <c r="AH234" s="337"/>
      <c r="AI234" s="337"/>
      <c r="AJ234" s="337"/>
      <c r="AK234" s="337"/>
      <c r="AL234" s="555"/>
      <c r="AM234" s="552"/>
      <c r="AN234" s="45"/>
      <c r="AO234" s="45"/>
      <c r="AP234" s="45"/>
      <c r="AQ234" s="396">
        <f>AL234/BI234</f>
        <v>0</v>
      </c>
      <c r="AR234" s="100">
        <f>BL234/BI234</f>
        <v>0</v>
      </c>
      <c r="AS234" s="485"/>
      <c r="AT234" s="100"/>
      <c r="AU234" s="100"/>
      <c r="AV234" s="100"/>
      <c r="AW234" s="18">
        <v>22</v>
      </c>
      <c r="AX234" s="69" t="s">
        <v>304</v>
      </c>
      <c r="AY234" s="243" t="s">
        <v>81</v>
      </c>
      <c r="AZ234" s="243" t="str">
        <f t="shared" si="78"/>
        <v>Chum</v>
      </c>
      <c r="BA234" s="243" t="s">
        <v>419</v>
      </c>
      <c r="BB234" s="244" t="s">
        <v>624</v>
      </c>
      <c r="BC234" s="43" t="str">
        <f t="shared" si="79"/>
        <v>-</v>
      </c>
      <c r="BD234" s="43">
        <f t="shared" si="80"/>
        <v>0</v>
      </c>
      <c r="BE234" s="193">
        <f t="shared" si="81"/>
        <v>0</v>
      </c>
      <c r="BF234" s="193">
        <f t="shared" si="82"/>
        <v>0</v>
      </c>
      <c r="BG234" s="193">
        <f t="shared" si="83"/>
        <v>0</v>
      </c>
      <c r="BH234" s="307">
        <f t="shared" si="84"/>
        <v>0</v>
      </c>
      <c r="BI234" s="265">
        <f t="shared" si="102"/>
        <v>1530</v>
      </c>
      <c r="BJ234" s="26" t="str">
        <f t="shared" si="85"/>
        <v>DOOBAH CREEKChum</v>
      </c>
      <c r="BK234" s="26">
        <f t="shared" si="86"/>
        <v>0</v>
      </c>
      <c r="BL234" s="33">
        <f t="shared" si="101"/>
        <v>0</v>
      </c>
      <c r="BQ234" s="47" t="str">
        <f t="shared" si="87"/>
        <v>DOOBAH CREEKChum</v>
      </c>
      <c r="BR234" s="49">
        <f t="shared" si="88"/>
        <v>0</v>
      </c>
      <c r="BS234" s="49">
        <f t="shared" si="89"/>
        <v>0</v>
      </c>
      <c r="BT234" s="31">
        <v>2015</v>
      </c>
      <c r="BU234" s="188" t="str">
        <f t="shared" si="90"/>
        <v>Ditidaht/MCWright</v>
      </c>
      <c r="BV234" s="188" t="str">
        <f t="shared" si="91"/>
        <v xml:space="preserve"> </v>
      </c>
      <c r="BW234" s="188" t="str">
        <f t="shared" si="92"/>
        <v xml:space="preserve"> </v>
      </c>
      <c r="BX234" s="188" t="str">
        <f t="shared" si="93"/>
        <v xml:space="preserve"> </v>
      </c>
      <c r="BY234" s="50" t="str">
        <f t="shared" si="94"/>
        <v>DOOBAH CREEK_Chum</v>
      </c>
      <c r="BZ234" s="50">
        <f>IFERROR(VLOOKUP(BY234,'[1]WCVI Esc'!$C$5:$W$555,18,FALSE),"-")</f>
        <v>100.5</v>
      </c>
      <c r="CA234" s="50">
        <f t="shared" si="95"/>
        <v>100</v>
      </c>
      <c r="CB234" s="50">
        <f>IFERROR(VLOOKUP(BY234,'[1]WCVI Esc'!$C$5:$W$555,19,FALSE),"-")</f>
        <v>1528.7142857142858</v>
      </c>
      <c r="CC234" s="50">
        <f t="shared" si="96"/>
        <v>1530</v>
      </c>
      <c r="CE234" s="342" t="str">
        <f t="shared" si="97"/>
        <v>DOOBAH CREEK_Chum</v>
      </c>
      <c r="CF234" s="341">
        <f>IFERROR(VLOOKUP(BY234,'RawPL+D'!$O$8:$AB$503,12,FALSE),"-")</f>
        <v>1</v>
      </c>
      <c r="CG234" s="338">
        <f t="shared" si="98"/>
        <v>0</v>
      </c>
      <c r="CH234" s="341">
        <f>IFERROR(VLOOKUP(BY234,'RawPL+D'!$O$8:$AB$503,13,FALSE),"-")</f>
        <v>1</v>
      </c>
      <c r="CI234" s="338">
        <f t="shared" si="99"/>
        <v>0</v>
      </c>
    </row>
    <row r="235" spans="1:87" ht="12.75" hidden="1" customHeight="1" x14ac:dyDescent="0.2">
      <c r="A235" s="28">
        <v>4</v>
      </c>
      <c r="B235" s="28">
        <v>5</v>
      </c>
      <c r="C235" s="11">
        <v>22</v>
      </c>
      <c r="D235" s="13" t="s">
        <v>304</v>
      </c>
      <c r="E235" s="10" t="s">
        <v>81</v>
      </c>
      <c r="F235" s="10" t="s">
        <v>210</v>
      </c>
      <c r="G235" s="10"/>
      <c r="H235" s="10"/>
      <c r="I235" s="10"/>
      <c r="J235" s="10"/>
      <c r="K235" s="575"/>
      <c r="L235" s="152"/>
      <c r="M235" s="164"/>
      <c r="N235" s="62"/>
      <c r="O235" s="62"/>
      <c r="P235" s="177"/>
      <c r="Q235" s="171"/>
      <c r="R235" s="62"/>
      <c r="S235" s="62"/>
      <c r="T235" s="62"/>
      <c r="U235" s="64"/>
      <c r="V235" s="164"/>
      <c r="W235" s="62"/>
      <c r="X235" s="62"/>
      <c r="Y235" s="62"/>
      <c r="Z235" s="64"/>
      <c r="AA235" s="164"/>
      <c r="AB235" s="62"/>
      <c r="AC235" s="62"/>
      <c r="AD235" s="64"/>
      <c r="AE235" s="164"/>
      <c r="AF235" s="62"/>
      <c r="AG235" s="62"/>
      <c r="AH235" s="337"/>
      <c r="AI235" s="337"/>
      <c r="AJ235" s="337"/>
      <c r="AK235" s="337"/>
      <c r="AL235" s="555"/>
      <c r="AM235" s="552"/>
      <c r="AN235" s="45"/>
      <c r="AO235" s="45"/>
      <c r="AP235" s="45"/>
      <c r="AQ235" s="396"/>
      <c r="AR235" s="100"/>
      <c r="AS235" s="485"/>
      <c r="AT235" s="100"/>
      <c r="AU235" s="100"/>
      <c r="AV235" s="100"/>
      <c r="AW235" s="18">
        <v>22</v>
      </c>
      <c r="AX235" s="69" t="s">
        <v>304</v>
      </c>
      <c r="AY235" s="243" t="s">
        <v>81</v>
      </c>
      <c r="AZ235" s="243" t="str">
        <f t="shared" si="78"/>
        <v>Chinook</v>
      </c>
      <c r="BA235" s="243" t="s">
        <v>419</v>
      </c>
      <c r="BB235" s="244" t="s">
        <v>624</v>
      </c>
      <c r="BC235" s="43" t="str">
        <f t="shared" si="79"/>
        <v>-</v>
      </c>
      <c r="BD235" s="43">
        <f t="shared" si="80"/>
        <v>0</v>
      </c>
      <c r="BE235" s="193">
        <f t="shared" si="81"/>
        <v>0</v>
      </c>
      <c r="BF235" s="193">
        <f t="shared" si="82"/>
        <v>0</v>
      </c>
      <c r="BG235" s="193">
        <f t="shared" si="83"/>
        <v>0</v>
      </c>
      <c r="BH235" s="307">
        <f t="shared" si="84"/>
        <v>0</v>
      </c>
      <c r="BI235" s="265" t="str">
        <f t="shared" si="102"/>
        <v>-</v>
      </c>
      <c r="BJ235" s="26" t="str">
        <f t="shared" si="85"/>
        <v>DOOBAH CREEKChinook</v>
      </c>
      <c r="BK235" s="26">
        <f t="shared" si="86"/>
        <v>0</v>
      </c>
      <c r="BL235" s="33">
        <f t="shared" si="101"/>
        <v>0</v>
      </c>
      <c r="BQ235" s="47" t="str">
        <f t="shared" si="87"/>
        <v>DOOBAH CREEKChinook</v>
      </c>
      <c r="BR235" s="49">
        <f t="shared" si="88"/>
        <v>0</v>
      </c>
      <c r="BS235" s="49">
        <f t="shared" si="89"/>
        <v>0</v>
      </c>
      <c r="BT235" s="31">
        <v>2015</v>
      </c>
      <c r="BU235" s="188" t="str">
        <f t="shared" si="90"/>
        <v>Ditidaht/MCWright</v>
      </c>
      <c r="BV235" s="188" t="str">
        <f t="shared" si="91"/>
        <v xml:space="preserve"> </v>
      </c>
      <c r="BW235" s="188" t="str">
        <f t="shared" si="92"/>
        <v xml:space="preserve"> </v>
      </c>
      <c r="BX235" s="188" t="str">
        <f t="shared" si="93"/>
        <v xml:space="preserve"> </v>
      </c>
      <c r="BY235" s="50" t="str">
        <f t="shared" si="94"/>
        <v>DOOBAH CREEK_Chinook</v>
      </c>
      <c r="BZ235" s="50" t="str">
        <f>IFERROR(VLOOKUP(BY235,'[1]WCVI Esc'!$C$5:$W$555,18,FALSE),"-")</f>
        <v>-</v>
      </c>
      <c r="CA235" s="50" t="str">
        <f t="shared" si="95"/>
        <v>-</v>
      </c>
      <c r="CB235" s="50" t="str">
        <f>IFERROR(VLOOKUP(BY235,'[1]WCVI Esc'!$C$5:$W$555,19,FALSE),"-")</f>
        <v>-</v>
      </c>
      <c r="CC235" s="50" t="str">
        <f t="shared" si="96"/>
        <v>-</v>
      </c>
      <c r="CE235" s="342" t="str">
        <f t="shared" si="97"/>
        <v>DOOBAH CREEK_Chinook</v>
      </c>
      <c r="CF235" s="341">
        <f>IFERROR(VLOOKUP(BY235,'RawPL+D'!$O$8:$AB$503,12,FALSE),"-")</f>
        <v>0</v>
      </c>
      <c r="CG235" s="338">
        <f t="shared" si="98"/>
        <v>0</v>
      </c>
      <c r="CH235" s="341">
        <f>IFERROR(VLOOKUP(BY235,'RawPL+D'!$O$8:$AB$503,13,FALSE),"-")</f>
        <v>0</v>
      </c>
      <c r="CI235" s="338">
        <f t="shared" si="99"/>
        <v>0</v>
      </c>
    </row>
    <row r="236" spans="1:87" ht="12.75" hidden="1" customHeight="1" x14ac:dyDescent="0.2">
      <c r="A236" s="28">
        <v>4</v>
      </c>
      <c r="B236" s="28">
        <v>6</v>
      </c>
      <c r="C236" s="11">
        <v>22</v>
      </c>
      <c r="D236" s="13" t="s">
        <v>304</v>
      </c>
      <c r="E236" s="10" t="s">
        <v>81</v>
      </c>
      <c r="F236" s="10" t="s">
        <v>211</v>
      </c>
      <c r="G236" s="10"/>
      <c r="H236" s="10"/>
      <c r="I236" s="10"/>
      <c r="J236" s="10"/>
      <c r="K236" s="575"/>
      <c r="L236" s="152"/>
      <c r="M236" s="164"/>
      <c r="N236" s="62"/>
      <c r="O236" s="62"/>
      <c r="P236" s="177"/>
      <c r="Q236" s="171"/>
      <c r="R236" s="62"/>
      <c r="S236" s="62"/>
      <c r="T236" s="62"/>
      <c r="U236" s="64"/>
      <c r="V236" s="164"/>
      <c r="W236" s="62"/>
      <c r="X236" s="62"/>
      <c r="Y236" s="62"/>
      <c r="Z236" s="64"/>
      <c r="AA236" s="164"/>
      <c r="AB236" s="62"/>
      <c r="AC236" s="62"/>
      <c r="AD236" s="64"/>
      <c r="AE236" s="164"/>
      <c r="AF236" s="62"/>
      <c r="AG236" s="62"/>
      <c r="AH236" s="337"/>
      <c r="AI236" s="337"/>
      <c r="AJ236" s="337"/>
      <c r="AK236" s="337"/>
      <c r="AL236" s="555"/>
      <c r="AM236" s="552"/>
      <c r="AN236" s="45"/>
      <c r="AO236" s="45"/>
      <c r="AP236" s="45"/>
      <c r="AQ236" s="396"/>
      <c r="AR236" s="100"/>
      <c r="AS236" s="485"/>
      <c r="AT236" s="100"/>
      <c r="AU236" s="100"/>
      <c r="AV236" s="100"/>
      <c r="AW236" s="18">
        <v>22</v>
      </c>
      <c r="AX236" s="69" t="s">
        <v>304</v>
      </c>
      <c r="AY236" s="243" t="s">
        <v>81</v>
      </c>
      <c r="AZ236" s="243" t="str">
        <f t="shared" si="78"/>
        <v>Steelhead</v>
      </c>
      <c r="BA236" s="243" t="s">
        <v>419</v>
      </c>
      <c r="BB236" s="244" t="s">
        <v>624</v>
      </c>
      <c r="BC236" s="43" t="str">
        <f t="shared" si="79"/>
        <v>-</v>
      </c>
      <c r="BD236" s="43">
        <f t="shared" si="80"/>
        <v>0</v>
      </c>
      <c r="BE236" s="193">
        <f t="shared" si="81"/>
        <v>0</v>
      </c>
      <c r="BF236" s="193">
        <f t="shared" si="82"/>
        <v>0</v>
      </c>
      <c r="BG236" s="193">
        <f t="shared" si="83"/>
        <v>0</v>
      </c>
      <c r="BH236" s="307" t="str">
        <f t="shared" si="84"/>
        <v>-</v>
      </c>
      <c r="BI236" s="265" t="str">
        <f t="shared" si="102"/>
        <v>-</v>
      </c>
      <c r="BJ236" s="26" t="str">
        <f t="shared" si="85"/>
        <v>DOOBAH CREEKSteelhead</v>
      </c>
      <c r="BK236" s="26">
        <f t="shared" si="86"/>
        <v>0</v>
      </c>
      <c r="BL236" s="33">
        <f t="shared" si="101"/>
        <v>0</v>
      </c>
      <c r="BQ236" s="47" t="str">
        <f t="shared" si="87"/>
        <v>DOOBAH CREEKSteelhead</v>
      </c>
      <c r="BR236" s="49">
        <f t="shared" si="88"/>
        <v>0</v>
      </c>
      <c r="BS236" s="49">
        <f t="shared" si="89"/>
        <v>0</v>
      </c>
      <c r="BT236" s="31">
        <v>0</v>
      </c>
      <c r="BU236" s="188" t="str">
        <f t="shared" si="90"/>
        <v>Ditidaht/MCWright</v>
      </c>
      <c r="BV236" s="188" t="str">
        <f t="shared" si="91"/>
        <v xml:space="preserve"> </v>
      </c>
      <c r="BW236" s="188" t="str">
        <f t="shared" si="92"/>
        <v xml:space="preserve"> </v>
      </c>
      <c r="BX236" s="188" t="str">
        <f t="shared" si="93"/>
        <v xml:space="preserve"> </v>
      </c>
      <c r="BY236" s="50" t="str">
        <f t="shared" si="94"/>
        <v>DOOBAH CREEK_Steelhead</v>
      </c>
      <c r="BZ236" s="50" t="str">
        <f>IFERROR(VLOOKUP(BY236,'[1]WCVI Esc'!$C$5:$W$555,18,FALSE),"-")</f>
        <v>-</v>
      </c>
      <c r="CA236" s="50" t="str">
        <f t="shared" si="95"/>
        <v>-</v>
      </c>
      <c r="CB236" s="50" t="str">
        <f>IFERROR(VLOOKUP(BY236,'[1]WCVI Esc'!$C$5:$W$555,19,FALSE),"-")</f>
        <v>-</v>
      </c>
      <c r="CC236" s="50" t="str">
        <f t="shared" si="96"/>
        <v>-</v>
      </c>
      <c r="CE236" s="342" t="str">
        <f t="shared" si="97"/>
        <v>DOOBAH CREEK_Steelhead</v>
      </c>
      <c r="CF236" s="341" t="str">
        <f>IFERROR(VLOOKUP(BY236,'RawPL+D'!$O$8:$AB$503,12,FALSE),"-")</f>
        <v>-</v>
      </c>
      <c r="CG236" s="338" t="str">
        <f t="shared" si="98"/>
        <v>-</v>
      </c>
      <c r="CH236" s="341" t="str">
        <f>IFERROR(VLOOKUP(BY236,'RawPL+D'!$O$8:$AB$503,13,FALSE),"-")</f>
        <v>-</v>
      </c>
      <c r="CI236" s="338" t="str">
        <f t="shared" si="99"/>
        <v>-</v>
      </c>
    </row>
    <row r="237" spans="1:87" ht="12.75" hidden="1" customHeight="1" x14ac:dyDescent="0.2">
      <c r="A237" s="28">
        <v>4</v>
      </c>
      <c r="B237" s="28">
        <v>1</v>
      </c>
      <c r="C237" s="11">
        <v>22</v>
      </c>
      <c r="D237" s="13" t="s">
        <v>304</v>
      </c>
      <c r="E237" s="10" t="s">
        <v>25</v>
      </c>
      <c r="F237" s="10" t="s">
        <v>207</v>
      </c>
      <c r="G237" s="10">
        <v>203</v>
      </c>
      <c r="H237" s="10"/>
      <c r="I237" s="10"/>
      <c r="J237" s="10"/>
      <c r="K237" s="575"/>
      <c r="L237" s="152"/>
      <c r="M237" s="641">
        <f>31+29</f>
        <v>60</v>
      </c>
      <c r="N237" s="62"/>
      <c r="O237" s="642">
        <f>2+1</f>
        <v>3</v>
      </c>
      <c r="P237" s="177"/>
      <c r="Q237" s="171"/>
      <c r="R237" s="62"/>
      <c r="S237" s="62"/>
      <c r="T237" s="62"/>
      <c r="U237" s="783">
        <v>0</v>
      </c>
      <c r="V237" s="164"/>
      <c r="W237" s="62"/>
      <c r="X237" s="164"/>
      <c r="Y237" s="62"/>
      <c r="Z237" s="64"/>
      <c r="AA237" s="164"/>
      <c r="AB237" s="62"/>
      <c r="AC237" s="62"/>
      <c r="AD237" s="64"/>
      <c r="AE237" s="164"/>
      <c r="AF237" s="62"/>
      <c r="AG237" s="62"/>
      <c r="AH237" s="337">
        <v>460</v>
      </c>
      <c r="AI237" s="337">
        <v>40</v>
      </c>
      <c r="AJ237" s="337">
        <v>0</v>
      </c>
      <c r="AK237" s="337">
        <v>0</v>
      </c>
      <c r="AL237" s="842">
        <v>460</v>
      </c>
      <c r="AM237" s="552">
        <v>500</v>
      </c>
      <c r="AN237" s="552" t="s">
        <v>765</v>
      </c>
      <c r="AO237" s="45"/>
      <c r="AP237" s="45"/>
      <c r="AQ237" s="396"/>
      <c r="AR237" s="485">
        <f>BL237/BI237</f>
        <v>4.7429906542056074E-2</v>
      </c>
      <c r="AS237" s="485"/>
      <c r="AT237" s="100"/>
      <c r="AU237" s="100"/>
      <c r="AV237" s="100"/>
      <c r="AW237" s="18">
        <v>22</v>
      </c>
      <c r="AX237" s="69" t="s">
        <v>304</v>
      </c>
      <c r="AY237" s="243" t="s">
        <v>25</v>
      </c>
      <c r="AZ237" s="243" t="str">
        <f t="shared" si="78"/>
        <v>Sockeye</v>
      </c>
      <c r="BA237" s="243" t="s">
        <v>419</v>
      </c>
      <c r="BB237" s="244" t="s">
        <v>624</v>
      </c>
      <c r="BC237" s="43" t="str">
        <f t="shared" si="79"/>
        <v>Oct 29-Nov4</v>
      </c>
      <c r="BD237" s="43">
        <f t="shared" si="80"/>
        <v>3</v>
      </c>
      <c r="BE237" s="193">
        <f t="shared" si="81"/>
        <v>203</v>
      </c>
      <c r="BF237" s="193">
        <f t="shared" si="82"/>
        <v>460</v>
      </c>
      <c r="BG237" s="193">
        <f t="shared" si="83"/>
        <v>460</v>
      </c>
      <c r="BH237" s="307">
        <f t="shared" si="84"/>
        <v>0</v>
      </c>
      <c r="BI237" s="265">
        <f t="shared" si="102"/>
        <v>4280</v>
      </c>
      <c r="BJ237" s="26" t="str">
        <f t="shared" si="85"/>
        <v>HOBITON CREEKSockeye</v>
      </c>
      <c r="BK237" s="26">
        <f t="shared" si="86"/>
        <v>3</v>
      </c>
      <c r="BL237" s="33">
        <f>MAX(G237:AB237)</f>
        <v>203</v>
      </c>
      <c r="BQ237" s="47" t="str">
        <f t="shared" si="87"/>
        <v>HOBITON CREEKSockeye</v>
      </c>
      <c r="BR237" s="49">
        <f t="shared" si="88"/>
        <v>0</v>
      </c>
      <c r="BS237" s="49">
        <f t="shared" si="89"/>
        <v>460</v>
      </c>
      <c r="BT237" s="31">
        <v>2016</v>
      </c>
      <c r="BU237" s="188" t="str">
        <f t="shared" si="90"/>
        <v>Ditidaht/MCWright</v>
      </c>
      <c r="BV237" s="188" t="str">
        <f t="shared" si="91"/>
        <v>Sept 17-23</v>
      </c>
      <c r="BW237" s="188" t="str">
        <f t="shared" si="92"/>
        <v>Oct 29-Nov4</v>
      </c>
      <c r="BX237" s="188" t="str">
        <f t="shared" si="93"/>
        <v xml:space="preserve"> </v>
      </c>
      <c r="BY237" s="50" t="str">
        <f t="shared" si="94"/>
        <v>HOBITON CREEK_Sockeye</v>
      </c>
      <c r="BZ237" s="50">
        <f>IFERROR(VLOOKUP(BY237,'[1]WCVI Esc'!$C$5:$W$555,18,FALSE),"-")</f>
        <v>1299</v>
      </c>
      <c r="CA237" s="50">
        <f t="shared" si="95"/>
        <v>1300</v>
      </c>
      <c r="CB237" s="50">
        <f>IFERROR(VLOOKUP(BY237,'[1]WCVI Esc'!$C$5:$W$555,19,FALSE),"-")</f>
        <v>4281.5</v>
      </c>
      <c r="CC237" s="50">
        <f t="shared" si="96"/>
        <v>4280</v>
      </c>
      <c r="CE237" s="342" t="str">
        <f t="shared" si="97"/>
        <v>HOBITON CREEK_Sockeye</v>
      </c>
      <c r="CF237" s="341">
        <f>IFERROR(VLOOKUP(BY237,'RawPL+D'!$O$8:$AB$503,12,FALSE),"-")</f>
        <v>1</v>
      </c>
      <c r="CG237" s="338">
        <f t="shared" si="98"/>
        <v>0</v>
      </c>
      <c r="CH237" s="341">
        <f>IFERROR(VLOOKUP(BY237,'RawPL+D'!$O$8:$AB$503,13,FALSE),"-")</f>
        <v>2.5</v>
      </c>
      <c r="CI237" s="338">
        <f t="shared" si="99"/>
        <v>0</v>
      </c>
    </row>
    <row r="238" spans="1:87" ht="12.75" hidden="1" customHeight="1" x14ac:dyDescent="0.2">
      <c r="A238" s="28">
        <v>4</v>
      </c>
      <c r="B238" s="28">
        <v>2</v>
      </c>
      <c r="C238" s="11">
        <v>22</v>
      </c>
      <c r="D238" s="13" t="s">
        <v>304</v>
      </c>
      <c r="E238" s="10" t="s">
        <v>25</v>
      </c>
      <c r="F238" s="10" t="s">
        <v>219</v>
      </c>
      <c r="G238" s="10"/>
      <c r="H238" s="10"/>
      <c r="I238" s="10"/>
      <c r="J238" s="10"/>
      <c r="K238" s="575"/>
      <c r="L238" s="152"/>
      <c r="M238" s="641">
        <v>0</v>
      </c>
      <c r="N238" s="62"/>
      <c r="O238" s="642">
        <v>0</v>
      </c>
      <c r="P238" s="177"/>
      <c r="Q238" s="171"/>
      <c r="R238" s="62"/>
      <c r="S238" s="62"/>
      <c r="T238" s="62"/>
      <c r="U238" s="783">
        <v>0</v>
      </c>
      <c r="V238" s="164"/>
      <c r="W238" s="62"/>
      <c r="X238" s="164"/>
      <c r="Y238" s="62"/>
      <c r="Z238" s="64"/>
      <c r="AA238" s="164"/>
      <c r="AB238" s="62"/>
      <c r="AC238" s="62"/>
      <c r="AD238" s="64"/>
      <c r="AE238" s="164"/>
      <c r="AF238" s="62"/>
      <c r="AG238" s="62"/>
      <c r="AH238" s="337"/>
      <c r="AI238" s="337"/>
      <c r="AJ238" s="337"/>
      <c r="AK238" s="337"/>
      <c r="AL238" s="842"/>
      <c r="AM238" s="552"/>
      <c r="AN238" s="841"/>
      <c r="AO238" s="45"/>
      <c r="AP238" s="45"/>
      <c r="AQ238" s="396"/>
      <c r="AR238" s="12"/>
      <c r="AS238" s="485"/>
      <c r="AT238" s="100"/>
      <c r="AU238" s="100"/>
      <c r="AV238" s="100"/>
      <c r="AW238" s="18">
        <v>22</v>
      </c>
      <c r="AX238" s="69" t="s">
        <v>304</v>
      </c>
      <c r="AY238" s="243" t="s">
        <v>25</v>
      </c>
      <c r="AZ238" s="243" t="str">
        <f t="shared" si="78"/>
        <v>Coho</v>
      </c>
      <c r="BA238" s="243" t="s">
        <v>419</v>
      </c>
      <c r="BB238" s="244" t="s">
        <v>624</v>
      </c>
      <c r="BC238" s="43" t="str">
        <f t="shared" si="79"/>
        <v>Oct 29-Nov4</v>
      </c>
      <c r="BD238" s="43">
        <f t="shared" si="80"/>
        <v>3</v>
      </c>
      <c r="BE238" s="193">
        <f t="shared" si="81"/>
        <v>0</v>
      </c>
      <c r="BF238" s="193">
        <f t="shared" si="82"/>
        <v>0</v>
      </c>
      <c r="BG238" s="193">
        <f t="shared" si="83"/>
        <v>0</v>
      </c>
      <c r="BH238" s="307">
        <f t="shared" si="84"/>
        <v>0</v>
      </c>
      <c r="BI238" s="265">
        <f t="shared" si="102"/>
        <v>20</v>
      </c>
      <c r="BJ238" s="26" t="str">
        <f t="shared" si="85"/>
        <v>HOBITON CREEKCoho</v>
      </c>
      <c r="BK238" s="26">
        <f t="shared" si="86"/>
        <v>3</v>
      </c>
      <c r="BL238" s="33">
        <f t="shared" si="101"/>
        <v>0</v>
      </c>
      <c r="BQ238" s="47" t="str">
        <f t="shared" si="87"/>
        <v>HOBITON CREEKCoho</v>
      </c>
      <c r="BR238" s="49">
        <f t="shared" si="88"/>
        <v>0</v>
      </c>
      <c r="BS238" s="49">
        <f t="shared" si="89"/>
        <v>0</v>
      </c>
      <c r="BT238" s="31">
        <v>0</v>
      </c>
      <c r="BU238" s="188" t="str">
        <f t="shared" si="90"/>
        <v>Ditidaht/MCWright</v>
      </c>
      <c r="BV238" s="188" t="str">
        <f t="shared" si="91"/>
        <v>Sept 17-23</v>
      </c>
      <c r="BW238" s="188" t="str">
        <f t="shared" si="92"/>
        <v>Oct 29-Nov4</v>
      </c>
      <c r="BX238" s="188" t="str">
        <f t="shared" si="93"/>
        <v xml:space="preserve"> </v>
      </c>
      <c r="BY238" s="50" t="str">
        <f t="shared" si="94"/>
        <v>HOBITON CREEK_Coho</v>
      </c>
      <c r="BZ238" s="50">
        <f>IFERROR(VLOOKUP(BY238,'[1]WCVI Esc'!$C$5:$W$555,18,FALSE),"-")</f>
        <v>22</v>
      </c>
      <c r="CA238" s="50">
        <f t="shared" si="95"/>
        <v>20</v>
      </c>
      <c r="CB238" s="50">
        <f>IFERROR(VLOOKUP(BY238,'[1]WCVI Esc'!$C$5:$W$555,19,FALSE),"-")</f>
        <v>22</v>
      </c>
      <c r="CC238" s="50">
        <f t="shared" si="96"/>
        <v>20</v>
      </c>
      <c r="CE238" s="342" t="str">
        <f t="shared" si="97"/>
        <v>HOBITON CREEK_Coho</v>
      </c>
      <c r="CF238" s="341">
        <f>IFERROR(VLOOKUP(BY238,'RawPL+D'!$O$8:$AB$503,12,FALSE),"-")</f>
        <v>0</v>
      </c>
      <c r="CG238" s="338">
        <f t="shared" si="98"/>
        <v>0</v>
      </c>
      <c r="CH238" s="341">
        <f>IFERROR(VLOOKUP(BY238,'RawPL+D'!$O$8:$AB$503,13,FALSE),"-")</f>
        <v>4.666666666666667</v>
      </c>
      <c r="CI238" s="338">
        <f t="shared" si="99"/>
        <v>0</v>
      </c>
    </row>
    <row r="239" spans="1:87" ht="12.75" hidden="1" customHeight="1" x14ac:dyDescent="0.2">
      <c r="A239" s="28">
        <v>4</v>
      </c>
      <c r="B239" s="28">
        <v>3</v>
      </c>
      <c r="C239" s="11">
        <v>22</v>
      </c>
      <c r="D239" s="13" t="s">
        <v>304</v>
      </c>
      <c r="E239" s="10" t="s">
        <v>25</v>
      </c>
      <c r="F239" s="10" t="s">
        <v>208</v>
      </c>
      <c r="G239" s="10"/>
      <c r="H239" s="10"/>
      <c r="I239" s="10"/>
      <c r="J239" s="10"/>
      <c r="K239" s="575"/>
      <c r="L239" s="152"/>
      <c r="M239" s="641">
        <v>0</v>
      </c>
      <c r="N239" s="62"/>
      <c r="O239" s="642">
        <v>0</v>
      </c>
      <c r="P239" s="177"/>
      <c r="Q239" s="171"/>
      <c r="R239" s="62"/>
      <c r="S239" s="62"/>
      <c r="T239" s="62"/>
      <c r="U239" s="783">
        <v>0</v>
      </c>
      <c r="V239" s="164"/>
      <c r="W239" s="62"/>
      <c r="X239" s="164"/>
      <c r="Y239" s="62"/>
      <c r="Z239" s="64"/>
      <c r="AA239" s="164"/>
      <c r="AB239" s="62"/>
      <c r="AC239" s="62"/>
      <c r="AD239" s="64"/>
      <c r="AE239" s="164"/>
      <c r="AF239" s="62"/>
      <c r="AG239" s="62"/>
      <c r="AH239" s="337"/>
      <c r="AI239" s="337"/>
      <c r="AJ239" s="337"/>
      <c r="AK239" s="337"/>
      <c r="AL239" s="555"/>
      <c r="AM239" s="552"/>
      <c r="AN239" s="45"/>
      <c r="AO239" s="45"/>
      <c r="AP239" s="45"/>
      <c r="AQ239" s="396"/>
      <c r="AR239" s="100"/>
      <c r="AS239" s="485"/>
      <c r="AT239" s="100"/>
      <c r="AU239" s="100"/>
      <c r="AV239" s="100"/>
      <c r="AW239" s="18">
        <v>22</v>
      </c>
      <c r="AX239" s="69" t="s">
        <v>304</v>
      </c>
      <c r="AY239" s="243" t="s">
        <v>25</v>
      </c>
      <c r="AZ239" s="243" t="str">
        <f t="shared" si="78"/>
        <v>Pink</v>
      </c>
      <c r="BA239" s="243" t="s">
        <v>419</v>
      </c>
      <c r="BB239" s="244" t="s">
        <v>624</v>
      </c>
      <c r="BC239" s="43" t="str">
        <f t="shared" si="79"/>
        <v>Oct 29-Nov4</v>
      </c>
      <c r="BD239" s="43">
        <f t="shared" si="80"/>
        <v>3</v>
      </c>
      <c r="BE239" s="193">
        <f t="shared" si="81"/>
        <v>0</v>
      </c>
      <c r="BF239" s="193">
        <f t="shared" si="82"/>
        <v>0</v>
      </c>
      <c r="BG239" s="193">
        <f t="shared" si="83"/>
        <v>0</v>
      </c>
      <c r="BH239" s="307" t="str">
        <f t="shared" si="84"/>
        <v>-</v>
      </c>
      <c r="BI239" s="265" t="str">
        <f t="shared" si="102"/>
        <v>-</v>
      </c>
      <c r="BJ239" s="26" t="str">
        <f t="shared" si="85"/>
        <v>HOBITON CREEKPink</v>
      </c>
      <c r="BK239" s="26">
        <f t="shared" si="86"/>
        <v>3</v>
      </c>
      <c r="BL239" s="33">
        <f t="shared" si="101"/>
        <v>0</v>
      </c>
      <c r="BQ239" s="47" t="str">
        <f t="shared" si="87"/>
        <v>HOBITON CREEKPink</v>
      </c>
      <c r="BR239" s="49">
        <f t="shared" si="88"/>
        <v>0</v>
      </c>
      <c r="BS239" s="49">
        <f t="shared" si="89"/>
        <v>0</v>
      </c>
      <c r="BT239" s="31">
        <v>0</v>
      </c>
      <c r="BU239" s="188" t="str">
        <f t="shared" si="90"/>
        <v>Ditidaht/MCWright</v>
      </c>
      <c r="BV239" s="188" t="str">
        <f t="shared" si="91"/>
        <v>Sept 17-23</v>
      </c>
      <c r="BW239" s="188" t="str">
        <f t="shared" si="92"/>
        <v>Oct 29-Nov4</v>
      </c>
      <c r="BX239" s="188" t="str">
        <f t="shared" si="93"/>
        <v xml:space="preserve"> </v>
      </c>
      <c r="BY239" s="50" t="str">
        <f t="shared" si="94"/>
        <v>HOBITON CREEK_Pink</v>
      </c>
      <c r="BZ239" s="50" t="str">
        <f>IFERROR(VLOOKUP(BY239,'[1]WCVI Esc'!$C$5:$W$555,18,FALSE),"-")</f>
        <v>-</v>
      </c>
      <c r="CA239" s="50" t="str">
        <f t="shared" si="95"/>
        <v>-</v>
      </c>
      <c r="CB239" s="50" t="str">
        <f>IFERROR(VLOOKUP(BY239,'[1]WCVI Esc'!$C$5:$W$555,19,FALSE),"-")</f>
        <v>-</v>
      </c>
      <c r="CC239" s="50" t="str">
        <f t="shared" si="96"/>
        <v>-</v>
      </c>
      <c r="CE239" s="342" t="str">
        <f t="shared" si="97"/>
        <v>HOBITON CREEK_Pink</v>
      </c>
      <c r="CF239" s="341" t="str">
        <f>IFERROR(VLOOKUP(BY239,'RawPL+D'!$O$8:$AB$503,12,FALSE),"-")</f>
        <v>-</v>
      </c>
      <c r="CG239" s="338" t="str">
        <f t="shared" si="98"/>
        <v>-</v>
      </c>
      <c r="CH239" s="341" t="str">
        <f>IFERROR(VLOOKUP(BY239,'RawPL+D'!$O$8:$AB$503,13,FALSE),"-")</f>
        <v>-</v>
      </c>
      <c r="CI239" s="338" t="str">
        <f t="shared" si="99"/>
        <v>-</v>
      </c>
    </row>
    <row r="240" spans="1:87" ht="12.75" hidden="1" customHeight="1" x14ac:dyDescent="0.2">
      <c r="A240" s="28">
        <v>4</v>
      </c>
      <c r="B240" s="28">
        <v>4</v>
      </c>
      <c r="C240" s="11">
        <v>22</v>
      </c>
      <c r="D240" s="13" t="s">
        <v>304</v>
      </c>
      <c r="E240" s="10" t="s">
        <v>25</v>
      </c>
      <c r="F240" s="10" t="s">
        <v>209</v>
      </c>
      <c r="G240" s="10"/>
      <c r="H240" s="10"/>
      <c r="I240" s="10"/>
      <c r="J240" s="10"/>
      <c r="K240" s="575"/>
      <c r="L240" s="152"/>
      <c r="M240" s="641">
        <v>0</v>
      </c>
      <c r="N240" s="62"/>
      <c r="O240" s="642">
        <v>0</v>
      </c>
      <c r="P240" s="177"/>
      <c r="Q240" s="171"/>
      <c r="R240" s="62"/>
      <c r="S240" s="62"/>
      <c r="T240" s="431"/>
      <c r="U240" s="786">
        <f>2076+18</f>
        <v>2094</v>
      </c>
      <c r="V240" s="429"/>
      <c r="W240" s="431"/>
      <c r="X240" s="421"/>
      <c r="Y240" s="62"/>
      <c r="Z240" s="64"/>
      <c r="AA240" s="164"/>
      <c r="AB240" s="62"/>
      <c r="AC240" s="62"/>
      <c r="AD240" s="64"/>
      <c r="AE240" s="164"/>
      <c r="AF240" s="62"/>
      <c r="AG240" s="62"/>
      <c r="AH240" s="337"/>
      <c r="AI240" s="337"/>
      <c r="AJ240" s="337"/>
      <c r="AK240" s="337"/>
      <c r="AL240" s="842"/>
      <c r="AM240" s="552"/>
      <c r="AN240" s="841"/>
      <c r="AO240" s="45"/>
      <c r="AP240" s="45"/>
      <c r="AQ240" s="396">
        <f>AL240/BI240</f>
        <v>0</v>
      </c>
      <c r="AR240" s="485">
        <f>BL240/BI240</f>
        <v>0.59828571428571431</v>
      </c>
      <c r="AS240" s="485"/>
      <c r="AT240" s="100"/>
      <c r="AU240" s="100"/>
      <c r="AV240" s="100"/>
      <c r="AW240" s="18">
        <v>22</v>
      </c>
      <c r="AX240" s="69" t="s">
        <v>304</v>
      </c>
      <c r="AY240" s="243" t="s">
        <v>25</v>
      </c>
      <c r="AZ240" s="243" t="str">
        <f t="shared" si="78"/>
        <v>Chum</v>
      </c>
      <c r="BA240" s="243" t="s">
        <v>419</v>
      </c>
      <c r="BB240" s="244" t="s">
        <v>624</v>
      </c>
      <c r="BC240" s="43" t="str">
        <f t="shared" si="79"/>
        <v>Oct 29-Nov4</v>
      </c>
      <c r="BD240" s="43">
        <f t="shared" si="80"/>
        <v>3</v>
      </c>
      <c r="BE240" s="193">
        <f t="shared" si="81"/>
        <v>2094</v>
      </c>
      <c r="BF240" s="193">
        <f t="shared" si="82"/>
        <v>0</v>
      </c>
      <c r="BG240" s="193">
        <f t="shared" si="83"/>
        <v>0</v>
      </c>
      <c r="BH240" s="307">
        <f t="shared" si="84"/>
        <v>490</v>
      </c>
      <c r="BI240" s="265">
        <f t="shared" si="102"/>
        <v>3500</v>
      </c>
      <c r="BJ240" s="26" t="str">
        <f t="shared" si="85"/>
        <v>HOBITON CREEKChum</v>
      </c>
      <c r="BK240" s="26">
        <f t="shared" si="86"/>
        <v>3</v>
      </c>
      <c r="BL240" s="33">
        <f t="shared" si="101"/>
        <v>2094</v>
      </c>
      <c r="BQ240" s="47" t="str">
        <f t="shared" si="87"/>
        <v>HOBITON CREEKChum</v>
      </c>
      <c r="BR240" s="49">
        <f t="shared" si="88"/>
        <v>0</v>
      </c>
      <c r="BS240" s="49">
        <f t="shared" si="89"/>
        <v>0</v>
      </c>
      <c r="BT240" s="31">
        <v>2016</v>
      </c>
      <c r="BU240" s="188" t="str">
        <f t="shared" si="90"/>
        <v>Ditidaht/MCWright</v>
      </c>
      <c r="BV240" s="188" t="str">
        <f t="shared" si="91"/>
        <v>Sept 17-23</v>
      </c>
      <c r="BW240" s="188" t="str">
        <f t="shared" si="92"/>
        <v>Oct 29-Nov4</v>
      </c>
      <c r="BX240" s="188" t="str">
        <f t="shared" si="93"/>
        <v xml:space="preserve"> </v>
      </c>
      <c r="BY240" s="50" t="str">
        <f t="shared" si="94"/>
        <v>HOBITON CREEK_Chum</v>
      </c>
      <c r="BZ240" s="50">
        <f>IFERROR(VLOOKUP(BY240,'[1]WCVI Esc'!$C$5:$W$555,18,FALSE),"-")</f>
        <v>2114</v>
      </c>
      <c r="CA240" s="50">
        <f t="shared" si="95"/>
        <v>2110</v>
      </c>
      <c r="CB240" s="50">
        <f>IFERROR(VLOOKUP(BY240,'[1]WCVI Esc'!$C$5:$W$555,19,FALSE),"-")</f>
        <v>3495.1111111111113</v>
      </c>
      <c r="CC240" s="50">
        <f t="shared" si="96"/>
        <v>3500</v>
      </c>
      <c r="CE240" s="342" t="str">
        <f t="shared" si="97"/>
        <v>HOBITON CREEK_Chum</v>
      </c>
      <c r="CF240" s="341">
        <f>IFERROR(VLOOKUP(BY240,'RawPL+D'!$O$8:$AB$503,12,FALSE),"-")</f>
        <v>232</v>
      </c>
      <c r="CG240" s="338">
        <f t="shared" si="98"/>
        <v>230</v>
      </c>
      <c r="CH240" s="341">
        <f>IFERROR(VLOOKUP(BY240,'RawPL+D'!$O$8:$AB$503,13,FALSE),"-")</f>
        <v>485</v>
      </c>
      <c r="CI240" s="338">
        <f t="shared" si="99"/>
        <v>490</v>
      </c>
    </row>
    <row r="241" spans="1:87" ht="12.75" hidden="1" customHeight="1" x14ac:dyDescent="0.2">
      <c r="A241" s="28">
        <v>4</v>
      </c>
      <c r="B241" s="28">
        <v>5</v>
      </c>
      <c r="C241" s="11">
        <v>22</v>
      </c>
      <c r="D241" s="13" t="s">
        <v>304</v>
      </c>
      <c r="E241" s="10" t="s">
        <v>25</v>
      </c>
      <c r="F241" s="10" t="s">
        <v>210</v>
      </c>
      <c r="G241" s="10"/>
      <c r="H241" s="10"/>
      <c r="I241" s="10"/>
      <c r="J241" s="10"/>
      <c r="K241" s="575"/>
      <c r="L241" s="152"/>
      <c r="M241" s="641">
        <v>0</v>
      </c>
      <c r="N241" s="62"/>
      <c r="O241" s="642">
        <v>0</v>
      </c>
      <c r="P241" s="177"/>
      <c r="Q241" s="171"/>
      <c r="R241" s="62"/>
      <c r="S241" s="62"/>
      <c r="T241" s="62"/>
      <c r="U241" s="783">
        <v>0</v>
      </c>
      <c r="V241" s="164"/>
      <c r="W241" s="62"/>
      <c r="X241" s="164"/>
      <c r="Y241" s="62"/>
      <c r="Z241" s="64"/>
      <c r="AA241" s="164"/>
      <c r="AB241" s="62"/>
      <c r="AC241" s="62"/>
      <c r="AD241" s="64"/>
      <c r="AE241" s="164"/>
      <c r="AF241" s="62"/>
      <c r="AG241" s="62"/>
      <c r="AH241" s="337"/>
      <c r="AI241" s="337"/>
      <c r="AJ241" s="337"/>
      <c r="AK241" s="337"/>
      <c r="AL241" s="555"/>
      <c r="AM241" s="552"/>
      <c r="AN241" s="45"/>
      <c r="AO241" s="45"/>
      <c r="AP241" s="45"/>
      <c r="AQ241" s="396"/>
      <c r="AR241" s="100"/>
      <c r="AS241" s="485"/>
      <c r="AT241" s="100"/>
      <c r="AU241" s="100"/>
      <c r="AV241" s="100"/>
      <c r="AW241" s="18">
        <v>22</v>
      </c>
      <c r="AX241" s="69" t="s">
        <v>304</v>
      </c>
      <c r="AY241" s="243" t="s">
        <v>25</v>
      </c>
      <c r="AZ241" s="243" t="str">
        <f t="shared" si="78"/>
        <v>Chinook</v>
      </c>
      <c r="BA241" s="243" t="s">
        <v>419</v>
      </c>
      <c r="BB241" s="244" t="s">
        <v>624</v>
      </c>
      <c r="BC241" s="43" t="str">
        <f t="shared" si="79"/>
        <v>Oct 29-Nov4</v>
      </c>
      <c r="BD241" s="43">
        <f t="shared" si="80"/>
        <v>3</v>
      </c>
      <c r="BE241" s="193">
        <f t="shared" si="81"/>
        <v>0</v>
      </c>
      <c r="BF241" s="193">
        <f t="shared" si="82"/>
        <v>0</v>
      </c>
      <c r="BG241" s="193">
        <f t="shared" si="83"/>
        <v>0</v>
      </c>
      <c r="BH241" s="307" t="str">
        <f t="shared" si="84"/>
        <v>-</v>
      </c>
      <c r="BI241" s="265"/>
      <c r="BJ241" s="26" t="str">
        <f t="shared" si="85"/>
        <v>HOBITON CREEKChinook</v>
      </c>
      <c r="BK241" s="26">
        <f t="shared" si="86"/>
        <v>3</v>
      </c>
      <c r="BL241" s="33">
        <f t="shared" si="101"/>
        <v>0</v>
      </c>
      <c r="BQ241" s="47" t="str">
        <f t="shared" si="87"/>
        <v>HOBITON CREEKChinook</v>
      </c>
      <c r="BR241" s="49">
        <f t="shared" si="88"/>
        <v>0</v>
      </c>
      <c r="BS241" s="49">
        <f t="shared" si="89"/>
        <v>0</v>
      </c>
      <c r="BT241" s="31">
        <v>0</v>
      </c>
      <c r="BU241" s="188" t="str">
        <f t="shared" si="90"/>
        <v>Ditidaht/MCWright</v>
      </c>
      <c r="BV241" s="188" t="str">
        <f t="shared" si="91"/>
        <v>Sept 17-23</v>
      </c>
      <c r="BW241" s="188" t="str">
        <f t="shared" si="92"/>
        <v>Oct 29-Nov4</v>
      </c>
      <c r="BX241" s="188" t="str">
        <f t="shared" si="93"/>
        <v xml:space="preserve"> </v>
      </c>
      <c r="BY241" s="50" t="str">
        <f t="shared" si="94"/>
        <v>HOBITON CREEK_Chinook</v>
      </c>
      <c r="BZ241" s="50" t="str">
        <f>IFERROR(VLOOKUP(BY241,'[1]WCVI Esc'!$C$5:$W$555,18,FALSE),"-")</f>
        <v>-</v>
      </c>
      <c r="CA241" s="50" t="str">
        <f t="shared" si="95"/>
        <v>-</v>
      </c>
      <c r="CB241" s="50" t="str">
        <f>IFERROR(VLOOKUP(BY241,'[1]WCVI Esc'!$C$5:$W$555,19,FALSE),"-")</f>
        <v>-</v>
      </c>
      <c r="CC241" s="50" t="str">
        <f t="shared" si="96"/>
        <v>-</v>
      </c>
      <c r="CE241" s="342" t="str">
        <f t="shared" si="97"/>
        <v>HOBITON CREEK_Chinook</v>
      </c>
      <c r="CF241" s="341" t="str">
        <f>IFERROR(VLOOKUP(BY241,'RawPL+D'!$O$8:$AB$503,12,FALSE),"-")</f>
        <v>-</v>
      </c>
      <c r="CG241" s="338" t="str">
        <f t="shared" si="98"/>
        <v>-</v>
      </c>
      <c r="CH241" s="341" t="str">
        <f>IFERROR(VLOOKUP(BY241,'RawPL+D'!$O$8:$AB$503,13,FALSE),"-")</f>
        <v>-</v>
      </c>
      <c r="CI241" s="338" t="str">
        <f t="shared" si="99"/>
        <v>-</v>
      </c>
    </row>
    <row r="242" spans="1:87" ht="12.75" hidden="1" customHeight="1" x14ac:dyDescent="0.2">
      <c r="A242" s="28">
        <v>4</v>
      </c>
      <c r="B242" s="28">
        <v>6</v>
      </c>
      <c r="C242" s="11">
        <v>22</v>
      </c>
      <c r="D242" s="13" t="s">
        <v>304</v>
      </c>
      <c r="E242" s="10" t="s">
        <v>25</v>
      </c>
      <c r="F242" s="10" t="s">
        <v>211</v>
      </c>
      <c r="G242" s="10"/>
      <c r="H242" s="10"/>
      <c r="I242" s="10"/>
      <c r="J242" s="10"/>
      <c r="K242" s="575"/>
      <c r="L242" s="152"/>
      <c r="M242" s="641">
        <v>0</v>
      </c>
      <c r="N242" s="62"/>
      <c r="O242" s="642">
        <v>0</v>
      </c>
      <c r="P242" s="177"/>
      <c r="Q242" s="171"/>
      <c r="R242" s="62"/>
      <c r="S242" s="62"/>
      <c r="T242" s="62"/>
      <c r="U242" s="783">
        <v>0</v>
      </c>
      <c r="V242" s="164"/>
      <c r="W242" s="62"/>
      <c r="X242" s="164"/>
      <c r="Y242" s="62"/>
      <c r="Z242" s="64"/>
      <c r="AA242" s="164"/>
      <c r="AB242" s="62"/>
      <c r="AC242" s="62"/>
      <c r="AD242" s="64"/>
      <c r="AE242" s="164"/>
      <c r="AF242" s="62"/>
      <c r="AG242" s="62"/>
      <c r="AH242" s="337"/>
      <c r="AI242" s="337"/>
      <c r="AJ242" s="337"/>
      <c r="AK242" s="337"/>
      <c r="AL242" s="555"/>
      <c r="AM242" s="552"/>
      <c r="AN242" s="45"/>
      <c r="AO242" s="45"/>
      <c r="AP242" s="45"/>
      <c r="AQ242" s="396"/>
      <c r="AR242" s="100"/>
      <c r="AS242" s="485"/>
      <c r="AT242" s="100"/>
      <c r="AU242" s="100"/>
      <c r="AV242" s="100"/>
      <c r="AW242" s="18">
        <v>22</v>
      </c>
      <c r="AX242" s="69" t="s">
        <v>304</v>
      </c>
      <c r="AY242" s="243" t="s">
        <v>25</v>
      </c>
      <c r="AZ242" s="243" t="str">
        <f t="shared" si="78"/>
        <v>Steelhead</v>
      </c>
      <c r="BA242" s="243" t="s">
        <v>419</v>
      </c>
      <c r="BB242" s="244" t="s">
        <v>624</v>
      </c>
      <c r="BC242" s="43" t="str">
        <f t="shared" si="79"/>
        <v>Oct 29-Nov4</v>
      </c>
      <c r="BD242" s="43">
        <f t="shared" si="80"/>
        <v>3</v>
      </c>
      <c r="BE242" s="193">
        <f t="shared" si="81"/>
        <v>0</v>
      </c>
      <c r="BF242" s="193">
        <f t="shared" si="82"/>
        <v>0</v>
      </c>
      <c r="BG242" s="193">
        <f t="shared" si="83"/>
        <v>0</v>
      </c>
      <c r="BH242" s="307" t="str">
        <f t="shared" si="84"/>
        <v>-</v>
      </c>
      <c r="BI242" s="265" t="str">
        <f>CC242</f>
        <v>-</v>
      </c>
      <c r="BJ242" s="26" t="str">
        <f t="shared" si="85"/>
        <v>HOBITON CREEKSteelhead</v>
      </c>
      <c r="BK242" s="26">
        <f t="shared" si="86"/>
        <v>3</v>
      </c>
      <c r="BL242" s="33">
        <f t="shared" si="101"/>
        <v>0</v>
      </c>
      <c r="BQ242" s="47" t="str">
        <f t="shared" si="87"/>
        <v>HOBITON CREEKSteelhead</v>
      </c>
      <c r="BR242" s="49">
        <f t="shared" si="88"/>
        <v>0</v>
      </c>
      <c r="BS242" s="49">
        <f t="shared" si="89"/>
        <v>0</v>
      </c>
      <c r="BT242" s="31">
        <v>0</v>
      </c>
      <c r="BU242" s="188" t="str">
        <f t="shared" si="90"/>
        <v>Ditidaht/MCWright</v>
      </c>
      <c r="BV242" s="188" t="str">
        <f t="shared" si="91"/>
        <v>Sept 17-23</v>
      </c>
      <c r="BW242" s="188" t="str">
        <f t="shared" si="92"/>
        <v>Oct 29-Nov4</v>
      </c>
      <c r="BX242" s="188" t="str">
        <f t="shared" si="93"/>
        <v xml:space="preserve"> </v>
      </c>
      <c r="BY242" s="50" t="str">
        <f t="shared" si="94"/>
        <v>HOBITON CREEK_Steelhead</v>
      </c>
      <c r="BZ242" s="50" t="str">
        <f>IFERROR(VLOOKUP(BY242,'[1]WCVI Esc'!$C$5:$W$555,18,FALSE),"-")</f>
        <v>-</v>
      </c>
      <c r="CA242" s="50" t="str">
        <f t="shared" si="95"/>
        <v>-</v>
      </c>
      <c r="CB242" s="50" t="str">
        <f>IFERROR(VLOOKUP(BY242,'[1]WCVI Esc'!$C$5:$W$555,19,FALSE),"-")</f>
        <v>-</v>
      </c>
      <c r="CC242" s="50" t="str">
        <f t="shared" si="96"/>
        <v>-</v>
      </c>
      <c r="CE242" s="342" t="str">
        <f t="shared" si="97"/>
        <v>HOBITON CREEK_Steelhead</v>
      </c>
      <c r="CF242" s="341" t="str">
        <f>IFERROR(VLOOKUP(BY242,'RawPL+D'!$O$8:$AB$503,12,FALSE),"-")</f>
        <v>-</v>
      </c>
      <c r="CG242" s="338" t="str">
        <f t="shared" si="98"/>
        <v>-</v>
      </c>
      <c r="CH242" s="341" t="str">
        <f>IFERROR(VLOOKUP(BY242,'RawPL+D'!$O$8:$AB$503,13,FALSE),"-")</f>
        <v>-</v>
      </c>
      <c r="CI242" s="338" t="str">
        <f t="shared" si="99"/>
        <v>-</v>
      </c>
    </row>
    <row r="243" spans="1:87" ht="12.75" hidden="1" customHeight="1" x14ac:dyDescent="0.2">
      <c r="A243" s="28">
        <v>4</v>
      </c>
      <c r="B243" s="28">
        <v>1</v>
      </c>
      <c r="C243" s="11">
        <v>22</v>
      </c>
      <c r="D243" s="13" t="s">
        <v>304</v>
      </c>
      <c r="E243" s="10" t="s">
        <v>82</v>
      </c>
      <c r="F243" s="10" t="s">
        <v>207</v>
      </c>
      <c r="G243" s="10"/>
      <c r="H243" s="10"/>
      <c r="I243" s="10"/>
      <c r="J243" s="10"/>
      <c r="K243" s="575"/>
      <c r="L243" s="152"/>
      <c r="M243" s="164"/>
      <c r="N243" s="64"/>
      <c r="O243" s="62"/>
      <c r="P243" s="62"/>
      <c r="Q243" s="171"/>
      <c r="R243" s="62"/>
      <c r="S243" s="62"/>
      <c r="T243" s="62"/>
      <c r="U243" s="64"/>
      <c r="V243" s="164"/>
      <c r="W243" s="62"/>
      <c r="X243" s="62"/>
      <c r="Y243" s="62"/>
      <c r="Z243" s="64"/>
      <c r="AA243" s="164"/>
      <c r="AB243" s="62"/>
      <c r="AC243" s="62"/>
      <c r="AD243" s="64"/>
      <c r="AE243" s="164"/>
      <c r="AF243" s="62"/>
      <c r="AG243" s="62"/>
      <c r="AH243" s="337"/>
      <c r="AI243" s="337"/>
      <c r="AJ243" s="337"/>
      <c r="AK243" s="337"/>
      <c r="AL243" s="555"/>
      <c r="AM243" s="552"/>
      <c r="AN243" s="45"/>
      <c r="AO243" s="45"/>
      <c r="AP243" s="45"/>
      <c r="AQ243" s="396"/>
      <c r="AR243" s="100"/>
      <c r="AS243" s="485"/>
      <c r="AT243" s="100"/>
      <c r="AU243" s="100"/>
      <c r="AV243" s="100"/>
      <c r="AW243" s="18">
        <v>22</v>
      </c>
      <c r="AX243" s="69" t="s">
        <v>304</v>
      </c>
      <c r="AY243" s="243" t="s">
        <v>82</v>
      </c>
      <c r="AZ243" s="243" t="str">
        <f t="shared" si="78"/>
        <v>Sockeye</v>
      </c>
      <c r="BA243" s="243" t="s">
        <v>419</v>
      </c>
      <c r="BB243" s="244" t="s">
        <v>494</v>
      </c>
      <c r="BC243" s="43" t="str">
        <f t="shared" si="79"/>
        <v>-</v>
      </c>
      <c r="BD243" s="43">
        <f t="shared" si="80"/>
        <v>0</v>
      </c>
      <c r="BE243" s="193">
        <f t="shared" si="81"/>
        <v>0</v>
      </c>
      <c r="BF243" s="193">
        <f t="shared" si="82"/>
        <v>0</v>
      </c>
      <c r="BG243" s="193">
        <f t="shared" si="83"/>
        <v>0</v>
      </c>
      <c r="BH243" s="307" t="str">
        <f t="shared" si="84"/>
        <v>-</v>
      </c>
      <c r="BI243" s="265"/>
      <c r="BJ243" s="26" t="str">
        <f t="shared" si="85"/>
        <v>JASPER CREEKSockeye</v>
      </c>
      <c r="BK243" s="26">
        <f t="shared" si="86"/>
        <v>0</v>
      </c>
      <c r="BL243" s="33">
        <f t="shared" si="101"/>
        <v>0</v>
      </c>
      <c r="BQ243" s="47" t="str">
        <f t="shared" si="87"/>
        <v>JASPER CREEKSockeye</v>
      </c>
      <c r="BR243" s="49">
        <f t="shared" si="88"/>
        <v>0</v>
      </c>
      <c r="BS243" s="49">
        <f t="shared" si="89"/>
        <v>0</v>
      </c>
      <c r="BT243" s="31">
        <v>0</v>
      </c>
      <c r="BU243" s="188" t="str">
        <f t="shared" si="90"/>
        <v>MCWright/Nitinat</v>
      </c>
      <c r="BV243" s="188" t="str">
        <f t="shared" si="91"/>
        <v xml:space="preserve"> </v>
      </c>
      <c r="BW243" s="188" t="str">
        <f t="shared" si="92"/>
        <v xml:space="preserve"> </v>
      </c>
      <c r="BX243" s="188" t="str">
        <f t="shared" si="93"/>
        <v xml:space="preserve"> </v>
      </c>
      <c r="BY243" s="50" t="str">
        <f t="shared" si="94"/>
        <v>JASPER CREEK_Sockeye</v>
      </c>
      <c r="BZ243" s="50" t="str">
        <f>IFERROR(VLOOKUP(BY243,'[1]WCVI Esc'!$C$5:$W$555,18,FALSE),"-")</f>
        <v>-</v>
      </c>
      <c r="CA243" s="50" t="str">
        <f t="shared" si="95"/>
        <v>-</v>
      </c>
      <c r="CB243" s="50" t="str">
        <f>IFERROR(VLOOKUP(BY243,'[1]WCVI Esc'!$C$5:$W$555,19,FALSE),"-")</f>
        <v>-</v>
      </c>
      <c r="CC243" s="50" t="str">
        <f t="shared" si="96"/>
        <v>-</v>
      </c>
      <c r="CE243" s="342" t="str">
        <f t="shared" si="97"/>
        <v>JASPER CREEK_Sockeye</v>
      </c>
      <c r="CF243" s="341" t="str">
        <f>IFERROR(VLOOKUP(BY243,'RawPL+D'!$O$8:$AB$503,12,FALSE),"-")</f>
        <v>-</v>
      </c>
      <c r="CG243" s="338" t="str">
        <f t="shared" si="98"/>
        <v>-</v>
      </c>
      <c r="CH243" s="341" t="str">
        <f>IFERROR(VLOOKUP(BY243,'RawPL+D'!$O$8:$AB$503,13,FALSE),"-")</f>
        <v>-</v>
      </c>
      <c r="CI243" s="338" t="str">
        <f t="shared" si="99"/>
        <v>-</v>
      </c>
    </row>
    <row r="244" spans="1:87" ht="12.75" hidden="1" customHeight="1" x14ac:dyDescent="0.2">
      <c r="A244" s="28">
        <v>4</v>
      </c>
      <c r="B244" s="28">
        <v>2</v>
      </c>
      <c r="C244" s="11">
        <v>22</v>
      </c>
      <c r="D244" s="13" t="s">
        <v>304</v>
      </c>
      <c r="E244" s="10" t="s">
        <v>82</v>
      </c>
      <c r="F244" s="10" t="s">
        <v>219</v>
      </c>
      <c r="G244" s="10"/>
      <c r="H244" s="10"/>
      <c r="I244" s="10"/>
      <c r="J244" s="10"/>
      <c r="K244" s="575"/>
      <c r="L244" s="152"/>
      <c r="M244" s="164"/>
      <c r="N244" s="64"/>
      <c r="O244" s="62"/>
      <c r="P244" s="62"/>
      <c r="Q244" s="171"/>
      <c r="R244" s="62"/>
      <c r="S244" s="62"/>
      <c r="T244" s="62"/>
      <c r="U244" s="64"/>
      <c r="V244" s="164"/>
      <c r="W244" s="62"/>
      <c r="X244" s="62"/>
      <c r="Y244" s="62"/>
      <c r="Z244" s="64"/>
      <c r="AA244" s="164"/>
      <c r="AB244" s="62"/>
      <c r="AC244" s="62"/>
      <c r="AD244" s="64"/>
      <c r="AE244" s="164"/>
      <c r="AF244" s="62"/>
      <c r="AG244" s="62"/>
      <c r="AH244" s="337"/>
      <c r="AI244" s="337"/>
      <c r="AJ244" s="337"/>
      <c r="AK244" s="337"/>
      <c r="AL244" s="555"/>
      <c r="AM244" s="552"/>
      <c r="AN244" s="552"/>
      <c r="AO244" s="45"/>
      <c r="AP244" s="45"/>
      <c r="AQ244" s="396"/>
      <c r="AR244" s="100"/>
      <c r="AS244" s="485"/>
      <c r="AT244" s="100"/>
      <c r="AU244" s="100"/>
      <c r="AV244" s="100"/>
      <c r="AW244" s="18">
        <v>22</v>
      </c>
      <c r="AX244" s="69" t="s">
        <v>304</v>
      </c>
      <c r="AY244" s="243" t="s">
        <v>82</v>
      </c>
      <c r="AZ244" s="243" t="str">
        <f t="shared" si="78"/>
        <v>Coho</v>
      </c>
      <c r="BA244" s="243" t="s">
        <v>419</v>
      </c>
      <c r="BB244" s="244" t="s">
        <v>494</v>
      </c>
      <c r="BC244" s="43" t="str">
        <f t="shared" si="79"/>
        <v>-</v>
      </c>
      <c r="BD244" s="43">
        <f t="shared" si="80"/>
        <v>0</v>
      </c>
      <c r="BE244" s="193">
        <f t="shared" si="81"/>
        <v>0</v>
      </c>
      <c r="BF244" s="193">
        <f t="shared" si="82"/>
        <v>0</v>
      </c>
      <c r="BG244" s="193">
        <f t="shared" si="83"/>
        <v>0</v>
      </c>
      <c r="BH244" s="307" t="str">
        <f t="shared" si="84"/>
        <v>-</v>
      </c>
      <c r="BI244" s="265"/>
      <c r="BJ244" s="26" t="str">
        <f t="shared" si="85"/>
        <v>JASPER CREEKCoho</v>
      </c>
      <c r="BK244" s="26">
        <f t="shared" si="86"/>
        <v>0</v>
      </c>
      <c r="BL244" s="33">
        <f t="shared" si="101"/>
        <v>0</v>
      </c>
      <c r="BQ244" s="47" t="str">
        <f t="shared" si="87"/>
        <v>JASPER CREEKCoho</v>
      </c>
      <c r="BR244" s="49">
        <f t="shared" si="88"/>
        <v>0</v>
      </c>
      <c r="BS244" s="49">
        <f t="shared" si="89"/>
        <v>0</v>
      </c>
      <c r="BT244" s="31">
        <v>0</v>
      </c>
      <c r="BU244" s="188" t="str">
        <f t="shared" si="90"/>
        <v>MCWright/Nitinat</v>
      </c>
      <c r="BV244" s="188" t="str">
        <f t="shared" si="91"/>
        <v xml:space="preserve"> </v>
      </c>
      <c r="BW244" s="188" t="str">
        <f t="shared" si="92"/>
        <v xml:space="preserve"> </v>
      </c>
      <c r="BX244" s="188" t="str">
        <f t="shared" si="93"/>
        <v xml:space="preserve"> </v>
      </c>
      <c r="BY244" s="50" t="str">
        <f t="shared" si="94"/>
        <v>JASPER CREEK_Coho</v>
      </c>
      <c r="BZ244" s="50" t="str">
        <f>IFERROR(VLOOKUP(BY244,'[1]WCVI Esc'!$C$5:$W$555,18,FALSE),"-")</f>
        <v>-</v>
      </c>
      <c r="CA244" s="50" t="str">
        <f t="shared" si="95"/>
        <v>-</v>
      </c>
      <c r="CB244" s="50" t="str">
        <f>IFERROR(VLOOKUP(BY244,'[1]WCVI Esc'!$C$5:$W$555,19,FALSE),"-")</f>
        <v>-</v>
      </c>
      <c r="CC244" s="50" t="str">
        <f t="shared" si="96"/>
        <v>-</v>
      </c>
      <c r="CE244" s="342" t="str">
        <f t="shared" si="97"/>
        <v>JASPER CREEK_Coho</v>
      </c>
      <c r="CF244" s="341" t="str">
        <f>IFERROR(VLOOKUP(BY244,'RawPL+D'!$O$8:$AB$503,12,FALSE),"-")</f>
        <v>-</v>
      </c>
      <c r="CG244" s="338" t="str">
        <f t="shared" si="98"/>
        <v>-</v>
      </c>
      <c r="CH244" s="341" t="str">
        <f>IFERROR(VLOOKUP(BY244,'RawPL+D'!$O$8:$AB$503,13,FALSE),"-")</f>
        <v>-</v>
      </c>
      <c r="CI244" s="338" t="str">
        <f t="shared" si="99"/>
        <v>-</v>
      </c>
    </row>
    <row r="245" spans="1:87" ht="12.75" hidden="1" customHeight="1" x14ac:dyDescent="0.2">
      <c r="A245" s="28">
        <v>4</v>
      </c>
      <c r="B245" s="28">
        <v>3</v>
      </c>
      <c r="C245" s="11">
        <v>22</v>
      </c>
      <c r="D245" s="13" t="s">
        <v>304</v>
      </c>
      <c r="E245" s="10" t="s">
        <v>82</v>
      </c>
      <c r="F245" s="10" t="s">
        <v>208</v>
      </c>
      <c r="G245" s="10"/>
      <c r="H245" s="10"/>
      <c r="I245" s="10"/>
      <c r="J245" s="10"/>
      <c r="K245" s="575"/>
      <c r="L245" s="152"/>
      <c r="M245" s="164"/>
      <c r="N245" s="64"/>
      <c r="O245" s="62"/>
      <c r="P245" s="62"/>
      <c r="Q245" s="171"/>
      <c r="R245" s="62"/>
      <c r="S245" s="62"/>
      <c r="T245" s="62"/>
      <c r="U245" s="64"/>
      <c r="V245" s="164"/>
      <c r="W245" s="62"/>
      <c r="X245" s="62"/>
      <c r="Y245" s="62"/>
      <c r="Z245" s="64"/>
      <c r="AA245" s="164"/>
      <c r="AB245" s="62"/>
      <c r="AC245" s="62"/>
      <c r="AD245" s="64"/>
      <c r="AE245" s="164"/>
      <c r="AF245" s="62"/>
      <c r="AG245" s="62"/>
      <c r="AH245" s="337"/>
      <c r="AI245" s="337"/>
      <c r="AJ245" s="337"/>
      <c r="AK245" s="337"/>
      <c r="AL245" s="555"/>
      <c r="AM245" s="552"/>
      <c r="AN245" s="45"/>
      <c r="AO245" s="45"/>
      <c r="AP245" s="45"/>
      <c r="AQ245" s="396"/>
      <c r="AR245" s="100"/>
      <c r="AS245" s="485"/>
      <c r="AT245" s="100"/>
      <c r="AU245" s="100"/>
      <c r="AV245" s="100"/>
      <c r="AW245" s="18">
        <v>22</v>
      </c>
      <c r="AX245" s="69" t="s">
        <v>304</v>
      </c>
      <c r="AY245" s="243" t="s">
        <v>82</v>
      </c>
      <c r="AZ245" s="243" t="str">
        <f t="shared" si="78"/>
        <v>Pink</v>
      </c>
      <c r="BA245" s="243" t="s">
        <v>419</v>
      </c>
      <c r="BB245" s="244" t="s">
        <v>494</v>
      </c>
      <c r="BC245" s="43" t="str">
        <f t="shared" si="79"/>
        <v>-</v>
      </c>
      <c r="BD245" s="43">
        <f t="shared" si="80"/>
        <v>0</v>
      </c>
      <c r="BE245" s="193">
        <f t="shared" si="81"/>
        <v>0</v>
      </c>
      <c r="BF245" s="193">
        <f t="shared" si="82"/>
        <v>0</v>
      </c>
      <c r="BG245" s="193">
        <f t="shared" si="83"/>
        <v>0</v>
      </c>
      <c r="BH245" s="307" t="str">
        <f t="shared" si="84"/>
        <v>-</v>
      </c>
      <c r="BI245" s="265" t="str">
        <f t="shared" ref="BI245:BI254" si="103">CC245</f>
        <v>-</v>
      </c>
      <c r="BJ245" s="26" t="str">
        <f t="shared" si="85"/>
        <v>JASPER CREEKPink</v>
      </c>
      <c r="BK245" s="26">
        <f t="shared" si="86"/>
        <v>0</v>
      </c>
      <c r="BL245" s="33">
        <f t="shared" si="101"/>
        <v>0</v>
      </c>
      <c r="BQ245" s="47" t="str">
        <f t="shared" si="87"/>
        <v>JASPER CREEKPink</v>
      </c>
      <c r="BR245" s="49">
        <f t="shared" si="88"/>
        <v>0</v>
      </c>
      <c r="BS245" s="49">
        <f t="shared" si="89"/>
        <v>0</v>
      </c>
      <c r="BT245" s="31">
        <v>0</v>
      </c>
      <c r="BU245" s="188" t="str">
        <f t="shared" si="90"/>
        <v>MCWright/Nitinat</v>
      </c>
      <c r="BV245" s="188" t="str">
        <f t="shared" si="91"/>
        <v xml:space="preserve"> </v>
      </c>
      <c r="BW245" s="188" t="str">
        <f t="shared" si="92"/>
        <v xml:space="preserve"> </v>
      </c>
      <c r="BX245" s="188" t="str">
        <f t="shared" si="93"/>
        <v xml:space="preserve"> </v>
      </c>
      <c r="BY245" s="50" t="str">
        <f t="shared" si="94"/>
        <v>JASPER CREEK_Pink</v>
      </c>
      <c r="BZ245" s="50" t="str">
        <f>IFERROR(VLOOKUP(BY245,'[1]WCVI Esc'!$C$5:$W$555,18,FALSE),"-")</f>
        <v>-</v>
      </c>
      <c r="CA245" s="50" t="str">
        <f t="shared" si="95"/>
        <v>-</v>
      </c>
      <c r="CB245" s="50" t="str">
        <f>IFERROR(VLOOKUP(BY245,'[1]WCVI Esc'!$C$5:$W$555,19,FALSE),"-")</f>
        <v>-</v>
      </c>
      <c r="CC245" s="50" t="str">
        <f t="shared" si="96"/>
        <v>-</v>
      </c>
      <c r="CE245" s="342" t="str">
        <f t="shared" si="97"/>
        <v>JASPER CREEK_Pink</v>
      </c>
      <c r="CF245" s="341" t="str">
        <f>IFERROR(VLOOKUP(BY245,'RawPL+D'!$O$8:$AB$503,12,FALSE),"-")</f>
        <v>-</v>
      </c>
      <c r="CG245" s="338" t="str">
        <f t="shared" si="98"/>
        <v>-</v>
      </c>
      <c r="CH245" s="341" t="str">
        <f>IFERROR(VLOOKUP(BY245,'RawPL+D'!$O$8:$AB$503,13,FALSE),"-")</f>
        <v>-</v>
      </c>
      <c r="CI245" s="338" t="str">
        <f t="shared" si="99"/>
        <v>-</v>
      </c>
    </row>
    <row r="246" spans="1:87" ht="12.75" hidden="1" customHeight="1" x14ac:dyDescent="0.2">
      <c r="A246" s="28">
        <v>4</v>
      </c>
      <c r="B246" s="28">
        <v>4</v>
      </c>
      <c r="C246" s="11">
        <v>22</v>
      </c>
      <c r="D246" s="13" t="s">
        <v>304</v>
      </c>
      <c r="E246" s="10" t="s">
        <v>82</v>
      </c>
      <c r="F246" s="10" t="s">
        <v>209</v>
      </c>
      <c r="G246" s="10"/>
      <c r="H246" s="10"/>
      <c r="I246" s="10"/>
      <c r="J246" s="10"/>
      <c r="K246" s="575"/>
      <c r="L246" s="152"/>
      <c r="M246" s="164"/>
      <c r="N246" s="64"/>
      <c r="O246" s="62"/>
      <c r="P246" s="62"/>
      <c r="Q246" s="171"/>
      <c r="R246" s="62"/>
      <c r="S246" s="390"/>
      <c r="T246" s="62"/>
      <c r="U246" s="64"/>
      <c r="V246" s="164"/>
      <c r="W246" s="62"/>
      <c r="X246" s="62"/>
      <c r="Y246" s="62"/>
      <c r="Z246" s="64"/>
      <c r="AA246" s="164"/>
      <c r="AB246" s="62"/>
      <c r="AC246" s="62"/>
      <c r="AD246" s="64"/>
      <c r="AE246" s="164"/>
      <c r="AF246" s="62"/>
      <c r="AG246" s="62"/>
      <c r="AH246" s="337"/>
      <c r="AI246" s="337"/>
      <c r="AJ246" s="337"/>
      <c r="AK246" s="337"/>
      <c r="AL246" s="555"/>
      <c r="AM246" s="552"/>
      <c r="AN246" s="45"/>
      <c r="AO246" s="45"/>
      <c r="AP246" s="45"/>
      <c r="AQ246" s="396"/>
      <c r="AR246" s="100"/>
      <c r="AS246" s="485"/>
      <c r="AT246" s="100"/>
      <c r="AU246" s="100"/>
      <c r="AV246" s="100"/>
      <c r="AW246" s="18">
        <v>22</v>
      </c>
      <c r="AX246" s="69" t="s">
        <v>304</v>
      </c>
      <c r="AY246" s="243" t="s">
        <v>82</v>
      </c>
      <c r="AZ246" s="243" t="str">
        <f t="shared" si="78"/>
        <v>Chum</v>
      </c>
      <c r="BA246" s="243" t="s">
        <v>419</v>
      </c>
      <c r="BB246" s="244" t="s">
        <v>494</v>
      </c>
      <c r="BC246" s="43" t="str">
        <f t="shared" si="79"/>
        <v>-</v>
      </c>
      <c r="BD246" s="43">
        <f t="shared" si="80"/>
        <v>0</v>
      </c>
      <c r="BE246" s="193">
        <f t="shared" si="81"/>
        <v>0</v>
      </c>
      <c r="BF246" s="193">
        <f t="shared" si="82"/>
        <v>0</v>
      </c>
      <c r="BG246" s="193">
        <f t="shared" si="83"/>
        <v>0</v>
      </c>
      <c r="BH246" s="307" t="str">
        <f t="shared" si="84"/>
        <v>-</v>
      </c>
      <c r="BI246" s="265" t="str">
        <f t="shared" si="103"/>
        <v>-</v>
      </c>
      <c r="BJ246" s="26" t="str">
        <f t="shared" si="85"/>
        <v>JASPER CREEKChum</v>
      </c>
      <c r="BK246" s="26">
        <f t="shared" si="86"/>
        <v>0</v>
      </c>
      <c r="BL246" s="33">
        <f t="shared" si="101"/>
        <v>0</v>
      </c>
      <c r="BQ246" s="47" t="str">
        <f t="shared" si="87"/>
        <v>JASPER CREEKChum</v>
      </c>
      <c r="BR246" s="49">
        <f t="shared" si="88"/>
        <v>0</v>
      </c>
      <c r="BS246" s="49">
        <f t="shared" si="89"/>
        <v>0</v>
      </c>
      <c r="BT246" s="31">
        <v>0</v>
      </c>
      <c r="BU246" s="188" t="str">
        <f t="shared" si="90"/>
        <v>MCWright/Nitinat</v>
      </c>
      <c r="BV246" s="188" t="str">
        <f t="shared" si="91"/>
        <v xml:space="preserve"> </v>
      </c>
      <c r="BW246" s="188" t="str">
        <f t="shared" si="92"/>
        <v xml:space="preserve"> </v>
      </c>
      <c r="BX246" s="188" t="str">
        <f t="shared" si="93"/>
        <v xml:space="preserve"> </v>
      </c>
      <c r="BY246" s="50" t="str">
        <f t="shared" si="94"/>
        <v>JASPER CREEK_Chum</v>
      </c>
      <c r="BZ246" s="50" t="str">
        <f>IFERROR(VLOOKUP(BY246,'[1]WCVI Esc'!$C$5:$W$555,18,FALSE),"-")</f>
        <v>-</v>
      </c>
      <c r="CA246" s="50" t="str">
        <f t="shared" si="95"/>
        <v>-</v>
      </c>
      <c r="CB246" s="50" t="str">
        <f>IFERROR(VLOOKUP(BY246,'[1]WCVI Esc'!$C$5:$W$555,19,FALSE),"-")</f>
        <v>-</v>
      </c>
      <c r="CC246" s="50" t="str">
        <f t="shared" si="96"/>
        <v>-</v>
      </c>
      <c r="CE246" s="342" t="str">
        <f t="shared" si="97"/>
        <v>JASPER CREEK_Chum</v>
      </c>
      <c r="CF246" s="341" t="str">
        <f>IFERROR(VLOOKUP(BY246,'RawPL+D'!$O$8:$AB$503,12,FALSE),"-")</f>
        <v>-</v>
      </c>
      <c r="CG246" s="338" t="str">
        <f t="shared" si="98"/>
        <v>-</v>
      </c>
      <c r="CH246" s="341" t="str">
        <f>IFERROR(VLOOKUP(BY246,'RawPL+D'!$O$8:$AB$503,13,FALSE),"-")</f>
        <v>-</v>
      </c>
      <c r="CI246" s="338" t="str">
        <f t="shared" si="99"/>
        <v>-</v>
      </c>
    </row>
    <row r="247" spans="1:87" ht="12.75" hidden="1" customHeight="1" x14ac:dyDescent="0.2">
      <c r="A247" s="28">
        <v>4</v>
      </c>
      <c r="B247" s="28">
        <v>5</v>
      </c>
      <c r="C247" s="11">
        <v>22</v>
      </c>
      <c r="D247" s="13" t="s">
        <v>304</v>
      </c>
      <c r="E247" s="10" t="s">
        <v>82</v>
      </c>
      <c r="F247" s="10" t="s">
        <v>210</v>
      </c>
      <c r="G247" s="10"/>
      <c r="H247" s="10"/>
      <c r="I247" s="10"/>
      <c r="J247" s="10"/>
      <c r="K247" s="575"/>
      <c r="L247" s="152"/>
      <c r="M247" s="164"/>
      <c r="N247" s="64"/>
      <c r="O247" s="62"/>
      <c r="P247" s="62"/>
      <c r="Q247" s="171"/>
      <c r="R247" s="62"/>
      <c r="S247" s="390"/>
      <c r="T247" s="62"/>
      <c r="U247" s="64"/>
      <c r="V247" s="164"/>
      <c r="W247" s="62"/>
      <c r="X247" s="62"/>
      <c r="Y247" s="62"/>
      <c r="Z247" s="64"/>
      <c r="AA247" s="164"/>
      <c r="AB247" s="62"/>
      <c r="AC247" s="62"/>
      <c r="AD247" s="64"/>
      <c r="AE247" s="164"/>
      <c r="AF247" s="62"/>
      <c r="AG247" s="62"/>
      <c r="AH247" s="337"/>
      <c r="AI247" s="337"/>
      <c r="AJ247" s="337"/>
      <c r="AK247" s="337"/>
      <c r="AL247" s="555"/>
      <c r="AM247" s="552"/>
      <c r="AN247" s="45"/>
      <c r="AO247" s="45"/>
      <c r="AP247" s="45"/>
      <c r="AQ247" s="396"/>
      <c r="AR247" s="100"/>
      <c r="AS247" s="485"/>
      <c r="AT247" s="100"/>
      <c r="AU247" s="100"/>
      <c r="AV247" s="100"/>
      <c r="AW247" s="18">
        <v>22</v>
      </c>
      <c r="AX247" s="69" t="s">
        <v>304</v>
      </c>
      <c r="AY247" s="243" t="s">
        <v>82</v>
      </c>
      <c r="AZ247" s="243" t="str">
        <f t="shared" si="78"/>
        <v>Chinook</v>
      </c>
      <c r="BA247" s="243" t="s">
        <v>419</v>
      </c>
      <c r="BB247" s="244" t="s">
        <v>494</v>
      </c>
      <c r="BC247" s="43" t="str">
        <f t="shared" si="79"/>
        <v>-</v>
      </c>
      <c r="BD247" s="43">
        <f t="shared" si="80"/>
        <v>0</v>
      </c>
      <c r="BE247" s="193">
        <f t="shared" si="81"/>
        <v>0</v>
      </c>
      <c r="BF247" s="193">
        <f t="shared" si="82"/>
        <v>0</v>
      </c>
      <c r="BG247" s="193">
        <f t="shared" si="83"/>
        <v>0</v>
      </c>
      <c r="BH247" s="307" t="str">
        <f t="shared" si="84"/>
        <v>-</v>
      </c>
      <c r="BI247" s="265" t="str">
        <f t="shared" si="103"/>
        <v>-</v>
      </c>
      <c r="BJ247" s="26" t="str">
        <f t="shared" si="85"/>
        <v>JASPER CREEKChinook</v>
      </c>
      <c r="BK247" s="26">
        <f t="shared" si="86"/>
        <v>0</v>
      </c>
      <c r="BL247" s="33">
        <f t="shared" si="101"/>
        <v>0</v>
      </c>
      <c r="BQ247" s="47" t="str">
        <f t="shared" si="87"/>
        <v>JASPER CREEKChinook</v>
      </c>
      <c r="BR247" s="49">
        <f t="shared" si="88"/>
        <v>0</v>
      </c>
      <c r="BS247" s="49">
        <f t="shared" si="89"/>
        <v>0</v>
      </c>
      <c r="BT247" s="31">
        <v>0</v>
      </c>
      <c r="BU247" s="188" t="str">
        <f t="shared" si="90"/>
        <v>MCWright/Nitinat</v>
      </c>
      <c r="BV247" s="188" t="str">
        <f t="shared" si="91"/>
        <v xml:space="preserve"> </v>
      </c>
      <c r="BW247" s="188" t="str">
        <f t="shared" si="92"/>
        <v xml:space="preserve"> </v>
      </c>
      <c r="BX247" s="188" t="str">
        <f t="shared" si="93"/>
        <v xml:space="preserve"> </v>
      </c>
      <c r="BY247" s="50" t="str">
        <f t="shared" si="94"/>
        <v>JASPER CREEK_Chinook</v>
      </c>
      <c r="BZ247" s="50" t="str">
        <f>IFERROR(VLOOKUP(BY247,'[1]WCVI Esc'!$C$5:$W$555,18,FALSE),"-")</f>
        <v>-</v>
      </c>
      <c r="CA247" s="50" t="str">
        <f t="shared" si="95"/>
        <v>-</v>
      </c>
      <c r="CB247" s="50" t="str">
        <f>IFERROR(VLOOKUP(BY247,'[1]WCVI Esc'!$C$5:$W$555,19,FALSE),"-")</f>
        <v>-</v>
      </c>
      <c r="CC247" s="50" t="str">
        <f t="shared" si="96"/>
        <v>-</v>
      </c>
      <c r="CE247" s="342" t="str">
        <f t="shared" si="97"/>
        <v>JASPER CREEK_Chinook</v>
      </c>
      <c r="CF247" s="341" t="str">
        <f>IFERROR(VLOOKUP(BY247,'RawPL+D'!$O$8:$AB$503,12,FALSE),"-")</f>
        <v>-</v>
      </c>
      <c r="CG247" s="338" t="str">
        <f t="shared" si="98"/>
        <v>-</v>
      </c>
      <c r="CH247" s="341" t="str">
        <f>IFERROR(VLOOKUP(BY247,'RawPL+D'!$O$8:$AB$503,13,FALSE),"-")</f>
        <v>-</v>
      </c>
      <c r="CI247" s="338" t="str">
        <f t="shared" si="99"/>
        <v>-</v>
      </c>
    </row>
    <row r="248" spans="1:87" ht="12.75" hidden="1" customHeight="1" x14ac:dyDescent="0.2">
      <c r="A248" s="28">
        <v>4</v>
      </c>
      <c r="B248" s="28">
        <v>6</v>
      </c>
      <c r="C248" s="11">
        <v>22</v>
      </c>
      <c r="D248" s="13" t="s">
        <v>304</v>
      </c>
      <c r="E248" s="10" t="s">
        <v>82</v>
      </c>
      <c r="F248" s="10" t="s">
        <v>211</v>
      </c>
      <c r="G248" s="10"/>
      <c r="H248" s="10"/>
      <c r="I248" s="10"/>
      <c r="J248" s="10"/>
      <c r="K248" s="575"/>
      <c r="L248" s="152"/>
      <c r="M248" s="164"/>
      <c r="N248" s="64"/>
      <c r="O248" s="62"/>
      <c r="P248" s="62"/>
      <c r="Q248" s="171"/>
      <c r="R248" s="62"/>
      <c r="S248" s="62"/>
      <c r="T248" s="62"/>
      <c r="U248" s="64"/>
      <c r="V248" s="164"/>
      <c r="W248" s="62"/>
      <c r="X248" s="62"/>
      <c r="Y248" s="62"/>
      <c r="Z248" s="64"/>
      <c r="AA248" s="164"/>
      <c r="AB248" s="62"/>
      <c r="AC248" s="62"/>
      <c r="AD248" s="64"/>
      <c r="AE248" s="164"/>
      <c r="AF248" s="62"/>
      <c r="AG248" s="62"/>
      <c r="AH248" s="337"/>
      <c r="AI248" s="337"/>
      <c r="AJ248" s="337"/>
      <c r="AK248" s="337"/>
      <c r="AL248" s="555"/>
      <c r="AM248" s="552"/>
      <c r="AN248" s="45"/>
      <c r="AO248" s="45"/>
      <c r="AP248" s="45"/>
      <c r="AQ248" s="396"/>
      <c r="AR248" s="100"/>
      <c r="AS248" s="485"/>
      <c r="AT248" s="100"/>
      <c r="AU248" s="100"/>
      <c r="AV248" s="100"/>
      <c r="AW248" s="18">
        <v>22</v>
      </c>
      <c r="AX248" s="69" t="s">
        <v>304</v>
      </c>
      <c r="AY248" s="243" t="s">
        <v>82</v>
      </c>
      <c r="AZ248" s="243" t="str">
        <f t="shared" si="78"/>
        <v>Steelhead</v>
      </c>
      <c r="BA248" s="243" t="s">
        <v>419</v>
      </c>
      <c r="BB248" s="244" t="s">
        <v>494</v>
      </c>
      <c r="BC248" s="43" t="str">
        <f t="shared" si="79"/>
        <v>-</v>
      </c>
      <c r="BD248" s="43">
        <f t="shared" si="80"/>
        <v>0</v>
      </c>
      <c r="BE248" s="193">
        <f t="shared" si="81"/>
        <v>0</v>
      </c>
      <c r="BF248" s="193">
        <f t="shared" si="82"/>
        <v>0</v>
      </c>
      <c r="BG248" s="193">
        <f t="shared" si="83"/>
        <v>0</v>
      </c>
      <c r="BH248" s="307" t="str">
        <f t="shared" si="84"/>
        <v>-</v>
      </c>
      <c r="BI248" s="265" t="str">
        <f t="shared" si="103"/>
        <v>-</v>
      </c>
      <c r="BJ248" s="26" t="str">
        <f t="shared" si="85"/>
        <v>JASPER CREEKSteelhead</v>
      </c>
      <c r="BK248" s="26">
        <f t="shared" si="86"/>
        <v>0</v>
      </c>
      <c r="BL248" s="33">
        <f t="shared" si="101"/>
        <v>0</v>
      </c>
      <c r="BQ248" s="47" t="str">
        <f t="shared" si="87"/>
        <v>JASPER CREEKSteelhead</v>
      </c>
      <c r="BR248" s="49">
        <f t="shared" si="88"/>
        <v>0</v>
      </c>
      <c r="BS248" s="49">
        <f t="shared" si="89"/>
        <v>0</v>
      </c>
      <c r="BT248" s="31">
        <v>0</v>
      </c>
      <c r="BU248" s="188" t="str">
        <f t="shared" si="90"/>
        <v>MCWright/Nitinat</v>
      </c>
      <c r="BV248" s="188" t="str">
        <f t="shared" si="91"/>
        <v xml:space="preserve"> </v>
      </c>
      <c r="BW248" s="188" t="str">
        <f t="shared" si="92"/>
        <v xml:space="preserve"> </v>
      </c>
      <c r="BX248" s="188" t="str">
        <f t="shared" si="93"/>
        <v xml:space="preserve"> </v>
      </c>
      <c r="BY248" s="50" t="str">
        <f t="shared" si="94"/>
        <v>JASPER CREEK_Steelhead</v>
      </c>
      <c r="BZ248" s="50" t="str">
        <f>IFERROR(VLOOKUP(BY248,'[1]WCVI Esc'!$C$5:$W$555,18,FALSE),"-")</f>
        <v>-</v>
      </c>
      <c r="CA248" s="50" t="str">
        <f t="shared" si="95"/>
        <v>-</v>
      </c>
      <c r="CB248" s="50" t="str">
        <f>IFERROR(VLOOKUP(BY248,'[1]WCVI Esc'!$C$5:$W$555,19,FALSE),"-")</f>
        <v>-</v>
      </c>
      <c r="CC248" s="50" t="str">
        <f t="shared" si="96"/>
        <v>-</v>
      </c>
      <c r="CE248" s="342" t="str">
        <f t="shared" si="97"/>
        <v>JASPER CREEK_Steelhead</v>
      </c>
      <c r="CF248" s="341" t="str">
        <f>IFERROR(VLOOKUP(BY248,'RawPL+D'!$O$8:$AB$503,12,FALSE),"-")</f>
        <v>-</v>
      </c>
      <c r="CG248" s="338" t="str">
        <f t="shared" si="98"/>
        <v>-</v>
      </c>
      <c r="CH248" s="341" t="str">
        <f>IFERROR(VLOOKUP(BY248,'RawPL+D'!$O$8:$AB$503,13,FALSE),"-")</f>
        <v>-</v>
      </c>
      <c r="CI248" s="338" t="str">
        <f t="shared" si="99"/>
        <v>-</v>
      </c>
    </row>
    <row r="249" spans="1:87" ht="12.75" hidden="1" customHeight="1" x14ac:dyDescent="0.2">
      <c r="A249" s="28">
        <v>4</v>
      </c>
      <c r="B249" s="28">
        <v>1</v>
      </c>
      <c r="C249" s="11">
        <v>22</v>
      </c>
      <c r="D249" s="13" t="s">
        <v>304</v>
      </c>
      <c r="E249" s="10" t="s">
        <v>83</v>
      </c>
      <c r="F249" s="10" t="s">
        <v>207</v>
      </c>
      <c r="G249" s="10"/>
      <c r="H249" s="10"/>
      <c r="I249" s="10"/>
      <c r="J249" s="10"/>
      <c r="K249" s="575"/>
      <c r="L249" s="152"/>
      <c r="M249" s="164"/>
      <c r="N249" s="62"/>
      <c r="O249" s="62"/>
      <c r="P249" s="177"/>
      <c r="Q249" s="171"/>
      <c r="R249" s="62"/>
      <c r="S249" s="62"/>
      <c r="T249" s="62"/>
      <c r="U249" s="64"/>
      <c r="V249" s="164"/>
      <c r="W249" s="62"/>
      <c r="X249" s="62"/>
      <c r="Y249" s="62"/>
      <c r="Z249" s="64"/>
      <c r="AA249" s="164"/>
      <c r="AB249" s="62"/>
      <c r="AC249" s="62"/>
      <c r="AD249" s="64"/>
      <c r="AE249" s="164"/>
      <c r="AF249" s="62"/>
      <c r="AG249" s="62"/>
      <c r="AH249" s="337"/>
      <c r="AI249" s="337"/>
      <c r="AJ249" s="337"/>
      <c r="AK249" s="337"/>
      <c r="AL249" s="414"/>
      <c r="AM249" s="414"/>
      <c r="AN249" s="45"/>
      <c r="AO249" s="45"/>
      <c r="AP249" s="45"/>
      <c r="AQ249" s="396"/>
      <c r="AR249" s="100"/>
      <c r="AS249" s="485"/>
      <c r="AT249" s="100"/>
      <c r="AU249" s="100"/>
      <c r="AV249" s="100"/>
      <c r="AW249" s="18">
        <v>22</v>
      </c>
      <c r="AX249" s="69" t="s">
        <v>304</v>
      </c>
      <c r="AY249" s="243" t="s">
        <v>83</v>
      </c>
      <c r="AZ249" s="243" t="str">
        <f t="shared" si="78"/>
        <v>Sockeye</v>
      </c>
      <c r="BA249" s="243" t="s">
        <v>419</v>
      </c>
      <c r="BB249" s="244" t="s">
        <v>494</v>
      </c>
      <c r="BC249" s="43" t="str">
        <f t="shared" si="79"/>
        <v>-</v>
      </c>
      <c r="BD249" s="43">
        <f t="shared" si="80"/>
        <v>0</v>
      </c>
      <c r="BE249" s="193">
        <f t="shared" si="81"/>
        <v>0</v>
      </c>
      <c r="BF249" s="193">
        <f t="shared" si="82"/>
        <v>0</v>
      </c>
      <c r="BG249" s="193">
        <f t="shared" si="83"/>
        <v>0</v>
      </c>
      <c r="BH249" s="307" t="str">
        <f t="shared" si="84"/>
        <v>-</v>
      </c>
      <c r="BI249" s="265" t="str">
        <f t="shared" si="103"/>
        <v>-</v>
      </c>
      <c r="BJ249" s="26" t="str">
        <f t="shared" si="85"/>
        <v>LITTLE NITINAT RIVERSockeye</v>
      </c>
      <c r="BK249" s="26">
        <f t="shared" si="86"/>
        <v>0</v>
      </c>
      <c r="BL249" s="33">
        <f t="shared" si="101"/>
        <v>0</v>
      </c>
      <c r="BQ249" s="47" t="str">
        <f t="shared" si="87"/>
        <v>LITTLE NITINAT RIVERSockeye</v>
      </c>
      <c r="BR249" s="49">
        <f t="shared" si="88"/>
        <v>0</v>
      </c>
      <c r="BS249" s="49">
        <f t="shared" si="89"/>
        <v>0</v>
      </c>
      <c r="BT249" s="31">
        <v>0</v>
      </c>
      <c r="BU249" s="188" t="str">
        <f t="shared" si="90"/>
        <v>MCWright/Nitinat</v>
      </c>
      <c r="BV249" s="188" t="str">
        <f t="shared" si="91"/>
        <v xml:space="preserve"> </v>
      </c>
      <c r="BW249" s="188" t="str">
        <f t="shared" si="92"/>
        <v xml:space="preserve"> </v>
      </c>
      <c r="BX249" s="188" t="str">
        <f t="shared" si="93"/>
        <v xml:space="preserve"> </v>
      </c>
      <c r="BY249" s="50" t="str">
        <f t="shared" si="94"/>
        <v>LITTLE NITINAT RIVER_Sockeye</v>
      </c>
      <c r="BZ249" s="50" t="str">
        <f>IFERROR(VLOOKUP(BY249,'[1]WCVI Esc'!$C$5:$W$555,18,FALSE),"-")</f>
        <v>-</v>
      </c>
      <c r="CA249" s="50" t="str">
        <f t="shared" si="95"/>
        <v>-</v>
      </c>
      <c r="CB249" s="50" t="str">
        <f>IFERROR(VLOOKUP(BY249,'[1]WCVI Esc'!$C$5:$W$555,19,FALSE),"-")</f>
        <v>-</v>
      </c>
      <c r="CC249" s="50" t="str">
        <f t="shared" si="96"/>
        <v>-</v>
      </c>
      <c r="CE249" s="342" t="str">
        <f t="shared" si="97"/>
        <v>LITTLE NITINAT RIVER_Sockeye</v>
      </c>
      <c r="CF249" s="341" t="str">
        <f>IFERROR(VLOOKUP(BY249,'RawPL+D'!$O$8:$AB$503,12,FALSE),"-")</f>
        <v>-</v>
      </c>
      <c r="CG249" s="338" t="str">
        <f t="shared" si="98"/>
        <v>-</v>
      </c>
      <c r="CH249" s="341" t="str">
        <f>IFERROR(VLOOKUP(BY249,'RawPL+D'!$O$8:$AB$503,13,FALSE),"-")</f>
        <v>-</v>
      </c>
      <c r="CI249" s="338" t="str">
        <f t="shared" si="99"/>
        <v>-</v>
      </c>
    </row>
    <row r="250" spans="1:87" ht="12.75" hidden="1" customHeight="1" x14ac:dyDescent="0.2">
      <c r="A250" s="28">
        <v>4</v>
      </c>
      <c r="B250" s="28">
        <v>2</v>
      </c>
      <c r="C250" s="11">
        <v>22</v>
      </c>
      <c r="D250" s="13" t="s">
        <v>304</v>
      </c>
      <c r="E250" s="10" t="s">
        <v>83</v>
      </c>
      <c r="F250" s="10" t="s">
        <v>219</v>
      </c>
      <c r="G250" s="10"/>
      <c r="H250" s="10"/>
      <c r="I250" s="10"/>
      <c r="J250" s="10"/>
      <c r="K250" s="575"/>
      <c r="L250" s="152"/>
      <c r="M250" s="164"/>
      <c r="N250" s="62"/>
      <c r="O250" s="62"/>
      <c r="P250" s="177"/>
      <c r="Q250" s="171"/>
      <c r="R250" s="62"/>
      <c r="S250" s="62"/>
      <c r="T250" s="62"/>
      <c r="U250" s="64"/>
      <c r="V250" s="164"/>
      <c r="W250" s="62"/>
      <c r="X250" s="62"/>
      <c r="Y250" s="62"/>
      <c r="Z250" s="64"/>
      <c r="AA250" s="164"/>
      <c r="AB250" s="62"/>
      <c r="AC250" s="62"/>
      <c r="AD250" s="64"/>
      <c r="AE250" s="164"/>
      <c r="AF250" s="62"/>
      <c r="AG250" s="62"/>
      <c r="AH250" s="337"/>
      <c r="AI250" s="337"/>
      <c r="AJ250" s="337"/>
      <c r="AK250" s="337"/>
      <c r="AL250" s="414"/>
      <c r="AM250" s="414"/>
      <c r="AN250" s="45"/>
      <c r="AO250" s="45"/>
      <c r="AP250" s="45"/>
      <c r="AQ250" s="396"/>
      <c r="AR250" s="100"/>
      <c r="AS250" s="485"/>
      <c r="AT250" s="100"/>
      <c r="AU250" s="100"/>
      <c r="AV250" s="100"/>
      <c r="AW250" s="18">
        <v>22</v>
      </c>
      <c r="AX250" s="69" t="s">
        <v>304</v>
      </c>
      <c r="AY250" s="243" t="s">
        <v>83</v>
      </c>
      <c r="AZ250" s="243" t="str">
        <f t="shared" si="78"/>
        <v>Coho</v>
      </c>
      <c r="BA250" s="243" t="s">
        <v>419</v>
      </c>
      <c r="BB250" s="244" t="s">
        <v>494</v>
      </c>
      <c r="BC250" s="43" t="str">
        <f t="shared" si="79"/>
        <v>-</v>
      </c>
      <c r="BD250" s="43">
        <f t="shared" si="80"/>
        <v>0</v>
      </c>
      <c r="BE250" s="193">
        <f t="shared" si="81"/>
        <v>0</v>
      </c>
      <c r="BF250" s="193">
        <f t="shared" si="82"/>
        <v>0</v>
      </c>
      <c r="BG250" s="193">
        <f t="shared" si="83"/>
        <v>0</v>
      </c>
      <c r="BH250" s="307" t="str">
        <f t="shared" si="84"/>
        <v>-</v>
      </c>
      <c r="BI250" s="265" t="str">
        <f t="shared" si="103"/>
        <v>-</v>
      </c>
      <c r="BJ250" s="26" t="str">
        <f t="shared" si="85"/>
        <v>LITTLE NITINAT RIVERCoho</v>
      </c>
      <c r="BK250" s="26">
        <f t="shared" si="86"/>
        <v>0</v>
      </c>
      <c r="BL250" s="33">
        <f t="shared" si="101"/>
        <v>0</v>
      </c>
      <c r="BQ250" s="47" t="str">
        <f t="shared" si="87"/>
        <v>LITTLE NITINAT RIVERCoho</v>
      </c>
      <c r="BR250" s="49">
        <f t="shared" si="88"/>
        <v>0</v>
      </c>
      <c r="BS250" s="49">
        <f t="shared" si="89"/>
        <v>0</v>
      </c>
      <c r="BT250" s="31">
        <v>0</v>
      </c>
      <c r="BU250" s="188" t="str">
        <f t="shared" si="90"/>
        <v>MCWright/Nitinat</v>
      </c>
      <c r="BV250" s="188" t="str">
        <f t="shared" si="91"/>
        <v xml:space="preserve"> </v>
      </c>
      <c r="BW250" s="188" t="str">
        <f t="shared" si="92"/>
        <v xml:space="preserve"> </v>
      </c>
      <c r="BX250" s="188" t="str">
        <f t="shared" si="93"/>
        <v xml:space="preserve"> </v>
      </c>
      <c r="BY250" s="50" t="str">
        <f t="shared" si="94"/>
        <v>LITTLE NITINAT RIVER_Coho</v>
      </c>
      <c r="BZ250" s="50" t="str">
        <f>IFERROR(VLOOKUP(BY250,'[1]WCVI Esc'!$C$5:$W$555,18,FALSE),"-")</f>
        <v>-</v>
      </c>
      <c r="CA250" s="50" t="str">
        <f t="shared" si="95"/>
        <v>-</v>
      </c>
      <c r="CB250" s="50" t="str">
        <f>IFERROR(VLOOKUP(BY250,'[1]WCVI Esc'!$C$5:$W$555,19,FALSE),"-")</f>
        <v>-</v>
      </c>
      <c r="CC250" s="50" t="str">
        <f t="shared" si="96"/>
        <v>-</v>
      </c>
      <c r="CE250" s="342" t="str">
        <f t="shared" si="97"/>
        <v>LITTLE NITINAT RIVER_Coho</v>
      </c>
      <c r="CF250" s="341" t="str">
        <f>IFERROR(VLOOKUP(BY250,'RawPL+D'!$O$8:$AB$503,12,FALSE),"-")</f>
        <v>-</v>
      </c>
      <c r="CG250" s="338" t="str">
        <f t="shared" si="98"/>
        <v>-</v>
      </c>
      <c r="CH250" s="341" t="str">
        <f>IFERROR(VLOOKUP(BY250,'RawPL+D'!$O$8:$AB$503,13,FALSE),"-")</f>
        <v>-</v>
      </c>
      <c r="CI250" s="338" t="str">
        <f t="shared" si="99"/>
        <v>-</v>
      </c>
    </row>
    <row r="251" spans="1:87" ht="12.75" hidden="1" customHeight="1" x14ac:dyDescent="0.2">
      <c r="A251" s="28">
        <v>4</v>
      </c>
      <c r="B251" s="28">
        <v>3</v>
      </c>
      <c r="C251" s="11">
        <v>22</v>
      </c>
      <c r="D251" s="13" t="s">
        <v>304</v>
      </c>
      <c r="E251" s="10" t="s">
        <v>83</v>
      </c>
      <c r="F251" s="10" t="s">
        <v>208</v>
      </c>
      <c r="G251" s="10"/>
      <c r="H251" s="10"/>
      <c r="I251" s="10"/>
      <c r="J251" s="10"/>
      <c r="K251" s="575"/>
      <c r="L251" s="152"/>
      <c r="M251" s="164"/>
      <c r="N251" s="62"/>
      <c r="O251" s="62"/>
      <c r="P251" s="177"/>
      <c r="Q251" s="171"/>
      <c r="R251" s="62"/>
      <c r="S251" s="62"/>
      <c r="T251" s="62"/>
      <c r="U251" s="64"/>
      <c r="V251" s="164"/>
      <c r="W251" s="62"/>
      <c r="X251" s="62"/>
      <c r="Y251" s="62"/>
      <c r="Z251" s="64"/>
      <c r="AA251" s="164"/>
      <c r="AB251" s="62"/>
      <c r="AC251" s="62"/>
      <c r="AD251" s="64"/>
      <c r="AE251" s="164"/>
      <c r="AF251" s="62"/>
      <c r="AG251" s="62"/>
      <c r="AH251" s="337"/>
      <c r="AI251" s="337"/>
      <c r="AJ251" s="337"/>
      <c r="AK251" s="337"/>
      <c r="AL251" s="414"/>
      <c r="AM251" s="414"/>
      <c r="AN251" s="45"/>
      <c r="AO251" s="45"/>
      <c r="AP251" s="45"/>
      <c r="AQ251" s="396"/>
      <c r="AR251" s="100"/>
      <c r="AS251" s="485"/>
      <c r="AT251" s="100"/>
      <c r="AU251" s="100"/>
      <c r="AV251" s="100"/>
      <c r="AW251" s="18">
        <v>22</v>
      </c>
      <c r="AX251" s="69" t="s">
        <v>304</v>
      </c>
      <c r="AY251" s="243" t="s">
        <v>83</v>
      </c>
      <c r="AZ251" s="243" t="str">
        <f t="shared" si="78"/>
        <v>Pink</v>
      </c>
      <c r="BA251" s="243" t="s">
        <v>419</v>
      </c>
      <c r="BB251" s="244" t="s">
        <v>494</v>
      </c>
      <c r="BC251" s="43" t="str">
        <f t="shared" si="79"/>
        <v>-</v>
      </c>
      <c r="BD251" s="43">
        <f t="shared" si="80"/>
        <v>0</v>
      </c>
      <c r="BE251" s="193">
        <f t="shared" si="81"/>
        <v>0</v>
      </c>
      <c r="BF251" s="193">
        <f t="shared" si="82"/>
        <v>0</v>
      </c>
      <c r="BG251" s="193">
        <f t="shared" si="83"/>
        <v>0</v>
      </c>
      <c r="BH251" s="307" t="str">
        <f t="shared" si="84"/>
        <v>-</v>
      </c>
      <c r="BI251" s="265" t="str">
        <f t="shared" si="103"/>
        <v>-</v>
      </c>
      <c r="BJ251" s="26" t="str">
        <f t="shared" si="85"/>
        <v>LITTLE NITINAT RIVERPink</v>
      </c>
      <c r="BK251" s="26">
        <f t="shared" si="86"/>
        <v>0</v>
      </c>
      <c r="BL251" s="33">
        <f t="shared" si="101"/>
        <v>0</v>
      </c>
      <c r="BQ251" s="47" t="str">
        <f t="shared" si="87"/>
        <v>LITTLE NITINAT RIVERPink</v>
      </c>
      <c r="BR251" s="49">
        <f t="shared" si="88"/>
        <v>0</v>
      </c>
      <c r="BS251" s="49">
        <f t="shared" si="89"/>
        <v>0</v>
      </c>
      <c r="BT251" s="31">
        <v>0</v>
      </c>
      <c r="BU251" s="188" t="str">
        <f t="shared" si="90"/>
        <v>MCWright/Nitinat</v>
      </c>
      <c r="BV251" s="188" t="str">
        <f t="shared" si="91"/>
        <v xml:space="preserve"> </v>
      </c>
      <c r="BW251" s="188" t="str">
        <f t="shared" si="92"/>
        <v xml:space="preserve"> </v>
      </c>
      <c r="BX251" s="188" t="str">
        <f t="shared" si="93"/>
        <v xml:space="preserve"> </v>
      </c>
      <c r="BY251" s="50" t="str">
        <f t="shared" si="94"/>
        <v>LITTLE NITINAT RIVER_Pink</v>
      </c>
      <c r="BZ251" s="50" t="str">
        <f>IFERROR(VLOOKUP(BY251,'[1]WCVI Esc'!$C$5:$W$555,18,FALSE),"-")</f>
        <v>-</v>
      </c>
      <c r="CA251" s="50" t="str">
        <f t="shared" si="95"/>
        <v>-</v>
      </c>
      <c r="CB251" s="50" t="str">
        <f>IFERROR(VLOOKUP(BY251,'[1]WCVI Esc'!$C$5:$W$555,19,FALSE),"-")</f>
        <v>-</v>
      </c>
      <c r="CC251" s="50" t="str">
        <f t="shared" si="96"/>
        <v>-</v>
      </c>
      <c r="CE251" s="342" t="str">
        <f t="shared" si="97"/>
        <v>LITTLE NITINAT RIVER_Pink</v>
      </c>
      <c r="CF251" s="341" t="str">
        <f>IFERROR(VLOOKUP(BY251,'RawPL+D'!$O$8:$AB$503,12,FALSE),"-")</f>
        <v>-</v>
      </c>
      <c r="CG251" s="338" t="str">
        <f t="shared" si="98"/>
        <v>-</v>
      </c>
      <c r="CH251" s="341" t="str">
        <f>IFERROR(VLOOKUP(BY251,'RawPL+D'!$O$8:$AB$503,13,FALSE),"-")</f>
        <v>-</v>
      </c>
      <c r="CI251" s="338" t="str">
        <f t="shared" si="99"/>
        <v>-</v>
      </c>
    </row>
    <row r="252" spans="1:87" ht="12.75" hidden="1" customHeight="1" x14ac:dyDescent="0.2">
      <c r="A252" s="28">
        <v>4</v>
      </c>
      <c r="B252" s="28">
        <v>4</v>
      </c>
      <c r="C252" s="11">
        <v>22</v>
      </c>
      <c r="D252" s="13" t="s">
        <v>304</v>
      </c>
      <c r="E252" s="10" t="s">
        <v>83</v>
      </c>
      <c r="F252" s="10" t="s">
        <v>209</v>
      </c>
      <c r="G252" s="10"/>
      <c r="H252" s="10"/>
      <c r="I252" s="10"/>
      <c r="J252" s="10"/>
      <c r="K252" s="575"/>
      <c r="L252" s="152"/>
      <c r="M252" s="164"/>
      <c r="N252" s="62"/>
      <c r="O252" s="62"/>
      <c r="P252" s="177"/>
      <c r="Q252" s="171"/>
      <c r="R252" s="390"/>
      <c r="S252" s="390"/>
      <c r="T252" s="62"/>
      <c r="U252" s="64"/>
      <c r="V252" s="164"/>
      <c r="W252" s="62"/>
      <c r="X252" s="62"/>
      <c r="Y252" s="62"/>
      <c r="Z252" s="64"/>
      <c r="AA252" s="164"/>
      <c r="AB252" s="62"/>
      <c r="AC252" s="62"/>
      <c r="AD252" s="64"/>
      <c r="AE252" s="164"/>
      <c r="AF252" s="62"/>
      <c r="AG252" s="62"/>
      <c r="AH252" s="337"/>
      <c r="AI252" s="337"/>
      <c r="AJ252" s="337"/>
      <c r="AK252" s="337"/>
      <c r="AL252" s="414"/>
      <c r="AM252" s="414"/>
      <c r="AN252" s="45"/>
      <c r="AO252" s="45"/>
      <c r="AP252" s="45"/>
      <c r="AQ252" s="396"/>
      <c r="AR252" s="100"/>
      <c r="AS252" s="485"/>
      <c r="AT252" s="100"/>
      <c r="AU252" s="100"/>
      <c r="AV252" s="100"/>
      <c r="AW252" s="18">
        <v>22</v>
      </c>
      <c r="AX252" s="69" t="s">
        <v>304</v>
      </c>
      <c r="AY252" s="243" t="s">
        <v>83</v>
      </c>
      <c r="AZ252" s="243" t="str">
        <f t="shared" si="78"/>
        <v>Chum</v>
      </c>
      <c r="BA252" s="243" t="s">
        <v>419</v>
      </c>
      <c r="BB252" s="244" t="s">
        <v>494</v>
      </c>
      <c r="BC252" s="43" t="str">
        <f t="shared" si="79"/>
        <v>-</v>
      </c>
      <c r="BD252" s="43">
        <f t="shared" si="80"/>
        <v>0</v>
      </c>
      <c r="BE252" s="193">
        <f t="shared" si="81"/>
        <v>0</v>
      </c>
      <c r="BF252" s="193">
        <f t="shared" si="82"/>
        <v>0</v>
      </c>
      <c r="BG252" s="193">
        <f t="shared" si="83"/>
        <v>0</v>
      </c>
      <c r="BH252" s="307" t="str">
        <f t="shared" si="84"/>
        <v>-</v>
      </c>
      <c r="BI252" s="265" t="str">
        <f t="shared" si="103"/>
        <v>-</v>
      </c>
      <c r="BJ252" s="26" t="str">
        <f t="shared" si="85"/>
        <v>LITTLE NITINAT RIVERChum</v>
      </c>
      <c r="BK252" s="26">
        <f t="shared" si="86"/>
        <v>0</v>
      </c>
      <c r="BL252" s="33">
        <f t="shared" si="101"/>
        <v>0</v>
      </c>
      <c r="BQ252" s="47" t="str">
        <f t="shared" si="87"/>
        <v>LITTLE NITINAT RIVERChum</v>
      </c>
      <c r="BR252" s="49">
        <f t="shared" si="88"/>
        <v>0</v>
      </c>
      <c r="BS252" s="49">
        <f t="shared" si="89"/>
        <v>0</v>
      </c>
      <c r="BT252" s="31">
        <v>0</v>
      </c>
      <c r="BU252" s="188" t="str">
        <f t="shared" si="90"/>
        <v>MCWright/Nitinat</v>
      </c>
      <c r="BV252" s="188" t="str">
        <f t="shared" si="91"/>
        <v xml:space="preserve"> </v>
      </c>
      <c r="BW252" s="188" t="str">
        <f t="shared" si="92"/>
        <v xml:space="preserve"> </v>
      </c>
      <c r="BX252" s="188" t="str">
        <f t="shared" si="93"/>
        <v xml:space="preserve"> </v>
      </c>
      <c r="BY252" s="50" t="str">
        <f t="shared" si="94"/>
        <v>LITTLE NITINAT RIVER_Chum</v>
      </c>
      <c r="BZ252" s="50" t="str">
        <f>IFERROR(VLOOKUP(BY252,'[1]WCVI Esc'!$C$5:$W$555,18,FALSE),"-")</f>
        <v>-</v>
      </c>
      <c r="CA252" s="50" t="str">
        <f t="shared" si="95"/>
        <v>-</v>
      </c>
      <c r="CB252" s="50" t="str">
        <f>IFERROR(VLOOKUP(BY252,'[1]WCVI Esc'!$C$5:$W$555,19,FALSE),"-")</f>
        <v>-</v>
      </c>
      <c r="CC252" s="50" t="str">
        <f t="shared" si="96"/>
        <v>-</v>
      </c>
      <c r="CE252" s="342" t="str">
        <f t="shared" si="97"/>
        <v>LITTLE NITINAT RIVER_Chum</v>
      </c>
      <c r="CF252" s="341" t="str">
        <f>IFERROR(VLOOKUP(BY252,'RawPL+D'!$O$8:$AB$503,12,FALSE),"-")</f>
        <v>-</v>
      </c>
      <c r="CG252" s="338" t="str">
        <f t="shared" si="98"/>
        <v>-</v>
      </c>
      <c r="CH252" s="341" t="str">
        <f>IFERROR(VLOOKUP(BY252,'RawPL+D'!$O$8:$AB$503,13,FALSE),"-")</f>
        <v>-</v>
      </c>
      <c r="CI252" s="338" t="str">
        <f t="shared" si="99"/>
        <v>-</v>
      </c>
    </row>
    <row r="253" spans="1:87" ht="12.75" hidden="1" customHeight="1" x14ac:dyDescent="0.2">
      <c r="A253" s="28">
        <v>4</v>
      </c>
      <c r="B253" s="28">
        <v>5</v>
      </c>
      <c r="C253" s="11">
        <v>22</v>
      </c>
      <c r="D253" s="13" t="s">
        <v>304</v>
      </c>
      <c r="E253" s="10" t="s">
        <v>83</v>
      </c>
      <c r="F253" s="10" t="s">
        <v>210</v>
      </c>
      <c r="G253" s="10"/>
      <c r="H253" s="10"/>
      <c r="I253" s="10"/>
      <c r="J253" s="10"/>
      <c r="K253" s="575"/>
      <c r="L253" s="152"/>
      <c r="M253" s="164"/>
      <c r="N253" s="62"/>
      <c r="O253" s="62"/>
      <c r="P253" s="177"/>
      <c r="Q253" s="171"/>
      <c r="R253" s="390"/>
      <c r="S253" s="390"/>
      <c r="T253" s="62"/>
      <c r="U253" s="64"/>
      <c r="V253" s="164"/>
      <c r="W253" s="62"/>
      <c r="X253" s="62"/>
      <c r="Y253" s="62"/>
      <c r="Z253" s="64"/>
      <c r="AA253" s="164"/>
      <c r="AB253" s="62"/>
      <c r="AC253" s="62"/>
      <c r="AD253" s="64"/>
      <c r="AE253" s="164"/>
      <c r="AF253" s="62"/>
      <c r="AG253" s="62"/>
      <c r="AH253" s="337"/>
      <c r="AI253" s="337"/>
      <c r="AJ253" s="337"/>
      <c r="AK253" s="337"/>
      <c r="AL253" s="414"/>
      <c r="AM253" s="414"/>
      <c r="AN253" s="45"/>
      <c r="AO253" s="45"/>
      <c r="AP253" s="45"/>
      <c r="AQ253" s="396"/>
      <c r="AR253" s="100"/>
      <c r="AS253" s="485"/>
      <c r="AT253" s="100"/>
      <c r="AU253" s="100"/>
      <c r="AV253" s="100"/>
      <c r="AW253" s="18">
        <v>22</v>
      </c>
      <c r="AX253" s="69" t="s">
        <v>304</v>
      </c>
      <c r="AY253" s="243" t="s">
        <v>83</v>
      </c>
      <c r="AZ253" s="243" t="str">
        <f t="shared" si="78"/>
        <v>Chinook</v>
      </c>
      <c r="BA253" s="243" t="s">
        <v>419</v>
      </c>
      <c r="BB253" s="244" t="s">
        <v>494</v>
      </c>
      <c r="BC253" s="43" t="str">
        <f t="shared" si="79"/>
        <v>-</v>
      </c>
      <c r="BD253" s="43">
        <f t="shared" si="80"/>
        <v>0</v>
      </c>
      <c r="BE253" s="193">
        <f t="shared" si="81"/>
        <v>0</v>
      </c>
      <c r="BF253" s="193">
        <f t="shared" si="82"/>
        <v>0</v>
      </c>
      <c r="BG253" s="193">
        <f t="shared" si="83"/>
        <v>0</v>
      </c>
      <c r="BH253" s="307" t="str">
        <f t="shared" si="84"/>
        <v>-</v>
      </c>
      <c r="BI253" s="265" t="str">
        <f t="shared" si="103"/>
        <v>-</v>
      </c>
      <c r="BJ253" s="26" t="str">
        <f t="shared" si="85"/>
        <v>LITTLE NITINAT RIVERChinook</v>
      </c>
      <c r="BK253" s="26">
        <f t="shared" si="86"/>
        <v>0</v>
      </c>
      <c r="BL253" s="33">
        <f t="shared" si="101"/>
        <v>0</v>
      </c>
      <c r="BQ253" s="47" t="str">
        <f t="shared" si="87"/>
        <v>LITTLE NITINAT RIVERChinook</v>
      </c>
      <c r="BR253" s="49">
        <f t="shared" si="88"/>
        <v>0</v>
      </c>
      <c r="BS253" s="49">
        <f t="shared" si="89"/>
        <v>0</v>
      </c>
      <c r="BT253" s="31">
        <v>0</v>
      </c>
      <c r="BU253" s="188" t="str">
        <f t="shared" si="90"/>
        <v>MCWright/Nitinat</v>
      </c>
      <c r="BV253" s="188" t="str">
        <f t="shared" si="91"/>
        <v xml:space="preserve"> </v>
      </c>
      <c r="BW253" s="188" t="str">
        <f t="shared" si="92"/>
        <v xml:space="preserve"> </v>
      </c>
      <c r="BX253" s="188" t="str">
        <f t="shared" si="93"/>
        <v xml:space="preserve"> </v>
      </c>
      <c r="BY253" s="50" t="str">
        <f t="shared" si="94"/>
        <v>LITTLE NITINAT RIVER_Chinook</v>
      </c>
      <c r="BZ253" s="50" t="str">
        <f>IFERROR(VLOOKUP(BY253,'[1]WCVI Esc'!$C$5:$W$555,18,FALSE),"-")</f>
        <v>-</v>
      </c>
      <c r="CA253" s="50" t="str">
        <f t="shared" si="95"/>
        <v>-</v>
      </c>
      <c r="CB253" s="50" t="str">
        <f>IFERROR(VLOOKUP(BY253,'[1]WCVI Esc'!$C$5:$W$555,19,FALSE),"-")</f>
        <v>-</v>
      </c>
      <c r="CC253" s="50" t="str">
        <f t="shared" si="96"/>
        <v>-</v>
      </c>
      <c r="CE253" s="342" t="str">
        <f t="shared" si="97"/>
        <v>LITTLE NITINAT RIVER_Chinook</v>
      </c>
      <c r="CF253" s="341" t="str">
        <f>IFERROR(VLOOKUP(BY253,'RawPL+D'!$O$8:$AB$503,12,FALSE),"-")</f>
        <v>-</v>
      </c>
      <c r="CG253" s="338" t="str">
        <f t="shared" si="98"/>
        <v>-</v>
      </c>
      <c r="CH253" s="341" t="str">
        <f>IFERROR(VLOOKUP(BY253,'RawPL+D'!$O$8:$AB$503,13,FALSE),"-")</f>
        <v>-</v>
      </c>
      <c r="CI253" s="338" t="str">
        <f t="shared" si="99"/>
        <v>-</v>
      </c>
    </row>
    <row r="254" spans="1:87" ht="12.75" hidden="1" customHeight="1" x14ac:dyDescent="0.2">
      <c r="A254" s="28">
        <v>4</v>
      </c>
      <c r="B254" s="28">
        <v>6</v>
      </c>
      <c r="C254" s="11">
        <v>22</v>
      </c>
      <c r="D254" s="13" t="s">
        <v>304</v>
      </c>
      <c r="E254" s="10" t="s">
        <v>83</v>
      </c>
      <c r="F254" s="10" t="s">
        <v>211</v>
      </c>
      <c r="G254" s="10"/>
      <c r="H254" s="10"/>
      <c r="I254" s="10"/>
      <c r="J254" s="10"/>
      <c r="K254" s="575"/>
      <c r="L254" s="152"/>
      <c r="M254" s="164"/>
      <c r="N254" s="62"/>
      <c r="O254" s="62"/>
      <c r="P254" s="177"/>
      <c r="Q254" s="171"/>
      <c r="R254" s="62"/>
      <c r="S254" s="62"/>
      <c r="T254" s="62"/>
      <c r="U254" s="64"/>
      <c r="V254" s="164"/>
      <c r="W254" s="62"/>
      <c r="X254" s="62"/>
      <c r="Y254" s="62"/>
      <c r="Z254" s="64"/>
      <c r="AA254" s="164"/>
      <c r="AB254" s="62"/>
      <c r="AC254" s="62"/>
      <c r="AD254" s="64"/>
      <c r="AE254" s="164"/>
      <c r="AF254" s="62"/>
      <c r="AG254" s="62"/>
      <c r="AH254" s="337"/>
      <c r="AI254" s="337"/>
      <c r="AJ254" s="337"/>
      <c r="AK254" s="337"/>
      <c r="AL254" s="414"/>
      <c r="AM254" s="414"/>
      <c r="AN254" s="45"/>
      <c r="AO254" s="45"/>
      <c r="AP254" s="45"/>
      <c r="AQ254" s="485"/>
      <c r="AR254" s="100"/>
      <c r="AS254" s="485"/>
      <c r="AT254" s="100"/>
      <c r="AU254" s="100"/>
      <c r="AV254" s="100"/>
      <c r="AW254" s="18">
        <v>22</v>
      </c>
      <c r="AX254" s="69" t="s">
        <v>304</v>
      </c>
      <c r="AY254" s="243" t="s">
        <v>83</v>
      </c>
      <c r="AZ254" s="243" t="str">
        <f t="shared" si="78"/>
        <v>Steelhead</v>
      </c>
      <c r="BA254" s="243" t="s">
        <v>419</v>
      </c>
      <c r="BB254" s="244" t="s">
        <v>494</v>
      </c>
      <c r="BC254" s="43" t="str">
        <f t="shared" si="79"/>
        <v>-</v>
      </c>
      <c r="BD254" s="43">
        <f t="shared" si="80"/>
        <v>0</v>
      </c>
      <c r="BE254" s="193">
        <f t="shared" si="81"/>
        <v>0</v>
      </c>
      <c r="BF254" s="193">
        <f t="shared" si="82"/>
        <v>0</v>
      </c>
      <c r="BG254" s="193">
        <f t="shared" si="83"/>
        <v>0</v>
      </c>
      <c r="BH254" s="307" t="str">
        <f t="shared" si="84"/>
        <v>-</v>
      </c>
      <c r="BI254" s="265" t="str">
        <f t="shared" si="103"/>
        <v>-</v>
      </c>
      <c r="BJ254" s="26" t="str">
        <f t="shared" si="85"/>
        <v>LITTLE NITINAT RIVERSteelhead</v>
      </c>
      <c r="BK254" s="26">
        <f t="shared" si="86"/>
        <v>0</v>
      </c>
      <c r="BL254" s="33">
        <f t="shared" si="101"/>
        <v>0</v>
      </c>
      <c r="BQ254" s="47" t="str">
        <f t="shared" si="87"/>
        <v>LITTLE NITINAT RIVERSteelhead</v>
      </c>
      <c r="BR254" s="49">
        <f t="shared" si="88"/>
        <v>0</v>
      </c>
      <c r="BS254" s="49">
        <f t="shared" si="89"/>
        <v>0</v>
      </c>
      <c r="BT254" s="31">
        <v>0</v>
      </c>
      <c r="BU254" s="188" t="str">
        <f t="shared" si="90"/>
        <v>MCWright/Nitinat</v>
      </c>
      <c r="BV254" s="188" t="str">
        <f t="shared" si="91"/>
        <v xml:space="preserve"> </v>
      </c>
      <c r="BW254" s="188" t="str">
        <f t="shared" si="92"/>
        <v xml:space="preserve"> </v>
      </c>
      <c r="BX254" s="188" t="str">
        <f t="shared" si="93"/>
        <v xml:space="preserve"> </v>
      </c>
      <c r="BY254" s="50" t="str">
        <f t="shared" si="94"/>
        <v>LITTLE NITINAT RIVER_Steelhead</v>
      </c>
      <c r="BZ254" s="50" t="str">
        <f>IFERROR(VLOOKUP(BY254,'[1]WCVI Esc'!$C$5:$W$555,18,FALSE),"-")</f>
        <v>-</v>
      </c>
      <c r="CA254" s="50" t="str">
        <f t="shared" si="95"/>
        <v>-</v>
      </c>
      <c r="CB254" s="50" t="str">
        <f>IFERROR(VLOOKUP(BY254,'[1]WCVI Esc'!$C$5:$W$555,19,FALSE),"-")</f>
        <v>-</v>
      </c>
      <c r="CC254" s="50" t="str">
        <f t="shared" si="96"/>
        <v>-</v>
      </c>
      <c r="CE254" s="342" t="str">
        <f t="shared" si="97"/>
        <v>LITTLE NITINAT RIVER_Steelhead</v>
      </c>
      <c r="CF254" s="341" t="str">
        <f>IFERROR(VLOOKUP(BY254,'RawPL+D'!$O$8:$AB$503,12,FALSE),"-")</f>
        <v>-</v>
      </c>
      <c r="CG254" s="338" t="str">
        <f t="shared" si="98"/>
        <v>-</v>
      </c>
      <c r="CH254" s="341" t="str">
        <f>IFERROR(VLOOKUP(BY254,'RawPL+D'!$O$8:$AB$503,13,FALSE),"-")</f>
        <v>-</v>
      </c>
      <c r="CI254" s="338" t="str">
        <f t="shared" si="99"/>
        <v>-</v>
      </c>
    </row>
    <row r="255" spans="1:87" ht="12.75" hidden="1" customHeight="1" x14ac:dyDescent="0.2">
      <c r="A255" s="28">
        <v>4</v>
      </c>
      <c r="B255" s="28">
        <v>1</v>
      </c>
      <c r="C255" s="11">
        <v>22</v>
      </c>
      <c r="D255" s="13" t="s">
        <v>304</v>
      </c>
      <c r="E255" s="10" t="s">
        <v>84</v>
      </c>
      <c r="F255" s="10" t="s">
        <v>207</v>
      </c>
      <c r="G255" s="10"/>
      <c r="H255" s="10"/>
      <c r="I255" s="10"/>
      <c r="J255" s="10"/>
      <c r="K255" s="575"/>
      <c r="L255" s="152"/>
      <c r="M255" s="164"/>
      <c r="N255" s="62"/>
      <c r="O255" s="62"/>
      <c r="P255" s="177"/>
      <c r="Q255" s="171"/>
      <c r="R255" s="62"/>
      <c r="S255" s="62"/>
      <c r="T255" s="62"/>
      <c r="U255" s="64"/>
      <c r="V255" s="164"/>
      <c r="W255" s="62"/>
      <c r="X255" s="62"/>
      <c r="Y255" s="62"/>
      <c r="Z255" s="64"/>
      <c r="AA255" s="164"/>
      <c r="AB255" s="62"/>
      <c r="AC255" s="62"/>
      <c r="AD255" s="64"/>
      <c r="AE255" s="164"/>
      <c r="AF255" s="62"/>
      <c r="AG255" s="62"/>
      <c r="AH255" s="337"/>
      <c r="AI255" s="337"/>
      <c r="AJ255" s="337"/>
      <c r="AK255" s="337"/>
      <c r="AL255" s="552"/>
      <c r="AM255" s="552"/>
      <c r="AN255" s="45"/>
      <c r="AO255" s="45"/>
      <c r="AP255" s="45"/>
      <c r="AQ255" s="100"/>
      <c r="AR255" s="100"/>
      <c r="AS255" s="485"/>
      <c r="AT255" s="100"/>
      <c r="AU255" s="100"/>
      <c r="AV255" s="100"/>
      <c r="AW255" s="18">
        <v>22</v>
      </c>
      <c r="AX255" s="69" t="s">
        <v>304</v>
      </c>
      <c r="AY255" s="243" t="s">
        <v>84</v>
      </c>
      <c r="AZ255" s="243" t="str">
        <f t="shared" si="78"/>
        <v>Sockeye</v>
      </c>
      <c r="BA255" s="243" t="s">
        <v>419</v>
      </c>
      <c r="BB255" s="244" t="s">
        <v>304</v>
      </c>
      <c r="BC255" s="43" t="str">
        <f t="shared" si="79"/>
        <v>-</v>
      </c>
      <c r="BD255" s="43">
        <f t="shared" si="80"/>
        <v>0</v>
      </c>
      <c r="BE255" s="193">
        <f t="shared" si="81"/>
        <v>0</v>
      </c>
      <c r="BF255" s="193">
        <f t="shared" si="82"/>
        <v>0</v>
      </c>
      <c r="BG255" s="193">
        <f t="shared" si="83"/>
        <v>0</v>
      </c>
      <c r="BH255" s="307" t="str">
        <f t="shared" si="84"/>
        <v>-</v>
      </c>
      <c r="BI255" s="265"/>
      <c r="BJ255" s="26" t="str">
        <f t="shared" si="85"/>
        <v>NO-NAME CREEKSockeye</v>
      </c>
      <c r="BK255" s="26">
        <f t="shared" si="86"/>
        <v>0</v>
      </c>
      <c r="BL255" s="33">
        <f t="shared" si="101"/>
        <v>0</v>
      </c>
      <c r="BQ255" s="47" t="str">
        <f t="shared" si="87"/>
        <v>NO-NAME CREEKSockeye</v>
      </c>
      <c r="BR255" s="49">
        <f t="shared" si="88"/>
        <v>0</v>
      </c>
      <c r="BS255" s="49">
        <f t="shared" si="89"/>
        <v>0</v>
      </c>
      <c r="BT255" s="31">
        <v>0</v>
      </c>
      <c r="BU255" s="188" t="str">
        <f t="shared" si="90"/>
        <v>Ditidaht</v>
      </c>
      <c r="BV255" s="188" t="str">
        <f t="shared" si="91"/>
        <v xml:space="preserve"> </v>
      </c>
      <c r="BW255" s="188" t="str">
        <f t="shared" si="92"/>
        <v xml:space="preserve"> </v>
      </c>
      <c r="BX255" s="188" t="str">
        <f t="shared" si="93"/>
        <v xml:space="preserve"> </v>
      </c>
      <c r="BY255" s="50" t="str">
        <f t="shared" si="94"/>
        <v>NO-NAME CREEK_Sockeye</v>
      </c>
      <c r="BZ255" s="50" t="str">
        <f>IFERROR(VLOOKUP(BY255,'[1]WCVI Esc'!$C$5:$W$555,18,FALSE),"-")</f>
        <v>-</v>
      </c>
      <c r="CA255" s="50" t="str">
        <f t="shared" si="95"/>
        <v>-</v>
      </c>
      <c r="CB255" s="50" t="str">
        <f>IFERROR(VLOOKUP(BY255,'[1]WCVI Esc'!$C$5:$W$555,19,FALSE),"-")</f>
        <v>-</v>
      </c>
      <c r="CC255" s="50" t="str">
        <f t="shared" si="96"/>
        <v>-</v>
      </c>
      <c r="CE255" s="342" t="str">
        <f t="shared" si="97"/>
        <v>NO-NAME CREEK_Sockeye</v>
      </c>
      <c r="CF255" s="341" t="str">
        <f>IFERROR(VLOOKUP(BY255,'RawPL+D'!$O$8:$AB$503,12,FALSE),"-")</f>
        <v>-</v>
      </c>
      <c r="CG255" s="338" t="str">
        <f t="shared" si="98"/>
        <v>-</v>
      </c>
      <c r="CH255" s="341" t="str">
        <f>IFERROR(VLOOKUP(BY255,'RawPL+D'!$O$8:$AB$503,13,FALSE),"-")</f>
        <v>-</v>
      </c>
      <c r="CI255" s="338" t="str">
        <f t="shared" si="99"/>
        <v>-</v>
      </c>
    </row>
    <row r="256" spans="1:87" ht="12.75" hidden="1" customHeight="1" x14ac:dyDescent="0.2">
      <c r="A256" s="28">
        <v>4</v>
      </c>
      <c r="B256" s="28">
        <v>2</v>
      </c>
      <c r="C256" s="11">
        <v>22</v>
      </c>
      <c r="D256" s="13" t="s">
        <v>304</v>
      </c>
      <c r="E256" s="10" t="s">
        <v>84</v>
      </c>
      <c r="F256" s="10" t="s">
        <v>219</v>
      </c>
      <c r="G256" s="10"/>
      <c r="H256" s="10"/>
      <c r="I256" s="10"/>
      <c r="J256" s="10"/>
      <c r="K256" s="575"/>
      <c r="L256" s="152"/>
      <c r="M256" s="164"/>
      <c r="N256" s="62"/>
      <c r="O256" s="62"/>
      <c r="P256" s="177"/>
      <c r="Q256" s="171"/>
      <c r="R256" s="62"/>
      <c r="S256" s="62"/>
      <c r="T256" s="62"/>
      <c r="U256" s="64"/>
      <c r="V256" s="421"/>
      <c r="W256" s="62"/>
      <c r="X256" s="62"/>
      <c r="Y256" s="62"/>
      <c r="Z256" s="64"/>
      <c r="AA256" s="164"/>
      <c r="AB256" s="62"/>
      <c r="AC256" s="62"/>
      <c r="AD256" s="64"/>
      <c r="AE256" s="164"/>
      <c r="AF256" s="62"/>
      <c r="AG256" s="62"/>
      <c r="AH256" s="337"/>
      <c r="AI256" s="337"/>
      <c r="AJ256" s="337"/>
      <c r="AK256" s="337"/>
      <c r="AL256" s="552"/>
      <c r="AM256" s="552"/>
      <c r="AN256" s="552"/>
      <c r="AO256" s="45"/>
      <c r="AP256" s="45"/>
      <c r="AQ256" s="396"/>
      <c r="AR256" s="100"/>
      <c r="AS256" s="485"/>
      <c r="AT256" s="100"/>
      <c r="AU256" s="100"/>
      <c r="AV256" s="100"/>
      <c r="AW256" s="18">
        <v>22</v>
      </c>
      <c r="AX256" s="69" t="s">
        <v>304</v>
      </c>
      <c r="AY256" s="243" t="s">
        <v>84</v>
      </c>
      <c r="AZ256" s="243" t="str">
        <f t="shared" si="78"/>
        <v>Coho</v>
      </c>
      <c r="BA256" s="243" t="s">
        <v>419</v>
      </c>
      <c r="BB256" s="244" t="s">
        <v>304</v>
      </c>
      <c r="BC256" s="43" t="str">
        <f t="shared" si="79"/>
        <v>-</v>
      </c>
      <c r="BD256" s="43">
        <f t="shared" si="80"/>
        <v>0</v>
      </c>
      <c r="BE256" s="193">
        <f t="shared" si="81"/>
        <v>0</v>
      </c>
      <c r="BF256" s="193">
        <f t="shared" si="82"/>
        <v>0</v>
      </c>
      <c r="BG256" s="193">
        <f t="shared" si="83"/>
        <v>0</v>
      </c>
      <c r="BH256" s="307" t="str">
        <f t="shared" si="84"/>
        <v>-</v>
      </c>
      <c r="BI256" s="265"/>
      <c r="BJ256" s="26" t="str">
        <f t="shared" si="85"/>
        <v>NO-NAME CREEKCoho</v>
      </c>
      <c r="BK256" s="26">
        <f t="shared" si="86"/>
        <v>0</v>
      </c>
      <c r="BL256" s="33">
        <f t="shared" si="101"/>
        <v>0</v>
      </c>
      <c r="BQ256" s="47" t="str">
        <f t="shared" si="87"/>
        <v>NO-NAME CREEKCoho</v>
      </c>
      <c r="BR256" s="49">
        <f t="shared" si="88"/>
        <v>0</v>
      </c>
      <c r="BS256" s="49">
        <f t="shared" si="89"/>
        <v>0</v>
      </c>
      <c r="BT256" s="31">
        <v>0</v>
      </c>
      <c r="BU256" s="188" t="str">
        <f t="shared" si="90"/>
        <v>Ditidaht</v>
      </c>
      <c r="BV256" s="188" t="str">
        <f t="shared" si="91"/>
        <v xml:space="preserve"> </v>
      </c>
      <c r="BW256" s="188" t="str">
        <f t="shared" si="92"/>
        <v xml:space="preserve"> </v>
      </c>
      <c r="BX256" s="188" t="str">
        <f t="shared" si="93"/>
        <v xml:space="preserve"> </v>
      </c>
      <c r="BY256" s="50" t="str">
        <f t="shared" si="94"/>
        <v>NO-NAME CREEK_Coho</v>
      </c>
      <c r="BZ256" s="50" t="str">
        <f>IFERROR(VLOOKUP(BY256,'[1]WCVI Esc'!$C$5:$W$555,18,FALSE),"-")</f>
        <v>-</v>
      </c>
      <c r="CA256" s="50" t="str">
        <f t="shared" si="95"/>
        <v>-</v>
      </c>
      <c r="CB256" s="50" t="str">
        <f>IFERROR(VLOOKUP(BY256,'[1]WCVI Esc'!$C$5:$W$555,19,FALSE),"-")</f>
        <v>-</v>
      </c>
      <c r="CC256" s="50" t="str">
        <f t="shared" si="96"/>
        <v>-</v>
      </c>
      <c r="CE256" s="342" t="str">
        <f t="shared" si="97"/>
        <v>NO-NAME CREEK_Coho</v>
      </c>
      <c r="CF256" s="341" t="str">
        <f>IFERROR(VLOOKUP(BY256,'RawPL+D'!$O$8:$AB$503,12,FALSE),"-")</f>
        <v>-</v>
      </c>
      <c r="CG256" s="338" t="str">
        <f t="shared" si="98"/>
        <v>-</v>
      </c>
      <c r="CH256" s="341" t="str">
        <f>IFERROR(VLOOKUP(BY256,'RawPL+D'!$O$8:$AB$503,13,FALSE),"-")</f>
        <v>-</v>
      </c>
      <c r="CI256" s="338" t="str">
        <f t="shared" si="99"/>
        <v>-</v>
      </c>
    </row>
    <row r="257" spans="1:87" ht="12.75" hidden="1" customHeight="1" x14ac:dyDescent="0.2">
      <c r="A257" s="28">
        <v>4</v>
      </c>
      <c r="B257" s="28">
        <v>3</v>
      </c>
      <c r="C257" s="11">
        <v>22</v>
      </c>
      <c r="D257" s="13" t="s">
        <v>304</v>
      </c>
      <c r="E257" s="10" t="s">
        <v>84</v>
      </c>
      <c r="F257" s="10" t="s">
        <v>208</v>
      </c>
      <c r="G257" s="10"/>
      <c r="H257" s="10"/>
      <c r="I257" s="10"/>
      <c r="J257" s="10"/>
      <c r="K257" s="575"/>
      <c r="L257" s="152"/>
      <c r="M257" s="164"/>
      <c r="N257" s="62"/>
      <c r="O257" s="62"/>
      <c r="P257" s="177"/>
      <c r="Q257" s="171"/>
      <c r="R257" s="62"/>
      <c r="S257" s="62"/>
      <c r="T257" s="62"/>
      <c r="U257" s="64"/>
      <c r="V257" s="164"/>
      <c r="W257" s="62"/>
      <c r="X257" s="62"/>
      <c r="Y257" s="62"/>
      <c r="Z257" s="64"/>
      <c r="AA257" s="164"/>
      <c r="AB257" s="62"/>
      <c r="AC257" s="62"/>
      <c r="AD257" s="64"/>
      <c r="AE257" s="164"/>
      <c r="AF257" s="62"/>
      <c r="AG257" s="62"/>
      <c r="AH257" s="337"/>
      <c r="AI257" s="337"/>
      <c r="AJ257" s="337"/>
      <c r="AK257" s="337"/>
      <c r="AL257" s="552"/>
      <c r="AM257" s="552"/>
      <c r="AN257" s="45"/>
      <c r="AO257" s="45"/>
      <c r="AP257" s="45"/>
      <c r="AQ257" s="485"/>
      <c r="AR257" s="100"/>
      <c r="AS257" s="485"/>
      <c r="AT257" s="100"/>
      <c r="AU257" s="100"/>
      <c r="AV257" s="100"/>
      <c r="AW257" s="18">
        <v>22</v>
      </c>
      <c r="AX257" s="69" t="s">
        <v>304</v>
      </c>
      <c r="AY257" s="243" t="s">
        <v>84</v>
      </c>
      <c r="AZ257" s="243" t="str">
        <f t="shared" si="78"/>
        <v>Pink</v>
      </c>
      <c r="BA257" s="243" t="s">
        <v>419</v>
      </c>
      <c r="BB257" s="244" t="s">
        <v>304</v>
      </c>
      <c r="BC257" s="43" t="str">
        <f t="shared" si="79"/>
        <v>-</v>
      </c>
      <c r="BD257" s="43">
        <f t="shared" si="80"/>
        <v>0</v>
      </c>
      <c r="BE257" s="193">
        <f t="shared" si="81"/>
        <v>0</v>
      </c>
      <c r="BF257" s="193">
        <f t="shared" si="82"/>
        <v>0</v>
      </c>
      <c r="BG257" s="193">
        <f t="shared" si="83"/>
        <v>0</v>
      </c>
      <c r="BH257" s="307" t="str">
        <f t="shared" si="84"/>
        <v>-</v>
      </c>
      <c r="BI257" s="265" t="str">
        <f t="shared" ref="BI257:BI266" si="104">CC257</f>
        <v>-</v>
      </c>
      <c r="BJ257" s="26" t="str">
        <f t="shared" si="85"/>
        <v>NO-NAME CREEKPink</v>
      </c>
      <c r="BK257" s="26">
        <f t="shared" si="86"/>
        <v>0</v>
      </c>
      <c r="BL257" s="33">
        <f t="shared" si="101"/>
        <v>0</v>
      </c>
      <c r="BQ257" s="47" t="str">
        <f t="shared" si="87"/>
        <v>NO-NAME CREEKPink</v>
      </c>
      <c r="BR257" s="49">
        <f t="shared" si="88"/>
        <v>0</v>
      </c>
      <c r="BS257" s="49">
        <f t="shared" si="89"/>
        <v>0</v>
      </c>
      <c r="BT257" s="31">
        <v>0</v>
      </c>
      <c r="BU257" s="188" t="str">
        <f t="shared" si="90"/>
        <v>Ditidaht</v>
      </c>
      <c r="BV257" s="188" t="str">
        <f t="shared" si="91"/>
        <v xml:space="preserve"> </v>
      </c>
      <c r="BW257" s="188" t="str">
        <f t="shared" si="92"/>
        <v xml:space="preserve"> </v>
      </c>
      <c r="BX257" s="188" t="str">
        <f t="shared" si="93"/>
        <v xml:space="preserve"> </v>
      </c>
      <c r="BY257" s="50" t="str">
        <f t="shared" si="94"/>
        <v>NO-NAME CREEK_Pink</v>
      </c>
      <c r="BZ257" s="50" t="str">
        <f>IFERROR(VLOOKUP(BY257,'[1]WCVI Esc'!$C$5:$W$555,18,FALSE),"-")</f>
        <v>-</v>
      </c>
      <c r="CA257" s="50" t="str">
        <f t="shared" si="95"/>
        <v>-</v>
      </c>
      <c r="CB257" s="50" t="str">
        <f>IFERROR(VLOOKUP(BY257,'[1]WCVI Esc'!$C$5:$W$555,19,FALSE),"-")</f>
        <v>-</v>
      </c>
      <c r="CC257" s="50" t="str">
        <f t="shared" si="96"/>
        <v>-</v>
      </c>
      <c r="CE257" s="342" t="str">
        <f t="shared" si="97"/>
        <v>NO-NAME CREEK_Pink</v>
      </c>
      <c r="CF257" s="341" t="str">
        <f>IFERROR(VLOOKUP(BY257,'RawPL+D'!$O$8:$AB$503,12,FALSE),"-")</f>
        <v>-</v>
      </c>
      <c r="CG257" s="338" t="str">
        <f t="shared" si="98"/>
        <v>-</v>
      </c>
      <c r="CH257" s="341" t="str">
        <f>IFERROR(VLOOKUP(BY257,'RawPL+D'!$O$8:$AB$503,13,FALSE),"-")</f>
        <v>-</v>
      </c>
      <c r="CI257" s="338" t="str">
        <f t="shared" si="99"/>
        <v>-</v>
      </c>
    </row>
    <row r="258" spans="1:87" ht="12.75" hidden="1" customHeight="1" x14ac:dyDescent="0.2">
      <c r="A258" s="28">
        <v>4</v>
      </c>
      <c r="B258" s="28">
        <v>4</v>
      </c>
      <c r="C258" s="11">
        <v>22</v>
      </c>
      <c r="D258" s="13" t="s">
        <v>304</v>
      </c>
      <c r="E258" s="10" t="s">
        <v>84</v>
      </c>
      <c r="F258" s="10" t="s">
        <v>209</v>
      </c>
      <c r="G258" s="10"/>
      <c r="H258" s="10"/>
      <c r="I258" s="10"/>
      <c r="J258" s="10"/>
      <c r="K258" s="575"/>
      <c r="L258" s="152"/>
      <c r="M258" s="164"/>
      <c r="N258" s="62"/>
      <c r="O258" s="62"/>
      <c r="P258" s="177"/>
      <c r="Q258" s="171"/>
      <c r="R258" s="62"/>
      <c r="S258" s="431"/>
      <c r="T258" s="62"/>
      <c r="U258" s="64"/>
      <c r="V258" s="421"/>
      <c r="W258" s="62"/>
      <c r="X258" s="62"/>
      <c r="Y258" s="62"/>
      <c r="Z258" s="64"/>
      <c r="AA258" s="164"/>
      <c r="AB258" s="62"/>
      <c r="AC258" s="62"/>
      <c r="AD258" s="64"/>
      <c r="AE258" s="164"/>
      <c r="AF258" s="62"/>
      <c r="AG258" s="62"/>
      <c r="AH258" s="337"/>
      <c r="AI258" s="337"/>
      <c r="AJ258" s="337"/>
      <c r="AK258" s="337"/>
      <c r="AL258" s="552"/>
      <c r="AM258" s="552"/>
      <c r="AN258" s="552"/>
      <c r="AO258" s="45"/>
      <c r="AP258" s="45"/>
      <c r="AQ258" s="100"/>
      <c r="AR258" s="100"/>
      <c r="AS258" s="485"/>
      <c r="AT258" s="100"/>
      <c r="AU258" s="100"/>
      <c r="AV258" s="100"/>
      <c r="AW258" s="18">
        <v>22</v>
      </c>
      <c r="AX258" s="69" t="s">
        <v>304</v>
      </c>
      <c r="AY258" s="243" t="s">
        <v>84</v>
      </c>
      <c r="AZ258" s="243" t="str">
        <f t="shared" si="78"/>
        <v>Chum</v>
      </c>
      <c r="BA258" s="243" t="s">
        <v>419</v>
      </c>
      <c r="BB258" s="244" t="s">
        <v>304</v>
      </c>
      <c r="BC258" s="43" t="str">
        <f t="shared" si="79"/>
        <v>-</v>
      </c>
      <c r="BD258" s="43">
        <f t="shared" si="80"/>
        <v>0</v>
      </c>
      <c r="BE258" s="193">
        <f t="shared" si="81"/>
        <v>0</v>
      </c>
      <c r="BF258" s="193">
        <f t="shared" si="82"/>
        <v>0</v>
      </c>
      <c r="BG258" s="193">
        <f t="shared" si="83"/>
        <v>0</v>
      </c>
      <c r="BH258" s="307" t="str">
        <f t="shared" si="84"/>
        <v>-</v>
      </c>
      <c r="BI258" s="265" t="str">
        <f t="shared" si="104"/>
        <v>-</v>
      </c>
      <c r="BJ258" s="26" t="str">
        <f t="shared" si="85"/>
        <v>NO-NAME CREEKChum</v>
      </c>
      <c r="BK258" s="26">
        <f t="shared" si="86"/>
        <v>0</v>
      </c>
      <c r="BL258" s="33">
        <f t="shared" si="101"/>
        <v>0</v>
      </c>
      <c r="BQ258" s="47" t="str">
        <f t="shared" si="87"/>
        <v>NO-NAME CREEKChum</v>
      </c>
      <c r="BR258" s="49">
        <f t="shared" si="88"/>
        <v>0</v>
      </c>
      <c r="BS258" s="49">
        <f t="shared" si="89"/>
        <v>0</v>
      </c>
      <c r="BT258" s="31">
        <v>0</v>
      </c>
      <c r="BU258" s="188" t="str">
        <f t="shared" si="90"/>
        <v>Ditidaht</v>
      </c>
      <c r="BV258" s="188" t="str">
        <f t="shared" si="91"/>
        <v xml:space="preserve"> </v>
      </c>
      <c r="BW258" s="188" t="str">
        <f t="shared" si="92"/>
        <v xml:space="preserve"> </v>
      </c>
      <c r="BX258" s="188" t="str">
        <f t="shared" si="93"/>
        <v xml:space="preserve"> </v>
      </c>
      <c r="BY258" s="50" t="str">
        <f t="shared" si="94"/>
        <v>NO-NAME CREEK_Chum</v>
      </c>
      <c r="BZ258" s="50" t="str">
        <f>IFERROR(VLOOKUP(BY258,'[1]WCVI Esc'!$C$5:$W$555,18,FALSE),"-")</f>
        <v>-</v>
      </c>
      <c r="CA258" s="50" t="str">
        <f t="shared" si="95"/>
        <v>-</v>
      </c>
      <c r="CB258" s="50" t="str">
        <f>IFERROR(VLOOKUP(BY258,'[1]WCVI Esc'!$C$5:$W$555,19,FALSE),"-")</f>
        <v>-</v>
      </c>
      <c r="CC258" s="50" t="str">
        <f t="shared" si="96"/>
        <v>-</v>
      </c>
      <c r="CE258" s="342" t="str">
        <f t="shared" si="97"/>
        <v>NO-NAME CREEK_Chum</v>
      </c>
      <c r="CF258" s="341" t="str">
        <f>IFERROR(VLOOKUP(BY258,'RawPL+D'!$O$8:$AB$503,12,FALSE),"-")</f>
        <v>-</v>
      </c>
      <c r="CG258" s="338" t="str">
        <f t="shared" si="98"/>
        <v>-</v>
      </c>
      <c r="CH258" s="341" t="str">
        <f>IFERROR(VLOOKUP(BY258,'RawPL+D'!$O$8:$AB$503,13,FALSE),"-")</f>
        <v>-</v>
      </c>
      <c r="CI258" s="338" t="str">
        <f t="shared" si="99"/>
        <v>-</v>
      </c>
    </row>
    <row r="259" spans="1:87" ht="12.75" hidden="1" customHeight="1" x14ac:dyDescent="0.2">
      <c r="A259" s="28">
        <v>4</v>
      </c>
      <c r="B259" s="28">
        <v>5</v>
      </c>
      <c r="C259" s="11">
        <v>22</v>
      </c>
      <c r="D259" s="13" t="s">
        <v>304</v>
      </c>
      <c r="E259" s="10" t="s">
        <v>84</v>
      </c>
      <c r="F259" s="10" t="s">
        <v>210</v>
      </c>
      <c r="G259" s="10"/>
      <c r="H259" s="10"/>
      <c r="I259" s="10"/>
      <c r="J259" s="10"/>
      <c r="K259" s="575"/>
      <c r="L259" s="152"/>
      <c r="M259" s="164"/>
      <c r="N259" s="62"/>
      <c r="O259" s="62"/>
      <c r="P259" s="177"/>
      <c r="Q259" s="171"/>
      <c r="R259" s="62"/>
      <c r="S259" s="62"/>
      <c r="T259" s="62"/>
      <c r="U259" s="64"/>
      <c r="V259" s="421"/>
      <c r="W259" s="62"/>
      <c r="X259" s="390"/>
      <c r="Y259" s="62"/>
      <c r="Z259" s="64"/>
      <c r="AA259" s="164"/>
      <c r="AB259" s="62"/>
      <c r="AC259" s="62"/>
      <c r="AD259" s="64"/>
      <c r="AE259" s="164"/>
      <c r="AF259" s="62"/>
      <c r="AG259" s="62"/>
      <c r="AH259" s="337"/>
      <c r="AI259" s="337"/>
      <c r="AJ259" s="337"/>
      <c r="AK259" s="337"/>
      <c r="AL259" s="552"/>
      <c r="AM259" s="552"/>
      <c r="AN259" s="45"/>
      <c r="AO259" s="45"/>
      <c r="AP259" s="45"/>
      <c r="AQ259" s="396"/>
      <c r="AR259" s="100"/>
      <c r="AS259" s="485"/>
      <c r="AT259" s="100"/>
      <c r="AU259" s="100"/>
      <c r="AV259" s="100"/>
      <c r="AW259" s="18">
        <v>22</v>
      </c>
      <c r="AX259" s="69" t="s">
        <v>304</v>
      </c>
      <c r="AY259" s="243" t="s">
        <v>84</v>
      </c>
      <c r="AZ259" s="243" t="str">
        <f t="shared" si="78"/>
        <v>Chinook</v>
      </c>
      <c r="BA259" s="243" t="s">
        <v>419</v>
      </c>
      <c r="BB259" s="244" t="s">
        <v>304</v>
      </c>
      <c r="BC259" s="43" t="str">
        <f t="shared" si="79"/>
        <v>-</v>
      </c>
      <c r="BD259" s="43">
        <f t="shared" si="80"/>
        <v>0</v>
      </c>
      <c r="BE259" s="193">
        <f t="shared" si="81"/>
        <v>0</v>
      </c>
      <c r="BF259" s="193">
        <f t="shared" si="82"/>
        <v>0</v>
      </c>
      <c r="BG259" s="193">
        <f t="shared" si="83"/>
        <v>0</v>
      </c>
      <c r="BH259" s="307" t="str">
        <f t="shared" si="84"/>
        <v>-</v>
      </c>
      <c r="BI259" s="265" t="str">
        <f t="shared" si="104"/>
        <v>-</v>
      </c>
      <c r="BJ259" s="26" t="str">
        <f t="shared" si="85"/>
        <v>NO-NAME CREEKChinook</v>
      </c>
      <c r="BK259" s="26">
        <f t="shared" si="86"/>
        <v>0</v>
      </c>
      <c r="BL259" s="33">
        <f t="shared" si="101"/>
        <v>0</v>
      </c>
      <c r="BQ259" s="47" t="str">
        <f t="shared" si="87"/>
        <v>NO-NAME CREEKChinook</v>
      </c>
      <c r="BR259" s="49">
        <f t="shared" si="88"/>
        <v>0</v>
      </c>
      <c r="BS259" s="49">
        <f t="shared" si="89"/>
        <v>0</v>
      </c>
      <c r="BT259" s="31">
        <v>0</v>
      </c>
      <c r="BU259" s="188" t="str">
        <f t="shared" si="90"/>
        <v>Ditidaht</v>
      </c>
      <c r="BV259" s="188" t="str">
        <f t="shared" si="91"/>
        <v xml:space="preserve"> </v>
      </c>
      <c r="BW259" s="188" t="str">
        <f t="shared" si="92"/>
        <v xml:space="preserve"> </v>
      </c>
      <c r="BX259" s="188" t="str">
        <f t="shared" si="93"/>
        <v xml:space="preserve"> </v>
      </c>
      <c r="BY259" s="50" t="str">
        <f t="shared" si="94"/>
        <v>NO-NAME CREEK_Chinook</v>
      </c>
      <c r="BZ259" s="50" t="str">
        <f>IFERROR(VLOOKUP(BY259,'[1]WCVI Esc'!$C$5:$W$555,18,FALSE),"-")</f>
        <v>-</v>
      </c>
      <c r="CA259" s="50" t="str">
        <f t="shared" si="95"/>
        <v>-</v>
      </c>
      <c r="CB259" s="50" t="str">
        <f>IFERROR(VLOOKUP(BY259,'[1]WCVI Esc'!$C$5:$W$555,19,FALSE),"-")</f>
        <v>-</v>
      </c>
      <c r="CC259" s="50" t="str">
        <f t="shared" si="96"/>
        <v>-</v>
      </c>
      <c r="CE259" s="342" t="str">
        <f t="shared" si="97"/>
        <v>NO-NAME CREEK_Chinook</v>
      </c>
      <c r="CF259" s="341" t="str">
        <f>IFERROR(VLOOKUP(BY259,'RawPL+D'!$O$8:$AB$503,12,FALSE),"-")</f>
        <v>-</v>
      </c>
      <c r="CG259" s="338" t="str">
        <f t="shared" si="98"/>
        <v>-</v>
      </c>
      <c r="CH259" s="341" t="str">
        <f>IFERROR(VLOOKUP(BY259,'RawPL+D'!$O$8:$AB$503,13,FALSE),"-")</f>
        <v>-</v>
      </c>
      <c r="CI259" s="338" t="str">
        <f t="shared" si="99"/>
        <v>-</v>
      </c>
    </row>
    <row r="260" spans="1:87" ht="12.75" hidden="1" customHeight="1" x14ac:dyDescent="0.2">
      <c r="A260" s="28">
        <v>4</v>
      </c>
      <c r="B260" s="28">
        <v>6</v>
      </c>
      <c r="C260" s="11">
        <v>22</v>
      </c>
      <c r="D260" s="13" t="s">
        <v>304</v>
      </c>
      <c r="E260" s="10" t="s">
        <v>84</v>
      </c>
      <c r="F260" s="10" t="s">
        <v>211</v>
      </c>
      <c r="G260" s="10"/>
      <c r="H260" s="10"/>
      <c r="I260" s="10"/>
      <c r="J260" s="10"/>
      <c r="K260" s="575"/>
      <c r="L260" s="152"/>
      <c r="M260" s="164"/>
      <c r="N260" s="62"/>
      <c r="O260" s="62"/>
      <c r="P260" s="177"/>
      <c r="Q260" s="171"/>
      <c r="R260" s="62"/>
      <c r="S260" s="62"/>
      <c r="T260" s="62"/>
      <c r="U260" s="64"/>
      <c r="V260" s="164"/>
      <c r="W260" s="62"/>
      <c r="X260" s="62"/>
      <c r="Y260" s="62"/>
      <c r="Z260" s="64"/>
      <c r="AA260" s="164"/>
      <c r="AB260" s="62"/>
      <c r="AC260" s="62"/>
      <c r="AD260" s="64"/>
      <c r="AE260" s="164"/>
      <c r="AF260" s="62"/>
      <c r="AG260" s="62"/>
      <c r="AH260" s="337"/>
      <c r="AI260" s="337"/>
      <c r="AJ260" s="337"/>
      <c r="AK260" s="337"/>
      <c r="AL260" s="552"/>
      <c r="AM260" s="552"/>
      <c r="AN260" s="45"/>
      <c r="AO260" s="45"/>
      <c r="AP260" s="45"/>
      <c r="AQ260" s="485"/>
      <c r="AR260" s="100"/>
      <c r="AS260" s="485"/>
      <c r="AT260" s="100"/>
      <c r="AU260" s="100"/>
      <c r="AV260" s="100"/>
      <c r="AW260" s="18">
        <v>22</v>
      </c>
      <c r="AX260" s="69" t="s">
        <v>304</v>
      </c>
      <c r="AY260" s="243" t="s">
        <v>84</v>
      </c>
      <c r="AZ260" s="243" t="str">
        <f t="shared" si="78"/>
        <v>Steelhead</v>
      </c>
      <c r="BA260" s="243" t="s">
        <v>419</v>
      </c>
      <c r="BB260" s="244" t="s">
        <v>304</v>
      </c>
      <c r="BC260" s="43" t="str">
        <f t="shared" si="79"/>
        <v>-</v>
      </c>
      <c r="BD260" s="43">
        <f t="shared" si="80"/>
        <v>0</v>
      </c>
      <c r="BE260" s="193">
        <f t="shared" si="81"/>
        <v>0</v>
      </c>
      <c r="BF260" s="193">
        <f t="shared" si="82"/>
        <v>0</v>
      </c>
      <c r="BG260" s="193">
        <f t="shared" si="83"/>
        <v>0</v>
      </c>
      <c r="BH260" s="307" t="str">
        <f t="shared" si="84"/>
        <v>-</v>
      </c>
      <c r="BI260" s="265" t="str">
        <f t="shared" si="104"/>
        <v>-</v>
      </c>
      <c r="BJ260" s="26" t="str">
        <f t="shared" si="85"/>
        <v>NO-NAME CREEKSteelhead</v>
      </c>
      <c r="BK260" s="26">
        <f t="shared" si="86"/>
        <v>0</v>
      </c>
      <c r="BL260" s="33">
        <f t="shared" si="101"/>
        <v>0</v>
      </c>
      <c r="BQ260" s="47" t="str">
        <f t="shared" si="87"/>
        <v>NO-NAME CREEKSteelhead</v>
      </c>
      <c r="BR260" s="49">
        <f t="shared" si="88"/>
        <v>0</v>
      </c>
      <c r="BS260" s="49">
        <f t="shared" si="89"/>
        <v>0</v>
      </c>
      <c r="BT260" s="31">
        <v>0</v>
      </c>
      <c r="BU260" s="188" t="str">
        <f t="shared" si="90"/>
        <v>Ditidaht</v>
      </c>
      <c r="BV260" s="188" t="str">
        <f t="shared" si="91"/>
        <v xml:space="preserve"> </v>
      </c>
      <c r="BW260" s="188" t="str">
        <f t="shared" si="92"/>
        <v xml:space="preserve"> </v>
      </c>
      <c r="BX260" s="188" t="str">
        <f t="shared" si="93"/>
        <v xml:space="preserve"> </v>
      </c>
      <c r="BY260" s="50" t="str">
        <f t="shared" si="94"/>
        <v>NO-NAME CREEK_Steelhead</v>
      </c>
      <c r="BZ260" s="50" t="str">
        <f>IFERROR(VLOOKUP(BY260,'[1]WCVI Esc'!$C$5:$W$555,18,FALSE),"-")</f>
        <v>-</v>
      </c>
      <c r="CA260" s="50" t="str">
        <f t="shared" si="95"/>
        <v>-</v>
      </c>
      <c r="CB260" s="50" t="str">
        <f>IFERROR(VLOOKUP(BY260,'[1]WCVI Esc'!$C$5:$W$555,19,FALSE),"-")</f>
        <v>-</v>
      </c>
      <c r="CC260" s="50" t="str">
        <f t="shared" si="96"/>
        <v>-</v>
      </c>
      <c r="CE260" s="342" t="str">
        <f t="shared" si="97"/>
        <v>NO-NAME CREEK_Steelhead</v>
      </c>
      <c r="CF260" s="341" t="str">
        <f>IFERROR(VLOOKUP(BY260,'RawPL+D'!$O$8:$AB$503,12,FALSE),"-")</f>
        <v>-</v>
      </c>
      <c r="CG260" s="338" t="str">
        <f t="shared" si="98"/>
        <v>-</v>
      </c>
      <c r="CH260" s="341" t="str">
        <f>IFERROR(VLOOKUP(BY260,'RawPL+D'!$O$8:$AB$503,13,FALSE),"-")</f>
        <v>-</v>
      </c>
      <c r="CI260" s="338" t="str">
        <f t="shared" si="99"/>
        <v>-</v>
      </c>
    </row>
    <row r="261" spans="1:87" ht="12.75" hidden="1" customHeight="1" x14ac:dyDescent="0.2">
      <c r="A261" s="28">
        <v>4</v>
      </c>
      <c r="B261" s="28">
        <v>1</v>
      </c>
      <c r="C261" s="11">
        <v>22</v>
      </c>
      <c r="D261" s="13" t="s">
        <v>304</v>
      </c>
      <c r="E261" s="10" t="s">
        <v>85</v>
      </c>
      <c r="F261" s="10" t="s">
        <v>207</v>
      </c>
      <c r="G261" s="10"/>
      <c r="H261" s="10"/>
      <c r="I261" s="10"/>
      <c r="J261" s="10"/>
      <c r="K261" s="575"/>
      <c r="L261" s="152"/>
      <c r="M261" s="164"/>
      <c r="N261" s="62"/>
      <c r="O261" s="62"/>
      <c r="P261" s="177"/>
      <c r="Q261" s="171"/>
      <c r="R261" s="62"/>
      <c r="S261" s="62"/>
      <c r="T261" s="62"/>
      <c r="U261" s="64"/>
      <c r="V261" s="164"/>
      <c r="W261" s="62"/>
      <c r="X261" s="62"/>
      <c r="Y261" s="62"/>
      <c r="Z261" s="64"/>
      <c r="AA261" s="164"/>
      <c r="AB261" s="62"/>
      <c r="AC261" s="62"/>
      <c r="AD261" s="64"/>
      <c r="AE261" s="164"/>
      <c r="AF261" s="62"/>
      <c r="AG261" s="62"/>
      <c r="AH261" s="337"/>
      <c r="AI261" s="337"/>
      <c r="AJ261" s="337"/>
      <c r="AK261" s="337"/>
      <c r="AL261" s="414"/>
      <c r="AM261" s="414"/>
      <c r="AN261" s="45"/>
      <c r="AO261" s="45"/>
      <c r="AP261" s="45"/>
      <c r="AQ261" s="100"/>
      <c r="AR261" s="100"/>
      <c r="AS261" s="485"/>
      <c r="AT261" s="100"/>
      <c r="AU261" s="100"/>
      <c r="AV261" s="100"/>
      <c r="AW261" s="18">
        <v>22</v>
      </c>
      <c r="AX261" s="69" t="s">
        <v>304</v>
      </c>
      <c r="AY261" s="243" t="s">
        <v>85</v>
      </c>
      <c r="AZ261" s="243" t="str">
        <f t="shared" si="78"/>
        <v>Sockeye</v>
      </c>
      <c r="BA261" s="243" t="s">
        <v>419</v>
      </c>
      <c r="BB261" s="244" t="s">
        <v>494</v>
      </c>
      <c r="BC261" s="43" t="str">
        <f t="shared" si="79"/>
        <v>-</v>
      </c>
      <c r="BD261" s="43">
        <f t="shared" si="80"/>
        <v>0</v>
      </c>
      <c r="BE261" s="193">
        <f t="shared" si="81"/>
        <v>0</v>
      </c>
      <c r="BF261" s="193">
        <f t="shared" si="82"/>
        <v>0</v>
      </c>
      <c r="BG261" s="193">
        <f t="shared" si="83"/>
        <v>0</v>
      </c>
      <c r="BH261" s="307" t="str">
        <f t="shared" si="84"/>
        <v>-</v>
      </c>
      <c r="BI261" s="265" t="str">
        <f t="shared" si="104"/>
        <v>-</v>
      </c>
      <c r="BJ261" s="26" t="str">
        <f t="shared" si="85"/>
        <v>PARKER CREEKSockeye</v>
      </c>
      <c r="BK261" s="26">
        <f t="shared" si="86"/>
        <v>0</v>
      </c>
      <c r="BL261" s="33">
        <f t="shared" si="101"/>
        <v>0</v>
      </c>
      <c r="BQ261" s="47" t="str">
        <f t="shared" si="87"/>
        <v>PARKER CREEKSockeye</v>
      </c>
      <c r="BR261" s="49">
        <f t="shared" si="88"/>
        <v>0</v>
      </c>
      <c r="BS261" s="49">
        <f t="shared" si="89"/>
        <v>0</v>
      </c>
      <c r="BT261" s="31">
        <v>0</v>
      </c>
      <c r="BU261" s="188" t="str">
        <f t="shared" si="90"/>
        <v>MCWright/Nitinat</v>
      </c>
      <c r="BV261" s="188" t="str">
        <f t="shared" si="91"/>
        <v xml:space="preserve"> </v>
      </c>
      <c r="BW261" s="188" t="str">
        <f t="shared" si="92"/>
        <v xml:space="preserve"> </v>
      </c>
      <c r="BX261" s="188" t="str">
        <f t="shared" si="93"/>
        <v xml:space="preserve"> </v>
      </c>
      <c r="BY261" s="50" t="str">
        <f t="shared" si="94"/>
        <v>PARKER CREEK_Sockeye</v>
      </c>
      <c r="BZ261" s="50" t="str">
        <f>IFERROR(VLOOKUP(BY261,'[1]WCVI Esc'!$C$5:$W$555,18,FALSE),"-")</f>
        <v>-</v>
      </c>
      <c r="CA261" s="50" t="str">
        <f t="shared" si="95"/>
        <v>-</v>
      </c>
      <c r="CB261" s="50" t="str">
        <f>IFERROR(VLOOKUP(BY261,'[1]WCVI Esc'!$C$5:$W$555,19,FALSE),"-")</f>
        <v>-</v>
      </c>
      <c r="CC261" s="50" t="str">
        <f t="shared" si="96"/>
        <v>-</v>
      </c>
      <c r="CE261" s="342" t="str">
        <f t="shared" si="97"/>
        <v>PARKER CREEK_Sockeye</v>
      </c>
      <c r="CF261" s="341" t="str">
        <f>IFERROR(VLOOKUP(BY261,'RawPL+D'!$O$8:$AB$503,12,FALSE),"-")</f>
        <v>-</v>
      </c>
      <c r="CG261" s="338" t="str">
        <f t="shared" si="98"/>
        <v>-</v>
      </c>
      <c r="CH261" s="341" t="str">
        <f>IFERROR(VLOOKUP(BY261,'RawPL+D'!$O$8:$AB$503,13,FALSE),"-")</f>
        <v>-</v>
      </c>
      <c r="CI261" s="338" t="str">
        <f t="shared" si="99"/>
        <v>-</v>
      </c>
    </row>
    <row r="262" spans="1:87" ht="12.75" hidden="1" customHeight="1" x14ac:dyDescent="0.2">
      <c r="A262" s="28">
        <v>4</v>
      </c>
      <c r="B262" s="28">
        <v>2</v>
      </c>
      <c r="C262" s="11">
        <v>22</v>
      </c>
      <c r="D262" s="13" t="s">
        <v>304</v>
      </c>
      <c r="E262" s="10" t="s">
        <v>85</v>
      </c>
      <c r="F262" s="10" t="s">
        <v>219</v>
      </c>
      <c r="G262" s="10"/>
      <c r="H262" s="10"/>
      <c r="I262" s="10"/>
      <c r="J262" s="10"/>
      <c r="K262" s="575"/>
      <c r="L262" s="152"/>
      <c r="M262" s="164"/>
      <c r="N262" s="62"/>
      <c r="O262" s="62"/>
      <c r="P262" s="177"/>
      <c r="Q262" s="171"/>
      <c r="R262" s="62"/>
      <c r="S262" s="62"/>
      <c r="T262" s="62"/>
      <c r="U262" s="64"/>
      <c r="V262" s="164"/>
      <c r="W262" s="62"/>
      <c r="X262" s="62"/>
      <c r="Y262" s="62"/>
      <c r="Z262" s="64"/>
      <c r="AA262" s="164"/>
      <c r="AB262" s="62"/>
      <c r="AC262" s="62"/>
      <c r="AD262" s="64"/>
      <c r="AE262" s="164"/>
      <c r="AF262" s="62"/>
      <c r="AG262" s="62"/>
      <c r="AH262" s="337"/>
      <c r="AI262" s="337"/>
      <c r="AJ262" s="337"/>
      <c r="AK262" s="337"/>
      <c r="AL262" s="414"/>
      <c r="AM262" s="414"/>
      <c r="AN262" s="45"/>
      <c r="AO262" s="45"/>
      <c r="AP262" s="45"/>
      <c r="AQ262" s="100"/>
      <c r="AR262" s="100"/>
      <c r="AS262" s="485"/>
      <c r="AT262" s="100"/>
      <c r="AU262" s="100"/>
      <c r="AV262" s="100"/>
      <c r="AW262" s="18">
        <v>22</v>
      </c>
      <c r="AX262" s="69" t="s">
        <v>304</v>
      </c>
      <c r="AY262" s="243" t="s">
        <v>85</v>
      </c>
      <c r="AZ262" s="243" t="str">
        <f t="shared" si="78"/>
        <v>Coho</v>
      </c>
      <c r="BA262" s="243" t="s">
        <v>419</v>
      </c>
      <c r="BB262" s="244" t="s">
        <v>494</v>
      </c>
      <c r="BC262" s="43" t="str">
        <f t="shared" si="79"/>
        <v>-</v>
      </c>
      <c r="BD262" s="43">
        <f t="shared" si="80"/>
        <v>0</v>
      </c>
      <c r="BE262" s="193">
        <f t="shared" si="81"/>
        <v>0</v>
      </c>
      <c r="BF262" s="193">
        <f t="shared" si="82"/>
        <v>0</v>
      </c>
      <c r="BG262" s="193">
        <f t="shared" si="83"/>
        <v>0</v>
      </c>
      <c r="BH262" s="307" t="str">
        <f t="shared" si="84"/>
        <v>-</v>
      </c>
      <c r="BI262" s="265" t="str">
        <f t="shared" si="104"/>
        <v>-</v>
      </c>
      <c r="BJ262" s="26" t="str">
        <f t="shared" si="85"/>
        <v>PARKER CREEKCoho</v>
      </c>
      <c r="BK262" s="26">
        <f t="shared" si="86"/>
        <v>0</v>
      </c>
      <c r="BL262" s="33">
        <f t="shared" si="101"/>
        <v>0</v>
      </c>
      <c r="BQ262" s="47" t="str">
        <f t="shared" si="87"/>
        <v>PARKER CREEKCoho</v>
      </c>
      <c r="BR262" s="49">
        <f t="shared" si="88"/>
        <v>0</v>
      </c>
      <c r="BS262" s="49">
        <f t="shared" si="89"/>
        <v>0</v>
      </c>
      <c r="BT262" s="31">
        <v>0</v>
      </c>
      <c r="BU262" s="188" t="str">
        <f t="shared" si="90"/>
        <v>MCWright/Nitinat</v>
      </c>
      <c r="BV262" s="188" t="str">
        <f t="shared" si="91"/>
        <v xml:space="preserve"> </v>
      </c>
      <c r="BW262" s="188" t="str">
        <f t="shared" si="92"/>
        <v xml:space="preserve"> </v>
      </c>
      <c r="BX262" s="188" t="str">
        <f t="shared" si="93"/>
        <v xml:space="preserve"> </v>
      </c>
      <c r="BY262" s="50" t="str">
        <f t="shared" si="94"/>
        <v>PARKER CREEK_Coho</v>
      </c>
      <c r="BZ262" s="50" t="str">
        <f>IFERROR(VLOOKUP(BY262,'[1]WCVI Esc'!$C$5:$W$555,18,FALSE),"-")</f>
        <v>-</v>
      </c>
      <c r="CA262" s="50" t="str">
        <f t="shared" si="95"/>
        <v>-</v>
      </c>
      <c r="CB262" s="50" t="str">
        <f>IFERROR(VLOOKUP(BY262,'[1]WCVI Esc'!$C$5:$W$555,19,FALSE),"-")</f>
        <v>-</v>
      </c>
      <c r="CC262" s="50" t="str">
        <f t="shared" si="96"/>
        <v>-</v>
      </c>
      <c r="CE262" s="342" t="str">
        <f t="shared" si="97"/>
        <v>PARKER CREEK_Coho</v>
      </c>
      <c r="CF262" s="341" t="str">
        <f>IFERROR(VLOOKUP(BY262,'RawPL+D'!$O$8:$AB$503,12,FALSE),"-")</f>
        <v>-</v>
      </c>
      <c r="CG262" s="338" t="str">
        <f t="shared" si="98"/>
        <v>-</v>
      </c>
      <c r="CH262" s="341" t="str">
        <f>IFERROR(VLOOKUP(BY262,'RawPL+D'!$O$8:$AB$503,13,FALSE),"-")</f>
        <v>-</v>
      </c>
      <c r="CI262" s="338" t="str">
        <f t="shared" si="99"/>
        <v>-</v>
      </c>
    </row>
    <row r="263" spans="1:87" ht="12.75" hidden="1" customHeight="1" x14ac:dyDescent="0.2">
      <c r="A263" s="28">
        <v>4</v>
      </c>
      <c r="B263" s="28">
        <v>3</v>
      </c>
      <c r="C263" s="11">
        <v>22</v>
      </c>
      <c r="D263" s="13" t="s">
        <v>304</v>
      </c>
      <c r="E263" s="10" t="s">
        <v>85</v>
      </c>
      <c r="F263" s="10" t="s">
        <v>208</v>
      </c>
      <c r="G263" s="10"/>
      <c r="H263" s="10"/>
      <c r="I263" s="10"/>
      <c r="J263" s="10"/>
      <c r="K263" s="575"/>
      <c r="L263" s="152"/>
      <c r="M263" s="164"/>
      <c r="N263" s="62"/>
      <c r="O263" s="62"/>
      <c r="P263" s="177"/>
      <c r="Q263" s="171"/>
      <c r="R263" s="62"/>
      <c r="S263" s="62"/>
      <c r="T263" s="62"/>
      <c r="U263" s="64"/>
      <c r="V263" s="164"/>
      <c r="W263" s="62"/>
      <c r="X263" s="62"/>
      <c r="Y263" s="62"/>
      <c r="Z263" s="64"/>
      <c r="AA263" s="164"/>
      <c r="AB263" s="62"/>
      <c r="AC263" s="62"/>
      <c r="AD263" s="64"/>
      <c r="AE263" s="164"/>
      <c r="AF263" s="62"/>
      <c r="AG263" s="62"/>
      <c r="AH263" s="337"/>
      <c r="AI263" s="337"/>
      <c r="AJ263" s="337"/>
      <c r="AK263" s="337"/>
      <c r="AL263" s="414"/>
      <c r="AM263" s="414"/>
      <c r="AN263" s="45"/>
      <c r="AO263" s="45"/>
      <c r="AP263" s="45"/>
      <c r="AQ263" s="100"/>
      <c r="AR263" s="100"/>
      <c r="AS263" s="485"/>
      <c r="AT263" s="100"/>
      <c r="AU263" s="100"/>
      <c r="AV263" s="100"/>
      <c r="AW263" s="18">
        <v>22</v>
      </c>
      <c r="AX263" s="69" t="s">
        <v>304</v>
      </c>
      <c r="AY263" s="243" t="s">
        <v>85</v>
      </c>
      <c r="AZ263" s="243" t="str">
        <f t="shared" si="78"/>
        <v>Pink</v>
      </c>
      <c r="BA263" s="243" t="s">
        <v>419</v>
      </c>
      <c r="BB263" s="244" t="s">
        <v>494</v>
      </c>
      <c r="BC263" s="43" t="str">
        <f t="shared" si="79"/>
        <v>-</v>
      </c>
      <c r="BD263" s="43">
        <f t="shared" si="80"/>
        <v>0</v>
      </c>
      <c r="BE263" s="193">
        <f t="shared" si="81"/>
        <v>0</v>
      </c>
      <c r="BF263" s="193">
        <f t="shared" si="82"/>
        <v>0</v>
      </c>
      <c r="BG263" s="193">
        <f t="shared" si="83"/>
        <v>0</v>
      </c>
      <c r="BH263" s="307" t="str">
        <f t="shared" si="84"/>
        <v>-</v>
      </c>
      <c r="BI263" s="265" t="str">
        <f t="shared" si="104"/>
        <v>-</v>
      </c>
      <c r="BJ263" s="26" t="str">
        <f t="shared" si="85"/>
        <v>PARKER CREEKPink</v>
      </c>
      <c r="BK263" s="26">
        <f t="shared" si="86"/>
        <v>0</v>
      </c>
      <c r="BL263" s="33">
        <f t="shared" si="101"/>
        <v>0</v>
      </c>
      <c r="BQ263" s="47" t="str">
        <f t="shared" si="87"/>
        <v>PARKER CREEKPink</v>
      </c>
      <c r="BR263" s="49">
        <f t="shared" si="88"/>
        <v>0</v>
      </c>
      <c r="BS263" s="49">
        <f t="shared" si="89"/>
        <v>0</v>
      </c>
      <c r="BT263" s="31">
        <v>0</v>
      </c>
      <c r="BU263" s="188" t="str">
        <f t="shared" si="90"/>
        <v>MCWright/Nitinat</v>
      </c>
      <c r="BV263" s="188" t="str">
        <f t="shared" si="91"/>
        <v xml:space="preserve"> </v>
      </c>
      <c r="BW263" s="188" t="str">
        <f t="shared" si="92"/>
        <v xml:space="preserve"> </v>
      </c>
      <c r="BX263" s="188" t="str">
        <f t="shared" si="93"/>
        <v xml:space="preserve"> </v>
      </c>
      <c r="BY263" s="50" t="str">
        <f t="shared" si="94"/>
        <v>PARKER CREEK_Pink</v>
      </c>
      <c r="BZ263" s="50" t="str">
        <f>IFERROR(VLOOKUP(BY263,'[1]WCVI Esc'!$C$5:$W$555,18,FALSE),"-")</f>
        <v>-</v>
      </c>
      <c r="CA263" s="50" t="str">
        <f t="shared" si="95"/>
        <v>-</v>
      </c>
      <c r="CB263" s="50" t="str">
        <f>IFERROR(VLOOKUP(BY263,'[1]WCVI Esc'!$C$5:$W$555,19,FALSE),"-")</f>
        <v>-</v>
      </c>
      <c r="CC263" s="50" t="str">
        <f t="shared" si="96"/>
        <v>-</v>
      </c>
      <c r="CE263" s="342" t="str">
        <f t="shared" si="97"/>
        <v>PARKER CREEK_Pink</v>
      </c>
      <c r="CF263" s="341" t="str">
        <f>IFERROR(VLOOKUP(BY263,'RawPL+D'!$O$8:$AB$503,12,FALSE),"-")</f>
        <v>-</v>
      </c>
      <c r="CG263" s="338" t="str">
        <f t="shared" si="98"/>
        <v>-</v>
      </c>
      <c r="CH263" s="341" t="str">
        <f>IFERROR(VLOOKUP(BY263,'RawPL+D'!$O$8:$AB$503,13,FALSE),"-")</f>
        <v>-</v>
      </c>
      <c r="CI263" s="338" t="str">
        <f t="shared" si="99"/>
        <v>-</v>
      </c>
    </row>
    <row r="264" spans="1:87" ht="12.75" hidden="1" customHeight="1" x14ac:dyDescent="0.2">
      <c r="A264" s="28">
        <v>4</v>
      </c>
      <c r="B264" s="28">
        <v>4</v>
      </c>
      <c r="C264" s="11">
        <v>22</v>
      </c>
      <c r="D264" s="13" t="s">
        <v>304</v>
      </c>
      <c r="E264" s="10" t="s">
        <v>85</v>
      </c>
      <c r="F264" s="10" t="s">
        <v>209</v>
      </c>
      <c r="G264" s="10"/>
      <c r="H264" s="10"/>
      <c r="I264" s="10"/>
      <c r="J264" s="10"/>
      <c r="K264" s="575"/>
      <c r="L264" s="152"/>
      <c r="M264" s="164"/>
      <c r="N264" s="62"/>
      <c r="O264" s="62"/>
      <c r="P264" s="177"/>
      <c r="Q264" s="171"/>
      <c r="R264" s="62"/>
      <c r="S264" s="62"/>
      <c r="T264" s="62"/>
      <c r="U264" s="64"/>
      <c r="V264" s="164"/>
      <c r="W264" s="62"/>
      <c r="X264" s="62"/>
      <c r="Y264" s="62"/>
      <c r="Z264" s="64"/>
      <c r="AA264" s="164"/>
      <c r="AB264" s="62"/>
      <c r="AC264" s="62"/>
      <c r="AD264" s="64"/>
      <c r="AE264" s="164"/>
      <c r="AF264" s="62"/>
      <c r="AG264" s="62"/>
      <c r="AH264" s="337"/>
      <c r="AI264" s="337"/>
      <c r="AJ264" s="337"/>
      <c r="AK264" s="337"/>
      <c r="AL264" s="414"/>
      <c r="AM264" s="414"/>
      <c r="AN264" s="45"/>
      <c r="AO264" s="45"/>
      <c r="AP264" s="45"/>
      <c r="AQ264" s="100"/>
      <c r="AR264" s="100"/>
      <c r="AS264" s="485"/>
      <c r="AT264" s="100"/>
      <c r="AU264" s="100"/>
      <c r="AV264" s="100"/>
      <c r="AW264" s="18">
        <v>22</v>
      </c>
      <c r="AX264" s="69" t="s">
        <v>304</v>
      </c>
      <c r="AY264" s="243" t="s">
        <v>85</v>
      </c>
      <c r="AZ264" s="243" t="str">
        <f t="shared" si="78"/>
        <v>Chum</v>
      </c>
      <c r="BA264" s="243" t="s">
        <v>419</v>
      </c>
      <c r="BB264" s="244" t="s">
        <v>494</v>
      </c>
      <c r="BC264" s="43" t="str">
        <f t="shared" si="79"/>
        <v>-</v>
      </c>
      <c r="BD264" s="43">
        <f t="shared" si="80"/>
        <v>0</v>
      </c>
      <c r="BE264" s="193">
        <f t="shared" si="81"/>
        <v>0</v>
      </c>
      <c r="BF264" s="193">
        <f t="shared" si="82"/>
        <v>0</v>
      </c>
      <c r="BG264" s="193">
        <f t="shared" si="83"/>
        <v>0</v>
      </c>
      <c r="BH264" s="307" t="str">
        <f t="shared" si="84"/>
        <v>-</v>
      </c>
      <c r="BI264" s="265" t="str">
        <f t="shared" si="104"/>
        <v>-</v>
      </c>
      <c r="BJ264" s="26" t="str">
        <f t="shared" si="85"/>
        <v>PARKER CREEKChum</v>
      </c>
      <c r="BK264" s="26">
        <f t="shared" si="86"/>
        <v>0</v>
      </c>
      <c r="BL264" s="33">
        <f t="shared" si="101"/>
        <v>0</v>
      </c>
      <c r="BQ264" s="47" t="str">
        <f t="shared" si="87"/>
        <v>PARKER CREEKChum</v>
      </c>
      <c r="BR264" s="49">
        <f t="shared" si="88"/>
        <v>0</v>
      </c>
      <c r="BS264" s="49">
        <f t="shared" si="89"/>
        <v>0</v>
      </c>
      <c r="BT264" s="31">
        <v>0</v>
      </c>
      <c r="BU264" s="188" t="str">
        <f t="shared" si="90"/>
        <v>MCWright/Nitinat</v>
      </c>
      <c r="BV264" s="188" t="str">
        <f t="shared" si="91"/>
        <v xml:space="preserve"> </v>
      </c>
      <c r="BW264" s="188" t="str">
        <f t="shared" si="92"/>
        <v xml:space="preserve"> </v>
      </c>
      <c r="BX264" s="188" t="str">
        <f t="shared" si="93"/>
        <v xml:space="preserve"> </v>
      </c>
      <c r="BY264" s="50" t="str">
        <f t="shared" si="94"/>
        <v>PARKER CREEK_Chum</v>
      </c>
      <c r="BZ264" s="50" t="str">
        <f>IFERROR(VLOOKUP(BY264,'[1]WCVI Esc'!$C$5:$W$555,18,FALSE),"-")</f>
        <v>-</v>
      </c>
      <c r="CA264" s="50" t="str">
        <f t="shared" si="95"/>
        <v>-</v>
      </c>
      <c r="CB264" s="50" t="str">
        <f>IFERROR(VLOOKUP(BY264,'[1]WCVI Esc'!$C$5:$W$555,19,FALSE),"-")</f>
        <v>-</v>
      </c>
      <c r="CC264" s="50" t="str">
        <f t="shared" si="96"/>
        <v>-</v>
      </c>
      <c r="CE264" s="342" t="str">
        <f t="shared" si="97"/>
        <v>PARKER CREEK_Chum</v>
      </c>
      <c r="CF264" s="341" t="str">
        <f>IFERROR(VLOOKUP(BY264,'RawPL+D'!$O$8:$AB$503,12,FALSE),"-")</f>
        <v>-</v>
      </c>
      <c r="CG264" s="338" t="str">
        <f t="shared" si="98"/>
        <v>-</v>
      </c>
      <c r="CH264" s="341" t="str">
        <f>IFERROR(VLOOKUP(BY264,'RawPL+D'!$O$8:$AB$503,13,FALSE),"-")</f>
        <v>-</v>
      </c>
      <c r="CI264" s="338" t="str">
        <f t="shared" si="99"/>
        <v>-</v>
      </c>
    </row>
    <row r="265" spans="1:87" ht="12.75" hidden="1" customHeight="1" x14ac:dyDescent="0.2">
      <c r="A265" s="28">
        <v>4</v>
      </c>
      <c r="B265" s="28">
        <v>5</v>
      </c>
      <c r="C265" s="11">
        <v>22</v>
      </c>
      <c r="D265" s="13" t="s">
        <v>304</v>
      </c>
      <c r="E265" s="10" t="s">
        <v>85</v>
      </c>
      <c r="F265" s="10" t="s">
        <v>210</v>
      </c>
      <c r="G265" s="10"/>
      <c r="H265" s="10"/>
      <c r="I265" s="10"/>
      <c r="J265" s="10"/>
      <c r="K265" s="575"/>
      <c r="L265" s="152"/>
      <c r="M265" s="164"/>
      <c r="N265" s="62"/>
      <c r="O265" s="62"/>
      <c r="P265" s="177"/>
      <c r="Q265" s="171"/>
      <c r="R265" s="62"/>
      <c r="S265" s="62"/>
      <c r="T265" s="62"/>
      <c r="U265" s="64"/>
      <c r="V265" s="164"/>
      <c r="W265" s="62"/>
      <c r="X265" s="62"/>
      <c r="Y265" s="62"/>
      <c r="Z265" s="64"/>
      <c r="AA265" s="164"/>
      <c r="AB265" s="62"/>
      <c r="AC265" s="62"/>
      <c r="AD265" s="64"/>
      <c r="AE265" s="164"/>
      <c r="AF265" s="62"/>
      <c r="AG265" s="62"/>
      <c r="AH265" s="337"/>
      <c r="AI265" s="337"/>
      <c r="AJ265" s="337"/>
      <c r="AK265" s="337"/>
      <c r="AL265" s="414"/>
      <c r="AM265" s="414"/>
      <c r="AN265" s="45"/>
      <c r="AO265" s="45"/>
      <c r="AP265" s="45"/>
      <c r="AQ265" s="100"/>
      <c r="AR265" s="12"/>
      <c r="AS265" s="485"/>
      <c r="AT265" s="100"/>
      <c r="AU265" s="100"/>
      <c r="AV265" s="100"/>
      <c r="AW265" s="18">
        <v>22</v>
      </c>
      <c r="AX265" s="69" t="s">
        <v>304</v>
      </c>
      <c r="AY265" s="243" t="s">
        <v>85</v>
      </c>
      <c r="AZ265" s="243" t="str">
        <f t="shared" ref="AZ265:AZ328" si="105">F265</f>
        <v>Chinook</v>
      </c>
      <c r="BA265" s="243" t="s">
        <v>419</v>
      </c>
      <c r="BB265" s="244" t="s">
        <v>494</v>
      </c>
      <c r="BC265" s="43" t="str">
        <f t="shared" ref="BC265:BC328" si="106">IF(BX265=" ",IF(BW265=" ", IF(BV265=" ","-",BV265),BW265), BX265)</f>
        <v>-</v>
      </c>
      <c r="BD265" s="43">
        <f t="shared" ref="BD265:BD272" si="107">BK265</f>
        <v>0</v>
      </c>
      <c r="BE265" s="193">
        <f t="shared" ref="BE265:BE272" si="108">BL265</f>
        <v>0</v>
      </c>
      <c r="BF265" s="193">
        <f t="shared" ref="BF265:BF328" si="109">AL265</f>
        <v>0</v>
      </c>
      <c r="BG265" s="193">
        <f t="shared" ref="BG265:BG328" si="110">AH265</f>
        <v>0</v>
      </c>
      <c r="BH265" s="307" t="str">
        <f t="shared" ref="BH265:BH272" si="111">CI265</f>
        <v>-</v>
      </c>
      <c r="BI265" s="265" t="str">
        <f t="shared" si="104"/>
        <v>-</v>
      </c>
      <c r="BJ265" s="26" t="str">
        <f t="shared" ref="BJ265:BJ328" si="112">CONCATENATE(E265,F265)</f>
        <v>PARKER CREEKChinook</v>
      </c>
      <c r="BK265" s="26">
        <f t="shared" ref="BK265:BK328" si="113">COUNT(K265:AB265)</f>
        <v>0</v>
      </c>
      <c r="BL265" s="33">
        <f t="shared" si="101"/>
        <v>0</v>
      </c>
      <c r="BQ265" s="47" t="str">
        <f t="shared" ref="BQ265:BQ328" si="114">CONCATENATE(E265,F265)</f>
        <v>PARKER CREEKChinook</v>
      </c>
      <c r="BR265" s="49">
        <f t="shared" ref="BR265:BR328" si="115">AP265</f>
        <v>0</v>
      </c>
      <c r="BS265" s="49">
        <f t="shared" ref="BS265:BS328" si="116">AL265</f>
        <v>0</v>
      </c>
      <c r="BT265" s="31">
        <v>0</v>
      </c>
      <c r="BU265" s="188" t="str">
        <f t="shared" ref="BU265:BU328" si="117">BB265</f>
        <v>MCWright/Nitinat</v>
      </c>
      <c r="BV265" s="188" t="str">
        <f t="shared" ref="BV265:BV328" si="118">IF(ISNUMBER(Q265),Q$8,IF(ISNUMBER(P265),P$8,IF(ISNUMBER(O265),O$8,IF(ISNUMBER(N265),N$8,IF(ISNUMBER(M265),M$8,IF(ISNUMBER(L265),L$8, IF(ISNUMBER(K265),K$8," ")))))))</f>
        <v xml:space="preserve"> </v>
      </c>
      <c r="BW265" s="188" t="str">
        <f t="shared" ref="BW265:BW328" si="119">IF(ISNUMBER(W265),W$8,IF(ISNUMBER(V265),V$8,IF(ISNUMBER(U265),U$8,IF(ISNUMBER(T265),T$8,IF(ISNUMBER(S265),S$8,IF(ISNUMBER(R265),R$8," "))))))</f>
        <v xml:space="preserve"> </v>
      </c>
      <c r="BX265" s="188" t="str">
        <f t="shared" ref="BX265:BX328" si="120">IF(ISNUMBER(AB265),AB$8,IF(ISNUMBER(AA265),AA$8,IF(ISNUMBER(Z265),Z$8,IF(ISNUMBER(Y265),Y$8,IF(ISNUMBER(X265),X$8," ")))))</f>
        <v xml:space="preserve"> </v>
      </c>
      <c r="BY265" s="50" t="str">
        <f t="shared" ref="BY265:BY328" si="121">CONCATENATE(E265,"_",F265)</f>
        <v>PARKER CREEK_Chinook</v>
      </c>
      <c r="BZ265" s="50" t="str">
        <f>IFERROR(VLOOKUP(BY265,'[1]WCVI Esc'!$C$5:$W$555,18,FALSE),"-")</f>
        <v>-</v>
      </c>
      <c r="CA265" s="50" t="str">
        <f t="shared" ref="CA265:CA328" si="122">IFERROR(ROUND(BZ265,-1),"-")</f>
        <v>-</v>
      </c>
      <c r="CB265" s="50" t="str">
        <f>IFERROR(VLOOKUP(BY265,'[1]WCVI Esc'!$C$5:$W$555,19,FALSE),"-")</f>
        <v>-</v>
      </c>
      <c r="CC265" s="50" t="str">
        <f t="shared" ref="CC265:CC328" si="123">IFERROR(ROUND(CB265,-1),"-")</f>
        <v>-</v>
      </c>
      <c r="CE265" s="342" t="str">
        <f t="shared" ref="CE265:CE290" si="124">CONCATENATE(E265,"_",F265)</f>
        <v>PARKER CREEK_Chinook</v>
      </c>
      <c r="CF265" s="341" t="str">
        <f>IFERROR(VLOOKUP(BY265,'RawPL+D'!$O$8:$AB$503,12,FALSE),"-")</f>
        <v>-</v>
      </c>
      <c r="CG265" s="338" t="str">
        <f t="shared" ref="CG265:CG328" si="125">IFERROR(ROUND(CF265,-1),"-")</f>
        <v>-</v>
      </c>
      <c r="CH265" s="341" t="str">
        <f>IFERROR(VLOOKUP(BY265,'RawPL+D'!$O$8:$AB$503,13,FALSE),"-")</f>
        <v>-</v>
      </c>
      <c r="CI265" s="338" t="str">
        <f t="shared" ref="CI265:CI328" si="126">IFERROR(ROUND(CH265,-1),"-")</f>
        <v>-</v>
      </c>
    </row>
    <row r="266" spans="1:87" ht="12.75" hidden="1" customHeight="1" x14ac:dyDescent="0.2">
      <c r="A266" s="28">
        <v>4</v>
      </c>
      <c r="B266" s="28">
        <v>6</v>
      </c>
      <c r="C266" s="11">
        <v>22</v>
      </c>
      <c r="D266" s="13" t="s">
        <v>304</v>
      </c>
      <c r="E266" s="10" t="s">
        <v>85</v>
      </c>
      <c r="F266" s="10" t="s">
        <v>211</v>
      </c>
      <c r="G266" s="10"/>
      <c r="H266" s="10"/>
      <c r="I266" s="10"/>
      <c r="J266" s="10"/>
      <c r="K266" s="575"/>
      <c r="L266" s="152"/>
      <c r="M266" s="164"/>
      <c r="N266" s="62"/>
      <c r="O266" s="62"/>
      <c r="P266" s="177"/>
      <c r="Q266" s="171"/>
      <c r="R266" s="62"/>
      <c r="S266" s="62"/>
      <c r="T266" s="62"/>
      <c r="U266" s="64"/>
      <c r="V266" s="164"/>
      <c r="W266" s="62"/>
      <c r="X266" s="62"/>
      <c r="Y266" s="62"/>
      <c r="Z266" s="64"/>
      <c r="AA266" s="164"/>
      <c r="AB266" s="62"/>
      <c r="AC266" s="62"/>
      <c r="AD266" s="64"/>
      <c r="AE266" s="164"/>
      <c r="AF266" s="62"/>
      <c r="AG266" s="62"/>
      <c r="AH266" s="337"/>
      <c r="AI266" s="337"/>
      <c r="AJ266" s="337"/>
      <c r="AK266" s="337"/>
      <c r="AL266" s="414"/>
      <c r="AM266" s="414"/>
      <c r="AN266" s="45"/>
      <c r="AO266" s="45"/>
      <c r="AP266" s="45"/>
      <c r="AQ266" s="100"/>
      <c r="AR266" s="100"/>
      <c r="AS266" s="485"/>
      <c r="AT266" s="100"/>
      <c r="AU266" s="100"/>
      <c r="AV266" s="100"/>
      <c r="AW266" s="18">
        <v>22</v>
      </c>
      <c r="AX266" s="69" t="s">
        <v>304</v>
      </c>
      <c r="AY266" s="243" t="s">
        <v>85</v>
      </c>
      <c r="AZ266" s="243" t="str">
        <f t="shared" si="105"/>
        <v>Steelhead</v>
      </c>
      <c r="BA266" s="243" t="s">
        <v>419</v>
      </c>
      <c r="BB266" s="244" t="s">
        <v>494</v>
      </c>
      <c r="BC266" s="43" t="str">
        <f t="shared" si="106"/>
        <v>-</v>
      </c>
      <c r="BD266" s="43">
        <f t="shared" si="107"/>
        <v>0</v>
      </c>
      <c r="BE266" s="193">
        <f t="shared" si="108"/>
        <v>0</v>
      </c>
      <c r="BF266" s="193">
        <f t="shared" si="109"/>
        <v>0</v>
      </c>
      <c r="BG266" s="193">
        <f t="shared" si="110"/>
        <v>0</v>
      </c>
      <c r="BH266" s="307" t="str">
        <f t="shared" si="111"/>
        <v>-</v>
      </c>
      <c r="BI266" s="265" t="str">
        <f t="shared" si="104"/>
        <v>-</v>
      </c>
      <c r="BJ266" s="26" t="str">
        <f t="shared" si="112"/>
        <v>PARKER CREEKSteelhead</v>
      </c>
      <c r="BK266" s="26">
        <f t="shared" si="113"/>
        <v>0</v>
      </c>
      <c r="BL266" s="33">
        <f t="shared" si="101"/>
        <v>0</v>
      </c>
      <c r="BQ266" s="47" t="str">
        <f t="shared" si="114"/>
        <v>PARKER CREEKSteelhead</v>
      </c>
      <c r="BR266" s="49">
        <f t="shared" si="115"/>
        <v>0</v>
      </c>
      <c r="BS266" s="49">
        <f t="shared" si="116"/>
        <v>0</v>
      </c>
      <c r="BT266" s="31">
        <v>0</v>
      </c>
      <c r="BU266" s="188" t="str">
        <f t="shared" si="117"/>
        <v>MCWright/Nitinat</v>
      </c>
      <c r="BV266" s="188" t="str">
        <f t="shared" si="118"/>
        <v xml:space="preserve"> </v>
      </c>
      <c r="BW266" s="188" t="str">
        <f t="shared" si="119"/>
        <v xml:space="preserve"> </v>
      </c>
      <c r="BX266" s="188" t="str">
        <f t="shared" si="120"/>
        <v xml:space="preserve"> </v>
      </c>
      <c r="BY266" s="50" t="str">
        <f t="shared" si="121"/>
        <v>PARKER CREEK_Steelhead</v>
      </c>
      <c r="BZ266" s="50" t="str">
        <f>IFERROR(VLOOKUP(BY266,'[1]WCVI Esc'!$C$5:$W$555,18,FALSE),"-")</f>
        <v>-</v>
      </c>
      <c r="CA266" s="50" t="str">
        <f t="shared" si="122"/>
        <v>-</v>
      </c>
      <c r="CB266" s="50" t="str">
        <f>IFERROR(VLOOKUP(BY266,'[1]WCVI Esc'!$C$5:$W$555,19,FALSE),"-")</f>
        <v>-</v>
      </c>
      <c r="CC266" s="50" t="str">
        <f t="shared" si="123"/>
        <v>-</v>
      </c>
      <c r="CE266" s="342" t="str">
        <f t="shared" si="124"/>
        <v>PARKER CREEK_Steelhead</v>
      </c>
      <c r="CF266" s="341" t="str">
        <f>IFERROR(VLOOKUP(BY266,'RawPL+D'!$O$8:$AB$503,12,FALSE),"-")</f>
        <v>-</v>
      </c>
      <c r="CG266" s="338" t="str">
        <f t="shared" si="125"/>
        <v>-</v>
      </c>
      <c r="CH266" s="341" t="str">
        <f>IFERROR(VLOOKUP(BY266,'RawPL+D'!$O$8:$AB$503,13,FALSE),"-")</f>
        <v>-</v>
      </c>
      <c r="CI266" s="338" t="str">
        <f t="shared" si="126"/>
        <v>-</v>
      </c>
    </row>
    <row r="267" spans="1:87" ht="12.75" hidden="1" customHeight="1" x14ac:dyDescent="0.2">
      <c r="A267" s="28">
        <v>4</v>
      </c>
      <c r="B267" s="28">
        <v>1</v>
      </c>
      <c r="C267" s="11">
        <v>22</v>
      </c>
      <c r="D267" s="13" t="s">
        <v>304</v>
      </c>
      <c r="E267" s="10" t="s">
        <v>86</v>
      </c>
      <c r="F267" s="10" t="s">
        <v>207</v>
      </c>
      <c r="G267" s="10"/>
      <c r="H267" s="10"/>
      <c r="I267" s="10"/>
      <c r="J267" s="10"/>
      <c r="K267" s="575"/>
      <c r="L267" s="152"/>
      <c r="M267" s="164"/>
      <c r="N267" s="62"/>
      <c r="O267" s="62"/>
      <c r="P267" s="177"/>
      <c r="Q267" s="171"/>
      <c r="R267" s="62"/>
      <c r="S267" s="62"/>
      <c r="T267" s="62"/>
      <c r="U267" s="795">
        <v>0</v>
      </c>
      <c r="V267" s="164"/>
      <c r="W267" s="62"/>
      <c r="X267" s="62"/>
      <c r="Y267" s="62"/>
      <c r="Z267" s="64"/>
      <c r="AA267" s="164"/>
      <c r="AB267" s="62"/>
      <c r="AC267" s="62"/>
      <c r="AD267" s="64"/>
      <c r="AE267" s="164"/>
      <c r="AF267" s="62"/>
      <c r="AG267" s="62"/>
      <c r="AH267" s="337"/>
      <c r="AI267" s="337"/>
      <c r="AJ267" s="337"/>
      <c r="AK267" s="337"/>
      <c r="AL267" s="414"/>
      <c r="AM267" s="414"/>
      <c r="AN267" s="45"/>
      <c r="AO267" s="45"/>
      <c r="AP267" s="45"/>
      <c r="AQ267" s="485"/>
      <c r="AR267" s="12"/>
      <c r="AS267" s="485"/>
      <c r="AT267" s="100"/>
      <c r="AU267" s="100"/>
      <c r="AV267" s="100"/>
      <c r="AW267" s="18">
        <v>22</v>
      </c>
      <c r="AX267" s="69" t="s">
        <v>304</v>
      </c>
      <c r="AY267" s="243" t="s">
        <v>86</v>
      </c>
      <c r="AZ267" s="243" t="str">
        <f t="shared" si="105"/>
        <v>Sockeye</v>
      </c>
      <c r="BA267" s="243" t="s">
        <v>419</v>
      </c>
      <c r="BB267" s="244" t="s">
        <v>494</v>
      </c>
      <c r="BC267" s="43" t="str">
        <f t="shared" si="106"/>
        <v>Oct 29-Nov4</v>
      </c>
      <c r="BD267" s="43">
        <f t="shared" si="107"/>
        <v>1</v>
      </c>
      <c r="BE267" s="193">
        <f t="shared" si="108"/>
        <v>0</v>
      </c>
      <c r="BF267" s="193">
        <f t="shared" si="109"/>
        <v>0</v>
      </c>
      <c r="BG267" s="193">
        <f t="shared" si="110"/>
        <v>0</v>
      </c>
      <c r="BH267" s="307" t="str">
        <f t="shared" si="111"/>
        <v>-</v>
      </c>
      <c r="BI267" s="265"/>
      <c r="BJ267" s="26" t="str">
        <f t="shared" si="112"/>
        <v>WORTHLESS CREEKSockeye</v>
      </c>
      <c r="BK267" s="26">
        <f t="shared" si="113"/>
        <v>1</v>
      </c>
      <c r="BL267" s="33">
        <f t="shared" si="101"/>
        <v>0</v>
      </c>
      <c r="BQ267" s="47" t="str">
        <f t="shared" si="114"/>
        <v>WORTHLESS CREEKSockeye</v>
      </c>
      <c r="BR267" s="49">
        <f t="shared" si="115"/>
        <v>0</v>
      </c>
      <c r="BS267" s="49">
        <f t="shared" si="116"/>
        <v>0</v>
      </c>
      <c r="BT267" s="31">
        <v>0</v>
      </c>
      <c r="BU267" s="188" t="str">
        <f t="shared" si="117"/>
        <v>MCWright/Nitinat</v>
      </c>
      <c r="BV267" s="188" t="str">
        <f t="shared" si="118"/>
        <v xml:space="preserve"> </v>
      </c>
      <c r="BW267" s="188" t="str">
        <f t="shared" si="119"/>
        <v>Oct 29-Nov4</v>
      </c>
      <c r="BX267" s="188" t="str">
        <f t="shared" si="120"/>
        <v xml:space="preserve"> </v>
      </c>
      <c r="BY267" s="50" t="str">
        <f t="shared" si="121"/>
        <v>WORTHLESS CREEK_Sockeye</v>
      </c>
      <c r="BZ267" s="50" t="str">
        <f>IFERROR(VLOOKUP(BY267,'[1]WCVI Esc'!$C$5:$W$555,18,FALSE),"-")</f>
        <v>-</v>
      </c>
      <c r="CA267" s="50" t="str">
        <f t="shared" si="122"/>
        <v>-</v>
      </c>
      <c r="CB267" s="50" t="str">
        <f>IFERROR(VLOOKUP(BY267,'[1]WCVI Esc'!$C$5:$W$555,19,FALSE),"-")</f>
        <v>-</v>
      </c>
      <c r="CC267" s="50" t="str">
        <f t="shared" si="123"/>
        <v>-</v>
      </c>
      <c r="CE267" s="342" t="str">
        <f t="shared" si="124"/>
        <v>WORTHLESS CREEK_Sockeye</v>
      </c>
      <c r="CF267" s="341" t="str">
        <f>IFERROR(VLOOKUP(BY267,'RawPL+D'!$O$8:$AB$503,12,FALSE),"-")</f>
        <v>-</v>
      </c>
      <c r="CG267" s="338" t="str">
        <f t="shared" si="125"/>
        <v>-</v>
      </c>
      <c r="CH267" s="341" t="str">
        <f>IFERROR(VLOOKUP(BY267,'RawPL+D'!$O$8:$AB$503,13,FALSE),"-")</f>
        <v>-</v>
      </c>
      <c r="CI267" s="338" t="str">
        <f t="shared" si="126"/>
        <v>-</v>
      </c>
    </row>
    <row r="268" spans="1:87" ht="12.75" hidden="1" customHeight="1" x14ac:dyDescent="0.2">
      <c r="A268" s="28">
        <v>4</v>
      </c>
      <c r="B268" s="28">
        <v>2</v>
      </c>
      <c r="C268" s="11">
        <v>22</v>
      </c>
      <c r="D268" s="13" t="s">
        <v>304</v>
      </c>
      <c r="E268" s="10" t="s">
        <v>86</v>
      </c>
      <c r="F268" s="10" t="s">
        <v>219</v>
      </c>
      <c r="G268" s="10"/>
      <c r="H268" s="10"/>
      <c r="I268" s="10"/>
      <c r="J268" s="10"/>
      <c r="K268" s="575"/>
      <c r="L268" s="152"/>
      <c r="M268" s="164"/>
      <c r="N268" s="62"/>
      <c r="O268" s="62"/>
      <c r="P268" s="177"/>
      <c r="Q268" s="171"/>
      <c r="R268" s="62"/>
      <c r="S268" s="62"/>
      <c r="T268" s="62"/>
      <c r="U268" s="795">
        <v>0</v>
      </c>
      <c r="V268" s="164"/>
      <c r="W268" s="62"/>
      <c r="X268" s="431"/>
      <c r="Y268" s="431"/>
      <c r="Z268" s="64"/>
      <c r="AA268" s="164"/>
      <c r="AB268" s="62"/>
      <c r="AC268" s="62"/>
      <c r="AD268" s="64"/>
      <c r="AE268" s="164"/>
      <c r="AF268" s="62"/>
      <c r="AG268" s="62"/>
      <c r="AH268" s="337"/>
      <c r="AI268" s="337"/>
      <c r="AJ268" s="337"/>
      <c r="AK268" s="337"/>
      <c r="AL268" s="414"/>
      <c r="AM268" s="414"/>
      <c r="AN268" s="45"/>
      <c r="AO268" s="45"/>
      <c r="AP268" s="45"/>
      <c r="AQ268" s="485"/>
      <c r="AR268" s="100"/>
      <c r="AS268" s="485"/>
      <c r="AT268" s="100"/>
      <c r="AU268" s="100"/>
      <c r="AV268" s="100"/>
      <c r="AW268" s="18">
        <v>22</v>
      </c>
      <c r="AX268" s="69" t="s">
        <v>304</v>
      </c>
      <c r="AY268" s="243" t="s">
        <v>86</v>
      </c>
      <c r="AZ268" s="243" t="str">
        <f t="shared" si="105"/>
        <v>Coho</v>
      </c>
      <c r="BA268" s="243" t="s">
        <v>419</v>
      </c>
      <c r="BB268" s="244" t="s">
        <v>494</v>
      </c>
      <c r="BC268" s="43" t="str">
        <f t="shared" si="106"/>
        <v>Oct 29-Nov4</v>
      </c>
      <c r="BD268" s="43">
        <f t="shared" si="107"/>
        <v>1</v>
      </c>
      <c r="BE268" s="193">
        <f t="shared" si="108"/>
        <v>0</v>
      </c>
      <c r="BF268" s="193">
        <f t="shared" si="109"/>
        <v>0</v>
      </c>
      <c r="BG268" s="193">
        <f t="shared" si="110"/>
        <v>0</v>
      </c>
      <c r="BH268" s="307" t="str">
        <f t="shared" si="111"/>
        <v>-</v>
      </c>
      <c r="BI268" s="265"/>
      <c r="BJ268" s="26" t="str">
        <f t="shared" si="112"/>
        <v>WORTHLESS CREEKCoho</v>
      </c>
      <c r="BK268" s="26">
        <f t="shared" si="113"/>
        <v>1</v>
      </c>
      <c r="BL268" s="33">
        <f t="shared" si="101"/>
        <v>0</v>
      </c>
      <c r="BQ268" s="47" t="str">
        <f t="shared" si="114"/>
        <v>WORTHLESS CREEKCoho</v>
      </c>
      <c r="BR268" s="49">
        <f t="shared" si="115"/>
        <v>0</v>
      </c>
      <c r="BS268" s="49">
        <f t="shared" si="116"/>
        <v>0</v>
      </c>
      <c r="BT268" s="31">
        <v>0</v>
      </c>
      <c r="BU268" s="188" t="str">
        <f t="shared" si="117"/>
        <v>MCWright/Nitinat</v>
      </c>
      <c r="BV268" s="188" t="str">
        <f t="shared" si="118"/>
        <v xml:space="preserve"> </v>
      </c>
      <c r="BW268" s="188" t="str">
        <f t="shared" si="119"/>
        <v>Oct 29-Nov4</v>
      </c>
      <c r="BX268" s="188" t="str">
        <f t="shared" si="120"/>
        <v xml:space="preserve"> </v>
      </c>
      <c r="BY268" s="50" t="str">
        <f t="shared" si="121"/>
        <v>WORTHLESS CREEK_Coho</v>
      </c>
      <c r="BZ268" s="50" t="str">
        <f>IFERROR(VLOOKUP(BY268,'[1]WCVI Esc'!$C$5:$W$555,18,FALSE),"-")</f>
        <v>-</v>
      </c>
      <c r="CA268" s="50" t="str">
        <f t="shared" si="122"/>
        <v>-</v>
      </c>
      <c r="CB268" s="50" t="str">
        <f>IFERROR(VLOOKUP(BY268,'[1]WCVI Esc'!$C$5:$W$555,19,FALSE),"-")</f>
        <v>-</v>
      </c>
      <c r="CC268" s="50" t="str">
        <f t="shared" si="123"/>
        <v>-</v>
      </c>
      <c r="CE268" s="342" t="str">
        <f t="shared" si="124"/>
        <v>WORTHLESS CREEK_Coho</v>
      </c>
      <c r="CF268" s="341" t="str">
        <f>IFERROR(VLOOKUP(BY268,'RawPL+D'!$O$8:$AB$503,12,FALSE),"-")</f>
        <v>-</v>
      </c>
      <c r="CG268" s="338" t="str">
        <f t="shared" si="125"/>
        <v>-</v>
      </c>
      <c r="CH268" s="341" t="str">
        <f>IFERROR(VLOOKUP(BY268,'RawPL+D'!$O$8:$AB$503,13,FALSE),"-")</f>
        <v>-</v>
      </c>
      <c r="CI268" s="338" t="str">
        <f t="shared" si="126"/>
        <v>-</v>
      </c>
    </row>
    <row r="269" spans="1:87" ht="12.75" hidden="1" customHeight="1" x14ac:dyDescent="0.2">
      <c r="A269" s="28">
        <v>4</v>
      </c>
      <c r="B269" s="28">
        <v>3</v>
      </c>
      <c r="C269" s="11">
        <v>22</v>
      </c>
      <c r="D269" s="13" t="s">
        <v>304</v>
      </c>
      <c r="E269" s="10" t="s">
        <v>86</v>
      </c>
      <c r="F269" s="10" t="s">
        <v>208</v>
      </c>
      <c r="G269" s="10"/>
      <c r="H269" s="10"/>
      <c r="I269" s="10"/>
      <c r="J269" s="10"/>
      <c r="K269" s="575"/>
      <c r="L269" s="152"/>
      <c r="M269" s="164"/>
      <c r="N269" s="62"/>
      <c r="O269" s="62"/>
      <c r="P269" s="177"/>
      <c r="Q269" s="171"/>
      <c r="R269" s="62"/>
      <c r="S269" s="62"/>
      <c r="T269" s="62"/>
      <c r="U269" s="795">
        <v>0</v>
      </c>
      <c r="V269" s="164"/>
      <c r="W269" s="62"/>
      <c r="X269" s="62"/>
      <c r="Y269" s="62"/>
      <c r="Z269" s="64"/>
      <c r="AA269" s="164"/>
      <c r="AB269" s="62"/>
      <c r="AC269" s="62"/>
      <c r="AD269" s="64"/>
      <c r="AE269" s="164"/>
      <c r="AF269" s="62"/>
      <c r="AG269" s="62"/>
      <c r="AH269" s="337"/>
      <c r="AI269" s="337"/>
      <c r="AJ269" s="337"/>
      <c r="AK269" s="337"/>
      <c r="AL269" s="414"/>
      <c r="AM269" s="414"/>
      <c r="AN269" s="45"/>
      <c r="AO269" s="45"/>
      <c r="AP269" s="45"/>
      <c r="AQ269" s="485"/>
      <c r="AR269" s="100"/>
      <c r="AS269" s="485"/>
      <c r="AT269" s="100"/>
      <c r="AU269" s="100"/>
      <c r="AV269" s="100"/>
      <c r="AW269" s="18">
        <v>22</v>
      </c>
      <c r="AX269" s="69" t="s">
        <v>304</v>
      </c>
      <c r="AY269" s="243" t="s">
        <v>86</v>
      </c>
      <c r="AZ269" s="243" t="str">
        <f t="shared" si="105"/>
        <v>Pink</v>
      </c>
      <c r="BA269" s="243" t="s">
        <v>419</v>
      </c>
      <c r="BB269" s="244" t="s">
        <v>494</v>
      </c>
      <c r="BC269" s="43" t="str">
        <f t="shared" si="106"/>
        <v>Oct 29-Nov4</v>
      </c>
      <c r="BD269" s="43">
        <f t="shared" si="107"/>
        <v>1</v>
      </c>
      <c r="BE269" s="193">
        <f t="shared" si="108"/>
        <v>0</v>
      </c>
      <c r="BF269" s="193">
        <f t="shared" si="109"/>
        <v>0</v>
      </c>
      <c r="BG269" s="193">
        <f t="shared" si="110"/>
        <v>0</v>
      </c>
      <c r="BH269" s="307" t="str">
        <f t="shared" si="111"/>
        <v>-</v>
      </c>
      <c r="BI269" s="265" t="str">
        <f>CC269</f>
        <v>-</v>
      </c>
      <c r="BJ269" s="26" t="str">
        <f t="shared" si="112"/>
        <v>WORTHLESS CREEKPink</v>
      </c>
      <c r="BK269" s="26">
        <f t="shared" si="113"/>
        <v>1</v>
      </c>
      <c r="BL269" s="33">
        <f t="shared" si="101"/>
        <v>0</v>
      </c>
      <c r="BQ269" s="47" t="str">
        <f t="shared" si="114"/>
        <v>WORTHLESS CREEKPink</v>
      </c>
      <c r="BR269" s="49">
        <f t="shared" si="115"/>
        <v>0</v>
      </c>
      <c r="BS269" s="49">
        <f t="shared" si="116"/>
        <v>0</v>
      </c>
      <c r="BT269" s="31">
        <v>0</v>
      </c>
      <c r="BU269" s="188" t="str">
        <f t="shared" si="117"/>
        <v>MCWright/Nitinat</v>
      </c>
      <c r="BV269" s="188" t="str">
        <f t="shared" si="118"/>
        <v xml:space="preserve"> </v>
      </c>
      <c r="BW269" s="188" t="str">
        <f t="shared" si="119"/>
        <v>Oct 29-Nov4</v>
      </c>
      <c r="BX269" s="188" t="str">
        <f t="shared" si="120"/>
        <v xml:space="preserve"> </v>
      </c>
      <c r="BY269" s="50" t="str">
        <f t="shared" si="121"/>
        <v>WORTHLESS CREEK_Pink</v>
      </c>
      <c r="BZ269" s="50" t="str">
        <f>IFERROR(VLOOKUP(BY269,'[1]WCVI Esc'!$C$5:$W$555,18,FALSE),"-")</f>
        <v>-</v>
      </c>
      <c r="CA269" s="50" t="str">
        <f t="shared" si="122"/>
        <v>-</v>
      </c>
      <c r="CB269" s="50" t="str">
        <f>IFERROR(VLOOKUP(BY269,'[1]WCVI Esc'!$C$5:$W$555,19,FALSE),"-")</f>
        <v>-</v>
      </c>
      <c r="CC269" s="50" t="str">
        <f t="shared" si="123"/>
        <v>-</v>
      </c>
      <c r="CE269" s="342" t="str">
        <f t="shared" si="124"/>
        <v>WORTHLESS CREEK_Pink</v>
      </c>
      <c r="CF269" s="341" t="str">
        <f>IFERROR(VLOOKUP(BY269,'RawPL+D'!$O$8:$AB$503,12,FALSE),"-")</f>
        <v>-</v>
      </c>
      <c r="CG269" s="338" t="str">
        <f t="shared" si="125"/>
        <v>-</v>
      </c>
      <c r="CH269" s="341" t="str">
        <f>IFERROR(VLOOKUP(BY269,'RawPL+D'!$O$8:$AB$503,13,FALSE),"-")</f>
        <v>-</v>
      </c>
      <c r="CI269" s="338" t="str">
        <f t="shared" si="126"/>
        <v>-</v>
      </c>
    </row>
    <row r="270" spans="1:87" ht="12.75" hidden="1" customHeight="1" x14ac:dyDescent="0.2">
      <c r="A270" s="28">
        <v>4</v>
      </c>
      <c r="B270" s="28">
        <v>4</v>
      </c>
      <c r="C270" s="11">
        <v>22</v>
      </c>
      <c r="D270" s="13" t="s">
        <v>304</v>
      </c>
      <c r="E270" s="10" t="s">
        <v>86</v>
      </c>
      <c r="F270" s="10" t="s">
        <v>209</v>
      </c>
      <c r="G270" s="10"/>
      <c r="H270" s="10"/>
      <c r="I270" s="10"/>
      <c r="J270" s="10"/>
      <c r="K270" s="575"/>
      <c r="L270" s="152"/>
      <c r="M270" s="164"/>
      <c r="N270" s="62"/>
      <c r="O270" s="62"/>
      <c r="P270" s="177"/>
      <c r="Q270" s="171"/>
      <c r="R270" s="62"/>
      <c r="S270" s="390"/>
      <c r="T270" s="62"/>
      <c r="U270" s="795">
        <v>0</v>
      </c>
      <c r="V270" s="421"/>
      <c r="W270" s="62"/>
      <c r="X270" s="62"/>
      <c r="Y270" s="62"/>
      <c r="Z270" s="64"/>
      <c r="AA270" s="164"/>
      <c r="AB270" s="62"/>
      <c r="AC270" s="62"/>
      <c r="AD270" s="64"/>
      <c r="AE270" s="164"/>
      <c r="AF270" s="62"/>
      <c r="AG270" s="62"/>
      <c r="AH270" s="337"/>
      <c r="AI270" s="337"/>
      <c r="AJ270" s="337"/>
      <c r="AK270" s="337"/>
      <c r="AL270" s="414"/>
      <c r="AM270" s="414"/>
      <c r="AN270" s="45"/>
      <c r="AO270" s="45"/>
      <c r="AP270" s="45"/>
      <c r="AQ270" s="485"/>
      <c r="AR270" s="100"/>
      <c r="AS270" s="485"/>
      <c r="AT270" s="100"/>
      <c r="AU270" s="100"/>
      <c r="AV270" s="100"/>
      <c r="AW270" s="18">
        <v>22</v>
      </c>
      <c r="AX270" s="69" t="s">
        <v>304</v>
      </c>
      <c r="AY270" s="243" t="s">
        <v>86</v>
      </c>
      <c r="AZ270" s="243" t="str">
        <f t="shared" si="105"/>
        <v>Chum</v>
      </c>
      <c r="BA270" s="243" t="s">
        <v>419</v>
      </c>
      <c r="BB270" s="244" t="s">
        <v>494</v>
      </c>
      <c r="BC270" s="43" t="str">
        <f t="shared" si="106"/>
        <v>Oct 29-Nov4</v>
      </c>
      <c r="BD270" s="43">
        <f t="shared" si="107"/>
        <v>1</v>
      </c>
      <c r="BE270" s="193">
        <f t="shared" si="108"/>
        <v>0</v>
      </c>
      <c r="BF270" s="193">
        <f t="shared" si="109"/>
        <v>0</v>
      </c>
      <c r="BG270" s="193">
        <f t="shared" si="110"/>
        <v>0</v>
      </c>
      <c r="BH270" s="307" t="str">
        <f t="shared" si="111"/>
        <v>-</v>
      </c>
      <c r="BI270" s="265" t="str">
        <f>CC270</f>
        <v>-</v>
      </c>
      <c r="BJ270" s="26" t="str">
        <f t="shared" si="112"/>
        <v>WORTHLESS CREEKChum</v>
      </c>
      <c r="BK270" s="26">
        <f t="shared" si="113"/>
        <v>1</v>
      </c>
      <c r="BL270" s="33">
        <f t="shared" si="101"/>
        <v>0</v>
      </c>
      <c r="BQ270" s="47" t="str">
        <f t="shared" si="114"/>
        <v>WORTHLESS CREEKChum</v>
      </c>
      <c r="BR270" s="49">
        <f t="shared" si="115"/>
        <v>0</v>
      </c>
      <c r="BS270" s="49">
        <f t="shared" si="116"/>
        <v>0</v>
      </c>
      <c r="BT270" s="31">
        <v>0</v>
      </c>
      <c r="BU270" s="188" t="str">
        <f t="shared" si="117"/>
        <v>MCWright/Nitinat</v>
      </c>
      <c r="BV270" s="188" t="str">
        <f t="shared" si="118"/>
        <v xml:space="preserve"> </v>
      </c>
      <c r="BW270" s="188" t="str">
        <f t="shared" si="119"/>
        <v>Oct 29-Nov4</v>
      </c>
      <c r="BX270" s="188" t="str">
        <f t="shared" si="120"/>
        <v xml:space="preserve"> </v>
      </c>
      <c r="BY270" s="50" t="str">
        <f t="shared" si="121"/>
        <v>WORTHLESS CREEK_Chum</v>
      </c>
      <c r="BZ270" s="50" t="str">
        <f>IFERROR(VLOOKUP(BY270,'[1]WCVI Esc'!$C$5:$W$555,18,FALSE),"-")</f>
        <v>-</v>
      </c>
      <c r="CA270" s="50" t="str">
        <f t="shared" si="122"/>
        <v>-</v>
      </c>
      <c r="CB270" s="50" t="str">
        <f>IFERROR(VLOOKUP(BY270,'[1]WCVI Esc'!$C$5:$W$555,19,FALSE),"-")</f>
        <v>-</v>
      </c>
      <c r="CC270" s="50" t="str">
        <f t="shared" si="123"/>
        <v>-</v>
      </c>
      <c r="CE270" s="342" t="str">
        <f t="shared" si="124"/>
        <v>WORTHLESS CREEK_Chum</v>
      </c>
      <c r="CF270" s="341" t="str">
        <f>IFERROR(VLOOKUP(BY270,'RawPL+D'!$O$8:$AB$503,12,FALSE),"-")</f>
        <v>-</v>
      </c>
      <c r="CG270" s="338" t="str">
        <f t="shared" si="125"/>
        <v>-</v>
      </c>
      <c r="CH270" s="341" t="str">
        <f>IFERROR(VLOOKUP(BY270,'RawPL+D'!$O$8:$AB$503,13,FALSE),"-")</f>
        <v>-</v>
      </c>
      <c r="CI270" s="338" t="str">
        <f t="shared" si="126"/>
        <v>-</v>
      </c>
    </row>
    <row r="271" spans="1:87" ht="12.75" hidden="1" customHeight="1" x14ac:dyDescent="0.2">
      <c r="A271" s="28">
        <v>4</v>
      </c>
      <c r="B271" s="28">
        <v>5</v>
      </c>
      <c r="C271" s="11">
        <v>22</v>
      </c>
      <c r="D271" s="13" t="s">
        <v>304</v>
      </c>
      <c r="E271" s="10" t="s">
        <v>86</v>
      </c>
      <c r="F271" s="10" t="s">
        <v>210</v>
      </c>
      <c r="G271" s="10"/>
      <c r="H271" s="10"/>
      <c r="I271" s="10"/>
      <c r="J271" s="10"/>
      <c r="K271" s="575"/>
      <c r="L271" s="152"/>
      <c r="M271" s="164"/>
      <c r="N271" s="62"/>
      <c r="O271" s="62"/>
      <c r="P271" s="177"/>
      <c r="Q271" s="171"/>
      <c r="R271" s="62"/>
      <c r="S271" s="431"/>
      <c r="T271" s="62"/>
      <c r="U271" s="795">
        <v>0</v>
      </c>
      <c r="V271" s="164"/>
      <c r="W271" s="62"/>
      <c r="X271" s="62"/>
      <c r="Y271" s="62"/>
      <c r="Z271" s="64"/>
      <c r="AA271" s="164"/>
      <c r="AB271" s="62"/>
      <c r="AC271" s="62"/>
      <c r="AD271" s="64"/>
      <c r="AE271" s="164"/>
      <c r="AF271" s="62"/>
      <c r="AG271" s="62"/>
      <c r="AH271" s="337"/>
      <c r="AI271" s="337"/>
      <c r="AJ271" s="337"/>
      <c r="AK271" s="337"/>
      <c r="AL271" s="552"/>
      <c r="AM271" s="552"/>
      <c r="AN271" s="45"/>
      <c r="AO271" s="45"/>
      <c r="AP271" s="45"/>
      <c r="AQ271" s="485"/>
      <c r="AR271" s="100"/>
      <c r="AS271" s="485"/>
      <c r="AT271" s="100"/>
      <c r="AU271" s="100"/>
      <c r="AV271" s="100"/>
      <c r="AW271" s="18">
        <v>22</v>
      </c>
      <c r="AX271" s="69" t="s">
        <v>304</v>
      </c>
      <c r="AY271" s="243" t="s">
        <v>86</v>
      </c>
      <c r="AZ271" s="243" t="str">
        <f t="shared" si="105"/>
        <v>Chinook</v>
      </c>
      <c r="BA271" s="243" t="s">
        <v>419</v>
      </c>
      <c r="BB271" s="244" t="s">
        <v>494</v>
      </c>
      <c r="BC271" s="43" t="str">
        <f t="shared" si="106"/>
        <v>Oct 29-Nov4</v>
      </c>
      <c r="BD271" s="43">
        <f t="shared" si="107"/>
        <v>1</v>
      </c>
      <c r="BE271" s="193">
        <f t="shared" si="108"/>
        <v>0</v>
      </c>
      <c r="BF271" s="193">
        <f t="shared" si="109"/>
        <v>0</v>
      </c>
      <c r="BG271" s="193">
        <f t="shared" si="110"/>
        <v>0</v>
      </c>
      <c r="BH271" s="307" t="str">
        <f t="shared" si="111"/>
        <v>-</v>
      </c>
      <c r="BI271" s="265" t="str">
        <f>CC271</f>
        <v>-</v>
      </c>
      <c r="BJ271" s="26" t="str">
        <f t="shared" si="112"/>
        <v>WORTHLESS CREEKChinook</v>
      </c>
      <c r="BK271" s="26">
        <f t="shared" si="113"/>
        <v>1</v>
      </c>
      <c r="BL271" s="33">
        <f t="shared" si="101"/>
        <v>0</v>
      </c>
      <c r="BQ271" s="47" t="str">
        <f t="shared" si="114"/>
        <v>WORTHLESS CREEKChinook</v>
      </c>
      <c r="BR271" s="49">
        <f t="shared" si="115"/>
        <v>0</v>
      </c>
      <c r="BS271" s="49">
        <f t="shared" si="116"/>
        <v>0</v>
      </c>
      <c r="BT271" s="31">
        <v>0</v>
      </c>
      <c r="BU271" s="188" t="str">
        <f t="shared" si="117"/>
        <v>MCWright/Nitinat</v>
      </c>
      <c r="BV271" s="188" t="str">
        <f t="shared" si="118"/>
        <v xml:space="preserve"> </v>
      </c>
      <c r="BW271" s="188" t="str">
        <f t="shared" si="119"/>
        <v>Oct 29-Nov4</v>
      </c>
      <c r="BX271" s="188" t="str">
        <f t="shared" si="120"/>
        <v xml:space="preserve"> </v>
      </c>
      <c r="BY271" s="50" t="str">
        <f t="shared" si="121"/>
        <v>WORTHLESS CREEK_Chinook</v>
      </c>
      <c r="BZ271" s="50" t="str">
        <f>IFERROR(VLOOKUP(BY271,'[1]WCVI Esc'!$C$5:$W$555,18,FALSE),"-")</f>
        <v>-</v>
      </c>
      <c r="CA271" s="50" t="str">
        <f t="shared" si="122"/>
        <v>-</v>
      </c>
      <c r="CB271" s="50" t="str">
        <f>IFERROR(VLOOKUP(BY271,'[1]WCVI Esc'!$C$5:$W$555,19,FALSE),"-")</f>
        <v>-</v>
      </c>
      <c r="CC271" s="50" t="str">
        <f t="shared" si="123"/>
        <v>-</v>
      </c>
      <c r="CE271" s="342" t="str">
        <f t="shared" si="124"/>
        <v>WORTHLESS CREEK_Chinook</v>
      </c>
      <c r="CF271" s="341" t="str">
        <f>IFERROR(VLOOKUP(BY271,'RawPL+D'!$O$8:$AB$503,12,FALSE),"-")</f>
        <v>-</v>
      </c>
      <c r="CG271" s="338" t="str">
        <f t="shared" si="125"/>
        <v>-</v>
      </c>
      <c r="CH271" s="341" t="str">
        <f>IFERROR(VLOOKUP(BY271,'RawPL+D'!$O$8:$AB$503,13,FALSE),"-")</f>
        <v>-</v>
      </c>
      <c r="CI271" s="338" t="str">
        <f t="shared" si="126"/>
        <v>-</v>
      </c>
    </row>
    <row r="272" spans="1:87" ht="12.75" hidden="1" customHeight="1" x14ac:dyDescent="0.2">
      <c r="A272" s="28">
        <v>4</v>
      </c>
      <c r="B272" s="28">
        <v>6</v>
      </c>
      <c r="C272" s="11">
        <v>22</v>
      </c>
      <c r="D272" s="13" t="s">
        <v>304</v>
      </c>
      <c r="E272" s="10" t="s">
        <v>86</v>
      </c>
      <c r="F272" s="10" t="s">
        <v>211</v>
      </c>
      <c r="G272" s="10"/>
      <c r="H272" s="10"/>
      <c r="I272" s="10"/>
      <c r="J272" s="10"/>
      <c r="K272" s="575"/>
      <c r="L272" s="152"/>
      <c r="M272" s="164"/>
      <c r="N272" s="62"/>
      <c r="O272" s="62"/>
      <c r="P272" s="177"/>
      <c r="Q272" s="171"/>
      <c r="R272" s="62"/>
      <c r="S272" s="62"/>
      <c r="T272" s="62"/>
      <c r="U272" s="795">
        <v>0</v>
      </c>
      <c r="V272" s="164"/>
      <c r="W272" s="62"/>
      <c r="X272" s="62"/>
      <c r="Y272" s="62"/>
      <c r="Z272" s="64"/>
      <c r="AA272" s="164"/>
      <c r="AB272" s="62"/>
      <c r="AC272" s="62"/>
      <c r="AD272" s="64"/>
      <c r="AE272" s="164"/>
      <c r="AF272" s="62"/>
      <c r="AG272" s="62"/>
      <c r="AH272" s="337"/>
      <c r="AI272" s="337"/>
      <c r="AJ272" s="337"/>
      <c r="AK272" s="337"/>
      <c r="AL272" s="414"/>
      <c r="AM272" s="414"/>
      <c r="AN272" s="841"/>
      <c r="AO272" s="45"/>
      <c r="AP272" s="45"/>
      <c r="AQ272" s="485"/>
      <c r="AR272" s="100"/>
      <c r="AS272" s="485"/>
      <c r="AT272" s="100"/>
      <c r="AU272" s="100"/>
      <c r="AV272" s="100"/>
      <c r="AW272" s="18">
        <v>22</v>
      </c>
      <c r="AX272" s="69" t="s">
        <v>304</v>
      </c>
      <c r="AY272" s="243" t="s">
        <v>86</v>
      </c>
      <c r="AZ272" s="243" t="str">
        <f t="shared" si="105"/>
        <v>Steelhead</v>
      </c>
      <c r="BA272" s="243" t="s">
        <v>419</v>
      </c>
      <c r="BB272" s="244" t="s">
        <v>494</v>
      </c>
      <c r="BC272" s="43" t="str">
        <f t="shared" si="106"/>
        <v>Oct 29-Nov4</v>
      </c>
      <c r="BD272" s="43">
        <f t="shared" si="107"/>
        <v>1</v>
      </c>
      <c r="BE272" s="193">
        <f t="shared" si="108"/>
        <v>0</v>
      </c>
      <c r="BF272" s="193">
        <f t="shared" si="109"/>
        <v>0</v>
      </c>
      <c r="BG272" s="193">
        <f t="shared" si="110"/>
        <v>0</v>
      </c>
      <c r="BH272" s="307" t="str">
        <f t="shared" si="111"/>
        <v>-</v>
      </c>
      <c r="BI272" s="265" t="str">
        <f>CC272</f>
        <v>-</v>
      </c>
      <c r="BJ272" s="26" t="str">
        <f t="shared" si="112"/>
        <v>WORTHLESS CREEKSteelhead</v>
      </c>
      <c r="BK272" s="26">
        <f t="shared" si="113"/>
        <v>1</v>
      </c>
      <c r="BL272" s="33">
        <f t="shared" si="101"/>
        <v>0</v>
      </c>
      <c r="BQ272" s="47" t="str">
        <f t="shared" si="114"/>
        <v>WORTHLESS CREEKSteelhead</v>
      </c>
      <c r="BR272" s="49">
        <f t="shared" si="115"/>
        <v>0</v>
      </c>
      <c r="BS272" s="49">
        <f t="shared" si="116"/>
        <v>0</v>
      </c>
      <c r="BT272" s="31">
        <v>0</v>
      </c>
      <c r="BU272" s="188" t="str">
        <f t="shared" si="117"/>
        <v>MCWright/Nitinat</v>
      </c>
      <c r="BV272" s="188" t="str">
        <f t="shared" si="118"/>
        <v xml:space="preserve"> </v>
      </c>
      <c r="BW272" s="188" t="str">
        <f t="shared" si="119"/>
        <v>Oct 29-Nov4</v>
      </c>
      <c r="BX272" s="188" t="str">
        <f t="shared" si="120"/>
        <v xml:space="preserve"> </v>
      </c>
      <c r="BY272" s="50" t="str">
        <f t="shared" si="121"/>
        <v>WORTHLESS CREEK_Steelhead</v>
      </c>
      <c r="BZ272" s="50" t="str">
        <f>IFERROR(VLOOKUP(BY272,'[1]WCVI Esc'!$C$5:$W$555,18,FALSE),"-")</f>
        <v>-</v>
      </c>
      <c r="CA272" s="50" t="str">
        <f t="shared" si="122"/>
        <v>-</v>
      </c>
      <c r="CB272" s="50" t="str">
        <f>IFERROR(VLOOKUP(BY272,'[1]WCVI Esc'!$C$5:$W$555,19,FALSE),"-")</f>
        <v>-</v>
      </c>
      <c r="CC272" s="50" t="str">
        <f t="shared" si="123"/>
        <v>-</v>
      </c>
      <c r="CE272" s="342" t="str">
        <f t="shared" si="124"/>
        <v>WORTHLESS CREEK_Steelhead</v>
      </c>
      <c r="CF272" s="341" t="str">
        <f>IFERROR(VLOOKUP(BY272,'RawPL+D'!$O$8:$AB$503,12,FALSE),"-")</f>
        <v>-</v>
      </c>
      <c r="CG272" s="338" t="str">
        <f t="shared" si="125"/>
        <v>-</v>
      </c>
      <c r="CH272" s="341" t="str">
        <f>IFERROR(VLOOKUP(BY272,'RawPL+D'!$O$8:$AB$503,13,FALSE),"-")</f>
        <v>-</v>
      </c>
      <c r="CI272" s="338" t="str">
        <f t="shared" si="126"/>
        <v>-</v>
      </c>
    </row>
    <row r="273" spans="1:87" ht="12.75" hidden="1" customHeight="1" x14ac:dyDescent="0.2">
      <c r="A273" s="29">
        <v>1</v>
      </c>
      <c r="B273" s="29">
        <v>1</v>
      </c>
      <c r="C273" s="13">
        <v>23</v>
      </c>
      <c r="D273" s="148" t="s">
        <v>354</v>
      </c>
      <c r="E273" s="10" t="s">
        <v>416</v>
      </c>
      <c r="F273" s="10" t="s">
        <v>207</v>
      </c>
      <c r="G273" s="10"/>
      <c r="H273" s="10"/>
      <c r="I273" s="10"/>
      <c r="J273" s="10"/>
      <c r="K273" s="62"/>
      <c r="L273" s="64"/>
      <c r="M273" s="164"/>
      <c r="N273" s="62"/>
      <c r="O273" s="677">
        <v>242455</v>
      </c>
      <c r="P273" s="677">
        <v>242494</v>
      </c>
      <c r="Q273" s="687">
        <f>123468+122128</f>
        <v>245596</v>
      </c>
      <c r="R273" s="677">
        <f>123491+121791</f>
        <v>245282</v>
      </c>
      <c r="S273" s="677">
        <f>122018+121798</f>
        <v>243816</v>
      </c>
      <c r="T273" s="62"/>
      <c r="U273" s="703">
        <v>244158</v>
      </c>
      <c r="V273" s="169"/>
      <c r="W273" s="62"/>
      <c r="X273" s="62"/>
      <c r="Y273" s="62"/>
      <c r="Z273" s="64"/>
      <c r="AA273" s="164"/>
      <c r="AB273" s="62"/>
      <c r="AC273" s="62"/>
      <c r="AD273" s="64"/>
      <c r="AE273" s="164"/>
      <c r="AF273" s="62"/>
      <c r="AG273" s="62"/>
      <c r="AH273" s="337"/>
      <c r="AI273" s="337"/>
      <c r="AJ273" s="337"/>
      <c r="AK273" s="337"/>
      <c r="AL273" s="552"/>
      <c r="AM273" s="552"/>
      <c r="AN273" s="841"/>
      <c r="AO273" s="45"/>
      <c r="AP273" s="45"/>
      <c r="AQ273" s="67"/>
      <c r="AR273"/>
      <c r="AS273" s="485"/>
      <c r="AT273" s="100"/>
      <c r="AU273" s="100"/>
      <c r="AV273" s="100"/>
      <c r="AW273" s="69">
        <v>23</v>
      </c>
      <c r="AX273" s="69" t="s">
        <v>354</v>
      </c>
      <c r="AY273" s="243" t="str">
        <f t="shared" ref="AY273:AY278" si="127">E273</f>
        <v>SOMASS SYSTEM</v>
      </c>
      <c r="AZ273" s="243" t="str">
        <f t="shared" si="105"/>
        <v>Sockeye</v>
      </c>
      <c r="BA273" s="243" t="s">
        <v>418</v>
      </c>
      <c r="BB273" s="244" t="s">
        <v>366</v>
      </c>
      <c r="BC273" s="43" t="str">
        <f t="shared" si="106"/>
        <v>Oct 29-Nov4</v>
      </c>
      <c r="BD273" s="292" t="s">
        <v>242</v>
      </c>
      <c r="BE273" s="193">
        <f t="shared" ref="BE273:BE336" si="128">BL273</f>
        <v>245596</v>
      </c>
      <c r="BF273" s="193">
        <f t="shared" si="109"/>
        <v>0</v>
      </c>
      <c r="BG273" s="193">
        <f t="shared" si="110"/>
        <v>0</v>
      </c>
      <c r="BH273" s="307" t="s">
        <v>651</v>
      </c>
      <c r="BI273" s="265" t="s">
        <v>651</v>
      </c>
      <c r="BJ273" s="26" t="str">
        <f t="shared" si="112"/>
        <v>SOMASS SYSTEMSockeye</v>
      </c>
      <c r="BK273" s="26">
        <f t="shared" si="113"/>
        <v>6</v>
      </c>
      <c r="BL273" s="33">
        <f t="shared" si="101"/>
        <v>245596</v>
      </c>
      <c r="BM273" s="34"/>
      <c r="BO273"/>
      <c r="BP273"/>
      <c r="BQ273" s="47" t="str">
        <f t="shared" si="114"/>
        <v>SOMASS SYSTEMSockeye</v>
      </c>
      <c r="BR273" s="49">
        <f t="shared" si="115"/>
        <v>0</v>
      </c>
      <c r="BS273" s="49">
        <f t="shared" si="116"/>
        <v>0</v>
      </c>
      <c r="BT273" s="31">
        <v>2016</v>
      </c>
      <c r="BU273" s="188" t="str">
        <f t="shared" si="117"/>
        <v>Hup/StAD</v>
      </c>
      <c r="BV273" s="188" t="str">
        <f t="shared" si="118"/>
        <v>Oct 1-7</v>
      </c>
      <c r="BW273" s="188" t="str">
        <f t="shared" si="119"/>
        <v>Oct 29-Nov4</v>
      </c>
      <c r="BX273" s="188" t="str">
        <f t="shared" si="120"/>
        <v xml:space="preserve"> </v>
      </c>
      <c r="BY273" s="50" t="str">
        <f t="shared" si="121"/>
        <v>SOMASS SYSTEM_Sockeye</v>
      </c>
      <c r="BZ273" s="50">
        <f>IFERROR(VLOOKUP(BY273,'[1]WCVI Esc'!$C$5:$W$555,18,FALSE),"-")</f>
        <v>325299.25</v>
      </c>
      <c r="CA273" s="50">
        <f t="shared" si="122"/>
        <v>325300</v>
      </c>
      <c r="CB273" s="50">
        <f>IFERROR(VLOOKUP(BY273,'[1]WCVI Esc'!$C$5:$W$555,19,FALSE),"-")</f>
        <v>375055.07315252972</v>
      </c>
      <c r="CC273" s="50">
        <f t="shared" si="123"/>
        <v>375060</v>
      </c>
      <c r="CE273" s="342" t="str">
        <f t="shared" si="124"/>
        <v>SOMASS SYSTEM_Sockeye</v>
      </c>
      <c r="CF273" s="341" t="str">
        <f>IFERROR(VLOOKUP(BY273,'RawPL+D'!$O$8:$AB$503,12,FALSE),"-")</f>
        <v>-</v>
      </c>
      <c r="CG273" s="338" t="str">
        <f t="shared" si="125"/>
        <v>-</v>
      </c>
      <c r="CH273" s="341" t="str">
        <f>IFERROR(VLOOKUP(BY273,'RawPL+D'!$O$8:$AB$503,13,FALSE),"-")</f>
        <v>-</v>
      </c>
      <c r="CI273" s="338" t="str">
        <f t="shared" si="126"/>
        <v>-</v>
      </c>
    </row>
    <row r="274" spans="1:87" ht="12.75" hidden="1" customHeight="1" x14ac:dyDescent="0.2">
      <c r="A274" s="29">
        <v>1</v>
      </c>
      <c r="B274" s="29">
        <v>2</v>
      </c>
      <c r="C274" s="13">
        <v>23</v>
      </c>
      <c r="D274" s="148" t="s">
        <v>354</v>
      </c>
      <c r="E274" s="10" t="s">
        <v>416</v>
      </c>
      <c r="F274" s="10" t="s">
        <v>219</v>
      </c>
      <c r="G274" s="10"/>
      <c r="H274" s="10"/>
      <c r="I274" s="10"/>
      <c r="J274" s="10"/>
      <c r="K274" s="62"/>
      <c r="L274" s="64"/>
      <c r="M274" s="164"/>
      <c r="N274" s="62"/>
      <c r="O274" s="677">
        <v>12016</v>
      </c>
      <c r="P274" s="678">
        <v>15326</v>
      </c>
      <c r="Q274" s="687">
        <f>3647+16017</f>
        <v>19664</v>
      </c>
      <c r="R274" s="706">
        <f>4209+17577</f>
        <v>21786</v>
      </c>
      <c r="S274" s="677">
        <f>4859+18330</f>
        <v>23189</v>
      </c>
      <c r="T274" s="62"/>
      <c r="U274" s="703">
        <v>23711</v>
      </c>
      <c r="V274" s="169"/>
      <c r="W274" s="62"/>
      <c r="X274" s="62"/>
      <c r="Y274" s="62"/>
      <c r="Z274" s="64"/>
      <c r="AA274" s="164"/>
      <c r="AB274" s="62"/>
      <c r="AC274" s="62"/>
      <c r="AD274" s="64"/>
      <c r="AE274" s="164"/>
      <c r="AF274" s="62"/>
      <c r="AG274" s="62"/>
      <c r="AH274" s="337"/>
      <c r="AI274" s="337"/>
      <c r="AJ274" s="337"/>
      <c r="AK274" s="337"/>
      <c r="AL274" s="552"/>
      <c r="AM274" s="552"/>
      <c r="AN274" s="841"/>
      <c r="AO274" s="45"/>
      <c r="AP274" s="45"/>
      <c r="AQ274" s="67"/>
      <c r="AR274"/>
      <c r="AS274" s="485"/>
      <c r="AT274" s="100"/>
      <c r="AU274" s="100"/>
      <c r="AV274" s="100"/>
      <c r="AW274" s="69">
        <v>23</v>
      </c>
      <c r="AX274" s="69" t="s">
        <v>354</v>
      </c>
      <c r="AY274" s="243" t="str">
        <f t="shared" si="127"/>
        <v>SOMASS SYSTEM</v>
      </c>
      <c r="AZ274" s="243" t="str">
        <f t="shared" si="105"/>
        <v>Coho</v>
      </c>
      <c r="BA274" s="243" t="s">
        <v>418</v>
      </c>
      <c r="BB274" s="244" t="s">
        <v>366</v>
      </c>
      <c r="BC274" s="43" t="str">
        <f t="shared" si="106"/>
        <v>Oct 29-Nov4</v>
      </c>
      <c r="BD274" s="292" t="s">
        <v>242</v>
      </c>
      <c r="BE274" s="193">
        <f t="shared" si="128"/>
        <v>23711</v>
      </c>
      <c r="BF274" s="193">
        <f t="shared" si="109"/>
        <v>0</v>
      </c>
      <c r="BG274" s="193">
        <f t="shared" si="110"/>
        <v>0</v>
      </c>
      <c r="BH274" s="307" t="s">
        <v>651</v>
      </c>
      <c r="BI274" s="307" t="s">
        <v>651</v>
      </c>
      <c r="BJ274" s="26" t="str">
        <f t="shared" si="112"/>
        <v>SOMASS SYSTEMCoho</v>
      </c>
      <c r="BK274" s="26">
        <f t="shared" si="113"/>
        <v>6</v>
      </c>
      <c r="BL274" s="33">
        <f t="shared" si="101"/>
        <v>23711</v>
      </c>
      <c r="BO274"/>
      <c r="BP274"/>
      <c r="BQ274" s="47" t="str">
        <f t="shared" si="114"/>
        <v>SOMASS SYSTEMCoho</v>
      </c>
      <c r="BR274" s="49">
        <f t="shared" si="115"/>
        <v>0</v>
      </c>
      <c r="BS274" s="49">
        <f t="shared" si="116"/>
        <v>0</v>
      </c>
      <c r="BT274" s="31">
        <v>2016</v>
      </c>
      <c r="BU274" s="188" t="str">
        <f t="shared" si="117"/>
        <v>Hup/StAD</v>
      </c>
      <c r="BV274" s="188" t="str">
        <f t="shared" si="118"/>
        <v>Oct 1-7</v>
      </c>
      <c r="BW274" s="188" t="str">
        <f t="shared" si="119"/>
        <v>Oct 29-Nov4</v>
      </c>
      <c r="BX274" s="188" t="str">
        <f t="shared" si="120"/>
        <v xml:space="preserve"> </v>
      </c>
      <c r="BY274" s="50" t="str">
        <f t="shared" si="121"/>
        <v>SOMASS SYSTEM_Coho</v>
      </c>
      <c r="BZ274" s="50">
        <f>IFERROR(VLOOKUP(BY274,'[1]WCVI Esc'!$C$5:$W$555,18,FALSE),"-")</f>
        <v>12513.5</v>
      </c>
      <c r="CA274" s="50">
        <f t="shared" si="122"/>
        <v>12510</v>
      </c>
      <c r="CB274" s="50">
        <f>IFERROR(VLOOKUP(BY274,'[1]WCVI Esc'!$C$5:$W$555,19,FALSE),"-")</f>
        <v>25776.323702700916</v>
      </c>
      <c r="CC274" s="50">
        <f t="shared" si="123"/>
        <v>25780</v>
      </c>
      <c r="CE274" s="342" t="str">
        <f t="shared" si="124"/>
        <v>SOMASS SYSTEM_Coho</v>
      </c>
      <c r="CF274" s="341" t="str">
        <f>IFERROR(VLOOKUP(CE274,'RawPL+D'!$O$8:$AB$503,12,FALSE),"-")</f>
        <v>-</v>
      </c>
      <c r="CG274" s="338" t="str">
        <f t="shared" si="125"/>
        <v>-</v>
      </c>
      <c r="CH274" s="341" t="str">
        <f>IFERROR(VLOOKUP(CE274,'RawPL+D'!$O$8:$AB$503,13,FALSE),"-")</f>
        <v>-</v>
      </c>
      <c r="CI274" s="338" t="str">
        <f t="shared" si="126"/>
        <v>-</v>
      </c>
    </row>
    <row r="275" spans="1:87" ht="12.75" hidden="1" customHeight="1" x14ac:dyDescent="0.2">
      <c r="A275" s="29">
        <v>1</v>
      </c>
      <c r="B275" s="29">
        <v>3</v>
      </c>
      <c r="C275" s="13">
        <v>23</v>
      </c>
      <c r="D275" s="148" t="s">
        <v>354</v>
      </c>
      <c r="E275" s="10" t="s">
        <v>416</v>
      </c>
      <c r="F275" s="10" t="s">
        <v>208</v>
      </c>
      <c r="G275" s="10"/>
      <c r="H275" s="10"/>
      <c r="I275" s="10"/>
      <c r="J275" s="10"/>
      <c r="K275" s="62"/>
      <c r="L275" s="64"/>
      <c r="M275" s="164"/>
      <c r="N275" s="62"/>
      <c r="O275" s="677">
        <v>3</v>
      </c>
      <c r="P275" s="678">
        <v>16</v>
      </c>
      <c r="Q275" s="687">
        <v>31</v>
      </c>
      <c r="R275" s="677">
        <v>32</v>
      </c>
      <c r="S275" s="677">
        <f>2+30</f>
        <v>32</v>
      </c>
      <c r="T275" s="62"/>
      <c r="U275" s="703">
        <v>32</v>
      </c>
      <c r="V275" s="169"/>
      <c r="W275" s="62"/>
      <c r="X275" s="62"/>
      <c r="Y275" s="62"/>
      <c r="Z275" s="64"/>
      <c r="AA275" s="164"/>
      <c r="AB275" s="62"/>
      <c r="AC275" s="62"/>
      <c r="AD275" s="64"/>
      <c r="AE275" s="164"/>
      <c r="AF275" s="62"/>
      <c r="AG275" s="62"/>
      <c r="AH275" s="337"/>
      <c r="AI275" s="337"/>
      <c r="AJ275" s="337"/>
      <c r="AK275" s="337"/>
      <c r="AL275" s="552"/>
      <c r="AM275" s="552"/>
      <c r="AN275" s="841"/>
      <c r="AO275" s="45"/>
      <c r="AP275" s="45"/>
      <c r="AQ275" s="15"/>
      <c r="AR275" s="100"/>
      <c r="AS275" s="485"/>
      <c r="AT275" s="100"/>
      <c r="AU275" s="100"/>
      <c r="AV275" s="100"/>
      <c r="AW275" s="69">
        <v>23</v>
      </c>
      <c r="AX275" s="69" t="s">
        <v>354</v>
      </c>
      <c r="AY275" s="243" t="str">
        <f t="shared" si="127"/>
        <v>SOMASS SYSTEM</v>
      </c>
      <c r="AZ275" s="243" t="str">
        <f t="shared" si="105"/>
        <v>Pink</v>
      </c>
      <c r="BA275" s="243" t="s">
        <v>418</v>
      </c>
      <c r="BB275" s="244" t="s">
        <v>366</v>
      </c>
      <c r="BC275" s="43" t="str">
        <f t="shared" si="106"/>
        <v>Oct 29-Nov4</v>
      </c>
      <c r="BD275" s="292" t="s">
        <v>242</v>
      </c>
      <c r="BE275" s="193">
        <f t="shared" si="128"/>
        <v>32</v>
      </c>
      <c r="BF275" s="193">
        <f t="shared" si="109"/>
        <v>0</v>
      </c>
      <c r="BG275" s="193">
        <f t="shared" si="110"/>
        <v>0</v>
      </c>
      <c r="BH275" s="307" t="s">
        <v>651</v>
      </c>
      <c r="BI275" s="265" t="s">
        <v>651</v>
      </c>
      <c r="BJ275" s="26" t="str">
        <f t="shared" si="112"/>
        <v>SOMASS SYSTEMPink</v>
      </c>
      <c r="BK275" s="26">
        <f t="shared" si="113"/>
        <v>6</v>
      </c>
      <c r="BL275" s="33">
        <f t="shared" si="101"/>
        <v>32</v>
      </c>
      <c r="BO275"/>
      <c r="BP275"/>
      <c r="BQ275" s="47" t="str">
        <f t="shared" si="114"/>
        <v>SOMASS SYSTEMPink</v>
      </c>
      <c r="BR275" s="49">
        <f t="shared" si="115"/>
        <v>0</v>
      </c>
      <c r="BS275" s="49">
        <f t="shared" si="116"/>
        <v>0</v>
      </c>
      <c r="BT275" s="31">
        <v>0</v>
      </c>
      <c r="BU275" s="188" t="str">
        <f t="shared" si="117"/>
        <v>Hup/StAD</v>
      </c>
      <c r="BV275" s="188" t="str">
        <f t="shared" si="118"/>
        <v>Oct 1-7</v>
      </c>
      <c r="BW275" s="188" t="str">
        <f t="shared" si="119"/>
        <v>Oct 29-Nov4</v>
      </c>
      <c r="BX275" s="188" t="str">
        <f t="shared" si="120"/>
        <v xml:space="preserve"> </v>
      </c>
      <c r="BY275" s="50" t="str">
        <f t="shared" si="121"/>
        <v>SOMASS SYSTEM_Pink</v>
      </c>
      <c r="BZ275" s="50" t="str">
        <f>IFERROR(VLOOKUP(BY275,'[1]WCVI Esc'!$C$5:$W$555,18,FALSE),"-")</f>
        <v>-</v>
      </c>
      <c r="CA275" s="50" t="str">
        <f t="shared" si="122"/>
        <v>-</v>
      </c>
      <c r="CB275" s="50">
        <f>IFERROR(VLOOKUP(BY275,'[1]WCVI Esc'!$C$5:$W$555,19,FALSE),"-")</f>
        <v>18.916666666666668</v>
      </c>
      <c r="CC275" s="50">
        <f t="shared" si="123"/>
        <v>20</v>
      </c>
      <c r="CE275" s="342" t="str">
        <f t="shared" si="124"/>
        <v>SOMASS SYSTEM_Pink</v>
      </c>
      <c r="CF275" s="341" t="str">
        <f>IFERROR(VLOOKUP(BY275,'RawPL+D'!$O$8:$AB$503,12,FALSE),"-")</f>
        <v>-</v>
      </c>
      <c r="CG275" s="338" t="str">
        <f t="shared" si="125"/>
        <v>-</v>
      </c>
      <c r="CH275" s="341" t="str">
        <f>IFERROR(VLOOKUP(BY275,'RawPL+D'!$O$8:$AB$503,13,FALSE),"-")</f>
        <v>-</v>
      </c>
      <c r="CI275" s="338" t="str">
        <f t="shared" si="126"/>
        <v>-</v>
      </c>
    </row>
    <row r="276" spans="1:87" ht="12.75" hidden="1" customHeight="1" x14ac:dyDescent="0.2">
      <c r="A276" s="29">
        <v>1</v>
      </c>
      <c r="B276" s="29">
        <v>4</v>
      </c>
      <c r="C276" s="13">
        <v>23</v>
      </c>
      <c r="D276" s="148" t="s">
        <v>354</v>
      </c>
      <c r="E276" s="10" t="s">
        <v>416</v>
      </c>
      <c r="F276" s="10" t="s">
        <v>209</v>
      </c>
      <c r="G276" s="10"/>
      <c r="H276" s="10"/>
      <c r="I276" s="10"/>
      <c r="J276" s="10"/>
      <c r="K276" s="62"/>
      <c r="L276" s="64"/>
      <c r="M276" s="164"/>
      <c r="N276" s="62"/>
      <c r="O276" s="677">
        <v>7</v>
      </c>
      <c r="P276" s="678">
        <v>10</v>
      </c>
      <c r="Q276" s="687">
        <v>18</v>
      </c>
      <c r="R276" s="677">
        <v>33</v>
      </c>
      <c r="S276" s="677">
        <f>2+52</f>
        <v>54</v>
      </c>
      <c r="T276" s="62"/>
      <c r="U276" s="703">
        <v>55</v>
      </c>
      <c r="V276" s="169"/>
      <c r="W276" s="62"/>
      <c r="X276" s="62"/>
      <c r="Y276" s="62"/>
      <c r="Z276" s="64"/>
      <c r="AA276" s="164"/>
      <c r="AB276" s="62"/>
      <c r="AC276" s="62"/>
      <c r="AD276" s="64"/>
      <c r="AE276" s="164"/>
      <c r="AF276" s="62"/>
      <c r="AG276" s="62"/>
      <c r="AH276" s="337"/>
      <c r="AI276" s="337"/>
      <c r="AJ276" s="337"/>
      <c r="AK276" s="337"/>
      <c r="AL276" s="552"/>
      <c r="AM276" s="552"/>
      <c r="AN276" s="841"/>
      <c r="AO276" s="45"/>
      <c r="AP276" s="45"/>
      <c r="AQ276" s="15"/>
      <c r="AR276" s="100"/>
      <c r="AS276" s="485"/>
      <c r="AT276" s="100"/>
      <c r="AU276" s="100"/>
      <c r="AV276" s="100"/>
      <c r="AW276" s="69">
        <v>23</v>
      </c>
      <c r="AX276" s="69" t="s">
        <v>354</v>
      </c>
      <c r="AY276" s="243" t="str">
        <f t="shared" si="127"/>
        <v>SOMASS SYSTEM</v>
      </c>
      <c r="AZ276" s="243" t="str">
        <f t="shared" si="105"/>
        <v>Chum</v>
      </c>
      <c r="BA276" s="243" t="s">
        <v>418</v>
      </c>
      <c r="BB276" s="244" t="s">
        <v>366</v>
      </c>
      <c r="BC276" s="43" t="str">
        <f t="shared" si="106"/>
        <v>Oct 29-Nov4</v>
      </c>
      <c r="BD276" s="292" t="s">
        <v>242</v>
      </c>
      <c r="BE276" s="193">
        <f t="shared" si="128"/>
        <v>55</v>
      </c>
      <c r="BF276" s="193">
        <f t="shared" si="109"/>
        <v>0</v>
      </c>
      <c r="BG276" s="193">
        <f t="shared" si="110"/>
        <v>0</v>
      </c>
      <c r="BH276" s="307" t="s">
        <v>651</v>
      </c>
      <c r="BI276" s="265"/>
      <c r="BJ276" s="26" t="str">
        <f t="shared" si="112"/>
        <v>SOMASS SYSTEMChum</v>
      </c>
      <c r="BK276" s="26">
        <f t="shared" si="113"/>
        <v>6</v>
      </c>
      <c r="BL276" s="33">
        <f t="shared" si="101"/>
        <v>55</v>
      </c>
      <c r="BO276"/>
      <c r="BP276"/>
      <c r="BQ276" s="47" t="str">
        <f t="shared" si="114"/>
        <v>SOMASS SYSTEMChum</v>
      </c>
      <c r="BR276" s="49">
        <f t="shared" si="115"/>
        <v>0</v>
      </c>
      <c r="BS276" s="49">
        <f t="shared" si="116"/>
        <v>0</v>
      </c>
      <c r="BT276" s="31">
        <v>2016</v>
      </c>
      <c r="BU276" s="188" t="str">
        <f t="shared" si="117"/>
        <v>Hup/StAD</v>
      </c>
      <c r="BV276" s="188" t="str">
        <f t="shared" si="118"/>
        <v>Oct 1-7</v>
      </c>
      <c r="BW276" s="188" t="str">
        <f t="shared" si="119"/>
        <v>Oct 29-Nov4</v>
      </c>
      <c r="BX276" s="188" t="str">
        <f t="shared" si="120"/>
        <v xml:space="preserve"> </v>
      </c>
      <c r="BY276" s="50" t="str">
        <f t="shared" si="121"/>
        <v>SOMASS SYSTEM_Chum</v>
      </c>
      <c r="BZ276" s="50" t="str">
        <f>IFERROR(VLOOKUP(BY276,'[1]WCVI Esc'!$C$5:$W$555,18,FALSE),"-")</f>
        <v>-</v>
      </c>
      <c r="CA276" s="50" t="str">
        <f t="shared" si="122"/>
        <v>-</v>
      </c>
      <c r="CB276" s="50">
        <f>IFERROR(VLOOKUP(BY276,'[1]WCVI Esc'!$C$5:$W$555,19,FALSE),"-")</f>
        <v>95.008333333333326</v>
      </c>
      <c r="CC276" s="50">
        <f t="shared" si="123"/>
        <v>100</v>
      </c>
      <c r="CE276" s="342" t="str">
        <f t="shared" si="124"/>
        <v>SOMASS SYSTEM_Chum</v>
      </c>
      <c r="CF276" s="341" t="str">
        <f>IFERROR(VLOOKUP(BY276,'RawPL+D'!$O$8:$AB$503,12,FALSE),"-")</f>
        <v>-</v>
      </c>
      <c r="CG276" s="338" t="str">
        <f t="shared" si="125"/>
        <v>-</v>
      </c>
      <c r="CH276" s="341" t="str">
        <f>IFERROR(VLOOKUP(BY276,'RawPL+D'!$O$8:$AB$503,13,FALSE),"-")</f>
        <v>-</v>
      </c>
      <c r="CI276" s="338" t="str">
        <f t="shared" si="126"/>
        <v>-</v>
      </c>
    </row>
    <row r="277" spans="1:87" ht="12.75" hidden="1" customHeight="1" x14ac:dyDescent="0.2">
      <c r="A277" s="29">
        <v>1</v>
      </c>
      <c r="B277" s="29">
        <v>5</v>
      </c>
      <c r="C277" s="13">
        <v>23</v>
      </c>
      <c r="D277" s="148" t="s">
        <v>354</v>
      </c>
      <c r="E277" s="10" t="s">
        <v>416</v>
      </c>
      <c r="F277" s="10" t="s">
        <v>210</v>
      </c>
      <c r="G277" s="10"/>
      <c r="H277" s="10"/>
      <c r="I277" s="10"/>
      <c r="J277" s="10"/>
      <c r="K277" s="62"/>
      <c r="L277" s="594"/>
      <c r="M277" s="595"/>
      <c r="N277" s="62"/>
      <c r="O277" s="677">
        <v>25134</v>
      </c>
      <c r="P277" s="678">
        <v>35937</v>
      </c>
      <c r="Q277" s="687">
        <f>31+69725</f>
        <v>69756</v>
      </c>
      <c r="R277" s="677">
        <f>66+84461</f>
        <v>84527</v>
      </c>
      <c r="S277" s="712">
        <f>175+95789</f>
        <v>95964</v>
      </c>
      <c r="T277" s="62"/>
      <c r="U277" s="806">
        <v>98345</v>
      </c>
      <c r="V277" s="169"/>
      <c r="W277" s="62"/>
      <c r="X277" s="62"/>
      <c r="Y277" s="62"/>
      <c r="Z277" s="64"/>
      <c r="AA277" s="164"/>
      <c r="AB277" s="62"/>
      <c r="AC277" s="62"/>
      <c r="AD277" s="64"/>
      <c r="AE277" s="164"/>
      <c r="AF277" s="62"/>
      <c r="AG277" s="62"/>
      <c r="AH277" s="337"/>
      <c r="AI277" s="337"/>
      <c r="AJ277" s="337"/>
      <c r="AK277" s="337"/>
      <c r="AL277" s="552"/>
      <c r="AM277" s="552"/>
      <c r="AN277" s="841"/>
      <c r="AO277" s="45"/>
      <c r="AP277" s="45"/>
      <c r="AQ277" s="67"/>
      <c r="AR277"/>
      <c r="AS277" s="485"/>
      <c r="AT277" s="293"/>
      <c r="AU277" s="100"/>
      <c r="AV277" s="100"/>
      <c r="AW277" s="69">
        <v>23</v>
      </c>
      <c r="AX277" s="69" t="s">
        <v>354</v>
      </c>
      <c r="AY277" s="243" t="str">
        <f t="shared" si="127"/>
        <v>SOMASS SYSTEM</v>
      </c>
      <c r="AZ277" s="243" t="str">
        <f t="shared" si="105"/>
        <v>Chinook</v>
      </c>
      <c r="BA277" s="243" t="s">
        <v>418</v>
      </c>
      <c r="BB277" s="244" t="s">
        <v>366</v>
      </c>
      <c r="BC277" s="43" t="str">
        <f t="shared" si="106"/>
        <v>Oct 29-Nov4</v>
      </c>
      <c r="BD277" s="292" t="s">
        <v>242</v>
      </c>
      <c r="BE277" s="193">
        <f t="shared" si="128"/>
        <v>98345</v>
      </c>
      <c r="BF277" s="193">
        <f t="shared" si="109"/>
        <v>0</v>
      </c>
      <c r="BG277" s="193">
        <f t="shared" si="110"/>
        <v>0</v>
      </c>
      <c r="BH277" s="307" t="s">
        <v>651</v>
      </c>
      <c r="BI277" s="265" t="s">
        <v>651</v>
      </c>
      <c r="BJ277" s="26" t="str">
        <f t="shared" si="112"/>
        <v>SOMASS SYSTEMChinook</v>
      </c>
      <c r="BK277" s="26">
        <f t="shared" si="113"/>
        <v>6</v>
      </c>
      <c r="BL277" s="33">
        <f t="shared" si="101"/>
        <v>98345</v>
      </c>
      <c r="BO277"/>
      <c r="BP277"/>
      <c r="BQ277" s="47" t="str">
        <f t="shared" si="114"/>
        <v>SOMASS SYSTEMChinook</v>
      </c>
      <c r="BR277" s="49">
        <f t="shared" si="115"/>
        <v>0</v>
      </c>
      <c r="BS277" s="49">
        <f t="shared" si="116"/>
        <v>0</v>
      </c>
      <c r="BT277" s="31">
        <v>2016</v>
      </c>
      <c r="BU277" s="188" t="str">
        <f t="shared" si="117"/>
        <v>Hup/StAD</v>
      </c>
      <c r="BV277" s="188" t="str">
        <f t="shared" si="118"/>
        <v>Oct 1-7</v>
      </c>
      <c r="BW277" s="188" t="str">
        <f t="shared" si="119"/>
        <v>Oct 29-Nov4</v>
      </c>
      <c r="BX277" s="188" t="str">
        <f t="shared" si="120"/>
        <v xml:space="preserve"> </v>
      </c>
      <c r="BY277" s="50" t="str">
        <f t="shared" si="121"/>
        <v>SOMASS SYSTEM_Chinook</v>
      </c>
      <c r="BZ277" s="50">
        <f>IFERROR(VLOOKUP(BY277,'[1]WCVI Esc'!$C$5:$W$555,18,FALSE),"-")</f>
        <v>14578.75</v>
      </c>
      <c r="CA277" s="50">
        <f t="shared" si="122"/>
        <v>14580</v>
      </c>
      <c r="CB277" s="50">
        <f>IFERROR(VLOOKUP(BY277,'[1]WCVI Esc'!$C$5:$W$555,19,FALSE),"-")</f>
        <v>15395.666666666666</v>
      </c>
      <c r="CC277" s="50">
        <f t="shared" si="123"/>
        <v>15400</v>
      </c>
      <c r="CE277" s="342" t="str">
        <f t="shared" si="124"/>
        <v>SOMASS SYSTEM_Chinook</v>
      </c>
      <c r="CF277" s="341" t="str">
        <f>IFERROR(VLOOKUP(BY277,'RawPL+D'!$O$8:$AB$503,12,FALSE),"-")</f>
        <v>-</v>
      </c>
      <c r="CG277" s="338" t="str">
        <f t="shared" si="125"/>
        <v>-</v>
      </c>
      <c r="CH277" s="341" t="str">
        <f>IFERROR(VLOOKUP(BY277,'RawPL+D'!$O$8:$AB$503,13,FALSE),"-")</f>
        <v>-</v>
      </c>
      <c r="CI277" s="338" t="str">
        <f t="shared" si="126"/>
        <v>-</v>
      </c>
    </row>
    <row r="278" spans="1:87" ht="12.75" hidden="1" customHeight="1" x14ac:dyDescent="0.2">
      <c r="A278" s="29">
        <v>1</v>
      </c>
      <c r="B278" s="29">
        <v>6</v>
      </c>
      <c r="C278" s="13">
        <v>23</v>
      </c>
      <c r="D278" s="148" t="s">
        <v>354</v>
      </c>
      <c r="E278" s="10" t="s">
        <v>416</v>
      </c>
      <c r="F278" s="10" t="s">
        <v>211</v>
      </c>
      <c r="G278" s="10"/>
      <c r="H278" s="10"/>
      <c r="I278" s="10"/>
      <c r="J278" s="10"/>
      <c r="K278" s="62"/>
      <c r="L278" s="64"/>
      <c r="M278" s="164"/>
      <c r="N278" s="62"/>
      <c r="O278" s="677"/>
      <c r="P278" s="177"/>
      <c r="Q278" s="593"/>
      <c r="R278" s="62"/>
      <c r="S278" s="62"/>
      <c r="T278" s="62"/>
      <c r="U278" s="64"/>
      <c r="V278" s="169"/>
      <c r="W278" s="62"/>
      <c r="X278" s="62"/>
      <c r="Y278" s="62"/>
      <c r="Z278" s="64"/>
      <c r="AA278" s="164"/>
      <c r="AB278" s="62"/>
      <c r="AC278" s="62"/>
      <c r="AD278" s="64"/>
      <c r="AE278" s="164"/>
      <c r="AF278" s="62"/>
      <c r="AG278" s="62"/>
      <c r="AH278" s="337"/>
      <c r="AI278" s="337"/>
      <c r="AJ278" s="337"/>
      <c r="AK278" s="337"/>
      <c r="AL278" s="552"/>
      <c r="AM278" s="552"/>
      <c r="AN278" s="45"/>
      <c r="AO278" s="45"/>
      <c r="AP278" s="45"/>
      <c r="AQ278" s="67"/>
      <c r="AR278" s="100"/>
      <c r="AS278" s="485"/>
      <c r="AT278" s="100"/>
      <c r="AU278" s="100"/>
      <c r="AV278" s="100"/>
      <c r="AW278" s="69">
        <v>23</v>
      </c>
      <c r="AX278" s="69" t="s">
        <v>354</v>
      </c>
      <c r="AY278" s="243" t="str">
        <f t="shared" si="127"/>
        <v>SOMASS SYSTEM</v>
      </c>
      <c r="AZ278" s="243" t="str">
        <f t="shared" si="105"/>
        <v>Steelhead</v>
      </c>
      <c r="BA278" s="243" t="s">
        <v>418</v>
      </c>
      <c r="BB278" s="244" t="s">
        <v>366</v>
      </c>
      <c r="BC278" s="43" t="str">
        <f t="shared" si="106"/>
        <v>-</v>
      </c>
      <c r="BD278" s="292" t="s">
        <v>242</v>
      </c>
      <c r="BE278" s="193">
        <f t="shared" si="128"/>
        <v>0</v>
      </c>
      <c r="BF278" s="193">
        <f t="shared" si="109"/>
        <v>0</v>
      </c>
      <c r="BG278" s="193">
        <f t="shared" si="110"/>
        <v>0</v>
      </c>
      <c r="BH278" s="307" t="s">
        <v>651</v>
      </c>
      <c r="BI278" s="265" t="str">
        <f t="shared" ref="BI278:BI284" si="129">CC278</f>
        <v>-</v>
      </c>
      <c r="BJ278" s="26" t="str">
        <f t="shared" si="112"/>
        <v>SOMASS SYSTEMSteelhead</v>
      </c>
      <c r="BK278" s="26">
        <f t="shared" si="113"/>
        <v>0</v>
      </c>
      <c r="BL278" s="33">
        <f t="shared" si="101"/>
        <v>0</v>
      </c>
      <c r="BO278"/>
      <c r="BP278"/>
      <c r="BQ278" s="47" t="str">
        <f t="shared" si="114"/>
        <v>SOMASS SYSTEMSteelhead</v>
      </c>
      <c r="BR278" s="49">
        <f t="shared" si="115"/>
        <v>0</v>
      </c>
      <c r="BS278" s="49">
        <f t="shared" si="116"/>
        <v>0</v>
      </c>
      <c r="BT278" s="31">
        <v>0</v>
      </c>
      <c r="BU278" s="188" t="str">
        <f t="shared" si="117"/>
        <v>Hup/StAD</v>
      </c>
      <c r="BV278" s="188" t="str">
        <f t="shared" si="118"/>
        <v xml:space="preserve"> </v>
      </c>
      <c r="BW278" s="188" t="str">
        <f t="shared" si="119"/>
        <v xml:space="preserve"> </v>
      </c>
      <c r="BX278" s="188" t="str">
        <f t="shared" si="120"/>
        <v xml:space="preserve"> </v>
      </c>
      <c r="BY278" s="50" t="str">
        <f t="shared" si="121"/>
        <v>SOMASS SYSTEM_Steelhead</v>
      </c>
      <c r="BZ278" s="50" t="str">
        <f>IFERROR(VLOOKUP(BY278,'[1]WCVI Esc'!$C$5:$W$555,18,FALSE),"-")</f>
        <v>-</v>
      </c>
      <c r="CA278" s="50" t="str">
        <f t="shared" si="122"/>
        <v>-</v>
      </c>
      <c r="CB278" s="50" t="str">
        <f>IFERROR(VLOOKUP(BY278,'[1]WCVI Esc'!$C$5:$W$555,19,FALSE),"-")</f>
        <v>-</v>
      </c>
      <c r="CC278" s="50" t="str">
        <f t="shared" si="123"/>
        <v>-</v>
      </c>
      <c r="CE278" s="342" t="str">
        <f t="shared" si="124"/>
        <v>SOMASS SYSTEM_Steelhead</v>
      </c>
      <c r="CF278" s="341" t="str">
        <f>IFERROR(VLOOKUP(BY278,'RawPL+D'!$O$8:$AB$503,12,FALSE),"-")</f>
        <v>-</v>
      </c>
      <c r="CG278" s="338" t="str">
        <f t="shared" si="125"/>
        <v>-</v>
      </c>
      <c r="CH278" s="341" t="str">
        <f>IFERROR(VLOOKUP(BY278,'RawPL+D'!$O$8:$AB$503,13,FALSE),"-")</f>
        <v>-</v>
      </c>
      <c r="CI278" s="338" t="str">
        <f t="shared" si="126"/>
        <v>-</v>
      </c>
    </row>
    <row r="279" spans="1:87" ht="12.75" hidden="1" customHeight="1" x14ac:dyDescent="0.2">
      <c r="A279" s="29">
        <v>3</v>
      </c>
      <c r="B279" s="29">
        <v>1</v>
      </c>
      <c r="C279" s="13">
        <v>23</v>
      </c>
      <c r="D279" s="148" t="s">
        <v>354</v>
      </c>
      <c r="E279" s="10" t="s">
        <v>221</v>
      </c>
      <c r="F279" s="10" t="s">
        <v>207</v>
      </c>
      <c r="G279" s="10"/>
      <c r="H279" s="10"/>
      <c r="I279" s="10"/>
      <c r="J279" s="10"/>
      <c r="K279" s="575"/>
      <c r="L279" s="152"/>
      <c r="M279" s="164"/>
      <c r="N279" s="62"/>
      <c r="O279" s="62"/>
      <c r="P279" s="177"/>
      <c r="Q279" s="171"/>
      <c r="R279" s="62"/>
      <c r="S279" s="62"/>
      <c r="T279" s="62"/>
      <c r="U279" s="64"/>
      <c r="V279" s="164"/>
      <c r="W279" s="62"/>
      <c r="X279" s="62"/>
      <c r="Y279" s="62"/>
      <c r="Z279" s="64"/>
      <c r="AA279" s="164"/>
      <c r="AB279" s="62"/>
      <c r="AC279" s="62"/>
      <c r="AD279" s="64"/>
      <c r="AE279" s="164"/>
      <c r="AF279" s="62"/>
      <c r="AG279" s="62"/>
      <c r="AH279" s="337"/>
      <c r="AI279" s="337"/>
      <c r="AJ279" s="337"/>
      <c r="AK279" s="337"/>
      <c r="AL279" s="414"/>
      <c r="AM279" s="414"/>
      <c r="AN279" s="45"/>
      <c r="AO279" s="45"/>
      <c r="AP279" s="44"/>
      <c r="AQ279" s="396"/>
      <c r="AR279" s="100"/>
      <c r="AS279" s="485"/>
      <c r="AT279" s="123"/>
      <c r="AU279" s="123"/>
      <c r="AV279" s="123"/>
      <c r="AW279" s="69">
        <v>23</v>
      </c>
      <c r="AX279" s="69" t="s">
        <v>354</v>
      </c>
      <c r="AY279" s="243" t="s">
        <v>221</v>
      </c>
      <c r="AZ279" s="243" t="str">
        <f t="shared" si="105"/>
        <v>Sockeye</v>
      </c>
      <c r="BA279" s="243" t="s">
        <v>419</v>
      </c>
      <c r="BB279" s="244" t="s">
        <v>366</v>
      </c>
      <c r="BC279" s="43" t="str">
        <f t="shared" si="106"/>
        <v>-</v>
      </c>
      <c r="BD279" s="43">
        <f t="shared" ref="BD279:BD284" si="130">BK279</f>
        <v>0</v>
      </c>
      <c r="BE279" s="193">
        <f t="shared" si="128"/>
        <v>0</v>
      </c>
      <c r="BF279" s="193">
        <f t="shared" si="109"/>
        <v>0</v>
      </c>
      <c r="BG279" s="193">
        <f t="shared" si="110"/>
        <v>0</v>
      </c>
      <c r="BH279" s="307" t="str">
        <f t="shared" ref="BH279:BH310" si="131">CI279</f>
        <v>-</v>
      </c>
      <c r="BI279" s="265" t="str">
        <f t="shared" si="129"/>
        <v>-</v>
      </c>
      <c r="BJ279" s="26" t="str">
        <f t="shared" si="112"/>
        <v>SOMASS RIVER (Lower)Sockeye</v>
      </c>
      <c r="BK279" s="26">
        <f t="shared" si="113"/>
        <v>0</v>
      </c>
      <c r="BL279" s="33">
        <f t="shared" si="101"/>
        <v>0</v>
      </c>
      <c r="BO279"/>
      <c r="BQ279" s="47" t="str">
        <f t="shared" si="114"/>
        <v>SOMASS RIVER (Lower)Sockeye</v>
      </c>
      <c r="BR279" s="49">
        <f t="shared" si="115"/>
        <v>0</v>
      </c>
      <c r="BS279" s="49">
        <f t="shared" si="116"/>
        <v>0</v>
      </c>
      <c r="BT279" s="31">
        <v>2016</v>
      </c>
      <c r="BU279" s="188" t="str">
        <f t="shared" si="117"/>
        <v>Hup/StAD</v>
      </c>
      <c r="BV279" s="188" t="str">
        <f t="shared" si="118"/>
        <v xml:space="preserve"> </v>
      </c>
      <c r="BW279" s="188" t="str">
        <f t="shared" si="119"/>
        <v xml:space="preserve"> </v>
      </c>
      <c r="BX279" s="188" t="str">
        <f t="shared" si="120"/>
        <v xml:space="preserve"> </v>
      </c>
      <c r="BY279" s="50" t="str">
        <f t="shared" si="121"/>
        <v>SOMASS RIVER (Lower)_Sockeye</v>
      </c>
      <c r="BZ279" s="50" t="str">
        <f>IFERROR(VLOOKUP(BY279,'[1]WCVI Esc'!$C$5:$W$555,18,FALSE),"-")</f>
        <v>-</v>
      </c>
      <c r="CA279" s="50" t="str">
        <f t="shared" si="122"/>
        <v>-</v>
      </c>
      <c r="CB279" s="50" t="str">
        <f>IFERROR(VLOOKUP(BY279,'[1]WCVI Esc'!$C$5:$W$555,19,FALSE),"-")</f>
        <v>-</v>
      </c>
      <c r="CC279" s="50" t="str">
        <f t="shared" si="123"/>
        <v>-</v>
      </c>
      <c r="CE279" s="342" t="str">
        <f t="shared" si="124"/>
        <v>SOMASS RIVER (Lower)_Sockeye</v>
      </c>
      <c r="CF279" s="341" t="str">
        <f>IFERROR(VLOOKUP(BY279,'RawPL+D'!$O$8:$AB$503,12,FALSE),"-")</f>
        <v>-</v>
      </c>
      <c r="CG279" s="338" t="str">
        <f t="shared" si="125"/>
        <v>-</v>
      </c>
      <c r="CH279" s="341" t="str">
        <f>IFERROR(VLOOKUP(BY279,'RawPL+D'!$O$8:$AB$503,13,FALSE),"-")</f>
        <v>-</v>
      </c>
      <c r="CI279" s="338" t="str">
        <f t="shared" si="126"/>
        <v>-</v>
      </c>
    </row>
    <row r="280" spans="1:87" ht="12.75" hidden="1" customHeight="1" x14ac:dyDescent="0.2">
      <c r="A280" s="29">
        <v>3</v>
      </c>
      <c r="B280" s="29">
        <v>2</v>
      </c>
      <c r="C280" s="13">
        <v>23</v>
      </c>
      <c r="D280" s="148" t="s">
        <v>354</v>
      </c>
      <c r="E280" s="10" t="s">
        <v>221</v>
      </c>
      <c r="F280" s="10" t="s">
        <v>219</v>
      </c>
      <c r="G280" s="10"/>
      <c r="H280" s="10"/>
      <c r="I280" s="10"/>
      <c r="J280" s="10"/>
      <c r="K280" s="575"/>
      <c r="L280" s="152"/>
      <c r="M280" s="164"/>
      <c r="N280" s="62"/>
      <c r="O280" s="62"/>
      <c r="P280" s="177"/>
      <c r="Q280" s="171"/>
      <c r="R280" s="62"/>
      <c r="S280" s="62"/>
      <c r="T280" s="62"/>
      <c r="U280" s="64"/>
      <c r="V280" s="164"/>
      <c r="W280" s="62"/>
      <c r="X280" s="62"/>
      <c r="Y280" s="62"/>
      <c r="Z280" s="64"/>
      <c r="AA280" s="164"/>
      <c r="AB280" s="62"/>
      <c r="AC280" s="62"/>
      <c r="AD280" s="64"/>
      <c r="AE280" s="164"/>
      <c r="AF280" s="62"/>
      <c r="AG280" s="62"/>
      <c r="AH280" s="337"/>
      <c r="AI280" s="337"/>
      <c r="AJ280" s="337"/>
      <c r="AK280" s="337"/>
      <c r="AL280" s="414"/>
      <c r="AM280" s="414"/>
      <c r="AN280" s="45"/>
      <c r="AO280" s="45"/>
      <c r="AP280" s="44"/>
      <c r="AQ280" s="396"/>
      <c r="AR280" s="100"/>
      <c r="AS280" s="485"/>
      <c r="AT280" s="123"/>
      <c r="AU280" s="123"/>
      <c r="AV280" s="123"/>
      <c r="AW280" s="69">
        <v>23</v>
      </c>
      <c r="AX280" s="69" t="s">
        <v>354</v>
      </c>
      <c r="AY280" s="243" t="s">
        <v>221</v>
      </c>
      <c r="AZ280" s="243" t="str">
        <f t="shared" si="105"/>
        <v>Coho</v>
      </c>
      <c r="BA280" s="243" t="s">
        <v>419</v>
      </c>
      <c r="BB280" s="244" t="s">
        <v>366</v>
      </c>
      <c r="BC280" s="43" t="str">
        <f t="shared" si="106"/>
        <v>-</v>
      </c>
      <c r="BD280" s="43">
        <f t="shared" si="130"/>
        <v>0</v>
      </c>
      <c r="BE280" s="193">
        <f t="shared" si="128"/>
        <v>0</v>
      </c>
      <c r="BF280" s="193">
        <f t="shared" si="109"/>
        <v>0</v>
      </c>
      <c r="BG280" s="193">
        <f t="shared" si="110"/>
        <v>0</v>
      </c>
      <c r="BH280" s="307" t="str">
        <f t="shared" si="131"/>
        <v>-</v>
      </c>
      <c r="BI280" s="265" t="str">
        <f t="shared" si="129"/>
        <v>-</v>
      </c>
      <c r="BJ280" s="26" t="str">
        <f t="shared" si="112"/>
        <v>SOMASS RIVER (Lower)Coho</v>
      </c>
      <c r="BK280" s="26">
        <f t="shared" si="113"/>
        <v>0</v>
      </c>
      <c r="BL280" s="33">
        <f t="shared" si="101"/>
        <v>0</v>
      </c>
      <c r="BO280"/>
      <c r="BQ280" s="47" t="str">
        <f t="shared" si="114"/>
        <v>SOMASS RIVER (Lower)Coho</v>
      </c>
      <c r="BR280" s="49">
        <f t="shared" si="115"/>
        <v>0</v>
      </c>
      <c r="BS280" s="49">
        <f t="shared" si="116"/>
        <v>0</v>
      </c>
      <c r="BT280" s="31">
        <v>2016</v>
      </c>
      <c r="BU280" s="188" t="str">
        <f t="shared" si="117"/>
        <v>Hup/StAD</v>
      </c>
      <c r="BV280" s="188" t="str">
        <f t="shared" si="118"/>
        <v xml:space="preserve"> </v>
      </c>
      <c r="BW280" s="188" t="str">
        <f t="shared" si="119"/>
        <v xml:space="preserve"> </v>
      </c>
      <c r="BX280" s="188" t="str">
        <f t="shared" si="120"/>
        <v xml:space="preserve"> </v>
      </c>
      <c r="BY280" s="50" t="str">
        <f t="shared" si="121"/>
        <v>SOMASS RIVER (Lower)_Coho</v>
      </c>
      <c r="BZ280" s="50" t="str">
        <f>IFERROR(VLOOKUP(BY280,'[1]WCVI Esc'!$C$5:$W$555,18,FALSE),"-")</f>
        <v>-</v>
      </c>
      <c r="CA280" s="50" t="str">
        <f t="shared" si="122"/>
        <v>-</v>
      </c>
      <c r="CB280" s="50" t="str">
        <f>IFERROR(VLOOKUP(BY280,'[1]WCVI Esc'!$C$5:$W$555,19,FALSE),"-")</f>
        <v>-</v>
      </c>
      <c r="CC280" s="50" t="str">
        <f t="shared" si="123"/>
        <v>-</v>
      </c>
      <c r="CE280" s="342" t="str">
        <f t="shared" si="124"/>
        <v>SOMASS RIVER (Lower)_Coho</v>
      </c>
      <c r="CF280" s="341" t="str">
        <f>IFERROR(VLOOKUP(BY280,'RawPL+D'!$O$8:$AB$503,12,FALSE),"-")</f>
        <v>-</v>
      </c>
      <c r="CG280" s="338" t="str">
        <f t="shared" si="125"/>
        <v>-</v>
      </c>
      <c r="CH280" s="341" t="str">
        <f>IFERROR(VLOOKUP(BY280,'RawPL+D'!$O$8:$AB$503,13,FALSE),"-")</f>
        <v>-</v>
      </c>
      <c r="CI280" s="338" t="str">
        <f t="shared" si="126"/>
        <v>-</v>
      </c>
    </row>
    <row r="281" spans="1:87" ht="12.75" hidden="1" customHeight="1" x14ac:dyDescent="0.2">
      <c r="A281" s="29">
        <v>3</v>
      </c>
      <c r="B281" s="29">
        <v>3</v>
      </c>
      <c r="C281" s="13">
        <v>23</v>
      </c>
      <c r="D281" s="148" t="s">
        <v>354</v>
      </c>
      <c r="E281" s="10" t="s">
        <v>221</v>
      </c>
      <c r="F281" s="10" t="s">
        <v>208</v>
      </c>
      <c r="G281" s="10"/>
      <c r="H281" s="10"/>
      <c r="I281" s="10"/>
      <c r="J281" s="10"/>
      <c r="K281" s="575"/>
      <c r="L281" s="152"/>
      <c r="M281" s="164"/>
      <c r="N281" s="62"/>
      <c r="O281" s="62"/>
      <c r="P281" s="177"/>
      <c r="Q281" s="171"/>
      <c r="R281" s="62"/>
      <c r="S281" s="62"/>
      <c r="T281" s="62"/>
      <c r="U281" s="64"/>
      <c r="V281" s="164"/>
      <c r="W281" s="62"/>
      <c r="X281" s="62"/>
      <c r="Y281" s="62"/>
      <c r="Z281" s="64"/>
      <c r="AA281" s="164"/>
      <c r="AB281" s="62"/>
      <c r="AC281" s="62"/>
      <c r="AD281" s="64"/>
      <c r="AE281" s="164"/>
      <c r="AF281" s="62"/>
      <c r="AG281" s="62"/>
      <c r="AH281" s="337"/>
      <c r="AI281" s="337"/>
      <c r="AJ281" s="337"/>
      <c r="AK281" s="337"/>
      <c r="AL281" s="414"/>
      <c r="AM281" s="414"/>
      <c r="AN281" s="45"/>
      <c r="AO281" s="45"/>
      <c r="AP281" s="44"/>
      <c r="AQ281" s="396"/>
      <c r="AR281" s="100"/>
      <c r="AS281" s="485"/>
      <c r="AT281" s="123"/>
      <c r="AU281" s="123"/>
      <c r="AV281" s="123"/>
      <c r="AW281" s="69">
        <v>23</v>
      </c>
      <c r="AX281" s="69" t="s">
        <v>354</v>
      </c>
      <c r="AY281" s="243" t="s">
        <v>221</v>
      </c>
      <c r="AZ281" s="243" t="str">
        <f t="shared" si="105"/>
        <v>Pink</v>
      </c>
      <c r="BA281" s="243" t="s">
        <v>419</v>
      </c>
      <c r="BB281" s="244" t="s">
        <v>366</v>
      </c>
      <c r="BC281" s="43" t="str">
        <f t="shared" si="106"/>
        <v>-</v>
      </c>
      <c r="BD281" s="43">
        <f t="shared" si="130"/>
        <v>0</v>
      </c>
      <c r="BE281" s="193">
        <f t="shared" si="128"/>
        <v>0</v>
      </c>
      <c r="BF281" s="193">
        <f t="shared" si="109"/>
        <v>0</v>
      </c>
      <c r="BG281" s="193">
        <f t="shared" si="110"/>
        <v>0</v>
      </c>
      <c r="BH281" s="307" t="str">
        <f t="shared" si="131"/>
        <v>-</v>
      </c>
      <c r="BI281" s="265" t="str">
        <f t="shared" si="129"/>
        <v>-</v>
      </c>
      <c r="BJ281" s="26" t="str">
        <f t="shared" si="112"/>
        <v>SOMASS RIVER (Lower)Pink</v>
      </c>
      <c r="BK281" s="26">
        <f t="shared" si="113"/>
        <v>0</v>
      </c>
      <c r="BL281" s="33">
        <f t="shared" si="101"/>
        <v>0</v>
      </c>
      <c r="BO281"/>
      <c r="BQ281" s="47" t="str">
        <f t="shared" si="114"/>
        <v>SOMASS RIVER (Lower)Pink</v>
      </c>
      <c r="BR281" s="49">
        <f t="shared" si="115"/>
        <v>0</v>
      </c>
      <c r="BS281" s="49">
        <f t="shared" si="116"/>
        <v>0</v>
      </c>
      <c r="BT281" s="31">
        <v>2004</v>
      </c>
      <c r="BU281" s="188" t="str">
        <f t="shared" si="117"/>
        <v>Hup/StAD</v>
      </c>
      <c r="BV281" s="188" t="str">
        <f t="shared" si="118"/>
        <v xml:space="preserve"> </v>
      </c>
      <c r="BW281" s="188" t="str">
        <f t="shared" si="119"/>
        <v xml:space="preserve"> </v>
      </c>
      <c r="BX281" s="188" t="str">
        <f t="shared" si="120"/>
        <v xml:space="preserve"> </v>
      </c>
      <c r="BY281" s="50" t="str">
        <f t="shared" si="121"/>
        <v>SOMASS RIVER (Lower)_Pink</v>
      </c>
      <c r="BZ281" s="50" t="str">
        <f>IFERROR(VLOOKUP(BY281,'[1]WCVI Esc'!$C$5:$W$555,18,FALSE),"-")</f>
        <v>-</v>
      </c>
      <c r="CA281" s="50" t="str">
        <f t="shared" si="122"/>
        <v>-</v>
      </c>
      <c r="CB281" s="50" t="str">
        <f>IFERROR(VLOOKUP(BY281,'[1]WCVI Esc'!$C$5:$W$555,19,FALSE),"-")</f>
        <v>-</v>
      </c>
      <c r="CC281" s="50" t="str">
        <f t="shared" si="123"/>
        <v>-</v>
      </c>
      <c r="CE281" s="342" t="str">
        <f t="shared" si="124"/>
        <v>SOMASS RIVER (Lower)_Pink</v>
      </c>
      <c r="CF281" s="341" t="str">
        <f>IFERROR(VLOOKUP(BY281,'RawPL+D'!$O$8:$AB$503,12,FALSE),"-")</f>
        <v>-</v>
      </c>
      <c r="CG281" s="338" t="str">
        <f t="shared" si="125"/>
        <v>-</v>
      </c>
      <c r="CH281" s="341" t="str">
        <f>IFERROR(VLOOKUP(BY281,'RawPL+D'!$O$8:$AB$503,13,FALSE),"-")</f>
        <v>-</v>
      </c>
      <c r="CI281" s="338" t="str">
        <f t="shared" si="126"/>
        <v>-</v>
      </c>
    </row>
    <row r="282" spans="1:87" ht="12.75" hidden="1" customHeight="1" x14ac:dyDescent="0.2">
      <c r="A282" s="29">
        <v>3</v>
      </c>
      <c r="B282" s="29">
        <v>4</v>
      </c>
      <c r="C282" s="13">
        <v>23</v>
      </c>
      <c r="D282" s="148" t="s">
        <v>354</v>
      </c>
      <c r="E282" s="10" t="s">
        <v>221</v>
      </c>
      <c r="F282" s="10" t="s">
        <v>209</v>
      </c>
      <c r="G282" s="10"/>
      <c r="H282" s="10"/>
      <c r="I282" s="10"/>
      <c r="J282" s="10"/>
      <c r="K282" s="575"/>
      <c r="L282" s="152"/>
      <c r="M282" s="164"/>
      <c r="N282" s="62"/>
      <c r="O282" s="62"/>
      <c r="P282" s="177"/>
      <c r="Q282" s="171"/>
      <c r="R282" s="62"/>
      <c r="S282" s="62"/>
      <c r="T282" s="62"/>
      <c r="U282" s="64"/>
      <c r="V282" s="164"/>
      <c r="W282" s="62"/>
      <c r="X282" s="62"/>
      <c r="Y282" s="62"/>
      <c r="Z282" s="64"/>
      <c r="AA282" s="164"/>
      <c r="AB282" s="62"/>
      <c r="AC282" s="62"/>
      <c r="AD282" s="64"/>
      <c r="AE282" s="164"/>
      <c r="AF282" s="62"/>
      <c r="AG282" s="62"/>
      <c r="AH282" s="337"/>
      <c r="AI282" s="337"/>
      <c r="AJ282" s="337"/>
      <c r="AK282" s="337"/>
      <c r="AL282" s="414"/>
      <c r="AM282" s="414"/>
      <c r="AN282" s="45"/>
      <c r="AO282" s="45"/>
      <c r="AP282" s="44"/>
      <c r="AQ282" s="396"/>
      <c r="AR282" s="100"/>
      <c r="AS282" s="485"/>
      <c r="AT282" s="123"/>
      <c r="AU282" s="123"/>
      <c r="AV282" s="123"/>
      <c r="AW282" s="69">
        <v>23</v>
      </c>
      <c r="AX282" s="69" t="s">
        <v>354</v>
      </c>
      <c r="AY282" s="243" t="s">
        <v>221</v>
      </c>
      <c r="AZ282" s="243" t="str">
        <f t="shared" si="105"/>
        <v>Chum</v>
      </c>
      <c r="BA282" s="243" t="s">
        <v>419</v>
      </c>
      <c r="BB282" s="244" t="s">
        <v>366</v>
      </c>
      <c r="BC282" s="43" t="str">
        <f t="shared" si="106"/>
        <v>-</v>
      </c>
      <c r="BD282" s="43">
        <f t="shared" si="130"/>
        <v>0</v>
      </c>
      <c r="BE282" s="193">
        <f t="shared" si="128"/>
        <v>0</v>
      </c>
      <c r="BF282" s="193">
        <f t="shared" si="109"/>
        <v>0</v>
      </c>
      <c r="BG282" s="193">
        <f t="shared" si="110"/>
        <v>0</v>
      </c>
      <c r="BH282" s="307" t="str">
        <f t="shared" si="131"/>
        <v>-</v>
      </c>
      <c r="BI282" s="265" t="str">
        <f t="shared" si="129"/>
        <v>-</v>
      </c>
      <c r="BJ282" s="26" t="str">
        <f t="shared" si="112"/>
        <v>SOMASS RIVER (Lower)Chum</v>
      </c>
      <c r="BK282" s="26">
        <f t="shared" si="113"/>
        <v>0</v>
      </c>
      <c r="BL282" s="33">
        <f t="shared" si="101"/>
        <v>0</v>
      </c>
      <c r="BO282"/>
      <c r="BP282"/>
      <c r="BQ282" s="47" t="str">
        <f t="shared" si="114"/>
        <v>SOMASS RIVER (Lower)Chum</v>
      </c>
      <c r="BR282" s="49">
        <f t="shared" si="115"/>
        <v>0</v>
      </c>
      <c r="BS282" s="49">
        <f t="shared" si="116"/>
        <v>0</v>
      </c>
      <c r="BT282" s="31">
        <v>2016</v>
      </c>
      <c r="BU282" s="188" t="str">
        <f t="shared" si="117"/>
        <v>Hup/StAD</v>
      </c>
      <c r="BV282" s="188" t="str">
        <f t="shared" si="118"/>
        <v xml:space="preserve"> </v>
      </c>
      <c r="BW282" s="188" t="str">
        <f t="shared" si="119"/>
        <v xml:space="preserve"> </v>
      </c>
      <c r="BX282" s="188" t="str">
        <f t="shared" si="120"/>
        <v xml:space="preserve"> </v>
      </c>
      <c r="BY282" s="50" t="str">
        <f t="shared" si="121"/>
        <v>SOMASS RIVER (Lower)_Chum</v>
      </c>
      <c r="BZ282" s="50" t="str">
        <f>IFERROR(VLOOKUP(BY282,'[1]WCVI Esc'!$C$5:$W$555,18,FALSE),"-")</f>
        <v>-</v>
      </c>
      <c r="CA282" s="50" t="str">
        <f t="shared" si="122"/>
        <v>-</v>
      </c>
      <c r="CB282" s="50" t="str">
        <f>IFERROR(VLOOKUP(BY282,'[1]WCVI Esc'!$C$5:$W$555,19,FALSE),"-")</f>
        <v>-</v>
      </c>
      <c r="CC282" s="50" t="str">
        <f t="shared" si="123"/>
        <v>-</v>
      </c>
      <c r="CE282" s="342" t="str">
        <f t="shared" si="124"/>
        <v>SOMASS RIVER (Lower)_Chum</v>
      </c>
      <c r="CF282" s="341" t="str">
        <f>IFERROR(VLOOKUP(BY282,'RawPL+D'!$O$8:$AB$503,12,FALSE),"-")</f>
        <v>-</v>
      </c>
      <c r="CG282" s="338" t="str">
        <f t="shared" si="125"/>
        <v>-</v>
      </c>
      <c r="CH282" s="341" t="str">
        <f>IFERROR(VLOOKUP(BY282,'RawPL+D'!$O$8:$AB$503,13,FALSE),"-")</f>
        <v>-</v>
      </c>
      <c r="CI282" s="338" t="str">
        <f t="shared" si="126"/>
        <v>-</v>
      </c>
    </row>
    <row r="283" spans="1:87" ht="12.75" hidden="1" customHeight="1" x14ac:dyDescent="0.2">
      <c r="A283" s="29">
        <v>3</v>
      </c>
      <c r="B283" s="29">
        <v>5</v>
      </c>
      <c r="C283" s="13">
        <v>23</v>
      </c>
      <c r="D283" s="148" t="s">
        <v>354</v>
      </c>
      <c r="E283" s="10" t="s">
        <v>221</v>
      </c>
      <c r="F283" s="10" t="s">
        <v>210</v>
      </c>
      <c r="G283" s="10"/>
      <c r="H283" s="10"/>
      <c r="I283" s="10"/>
      <c r="J283" s="10"/>
      <c r="K283" s="575"/>
      <c r="L283" s="152"/>
      <c r="M283" s="164"/>
      <c r="N283" s="62"/>
      <c r="O283" s="62"/>
      <c r="P283" s="177"/>
      <c r="Q283" s="171"/>
      <c r="R283" s="62"/>
      <c r="S283" s="62"/>
      <c r="T283" s="62"/>
      <c r="U283" s="64"/>
      <c r="V283" s="164"/>
      <c r="W283" s="62"/>
      <c r="X283" s="62"/>
      <c r="Y283" s="62"/>
      <c r="Z283" s="64"/>
      <c r="AA283" s="164"/>
      <c r="AB283" s="62"/>
      <c r="AC283" s="62"/>
      <c r="AD283" s="64"/>
      <c r="AE283" s="164"/>
      <c r="AF283" s="62"/>
      <c r="AG283" s="62"/>
      <c r="AH283" s="337"/>
      <c r="AI283" s="337"/>
      <c r="AJ283" s="337"/>
      <c r="AK283" s="337"/>
      <c r="AL283" s="414"/>
      <c r="AM283" s="414"/>
      <c r="AN283" s="45"/>
      <c r="AO283" s="45"/>
      <c r="AP283" s="44"/>
      <c r="AQ283" s="485"/>
      <c r="AR283" s="100"/>
      <c r="AS283" s="485"/>
      <c r="AT283" s="123">
        <v>4298</v>
      </c>
      <c r="AU283" s="123">
        <v>1264</v>
      </c>
      <c r="AV283" s="123"/>
      <c r="AW283" s="69">
        <v>23</v>
      </c>
      <c r="AX283" s="69" t="s">
        <v>354</v>
      </c>
      <c r="AY283" s="243" t="s">
        <v>221</v>
      </c>
      <c r="AZ283" s="243" t="str">
        <f t="shared" si="105"/>
        <v>Chinook</v>
      </c>
      <c r="BA283" s="243" t="s">
        <v>419</v>
      </c>
      <c r="BB283" s="244" t="s">
        <v>366</v>
      </c>
      <c r="BC283" s="43" t="str">
        <f t="shared" si="106"/>
        <v>-</v>
      </c>
      <c r="BD283" s="43">
        <f t="shared" si="130"/>
        <v>0</v>
      </c>
      <c r="BE283" s="193">
        <f t="shared" si="128"/>
        <v>0</v>
      </c>
      <c r="BF283" s="193">
        <f t="shared" si="109"/>
        <v>0</v>
      </c>
      <c r="BG283" s="193">
        <f t="shared" si="110"/>
        <v>0</v>
      </c>
      <c r="BH283" s="307" t="str">
        <f t="shared" si="131"/>
        <v>-</v>
      </c>
      <c r="BI283" s="265" t="str">
        <f t="shared" si="129"/>
        <v>-</v>
      </c>
      <c r="BJ283" s="26" t="str">
        <f t="shared" si="112"/>
        <v>SOMASS RIVER (Lower)Chinook</v>
      </c>
      <c r="BK283" s="26">
        <f t="shared" si="113"/>
        <v>0</v>
      </c>
      <c r="BL283" s="33">
        <f t="shared" si="101"/>
        <v>0</v>
      </c>
      <c r="BO283"/>
      <c r="BP283"/>
      <c r="BQ283" s="47" t="str">
        <f t="shared" si="114"/>
        <v>SOMASS RIVER (Lower)Chinook</v>
      </c>
      <c r="BR283" s="49">
        <f t="shared" si="115"/>
        <v>0</v>
      </c>
      <c r="BS283" s="49">
        <f t="shared" si="116"/>
        <v>0</v>
      </c>
      <c r="BT283" s="31">
        <v>2016</v>
      </c>
      <c r="BU283" s="188" t="str">
        <f t="shared" si="117"/>
        <v>Hup/StAD</v>
      </c>
      <c r="BV283" s="188" t="str">
        <f t="shared" si="118"/>
        <v xml:space="preserve"> </v>
      </c>
      <c r="BW283" s="188" t="str">
        <f t="shared" si="119"/>
        <v xml:space="preserve"> </v>
      </c>
      <c r="BX283" s="188" t="str">
        <f t="shared" si="120"/>
        <v xml:space="preserve"> </v>
      </c>
      <c r="BY283" s="50" t="str">
        <f t="shared" si="121"/>
        <v>SOMASS RIVER (Lower)_Chinook</v>
      </c>
      <c r="BZ283" s="50" t="str">
        <f>IFERROR(VLOOKUP(BY283,'[1]WCVI Esc'!$C$5:$W$555,18,FALSE),"-")</f>
        <v>-</v>
      </c>
      <c r="CA283" s="50" t="str">
        <f t="shared" si="122"/>
        <v>-</v>
      </c>
      <c r="CB283" s="50" t="str">
        <f>IFERROR(VLOOKUP(BY283,'[1]WCVI Esc'!$C$5:$W$555,19,FALSE),"-")</f>
        <v>-</v>
      </c>
      <c r="CC283" s="50" t="str">
        <f t="shared" si="123"/>
        <v>-</v>
      </c>
      <c r="CE283" s="342" t="str">
        <f t="shared" si="124"/>
        <v>SOMASS RIVER (Lower)_Chinook</v>
      </c>
      <c r="CF283" s="341" t="str">
        <f>IFERROR(VLOOKUP(BY283,'RawPL+D'!$O$8:$AB$503,12,FALSE),"-")</f>
        <v>-</v>
      </c>
      <c r="CG283" s="338" t="str">
        <f t="shared" si="125"/>
        <v>-</v>
      </c>
      <c r="CH283" s="341" t="str">
        <f>IFERROR(VLOOKUP(BY283,'RawPL+D'!$O$8:$AB$503,13,FALSE),"-")</f>
        <v>-</v>
      </c>
      <c r="CI283" s="338" t="str">
        <f t="shared" si="126"/>
        <v>-</v>
      </c>
    </row>
    <row r="284" spans="1:87" ht="12.75" hidden="1" customHeight="1" x14ac:dyDescent="0.2">
      <c r="A284" s="29">
        <v>3</v>
      </c>
      <c r="B284" s="29">
        <v>6</v>
      </c>
      <c r="C284" s="13">
        <v>23</v>
      </c>
      <c r="D284" s="148" t="s">
        <v>354</v>
      </c>
      <c r="E284" s="10" t="s">
        <v>221</v>
      </c>
      <c r="F284" s="10" t="s">
        <v>211</v>
      </c>
      <c r="G284" s="10"/>
      <c r="H284" s="10"/>
      <c r="I284" s="10"/>
      <c r="J284" s="10"/>
      <c r="K284" s="575"/>
      <c r="L284" s="152"/>
      <c r="M284" s="164"/>
      <c r="N284" s="62"/>
      <c r="O284" s="62"/>
      <c r="P284" s="177"/>
      <c r="Q284" s="171"/>
      <c r="R284" s="62"/>
      <c r="S284" s="62"/>
      <c r="T284" s="62"/>
      <c r="U284" s="64"/>
      <c r="V284" s="164"/>
      <c r="W284" s="62"/>
      <c r="X284" s="62"/>
      <c r="Y284" s="62"/>
      <c r="Z284" s="64"/>
      <c r="AA284" s="164"/>
      <c r="AB284" s="62"/>
      <c r="AC284" s="62"/>
      <c r="AD284" s="64"/>
      <c r="AE284" s="164"/>
      <c r="AF284" s="62"/>
      <c r="AG284" s="62"/>
      <c r="AH284" s="337"/>
      <c r="AI284" s="337"/>
      <c r="AJ284" s="337"/>
      <c r="AK284" s="337"/>
      <c r="AL284" s="414"/>
      <c r="AM284" s="414"/>
      <c r="AN284" s="45"/>
      <c r="AO284" s="45"/>
      <c r="AP284" s="44"/>
      <c r="AQ284" s="485"/>
      <c r="AR284" s="100"/>
      <c r="AS284" s="485"/>
      <c r="AT284" s="123"/>
      <c r="AU284" s="123"/>
      <c r="AV284" s="123"/>
      <c r="AW284" s="69">
        <v>23</v>
      </c>
      <c r="AX284" s="69" t="s">
        <v>354</v>
      </c>
      <c r="AY284" s="243" t="s">
        <v>221</v>
      </c>
      <c r="AZ284" s="243" t="str">
        <f t="shared" si="105"/>
        <v>Steelhead</v>
      </c>
      <c r="BA284" s="243" t="s">
        <v>419</v>
      </c>
      <c r="BB284" s="244" t="s">
        <v>366</v>
      </c>
      <c r="BC284" s="43" t="str">
        <f t="shared" si="106"/>
        <v>-</v>
      </c>
      <c r="BD284" s="43">
        <f t="shared" si="130"/>
        <v>0</v>
      </c>
      <c r="BE284" s="193">
        <f t="shared" si="128"/>
        <v>0</v>
      </c>
      <c r="BF284" s="193">
        <f t="shared" si="109"/>
        <v>0</v>
      </c>
      <c r="BG284" s="193">
        <f t="shared" si="110"/>
        <v>0</v>
      </c>
      <c r="BH284" s="307" t="str">
        <f t="shared" si="131"/>
        <v>-</v>
      </c>
      <c r="BI284" s="265" t="str">
        <f t="shared" si="129"/>
        <v>-</v>
      </c>
      <c r="BJ284" s="26" t="str">
        <f t="shared" si="112"/>
        <v>SOMASS RIVER (Lower)Steelhead</v>
      </c>
      <c r="BK284" s="26">
        <f t="shared" si="113"/>
        <v>0</v>
      </c>
      <c r="BL284" s="33">
        <f t="shared" si="101"/>
        <v>0</v>
      </c>
      <c r="BM284" s="17"/>
      <c r="BO284"/>
      <c r="BP284"/>
      <c r="BQ284" s="47" t="str">
        <f t="shared" si="114"/>
        <v>SOMASS RIVER (Lower)Steelhead</v>
      </c>
      <c r="BR284" s="49">
        <f t="shared" si="115"/>
        <v>0</v>
      </c>
      <c r="BS284" s="49">
        <f t="shared" si="116"/>
        <v>0</v>
      </c>
      <c r="BT284" s="31">
        <v>0</v>
      </c>
      <c r="BU284" s="188" t="str">
        <f t="shared" si="117"/>
        <v>Hup/StAD</v>
      </c>
      <c r="BV284" s="188" t="str">
        <f t="shared" si="118"/>
        <v xml:space="preserve"> </v>
      </c>
      <c r="BW284" s="188" t="str">
        <f t="shared" si="119"/>
        <v xml:space="preserve"> </v>
      </c>
      <c r="BX284" s="188" t="str">
        <f t="shared" si="120"/>
        <v xml:space="preserve"> </v>
      </c>
      <c r="BY284" s="50" t="str">
        <f t="shared" si="121"/>
        <v>SOMASS RIVER (Lower)_Steelhead</v>
      </c>
      <c r="BZ284" s="50" t="str">
        <f>IFERROR(VLOOKUP(BY284,'[1]WCVI Esc'!$C$5:$W$555,18,FALSE),"-")</f>
        <v>-</v>
      </c>
      <c r="CA284" s="50" t="str">
        <f t="shared" si="122"/>
        <v>-</v>
      </c>
      <c r="CB284" s="50" t="str">
        <f>IFERROR(VLOOKUP(BY284,'[1]WCVI Esc'!$C$5:$W$555,19,FALSE),"-")</f>
        <v>-</v>
      </c>
      <c r="CC284" s="50" t="str">
        <f t="shared" si="123"/>
        <v>-</v>
      </c>
      <c r="CE284" s="342" t="str">
        <f t="shared" si="124"/>
        <v>SOMASS RIVER (Lower)_Steelhead</v>
      </c>
      <c r="CF284" s="341" t="str">
        <f>IFERROR(VLOOKUP(BY284,'RawPL+D'!$O$8:$AB$503,12,FALSE),"-")</f>
        <v>-</v>
      </c>
      <c r="CG284" s="338" t="str">
        <f t="shared" si="125"/>
        <v>-</v>
      </c>
      <c r="CH284" s="341" t="str">
        <f>IFERROR(VLOOKUP(BY284,'RawPL+D'!$O$8:$AB$503,13,FALSE),"-")</f>
        <v>-</v>
      </c>
      <c r="CI284" s="338" t="str">
        <f t="shared" si="126"/>
        <v>-</v>
      </c>
    </row>
    <row r="285" spans="1:87" ht="12.75" hidden="1" customHeight="1" x14ac:dyDescent="0.2">
      <c r="A285" s="29">
        <v>3</v>
      </c>
      <c r="B285" s="29">
        <v>1</v>
      </c>
      <c r="C285" s="13">
        <v>23</v>
      </c>
      <c r="D285" s="148" t="s">
        <v>354</v>
      </c>
      <c r="E285" s="10" t="s">
        <v>34</v>
      </c>
      <c r="F285" s="10" t="s">
        <v>207</v>
      </c>
      <c r="G285" s="10"/>
      <c r="H285" s="10"/>
      <c r="I285" s="10"/>
      <c r="J285" s="10"/>
      <c r="K285" s="62"/>
      <c r="L285" s="64"/>
      <c r="M285" s="164"/>
      <c r="N285" s="62"/>
      <c r="O285" s="62"/>
      <c r="P285" s="177"/>
      <c r="Q285" s="593"/>
      <c r="R285" s="62"/>
      <c r="S285" s="62"/>
      <c r="T285" s="62"/>
      <c r="U285" s="64"/>
      <c r="V285" s="169"/>
      <c r="W285" s="62"/>
      <c r="X285" s="62"/>
      <c r="Y285" s="62"/>
      <c r="Z285" s="64"/>
      <c r="AA285" s="164"/>
      <c r="AB285" s="62"/>
      <c r="AC285" s="62"/>
      <c r="AD285" s="64"/>
      <c r="AE285" s="164"/>
      <c r="AF285" s="62"/>
      <c r="AG285" s="62"/>
      <c r="AH285" s="337"/>
      <c r="AI285" s="337"/>
      <c r="AJ285" s="337"/>
      <c r="AK285" s="337"/>
      <c r="AL285" s="552"/>
      <c r="AM285" s="552"/>
      <c r="AN285" s="45"/>
      <c r="AO285" s="45"/>
      <c r="AP285" s="45"/>
      <c r="AQ285" s="485"/>
      <c r="AR285" s="100"/>
      <c r="AS285" s="485"/>
      <c r="AT285" s="100"/>
      <c r="AU285" s="100"/>
      <c r="AV285" s="100"/>
      <c r="AW285" s="69">
        <v>23</v>
      </c>
      <c r="AX285" s="69" t="s">
        <v>354</v>
      </c>
      <c r="AY285" s="243" t="s">
        <v>34</v>
      </c>
      <c r="AZ285" s="243" t="str">
        <f t="shared" si="105"/>
        <v>Sockeye</v>
      </c>
      <c r="BA285" s="243" t="s">
        <v>418</v>
      </c>
      <c r="BB285" s="244" t="s">
        <v>366</v>
      </c>
      <c r="BC285" s="43" t="str">
        <f t="shared" si="106"/>
        <v>-</v>
      </c>
      <c r="BD285" s="680">
        <v>0</v>
      </c>
      <c r="BE285" s="193">
        <f t="shared" si="128"/>
        <v>0</v>
      </c>
      <c r="BF285" s="193">
        <f t="shared" si="109"/>
        <v>0</v>
      </c>
      <c r="BG285" s="193">
        <f t="shared" si="110"/>
        <v>0</v>
      </c>
      <c r="BH285" s="307" t="str">
        <f t="shared" si="131"/>
        <v>-</v>
      </c>
      <c r="BI285" s="265"/>
      <c r="BJ285" s="26" t="str">
        <f t="shared" si="112"/>
        <v>SPROAT RIVERSockeye</v>
      </c>
      <c r="BK285" s="26">
        <f t="shared" si="113"/>
        <v>0</v>
      </c>
      <c r="BL285" s="33">
        <f t="shared" si="101"/>
        <v>0</v>
      </c>
      <c r="BM285" s="38"/>
      <c r="BO285"/>
      <c r="BP285"/>
      <c r="BQ285" s="47" t="str">
        <f t="shared" si="114"/>
        <v>SPROAT RIVERSockeye</v>
      </c>
      <c r="BR285" s="49">
        <f t="shared" si="115"/>
        <v>0</v>
      </c>
      <c r="BS285" s="49">
        <f t="shared" si="116"/>
        <v>0</v>
      </c>
      <c r="BT285" s="31">
        <v>2016</v>
      </c>
      <c r="BU285" s="188" t="str">
        <f t="shared" si="117"/>
        <v>Hup/StAD</v>
      </c>
      <c r="BV285" s="188" t="str">
        <f t="shared" si="118"/>
        <v xml:space="preserve"> </v>
      </c>
      <c r="BW285" s="188" t="str">
        <f t="shared" si="119"/>
        <v xml:space="preserve"> </v>
      </c>
      <c r="BX285" s="188" t="str">
        <f t="shared" si="120"/>
        <v xml:space="preserve"> </v>
      </c>
      <c r="BY285" s="50" t="str">
        <f t="shared" si="121"/>
        <v>SPROAT RIVER_Sockeye</v>
      </c>
      <c r="BZ285" s="50" t="str">
        <f>IFERROR(VLOOKUP(BY285,'[1]WCVI Esc'!$C$5:$W$555,18,FALSE),"-")</f>
        <v>-</v>
      </c>
      <c r="CA285" s="50" t="str">
        <f t="shared" si="122"/>
        <v>-</v>
      </c>
      <c r="CB285" s="50" t="str">
        <f>IFERROR(VLOOKUP(BY285,'[1]WCVI Esc'!$C$5:$W$555,19,FALSE),"-")</f>
        <v>-</v>
      </c>
      <c r="CC285" s="50" t="str">
        <f t="shared" si="123"/>
        <v>-</v>
      </c>
      <c r="CE285" s="342" t="str">
        <f t="shared" si="124"/>
        <v>SPROAT RIVER_Sockeye</v>
      </c>
      <c r="CF285" s="341">
        <f>IFERROR(VLOOKUP(BY285,'RawPL+D'!$O$8:$AB$503,12,FALSE),"-")</f>
        <v>0</v>
      </c>
      <c r="CG285" s="338">
        <f t="shared" si="125"/>
        <v>0</v>
      </c>
      <c r="CH285" s="341" t="str">
        <f>IFERROR(VLOOKUP(BY285,'RawPL+D'!$O$8:$AB$503,13,FALSE),"-")</f>
        <v>-</v>
      </c>
      <c r="CI285" s="338" t="str">
        <f t="shared" si="126"/>
        <v>-</v>
      </c>
    </row>
    <row r="286" spans="1:87" ht="12.75" hidden="1" customHeight="1" x14ac:dyDescent="0.2">
      <c r="A286" s="29">
        <v>3</v>
      </c>
      <c r="B286" s="29">
        <v>2</v>
      </c>
      <c r="C286" s="13">
        <v>23</v>
      </c>
      <c r="D286" s="148" t="s">
        <v>354</v>
      </c>
      <c r="E286" s="10" t="s">
        <v>34</v>
      </c>
      <c r="F286" s="10" t="s">
        <v>219</v>
      </c>
      <c r="G286" s="10"/>
      <c r="H286" s="10"/>
      <c r="I286" s="10"/>
      <c r="J286" s="10"/>
      <c r="K286" s="62"/>
      <c r="L286" s="64"/>
      <c r="M286" s="164"/>
      <c r="N286" s="62"/>
      <c r="O286" s="62"/>
      <c r="P286" s="177"/>
      <c r="Q286" s="593"/>
      <c r="R286" s="62"/>
      <c r="S286" s="62"/>
      <c r="T286" s="62"/>
      <c r="U286" s="64"/>
      <c r="V286" s="169"/>
      <c r="W286" s="62"/>
      <c r="X286" s="62"/>
      <c r="Y286" s="62"/>
      <c r="Z286" s="64"/>
      <c r="AA286" s="164"/>
      <c r="AB286" s="62"/>
      <c r="AC286" s="62"/>
      <c r="AD286" s="64"/>
      <c r="AE286" s="164"/>
      <c r="AF286" s="62"/>
      <c r="AG286" s="62"/>
      <c r="AH286" s="337"/>
      <c r="AI286" s="337"/>
      <c r="AJ286" s="337"/>
      <c r="AK286" s="337"/>
      <c r="AL286" s="414"/>
      <c r="AM286" s="414"/>
      <c r="AN286" s="45"/>
      <c r="AO286" s="45"/>
      <c r="AP286" s="45"/>
      <c r="AQ286" s="485"/>
      <c r="AR286" s="100"/>
      <c r="AS286" s="485"/>
      <c r="AT286" s="100"/>
      <c r="AU286" s="100"/>
      <c r="AV286" s="100"/>
      <c r="AW286" s="69">
        <v>23</v>
      </c>
      <c r="AX286" s="69" t="s">
        <v>354</v>
      </c>
      <c r="AY286" s="243" t="s">
        <v>34</v>
      </c>
      <c r="AZ286" s="243" t="str">
        <f t="shared" si="105"/>
        <v>Coho</v>
      </c>
      <c r="BA286" s="243" t="s">
        <v>418</v>
      </c>
      <c r="BB286" s="244" t="s">
        <v>366</v>
      </c>
      <c r="BC286" s="43" t="str">
        <f t="shared" si="106"/>
        <v>-</v>
      </c>
      <c r="BD286" s="680">
        <v>0</v>
      </c>
      <c r="BE286" s="193">
        <f t="shared" si="128"/>
        <v>0</v>
      </c>
      <c r="BF286" s="193">
        <f t="shared" si="109"/>
        <v>0</v>
      </c>
      <c r="BG286" s="193">
        <f t="shared" si="110"/>
        <v>0</v>
      </c>
      <c r="BH286" s="307">
        <f t="shared" si="131"/>
        <v>0</v>
      </c>
      <c r="BI286" s="265"/>
      <c r="BJ286" s="26" t="str">
        <f t="shared" si="112"/>
        <v>SPROAT RIVERCoho</v>
      </c>
      <c r="BK286" s="26">
        <f t="shared" si="113"/>
        <v>0</v>
      </c>
      <c r="BL286" s="33">
        <f t="shared" si="101"/>
        <v>0</v>
      </c>
      <c r="BO286"/>
      <c r="BP286"/>
      <c r="BQ286" s="47" t="str">
        <f t="shared" si="114"/>
        <v>SPROAT RIVERCoho</v>
      </c>
      <c r="BR286" s="49">
        <f t="shared" si="115"/>
        <v>0</v>
      </c>
      <c r="BS286" s="49">
        <f t="shared" si="116"/>
        <v>0</v>
      </c>
      <c r="BT286" s="31">
        <v>2016</v>
      </c>
      <c r="BU286" s="188" t="str">
        <f t="shared" si="117"/>
        <v>Hup/StAD</v>
      </c>
      <c r="BV286" s="188" t="str">
        <f t="shared" si="118"/>
        <v xml:space="preserve"> </v>
      </c>
      <c r="BW286" s="188" t="str">
        <f t="shared" si="119"/>
        <v xml:space="preserve"> </v>
      </c>
      <c r="BX286" s="188" t="str">
        <f t="shared" si="120"/>
        <v xml:space="preserve"> </v>
      </c>
      <c r="BY286" s="50" t="str">
        <f t="shared" si="121"/>
        <v>SPROAT RIVER_Coho</v>
      </c>
      <c r="BZ286" s="50" t="str">
        <f>IFERROR(VLOOKUP(BY286,'[1]WCVI Esc'!$C$5:$W$555,18,FALSE),"-")</f>
        <v>-</v>
      </c>
      <c r="CA286" s="50" t="str">
        <f t="shared" si="122"/>
        <v>-</v>
      </c>
      <c r="CB286" s="50" t="str">
        <f>IFERROR(VLOOKUP(BY286,'[1]WCVI Esc'!$C$5:$W$555,19,FALSE),"-")</f>
        <v>-</v>
      </c>
      <c r="CC286" s="50" t="str">
        <f t="shared" si="123"/>
        <v>-</v>
      </c>
      <c r="CE286" s="342" t="str">
        <f t="shared" si="124"/>
        <v>SPROAT RIVER_Coho</v>
      </c>
      <c r="CF286" s="341">
        <f>IFERROR(VLOOKUP(BY286,'RawPL+D'!$O$8:$AB$503,12,FALSE),"-")</f>
        <v>0</v>
      </c>
      <c r="CG286" s="338">
        <f t="shared" si="125"/>
        <v>0</v>
      </c>
      <c r="CH286" s="341">
        <f>IFERROR(VLOOKUP(BY286,'RawPL+D'!$O$8:$AB$503,13,FALSE),"-")</f>
        <v>0</v>
      </c>
      <c r="CI286" s="338">
        <f t="shared" si="126"/>
        <v>0</v>
      </c>
    </row>
    <row r="287" spans="1:87" ht="12.75" hidden="1" customHeight="1" x14ac:dyDescent="0.2">
      <c r="A287" s="29">
        <v>3</v>
      </c>
      <c r="B287" s="29">
        <v>3</v>
      </c>
      <c r="C287" s="13">
        <v>23</v>
      </c>
      <c r="D287" s="148" t="s">
        <v>354</v>
      </c>
      <c r="E287" s="10" t="s">
        <v>34</v>
      </c>
      <c r="F287" s="10" t="s">
        <v>208</v>
      </c>
      <c r="G287" s="10"/>
      <c r="H287" s="10"/>
      <c r="I287" s="10"/>
      <c r="J287" s="10"/>
      <c r="K287" s="62"/>
      <c r="L287" s="64"/>
      <c r="M287" s="164"/>
      <c r="N287" s="62"/>
      <c r="O287" s="62"/>
      <c r="P287" s="177"/>
      <c r="Q287" s="593"/>
      <c r="R287" s="62"/>
      <c r="S287" s="62"/>
      <c r="T287" s="62"/>
      <c r="U287" s="64"/>
      <c r="V287" s="169"/>
      <c r="W287" s="62"/>
      <c r="X287" s="62"/>
      <c r="Y287" s="62"/>
      <c r="Z287" s="64"/>
      <c r="AA287" s="164"/>
      <c r="AB287" s="62"/>
      <c r="AC287" s="62"/>
      <c r="AD287" s="64"/>
      <c r="AE287" s="164"/>
      <c r="AF287" s="62"/>
      <c r="AG287" s="62"/>
      <c r="AH287" s="337"/>
      <c r="AI287" s="337"/>
      <c r="AJ287" s="337"/>
      <c r="AK287" s="337"/>
      <c r="AL287" s="414"/>
      <c r="AM287" s="414"/>
      <c r="AN287" s="45"/>
      <c r="AO287" s="45"/>
      <c r="AP287" s="45"/>
      <c r="AQ287" s="485"/>
      <c r="AR287" s="100"/>
      <c r="AS287" s="485"/>
      <c r="AT287" s="100"/>
      <c r="AU287" s="100"/>
      <c r="AV287" s="100"/>
      <c r="AW287" s="69">
        <v>23</v>
      </c>
      <c r="AX287" s="69" t="s">
        <v>354</v>
      </c>
      <c r="AY287" s="243" t="s">
        <v>34</v>
      </c>
      <c r="AZ287" s="243" t="str">
        <f t="shared" si="105"/>
        <v>Pink</v>
      </c>
      <c r="BA287" s="243" t="s">
        <v>418</v>
      </c>
      <c r="BB287" s="244" t="s">
        <v>366</v>
      </c>
      <c r="BC287" s="43" t="str">
        <f t="shared" si="106"/>
        <v>-</v>
      </c>
      <c r="BD287" s="43">
        <f>BK287</f>
        <v>0</v>
      </c>
      <c r="BE287" s="193">
        <f t="shared" si="128"/>
        <v>0</v>
      </c>
      <c r="BF287" s="193">
        <f t="shared" si="109"/>
        <v>0</v>
      </c>
      <c r="BG287" s="193">
        <f t="shared" si="110"/>
        <v>0</v>
      </c>
      <c r="BH287" s="307">
        <f t="shared" si="131"/>
        <v>0</v>
      </c>
      <c r="BI287" s="265" t="str">
        <f>CC287</f>
        <v>-</v>
      </c>
      <c r="BJ287" s="26" t="str">
        <f t="shared" si="112"/>
        <v>SPROAT RIVERPink</v>
      </c>
      <c r="BK287" s="26">
        <f t="shared" si="113"/>
        <v>0</v>
      </c>
      <c r="BL287" s="33">
        <f t="shared" si="101"/>
        <v>0</v>
      </c>
      <c r="BO287"/>
      <c r="BP287"/>
      <c r="BQ287" s="47" t="str">
        <f t="shared" si="114"/>
        <v>SPROAT RIVERPink</v>
      </c>
      <c r="BR287" s="49">
        <f t="shared" si="115"/>
        <v>0</v>
      </c>
      <c r="BS287" s="49">
        <f t="shared" si="116"/>
        <v>0</v>
      </c>
      <c r="BT287" s="31">
        <v>0</v>
      </c>
      <c r="BU287" s="188" t="str">
        <f t="shared" si="117"/>
        <v>Hup/StAD</v>
      </c>
      <c r="BV287" s="188" t="str">
        <f t="shared" si="118"/>
        <v xml:space="preserve"> </v>
      </c>
      <c r="BW287" s="188" t="str">
        <f t="shared" si="119"/>
        <v xml:space="preserve"> </v>
      </c>
      <c r="BX287" s="188" t="str">
        <f t="shared" si="120"/>
        <v xml:space="preserve"> </v>
      </c>
      <c r="BY287" s="50" t="str">
        <f t="shared" si="121"/>
        <v>SPROAT RIVER_Pink</v>
      </c>
      <c r="BZ287" s="50" t="str">
        <f>IFERROR(VLOOKUP(BY287,'[1]WCVI Esc'!$C$5:$W$555,18,FALSE),"-")</f>
        <v>-</v>
      </c>
      <c r="CA287" s="50" t="str">
        <f t="shared" si="122"/>
        <v>-</v>
      </c>
      <c r="CB287" s="50" t="str">
        <f>IFERROR(VLOOKUP(BY287,'[1]WCVI Esc'!$C$5:$W$555,19,FALSE),"-")</f>
        <v>-</v>
      </c>
      <c r="CC287" s="50" t="str">
        <f t="shared" si="123"/>
        <v>-</v>
      </c>
      <c r="CE287" s="342" t="str">
        <f t="shared" si="124"/>
        <v>SPROAT RIVER_Pink</v>
      </c>
      <c r="CF287" s="341">
        <f>IFERROR(VLOOKUP(BY287,'RawPL+D'!$O$8:$AB$503,12,FALSE),"-")</f>
        <v>0</v>
      </c>
      <c r="CG287" s="338">
        <f t="shared" si="125"/>
        <v>0</v>
      </c>
      <c r="CH287" s="341">
        <f>IFERROR(VLOOKUP(BY287,'RawPL+D'!$O$8:$AB$503,13,FALSE),"-")</f>
        <v>0</v>
      </c>
      <c r="CI287" s="338">
        <f t="shared" si="126"/>
        <v>0</v>
      </c>
    </row>
    <row r="288" spans="1:87" ht="12.75" hidden="1" customHeight="1" x14ac:dyDescent="0.2">
      <c r="A288" s="29">
        <v>3</v>
      </c>
      <c r="B288" s="29">
        <v>4</v>
      </c>
      <c r="C288" s="13">
        <v>23</v>
      </c>
      <c r="D288" s="148" t="s">
        <v>354</v>
      </c>
      <c r="E288" s="10" t="s">
        <v>34</v>
      </c>
      <c r="F288" s="10" t="s">
        <v>209</v>
      </c>
      <c r="G288" s="10"/>
      <c r="H288" s="10"/>
      <c r="I288" s="10"/>
      <c r="J288" s="10"/>
      <c r="K288" s="62"/>
      <c r="L288" s="64"/>
      <c r="M288" s="164"/>
      <c r="N288" s="62"/>
      <c r="O288" s="62"/>
      <c r="P288" s="177"/>
      <c r="Q288" s="593"/>
      <c r="R288" s="62"/>
      <c r="S288" s="62"/>
      <c r="T288" s="62"/>
      <c r="U288" s="64"/>
      <c r="V288" s="169"/>
      <c r="W288" s="62"/>
      <c r="X288" s="62"/>
      <c r="Y288" s="62"/>
      <c r="Z288" s="64"/>
      <c r="AA288" s="164"/>
      <c r="AB288" s="62"/>
      <c r="AC288" s="62"/>
      <c r="AD288" s="64"/>
      <c r="AE288" s="164"/>
      <c r="AF288" s="62"/>
      <c r="AG288" s="62"/>
      <c r="AH288" s="337"/>
      <c r="AI288" s="337"/>
      <c r="AJ288" s="337"/>
      <c r="AK288" s="337"/>
      <c r="AL288" s="414"/>
      <c r="AM288" s="414"/>
      <c r="AN288" s="45"/>
      <c r="AO288" s="45"/>
      <c r="AP288" s="45"/>
      <c r="AQ288" s="485"/>
      <c r="AR288" s="100"/>
      <c r="AS288" s="485"/>
      <c r="AT288" s="100"/>
      <c r="AU288" s="100"/>
      <c r="AV288" s="100"/>
      <c r="AW288" s="69">
        <v>23</v>
      </c>
      <c r="AX288" s="69" t="s">
        <v>354</v>
      </c>
      <c r="AY288" s="243" t="s">
        <v>34</v>
      </c>
      <c r="AZ288" s="243" t="str">
        <f t="shared" si="105"/>
        <v>Chum</v>
      </c>
      <c r="BA288" s="243" t="s">
        <v>418</v>
      </c>
      <c r="BB288" s="244" t="s">
        <v>366</v>
      </c>
      <c r="BC288" s="43" t="str">
        <f t="shared" si="106"/>
        <v>-</v>
      </c>
      <c r="BD288" s="43">
        <f>BK288</f>
        <v>0</v>
      </c>
      <c r="BE288" s="193">
        <f t="shared" si="128"/>
        <v>0</v>
      </c>
      <c r="BF288" s="193">
        <f t="shared" si="109"/>
        <v>0</v>
      </c>
      <c r="BG288" s="193">
        <f t="shared" si="110"/>
        <v>0</v>
      </c>
      <c r="BH288" s="307">
        <f t="shared" si="131"/>
        <v>0</v>
      </c>
      <c r="BI288" s="265" t="str">
        <f>CC288</f>
        <v>-</v>
      </c>
      <c r="BJ288" s="26" t="str">
        <f t="shared" si="112"/>
        <v>SPROAT RIVERChum</v>
      </c>
      <c r="BK288" s="26">
        <f t="shared" si="113"/>
        <v>0</v>
      </c>
      <c r="BL288" s="33">
        <f t="shared" si="101"/>
        <v>0</v>
      </c>
      <c r="BO288"/>
      <c r="BP288"/>
      <c r="BQ288" s="47" t="str">
        <f t="shared" si="114"/>
        <v>SPROAT RIVERChum</v>
      </c>
      <c r="BR288" s="49">
        <f t="shared" si="115"/>
        <v>0</v>
      </c>
      <c r="BS288" s="49">
        <f t="shared" si="116"/>
        <v>0</v>
      </c>
      <c r="BT288" s="31">
        <v>2016</v>
      </c>
      <c r="BU288" s="188" t="str">
        <f t="shared" si="117"/>
        <v>Hup/StAD</v>
      </c>
      <c r="BV288" s="188" t="str">
        <f t="shared" si="118"/>
        <v xml:space="preserve"> </v>
      </c>
      <c r="BW288" s="188" t="str">
        <f t="shared" si="119"/>
        <v xml:space="preserve"> </v>
      </c>
      <c r="BX288" s="188" t="str">
        <f t="shared" si="120"/>
        <v xml:space="preserve"> </v>
      </c>
      <c r="BY288" s="50" t="str">
        <f t="shared" si="121"/>
        <v>SPROAT RIVER_Chum</v>
      </c>
      <c r="BZ288" s="50" t="str">
        <f>IFERROR(VLOOKUP(BY288,'[1]WCVI Esc'!$C$5:$W$555,18,FALSE),"-")</f>
        <v>-</v>
      </c>
      <c r="CA288" s="50" t="str">
        <f t="shared" si="122"/>
        <v>-</v>
      </c>
      <c r="CB288" s="50" t="str">
        <f>IFERROR(VLOOKUP(BY288,'[1]WCVI Esc'!$C$5:$W$555,19,FALSE),"-")</f>
        <v>-</v>
      </c>
      <c r="CC288" s="50" t="str">
        <f t="shared" si="123"/>
        <v>-</v>
      </c>
      <c r="CE288" s="342" t="str">
        <f t="shared" si="124"/>
        <v>SPROAT RIVER_Chum</v>
      </c>
      <c r="CF288" s="341">
        <f>IFERROR(VLOOKUP(BY288,'RawPL+D'!$O$8:$AB$503,12,FALSE),"-")</f>
        <v>0</v>
      </c>
      <c r="CG288" s="338">
        <f t="shared" si="125"/>
        <v>0</v>
      </c>
      <c r="CH288" s="341">
        <f>IFERROR(VLOOKUP(BY288,'RawPL+D'!$O$8:$AB$503,13,FALSE),"-")</f>
        <v>0</v>
      </c>
      <c r="CI288" s="338">
        <f t="shared" si="126"/>
        <v>0</v>
      </c>
    </row>
    <row r="289" spans="1:87" ht="12.75" hidden="1" customHeight="1" x14ac:dyDescent="0.2">
      <c r="A289" s="29">
        <v>3</v>
      </c>
      <c r="B289" s="29">
        <v>5</v>
      </c>
      <c r="C289" s="13">
        <v>23</v>
      </c>
      <c r="D289" s="148" t="s">
        <v>354</v>
      </c>
      <c r="E289" s="10" t="s">
        <v>34</v>
      </c>
      <c r="F289" s="10" t="s">
        <v>210</v>
      </c>
      <c r="G289" s="10"/>
      <c r="H289" s="10"/>
      <c r="I289" s="10"/>
      <c r="J289" s="10"/>
      <c r="K289" s="62"/>
      <c r="L289" s="594"/>
      <c r="M289" s="595"/>
      <c r="N289" s="62"/>
      <c r="O289" s="62"/>
      <c r="P289" s="177"/>
      <c r="Q289" s="593"/>
      <c r="R289" s="62"/>
      <c r="S289" s="62"/>
      <c r="T289" s="62"/>
      <c r="U289" s="64"/>
      <c r="V289" s="169"/>
      <c r="W289" s="62"/>
      <c r="X289" s="62"/>
      <c r="Y289" s="62"/>
      <c r="Z289" s="64"/>
      <c r="AA289" s="164"/>
      <c r="AB289" s="62"/>
      <c r="AC289" s="62"/>
      <c r="AD289" s="64"/>
      <c r="AE289" s="164"/>
      <c r="AF289" s="62"/>
      <c r="AG289" s="62"/>
      <c r="AH289" s="337"/>
      <c r="AI289" s="337"/>
      <c r="AJ289" s="337"/>
      <c r="AK289" s="337"/>
      <c r="AL289" s="552"/>
      <c r="AM289" s="552"/>
      <c r="AN289" s="45"/>
      <c r="AO289" s="45"/>
      <c r="AP289" s="45"/>
      <c r="AQ289" s="485"/>
      <c r="AR289" s="100"/>
      <c r="AS289" s="485"/>
      <c r="AT289" s="100"/>
      <c r="AU289" s="100"/>
      <c r="AV289" s="100"/>
      <c r="AW289" s="69">
        <v>23</v>
      </c>
      <c r="AX289" s="69" t="s">
        <v>354</v>
      </c>
      <c r="AY289" s="243" t="s">
        <v>34</v>
      </c>
      <c r="AZ289" s="243" t="str">
        <f t="shared" si="105"/>
        <v>Chinook</v>
      </c>
      <c r="BA289" s="243" t="s">
        <v>418</v>
      </c>
      <c r="BB289" s="244" t="s">
        <v>366</v>
      </c>
      <c r="BC289" s="43" t="str">
        <f t="shared" si="106"/>
        <v>-</v>
      </c>
      <c r="BD289" s="680">
        <v>0</v>
      </c>
      <c r="BE289" s="193">
        <f t="shared" si="128"/>
        <v>0</v>
      </c>
      <c r="BF289" s="193">
        <f t="shared" si="109"/>
        <v>0</v>
      </c>
      <c r="BG289" s="193">
        <f t="shared" si="110"/>
        <v>0</v>
      </c>
      <c r="BH289" s="307">
        <f t="shared" si="131"/>
        <v>0</v>
      </c>
      <c r="BI289" s="265"/>
      <c r="BJ289" s="26" t="str">
        <f t="shared" si="112"/>
        <v>SPROAT RIVERChinook</v>
      </c>
      <c r="BK289" s="26">
        <f t="shared" si="113"/>
        <v>0</v>
      </c>
      <c r="BL289" s="33">
        <f t="shared" si="101"/>
        <v>0</v>
      </c>
      <c r="BO289"/>
      <c r="BP289"/>
      <c r="BQ289" s="47" t="str">
        <f t="shared" si="114"/>
        <v>SPROAT RIVERChinook</v>
      </c>
      <c r="BR289" s="49">
        <f t="shared" si="115"/>
        <v>0</v>
      </c>
      <c r="BS289" s="49">
        <f t="shared" si="116"/>
        <v>0</v>
      </c>
      <c r="BT289" s="31">
        <v>2016</v>
      </c>
      <c r="BU289" s="188" t="str">
        <f t="shared" si="117"/>
        <v>Hup/StAD</v>
      </c>
      <c r="BV289" s="188" t="str">
        <f t="shared" si="118"/>
        <v xml:space="preserve"> </v>
      </c>
      <c r="BW289" s="188" t="str">
        <f t="shared" si="119"/>
        <v xml:space="preserve"> </v>
      </c>
      <c r="BX289" s="188" t="str">
        <f t="shared" si="120"/>
        <v xml:space="preserve"> </v>
      </c>
      <c r="BY289" s="50" t="str">
        <f t="shared" si="121"/>
        <v>SPROAT RIVER_Chinook</v>
      </c>
      <c r="BZ289" s="50" t="str">
        <f>IFERROR(VLOOKUP(BY289,'[1]WCVI Esc'!$C$5:$W$555,18,FALSE),"-")</f>
        <v>-</v>
      </c>
      <c r="CA289" s="50" t="str">
        <f t="shared" si="122"/>
        <v>-</v>
      </c>
      <c r="CB289" s="50" t="str">
        <f>IFERROR(VLOOKUP(BY289,'[1]WCVI Esc'!$C$5:$W$555,19,FALSE),"-")</f>
        <v>-</v>
      </c>
      <c r="CC289" s="50" t="str">
        <f t="shared" si="123"/>
        <v>-</v>
      </c>
      <c r="CE289" s="342" t="str">
        <f t="shared" si="124"/>
        <v>SPROAT RIVER_Chinook</v>
      </c>
      <c r="CF289" s="341">
        <f>IFERROR(VLOOKUP(BY289,'RawPL+D'!$O$8:$AB$503,12,FALSE),"-")</f>
        <v>0</v>
      </c>
      <c r="CG289" s="338">
        <f t="shared" si="125"/>
        <v>0</v>
      </c>
      <c r="CH289" s="341">
        <f>IFERROR(VLOOKUP(BY289,'RawPL+D'!$O$8:$AB$503,13,FALSE),"-")</f>
        <v>0</v>
      </c>
      <c r="CI289" s="338">
        <f t="shared" si="126"/>
        <v>0</v>
      </c>
    </row>
    <row r="290" spans="1:87" ht="12.75" hidden="1" customHeight="1" x14ac:dyDescent="0.2">
      <c r="A290" s="29">
        <v>3</v>
      </c>
      <c r="B290" s="29">
        <v>6</v>
      </c>
      <c r="C290" s="13">
        <v>23</v>
      </c>
      <c r="D290" s="148" t="s">
        <v>354</v>
      </c>
      <c r="E290" s="10" t="s">
        <v>34</v>
      </c>
      <c r="F290" s="10" t="s">
        <v>211</v>
      </c>
      <c r="G290" s="10"/>
      <c r="H290" s="10"/>
      <c r="I290" s="10"/>
      <c r="J290" s="10"/>
      <c r="K290" s="62"/>
      <c r="L290" s="64"/>
      <c r="M290" s="164"/>
      <c r="N290" s="62"/>
      <c r="O290" s="62"/>
      <c r="P290" s="177"/>
      <c r="Q290" s="593"/>
      <c r="R290" s="62"/>
      <c r="S290" s="62"/>
      <c r="T290" s="62"/>
      <c r="U290" s="64"/>
      <c r="V290" s="169"/>
      <c r="W290" s="62"/>
      <c r="X290" s="62"/>
      <c r="Y290" s="62"/>
      <c r="Z290" s="64"/>
      <c r="AA290" s="164"/>
      <c r="AB290" s="62"/>
      <c r="AC290" s="62"/>
      <c r="AD290" s="64"/>
      <c r="AE290" s="164"/>
      <c r="AF290" s="62"/>
      <c r="AG290" s="62"/>
      <c r="AH290" s="337"/>
      <c r="AI290" s="337"/>
      <c r="AJ290" s="337"/>
      <c r="AK290" s="337"/>
      <c r="AL290" s="414"/>
      <c r="AM290" s="414"/>
      <c r="AN290" s="45"/>
      <c r="AO290" s="45"/>
      <c r="AP290" s="45"/>
      <c r="AQ290" s="485"/>
      <c r="AR290" s="100"/>
      <c r="AS290" s="485"/>
      <c r="AT290" s="100"/>
      <c r="AU290" s="100"/>
      <c r="AV290" s="100"/>
      <c r="AW290" s="69">
        <v>23</v>
      </c>
      <c r="AX290" s="69" t="s">
        <v>354</v>
      </c>
      <c r="AY290" s="243" t="s">
        <v>34</v>
      </c>
      <c r="AZ290" s="243" t="str">
        <f t="shared" si="105"/>
        <v>Steelhead</v>
      </c>
      <c r="BA290" s="243" t="s">
        <v>418</v>
      </c>
      <c r="BB290" s="244" t="s">
        <v>366</v>
      </c>
      <c r="BC290" s="43" t="str">
        <f t="shared" si="106"/>
        <v>-</v>
      </c>
      <c r="BD290" s="43">
        <f t="shared" ref="BD290:BD321" si="132">BK290</f>
        <v>0</v>
      </c>
      <c r="BE290" s="193">
        <f t="shared" si="128"/>
        <v>0</v>
      </c>
      <c r="BF290" s="193">
        <f t="shared" si="109"/>
        <v>0</v>
      </c>
      <c r="BG290" s="193">
        <f t="shared" si="110"/>
        <v>0</v>
      </c>
      <c r="BH290" s="307" t="str">
        <f t="shared" si="131"/>
        <v>-</v>
      </c>
      <c r="BI290" s="265" t="str">
        <f t="shared" ref="BI290:BI321" si="133">CC290</f>
        <v>-</v>
      </c>
      <c r="BJ290" s="26" t="str">
        <f t="shared" si="112"/>
        <v>SPROAT RIVERSteelhead</v>
      </c>
      <c r="BK290" s="26">
        <f t="shared" si="113"/>
        <v>0</v>
      </c>
      <c r="BL290" s="33">
        <f t="shared" si="101"/>
        <v>0</v>
      </c>
      <c r="BO290"/>
      <c r="BP290"/>
      <c r="BQ290" s="47" t="str">
        <f t="shared" si="114"/>
        <v>SPROAT RIVERSteelhead</v>
      </c>
      <c r="BR290" s="49">
        <f t="shared" si="115"/>
        <v>0</v>
      </c>
      <c r="BS290" s="49">
        <f t="shared" si="116"/>
        <v>0</v>
      </c>
      <c r="BT290" s="31">
        <v>0</v>
      </c>
      <c r="BU290" s="188" t="str">
        <f t="shared" si="117"/>
        <v>Hup/StAD</v>
      </c>
      <c r="BV290" s="188" t="str">
        <f t="shared" si="118"/>
        <v xml:space="preserve"> </v>
      </c>
      <c r="BW290" s="188" t="str">
        <f t="shared" si="119"/>
        <v xml:space="preserve"> </v>
      </c>
      <c r="BX290" s="188" t="str">
        <f t="shared" si="120"/>
        <v xml:space="preserve"> </v>
      </c>
      <c r="BY290" s="50" t="str">
        <f t="shared" si="121"/>
        <v>SPROAT RIVER_Steelhead</v>
      </c>
      <c r="BZ290" s="50" t="str">
        <f>IFERROR(VLOOKUP(BY290,'[1]WCVI Esc'!$C$5:$W$555,18,FALSE),"-")</f>
        <v>-</v>
      </c>
      <c r="CA290" s="50" t="str">
        <f t="shared" si="122"/>
        <v>-</v>
      </c>
      <c r="CB290" s="50" t="str">
        <f>IFERROR(VLOOKUP(BY290,'[1]WCVI Esc'!$C$5:$W$555,19,FALSE),"-")</f>
        <v>-</v>
      </c>
      <c r="CC290" s="50" t="str">
        <f t="shared" si="123"/>
        <v>-</v>
      </c>
      <c r="CE290" s="342" t="str">
        <f t="shared" si="124"/>
        <v>SPROAT RIVER_Steelhead</v>
      </c>
      <c r="CF290" s="341" t="str">
        <f>IFERROR(VLOOKUP(BY290,'RawPL+D'!$O$8:$AB$503,12,FALSE),"-")</f>
        <v>-</v>
      </c>
      <c r="CG290" s="338" t="str">
        <f t="shared" si="125"/>
        <v>-</v>
      </c>
      <c r="CH290" s="341" t="str">
        <f>IFERROR(VLOOKUP(BY290,'RawPL+D'!$O$8:$AB$503,13,FALSE),"-")</f>
        <v>-</v>
      </c>
      <c r="CI290" s="338" t="str">
        <f t="shared" si="126"/>
        <v>-</v>
      </c>
    </row>
    <row r="291" spans="1:87" ht="12.75" hidden="1" customHeight="1" x14ac:dyDescent="0.2">
      <c r="A291" s="28">
        <v>3</v>
      </c>
      <c r="B291" s="28">
        <v>1</v>
      </c>
      <c r="C291" s="11">
        <v>23</v>
      </c>
      <c r="D291" s="148" t="s">
        <v>356</v>
      </c>
      <c r="E291" s="10" t="s">
        <v>88</v>
      </c>
      <c r="F291" s="10" t="s">
        <v>207</v>
      </c>
      <c r="G291" s="10"/>
      <c r="H291" s="10"/>
      <c r="I291" s="10"/>
      <c r="J291" s="10"/>
      <c r="K291" s="575"/>
      <c r="L291" s="152"/>
      <c r="M291" s="164"/>
      <c r="N291" s="62"/>
      <c r="O291" s="62"/>
      <c r="P291" s="177"/>
      <c r="Q291" s="171"/>
      <c r="R291" s="62"/>
      <c r="S291" s="62"/>
      <c r="T291" s="62"/>
      <c r="U291" s="64"/>
      <c r="V291" s="164"/>
      <c r="W291" s="62"/>
      <c r="X291" s="62"/>
      <c r="Y291" s="62"/>
      <c r="Z291" s="64"/>
      <c r="AA291" s="164"/>
      <c r="AB291" s="62"/>
      <c r="AC291" s="62"/>
      <c r="AD291" s="64"/>
      <c r="AE291" s="164"/>
      <c r="AF291" s="62"/>
      <c r="AG291" s="62"/>
      <c r="AH291" s="337"/>
      <c r="AI291" s="337"/>
      <c r="AJ291" s="337"/>
      <c r="AK291" s="337"/>
      <c r="AL291" s="414"/>
      <c r="AM291" s="414"/>
      <c r="AN291" s="45"/>
      <c r="AO291" s="45"/>
      <c r="AP291" s="45"/>
      <c r="AQ291" s="485"/>
      <c r="AR291" s="100"/>
      <c r="AS291" s="485"/>
      <c r="AT291" s="100"/>
      <c r="AU291" s="100"/>
      <c r="AV291" s="100"/>
      <c r="AW291" s="18">
        <v>23</v>
      </c>
      <c r="AX291" s="69" t="s">
        <v>356</v>
      </c>
      <c r="AY291" s="243" t="s">
        <v>88</v>
      </c>
      <c r="AZ291" s="243" t="str">
        <f t="shared" si="105"/>
        <v>Sockeye</v>
      </c>
      <c r="BA291" s="243" t="s">
        <v>419</v>
      </c>
      <c r="BB291" s="246"/>
      <c r="BC291" s="43" t="str">
        <f t="shared" si="106"/>
        <v>-</v>
      </c>
      <c r="BD291" s="43">
        <f t="shared" si="132"/>
        <v>0</v>
      </c>
      <c r="BE291" s="193">
        <f t="shared" si="128"/>
        <v>0</v>
      </c>
      <c r="BF291" s="193">
        <f t="shared" si="109"/>
        <v>0</v>
      </c>
      <c r="BG291" s="193">
        <f t="shared" si="110"/>
        <v>0</v>
      </c>
      <c r="BH291" s="307">
        <f t="shared" si="131"/>
        <v>70</v>
      </c>
      <c r="BI291" s="265" t="str">
        <f t="shared" si="133"/>
        <v>-</v>
      </c>
      <c r="BJ291" s="26" t="str">
        <f t="shared" si="112"/>
        <v>CHINA CREEKSockeye</v>
      </c>
      <c r="BK291" s="26">
        <f t="shared" si="113"/>
        <v>0</v>
      </c>
      <c r="BL291" s="33">
        <f t="shared" si="101"/>
        <v>0</v>
      </c>
      <c r="BQ291" s="47" t="str">
        <f t="shared" si="114"/>
        <v>CHINA CREEKSockeye</v>
      </c>
      <c r="BR291" s="49">
        <f t="shared" si="115"/>
        <v>0</v>
      </c>
      <c r="BS291" s="49">
        <f t="shared" si="116"/>
        <v>0</v>
      </c>
      <c r="BT291" s="31">
        <v>0</v>
      </c>
      <c r="BU291" s="188">
        <f t="shared" si="117"/>
        <v>0</v>
      </c>
      <c r="BV291" s="188" t="str">
        <f t="shared" si="118"/>
        <v xml:space="preserve"> </v>
      </c>
      <c r="BW291" s="188" t="str">
        <f t="shared" si="119"/>
        <v xml:space="preserve"> </v>
      </c>
      <c r="BX291" s="188" t="str">
        <f t="shared" si="120"/>
        <v xml:space="preserve"> </v>
      </c>
      <c r="BY291" s="50" t="str">
        <f t="shared" si="121"/>
        <v>CHINA CREEK_Sockeye</v>
      </c>
      <c r="BZ291" s="50" t="str">
        <f>IFERROR(VLOOKUP(BY291,'[1]WCVI Esc'!$C$5:$W$555,18,FALSE),"-")</f>
        <v>-</v>
      </c>
      <c r="CA291" s="50" t="str">
        <f t="shared" si="122"/>
        <v>-</v>
      </c>
      <c r="CB291" s="50" t="str">
        <f>IFERROR(VLOOKUP(BY291,'[1]WCVI Esc'!$C$5:$W$555,19,FALSE),"-")</f>
        <v>-</v>
      </c>
      <c r="CC291" s="50" t="str">
        <f t="shared" si="123"/>
        <v>-</v>
      </c>
      <c r="CE291" s="342" t="str">
        <f t="shared" ref="CE291:CE296" si="134">CONCATENATE("BEDWELL SYSTEM","_",F291)</f>
        <v>BEDWELL SYSTEM_Sockeye</v>
      </c>
      <c r="CF291" s="341">
        <f>IFERROR(VLOOKUP(CE291,'RawPL+D'!$O$8:$AB$503,12,FALSE),"-")</f>
        <v>139</v>
      </c>
      <c r="CG291" s="338">
        <f t="shared" si="125"/>
        <v>140</v>
      </c>
      <c r="CH291" s="341">
        <f>IFERROR(VLOOKUP(CE291,'RawPL+D'!$O$8:$AB$503,13,FALSE),"-")</f>
        <v>66</v>
      </c>
      <c r="CI291" s="338">
        <f t="shared" si="126"/>
        <v>70</v>
      </c>
    </row>
    <row r="292" spans="1:87" ht="12.75" hidden="1" customHeight="1" x14ac:dyDescent="0.2">
      <c r="A292" s="28">
        <v>3</v>
      </c>
      <c r="B292" s="28">
        <v>2</v>
      </c>
      <c r="C292" s="11">
        <v>23</v>
      </c>
      <c r="D292" s="148" t="s">
        <v>356</v>
      </c>
      <c r="E292" s="10" t="s">
        <v>88</v>
      </c>
      <c r="F292" s="10" t="s">
        <v>219</v>
      </c>
      <c r="G292" s="10"/>
      <c r="H292" s="10"/>
      <c r="I292" s="10"/>
      <c r="J292" s="10"/>
      <c r="K292" s="575"/>
      <c r="L292" s="152"/>
      <c r="M292" s="164"/>
      <c r="N292" s="62"/>
      <c r="O292" s="62"/>
      <c r="P292" s="177"/>
      <c r="Q292" s="171"/>
      <c r="R292" s="62"/>
      <c r="S292" s="62"/>
      <c r="T292" s="62"/>
      <c r="U292" s="64"/>
      <c r="V292" s="164"/>
      <c r="W292" s="62"/>
      <c r="X292" s="62"/>
      <c r="Y292" s="62"/>
      <c r="Z292" s="64"/>
      <c r="AA292" s="164"/>
      <c r="AB292" s="62"/>
      <c r="AC292" s="62"/>
      <c r="AD292" s="64"/>
      <c r="AE292" s="164"/>
      <c r="AF292" s="62"/>
      <c r="AG292" s="62"/>
      <c r="AH292" s="337"/>
      <c r="AI292" s="337"/>
      <c r="AJ292" s="337"/>
      <c r="AK292" s="337"/>
      <c r="AL292" s="414"/>
      <c r="AM292" s="414"/>
      <c r="AN292" s="45"/>
      <c r="AO292" s="45"/>
      <c r="AP292" s="45"/>
      <c r="AQ292" s="15"/>
      <c r="AR292" s="100">
        <f>BL292/BI292</f>
        <v>0</v>
      </c>
      <c r="AS292" s="485"/>
      <c r="AT292" s="100"/>
      <c r="AU292" s="100"/>
      <c r="AV292" s="100"/>
      <c r="AW292" s="18">
        <v>23</v>
      </c>
      <c r="AX292" s="69" t="s">
        <v>356</v>
      </c>
      <c r="AY292" s="243" t="s">
        <v>88</v>
      </c>
      <c r="AZ292" s="243" t="str">
        <f t="shared" si="105"/>
        <v>Coho</v>
      </c>
      <c r="BA292" s="243" t="s">
        <v>419</v>
      </c>
      <c r="BB292" s="246"/>
      <c r="BC292" s="43" t="str">
        <f t="shared" si="106"/>
        <v>-</v>
      </c>
      <c r="BD292" s="43">
        <f t="shared" si="132"/>
        <v>0</v>
      </c>
      <c r="BE292" s="193">
        <f t="shared" si="128"/>
        <v>0</v>
      </c>
      <c r="BF292" s="193">
        <f t="shared" si="109"/>
        <v>0</v>
      </c>
      <c r="BG292" s="193">
        <f t="shared" si="110"/>
        <v>0</v>
      </c>
      <c r="BH292" s="307">
        <f t="shared" si="131"/>
        <v>780</v>
      </c>
      <c r="BI292" s="265">
        <f t="shared" si="133"/>
        <v>30</v>
      </c>
      <c r="BJ292" s="26" t="str">
        <f t="shared" si="112"/>
        <v>CHINA CREEKCoho</v>
      </c>
      <c r="BK292" s="26">
        <f t="shared" si="113"/>
        <v>0</v>
      </c>
      <c r="BL292" s="33">
        <f t="shared" si="101"/>
        <v>0</v>
      </c>
      <c r="BQ292" s="47" t="str">
        <f t="shared" si="114"/>
        <v>CHINA CREEKCoho</v>
      </c>
      <c r="BR292" s="49">
        <f t="shared" si="115"/>
        <v>0</v>
      </c>
      <c r="BS292" s="49">
        <f t="shared" si="116"/>
        <v>0</v>
      </c>
      <c r="BT292" s="31">
        <v>2015</v>
      </c>
      <c r="BU292" s="188">
        <f t="shared" si="117"/>
        <v>0</v>
      </c>
      <c r="BV292" s="188" t="str">
        <f t="shared" si="118"/>
        <v xml:space="preserve"> </v>
      </c>
      <c r="BW292" s="188" t="str">
        <f t="shared" si="119"/>
        <v xml:space="preserve"> </v>
      </c>
      <c r="BX292" s="188" t="str">
        <f t="shared" si="120"/>
        <v xml:space="preserve"> </v>
      </c>
      <c r="BY292" s="50" t="str">
        <f t="shared" si="121"/>
        <v>CHINA CREEK_Coho</v>
      </c>
      <c r="BZ292" s="50" t="str">
        <f>IFERROR(VLOOKUP(BY292,'[1]WCVI Esc'!$C$5:$W$555,18,FALSE),"-")</f>
        <v>-</v>
      </c>
      <c r="CA292" s="50" t="str">
        <f t="shared" si="122"/>
        <v>-</v>
      </c>
      <c r="CB292" s="50">
        <f>IFERROR(VLOOKUP(BY292,'[1]WCVI Esc'!$C$5:$W$555,19,FALSE),"-")</f>
        <v>30</v>
      </c>
      <c r="CC292" s="50">
        <f t="shared" si="123"/>
        <v>30</v>
      </c>
      <c r="CE292" s="342" t="str">
        <f t="shared" si="134"/>
        <v>BEDWELL SYSTEM_Coho</v>
      </c>
      <c r="CF292" s="341">
        <f>IFERROR(VLOOKUP(CE292,'RawPL+D'!$O$8:$AB$503,12,FALSE),"-")</f>
        <v>768</v>
      </c>
      <c r="CG292" s="338">
        <f t="shared" si="125"/>
        <v>770</v>
      </c>
      <c r="CH292" s="341">
        <f>IFERROR(VLOOKUP(CE292,'RawPL+D'!$O$8:$AB$503,13,FALSE),"-")</f>
        <v>783.25</v>
      </c>
      <c r="CI292" s="338">
        <f t="shared" si="126"/>
        <v>780</v>
      </c>
    </row>
    <row r="293" spans="1:87" ht="12.75" hidden="1" customHeight="1" x14ac:dyDescent="0.2">
      <c r="A293" s="28">
        <v>3</v>
      </c>
      <c r="B293" s="28">
        <v>3</v>
      </c>
      <c r="C293" s="11">
        <v>23</v>
      </c>
      <c r="D293" s="148" t="s">
        <v>356</v>
      </c>
      <c r="E293" s="10" t="s">
        <v>88</v>
      </c>
      <c r="F293" s="10" t="s">
        <v>208</v>
      </c>
      <c r="G293" s="10"/>
      <c r="H293" s="10"/>
      <c r="I293" s="10"/>
      <c r="J293" s="10"/>
      <c r="K293" s="575"/>
      <c r="L293" s="152"/>
      <c r="M293" s="164"/>
      <c r="N293" s="62"/>
      <c r="O293" s="62"/>
      <c r="P293" s="177"/>
      <c r="Q293" s="171"/>
      <c r="R293" s="62"/>
      <c r="S293" s="62"/>
      <c r="T293" s="62"/>
      <c r="U293" s="64"/>
      <c r="V293" s="164"/>
      <c r="W293" s="62"/>
      <c r="X293" s="62"/>
      <c r="Y293" s="62"/>
      <c r="Z293" s="64"/>
      <c r="AA293" s="164"/>
      <c r="AB293" s="62"/>
      <c r="AC293" s="62"/>
      <c r="AD293" s="64"/>
      <c r="AE293" s="164"/>
      <c r="AF293" s="62"/>
      <c r="AG293" s="62"/>
      <c r="AH293" s="337"/>
      <c r="AI293" s="337"/>
      <c r="AJ293" s="337"/>
      <c r="AK293" s="337"/>
      <c r="AL293" s="414"/>
      <c r="AM293" s="414"/>
      <c r="AN293" s="45"/>
      <c r="AO293" s="45"/>
      <c r="AP293" s="45"/>
      <c r="AQ293" s="485"/>
      <c r="AR293" s="100"/>
      <c r="AS293" s="485"/>
      <c r="AT293" s="100"/>
      <c r="AU293" s="100"/>
      <c r="AV293" s="100"/>
      <c r="AW293" s="18">
        <v>23</v>
      </c>
      <c r="AX293" s="69" t="s">
        <v>356</v>
      </c>
      <c r="AY293" s="243" t="s">
        <v>88</v>
      </c>
      <c r="AZ293" s="243" t="str">
        <f t="shared" si="105"/>
        <v>Pink</v>
      </c>
      <c r="BA293" s="243" t="s">
        <v>419</v>
      </c>
      <c r="BB293" s="246"/>
      <c r="BC293" s="43" t="str">
        <f t="shared" si="106"/>
        <v>-</v>
      </c>
      <c r="BD293" s="43">
        <f t="shared" si="132"/>
        <v>0</v>
      </c>
      <c r="BE293" s="193">
        <f t="shared" si="128"/>
        <v>0</v>
      </c>
      <c r="BF293" s="193">
        <f t="shared" si="109"/>
        <v>0</v>
      </c>
      <c r="BG293" s="193">
        <f t="shared" si="110"/>
        <v>0</v>
      </c>
      <c r="BH293" s="307">
        <f t="shared" si="131"/>
        <v>10</v>
      </c>
      <c r="BI293" s="265" t="str">
        <f t="shared" si="133"/>
        <v>-</v>
      </c>
      <c r="BJ293" s="26" t="str">
        <f t="shared" si="112"/>
        <v>CHINA CREEKPink</v>
      </c>
      <c r="BK293" s="26">
        <f t="shared" si="113"/>
        <v>0</v>
      </c>
      <c r="BL293" s="33">
        <f t="shared" si="101"/>
        <v>0</v>
      </c>
      <c r="BQ293" s="47" t="str">
        <f t="shared" si="114"/>
        <v>CHINA CREEKPink</v>
      </c>
      <c r="BR293" s="49">
        <f t="shared" si="115"/>
        <v>0</v>
      </c>
      <c r="BS293" s="49">
        <f t="shared" si="116"/>
        <v>0</v>
      </c>
      <c r="BT293" s="31">
        <v>0</v>
      </c>
      <c r="BU293" s="188">
        <f t="shared" si="117"/>
        <v>0</v>
      </c>
      <c r="BV293" s="188" t="str">
        <f t="shared" si="118"/>
        <v xml:space="preserve"> </v>
      </c>
      <c r="BW293" s="188" t="str">
        <f t="shared" si="119"/>
        <v xml:space="preserve"> </v>
      </c>
      <c r="BX293" s="188" t="str">
        <f t="shared" si="120"/>
        <v xml:space="preserve"> </v>
      </c>
      <c r="BY293" s="50" t="str">
        <f t="shared" si="121"/>
        <v>CHINA CREEK_Pink</v>
      </c>
      <c r="BZ293" s="50" t="str">
        <f>IFERROR(VLOOKUP(BY293,'[1]WCVI Esc'!$C$5:$W$555,18,FALSE),"-")</f>
        <v>-</v>
      </c>
      <c r="CA293" s="50" t="str">
        <f t="shared" si="122"/>
        <v>-</v>
      </c>
      <c r="CB293" s="50" t="str">
        <f>IFERROR(VLOOKUP(BY293,'[1]WCVI Esc'!$C$5:$W$555,19,FALSE),"-")</f>
        <v>-</v>
      </c>
      <c r="CC293" s="50" t="str">
        <f t="shared" si="123"/>
        <v>-</v>
      </c>
      <c r="CE293" s="342" t="str">
        <f t="shared" si="134"/>
        <v>BEDWELL SYSTEM_Pink</v>
      </c>
      <c r="CF293" s="341">
        <f>IFERROR(VLOOKUP(CE293,'RawPL+D'!$O$8:$AB$503,12,FALSE),"-")</f>
        <v>12</v>
      </c>
      <c r="CG293" s="338">
        <f t="shared" si="125"/>
        <v>10</v>
      </c>
      <c r="CH293" s="341">
        <f>IFERROR(VLOOKUP(CE293,'RawPL+D'!$O$8:$AB$503,13,FALSE),"-")</f>
        <v>6.25</v>
      </c>
      <c r="CI293" s="338">
        <f t="shared" si="126"/>
        <v>10</v>
      </c>
    </row>
    <row r="294" spans="1:87" ht="12.75" hidden="1" customHeight="1" x14ac:dyDescent="0.2">
      <c r="A294" s="28">
        <v>3</v>
      </c>
      <c r="B294" s="28">
        <v>4</v>
      </c>
      <c r="C294" s="11">
        <v>23</v>
      </c>
      <c r="D294" s="148" t="s">
        <v>356</v>
      </c>
      <c r="E294" s="10" t="s">
        <v>88</v>
      </c>
      <c r="F294" s="10" t="s">
        <v>209</v>
      </c>
      <c r="G294" s="10"/>
      <c r="H294" s="10"/>
      <c r="I294" s="10"/>
      <c r="J294" s="10"/>
      <c r="K294" s="575"/>
      <c r="L294" s="152"/>
      <c r="M294" s="164"/>
      <c r="N294" s="62"/>
      <c r="O294" s="62"/>
      <c r="P294" s="177"/>
      <c r="Q294" s="171"/>
      <c r="R294" s="62"/>
      <c r="S294" s="62"/>
      <c r="T294" s="62"/>
      <c r="U294" s="64"/>
      <c r="V294" s="164"/>
      <c r="W294" s="62"/>
      <c r="X294" s="62"/>
      <c r="Y294" s="62"/>
      <c r="Z294" s="64"/>
      <c r="AA294" s="164"/>
      <c r="AB294" s="62"/>
      <c r="AC294" s="62"/>
      <c r="AD294" s="64"/>
      <c r="AE294" s="164"/>
      <c r="AF294" s="62"/>
      <c r="AG294" s="62"/>
      <c r="AH294" s="337"/>
      <c r="AI294" s="337"/>
      <c r="AJ294" s="337"/>
      <c r="AK294" s="337"/>
      <c r="AL294" s="414"/>
      <c r="AM294" s="414"/>
      <c r="AN294" s="45"/>
      <c r="AO294" s="45"/>
      <c r="AP294" s="45"/>
      <c r="AQ294" s="15"/>
      <c r="AR294" s="100">
        <f>BL294/BI294</f>
        <v>0</v>
      </c>
      <c r="AS294" s="485"/>
      <c r="AT294" s="100"/>
      <c r="AU294" s="100"/>
      <c r="AV294" s="100"/>
      <c r="AW294" s="18">
        <v>23</v>
      </c>
      <c r="AX294" s="69" t="s">
        <v>356</v>
      </c>
      <c r="AY294" s="243" t="s">
        <v>88</v>
      </c>
      <c r="AZ294" s="243" t="str">
        <f t="shared" si="105"/>
        <v>Chum</v>
      </c>
      <c r="BA294" s="243" t="s">
        <v>419</v>
      </c>
      <c r="BB294" s="246"/>
      <c r="BC294" s="43" t="str">
        <f t="shared" si="106"/>
        <v>-</v>
      </c>
      <c r="BD294" s="43">
        <f t="shared" si="132"/>
        <v>0</v>
      </c>
      <c r="BE294" s="193">
        <f t="shared" si="128"/>
        <v>0</v>
      </c>
      <c r="BF294" s="193">
        <f t="shared" si="109"/>
        <v>0</v>
      </c>
      <c r="BG294" s="193">
        <f t="shared" si="110"/>
        <v>0</v>
      </c>
      <c r="BH294" s="307">
        <f t="shared" si="131"/>
        <v>1240</v>
      </c>
      <c r="BI294" s="265">
        <f t="shared" si="133"/>
        <v>20</v>
      </c>
      <c r="BJ294" s="26" t="str">
        <f t="shared" si="112"/>
        <v>CHINA CREEKChum</v>
      </c>
      <c r="BK294" s="26">
        <f t="shared" si="113"/>
        <v>0</v>
      </c>
      <c r="BL294" s="33">
        <f t="shared" si="101"/>
        <v>0</v>
      </c>
      <c r="BQ294" s="47" t="str">
        <f t="shared" si="114"/>
        <v>CHINA CREEKChum</v>
      </c>
      <c r="BR294" s="49">
        <f t="shared" si="115"/>
        <v>0</v>
      </c>
      <c r="BS294" s="49">
        <f t="shared" si="116"/>
        <v>0</v>
      </c>
      <c r="BT294" s="31">
        <v>2015</v>
      </c>
      <c r="BU294" s="188">
        <f t="shared" si="117"/>
        <v>0</v>
      </c>
      <c r="BV294" s="188" t="str">
        <f t="shared" si="118"/>
        <v xml:space="preserve"> </v>
      </c>
      <c r="BW294" s="188" t="str">
        <f t="shared" si="119"/>
        <v xml:space="preserve"> </v>
      </c>
      <c r="BX294" s="188" t="str">
        <f t="shared" si="120"/>
        <v xml:space="preserve"> </v>
      </c>
      <c r="BY294" s="50" t="str">
        <f t="shared" si="121"/>
        <v>CHINA CREEK_Chum</v>
      </c>
      <c r="BZ294" s="50" t="str">
        <f>IFERROR(VLOOKUP(BY294,'[1]WCVI Esc'!$C$5:$W$555,18,FALSE),"-")</f>
        <v>-</v>
      </c>
      <c r="CA294" s="50" t="str">
        <f t="shared" si="122"/>
        <v>-</v>
      </c>
      <c r="CB294" s="50">
        <f>IFERROR(VLOOKUP(BY294,'[1]WCVI Esc'!$C$5:$W$555,19,FALSE),"-")</f>
        <v>15</v>
      </c>
      <c r="CC294" s="50">
        <f t="shared" si="123"/>
        <v>20</v>
      </c>
      <c r="CE294" s="342" t="str">
        <f t="shared" si="134"/>
        <v>BEDWELL SYSTEM_Chum</v>
      </c>
      <c r="CF294" s="341">
        <f>IFERROR(VLOOKUP(CE294,'RawPL+D'!$O$8:$AB$503,12,FALSE),"-")</f>
        <v>1380</v>
      </c>
      <c r="CG294" s="338">
        <f t="shared" si="125"/>
        <v>1380</v>
      </c>
      <c r="CH294" s="341">
        <f>IFERROR(VLOOKUP(CE294,'RawPL+D'!$O$8:$AB$503,13,FALSE),"-")</f>
        <v>1235.5</v>
      </c>
      <c r="CI294" s="338">
        <f t="shared" si="126"/>
        <v>1240</v>
      </c>
    </row>
    <row r="295" spans="1:87" ht="12.75" hidden="1" customHeight="1" x14ac:dyDescent="0.2">
      <c r="A295" s="28">
        <v>3</v>
      </c>
      <c r="B295" s="28">
        <v>5</v>
      </c>
      <c r="C295" s="11">
        <v>23</v>
      </c>
      <c r="D295" s="148" t="s">
        <v>356</v>
      </c>
      <c r="E295" s="10" t="s">
        <v>88</v>
      </c>
      <c r="F295" s="10" t="s">
        <v>210</v>
      </c>
      <c r="G295" s="10"/>
      <c r="H295" s="10"/>
      <c r="I295" s="10"/>
      <c r="J295" s="10"/>
      <c r="K295" s="575"/>
      <c r="L295" s="152"/>
      <c r="M295" s="164"/>
      <c r="N295" s="62"/>
      <c r="O295" s="62"/>
      <c r="P295" s="177"/>
      <c r="Q295" s="171"/>
      <c r="R295" s="62"/>
      <c r="S295" s="62"/>
      <c r="T295" s="62"/>
      <c r="U295" s="64"/>
      <c r="V295" s="164"/>
      <c r="W295" s="62"/>
      <c r="X295" s="62"/>
      <c r="Y295" s="62"/>
      <c r="Z295" s="64"/>
      <c r="AA295" s="164"/>
      <c r="AB295" s="62"/>
      <c r="AC295" s="62"/>
      <c r="AD295" s="64"/>
      <c r="AE295" s="164"/>
      <c r="AF295" s="62"/>
      <c r="AG295" s="62"/>
      <c r="AH295" s="337"/>
      <c r="AI295" s="337"/>
      <c r="AJ295" s="337"/>
      <c r="AK295" s="337"/>
      <c r="AL295" s="414"/>
      <c r="AM295" s="414"/>
      <c r="AN295" s="45"/>
      <c r="AO295" s="45"/>
      <c r="AP295" s="45"/>
      <c r="AQ295" s="485"/>
      <c r="AR295" s="100"/>
      <c r="AS295" s="485"/>
      <c r="AT295" s="24"/>
      <c r="AU295" s="24"/>
      <c r="AV295" s="24"/>
      <c r="AW295" s="18">
        <v>23</v>
      </c>
      <c r="AX295" s="69" t="s">
        <v>356</v>
      </c>
      <c r="AY295" s="243" t="s">
        <v>88</v>
      </c>
      <c r="AZ295" s="243" t="str">
        <f t="shared" si="105"/>
        <v>Chinook</v>
      </c>
      <c r="BA295" s="243" t="s">
        <v>419</v>
      </c>
      <c r="BB295" s="246"/>
      <c r="BC295" s="43" t="str">
        <f t="shared" si="106"/>
        <v>-</v>
      </c>
      <c r="BD295" s="43">
        <f t="shared" si="132"/>
        <v>0</v>
      </c>
      <c r="BE295" s="193">
        <f t="shared" si="128"/>
        <v>0</v>
      </c>
      <c r="BF295" s="193">
        <f t="shared" si="109"/>
        <v>0</v>
      </c>
      <c r="BG295" s="193">
        <f t="shared" si="110"/>
        <v>0</v>
      </c>
      <c r="BH295" s="307">
        <f t="shared" si="131"/>
        <v>220</v>
      </c>
      <c r="BI295" s="265" t="str">
        <f t="shared" si="133"/>
        <v>-</v>
      </c>
      <c r="BJ295" s="26" t="str">
        <f t="shared" si="112"/>
        <v>CHINA CREEKChinook</v>
      </c>
      <c r="BK295" s="26">
        <f t="shared" si="113"/>
        <v>0</v>
      </c>
      <c r="BL295" s="33">
        <f t="shared" ref="BL295:BL358" si="135">MAX(K295:AB295)</f>
        <v>0</v>
      </c>
      <c r="BQ295" s="47" t="str">
        <f t="shared" si="114"/>
        <v>CHINA CREEKChinook</v>
      </c>
      <c r="BR295" s="49">
        <f t="shared" si="115"/>
        <v>0</v>
      </c>
      <c r="BS295" s="49">
        <f t="shared" si="116"/>
        <v>0</v>
      </c>
      <c r="BT295" s="31">
        <v>0</v>
      </c>
      <c r="BU295" s="188">
        <f t="shared" si="117"/>
        <v>0</v>
      </c>
      <c r="BV295" s="188" t="str">
        <f t="shared" si="118"/>
        <v xml:space="preserve"> </v>
      </c>
      <c r="BW295" s="188" t="str">
        <f t="shared" si="119"/>
        <v xml:space="preserve"> </v>
      </c>
      <c r="BX295" s="188" t="str">
        <f t="shared" si="120"/>
        <v xml:space="preserve"> </v>
      </c>
      <c r="BY295" s="50" t="str">
        <f t="shared" si="121"/>
        <v>CHINA CREEK_Chinook</v>
      </c>
      <c r="BZ295" s="50" t="str">
        <f>IFERROR(VLOOKUP(BY295,'[1]WCVI Esc'!$C$5:$W$555,18,FALSE),"-")</f>
        <v>-</v>
      </c>
      <c r="CA295" s="50" t="str">
        <f t="shared" si="122"/>
        <v>-</v>
      </c>
      <c r="CB295" s="50" t="str">
        <f>IFERROR(VLOOKUP(BY295,'[1]WCVI Esc'!$C$5:$W$555,19,FALSE),"-")</f>
        <v>-</v>
      </c>
      <c r="CC295" s="50" t="str">
        <f t="shared" si="123"/>
        <v>-</v>
      </c>
      <c r="CE295" s="342" t="str">
        <f t="shared" si="134"/>
        <v>BEDWELL SYSTEM_Chinook</v>
      </c>
      <c r="CF295" s="341">
        <f>IFERROR(VLOOKUP(CE295,'RawPL+D'!$O$8:$AB$503,12,FALSE),"-")</f>
        <v>53</v>
      </c>
      <c r="CG295" s="338">
        <f t="shared" si="125"/>
        <v>50</v>
      </c>
      <c r="CH295" s="341">
        <f>IFERROR(VLOOKUP(CE295,'RawPL+D'!$O$8:$AB$503,13,FALSE),"-")</f>
        <v>224</v>
      </c>
      <c r="CI295" s="338">
        <f t="shared" si="126"/>
        <v>220</v>
      </c>
    </row>
    <row r="296" spans="1:87" ht="12.75" hidden="1" customHeight="1" x14ac:dyDescent="0.2">
      <c r="A296" s="28">
        <v>3</v>
      </c>
      <c r="B296" s="28">
        <v>6</v>
      </c>
      <c r="C296" s="11">
        <v>23</v>
      </c>
      <c r="D296" s="148" t="s">
        <v>356</v>
      </c>
      <c r="E296" s="10" t="s">
        <v>88</v>
      </c>
      <c r="F296" s="10" t="s">
        <v>211</v>
      </c>
      <c r="G296" s="10"/>
      <c r="H296" s="10"/>
      <c r="I296" s="10"/>
      <c r="J296" s="10"/>
      <c r="K296" s="575"/>
      <c r="L296" s="152"/>
      <c r="M296" s="164"/>
      <c r="N296" s="62"/>
      <c r="O296" s="62"/>
      <c r="P296" s="177"/>
      <c r="Q296" s="171"/>
      <c r="R296" s="62"/>
      <c r="S296" s="62"/>
      <c r="T296" s="62"/>
      <c r="U296" s="64"/>
      <c r="V296" s="164"/>
      <c r="W296" s="62"/>
      <c r="X296" s="62"/>
      <c r="Y296" s="62"/>
      <c r="Z296" s="64"/>
      <c r="AA296" s="164"/>
      <c r="AB296" s="62"/>
      <c r="AC296" s="62"/>
      <c r="AD296" s="64"/>
      <c r="AE296" s="164"/>
      <c r="AF296" s="62"/>
      <c r="AG296" s="62"/>
      <c r="AH296" s="337"/>
      <c r="AI296" s="337"/>
      <c r="AJ296" s="337"/>
      <c r="AK296" s="337"/>
      <c r="AL296" s="414"/>
      <c r="AM296" s="414"/>
      <c r="AN296" s="45"/>
      <c r="AO296" s="45"/>
      <c r="AP296" s="45"/>
      <c r="AQ296" s="485"/>
      <c r="AR296" s="100"/>
      <c r="AS296" s="485"/>
      <c r="AT296" s="24"/>
      <c r="AU296" s="24"/>
      <c r="AV296" s="24"/>
      <c r="AW296" s="18">
        <v>23</v>
      </c>
      <c r="AX296" s="69" t="s">
        <v>356</v>
      </c>
      <c r="AY296" s="243" t="s">
        <v>88</v>
      </c>
      <c r="AZ296" s="243" t="str">
        <f t="shared" si="105"/>
        <v>Steelhead</v>
      </c>
      <c r="BA296" s="243" t="s">
        <v>419</v>
      </c>
      <c r="BB296" s="246"/>
      <c r="BC296" s="43" t="str">
        <f t="shared" si="106"/>
        <v>-</v>
      </c>
      <c r="BD296" s="43">
        <f t="shared" si="132"/>
        <v>0</v>
      </c>
      <c r="BE296" s="193">
        <f t="shared" si="128"/>
        <v>0</v>
      </c>
      <c r="BF296" s="193">
        <f t="shared" si="109"/>
        <v>0</v>
      </c>
      <c r="BG296" s="193">
        <f t="shared" si="110"/>
        <v>0</v>
      </c>
      <c r="BH296" s="307" t="str">
        <f t="shared" si="131"/>
        <v>-</v>
      </c>
      <c r="BI296" s="265" t="str">
        <f t="shared" si="133"/>
        <v>-</v>
      </c>
      <c r="BJ296" s="26" t="str">
        <f t="shared" si="112"/>
        <v>CHINA CREEKSteelhead</v>
      </c>
      <c r="BK296" s="26">
        <f t="shared" si="113"/>
        <v>0</v>
      </c>
      <c r="BL296" s="33">
        <f t="shared" si="135"/>
        <v>0</v>
      </c>
      <c r="BQ296" s="47" t="str">
        <f t="shared" si="114"/>
        <v>CHINA CREEKSteelhead</v>
      </c>
      <c r="BR296" s="49">
        <f t="shared" si="115"/>
        <v>0</v>
      </c>
      <c r="BS296" s="49">
        <f t="shared" si="116"/>
        <v>0</v>
      </c>
      <c r="BT296" s="31">
        <v>0</v>
      </c>
      <c r="BU296" s="188">
        <f t="shared" si="117"/>
        <v>0</v>
      </c>
      <c r="BV296" s="188" t="str">
        <f t="shared" si="118"/>
        <v xml:space="preserve"> </v>
      </c>
      <c r="BW296" s="188" t="str">
        <f t="shared" si="119"/>
        <v xml:space="preserve"> </v>
      </c>
      <c r="BX296" s="188" t="str">
        <f t="shared" si="120"/>
        <v xml:space="preserve"> </v>
      </c>
      <c r="BY296" s="50" t="str">
        <f t="shared" si="121"/>
        <v>CHINA CREEK_Steelhead</v>
      </c>
      <c r="BZ296" s="50" t="str">
        <f>IFERROR(VLOOKUP(BY296,'[1]WCVI Esc'!$C$5:$W$555,18,FALSE),"-")</f>
        <v>-</v>
      </c>
      <c r="CA296" s="50" t="str">
        <f t="shared" si="122"/>
        <v>-</v>
      </c>
      <c r="CB296" s="50" t="str">
        <f>IFERROR(VLOOKUP(BY296,'[1]WCVI Esc'!$C$5:$W$555,19,FALSE),"-")</f>
        <v>-</v>
      </c>
      <c r="CC296" s="50" t="str">
        <f t="shared" si="123"/>
        <v>-</v>
      </c>
      <c r="CE296" s="342" t="str">
        <f t="shared" si="134"/>
        <v>BEDWELL SYSTEM_Steelhead</v>
      </c>
      <c r="CF296" s="341" t="str">
        <f>IFERROR(VLOOKUP(CE296,'RawPL+D'!$O$8:$AB$503,12,FALSE),"-")</f>
        <v>-</v>
      </c>
      <c r="CG296" s="338" t="str">
        <f t="shared" si="125"/>
        <v>-</v>
      </c>
      <c r="CH296" s="341" t="str">
        <f>IFERROR(VLOOKUP(CE296,'RawPL+D'!$O$8:$AB$503,13,FALSE),"-")</f>
        <v>-</v>
      </c>
      <c r="CI296" s="338" t="str">
        <f t="shared" si="126"/>
        <v>-</v>
      </c>
    </row>
    <row r="297" spans="1:87" ht="12.75" hidden="1" customHeight="1" x14ac:dyDescent="0.2">
      <c r="A297" s="28">
        <v>3</v>
      </c>
      <c r="B297" s="28">
        <v>1</v>
      </c>
      <c r="C297" s="11">
        <v>23</v>
      </c>
      <c r="D297" s="148" t="s">
        <v>356</v>
      </c>
      <c r="E297" s="10" t="s">
        <v>92</v>
      </c>
      <c r="F297" s="10" t="s">
        <v>207</v>
      </c>
      <c r="G297" s="10"/>
      <c r="H297" s="10"/>
      <c r="I297" s="10"/>
      <c r="J297" s="10"/>
      <c r="K297" s="575"/>
      <c r="L297" s="152"/>
      <c r="M297" s="422"/>
      <c r="N297" s="339"/>
      <c r="O297" s="62"/>
      <c r="P297" s="424"/>
      <c r="Q297" s="171"/>
      <c r="R297" s="339"/>
      <c r="S297" s="339"/>
      <c r="T297" s="63"/>
      <c r="U297" s="177"/>
      <c r="V297" s="164"/>
      <c r="W297" s="62"/>
      <c r="X297" s="63"/>
      <c r="Y297" s="62"/>
      <c r="Z297" s="64"/>
      <c r="AA297" s="164"/>
      <c r="AB297" s="62"/>
      <c r="AC297" s="62"/>
      <c r="AD297" s="64"/>
      <c r="AE297" s="164"/>
      <c r="AF297" s="62"/>
      <c r="AG297" s="62"/>
      <c r="AH297" s="337"/>
      <c r="AI297" s="337"/>
      <c r="AJ297" s="337"/>
      <c r="AK297" s="337"/>
      <c r="AL297" s="414"/>
      <c r="AM297" s="414"/>
      <c r="AN297" s="45"/>
      <c r="AO297" s="45"/>
      <c r="AP297" s="44"/>
      <c r="AQ297" s="396"/>
      <c r="AR297"/>
      <c r="AS297" s="485"/>
      <c r="AT297" s="679"/>
      <c r="AU297" s="679"/>
      <c r="AV297" s="679"/>
      <c r="AW297" s="18">
        <v>23</v>
      </c>
      <c r="AX297" s="69" t="s">
        <v>356</v>
      </c>
      <c r="AY297" s="243" t="s">
        <v>92</v>
      </c>
      <c r="AZ297" s="243" t="str">
        <f t="shared" si="105"/>
        <v>Sockeye</v>
      </c>
      <c r="BA297" s="243" t="s">
        <v>419</v>
      </c>
      <c r="BB297" s="246"/>
      <c r="BC297" s="43" t="str">
        <f t="shared" si="106"/>
        <v>-</v>
      </c>
      <c r="BD297" s="43">
        <f t="shared" si="132"/>
        <v>0</v>
      </c>
      <c r="BE297" s="193">
        <f t="shared" si="128"/>
        <v>0</v>
      </c>
      <c r="BF297" s="193">
        <f t="shared" si="109"/>
        <v>0</v>
      </c>
      <c r="BG297" s="193">
        <f t="shared" si="110"/>
        <v>0</v>
      </c>
      <c r="BH297" s="307" t="str">
        <f t="shared" si="131"/>
        <v>-</v>
      </c>
      <c r="BI297" s="265" t="str">
        <f t="shared" si="133"/>
        <v>-</v>
      </c>
      <c r="BJ297" s="26" t="str">
        <f t="shared" si="112"/>
        <v>COUS CREEKSockeye</v>
      </c>
      <c r="BK297" s="26">
        <f t="shared" si="113"/>
        <v>0</v>
      </c>
      <c r="BL297" s="33">
        <f t="shared" si="135"/>
        <v>0</v>
      </c>
      <c r="BQ297" s="47" t="str">
        <f t="shared" si="114"/>
        <v>COUS CREEKSockeye</v>
      </c>
      <c r="BR297" s="49">
        <f t="shared" si="115"/>
        <v>0</v>
      </c>
      <c r="BS297" s="49">
        <f t="shared" si="116"/>
        <v>0</v>
      </c>
      <c r="BT297" s="31">
        <v>0</v>
      </c>
      <c r="BU297" s="188">
        <f t="shared" si="117"/>
        <v>0</v>
      </c>
      <c r="BV297" s="188" t="str">
        <f t="shared" si="118"/>
        <v xml:space="preserve"> </v>
      </c>
      <c r="BW297" s="188" t="str">
        <f t="shared" si="119"/>
        <v xml:space="preserve"> </v>
      </c>
      <c r="BX297" s="188" t="str">
        <f t="shared" si="120"/>
        <v xml:space="preserve"> </v>
      </c>
      <c r="BY297" s="50" t="str">
        <f t="shared" si="121"/>
        <v>COUS CREEK_Sockeye</v>
      </c>
      <c r="BZ297" s="50" t="str">
        <f>IFERROR(VLOOKUP(BY297,'[1]WCVI Esc'!$C$5:$W$555,18,FALSE),"-")</f>
        <v>-</v>
      </c>
      <c r="CA297" s="50" t="str">
        <f t="shared" si="122"/>
        <v>-</v>
      </c>
      <c r="CB297" s="50" t="str">
        <f>IFERROR(VLOOKUP(BY297,'[1]WCVI Esc'!$C$5:$W$555,19,FALSE),"-")</f>
        <v>-</v>
      </c>
      <c r="CC297" s="50" t="str">
        <f t="shared" si="123"/>
        <v>-</v>
      </c>
      <c r="CE297" s="342" t="str">
        <f t="shared" ref="CE297:CE328" si="136">CONCATENATE(E297,"_",F297)</f>
        <v>COUS CREEK_Sockeye</v>
      </c>
      <c r="CF297" s="341" t="str">
        <f>IFERROR(VLOOKUP(BY297,'RawPL+D'!$O$8:$AB$503,12,FALSE),"-")</f>
        <v>-</v>
      </c>
      <c r="CG297" s="338" t="str">
        <f t="shared" si="125"/>
        <v>-</v>
      </c>
      <c r="CH297" s="341" t="str">
        <f>IFERROR(VLOOKUP(BY297,'RawPL+D'!$O$8:$AB$503,13,FALSE),"-")</f>
        <v>-</v>
      </c>
      <c r="CI297" s="338" t="str">
        <f t="shared" si="126"/>
        <v>-</v>
      </c>
    </row>
    <row r="298" spans="1:87" ht="12.75" hidden="1" customHeight="1" x14ac:dyDescent="0.2">
      <c r="A298" s="28">
        <v>3</v>
      </c>
      <c r="B298" s="28">
        <v>2</v>
      </c>
      <c r="C298" s="11">
        <v>23</v>
      </c>
      <c r="D298" s="148" t="s">
        <v>356</v>
      </c>
      <c r="E298" s="10" t="s">
        <v>92</v>
      </c>
      <c r="F298" s="10" t="s">
        <v>219</v>
      </c>
      <c r="G298" s="10"/>
      <c r="H298" s="10"/>
      <c r="I298" s="10"/>
      <c r="J298" s="10"/>
      <c r="K298" s="575"/>
      <c r="L298" s="152"/>
      <c r="M298" s="422"/>
      <c r="N298" s="339"/>
      <c r="O298" s="62"/>
      <c r="P298" s="424"/>
      <c r="Q298" s="171"/>
      <c r="R298" s="339"/>
      <c r="S298" s="339"/>
      <c r="T298" s="63"/>
      <c r="U298" s="177"/>
      <c r="V298" s="164"/>
      <c r="W298" s="62"/>
      <c r="X298" s="63"/>
      <c r="Y298" s="62"/>
      <c r="Z298" s="64"/>
      <c r="AA298" s="164"/>
      <c r="AB298" s="62"/>
      <c r="AC298" s="62"/>
      <c r="AD298" s="64"/>
      <c r="AE298" s="164"/>
      <c r="AF298" s="62"/>
      <c r="AG298" s="62"/>
      <c r="AH298" s="337"/>
      <c r="AI298" s="337"/>
      <c r="AJ298" s="337"/>
      <c r="AK298" s="337"/>
      <c r="AL298" s="414"/>
      <c r="AM298" s="414"/>
      <c r="AN298" s="45"/>
      <c r="AO298" s="45"/>
      <c r="AP298" s="44"/>
      <c r="AQ298" s="396"/>
      <c r="AR298" s="100"/>
      <c r="AS298" s="485"/>
      <c r="AT298" s="679"/>
      <c r="AU298" s="679"/>
      <c r="AV298" s="679"/>
      <c r="AW298" s="18">
        <v>23</v>
      </c>
      <c r="AX298" s="69" t="s">
        <v>356</v>
      </c>
      <c r="AY298" s="243" t="s">
        <v>92</v>
      </c>
      <c r="AZ298" s="243" t="str">
        <f t="shared" si="105"/>
        <v>Coho</v>
      </c>
      <c r="BA298" s="243" t="s">
        <v>419</v>
      </c>
      <c r="BB298" s="246"/>
      <c r="BC298" s="43" t="str">
        <f t="shared" si="106"/>
        <v>-</v>
      </c>
      <c r="BD298" s="43">
        <f t="shared" si="132"/>
        <v>0</v>
      </c>
      <c r="BE298" s="193">
        <f t="shared" si="128"/>
        <v>0</v>
      </c>
      <c r="BF298" s="193">
        <f t="shared" si="109"/>
        <v>0</v>
      </c>
      <c r="BG298" s="193">
        <f t="shared" si="110"/>
        <v>0</v>
      </c>
      <c r="BH298" s="307">
        <f t="shared" si="131"/>
        <v>0</v>
      </c>
      <c r="BI298" s="265" t="str">
        <f t="shared" si="133"/>
        <v>-</v>
      </c>
      <c r="BJ298" s="26" t="str">
        <f t="shared" si="112"/>
        <v>COUS CREEKCoho</v>
      </c>
      <c r="BK298" s="26">
        <f t="shared" si="113"/>
        <v>0</v>
      </c>
      <c r="BL298" s="33">
        <f t="shared" si="135"/>
        <v>0</v>
      </c>
      <c r="BQ298" s="47" t="str">
        <f t="shared" si="114"/>
        <v>COUS CREEKCoho</v>
      </c>
      <c r="BR298" s="49">
        <f t="shared" si="115"/>
        <v>0</v>
      </c>
      <c r="BS298" s="49">
        <f t="shared" si="116"/>
        <v>0</v>
      </c>
      <c r="BT298" s="31">
        <v>2012</v>
      </c>
      <c r="BU298" s="188">
        <f t="shared" si="117"/>
        <v>0</v>
      </c>
      <c r="BV298" s="188" t="str">
        <f t="shared" si="118"/>
        <v xml:space="preserve"> </v>
      </c>
      <c r="BW298" s="188" t="str">
        <f t="shared" si="119"/>
        <v xml:space="preserve"> </v>
      </c>
      <c r="BX298" s="188" t="str">
        <f t="shared" si="120"/>
        <v xml:space="preserve"> </v>
      </c>
      <c r="BY298" s="50" t="str">
        <f t="shared" si="121"/>
        <v>COUS CREEK_Coho</v>
      </c>
      <c r="BZ298" s="50" t="str">
        <f>IFERROR(VLOOKUP(BY298,'[1]WCVI Esc'!$C$5:$W$555,18,FALSE),"-")</f>
        <v>-</v>
      </c>
      <c r="CA298" s="50" t="str">
        <f t="shared" si="122"/>
        <v>-</v>
      </c>
      <c r="CB298" s="50" t="str">
        <f>IFERROR(VLOOKUP(BY298,'[1]WCVI Esc'!$C$5:$W$555,19,FALSE),"-")</f>
        <v>-</v>
      </c>
      <c r="CC298" s="50" t="str">
        <f t="shared" si="123"/>
        <v>-</v>
      </c>
      <c r="CE298" s="342" t="str">
        <f t="shared" si="136"/>
        <v>COUS CREEK_Coho</v>
      </c>
      <c r="CF298" s="341">
        <f>IFERROR(VLOOKUP(BY298,'RawPL+D'!$O$8:$AB$503,12,FALSE),"-")</f>
        <v>0</v>
      </c>
      <c r="CG298" s="338">
        <f t="shared" si="125"/>
        <v>0</v>
      </c>
      <c r="CH298" s="341">
        <f>IFERROR(VLOOKUP(BY298,'RawPL+D'!$O$8:$AB$503,13,FALSE),"-")</f>
        <v>0</v>
      </c>
      <c r="CI298" s="338">
        <f t="shared" si="126"/>
        <v>0</v>
      </c>
    </row>
    <row r="299" spans="1:87" ht="12.75" hidden="1" customHeight="1" x14ac:dyDescent="0.2">
      <c r="A299" s="28">
        <v>3</v>
      </c>
      <c r="B299" s="28">
        <v>3</v>
      </c>
      <c r="C299" s="11">
        <v>23</v>
      </c>
      <c r="D299" s="148" t="s">
        <v>356</v>
      </c>
      <c r="E299" s="10" t="s">
        <v>92</v>
      </c>
      <c r="F299" s="10" t="s">
        <v>208</v>
      </c>
      <c r="G299" s="10"/>
      <c r="H299" s="10"/>
      <c r="I299" s="10"/>
      <c r="J299" s="10"/>
      <c r="K299" s="575"/>
      <c r="L299" s="152"/>
      <c r="M299" s="422"/>
      <c r="N299" s="339"/>
      <c r="O299" s="62"/>
      <c r="P299" s="424"/>
      <c r="Q299" s="171"/>
      <c r="R299" s="339"/>
      <c r="S299" s="339"/>
      <c r="T299" s="63"/>
      <c r="U299" s="177"/>
      <c r="V299" s="164"/>
      <c r="W299" s="62"/>
      <c r="X299" s="63"/>
      <c r="Y299" s="62"/>
      <c r="Z299" s="64"/>
      <c r="AA299" s="164"/>
      <c r="AB299" s="62"/>
      <c r="AC299" s="62"/>
      <c r="AD299" s="64"/>
      <c r="AE299" s="164"/>
      <c r="AF299" s="62"/>
      <c r="AG299" s="62"/>
      <c r="AH299" s="337"/>
      <c r="AI299" s="337"/>
      <c r="AJ299" s="337"/>
      <c r="AK299" s="337"/>
      <c r="AL299" s="414"/>
      <c r="AM299" s="414"/>
      <c r="AN299" s="45"/>
      <c r="AO299" s="45"/>
      <c r="AP299" s="44"/>
      <c r="AQ299" s="485"/>
      <c r="AR299" s="100"/>
      <c r="AS299" s="485"/>
      <c r="AT299" s="679"/>
      <c r="AU299" s="679"/>
      <c r="AV299" s="679"/>
      <c r="AW299" s="18">
        <v>23</v>
      </c>
      <c r="AX299" s="69" t="s">
        <v>356</v>
      </c>
      <c r="AY299" s="243" t="s">
        <v>92</v>
      </c>
      <c r="AZ299" s="243" t="str">
        <f t="shared" si="105"/>
        <v>Pink</v>
      </c>
      <c r="BA299" s="243" t="s">
        <v>419</v>
      </c>
      <c r="BB299" s="246"/>
      <c r="BC299" s="43" t="str">
        <f t="shared" si="106"/>
        <v>-</v>
      </c>
      <c r="BD299" s="43">
        <f t="shared" si="132"/>
        <v>0</v>
      </c>
      <c r="BE299" s="193">
        <f t="shared" si="128"/>
        <v>0</v>
      </c>
      <c r="BF299" s="193">
        <f t="shared" si="109"/>
        <v>0</v>
      </c>
      <c r="BG299" s="193">
        <f t="shared" si="110"/>
        <v>0</v>
      </c>
      <c r="BH299" s="307" t="str">
        <f t="shared" si="131"/>
        <v>-</v>
      </c>
      <c r="BI299" s="265" t="str">
        <f t="shared" si="133"/>
        <v>-</v>
      </c>
      <c r="BJ299" s="26" t="str">
        <f t="shared" si="112"/>
        <v>COUS CREEKPink</v>
      </c>
      <c r="BK299" s="26">
        <f t="shared" si="113"/>
        <v>0</v>
      </c>
      <c r="BL299" s="33">
        <f t="shared" si="135"/>
        <v>0</v>
      </c>
      <c r="BQ299" s="47" t="str">
        <f t="shared" si="114"/>
        <v>COUS CREEKPink</v>
      </c>
      <c r="BR299" s="49">
        <f t="shared" si="115"/>
        <v>0</v>
      </c>
      <c r="BS299" s="49">
        <f t="shared" si="116"/>
        <v>0</v>
      </c>
      <c r="BT299" s="31">
        <v>0</v>
      </c>
      <c r="BU299" s="188">
        <f t="shared" si="117"/>
        <v>0</v>
      </c>
      <c r="BV299" s="188" t="str">
        <f t="shared" si="118"/>
        <v xml:space="preserve"> </v>
      </c>
      <c r="BW299" s="188" t="str">
        <f t="shared" si="119"/>
        <v xml:space="preserve"> </v>
      </c>
      <c r="BX299" s="188" t="str">
        <f t="shared" si="120"/>
        <v xml:space="preserve"> </v>
      </c>
      <c r="BY299" s="50" t="str">
        <f t="shared" si="121"/>
        <v>COUS CREEK_Pink</v>
      </c>
      <c r="BZ299" s="50" t="str">
        <f>IFERROR(VLOOKUP(BY299,'[1]WCVI Esc'!$C$5:$W$555,18,FALSE),"-")</f>
        <v>-</v>
      </c>
      <c r="CA299" s="50" t="str">
        <f t="shared" si="122"/>
        <v>-</v>
      </c>
      <c r="CB299" s="50" t="str">
        <f>IFERROR(VLOOKUP(BY299,'[1]WCVI Esc'!$C$5:$W$555,19,FALSE),"-")</f>
        <v>-</v>
      </c>
      <c r="CC299" s="50" t="str">
        <f t="shared" si="123"/>
        <v>-</v>
      </c>
      <c r="CE299" s="342" t="str">
        <f t="shared" si="136"/>
        <v>COUS CREEK_Pink</v>
      </c>
      <c r="CF299" s="341" t="str">
        <f>IFERROR(VLOOKUP(BY299,'RawPL+D'!$O$8:$AB$503,12,FALSE),"-")</f>
        <v>-</v>
      </c>
      <c r="CG299" s="338" t="str">
        <f t="shared" si="125"/>
        <v>-</v>
      </c>
      <c r="CH299" s="341" t="str">
        <f>IFERROR(VLOOKUP(BY299,'RawPL+D'!$O$8:$AB$503,13,FALSE),"-")</f>
        <v>-</v>
      </c>
      <c r="CI299" s="338" t="str">
        <f t="shared" si="126"/>
        <v>-</v>
      </c>
    </row>
    <row r="300" spans="1:87" ht="12.75" hidden="1" customHeight="1" x14ac:dyDescent="0.2">
      <c r="A300" s="28">
        <v>3</v>
      </c>
      <c r="B300" s="28">
        <v>4</v>
      </c>
      <c r="C300" s="11">
        <v>23</v>
      </c>
      <c r="D300" s="148" t="s">
        <v>356</v>
      </c>
      <c r="E300" s="10" t="s">
        <v>92</v>
      </c>
      <c r="F300" s="10" t="s">
        <v>209</v>
      </c>
      <c r="G300" s="10"/>
      <c r="H300" s="10"/>
      <c r="I300" s="10"/>
      <c r="J300" s="10"/>
      <c r="K300" s="575"/>
      <c r="L300" s="152"/>
      <c r="M300" s="422"/>
      <c r="N300" s="339"/>
      <c r="O300" s="62"/>
      <c r="P300" s="424"/>
      <c r="Q300" s="171"/>
      <c r="R300" s="339"/>
      <c r="S300" s="339"/>
      <c r="T300" s="63"/>
      <c r="U300" s="177"/>
      <c r="V300" s="164"/>
      <c r="W300" s="62"/>
      <c r="X300" s="63"/>
      <c r="Y300" s="62"/>
      <c r="Z300" s="64"/>
      <c r="AA300" s="164"/>
      <c r="AB300" s="62"/>
      <c r="AC300" s="62"/>
      <c r="AD300" s="64"/>
      <c r="AE300" s="164"/>
      <c r="AF300" s="62"/>
      <c r="AG300" s="62"/>
      <c r="AH300" s="337"/>
      <c r="AI300" s="337"/>
      <c r="AJ300" s="337"/>
      <c r="AK300" s="337"/>
      <c r="AL300" s="414"/>
      <c r="AM300" s="414"/>
      <c r="AN300" s="45"/>
      <c r="AO300" s="45"/>
      <c r="AP300" s="44"/>
      <c r="AQ300" s="67"/>
      <c r="AR300" s="100">
        <f>BL300/BI300</f>
        <v>0</v>
      </c>
      <c r="AS300" s="485"/>
      <c r="AT300" s="679"/>
      <c r="AU300" s="679"/>
      <c r="AV300" s="679"/>
      <c r="AW300" s="18">
        <v>23</v>
      </c>
      <c r="AX300" s="69" t="s">
        <v>356</v>
      </c>
      <c r="AY300" s="243" t="s">
        <v>92</v>
      </c>
      <c r="AZ300" s="243" t="str">
        <f t="shared" si="105"/>
        <v>Chum</v>
      </c>
      <c r="BA300" s="243" t="s">
        <v>419</v>
      </c>
      <c r="BB300" s="246"/>
      <c r="BC300" s="43" t="str">
        <f t="shared" si="106"/>
        <v>-</v>
      </c>
      <c r="BD300" s="43">
        <f t="shared" si="132"/>
        <v>0</v>
      </c>
      <c r="BE300" s="193">
        <f t="shared" si="128"/>
        <v>0</v>
      </c>
      <c r="BF300" s="193">
        <f t="shared" si="109"/>
        <v>0</v>
      </c>
      <c r="BG300" s="193">
        <f t="shared" si="110"/>
        <v>0</v>
      </c>
      <c r="BH300" s="307">
        <f t="shared" si="131"/>
        <v>0</v>
      </c>
      <c r="BI300" s="265">
        <f t="shared" si="133"/>
        <v>3190</v>
      </c>
      <c r="BJ300" s="26" t="str">
        <f t="shared" si="112"/>
        <v>COUS CREEKChum</v>
      </c>
      <c r="BK300" s="26">
        <f t="shared" si="113"/>
        <v>0</v>
      </c>
      <c r="BL300" s="33">
        <f t="shared" si="135"/>
        <v>0</v>
      </c>
      <c r="BQ300" s="47" t="str">
        <f t="shared" si="114"/>
        <v>COUS CREEKChum</v>
      </c>
      <c r="BR300" s="49">
        <f t="shared" si="115"/>
        <v>0</v>
      </c>
      <c r="BS300" s="49">
        <f t="shared" si="116"/>
        <v>0</v>
      </c>
      <c r="BT300" s="31">
        <v>2012</v>
      </c>
      <c r="BU300" s="188">
        <f t="shared" si="117"/>
        <v>0</v>
      </c>
      <c r="BV300" s="188" t="str">
        <f t="shared" si="118"/>
        <v xml:space="preserve"> </v>
      </c>
      <c r="BW300" s="188" t="str">
        <f t="shared" si="119"/>
        <v xml:space="preserve"> </v>
      </c>
      <c r="BX300" s="188" t="str">
        <f t="shared" si="120"/>
        <v xml:space="preserve"> </v>
      </c>
      <c r="BY300" s="50" t="str">
        <f t="shared" si="121"/>
        <v>COUS CREEK_Chum</v>
      </c>
      <c r="BZ300" s="50" t="str">
        <f>IFERROR(VLOOKUP(BY300,'[1]WCVI Esc'!$C$5:$W$555,18,FALSE),"-")</f>
        <v>-</v>
      </c>
      <c r="CA300" s="50" t="str">
        <f t="shared" si="122"/>
        <v>-</v>
      </c>
      <c r="CB300" s="50">
        <f>IFERROR(VLOOKUP(BY300,'[1]WCVI Esc'!$C$5:$W$555,19,FALSE),"-")</f>
        <v>3188</v>
      </c>
      <c r="CC300" s="50">
        <f t="shared" si="123"/>
        <v>3190</v>
      </c>
      <c r="CE300" s="342" t="str">
        <f t="shared" si="136"/>
        <v>COUS CREEK_Chum</v>
      </c>
      <c r="CF300" s="341">
        <f>IFERROR(VLOOKUP(BY300,'RawPL+D'!$O$8:$AB$503,12,FALSE),"-")</f>
        <v>0</v>
      </c>
      <c r="CG300" s="338">
        <f t="shared" si="125"/>
        <v>0</v>
      </c>
      <c r="CH300" s="341">
        <f>IFERROR(VLOOKUP(BY300,'RawPL+D'!$O$8:$AB$503,13,FALSE),"-")</f>
        <v>0</v>
      </c>
      <c r="CI300" s="338">
        <f t="shared" si="126"/>
        <v>0</v>
      </c>
    </row>
    <row r="301" spans="1:87" ht="12.75" hidden="1" customHeight="1" x14ac:dyDescent="0.2">
      <c r="A301" s="28">
        <v>3</v>
      </c>
      <c r="B301" s="28">
        <v>5</v>
      </c>
      <c r="C301" s="11">
        <v>23</v>
      </c>
      <c r="D301" s="148" t="s">
        <v>356</v>
      </c>
      <c r="E301" s="10" t="s">
        <v>92</v>
      </c>
      <c r="F301" s="10" t="s">
        <v>210</v>
      </c>
      <c r="G301" s="10"/>
      <c r="H301" s="10"/>
      <c r="I301" s="10"/>
      <c r="J301" s="10"/>
      <c r="K301" s="575"/>
      <c r="L301" s="152"/>
      <c r="M301" s="422"/>
      <c r="N301" s="339"/>
      <c r="O301" s="62"/>
      <c r="P301" s="424"/>
      <c r="Q301" s="171"/>
      <c r="R301" s="339"/>
      <c r="S301" s="339"/>
      <c r="T301" s="63"/>
      <c r="U301" s="177"/>
      <c r="V301" s="164"/>
      <c r="W301" s="62"/>
      <c r="X301" s="63"/>
      <c r="Y301" s="62"/>
      <c r="Z301" s="64"/>
      <c r="AA301" s="164"/>
      <c r="AB301" s="62"/>
      <c r="AC301" s="62"/>
      <c r="AD301" s="64"/>
      <c r="AE301" s="164"/>
      <c r="AF301" s="62"/>
      <c r="AG301" s="62"/>
      <c r="AH301" s="337"/>
      <c r="AI301" s="337"/>
      <c r="AJ301" s="337"/>
      <c r="AK301" s="337"/>
      <c r="AL301" s="414"/>
      <c r="AM301" s="414"/>
      <c r="AN301" s="45"/>
      <c r="AO301" s="45"/>
      <c r="AP301" s="44"/>
      <c r="AQ301" s="396"/>
      <c r="AR301" s="100"/>
      <c r="AS301" s="485"/>
      <c r="AT301" s="679"/>
      <c r="AU301" s="679"/>
      <c r="AV301" s="123">
        <f>AL301</f>
        <v>0</v>
      </c>
      <c r="AW301" s="18">
        <v>23</v>
      </c>
      <c r="AX301" s="69" t="s">
        <v>356</v>
      </c>
      <c r="AY301" s="243" t="s">
        <v>92</v>
      </c>
      <c r="AZ301" s="243" t="str">
        <f t="shared" si="105"/>
        <v>Chinook</v>
      </c>
      <c r="BA301" s="243" t="s">
        <v>419</v>
      </c>
      <c r="BB301" s="246"/>
      <c r="BC301" s="43" t="str">
        <f t="shared" si="106"/>
        <v>-</v>
      </c>
      <c r="BD301" s="43">
        <f t="shared" si="132"/>
        <v>0</v>
      </c>
      <c r="BE301" s="193">
        <f t="shared" si="128"/>
        <v>0</v>
      </c>
      <c r="BF301" s="193">
        <f t="shared" si="109"/>
        <v>0</v>
      </c>
      <c r="BG301" s="193">
        <f t="shared" si="110"/>
        <v>0</v>
      </c>
      <c r="BH301" s="307" t="str">
        <f t="shared" si="131"/>
        <v>-</v>
      </c>
      <c r="BI301" s="265" t="str">
        <f t="shared" si="133"/>
        <v>-</v>
      </c>
      <c r="BJ301" s="26" t="str">
        <f t="shared" si="112"/>
        <v>COUS CREEKChinook</v>
      </c>
      <c r="BK301" s="26">
        <f t="shared" si="113"/>
        <v>0</v>
      </c>
      <c r="BL301" s="33">
        <f t="shared" si="135"/>
        <v>0</v>
      </c>
      <c r="BQ301" s="47" t="str">
        <f t="shared" si="114"/>
        <v>COUS CREEKChinook</v>
      </c>
      <c r="BR301" s="49">
        <f t="shared" si="115"/>
        <v>0</v>
      </c>
      <c r="BS301" s="49">
        <f t="shared" si="116"/>
        <v>0</v>
      </c>
      <c r="BT301" s="31">
        <v>2012</v>
      </c>
      <c r="BU301" s="188">
        <f t="shared" si="117"/>
        <v>0</v>
      </c>
      <c r="BV301" s="188" t="str">
        <f t="shared" si="118"/>
        <v xml:space="preserve"> </v>
      </c>
      <c r="BW301" s="188" t="str">
        <f t="shared" si="119"/>
        <v xml:space="preserve"> </v>
      </c>
      <c r="BX301" s="188" t="str">
        <f t="shared" si="120"/>
        <v xml:space="preserve"> </v>
      </c>
      <c r="BY301" s="50" t="str">
        <f t="shared" si="121"/>
        <v>COUS CREEK_Chinook</v>
      </c>
      <c r="BZ301" s="50" t="str">
        <f>IFERROR(VLOOKUP(BY301,'[1]WCVI Esc'!$C$5:$W$555,18,FALSE),"-")</f>
        <v>-</v>
      </c>
      <c r="CA301" s="50" t="str">
        <f t="shared" si="122"/>
        <v>-</v>
      </c>
      <c r="CB301" s="50" t="str">
        <f>IFERROR(VLOOKUP(BY301,'[1]WCVI Esc'!$C$5:$W$555,19,FALSE),"-")</f>
        <v>-</v>
      </c>
      <c r="CC301" s="50" t="str">
        <f t="shared" si="123"/>
        <v>-</v>
      </c>
      <c r="CE301" s="342" t="str">
        <f t="shared" si="136"/>
        <v>COUS CREEK_Chinook</v>
      </c>
      <c r="CF301" s="341">
        <f>IFERROR(VLOOKUP(BY301,'RawPL+D'!$O$8:$AB$503,12,FALSE),"-")</f>
        <v>0</v>
      </c>
      <c r="CG301" s="338">
        <f t="shared" si="125"/>
        <v>0</v>
      </c>
      <c r="CH301" s="341" t="str">
        <f>IFERROR(VLOOKUP(BY301,'RawPL+D'!$O$8:$AB$503,13,FALSE),"-")</f>
        <v>-</v>
      </c>
      <c r="CI301" s="338" t="str">
        <f t="shared" si="126"/>
        <v>-</v>
      </c>
    </row>
    <row r="302" spans="1:87" ht="12.75" hidden="1" customHeight="1" x14ac:dyDescent="0.2">
      <c r="A302" s="28">
        <v>3</v>
      </c>
      <c r="B302" s="28">
        <v>6</v>
      </c>
      <c r="C302" s="11">
        <v>23</v>
      </c>
      <c r="D302" s="148" t="s">
        <v>356</v>
      </c>
      <c r="E302" s="10" t="s">
        <v>92</v>
      </c>
      <c r="F302" s="10" t="s">
        <v>211</v>
      </c>
      <c r="G302" s="10"/>
      <c r="H302" s="10"/>
      <c r="I302" s="10"/>
      <c r="J302" s="10"/>
      <c r="K302" s="575"/>
      <c r="L302" s="152"/>
      <c r="M302" s="422"/>
      <c r="N302" s="339"/>
      <c r="O302" s="62"/>
      <c r="P302" s="424"/>
      <c r="Q302" s="171"/>
      <c r="R302" s="339"/>
      <c r="S302" s="339"/>
      <c r="T302" s="63"/>
      <c r="U302" s="64"/>
      <c r="V302" s="164"/>
      <c r="W302" s="62"/>
      <c r="X302" s="63"/>
      <c r="Y302" s="62"/>
      <c r="Z302" s="64"/>
      <c r="AA302" s="164"/>
      <c r="AB302" s="62"/>
      <c r="AC302" s="62"/>
      <c r="AD302" s="64"/>
      <c r="AE302" s="164"/>
      <c r="AF302" s="62"/>
      <c r="AG302" s="62"/>
      <c r="AH302" s="337"/>
      <c r="AI302" s="337"/>
      <c r="AJ302" s="337"/>
      <c r="AK302" s="337"/>
      <c r="AL302" s="414"/>
      <c r="AM302" s="414"/>
      <c r="AN302" s="45"/>
      <c r="AO302" s="45"/>
      <c r="AP302" s="44"/>
      <c r="AQ302" s="396"/>
      <c r="AR302" s="100"/>
      <c r="AS302" s="485"/>
      <c r="AT302" s="679"/>
      <c r="AU302" s="679"/>
      <c r="AV302" s="679"/>
      <c r="AW302" s="18">
        <v>23</v>
      </c>
      <c r="AX302" s="69" t="s">
        <v>356</v>
      </c>
      <c r="AY302" s="243" t="s">
        <v>92</v>
      </c>
      <c r="AZ302" s="243" t="str">
        <f t="shared" si="105"/>
        <v>Steelhead</v>
      </c>
      <c r="BA302" s="243" t="s">
        <v>419</v>
      </c>
      <c r="BB302" s="246"/>
      <c r="BC302" s="43" t="str">
        <f t="shared" si="106"/>
        <v>-</v>
      </c>
      <c r="BD302" s="43">
        <f t="shared" si="132"/>
        <v>0</v>
      </c>
      <c r="BE302" s="193">
        <f t="shared" si="128"/>
        <v>0</v>
      </c>
      <c r="BF302" s="193">
        <f t="shared" si="109"/>
        <v>0</v>
      </c>
      <c r="BG302" s="193">
        <f t="shared" si="110"/>
        <v>0</v>
      </c>
      <c r="BH302" s="307" t="str">
        <f t="shared" si="131"/>
        <v>-</v>
      </c>
      <c r="BI302" s="265" t="str">
        <f t="shared" si="133"/>
        <v>-</v>
      </c>
      <c r="BJ302" s="26" t="str">
        <f t="shared" si="112"/>
        <v>COUS CREEKSteelhead</v>
      </c>
      <c r="BK302" s="26">
        <f t="shared" si="113"/>
        <v>0</v>
      </c>
      <c r="BL302" s="33">
        <f t="shared" si="135"/>
        <v>0</v>
      </c>
      <c r="BQ302" s="47" t="str">
        <f t="shared" si="114"/>
        <v>COUS CREEKSteelhead</v>
      </c>
      <c r="BR302" s="49">
        <f t="shared" si="115"/>
        <v>0</v>
      </c>
      <c r="BS302" s="49">
        <f t="shared" si="116"/>
        <v>0</v>
      </c>
      <c r="BT302" s="31">
        <v>0</v>
      </c>
      <c r="BU302" s="188">
        <f t="shared" si="117"/>
        <v>0</v>
      </c>
      <c r="BV302" s="188" t="str">
        <f t="shared" si="118"/>
        <v xml:space="preserve"> </v>
      </c>
      <c r="BW302" s="188" t="str">
        <f t="shared" si="119"/>
        <v xml:space="preserve"> </v>
      </c>
      <c r="BX302" s="188" t="str">
        <f t="shared" si="120"/>
        <v xml:space="preserve"> </v>
      </c>
      <c r="BY302" s="50" t="str">
        <f t="shared" si="121"/>
        <v>COUS CREEK_Steelhead</v>
      </c>
      <c r="BZ302" s="50" t="str">
        <f>IFERROR(VLOOKUP(BY302,'[1]WCVI Esc'!$C$5:$W$555,18,FALSE),"-")</f>
        <v>-</v>
      </c>
      <c r="CA302" s="50" t="str">
        <f t="shared" si="122"/>
        <v>-</v>
      </c>
      <c r="CB302" s="50" t="str">
        <f>IFERROR(VLOOKUP(BY302,'[1]WCVI Esc'!$C$5:$W$555,19,FALSE),"-")</f>
        <v>-</v>
      </c>
      <c r="CC302" s="50" t="str">
        <f t="shared" si="123"/>
        <v>-</v>
      </c>
      <c r="CE302" s="342" t="str">
        <f t="shared" si="136"/>
        <v>COUS CREEK_Steelhead</v>
      </c>
      <c r="CF302" s="341" t="str">
        <f>IFERROR(VLOOKUP(BY302,'RawPL+D'!$O$8:$AB$503,12,FALSE),"-")</f>
        <v>-</v>
      </c>
      <c r="CG302" s="338" t="str">
        <f t="shared" si="125"/>
        <v>-</v>
      </c>
      <c r="CH302" s="341" t="str">
        <f>IFERROR(VLOOKUP(BY302,'RawPL+D'!$O$8:$AB$503,13,FALSE),"-")</f>
        <v>-</v>
      </c>
      <c r="CI302" s="338" t="str">
        <f t="shared" si="126"/>
        <v>-</v>
      </c>
    </row>
    <row r="303" spans="1:87" ht="12.75" hidden="1" customHeight="1" x14ac:dyDescent="0.2">
      <c r="A303" s="28">
        <v>3</v>
      </c>
      <c r="B303" s="28">
        <v>1</v>
      </c>
      <c r="C303" s="11">
        <v>23</v>
      </c>
      <c r="D303" s="148" t="s">
        <v>356</v>
      </c>
      <c r="E303" s="10" t="s">
        <v>97</v>
      </c>
      <c r="F303" s="10" t="s">
        <v>207</v>
      </c>
      <c r="G303" s="10"/>
      <c r="H303" s="10"/>
      <c r="I303" s="10"/>
      <c r="J303" s="10"/>
      <c r="K303" s="575"/>
      <c r="L303" s="152"/>
      <c r="M303" s="164"/>
      <c r="N303" s="62"/>
      <c r="O303" s="62"/>
      <c r="P303" s="177"/>
      <c r="Q303" s="171"/>
      <c r="R303" s="62"/>
      <c r="S303" s="62"/>
      <c r="T303" s="62"/>
      <c r="U303" s="64"/>
      <c r="V303" s="164"/>
      <c r="W303" s="62"/>
      <c r="X303" s="62"/>
      <c r="Y303" s="62"/>
      <c r="Z303" s="64"/>
      <c r="AA303" s="164"/>
      <c r="AB303" s="62"/>
      <c r="AC303" s="62"/>
      <c r="AD303" s="64"/>
      <c r="AE303" s="164"/>
      <c r="AF303" s="62"/>
      <c r="AG303" s="62"/>
      <c r="AH303" s="337"/>
      <c r="AI303" s="337"/>
      <c r="AJ303" s="337"/>
      <c r="AK303" s="337"/>
      <c r="AL303" s="414"/>
      <c r="AM303" s="414"/>
      <c r="AN303" s="45"/>
      <c r="AO303" s="45"/>
      <c r="AP303" s="45"/>
      <c r="AQ303" s="396"/>
      <c r="AR303" s="100"/>
      <c r="AS303" s="485"/>
      <c r="AT303" s="24"/>
      <c r="AU303" s="24"/>
      <c r="AV303" s="24"/>
      <c r="AW303" s="18">
        <v>23</v>
      </c>
      <c r="AX303" s="69" t="s">
        <v>356</v>
      </c>
      <c r="AY303" s="243" t="s">
        <v>97</v>
      </c>
      <c r="AZ303" s="243" t="str">
        <f t="shared" si="105"/>
        <v>Sockeye</v>
      </c>
      <c r="BA303" s="243" t="s">
        <v>419</v>
      </c>
      <c r="BB303" s="246"/>
      <c r="BC303" s="43" t="str">
        <f t="shared" si="106"/>
        <v>-</v>
      </c>
      <c r="BD303" s="43">
        <f t="shared" si="132"/>
        <v>0</v>
      </c>
      <c r="BE303" s="193">
        <f t="shared" si="128"/>
        <v>0</v>
      </c>
      <c r="BF303" s="193">
        <f t="shared" si="109"/>
        <v>0</v>
      </c>
      <c r="BG303" s="193">
        <f t="shared" si="110"/>
        <v>0</v>
      </c>
      <c r="BH303" s="307" t="str">
        <f t="shared" si="131"/>
        <v>-</v>
      </c>
      <c r="BI303" s="265" t="str">
        <f t="shared" si="133"/>
        <v>-</v>
      </c>
      <c r="BJ303" s="26" t="str">
        <f t="shared" si="112"/>
        <v>FRANKLIN RIVERSockeye</v>
      </c>
      <c r="BK303" s="26">
        <f t="shared" si="113"/>
        <v>0</v>
      </c>
      <c r="BL303" s="33">
        <f t="shared" si="135"/>
        <v>0</v>
      </c>
      <c r="BQ303" s="47" t="str">
        <f t="shared" si="114"/>
        <v>FRANKLIN RIVERSockeye</v>
      </c>
      <c r="BR303" s="49">
        <f t="shared" si="115"/>
        <v>0</v>
      </c>
      <c r="BS303" s="49">
        <f t="shared" si="116"/>
        <v>0</v>
      </c>
      <c r="BT303" s="31">
        <v>0</v>
      </c>
      <c r="BU303" s="188">
        <f t="shared" si="117"/>
        <v>0</v>
      </c>
      <c r="BV303" s="188" t="str">
        <f t="shared" si="118"/>
        <v xml:space="preserve"> </v>
      </c>
      <c r="BW303" s="188" t="str">
        <f t="shared" si="119"/>
        <v xml:space="preserve"> </v>
      </c>
      <c r="BX303" s="188" t="str">
        <f t="shared" si="120"/>
        <v xml:space="preserve"> </v>
      </c>
      <c r="BY303" s="50" t="str">
        <f t="shared" si="121"/>
        <v>FRANKLIN RIVER_Sockeye</v>
      </c>
      <c r="BZ303" s="50" t="str">
        <f>IFERROR(VLOOKUP(BY303,'[1]WCVI Esc'!$C$5:$W$555,18,FALSE),"-")</f>
        <v>-</v>
      </c>
      <c r="CA303" s="50" t="str">
        <f t="shared" si="122"/>
        <v>-</v>
      </c>
      <c r="CB303" s="50" t="str">
        <f>IFERROR(VLOOKUP(BY303,'[1]WCVI Esc'!$C$5:$W$555,19,FALSE),"-")</f>
        <v>-</v>
      </c>
      <c r="CC303" s="50" t="str">
        <f t="shared" si="123"/>
        <v>-</v>
      </c>
      <c r="CE303" s="342" t="str">
        <f t="shared" si="136"/>
        <v>FRANKLIN RIVER_Sockeye</v>
      </c>
      <c r="CF303" s="341">
        <f>IFERROR(VLOOKUP(BY303,'RawPL+D'!$O$8:$AB$503,12,FALSE),"-")</f>
        <v>0</v>
      </c>
      <c r="CG303" s="338">
        <f t="shared" si="125"/>
        <v>0</v>
      </c>
      <c r="CH303" s="341" t="str">
        <f>IFERROR(VLOOKUP(BY303,'RawPL+D'!$O$8:$AB$503,13,FALSE),"-")</f>
        <v>-</v>
      </c>
      <c r="CI303" s="338" t="str">
        <f t="shared" si="126"/>
        <v>-</v>
      </c>
    </row>
    <row r="304" spans="1:87" ht="12.75" hidden="1" customHeight="1" x14ac:dyDescent="0.2">
      <c r="A304" s="28">
        <v>3</v>
      </c>
      <c r="B304" s="28">
        <v>2</v>
      </c>
      <c r="C304" s="11">
        <v>23</v>
      </c>
      <c r="D304" s="148" t="s">
        <v>356</v>
      </c>
      <c r="E304" s="10" t="s">
        <v>97</v>
      </c>
      <c r="F304" s="10" t="s">
        <v>219</v>
      </c>
      <c r="G304" s="10"/>
      <c r="H304" s="10"/>
      <c r="I304" s="10"/>
      <c r="J304" s="10"/>
      <c r="K304" s="575"/>
      <c r="L304" s="152"/>
      <c r="M304" s="164"/>
      <c r="N304" s="62"/>
      <c r="O304" s="62"/>
      <c r="P304" s="177"/>
      <c r="Q304" s="171"/>
      <c r="R304" s="62"/>
      <c r="S304" s="62"/>
      <c r="T304" s="62"/>
      <c r="U304" s="64"/>
      <c r="V304" s="164"/>
      <c r="W304" s="62"/>
      <c r="X304" s="62"/>
      <c r="Y304" s="62"/>
      <c r="Z304" s="64"/>
      <c r="AA304" s="164"/>
      <c r="AB304" s="62"/>
      <c r="AC304" s="62"/>
      <c r="AD304" s="64"/>
      <c r="AE304" s="164"/>
      <c r="AF304" s="62"/>
      <c r="AG304" s="62"/>
      <c r="AH304" s="337"/>
      <c r="AI304" s="337"/>
      <c r="AJ304" s="337"/>
      <c r="AK304" s="337"/>
      <c r="AL304" s="414"/>
      <c r="AM304" s="414"/>
      <c r="AN304" s="45"/>
      <c r="AO304" s="45"/>
      <c r="AP304" s="45"/>
      <c r="AQ304" s="396">
        <f>AL304/BI304</f>
        <v>0</v>
      </c>
      <c r="AR304" s="100">
        <f>BL304/BI304</f>
        <v>0</v>
      </c>
      <c r="AS304" s="485"/>
      <c r="AT304" s="100"/>
      <c r="AU304" s="100"/>
      <c r="AV304" s="100"/>
      <c r="AW304" s="18">
        <v>23</v>
      </c>
      <c r="AX304" s="69" t="s">
        <v>356</v>
      </c>
      <c r="AY304" s="243" t="s">
        <v>97</v>
      </c>
      <c r="AZ304" s="243" t="str">
        <f t="shared" si="105"/>
        <v>Coho</v>
      </c>
      <c r="BA304" s="243" t="s">
        <v>419</v>
      </c>
      <c r="BB304" s="246"/>
      <c r="BC304" s="43" t="str">
        <f t="shared" si="106"/>
        <v>-</v>
      </c>
      <c r="BD304" s="43">
        <f t="shared" si="132"/>
        <v>0</v>
      </c>
      <c r="BE304" s="193">
        <f t="shared" si="128"/>
        <v>0</v>
      </c>
      <c r="BF304" s="193">
        <f t="shared" si="109"/>
        <v>0</v>
      </c>
      <c r="BG304" s="193">
        <f t="shared" si="110"/>
        <v>0</v>
      </c>
      <c r="BH304" s="307">
        <f t="shared" si="131"/>
        <v>0</v>
      </c>
      <c r="BI304" s="265">
        <f t="shared" si="133"/>
        <v>40</v>
      </c>
      <c r="BJ304" s="26" t="str">
        <f t="shared" si="112"/>
        <v>FRANKLIN RIVERCoho</v>
      </c>
      <c r="BK304" s="26">
        <f t="shared" si="113"/>
        <v>0</v>
      </c>
      <c r="BL304" s="33">
        <f t="shared" si="135"/>
        <v>0</v>
      </c>
      <c r="BQ304" s="47" t="str">
        <f t="shared" si="114"/>
        <v>FRANKLIN RIVERCoho</v>
      </c>
      <c r="BR304" s="49">
        <f t="shared" si="115"/>
        <v>0</v>
      </c>
      <c r="BS304" s="49">
        <f t="shared" si="116"/>
        <v>0</v>
      </c>
      <c r="BT304" s="31">
        <v>2015</v>
      </c>
      <c r="BU304" s="188">
        <f t="shared" si="117"/>
        <v>0</v>
      </c>
      <c r="BV304" s="188" t="str">
        <f t="shared" si="118"/>
        <v xml:space="preserve"> </v>
      </c>
      <c r="BW304" s="188" t="str">
        <f t="shared" si="119"/>
        <v xml:space="preserve"> </v>
      </c>
      <c r="BX304" s="188" t="str">
        <f t="shared" si="120"/>
        <v xml:space="preserve"> </v>
      </c>
      <c r="BY304" s="50" t="str">
        <f t="shared" si="121"/>
        <v>FRANKLIN RIVER_Coho</v>
      </c>
      <c r="BZ304" s="50" t="str">
        <f>IFERROR(VLOOKUP(BY304,'[1]WCVI Esc'!$C$5:$W$555,18,FALSE),"-")</f>
        <v>-</v>
      </c>
      <c r="CA304" s="50" t="str">
        <f t="shared" si="122"/>
        <v>-</v>
      </c>
      <c r="CB304" s="50">
        <f>IFERROR(VLOOKUP(BY304,'[1]WCVI Esc'!$C$5:$W$555,19,FALSE),"-")</f>
        <v>42.75</v>
      </c>
      <c r="CC304" s="50">
        <f t="shared" si="123"/>
        <v>40</v>
      </c>
      <c r="CE304" s="342" t="str">
        <f t="shared" si="136"/>
        <v>FRANKLIN RIVER_Coho</v>
      </c>
      <c r="CF304" s="341">
        <f>IFERROR(VLOOKUP(BY304,'RawPL+D'!$O$8:$AB$503,12,FALSE),"-")</f>
        <v>0</v>
      </c>
      <c r="CG304" s="338">
        <f t="shared" si="125"/>
        <v>0</v>
      </c>
      <c r="CH304" s="341">
        <f>IFERROR(VLOOKUP(BY304,'RawPL+D'!$O$8:$AB$503,13,FALSE),"-")</f>
        <v>0</v>
      </c>
      <c r="CI304" s="338">
        <f t="shared" si="126"/>
        <v>0</v>
      </c>
    </row>
    <row r="305" spans="1:87" ht="12.75" hidden="1" customHeight="1" x14ac:dyDescent="0.2">
      <c r="A305" s="28">
        <v>3</v>
      </c>
      <c r="B305" s="28">
        <v>3</v>
      </c>
      <c r="C305" s="11">
        <v>23</v>
      </c>
      <c r="D305" s="148" t="s">
        <v>356</v>
      </c>
      <c r="E305" s="10" t="s">
        <v>97</v>
      </c>
      <c r="F305" s="10" t="s">
        <v>208</v>
      </c>
      <c r="G305" s="10"/>
      <c r="H305" s="10"/>
      <c r="I305" s="10"/>
      <c r="J305" s="10"/>
      <c r="K305" s="575"/>
      <c r="L305" s="152"/>
      <c r="M305" s="164"/>
      <c r="N305" s="62"/>
      <c r="O305" s="62"/>
      <c r="P305" s="177"/>
      <c r="Q305" s="171"/>
      <c r="R305" s="62"/>
      <c r="S305" s="62"/>
      <c r="T305" s="62"/>
      <c r="U305" s="64"/>
      <c r="V305" s="164"/>
      <c r="W305" s="62"/>
      <c r="X305" s="62"/>
      <c r="Y305" s="62"/>
      <c r="Z305" s="64"/>
      <c r="AA305" s="164"/>
      <c r="AB305" s="62"/>
      <c r="AC305" s="62"/>
      <c r="AD305" s="64"/>
      <c r="AE305" s="164"/>
      <c r="AF305" s="62"/>
      <c r="AG305" s="62"/>
      <c r="AH305" s="337"/>
      <c r="AI305" s="337"/>
      <c r="AJ305" s="337"/>
      <c r="AK305" s="337"/>
      <c r="AL305" s="414"/>
      <c r="AM305" s="414"/>
      <c r="AN305" s="45"/>
      <c r="AO305" s="45"/>
      <c r="AP305" s="45"/>
      <c r="AQ305" s="396"/>
      <c r="AR305" s="100"/>
      <c r="AS305" s="485"/>
      <c r="AT305" s="24"/>
      <c r="AU305" s="24"/>
      <c r="AV305" s="24"/>
      <c r="AW305" s="18">
        <v>23</v>
      </c>
      <c r="AX305" s="69" t="s">
        <v>356</v>
      </c>
      <c r="AY305" s="243" t="s">
        <v>97</v>
      </c>
      <c r="AZ305" s="243" t="str">
        <f t="shared" si="105"/>
        <v>Pink</v>
      </c>
      <c r="BA305" s="243" t="s">
        <v>419</v>
      </c>
      <c r="BB305" s="246"/>
      <c r="BC305" s="43" t="str">
        <f t="shared" si="106"/>
        <v>-</v>
      </c>
      <c r="BD305" s="43">
        <f t="shared" si="132"/>
        <v>0</v>
      </c>
      <c r="BE305" s="193">
        <f t="shared" si="128"/>
        <v>0</v>
      </c>
      <c r="BF305" s="193">
        <f t="shared" si="109"/>
        <v>0</v>
      </c>
      <c r="BG305" s="193">
        <f t="shared" si="110"/>
        <v>0</v>
      </c>
      <c r="BH305" s="307" t="str">
        <f t="shared" si="131"/>
        <v>-</v>
      </c>
      <c r="BI305" s="265" t="str">
        <f t="shared" si="133"/>
        <v>-</v>
      </c>
      <c r="BJ305" s="26" t="str">
        <f t="shared" si="112"/>
        <v>FRANKLIN RIVERPink</v>
      </c>
      <c r="BK305" s="26">
        <f t="shared" si="113"/>
        <v>0</v>
      </c>
      <c r="BL305" s="33">
        <f t="shared" si="135"/>
        <v>0</v>
      </c>
      <c r="BQ305" s="47" t="str">
        <f t="shared" si="114"/>
        <v>FRANKLIN RIVERPink</v>
      </c>
      <c r="BR305" s="49">
        <f t="shared" si="115"/>
        <v>0</v>
      </c>
      <c r="BS305" s="49">
        <f t="shared" si="116"/>
        <v>0</v>
      </c>
      <c r="BT305" s="31">
        <v>0</v>
      </c>
      <c r="BU305" s="188">
        <f t="shared" si="117"/>
        <v>0</v>
      </c>
      <c r="BV305" s="188" t="str">
        <f t="shared" si="118"/>
        <v xml:space="preserve"> </v>
      </c>
      <c r="BW305" s="188" t="str">
        <f t="shared" si="119"/>
        <v xml:space="preserve"> </v>
      </c>
      <c r="BX305" s="188" t="str">
        <f t="shared" si="120"/>
        <v xml:space="preserve"> </v>
      </c>
      <c r="BY305" s="50" t="str">
        <f t="shared" si="121"/>
        <v>FRANKLIN RIVER_Pink</v>
      </c>
      <c r="BZ305" s="50" t="str">
        <f>IFERROR(VLOOKUP(BY305,'[1]WCVI Esc'!$C$5:$W$555,18,FALSE),"-")</f>
        <v>-</v>
      </c>
      <c r="CA305" s="50" t="str">
        <f t="shared" si="122"/>
        <v>-</v>
      </c>
      <c r="CB305" s="50" t="str">
        <f>IFERROR(VLOOKUP(BY305,'[1]WCVI Esc'!$C$5:$W$555,19,FALSE),"-")</f>
        <v>-</v>
      </c>
      <c r="CC305" s="50" t="str">
        <f t="shared" si="123"/>
        <v>-</v>
      </c>
      <c r="CE305" s="342" t="str">
        <f t="shared" si="136"/>
        <v>FRANKLIN RIVER_Pink</v>
      </c>
      <c r="CF305" s="341" t="str">
        <f>IFERROR(VLOOKUP(BY305,'RawPL+D'!$O$8:$AB$503,12,FALSE),"-")</f>
        <v>-</v>
      </c>
      <c r="CG305" s="338" t="str">
        <f t="shared" si="125"/>
        <v>-</v>
      </c>
      <c r="CH305" s="341" t="str">
        <f>IFERROR(VLOOKUP(BY305,'RawPL+D'!$O$8:$AB$503,13,FALSE),"-")</f>
        <v>-</v>
      </c>
      <c r="CI305" s="338" t="str">
        <f t="shared" si="126"/>
        <v>-</v>
      </c>
    </row>
    <row r="306" spans="1:87" ht="12.75" hidden="1" customHeight="1" x14ac:dyDescent="0.2">
      <c r="A306" s="28">
        <v>3</v>
      </c>
      <c r="B306" s="28">
        <v>4</v>
      </c>
      <c r="C306" s="11">
        <v>23</v>
      </c>
      <c r="D306" s="148" t="s">
        <v>356</v>
      </c>
      <c r="E306" s="10" t="s">
        <v>97</v>
      </c>
      <c r="F306" s="10" t="s">
        <v>209</v>
      </c>
      <c r="G306" s="10"/>
      <c r="H306" s="10"/>
      <c r="I306" s="10"/>
      <c r="J306" s="10"/>
      <c r="K306" s="575"/>
      <c r="L306" s="152"/>
      <c r="M306" s="164"/>
      <c r="N306" s="62"/>
      <c r="O306" s="62"/>
      <c r="P306" s="177"/>
      <c r="Q306" s="171"/>
      <c r="R306" s="62"/>
      <c r="S306" s="62"/>
      <c r="T306" s="62"/>
      <c r="U306" s="64"/>
      <c r="V306" s="164"/>
      <c r="W306" s="62"/>
      <c r="X306" s="62"/>
      <c r="Y306" s="62"/>
      <c r="Z306" s="64"/>
      <c r="AA306" s="164"/>
      <c r="AB306" s="62"/>
      <c r="AC306" s="62"/>
      <c r="AD306" s="64"/>
      <c r="AE306" s="164"/>
      <c r="AF306" s="62"/>
      <c r="AG306" s="62"/>
      <c r="AH306" s="337"/>
      <c r="AI306" s="337"/>
      <c r="AJ306" s="337"/>
      <c r="AK306" s="337"/>
      <c r="AL306" s="414"/>
      <c r="AM306" s="414"/>
      <c r="AN306" s="45"/>
      <c r="AO306" s="45"/>
      <c r="AP306" s="45"/>
      <c r="AQ306" s="396">
        <f>AL306/BI306</f>
        <v>0</v>
      </c>
      <c r="AR306" s="100">
        <f>BL306/BI306</f>
        <v>0</v>
      </c>
      <c r="AS306" s="485"/>
      <c r="AT306" s="100"/>
      <c r="AU306" s="100"/>
      <c r="AV306" s="100"/>
      <c r="AW306" s="18">
        <v>23</v>
      </c>
      <c r="AX306" s="69" t="s">
        <v>356</v>
      </c>
      <c r="AY306" s="243" t="s">
        <v>97</v>
      </c>
      <c r="AZ306" s="243" t="str">
        <f t="shared" si="105"/>
        <v>Chum</v>
      </c>
      <c r="BA306" s="243" t="s">
        <v>419</v>
      </c>
      <c r="BB306" s="246"/>
      <c r="BC306" s="43" t="str">
        <f t="shared" si="106"/>
        <v>-</v>
      </c>
      <c r="BD306" s="43">
        <f t="shared" si="132"/>
        <v>0</v>
      </c>
      <c r="BE306" s="193">
        <f t="shared" si="128"/>
        <v>0</v>
      </c>
      <c r="BF306" s="193">
        <f t="shared" si="109"/>
        <v>0</v>
      </c>
      <c r="BG306" s="193">
        <f t="shared" si="110"/>
        <v>0</v>
      </c>
      <c r="BH306" s="307">
        <f t="shared" si="131"/>
        <v>0</v>
      </c>
      <c r="BI306" s="265">
        <f t="shared" si="133"/>
        <v>60</v>
      </c>
      <c r="BJ306" s="26" t="str">
        <f t="shared" si="112"/>
        <v>FRANKLIN RIVERChum</v>
      </c>
      <c r="BK306" s="26">
        <f t="shared" si="113"/>
        <v>0</v>
      </c>
      <c r="BL306" s="33">
        <f t="shared" si="135"/>
        <v>0</v>
      </c>
      <c r="BQ306" s="47" t="str">
        <f t="shared" si="114"/>
        <v>FRANKLIN RIVERChum</v>
      </c>
      <c r="BR306" s="49">
        <f t="shared" si="115"/>
        <v>0</v>
      </c>
      <c r="BS306" s="49">
        <f t="shared" si="116"/>
        <v>0</v>
      </c>
      <c r="BT306" s="31">
        <v>2015</v>
      </c>
      <c r="BU306" s="188">
        <f t="shared" si="117"/>
        <v>0</v>
      </c>
      <c r="BV306" s="188" t="str">
        <f t="shared" si="118"/>
        <v xml:space="preserve"> </v>
      </c>
      <c r="BW306" s="188" t="str">
        <f t="shared" si="119"/>
        <v xml:space="preserve"> </v>
      </c>
      <c r="BX306" s="188" t="str">
        <f t="shared" si="120"/>
        <v xml:space="preserve"> </v>
      </c>
      <c r="BY306" s="50" t="str">
        <f t="shared" si="121"/>
        <v>FRANKLIN RIVER_Chum</v>
      </c>
      <c r="BZ306" s="50" t="str">
        <f>IFERROR(VLOOKUP(BY306,'[1]WCVI Esc'!$C$5:$W$555,18,FALSE),"-")</f>
        <v>-</v>
      </c>
      <c r="CA306" s="50" t="str">
        <f t="shared" si="122"/>
        <v>-</v>
      </c>
      <c r="CB306" s="50">
        <f>IFERROR(VLOOKUP(BY306,'[1]WCVI Esc'!$C$5:$W$555,19,FALSE),"-")</f>
        <v>62</v>
      </c>
      <c r="CC306" s="50">
        <f t="shared" si="123"/>
        <v>60</v>
      </c>
      <c r="CE306" s="342" t="str">
        <f t="shared" si="136"/>
        <v>FRANKLIN RIVER_Chum</v>
      </c>
      <c r="CF306" s="341">
        <f>IFERROR(VLOOKUP(BY306,'RawPL+D'!$O$8:$AB$503,12,FALSE),"-")</f>
        <v>0</v>
      </c>
      <c r="CG306" s="338">
        <f t="shared" si="125"/>
        <v>0</v>
      </c>
      <c r="CH306" s="341">
        <f>IFERROR(VLOOKUP(BY306,'RawPL+D'!$O$8:$AB$503,13,FALSE),"-")</f>
        <v>0</v>
      </c>
      <c r="CI306" s="338">
        <f t="shared" si="126"/>
        <v>0</v>
      </c>
    </row>
    <row r="307" spans="1:87" ht="12.75" hidden="1" customHeight="1" x14ac:dyDescent="0.2">
      <c r="A307" s="28">
        <v>3</v>
      </c>
      <c r="B307" s="28">
        <v>5</v>
      </c>
      <c r="C307" s="11">
        <v>23</v>
      </c>
      <c r="D307" s="148" t="s">
        <v>356</v>
      </c>
      <c r="E307" s="10" t="s">
        <v>97</v>
      </c>
      <c r="F307" s="10" t="s">
        <v>210</v>
      </c>
      <c r="G307" s="10"/>
      <c r="H307" s="10"/>
      <c r="I307" s="10"/>
      <c r="J307" s="10"/>
      <c r="K307" s="575"/>
      <c r="L307" s="152"/>
      <c r="M307" s="164"/>
      <c r="N307" s="62"/>
      <c r="O307" s="62"/>
      <c r="P307" s="177"/>
      <c r="Q307" s="171"/>
      <c r="R307" s="62"/>
      <c r="S307" s="62"/>
      <c r="T307" s="62"/>
      <c r="U307" s="64"/>
      <c r="V307" s="164"/>
      <c r="W307" s="62"/>
      <c r="X307" s="62"/>
      <c r="Y307" s="62"/>
      <c r="Z307" s="64"/>
      <c r="AA307" s="164"/>
      <c r="AB307" s="62"/>
      <c r="AC307" s="62"/>
      <c r="AD307" s="64"/>
      <c r="AE307" s="164"/>
      <c r="AF307" s="62"/>
      <c r="AG307" s="62"/>
      <c r="AH307" s="337"/>
      <c r="AI307" s="337"/>
      <c r="AJ307" s="337"/>
      <c r="AK307" s="337"/>
      <c r="AL307" s="414"/>
      <c r="AM307" s="414"/>
      <c r="AN307" s="45"/>
      <c r="AO307" s="45"/>
      <c r="AP307" s="45"/>
      <c r="AQ307" s="396"/>
      <c r="AR307" s="100"/>
      <c r="AS307" s="485"/>
      <c r="AT307" s="24"/>
      <c r="AU307" s="24"/>
      <c r="AV307" s="24"/>
      <c r="AW307" s="18">
        <v>23</v>
      </c>
      <c r="AX307" s="69" t="s">
        <v>356</v>
      </c>
      <c r="AY307" s="243" t="s">
        <v>97</v>
      </c>
      <c r="AZ307" s="243" t="str">
        <f t="shared" si="105"/>
        <v>Chinook</v>
      </c>
      <c r="BA307" s="243" t="s">
        <v>419</v>
      </c>
      <c r="BB307" s="246"/>
      <c r="BC307" s="43" t="str">
        <f t="shared" si="106"/>
        <v>-</v>
      </c>
      <c r="BD307" s="43">
        <f t="shared" si="132"/>
        <v>0</v>
      </c>
      <c r="BE307" s="193">
        <f t="shared" si="128"/>
        <v>0</v>
      </c>
      <c r="BF307" s="193">
        <f t="shared" si="109"/>
        <v>0</v>
      </c>
      <c r="BG307" s="193">
        <f t="shared" si="110"/>
        <v>0</v>
      </c>
      <c r="BH307" s="307" t="str">
        <f t="shared" si="131"/>
        <v>-</v>
      </c>
      <c r="BI307" s="265" t="str">
        <f t="shared" si="133"/>
        <v>-</v>
      </c>
      <c r="BJ307" s="26" t="str">
        <f t="shared" si="112"/>
        <v>FRANKLIN RIVERChinook</v>
      </c>
      <c r="BK307" s="26">
        <f t="shared" si="113"/>
        <v>0</v>
      </c>
      <c r="BL307" s="33">
        <f t="shared" si="135"/>
        <v>0</v>
      </c>
      <c r="BQ307" s="47" t="str">
        <f t="shared" si="114"/>
        <v>FRANKLIN RIVERChinook</v>
      </c>
      <c r="BR307" s="49">
        <f t="shared" si="115"/>
        <v>0</v>
      </c>
      <c r="BS307" s="49">
        <f t="shared" si="116"/>
        <v>0</v>
      </c>
      <c r="BT307" s="31">
        <v>2015</v>
      </c>
      <c r="BU307" s="188">
        <f t="shared" si="117"/>
        <v>0</v>
      </c>
      <c r="BV307" s="188" t="str">
        <f t="shared" si="118"/>
        <v xml:space="preserve"> </v>
      </c>
      <c r="BW307" s="188" t="str">
        <f t="shared" si="119"/>
        <v xml:space="preserve"> </v>
      </c>
      <c r="BX307" s="188" t="str">
        <f t="shared" si="120"/>
        <v xml:space="preserve"> </v>
      </c>
      <c r="BY307" s="50" t="str">
        <f t="shared" si="121"/>
        <v>FRANKLIN RIVER_Chinook</v>
      </c>
      <c r="BZ307" s="50" t="str">
        <f>IFERROR(VLOOKUP(BY307,'[1]WCVI Esc'!$C$5:$W$555,18,FALSE),"-")</f>
        <v>-</v>
      </c>
      <c r="CA307" s="50" t="str">
        <f t="shared" si="122"/>
        <v>-</v>
      </c>
      <c r="CB307" s="50" t="str">
        <f>IFERROR(VLOOKUP(BY307,'[1]WCVI Esc'!$C$5:$W$555,19,FALSE),"-")</f>
        <v>-</v>
      </c>
      <c r="CC307" s="50" t="str">
        <f t="shared" si="123"/>
        <v>-</v>
      </c>
      <c r="CE307" s="342" t="str">
        <f t="shared" si="136"/>
        <v>FRANKLIN RIVER_Chinook</v>
      </c>
      <c r="CF307" s="341">
        <f>IFERROR(VLOOKUP(BY307,'RawPL+D'!$O$8:$AB$503,12,FALSE),"-")</f>
        <v>0</v>
      </c>
      <c r="CG307" s="338">
        <f t="shared" si="125"/>
        <v>0</v>
      </c>
      <c r="CH307" s="341" t="str">
        <f>IFERROR(VLOOKUP(BY307,'RawPL+D'!$O$8:$AB$503,13,FALSE),"-")</f>
        <v>-</v>
      </c>
      <c r="CI307" s="338" t="str">
        <f t="shared" si="126"/>
        <v>-</v>
      </c>
    </row>
    <row r="308" spans="1:87" ht="12.75" hidden="1" customHeight="1" x14ac:dyDescent="0.2">
      <c r="A308" s="28">
        <v>3</v>
      </c>
      <c r="B308" s="28">
        <v>6</v>
      </c>
      <c r="C308" s="11">
        <v>23</v>
      </c>
      <c r="D308" s="148" t="s">
        <v>356</v>
      </c>
      <c r="E308" s="10" t="s">
        <v>97</v>
      </c>
      <c r="F308" s="10" t="s">
        <v>211</v>
      </c>
      <c r="G308" s="10"/>
      <c r="H308" s="10"/>
      <c r="I308" s="10"/>
      <c r="J308" s="10"/>
      <c r="K308" s="575"/>
      <c r="L308" s="152"/>
      <c r="M308" s="164"/>
      <c r="N308" s="62"/>
      <c r="O308" s="62"/>
      <c r="P308" s="177"/>
      <c r="Q308" s="171"/>
      <c r="R308" s="62"/>
      <c r="S308" s="62"/>
      <c r="T308" s="62"/>
      <c r="U308" s="64"/>
      <c r="V308" s="164"/>
      <c r="W308" s="62"/>
      <c r="X308" s="62"/>
      <c r="Y308" s="62"/>
      <c r="Z308" s="64"/>
      <c r="AA308" s="164"/>
      <c r="AB308" s="62"/>
      <c r="AC308" s="62"/>
      <c r="AD308" s="64"/>
      <c r="AE308" s="164"/>
      <c r="AF308" s="62"/>
      <c r="AG308" s="62"/>
      <c r="AH308" s="337"/>
      <c r="AI308" s="337"/>
      <c r="AJ308" s="337"/>
      <c r="AK308" s="337"/>
      <c r="AL308" s="414"/>
      <c r="AM308" s="414"/>
      <c r="AN308" s="45"/>
      <c r="AO308" s="45"/>
      <c r="AP308" s="45"/>
      <c r="AQ308" s="396"/>
      <c r="AR308" s="100"/>
      <c r="AS308" s="485"/>
      <c r="AT308" s="24"/>
      <c r="AU308" s="24"/>
      <c r="AV308" s="24"/>
      <c r="AW308" s="18">
        <v>23</v>
      </c>
      <c r="AX308" s="69" t="s">
        <v>356</v>
      </c>
      <c r="AY308" s="243" t="s">
        <v>97</v>
      </c>
      <c r="AZ308" s="243" t="str">
        <f t="shared" si="105"/>
        <v>Steelhead</v>
      </c>
      <c r="BA308" s="243" t="s">
        <v>419</v>
      </c>
      <c r="BB308" s="246"/>
      <c r="BC308" s="43" t="str">
        <f t="shared" si="106"/>
        <v>-</v>
      </c>
      <c r="BD308" s="43">
        <f t="shared" si="132"/>
        <v>0</v>
      </c>
      <c r="BE308" s="193">
        <f t="shared" si="128"/>
        <v>0</v>
      </c>
      <c r="BF308" s="193">
        <f t="shared" si="109"/>
        <v>0</v>
      </c>
      <c r="BG308" s="193">
        <f t="shared" si="110"/>
        <v>0</v>
      </c>
      <c r="BH308" s="307" t="str">
        <f t="shared" si="131"/>
        <v>-</v>
      </c>
      <c r="BI308" s="265" t="str">
        <f t="shared" si="133"/>
        <v>-</v>
      </c>
      <c r="BJ308" s="26" t="str">
        <f t="shared" si="112"/>
        <v>FRANKLIN RIVERSteelhead</v>
      </c>
      <c r="BK308" s="26">
        <f t="shared" si="113"/>
        <v>0</v>
      </c>
      <c r="BL308" s="33">
        <f t="shared" si="135"/>
        <v>0</v>
      </c>
      <c r="BQ308" s="47" t="str">
        <f t="shared" si="114"/>
        <v>FRANKLIN RIVERSteelhead</v>
      </c>
      <c r="BR308" s="49">
        <f t="shared" si="115"/>
        <v>0</v>
      </c>
      <c r="BS308" s="49">
        <f t="shared" si="116"/>
        <v>0</v>
      </c>
      <c r="BT308" s="31">
        <v>0</v>
      </c>
      <c r="BU308" s="188">
        <f t="shared" si="117"/>
        <v>0</v>
      </c>
      <c r="BV308" s="188" t="str">
        <f t="shared" si="118"/>
        <v xml:space="preserve"> </v>
      </c>
      <c r="BW308" s="188" t="str">
        <f t="shared" si="119"/>
        <v xml:space="preserve"> </v>
      </c>
      <c r="BX308" s="188" t="str">
        <f t="shared" si="120"/>
        <v xml:space="preserve"> </v>
      </c>
      <c r="BY308" s="50" t="str">
        <f t="shared" si="121"/>
        <v>FRANKLIN RIVER_Steelhead</v>
      </c>
      <c r="BZ308" s="50" t="str">
        <f>IFERROR(VLOOKUP(BY308,'[1]WCVI Esc'!$C$5:$W$555,18,FALSE),"-")</f>
        <v>-</v>
      </c>
      <c r="CA308" s="50" t="str">
        <f t="shared" si="122"/>
        <v>-</v>
      </c>
      <c r="CB308" s="50" t="str">
        <f>IFERROR(VLOOKUP(BY308,'[1]WCVI Esc'!$C$5:$W$555,19,FALSE),"-")</f>
        <v>-</v>
      </c>
      <c r="CC308" s="50" t="str">
        <f t="shared" si="123"/>
        <v>-</v>
      </c>
      <c r="CE308" s="342" t="str">
        <f t="shared" si="136"/>
        <v>FRANKLIN RIVER_Steelhead</v>
      </c>
      <c r="CF308" s="341" t="str">
        <f>IFERROR(VLOOKUP(BY308,'RawPL+D'!$O$8:$AB$503,12,FALSE),"-")</f>
        <v>-</v>
      </c>
      <c r="CG308" s="338" t="str">
        <f t="shared" si="125"/>
        <v>-</v>
      </c>
      <c r="CH308" s="341" t="str">
        <f>IFERROR(VLOOKUP(BY308,'RawPL+D'!$O$8:$AB$503,13,FALSE),"-")</f>
        <v>-</v>
      </c>
      <c r="CI308" s="338" t="str">
        <f t="shared" si="126"/>
        <v>-</v>
      </c>
    </row>
    <row r="309" spans="1:87" ht="12.75" hidden="1" customHeight="1" x14ac:dyDescent="0.2">
      <c r="A309" s="28">
        <v>3</v>
      </c>
      <c r="B309" s="28">
        <v>1</v>
      </c>
      <c r="C309" s="11">
        <v>23</v>
      </c>
      <c r="D309" s="148" t="s">
        <v>356</v>
      </c>
      <c r="E309" s="10" t="s">
        <v>31</v>
      </c>
      <c r="F309" s="10" t="s">
        <v>207</v>
      </c>
      <c r="G309" s="10"/>
      <c r="H309" s="10"/>
      <c r="I309" s="10"/>
      <c r="J309" s="10"/>
      <c r="K309" s="575"/>
      <c r="L309" s="152"/>
      <c r="M309" s="164"/>
      <c r="N309" s="62"/>
      <c r="O309" s="62"/>
      <c r="P309" s="177"/>
      <c r="Q309" s="171"/>
      <c r="R309" s="62"/>
      <c r="S309" s="62"/>
      <c r="T309" s="62"/>
      <c r="U309" s="64"/>
      <c r="V309" s="164"/>
      <c r="W309" s="62"/>
      <c r="X309" s="62"/>
      <c r="Y309" s="62"/>
      <c r="Z309" s="64"/>
      <c r="AA309" s="164"/>
      <c r="AB309" s="62"/>
      <c r="AC309" s="62"/>
      <c r="AD309" s="64"/>
      <c r="AE309" s="164"/>
      <c r="AF309" s="62"/>
      <c r="AG309" s="62"/>
      <c r="AH309" s="337"/>
      <c r="AI309" s="337"/>
      <c r="AJ309" s="337"/>
      <c r="AK309" s="337"/>
      <c r="AL309" s="414"/>
      <c r="AM309" s="414"/>
      <c r="AN309" s="45"/>
      <c r="AO309" s="45"/>
      <c r="AP309" s="45"/>
      <c r="AQ309" s="396"/>
      <c r="AR309" s="100"/>
      <c r="AS309" s="485"/>
      <c r="AT309" s="24"/>
      <c r="AU309" s="24"/>
      <c r="AV309" s="24"/>
      <c r="AW309" s="18">
        <v>23</v>
      </c>
      <c r="AX309" s="69" t="s">
        <v>356</v>
      </c>
      <c r="AY309" s="243" t="s">
        <v>31</v>
      </c>
      <c r="AZ309" s="243" t="str">
        <f t="shared" si="105"/>
        <v>Sockeye</v>
      </c>
      <c r="BA309" s="243" t="s">
        <v>419</v>
      </c>
      <c r="BB309" s="246"/>
      <c r="BC309" s="43" t="str">
        <f t="shared" si="106"/>
        <v>-</v>
      </c>
      <c r="BD309" s="43">
        <f t="shared" si="132"/>
        <v>0</v>
      </c>
      <c r="BE309" s="193">
        <f t="shared" si="128"/>
        <v>0</v>
      </c>
      <c r="BF309" s="193">
        <f t="shared" si="109"/>
        <v>0</v>
      </c>
      <c r="BG309" s="193">
        <f t="shared" si="110"/>
        <v>0</v>
      </c>
      <c r="BH309" s="307" t="str">
        <f t="shared" si="131"/>
        <v>-</v>
      </c>
      <c r="BI309" s="265" t="str">
        <f t="shared" si="133"/>
        <v>-</v>
      </c>
      <c r="BJ309" s="26" t="str">
        <f t="shared" si="112"/>
        <v>KITSUCKSUS CREEKSockeye</v>
      </c>
      <c r="BK309" s="26">
        <f t="shared" si="113"/>
        <v>0</v>
      </c>
      <c r="BL309" s="33">
        <f t="shared" si="135"/>
        <v>0</v>
      </c>
      <c r="BQ309" s="47" t="str">
        <f t="shared" si="114"/>
        <v>KITSUCKSUS CREEKSockeye</v>
      </c>
      <c r="BR309" s="49">
        <f t="shared" si="115"/>
        <v>0</v>
      </c>
      <c r="BS309" s="49">
        <f t="shared" si="116"/>
        <v>0</v>
      </c>
      <c r="BT309" s="31">
        <v>0</v>
      </c>
      <c r="BU309" s="188">
        <f t="shared" si="117"/>
        <v>0</v>
      </c>
      <c r="BV309" s="188" t="str">
        <f t="shared" si="118"/>
        <v xml:space="preserve"> </v>
      </c>
      <c r="BW309" s="188" t="str">
        <f t="shared" si="119"/>
        <v xml:space="preserve"> </v>
      </c>
      <c r="BX309" s="188" t="str">
        <f t="shared" si="120"/>
        <v xml:space="preserve"> </v>
      </c>
      <c r="BY309" s="50" t="str">
        <f t="shared" si="121"/>
        <v>KITSUCKSUS CREEK_Sockeye</v>
      </c>
      <c r="BZ309" s="50" t="str">
        <f>IFERROR(VLOOKUP(BY309,'[1]WCVI Esc'!$C$5:$W$555,18,FALSE),"-")</f>
        <v>-</v>
      </c>
      <c r="CA309" s="50" t="str">
        <f t="shared" si="122"/>
        <v>-</v>
      </c>
      <c r="CB309" s="50" t="str">
        <f>IFERROR(VLOOKUP(BY309,'[1]WCVI Esc'!$C$5:$W$555,19,FALSE),"-")</f>
        <v>-</v>
      </c>
      <c r="CC309" s="50" t="str">
        <f t="shared" si="123"/>
        <v>-</v>
      </c>
      <c r="CE309" s="342" t="str">
        <f t="shared" si="136"/>
        <v>KITSUCKSUS CREEK_Sockeye</v>
      </c>
      <c r="CF309" s="341" t="str">
        <f>IFERROR(VLOOKUP(BY309,'RawPL+D'!$O$8:$AB$503,12,FALSE),"-")</f>
        <v>-</v>
      </c>
      <c r="CG309" s="338" t="str">
        <f t="shared" si="125"/>
        <v>-</v>
      </c>
      <c r="CH309" s="341" t="str">
        <f>IFERROR(VLOOKUP(BY309,'RawPL+D'!$O$8:$AB$503,13,FALSE),"-")</f>
        <v>-</v>
      </c>
      <c r="CI309" s="338" t="str">
        <f t="shared" si="126"/>
        <v>-</v>
      </c>
    </row>
    <row r="310" spans="1:87" ht="12.75" hidden="1" customHeight="1" x14ac:dyDescent="0.2">
      <c r="A310" s="28">
        <v>3</v>
      </c>
      <c r="B310" s="28">
        <v>2</v>
      </c>
      <c r="C310" s="11">
        <v>23</v>
      </c>
      <c r="D310" s="148" t="s">
        <v>356</v>
      </c>
      <c r="E310" s="10" t="s">
        <v>31</v>
      </c>
      <c r="F310" s="10" t="s">
        <v>219</v>
      </c>
      <c r="G310" s="10"/>
      <c r="H310" s="10"/>
      <c r="I310" s="10"/>
      <c r="J310" s="10"/>
      <c r="K310" s="575"/>
      <c r="L310" s="152"/>
      <c r="M310" s="164"/>
      <c r="N310" s="62"/>
      <c r="O310" s="62"/>
      <c r="P310" s="177"/>
      <c r="Q310" s="171"/>
      <c r="R310" s="62"/>
      <c r="S310" s="62"/>
      <c r="T310" s="62"/>
      <c r="U310" s="64"/>
      <c r="V310" s="164"/>
      <c r="W310" s="62"/>
      <c r="X310" s="62"/>
      <c r="Y310" s="62"/>
      <c r="Z310" s="64"/>
      <c r="AA310" s="164"/>
      <c r="AB310" s="62"/>
      <c r="AC310" s="62"/>
      <c r="AD310" s="64"/>
      <c r="AE310" s="164"/>
      <c r="AF310" s="62"/>
      <c r="AG310" s="62"/>
      <c r="AH310" s="337"/>
      <c r="AI310" s="337"/>
      <c r="AJ310" s="337"/>
      <c r="AK310" s="337"/>
      <c r="AL310" s="414"/>
      <c r="AM310" s="414"/>
      <c r="AN310" s="45"/>
      <c r="AO310" s="45"/>
      <c r="AP310" s="45"/>
      <c r="AQ310" s="396">
        <f>AL310/BI310</f>
        <v>0</v>
      </c>
      <c r="AR310" s="100">
        <f>BL310/BI310</f>
        <v>0</v>
      </c>
      <c r="AS310" s="485"/>
      <c r="AT310" s="24"/>
      <c r="AU310" s="24"/>
      <c r="AV310" s="24"/>
      <c r="AW310" s="18">
        <v>23</v>
      </c>
      <c r="AX310" s="69" t="s">
        <v>356</v>
      </c>
      <c r="AY310" s="243" t="s">
        <v>31</v>
      </c>
      <c r="AZ310" s="243" t="str">
        <f t="shared" si="105"/>
        <v>Coho</v>
      </c>
      <c r="BA310" s="243" t="s">
        <v>419</v>
      </c>
      <c r="BB310" s="246"/>
      <c r="BC310" s="43" t="str">
        <f t="shared" si="106"/>
        <v>-</v>
      </c>
      <c r="BD310" s="43">
        <f t="shared" si="132"/>
        <v>0</v>
      </c>
      <c r="BE310" s="193">
        <f t="shared" si="128"/>
        <v>0</v>
      </c>
      <c r="BF310" s="193">
        <f t="shared" si="109"/>
        <v>0</v>
      </c>
      <c r="BG310" s="193">
        <f t="shared" si="110"/>
        <v>0</v>
      </c>
      <c r="BH310" s="307">
        <f t="shared" si="131"/>
        <v>0</v>
      </c>
      <c r="BI310" s="265">
        <f t="shared" si="133"/>
        <v>40</v>
      </c>
      <c r="BJ310" s="26" t="str">
        <f t="shared" si="112"/>
        <v>KITSUCKSUS CREEKCoho</v>
      </c>
      <c r="BK310" s="26">
        <f t="shared" si="113"/>
        <v>0</v>
      </c>
      <c r="BL310" s="33">
        <f t="shared" si="135"/>
        <v>0</v>
      </c>
      <c r="BQ310" s="47" t="str">
        <f t="shared" si="114"/>
        <v>KITSUCKSUS CREEKCoho</v>
      </c>
      <c r="BR310" s="49">
        <f t="shared" si="115"/>
        <v>0</v>
      </c>
      <c r="BS310" s="49">
        <f t="shared" si="116"/>
        <v>0</v>
      </c>
      <c r="BT310" s="31">
        <v>2012</v>
      </c>
      <c r="BU310" s="188">
        <f t="shared" si="117"/>
        <v>0</v>
      </c>
      <c r="BV310" s="188" t="str">
        <f t="shared" si="118"/>
        <v xml:space="preserve"> </v>
      </c>
      <c r="BW310" s="188" t="str">
        <f t="shared" si="119"/>
        <v xml:space="preserve"> </v>
      </c>
      <c r="BX310" s="188" t="str">
        <f t="shared" si="120"/>
        <v xml:space="preserve"> </v>
      </c>
      <c r="BY310" s="50" t="str">
        <f t="shared" si="121"/>
        <v>KITSUCKSUS CREEK_Coho</v>
      </c>
      <c r="BZ310" s="50" t="str">
        <f>IFERROR(VLOOKUP(BY310,'[1]WCVI Esc'!$C$5:$W$555,18,FALSE),"-")</f>
        <v>-</v>
      </c>
      <c r="CA310" s="50" t="str">
        <f t="shared" si="122"/>
        <v>-</v>
      </c>
      <c r="CB310" s="50">
        <f>IFERROR(VLOOKUP(BY310,'[1]WCVI Esc'!$C$5:$W$555,19,FALSE),"-")</f>
        <v>43</v>
      </c>
      <c r="CC310" s="50">
        <f t="shared" si="123"/>
        <v>40</v>
      </c>
      <c r="CE310" s="342" t="str">
        <f t="shared" si="136"/>
        <v>KITSUCKSUS CREEK_Coho</v>
      </c>
      <c r="CF310" s="341">
        <f>IFERROR(VLOOKUP(BY310,'RawPL+D'!$O$8:$AB$503,12,FALSE),"-")</f>
        <v>0</v>
      </c>
      <c r="CG310" s="338">
        <f t="shared" si="125"/>
        <v>0</v>
      </c>
      <c r="CH310" s="341">
        <f>IFERROR(VLOOKUP(BY310,'RawPL+D'!$O$8:$AB$503,13,FALSE),"-")</f>
        <v>0</v>
      </c>
      <c r="CI310" s="338">
        <f t="shared" si="126"/>
        <v>0</v>
      </c>
    </row>
    <row r="311" spans="1:87" ht="12.75" hidden="1" customHeight="1" x14ac:dyDescent="0.2">
      <c r="A311" s="28">
        <v>3</v>
      </c>
      <c r="B311" s="28">
        <v>3</v>
      </c>
      <c r="C311" s="11">
        <v>23</v>
      </c>
      <c r="D311" s="148" t="s">
        <v>356</v>
      </c>
      <c r="E311" s="10" t="s">
        <v>31</v>
      </c>
      <c r="F311" s="10" t="s">
        <v>208</v>
      </c>
      <c r="G311" s="10"/>
      <c r="H311" s="10"/>
      <c r="I311" s="10"/>
      <c r="J311" s="10"/>
      <c r="K311" s="575"/>
      <c r="L311" s="152"/>
      <c r="M311" s="164"/>
      <c r="N311" s="62"/>
      <c r="O311" s="62"/>
      <c r="P311" s="177"/>
      <c r="Q311" s="171"/>
      <c r="R311" s="62"/>
      <c r="S311" s="62"/>
      <c r="T311" s="62"/>
      <c r="U311" s="64"/>
      <c r="V311" s="164"/>
      <c r="W311" s="62"/>
      <c r="X311" s="62"/>
      <c r="Y311" s="62"/>
      <c r="Z311" s="64"/>
      <c r="AA311" s="164"/>
      <c r="AB311" s="62"/>
      <c r="AC311" s="62"/>
      <c r="AD311" s="64"/>
      <c r="AE311" s="164"/>
      <c r="AF311" s="62"/>
      <c r="AG311" s="62"/>
      <c r="AH311" s="337"/>
      <c r="AI311" s="337"/>
      <c r="AJ311" s="337"/>
      <c r="AK311" s="337"/>
      <c r="AL311" s="414"/>
      <c r="AM311" s="414"/>
      <c r="AN311" s="45"/>
      <c r="AO311" s="45"/>
      <c r="AP311" s="45"/>
      <c r="AQ311" s="396"/>
      <c r="AR311" s="100"/>
      <c r="AS311" s="485"/>
      <c r="AT311" s="24"/>
      <c r="AU311" s="24"/>
      <c r="AV311" s="24"/>
      <c r="AW311" s="18">
        <v>23</v>
      </c>
      <c r="AX311" s="69" t="s">
        <v>356</v>
      </c>
      <c r="AY311" s="243" t="s">
        <v>31</v>
      </c>
      <c r="AZ311" s="243" t="str">
        <f t="shared" si="105"/>
        <v>Pink</v>
      </c>
      <c r="BA311" s="243" t="s">
        <v>419</v>
      </c>
      <c r="BB311" s="246"/>
      <c r="BC311" s="43" t="str">
        <f t="shared" si="106"/>
        <v>-</v>
      </c>
      <c r="BD311" s="43">
        <f t="shared" si="132"/>
        <v>0</v>
      </c>
      <c r="BE311" s="193">
        <f t="shared" si="128"/>
        <v>0</v>
      </c>
      <c r="BF311" s="193">
        <f t="shared" si="109"/>
        <v>0</v>
      </c>
      <c r="BG311" s="193">
        <f t="shared" si="110"/>
        <v>0</v>
      </c>
      <c r="BH311" s="307" t="str">
        <f t="shared" ref="BH311:BH342" si="137">CI311</f>
        <v>-</v>
      </c>
      <c r="BI311" s="265" t="str">
        <f t="shared" si="133"/>
        <v>-</v>
      </c>
      <c r="BJ311" s="26" t="str">
        <f t="shared" si="112"/>
        <v>KITSUCKSUS CREEKPink</v>
      </c>
      <c r="BK311" s="26">
        <f t="shared" si="113"/>
        <v>0</v>
      </c>
      <c r="BL311" s="33">
        <f t="shared" si="135"/>
        <v>0</v>
      </c>
      <c r="BQ311" s="47" t="str">
        <f t="shared" si="114"/>
        <v>KITSUCKSUS CREEKPink</v>
      </c>
      <c r="BR311" s="49">
        <f t="shared" si="115"/>
        <v>0</v>
      </c>
      <c r="BS311" s="49">
        <f t="shared" si="116"/>
        <v>0</v>
      </c>
      <c r="BT311" s="31">
        <v>0</v>
      </c>
      <c r="BU311" s="188">
        <f t="shared" si="117"/>
        <v>0</v>
      </c>
      <c r="BV311" s="188" t="str">
        <f t="shared" si="118"/>
        <v xml:space="preserve"> </v>
      </c>
      <c r="BW311" s="188" t="str">
        <f t="shared" si="119"/>
        <v xml:space="preserve"> </v>
      </c>
      <c r="BX311" s="188" t="str">
        <f t="shared" si="120"/>
        <v xml:space="preserve"> </v>
      </c>
      <c r="BY311" s="50" t="str">
        <f t="shared" si="121"/>
        <v>KITSUCKSUS CREEK_Pink</v>
      </c>
      <c r="BZ311" s="50" t="str">
        <f>IFERROR(VLOOKUP(BY311,'[1]WCVI Esc'!$C$5:$W$555,18,FALSE),"-")</f>
        <v>-</v>
      </c>
      <c r="CA311" s="50" t="str">
        <f t="shared" si="122"/>
        <v>-</v>
      </c>
      <c r="CB311" s="50" t="str">
        <f>IFERROR(VLOOKUP(BY311,'[1]WCVI Esc'!$C$5:$W$555,19,FALSE),"-")</f>
        <v>-</v>
      </c>
      <c r="CC311" s="50" t="str">
        <f t="shared" si="123"/>
        <v>-</v>
      </c>
      <c r="CE311" s="342" t="str">
        <f t="shared" si="136"/>
        <v>KITSUCKSUS CREEK_Pink</v>
      </c>
      <c r="CF311" s="341" t="str">
        <f>IFERROR(VLOOKUP(BY311,'RawPL+D'!$O$8:$AB$503,12,FALSE),"-")</f>
        <v>-</v>
      </c>
      <c r="CG311" s="338" t="str">
        <f t="shared" si="125"/>
        <v>-</v>
      </c>
      <c r="CH311" s="341" t="str">
        <f>IFERROR(VLOOKUP(BY311,'RawPL+D'!$O$8:$AB$503,13,FALSE),"-")</f>
        <v>-</v>
      </c>
      <c r="CI311" s="338" t="str">
        <f t="shared" si="126"/>
        <v>-</v>
      </c>
    </row>
    <row r="312" spans="1:87" ht="12.75" hidden="1" customHeight="1" x14ac:dyDescent="0.2">
      <c r="A312" s="28">
        <v>3</v>
      </c>
      <c r="B312" s="28">
        <v>4</v>
      </c>
      <c r="C312" s="11">
        <v>23</v>
      </c>
      <c r="D312" s="148" t="s">
        <v>356</v>
      </c>
      <c r="E312" s="10" t="s">
        <v>31</v>
      </c>
      <c r="F312" s="10" t="s">
        <v>209</v>
      </c>
      <c r="G312" s="10"/>
      <c r="H312" s="10"/>
      <c r="I312" s="10"/>
      <c r="J312" s="10"/>
      <c r="K312" s="575"/>
      <c r="L312" s="152"/>
      <c r="M312" s="164"/>
      <c r="N312" s="62"/>
      <c r="O312" s="62"/>
      <c r="P312" s="177"/>
      <c r="Q312" s="171"/>
      <c r="R312" s="62"/>
      <c r="S312" s="62"/>
      <c r="T312" s="62"/>
      <c r="U312" s="64"/>
      <c r="V312" s="164"/>
      <c r="W312" s="62"/>
      <c r="X312" s="62"/>
      <c r="Y312" s="62"/>
      <c r="Z312" s="64"/>
      <c r="AA312" s="164"/>
      <c r="AB312" s="62"/>
      <c r="AC312" s="62"/>
      <c r="AD312" s="64"/>
      <c r="AE312" s="164"/>
      <c r="AF312" s="62"/>
      <c r="AG312" s="62"/>
      <c r="AH312" s="337"/>
      <c r="AI312" s="337"/>
      <c r="AJ312" s="337"/>
      <c r="AK312" s="337"/>
      <c r="AL312" s="414"/>
      <c r="AM312" s="414"/>
      <c r="AN312" s="45"/>
      <c r="AO312" s="45"/>
      <c r="AP312" s="45"/>
      <c r="AQ312" s="396">
        <f>AL312/BI312</f>
        <v>0</v>
      </c>
      <c r="AR312" s="100">
        <f>BL312/BI312</f>
        <v>0</v>
      </c>
      <c r="AS312" s="485"/>
      <c r="AT312" s="24"/>
      <c r="AU312" s="24"/>
      <c r="AV312" s="24"/>
      <c r="AW312" s="18">
        <v>23</v>
      </c>
      <c r="AX312" s="69" t="s">
        <v>356</v>
      </c>
      <c r="AY312" s="243" t="s">
        <v>31</v>
      </c>
      <c r="AZ312" s="243" t="str">
        <f t="shared" si="105"/>
        <v>Chum</v>
      </c>
      <c r="BA312" s="243" t="s">
        <v>419</v>
      </c>
      <c r="BB312" s="246"/>
      <c r="BC312" s="43" t="str">
        <f t="shared" si="106"/>
        <v>-</v>
      </c>
      <c r="BD312" s="43">
        <f t="shared" si="132"/>
        <v>0</v>
      </c>
      <c r="BE312" s="193">
        <f t="shared" si="128"/>
        <v>0</v>
      </c>
      <c r="BF312" s="193">
        <f t="shared" si="109"/>
        <v>0</v>
      </c>
      <c r="BG312" s="193">
        <f t="shared" si="110"/>
        <v>0</v>
      </c>
      <c r="BH312" s="307">
        <f t="shared" si="137"/>
        <v>0</v>
      </c>
      <c r="BI312" s="265">
        <f t="shared" si="133"/>
        <v>40</v>
      </c>
      <c r="BJ312" s="26" t="str">
        <f t="shared" si="112"/>
        <v>KITSUCKSUS CREEKChum</v>
      </c>
      <c r="BK312" s="26">
        <f t="shared" si="113"/>
        <v>0</v>
      </c>
      <c r="BL312" s="33">
        <f t="shared" si="135"/>
        <v>0</v>
      </c>
      <c r="BQ312" s="47" t="str">
        <f t="shared" si="114"/>
        <v>KITSUCKSUS CREEKChum</v>
      </c>
      <c r="BR312" s="49">
        <f t="shared" si="115"/>
        <v>0</v>
      </c>
      <c r="BS312" s="49">
        <f t="shared" si="116"/>
        <v>0</v>
      </c>
      <c r="BT312" s="31">
        <v>2012</v>
      </c>
      <c r="BU312" s="188">
        <f t="shared" si="117"/>
        <v>0</v>
      </c>
      <c r="BV312" s="188" t="str">
        <f t="shared" si="118"/>
        <v xml:space="preserve"> </v>
      </c>
      <c r="BW312" s="188" t="str">
        <f t="shared" si="119"/>
        <v xml:space="preserve"> </v>
      </c>
      <c r="BX312" s="188" t="str">
        <f t="shared" si="120"/>
        <v xml:space="preserve"> </v>
      </c>
      <c r="BY312" s="50" t="str">
        <f t="shared" si="121"/>
        <v>KITSUCKSUS CREEK_Chum</v>
      </c>
      <c r="BZ312" s="50" t="str">
        <f>IFERROR(VLOOKUP(BY312,'[1]WCVI Esc'!$C$5:$W$555,18,FALSE),"-")</f>
        <v>-</v>
      </c>
      <c r="CA312" s="50" t="str">
        <f t="shared" si="122"/>
        <v>-</v>
      </c>
      <c r="CB312" s="50">
        <f>IFERROR(VLOOKUP(BY312,'[1]WCVI Esc'!$C$5:$W$555,19,FALSE),"-")</f>
        <v>42</v>
      </c>
      <c r="CC312" s="50">
        <f t="shared" si="123"/>
        <v>40</v>
      </c>
      <c r="CE312" s="342" t="str">
        <f t="shared" si="136"/>
        <v>KITSUCKSUS CREEK_Chum</v>
      </c>
      <c r="CF312" s="341">
        <f>IFERROR(VLOOKUP(BY312,'RawPL+D'!$O$8:$AB$503,12,FALSE),"-")</f>
        <v>0</v>
      </c>
      <c r="CG312" s="338">
        <f t="shared" si="125"/>
        <v>0</v>
      </c>
      <c r="CH312" s="341">
        <f>IFERROR(VLOOKUP(BY312,'RawPL+D'!$O$8:$AB$503,13,FALSE),"-")</f>
        <v>0</v>
      </c>
      <c r="CI312" s="338">
        <f t="shared" si="126"/>
        <v>0</v>
      </c>
    </row>
    <row r="313" spans="1:87" ht="12.75" hidden="1" customHeight="1" x14ac:dyDescent="0.2">
      <c r="A313" s="28">
        <v>3</v>
      </c>
      <c r="B313" s="28">
        <v>5</v>
      </c>
      <c r="C313" s="11">
        <v>23</v>
      </c>
      <c r="D313" s="148" t="s">
        <v>356</v>
      </c>
      <c r="E313" s="10" t="s">
        <v>31</v>
      </c>
      <c r="F313" s="10" t="s">
        <v>210</v>
      </c>
      <c r="G313" s="10"/>
      <c r="H313" s="10"/>
      <c r="I313" s="10"/>
      <c r="J313" s="10"/>
      <c r="K313" s="575"/>
      <c r="L313" s="152"/>
      <c r="M313" s="164"/>
      <c r="N313" s="62"/>
      <c r="O313" s="62"/>
      <c r="P313" s="177"/>
      <c r="Q313" s="171"/>
      <c r="R313" s="62"/>
      <c r="S313" s="62"/>
      <c r="T313" s="62"/>
      <c r="U313" s="64"/>
      <c r="V313" s="164"/>
      <c r="W313" s="62"/>
      <c r="X313" s="62"/>
      <c r="Y313" s="62"/>
      <c r="Z313" s="64"/>
      <c r="AA313" s="164"/>
      <c r="AB313" s="62"/>
      <c r="AC313" s="62"/>
      <c r="AD313" s="64"/>
      <c r="AE313" s="164"/>
      <c r="AF313" s="62"/>
      <c r="AG313" s="62"/>
      <c r="AH313" s="337"/>
      <c r="AI313" s="337"/>
      <c r="AJ313" s="337"/>
      <c r="AK313" s="337"/>
      <c r="AL313" s="414"/>
      <c r="AM313" s="414"/>
      <c r="AN313" s="45"/>
      <c r="AO313" s="45"/>
      <c r="AP313" s="45"/>
      <c r="AQ313" s="396"/>
      <c r="AR313" s="100"/>
      <c r="AS313" s="485"/>
      <c r="AT313" s="24"/>
      <c r="AU313" s="24"/>
      <c r="AV313" s="24"/>
      <c r="AW313" s="18">
        <v>23</v>
      </c>
      <c r="AX313" s="69" t="s">
        <v>356</v>
      </c>
      <c r="AY313" s="243" t="s">
        <v>31</v>
      </c>
      <c r="AZ313" s="243" t="str">
        <f t="shared" si="105"/>
        <v>Chinook</v>
      </c>
      <c r="BA313" s="243" t="s">
        <v>419</v>
      </c>
      <c r="BB313" s="246"/>
      <c r="BC313" s="43" t="str">
        <f t="shared" si="106"/>
        <v>-</v>
      </c>
      <c r="BD313" s="43">
        <f t="shared" si="132"/>
        <v>0</v>
      </c>
      <c r="BE313" s="193">
        <f t="shared" si="128"/>
        <v>0</v>
      </c>
      <c r="BF313" s="193">
        <f t="shared" si="109"/>
        <v>0</v>
      </c>
      <c r="BG313" s="193">
        <f t="shared" si="110"/>
        <v>0</v>
      </c>
      <c r="BH313" s="307" t="str">
        <f t="shared" si="137"/>
        <v>-</v>
      </c>
      <c r="BI313" s="265" t="str">
        <f t="shared" si="133"/>
        <v>-</v>
      </c>
      <c r="BJ313" s="26" t="str">
        <f t="shared" si="112"/>
        <v>KITSUCKSUS CREEKChinook</v>
      </c>
      <c r="BK313" s="26">
        <f t="shared" si="113"/>
        <v>0</v>
      </c>
      <c r="BL313" s="33">
        <f t="shared" si="135"/>
        <v>0</v>
      </c>
      <c r="BQ313" s="47" t="str">
        <f t="shared" si="114"/>
        <v>KITSUCKSUS CREEKChinook</v>
      </c>
      <c r="BR313" s="49">
        <f t="shared" si="115"/>
        <v>0</v>
      </c>
      <c r="BS313" s="49">
        <f t="shared" si="116"/>
        <v>0</v>
      </c>
      <c r="BT313" s="31">
        <v>0</v>
      </c>
      <c r="BU313" s="188">
        <f t="shared" si="117"/>
        <v>0</v>
      </c>
      <c r="BV313" s="188" t="str">
        <f t="shared" si="118"/>
        <v xml:space="preserve"> </v>
      </c>
      <c r="BW313" s="188" t="str">
        <f t="shared" si="119"/>
        <v xml:space="preserve"> </v>
      </c>
      <c r="BX313" s="188" t="str">
        <f t="shared" si="120"/>
        <v xml:space="preserve"> </v>
      </c>
      <c r="BY313" s="50" t="str">
        <f t="shared" si="121"/>
        <v>KITSUCKSUS CREEK_Chinook</v>
      </c>
      <c r="BZ313" s="50" t="str">
        <f>IFERROR(VLOOKUP(BY313,'[1]WCVI Esc'!$C$5:$W$555,18,FALSE),"-")</f>
        <v>-</v>
      </c>
      <c r="CA313" s="50" t="str">
        <f t="shared" si="122"/>
        <v>-</v>
      </c>
      <c r="CB313" s="50" t="str">
        <f>IFERROR(VLOOKUP(BY313,'[1]WCVI Esc'!$C$5:$W$555,19,FALSE),"-")</f>
        <v>-</v>
      </c>
      <c r="CC313" s="50" t="str">
        <f t="shared" si="123"/>
        <v>-</v>
      </c>
      <c r="CE313" s="342" t="str">
        <f t="shared" si="136"/>
        <v>KITSUCKSUS CREEK_Chinook</v>
      </c>
      <c r="CF313" s="341" t="str">
        <f>IFERROR(VLOOKUP(BY313,'RawPL+D'!$O$8:$AB$503,12,FALSE),"-")</f>
        <v>-</v>
      </c>
      <c r="CG313" s="338" t="str">
        <f t="shared" si="125"/>
        <v>-</v>
      </c>
      <c r="CH313" s="341" t="str">
        <f>IFERROR(VLOOKUP(BY313,'RawPL+D'!$O$8:$AB$503,13,FALSE),"-")</f>
        <v>-</v>
      </c>
      <c r="CI313" s="338" t="str">
        <f t="shared" si="126"/>
        <v>-</v>
      </c>
    </row>
    <row r="314" spans="1:87" ht="12.75" hidden="1" customHeight="1" x14ac:dyDescent="0.2">
      <c r="A314" s="28">
        <v>3</v>
      </c>
      <c r="B314" s="28">
        <v>6</v>
      </c>
      <c r="C314" s="11">
        <v>23</v>
      </c>
      <c r="D314" s="148" t="s">
        <v>356</v>
      </c>
      <c r="E314" s="10" t="s">
        <v>31</v>
      </c>
      <c r="F314" s="10" t="s">
        <v>211</v>
      </c>
      <c r="G314" s="10"/>
      <c r="H314" s="10"/>
      <c r="I314" s="10"/>
      <c r="J314" s="10"/>
      <c r="K314" s="575"/>
      <c r="L314" s="152"/>
      <c r="M314" s="164"/>
      <c r="N314" s="62"/>
      <c r="O314" s="62"/>
      <c r="P314" s="177"/>
      <c r="Q314" s="171"/>
      <c r="R314" s="62"/>
      <c r="S314" s="62"/>
      <c r="T314" s="62"/>
      <c r="U314" s="64"/>
      <c r="V314" s="164"/>
      <c r="W314" s="62"/>
      <c r="X314" s="62"/>
      <c r="Y314" s="62"/>
      <c r="Z314" s="64"/>
      <c r="AA314" s="164"/>
      <c r="AB314" s="62"/>
      <c r="AC314" s="62"/>
      <c r="AD314" s="64"/>
      <c r="AE314" s="164"/>
      <c r="AF314" s="62"/>
      <c r="AG314" s="62"/>
      <c r="AH314" s="337"/>
      <c r="AI314" s="337"/>
      <c r="AJ314" s="337"/>
      <c r="AK314" s="337"/>
      <c r="AL314" s="414"/>
      <c r="AM314" s="414"/>
      <c r="AN314" s="45"/>
      <c r="AO314" s="45"/>
      <c r="AP314" s="45"/>
      <c r="AQ314" s="396"/>
      <c r="AR314" s="100"/>
      <c r="AS314" s="485"/>
      <c r="AT314" s="24"/>
      <c r="AU314" s="24"/>
      <c r="AV314" s="24"/>
      <c r="AW314" s="18">
        <v>23</v>
      </c>
      <c r="AX314" s="69" t="s">
        <v>356</v>
      </c>
      <c r="AY314" s="243" t="s">
        <v>31</v>
      </c>
      <c r="AZ314" s="243" t="str">
        <f t="shared" si="105"/>
        <v>Steelhead</v>
      </c>
      <c r="BA314" s="243" t="s">
        <v>419</v>
      </c>
      <c r="BB314" s="246"/>
      <c r="BC314" s="43" t="str">
        <f t="shared" si="106"/>
        <v>-</v>
      </c>
      <c r="BD314" s="43">
        <f t="shared" si="132"/>
        <v>0</v>
      </c>
      <c r="BE314" s="193">
        <f t="shared" si="128"/>
        <v>0</v>
      </c>
      <c r="BF314" s="193">
        <f t="shared" si="109"/>
        <v>0</v>
      </c>
      <c r="BG314" s="193">
        <f t="shared" si="110"/>
        <v>0</v>
      </c>
      <c r="BH314" s="307" t="str">
        <f t="shared" si="137"/>
        <v>-</v>
      </c>
      <c r="BI314" s="265" t="str">
        <f t="shared" si="133"/>
        <v>-</v>
      </c>
      <c r="BJ314" s="26" t="str">
        <f t="shared" si="112"/>
        <v>KITSUCKSUS CREEKSteelhead</v>
      </c>
      <c r="BK314" s="26">
        <f t="shared" si="113"/>
        <v>0</v>
      </c>
      <c r="BL314" s="33">
        <f t="shared" si="135"/>
        <v>0</v>
      </c>
      <c r="BQ314" s="47" t="str">
        <f t="shared" si="114"/>
        <v>KITSUCKSUS CREEKSteelhead</v>
      </c>
      <c r="BR314" s="49">
        <f t="shared" si="115"/>
        <v>0</v>
      </c>
      <c r="BS314" s="49">
        <f t="shared" si="116"/>
        <v>0</v>
      </c>
      <c r="BT314" s="31">
        <v>0</v>
      </c>
      <c r="BU314" s="188">
        <f t="shared" si="117"/>
        <v>0</v>
      </c>
      <c r="BV314" s="188" t="str">
        <f t="shared" si="118"/>
        <v xml:space="preserve"> </v>
      </c>
      <c r="BW314" s="188" t="str">
        <f t="shared" si="119"/>
        <v xml:space="preserve"> </v>
      </c>
      <c r="BX314" s="188" t="str">
        <f t="shared" si="120"/>
        <v xml:space="preserve"> </v>
      </c>
      <c r="BY314" s="50" t="str">
        <f t="shared" si="121"/>
        <v>KITSUCKSUS CREEK_Steelhead</v>
      </c>
      <c r="BZ314" s="50" t="str">
        <f>IFERROR(VLOOKUP(BY314,'[1]WCVI Esc'!$C$5:$W$555,18,FALSE),"-")</f>
        <v>-</v>
      </c>
      <c r="CA314" s="50" t="str">
        <f t="shared" si="122"/>
        <v>-</v>
      </c>
      <c r="CB314" s="50" t="str">
        <f>IFERROR(VLOOKUP(BY314,'[1]WCVI Esc'!$C$5:$W$555,19,FALSE),"-")</f>
        <v>-</v>
      </c>
      <c r="CC314" s="50" t="str">
        <f t="shared" si="123"/>
        <v>-</v>
      </c>
      <c r="CE314" s="342" t="str">
        <f t="shared" si="136"/>
        <v>KITSUCKSUS CREEK_Steelhead</v>
      </c>
      <c r="CF314" s="341" t="str">
        <f>IFERROR(VLOOKUP(BY314,'RawPL+D'!$O$8:$AB$503,12,FALSE),"-")</f>
        <v>-</v>
      </c>
      <c r="CG314" s="338" t="str">
        <f t="shared" si="125"/>
        <v>-</v>
      </c>
      <c r="CH314" s="341" t="str">
        <f>IFERROR(VLOOKUP(BY314,'RawPL+D'!$O$8:$AB$503,13,FALSE),"-")</f>
        <v>-</v>
      </c>
      <c r="CI314" s="338" t="str">
        <f t="shared" si="126"/>
        <v>-</v>
      </c>
    </row>
    <row r="315" spans="1:87" ht="12.75" hidden="1" customHeight="1" x14ac:dyDescent="0.2">
      <c r="A315" s="28">
        <v>3</v>
      </c>
      <c r="B315" s="28">
        <v>1</v>
      </c>
      <c r="C315" s="11">
        <v>23</v>
      </c>
      <c r="D315" s="148" t="s">
        <v>356</v>
      </c>
      <c r="E315" s="10" t="s">
        <v>99</v>
      </c>
      <c r="F315" s="10" t="s">
        <v>207</v>
      </c>
      <c r="G315" s="10"/>
      <c r="H315" s="10"/>
      <c r="I315" s="10"/>
      <c r="J315" s="10"/>
      <c r="K315" s="575"/>
      <c r="L315" s="152"/>
      <c r="M315" s="422"/>
      <c r="N315" s="339"/>
      <c r="O315" s="62"/>
      <c r="P315" s="424"/>
      <c r="Q315" s="171"/>
      <c r="R315" s="339"/>
      <c r="S315" s="339"/>
      <c r="T315" s="63"/>
      <c r="U315" s="64"/>
      <c r="V315" s="164"/>
      <c r="W315" s="62"/>
      <c r="X315" s="63"/>
      <c r="Y315" s="62"/>
      <c r="Z315" s="64"/>
      <c r="AA315" s="164"/>
      <c r="AB315" s="62"/>
      <c r="AC315" s="62"/>
      <c r="AD315" s="64"/>
      <c r="AE315" s="164"/>
      <c r="AF315" s="62"/>
      <c r="AG315" s="62"/>
      <c r="AH315" s="337"/>
      <c r="AI315" s="337"/>
      <c r="AJ315" s="337"/>
      <c r="AK315" s="337"/>
      <c r="AL315" s="414"/>
      <c r="AM315" s="414"/>
      <c r="AN315" s="45"/>
      <c r="AO315" s="45"/>
      <c r="AP315" s="44"/>
      <c r="AQ315" s="396"/>
      <c r="AR315" s="100"/>
      <c r="AS315" s="485"/>
      <c r="AT315" s="679"/>
      <c r="AU315" s="679"/>
      <c r="AV315" s="679"/>
      <c r="AW315" s="18">
        <v>23</v>
      </c>
      <c r="AX315" s="69" t="s">
        <v>356</v>
      </c>
      <c r="AY315" s="243" t="s">
        <v>99</v>
      </c>
      <c r="AZ315" s="243" t="str">
        <f t="shared" si="105"/>
        <v>Sockeye</v>
      </c>
      <c r="BA315" s="243" t="s">
        <v>419</v>
      </c>
      <c r="BB315" s="246"/>
      <c r="BC315" s="43" t="str">
        <f t="shared" si="106"/>
        <v>-</v>
      </c>
      <c r="BD315" s="43">
        <f t="shared" si="132"/>
        <v>0</v>
      </c>
      <c r="BE315" s="193">
        <f t="shared" si="128"/>
        <v>0</v>
      </c>
      <c r="BF315" s="193">
        <f t="shared" si="109"/>
        <v>0</v>
      </c>
      <c r="BG315" s="193">
        <f t="shared" si="110"/>
        <v>0</v>
      </c>
      <c r="BH315" s="307" t="str">
        <f t="shared" si="137"/>
        <v>-</v>
      </c>
      <c r="BI315" s="265" t="str">
        <f t="shared" si="133"/>
        <v>-</v>
      </c>
      <c r="BJ315" s="26" t="str">
        <f t="shared" si="112"/>
        <v>MACKTUSH CREEKSockeye</v>
      </c>
      <c r="BK315" s="26">
        <f t="shared" si="113"/>
        <v>0</v>
      </c>
      <c r="BL315" s="33">
        <f t="shared" si="135"/>
        <v>0</v>
      </c>
      <c r="BQ315" s="47" t="str">
        <f t="shared" si="114"/>
        <v>MACKTUSH CREEKSockeye</v>
      </c>
      <c r="BR315" s="49">
        <f t="shared" si="115"/>
        <v>0</v>
      </c>
      <c r="BS315" s="49">
        <f t="shared" si="116"/>
        <v>0</v>
      </c>
      <c r="BT315" s="31">
        <v>0</v>
      </c>
      <c r="BU315" s="188">
        <f t="shared" si="117"/>
        <v>0</v>
      </c>
      <c r="BV315" s="188" t="str">
        <f t="shared" si="118"/>
        <v xml:space="preserve"> </v>
      </c>
      <c r="BW315" s="188" t="str">
        <f t="shared" si="119"/>
        <v xml:space="preserve"> </v>
      </c>
      <c r="BX315" s="188" t="str">
        <f t="shared" si="120"/>
        <v xml:space="preserve"> </v>
      </c>
      <c r="BY315" s="50" t="str">
        <f t="shared" si="121"/>
        <v>MACKTUSH CREEK_Sockeye</v>
      </c>
      <c r="BZ315" s="50" t="str">
        <f>IFERROR(VLOOKUP(BY315,'[1]WCVI Esc'!$C$5:$W$555,18,FALSE),"-")</f>
        <v>-</v>
      </c>
      <c r="CA315" s="50" t="str">
        <f t="shared" si="122"/>
        <v>-</v>
      </c>
      <c r="CB315" s="50" t="str">
        <f>IFERROR(VLOOKUP(BY315,'[1]WCVI Esc'!$C$5:$W$555,19,FALSE),"-")</f>
        <v>-</v>
      </c>
      <c r="CC315" s="50" t="str">
        <f t="shared" si="123"/>
        <v>-</v>
      </c>
      <c r="CE315" s="342" t="str">
        <f t="shared" si="136"/>
        <v>MACKTUSH CREEK_Sockeye</v>
      </c>
      <c r="CF315" s="341" t="str">
        <f>IFERROR(VLOOKUP(BY315,'RawPL+D'!$O$8:$AB$503,12,FALSE),"-")</f>
        <v>-</v>
      </c>
      <c r="CG315" s="338" t="str">
        <f t="shared" si="125"/>
        <v>-</v>
      </c>
      <c r="CH315" s="341" t="str">
        <f>IFERROR(VLOOKUP(BY315,'RawPL+D'!$O$8:$AB$503,13,FALSE),"-")</f>
        <v>-</v>
      </c>
      <c r="CI315" s="338" t="str">
        <f t="shared" si="126"/>
        <v>-</v>
      </c>
    </row>
    <row r="316" spans="1:87" ht="12.75" hidden="1" customHeight="1" x14ac:dyDescent="0.2">
      <c r="A316" s="28">
        <v>3</v>
      </c>
      <c r="B316" s="28">
        <v>2</v>
      </c>
      <c r="C316" s="11">
        <v>23</v>
      </c>
      <c r="D316" s="148" t="s">
        <v>356</v>
      </c>
      <c r="E316" s="10" t="s">
        <v>99</v>
      </c>
      <c r="F316" s="10" t="s">
        <v>219</v>
      </c>
      <c r="G316" s="10"/>
      <c r="H316" s="10"/>
      <c r="I316" s="10"/>
      <c r="J316" s="10"/>
      <c r="K316" s="575"/>
      <c r="L316" s="152"/>
      <c r="M316" s="422"/>
      <c r="N316" s="339"/>
      <c r="O316" s="62"/>
      <c r="P316" s="424"/>
      <c r="Q316" s="171"/>
      <c r="R316" s="339"/>
      <c r="S316" s="339"/>
      <c r="T316" s="63"/>
      <c r="U316" s="64"/>
      <c r="V316" s="164"/>
      <c r="W316" s="62"/>
      <c r="X316" s="63"/>
      <c r="Y316" s="62"/>
      <c r="Z316" s="64"/>
      <c r="AA316" s="164"/>
      <c r="AB316" s="62"/>
      <c r="AC316" s="62"/>
      <c r="AD316" s="64"/>
      <c r="AE316" s="164"/>
      <c r="AF316" s="62"/>
      <c r="AG316" s="62"/>
      <c r="AH316" s="337"/>
      <c r="AI316" s="337"/>
      <c r="AJ316" s="337"/>
      <c r="AK316" s="337"/>
      <c r="AL316" s="414"/>
      <c r="AM316" s="414"/>
      <c r="AN316" s="45"/>
      <c r="AO316" s="45"/>
      <c r="AP316" s="44"/>
      <c r="AQ316" s="396"/>
      <c r="AR316" s="100"/>
      <c r="AS316" s="485"/>
      <c r="AT316" s="679"/>
      <c r="AU316" s="679"/>
      <c r="AV316" s="679"/>
      <c r="AW316" s="18">
        <v>23</v>
      </c>
      <c r="AX316" s="69" t="s">
        <v>356</v>
      </c>
      <c r="AY316" s="243" t="s">
        <v>99</v>
      </c>
      <c r="AZ316" s="243" t="str">
        <f t="shared" si="105"/>
        <v>Coho</v>
      </c>
      <c r="BA316" s="243" t="s">
        <v>419</v>
      </c>
      <c r="BB316" s="246"/>
      <c r="BC316" s="43" t="str">
        <f t="shared" si="106"/>
        <v>-</v>
      </c>
      <c r="BD316" s="43">
        <f t="shared" si="132"/>
        <v>0</v>
      </c>
      <c r="BE316" s="193">
        <f t="shared" si="128"/>
        <v>0</v>
      </c>
      <c r="BF316" s="193">
        <f t="shared" si="109"/>
        <v>0</v>
      </c>
      <c r="BG316" s="193">
        <f t="shared" si="110"/>
        <v>0</v>
      </c>
      <c r="BH316" s="307">
        <f t="shared" si="137"/>
        <v>0</v>
      </c>
      <c r="BI316" s="265" t="str">
        <f t="shared" si="133"/>
        <v>-</v>
      </c>
      <c r="BJ316" s="26" t="str">
        <f t="shared" si="112"/>
        <v>MACKTUSH CREEKCoho</v>
      </c>
      <c r="BK316" s="26">
        <f t="shared" si="113"/>
        <v>0</v>
      </c>
      <c r="BL316" s="33">
        <f t="shared" si="135"/>
        <v>0</v>
      </c>
      <c r="BQ316" s="47" t="str">
        <f t="shared" si="114"/>
        <v>MACKTUSH CREEKCoho</v>
      </c>
      <c r="BR316" s="49">
        <f t="shared" si="115"/>
        <v>0</v>
      </c>
      <c r="BS316" s="49">
        <f t="shared" si="116"/>
        <v>0</v>
      </c>
      <c r="BT316" s="31">
        <v>2004</v>
      </c>
      <c r="BU316" s="188">
        <f t="shared" si="117"/>
        <v>0</v>
      </c>
      <c r="BV316" s="188" t="str">
        <f t="shared" si="118"/>
        <v xml:space="preserve"> </v>
      </c>
      <c r="BW316" s="188" t="str">
        <f t="shared" si="119"/>
        <v xml:space="preserve"> </v>
      </c>
      <c r="BX316" s="188" t="str">
        <f t="shared" si="120"/>
        <v xml:space="preserve"> </v>
      </c>
      <c r="BY316" s="50" t="str">
        <f t="shared" si="121"/>
        <v>MACKTUSH CREEK_Coho</v>
      </c>
      <c r="BZ316" s="50" t="str">
        <f>IFERROR(VLOOKUP(BY316,'[1]WCVI Esc'!$C$5:$W$555,18,FALSE),"-")</f>
        <v>-</v>
      </c>
      <c r="CA316" s="50" t="str">
        <f t="shared" si="122"/>
        <v>-</v>
      </c>
      <c r="CB316" s="50" t="str">
        <f>IFERROR(VLOOKUP(BY316,'[1]WCVI Esc'!$C$5:$W$555,19,FALSE),"-")</f>
        <v>-</v>
      </c>
      <c r="CC316" s="50" t="str">
        <f t="shared" si="123"/>
        <v>-</v>
      </c>
      <c r="CE316" s="342" t="str">
        <f t="shared" si="136"/>
        <v>MACKTUSH CREEK_Coho</v>
      </c>
      <c r="CF316" s="341">
        <f>IFERROR(VLOOKUP(BY316,'RawPL+D'!$O$8:$AB$503,12,FALSE),"-")</f>
        <v>0</v>
      </c>
      <c r="CG316" s="338">
        <f t="shared" si="125"/>
        <v>0</v>
      </c>
      <c r="CH316" s="341">
        <f>IFERROR(VLOOKUP(BY316,'RawPL+D'!$O$8:$AB$503,13,FALSE),"-")</f>
        <v>0</v>
      </c>
      <c r="CI316" s="338">
        <f t="shared" si="126"/>
        <v>0</v>
      </c>
    </row>
    <row r="317" spans="1:87" ht="12.75" hidden="1" customHeight="1" x14ac:dyDescent="0.2">
      <c r="A317" s="28">
        <v>3</v>
      </c>
      <c r="B317" s="28">
        <v>3</v>
      </c>
      <c r="C317" s="11">
        <v>23</v>
      </c>
      <c r="D317" s="148" t="s">
        <v>356</v>
      </c>
      <c r="E317" s="10" t="s">
        <v>99</v>
      </c>
      <c r="F317" s="10" t="s">
        <v>208</v>
      </c>
      <c r="G317" s="10"/>
      <c r="H317" s="10"/>
      <c r="I317" s="10"/>
      <c r="J317" s="10"/>
      <c r="K317" s="575"/>
      <c r="L317" s="152"/>
      <c r="M317" s="422"/>
      <c r="N317" s="339"/>
      <c r="O317" s="62"/>
      <c r="P317" s="424"/>
      <c r="Q317" s="171"/>
      <c r="R317" s="339"/>
      <c r="S317" s="339"/>
      <c r="T317" s="63"/>
      <c r="U317" s="64"/>
      <c r="V317" s="164"/>
      <c r="W317" s="62"/>
      <c r="X317" s="63"/>
      <c r="Y317" s="62"/>
      <c r="Z317" s="64"/>
      <c r="AA317" s="164"/>
      <c r="AB317" s="62"/>
      <c r="AC317" s="62"/>
      <c r="AD317" s="64"/>
      <c r="AE317" s="164"/>
      <c r="AF317" s="62"/>
      <c r="AG317" s="62"/>
      <c r="AH317" s="337"/>
      <c r="AI317" s="337"/>
      <c r="AJ317" s="337"/>
      <c r="AK317" s="337"/>
      <c r="AL317" s="414"/>
      <c r="AM317" s="414"/>
      <c r="AN317" s="45"/>
      <c r="AO317" s="45"/>
      <c r="AP317" s="44"/>
      <c r="AQ317" s="396"/>
      <c r="AR317" s="100"/>
      <c r="AS317" s="485"/>
      <c r="AT317" s="679"/>
      <c r="AU317" s="679"/>
      <c r="AV317" s="679"/>
      <c r="AW317" s="18">
        <v>23</v>
      </c>
      <c r="AX317" s="69" t="s">
        <v>356</v>
      </c>
      <c r="AY317" s="243" t="s">
        <v>99</v>
      </c>
      <c r="AZ317" s="243" t="str">
        <f t="shared" si="105"/>
        <v>Pink</v>
      </c>
      <c r="BA317" s="243" t="s">
        <v>419</v>
      </c>
      <c r="BB317" s="246"/>
      <c r="BC317" s="43" t="str">
        <f t="shared" si="106"/>
        <v>-</v>
      </c>
      <c r="BD317" s="43">
        <f t="shared" si="132"/>
        <v>0</v>
      </c>
      <c r="BE317" s="193">
        <f t="shared" si="128"/>
        <v>0</v>
      </c>
      <c r="BF317" s="193">
        <f t="shared" si="109"/>
        <v>0</v>
      </c>
      <c r="BG317" s="193">
        <f t="shared" si="110"/>
        <v>0</v>
      </c>
      <c r="BH317" s="307" t="str">
        <f t="shared" si="137"/>
        <v>-</v>
      </c>
      <c r="BI317" s="265" t="str">
        <f t="shared" si="133"/>
        <v>-</v>
      </c>
      <c r="BJ317" s="26" t="str">
        <f t="shared" si="112"/>
        <v>MACKTUSH CREEKPink</v>
      </c>
      <c r="BK317" s="26">
        <f t="shared" si="113"/>
        <v>0</v>
      </c>
      <c r="BL317" s="33">
        <f t="shared" si="135"/>
        <v>0</v>
      </c>
      <c r="BQ317" s="47" t="str">
        <f t="shared" si="114"/>
        <v>MACKTUSH CREEKPink</v>
      </c>
      <c r="BR317" s="49">
        <f t="shared" si="115"/>
        <v>0</v>
      </c>
      <c r="BS317" s="49">
        <f t="shared" si="116"/>
        <v>0</v>
      </c>
      <c r="BT317" s="31">
        <v>0</v>
      </c>
      <c r="BU317" s="188">
        <f t="shared" si="117"/>
        <v>0</v>
      </c>
      <c r="BV317" s="188" t="str">
        <f t="shared" si="118"/>
        <v xml:space="preserve"> </v>
      </c>
      <c r="BW317" s="188" t="str">
        <f t="shared" si="119"/>
        <v xml:space="preserve"> </v>
      </c>
      <c r="BX317" s="188" t="str">
        <f t="shared" si="120"/>
        <v xml:space="preserve"> </v>
      </c>
      <c r="BY317" s="50" t="str">
        <f t="shared" si="121"/>
        <v>MACKTUSH CREEK_Pink</v>
      </c>
      <c r="BZ317" s="50" t="str">
        <f>IFERROR(VLOOKUP(BY317,'[1]WCVI Esc'!$C$5:$W$555,18,FALSE),"-")</f>
        <v>-</v>
      </c>
      <c r="CA317" s="50" t="str">
        <f t="shared" si="122"/>
        <v>-</v>
      </c>
      <c r="CB317" s="50" t="str">
        <f>IFERROR(VLOOKUP(BY317,'[1]WCVI Esc'!$C$5:$W$555,19,FALSE),"-")</f>
        <v>-</v>
      </c>
      <c r="CC317" s="50" t="str">
        <f t="shared" si="123"/>
        <v>-</v>
      </c>
      <c r="CE317" s="342" t="str">
        <f t="shared" si="136"/>
        <v>MACKTUSH CREEK_Pink</v>
      </c>
      <c r="CF317" s="341" t="str">
        <f>IFERROR(VLOOKUP(BY317,'RawPL+D'!$O$8:$AB$503,12,FALSE),"-")</f>
        <v>-</v>
      </c>
      <c r="CG317" s="338" t="str">
        <f t="shared" si="125"/>
        <v>-</v>
      </c>
      <c r="CH317" s="341" t="str">
        <f>IFERROR(VLOOKUP(BY317,'RawPL+D'!$O$8:$AB$503,13,FALSE),"-")</f>
        <v>-</v>
      </c>
      <c r="CI317" s="338" t="str">
        <f t="shared" si="126"/>
        <v>-</v>
      </c>
    </row>
    <row r="318" spans="1:87" ht="12.75" hidden="1" customHeight="1" x14ac:dyDescent="0.2">
      <c r="A318" s="28">
        <v>3</v>
      </c>
      <c r="B318" s="28">
        <v>4</v>
      </c>
      <c r="C318" s="11">
        <v>23</v>
      </c>
      <c r="D318" s="148" t="s">
        <v>356</v>
      </c>
      <c r="E318" s="10" t="s">
        <v>99</v>
      </c>
      <c r="F318" s="10" t="s">
        <v>209</v>
      </c>
      <c r="G318" s="10"/>
      <c r="H318" s="10"/>
      <c r="I318" s="10"/>
      <c r="J318" s="10"/>
      <c r="K318" s="575"/>
      <c r="L318" s="152"/>
      <c r="M318" s="422"/>
      <c r="N318" s="339"/>
      <c r="O318" s="62"/>
      <c r="P318" s="424"/>
      <c r="Q318" s="171"/>
      <c r="R318" s="339"/>
      <c r="S318" s="339"/>
      <c r="T318" s="63"/>
      <c r="U318" s="64"/>
      <c r="V318" s="164"/>
      <c r="W318" s="62"/>
      <c r="X318" s="63"/>
      <c r="Y318" s="62"/>
      <c r="Z318" s="64"/>
      <c r="AA318" s="164"/>
      <c r="AB318" s="62"/>
      <c r="AC318" s="62"/>
      <c r="AD318" s="64"/>
      <c r="AE318" s="164"/>
      <c r="AF318" s="62"/>
      <c r="AG318" s="62"/>
      <c r="AH318" s="337"/>
      <c r="AI318" s="337"/>
      <c r="AJ318" s="337"/>
      <c r="AK318" s="337"/>
      <c r="AL318" s="414"/>
      <c r="AM318" s="414"/>
      <c r="AN318" s="45"/>
      <c r="AO318" s="45"/>
      <c r="AP318" s="44"/>
      <c r="AQ318" s="396">
        <f>AL318/BI318</f>
        <v>0</v>
      </c>
      <c r="AR318" s="100">
        <f>BL318/BI318</f>
        <v>0</v>
      </c>
      <c r="AS318" s="485"/>
      <c r="AT318" s="123"/>
      <c r="AU318" s="123"/>
      <c r="AV318" s="123"/>
      <c r="AW318" s="18">
        <v>23</v>
      </c>
      <c r="AX318" s="69" t="s">
        <v>356</v>
      </c>
      <c r="AY318" s="243" t="s">
        <v>99</v>
      </c>
      <c r="AZ318" s="243" t="str">
        <f t="shared" si="105"/>
        <v>Chum</v>
      </c>
      <c r="BA318" s="243" t="s">
        <v>419</v>
      </c>
      <c r="BB318" s="246"/>
      <c r="BC318" s="43" t="str">
        <f t="shared" si="106"/>
        <v>-</v>
      </c>
      <c r="BD318" s="43">
        <f t="shared" si="132"/>
        <v>0</v>
      </c>
      <c r="BE318" s="193">
        <f t="shared" si="128"/>
        <v>0</v>
      </c>
      <c r="BF318" s="193">
        <f t="shared" si="109"/>
        <v>0</v>
      </c>
      <c r="BG318" s="193">
        <f t="shared" si="110"/>
        <v>0</v>
      </c>
      <c r="BH318" s="307">
        <f t="shared" si="137"/>
        <v>0</v>
      </c>
      <c r="BI318" s="265">
        <f t="shared" si="133"/>
        <v>940</v>
      </c>
      <c r="BJ318" s="26" t="str">
        <f t="shared" si="112"/>
        <v>MACKTUSH CREEKChum</v>
      </c>
      <c r="BK318" s="26">
        <f t="shared" si="113"/>
        <v>0</v>
      </c>
      <c r="BL318" s="33">
        <f t="shared" si="135"/>
        <v>0</v>
      </c>
      <c r="BQ318" s="47" t="str">
        <f t="shared" si="114"/>
        <v>MACKTUSH CREEKChum</v>
      </c>
      <c r="BR318" s="49">
        <f t="shared" si="115"/>
        <v>0</v>
      </c>
      <c r="BS318" s="49">
        <f t="shared" si="116"/>
        <v>0</v>
      </c>
      <c r="BT318" s="31">
        <v>2012</v>
      </c>
      <c r="BU318" s="188">
        <f t="shared" si="117"/>
        <v>0</v>
      </c>
      <c r="BV318" s="188" t="str">
        <f t="shared" si="118"/>
        <v xml:space="preserve"> </v>
      </c>
      <c r="BW318" s="188" t="str">
        <f t="shared" si="119"/>
        <v xml:space="preserve"> </v>
      </c>
      <c r="BX318" s="188" t="str">
        <f t="shared" si="120"/>
        <v xml:space="preserve"> </v>
      </c>
      <c r="BY318" s="50" t="str">
        <f t="shared" si="121"/>
        <v>MACKTUSH CREEK_Chum</v>
      </c>
      <c r="BZ318" s="50" t="str">
        <f>IFERROR(VLOOKUP(BY318,'[1]WCVI Esc'!$C$5:$W$555,18,FALSE),"-")</f>
        <v>-</v>
      </c>
      <c r="CA318" s="50" t="str">
        <f t="shared" si="122"/>
        <v>-</v>
      </c>
      <c r="CB318" s="50">
        <f>IFERROR(VLOOKUP(BY318,'[1]WCVI Esc'!$C$5:$W$555,19,FALSE),"-")</f>
        <v>935</v>
      </c>
      <c r="CC318" s="50">
        <f t="shared" si="123"/>
        <v>940</v>
      </c>
      <c r="CE318" s="342" t="str">
        <f t="shared" si="136"/>
        <v>MACKTUSH CREEK_Chum</v>
      </c>
      <c r="CF318" s="341">
        <f>IFERROR(VLOOKUP(BY318,'RawPL+D'!$O$8:$AB$503,12,FALSE),"-")</f>
        <v>0</v>
      </c>
      <c r="CG318" s="338">
        <f t="shared" si="125"/>
        <v>0</v>
      </c>
      <c r="CH318" s="341">
        <f>IFERROR(VLOOKUP(BY318,'RawPL+D'!$O$8:$AB$503,13,FALSE),"-")</f>
        <v>0</v>
      </c>
      <c r="CI318" s="338">
        <f t="shared" si="126"/>
        <v>0</v>
      </c>
    </row>
    <row r="319" spans="1:87" ht="12.75" hidden="1" customHeight="1" x14ac:dyDescent="0.2">
      <c r="A319" s="28">
        <v>3</v>
      </c>
      <c r="B319" s="28">
        <v>5</v>
      </c>
      <c r="C319" s="11">
        <v>23</v>
      </c>
      <c r="D319" s="148" t="s">
        <v>356</v>
      </c>
      <c r="E319" s="10" t="s">
        <v>99</v>
      </c>
      <c r="F319" s="10" t="s">
        <v>210</v>
      </c>
      <c r="G319" s="10"/>
      <c r="H319" s="10"/>
      <c r="I319" s="10"/>
      <c r="J319" s="10"/>
      <c r="K319" s="575"/>
      <c r="L319" s="152"/>
      <c r="M319" s="422"/>
      <c r="N319" s="339"/>
      <c r="O319" s="62"/>
      <c r="P319" s="424"/>
      <c r="Q319" s="171"/>
      <c r="R319" s="339"/>
      <c r="S319" s="339"/>
      <c r="T319" s="63"/>
      <c r="U319" s="64"/>
      <c r="V319" s="164"/>
      <c r="W319" s="62"/>
      <c r="X319" s="63"/>
      <c r="Y319" s="62"/>
      <c r="Z319" s="64"/>
      <c r="AA319" s="164"/>
      <c r="AB319" s="62"/>
      <c r="AC319" s="62"/>
      <c r="AD319" s="64"/>
      <c r="AE319" s="164"/>
      <c r="AF319" s="62"/>
      <c r="AG319" s="62"/>
      <c r="AH319" s="337"/>
      <c r="AI319" s="337"/>
      <c r="AJ319" s="337"/>
      <c r="AK319" s="337"/>
      <c r="AL319" s="414"/>
      <c r="AM319" s="414"/>
      <c r="AN319" s="45"/>
      <c r="AO319" s="45"/>
      <c r="AP319" s="44"/>
      <c r="AQ319" s="396"/>
      <c r="AR319"/>
      <c r="AS319" s="485"/>
      <c r="AT319" s="679"/>
      <c r="AU319" s="679"/>
      <c r="AV319" s="123">
        <f>AL319</f>
        <v>0</v>
      </c>
      <c r="AW319" s="18">
        <v>23</v>
      </c>
      <c r="AX319" s="69" t="s">
        <v>356</v>
      </c>
      <c r="AY319" s="243" t="s">
        <v>99</v>
      </c>
      <c r="AZ319" s="243" t="str">
        <f t="shared" si="105"/>
        <v>Chinook</v>
      </c>
      <c r="BA319" s="243" t="s">
        <v>419</v>
      </c>
      <c r="BB319" s="246"/>
      <c r="BC319" s="43" t="str">
        <f t="shared" si="106"/>
        <v>-</v>
      </c>
      <c r="BD319" s="43">
        <f t="shared" si="132"/>
        <v>0</v>
      </c>
      <c r="BE319" s="193">
        <f t="shared" si="128"/>
        <v>0</v>
      </c>
      <c r="BF319" s="193">
        <f t="shared" si="109"/>
        <v>0</v>
      </c>
      <c r="BG319" s="193">
        <f t="shared" si="110"/>
        <v>0</v>
      </c>
      <c r="BH319" s="307" t="str">
        <f t="shared" si="137"/>
        <v>-</v>
      </c>
      <c r="BI319" s="265" t="str">
        <f t="shared" si="133"/>
        <v>-</v>
      </c>
      <c r="BJ319" s="26" t="str">
        <f t="shared" si="112"/>
        <v>MACKTUSH CREEKChinook</v>
      </c>
      <c r="BK319" s="26">
        <f t="shared" si="113"/>
        <v>0</v>
      </c>
      <c r="BL319" s="33">
        <f t="shared" si="135"/>
        <v>0</v>
      </c>
      <c r="BQ319" s="47" t="str">
        <f t="shared" si="114"/>
        <v>MACKTUSH CREEKChinook</v>
      </c>
      <c r="BR319" s="49">
        <f t="shared" si="115"/>
        <v>0</v>
      </c>
      <c r="BS319" s="49">
        <f t="shared" si="116"/>
        <v>0</v>
      </c>
      <c r="BT319" s="31">
        <v>1995</v>
      </c>
      <c r="BU319" s="188">
        <f t="shared" si="117"/>
        <v>0</v>
      </c>
      <c r="BV319" s="188" t="str">
        <f t="shared" si="118"/>
        <v xml:space="preserve"> </v>
      </c>
      <c r="BW319" s="188" t="str">
        <f t="shared" si="119"/>
        <v xml:space="preserve"> </v>
      </c>
      <c r="BX319" s="188" t="str">
        <f t="shared" si="120"/>
        <v xml:space="preserve"> </v>
      </c>
      <c r="BY319" s="50" t="str">
        <f t="shared" si="121"/>
        <v>MACKTUSH CREEK_Chinook</v>
      </c>
      <c r="BZ319" s="50" t="str">
        <f>IFERROR(VLOOKUP(BY319,'[1]WCVI Esc'!$C$5:$W$555,18,FALSE),"-")</f>
        <v>-</v>
      </c>
      <c r="CA319" s="50" t="str">
        <f t="shared" si="122"/>
        <v>-</v>
      </c>
      <c r="CB319" s="50" t="str">
        <f>IFERROR(VLOOKUP(BY319,'[1]WCVI Esc'!$C$5:$W$555,19,FALSE),"-")</f>
        <v>-</v>
      </c>
      <c r="CC319" s="50" t="str">
        <f t="shared" si="123"/>
        <v>-</v>
      </c>
      <c r="CE319" s="342" t="str">
        <f t="shared" si="136"/>
        <v>MACKTUSH CREEK_Chinook</v>
      </c>
      <c r="CF319" s="341">
        <f>IFERROR(VLOOKUP(BY319,'RawPL+D'!$O$8:$AB$503,12,FALSE),"-")</f>
        <v>0</v>
      </c>
      <c r="CG319" s="338">
        <f t="shared" si="125"/>
        <v>0</v>
      </c>
      <c r="CH319" s="341" t="str">
        <f>IFERROR(VLOOKUP(BY319,'RawPL+D'!$O$8:$AB$503,13,FALSE),"-")</f>
        <v>-</v>
      </c>
      <c r="CI319" s="338" t="str">
        <f t="shared" si="126"/>
        <v>-</v>
      </c>
    </row>
    <row r="320" spans="1:87" ht="12.75" hidden="1" customHeight="1" x14ac:dyDescent="0.2">
      <c r="A320" s="28">
        <v>3</v>
      </c>
      <c r="B320" s="28">
        <v>6</v>
      </c>
      <c r="C320" s="11">
        <v>23</v>
      </c>
      <c r="D320" s="148" t="s">
        <v>356</v>
      </c>
      <c r="E320" s="10" t="s">
        <v>99</v>
      </c>
      <c r="F320" s="10" t="s">
        <v>211</v>
      </c>
      <c r="G320" s="10"/>
      <c r="H320" s="10"/>
      <c r="I320" s="10"/>
      <c r="J320" s="10"/>
      <c r="K320" s="575"/>
      <c r="L320" s="152"/>
      <c r="M320" s="422"/>
      <c r="N320" s="339"/>
      <c r="O320" s="62"/>
      <c r="P320" s="424"/>
      <c r="Q320" s="171"/>
      <c r="R320" s="339"/>
      <c r="S320" s="339"/>
      <c r="T320" s="63"/>
      <c r="U320" s="64"/>
      <c r="V320" s="164"/>
      <c r="W320" s="62"/>
      <c r="X320" s="63"/>
      <c r="Y320" s="62"/>
      <c r="Z320" s="64"/>
      <c r="AA320" s="164"/>
      <c r="AB320" s="62"/>
      <c r="AC320" s="62"/>
      <c r="AD320" s="64"/>
      <c r="AE320" s="164"/>
      <c r="AF320" s="62"/>
      <c r="AG320" s="62"/>
      <c r="AH320" s="337"/>
      <c r="AI320" s="337"/>
      <c r="AJ320" s="337"/>
      <c r="AK320" s="337"/>
      <c r="AL320" s="414"/>
      <c r="AM320" s="414"/>
      <c r="AN320" s="45"/>
      <c r="AO320" s="45"/>
      <c r="AP320" s="44"/>
      <c r="AQ320" s="396"/>
      <c r="AR320" s="100"/>
      <c r="AS320" s="485"/>
      <c r="AT320" s="679"/>
      <c r="AU320" s="679"/>
      <c r="AV320" s="679"/>
      <c r="AW320" s="18">
        <v>23</v>
      </c>
      <c r="AX320" s="69" t="s">
        <v>356</v>
      </c>
      <c r="AY320" s="243" t="s">
        <v>99</v>
      </c>
      <c r="AZ320" s="243" t="str">
        <f t="shared" si="105"/>
        <v>Steelhead</v>
      </c>
      <c r="BA320" s="243" t="s">
        <v>419</v>
      </c>
      <c r="BB320" s="246"/>
      <c r="BC320" s="43" t="str">
        <f t="shared" si="106"/>
        <v>-</v>
      </c>
      <c r="BD320" s="43">
        <f t="shared" si="132"/>
        <v>0</v>
      </c>
      <c r="BE320" s="193">
        <f t="shared" si="128"/>
        <v>0</v>
      </c>
      <c r="BF320" s="193">
        <f t="shared" si="109"/>
        <v>0</v>
      </c>
      <c r="BG320" s="193">
        <f t="shared" si="110"/>
        <v>0</v>
      </c>
      <c r="BH320" s="307" t="str">
        <f t="shared" si="137"/>
        <v>-</v>
      </c>
      <c r="BI320" s="265" t="str">
        <f t="shared" si="133"/>
        <v>-</v>
      </c>
      <c r="BJ320" s="26" t="str">
        <f t="shared" si="112"/>
        <v>MACKTUSH CREEKSteelhead</v>
      </c>
      <c r="BK320" s="26">
        <f t="shared" si="113"/>
        <v>0</v>
      </c>
      <c r="BL320" s="33">
        <f t="shared" si="135"/>
        <v>0</v>
      </c>
      <c r="BQ320" s="47" t="str">
        <f t="shared" si="114"/>
        <v>MACKTUSH CREEKSteelhead</v>
      </c>
      <c r="BR320" s="49">
        <f t="shared" si="115"/>
        <v>0</v>
      </c>
      <c r="BS320" s="49">
        <f t="shared" si="116"/>
        <v>0</v>
      </c>
      <c r="BT320" s="31">
        <v>0</v>
      </c>
      <c r="BU320" s="188">
        <f t="shared" si="117"/>
        <v>0</v>
      </c>
      <c r="BV320" s="188" t="str">
        <f t="shared" si="118"/>
        <v xml:space="preserve"> </v>
      </c>
      <c r="BW320" s="188" t="str">
        <f t="shared" si="119"/>
        <v xml:space="preserve"> </v>
      </c>
      <c r="BX320" s="188" t="str">
        <f t="shared" si="120"/>
        <v xml:space="preserve"> </v>
      </c>
      <c r="BY320" s="50" t="str">
        <f t="shared" si="121"/>
        <v>MACKTUSH CREEK_Steelhead</v>
      </c>
      <c r="BZ320" s="50" t="str">
        <f>IFERROR(VLOOKUP(BY320,'[1]WCVI Esc'!$C$5:$W$555,18,FALSE),"-")</f>
        <v>-</v>
      </c>
      <c r="CA320" s="50" t="str">
        <f t="shared" si="122"/>
        <v>-</v>
      </c>
      <c r="CB320" s="50" t="str">
        <f>IFERROR(VLOOKUP(BY320,'[1]WCVI Esc'!$C$5:$W$555,19,FALSE),"-")</f>
        <v>-</v>
      </c>
      <c r="CC320" s="50" t="str">
        <f t="shared" si="123"/>
        <v>-</v>
      </c>
      <c r="CE320" s="342" t="str">
        <f t="shared" si="136"/>
        <v>MACKTUSH CREEK_Steelhead</v>
      </c>
      <c r="CF320" s="341" t="str">
        <f>IFERROR(VLOOKUP(BY320,'RawPL+D'!$O$8:$AB$503,12,FALSE),"-")</f>
        <v>-</v>
      </c>
      <c r="CG320" s="338" t="str">
        <f t="shared" si="125"/>
        <v>-</v>
      </c>
      <c r="CH320" s="341" t="str">
        <f>IFERROR(VLOOKUP(BY320,'RawPL+D'!$O$8:$AB$503,13,FALSE),"-")</f>
        <v>-</v>
      </c>
      <c r="CI320" s="338" t="str">
        <f t="shared" si="126"/>
        <v>-</v>
      </c>
    </row>
    <row r="321" spans="1:87" ht="12.75" hidden="1" customHeight="1" x14ac:dyDescent="0.2">
      <c r="A321" s="28">
        <v>4</v>
      </c>
      <c r="B321" s="28">
        <v>1</v>
      </c>
      <c r="C321" s="11">
        <v>23</v>
      </c>
      <c r="D321" s="148" t="s">
        <v>356</v>
      </c>
      <c r="E321" s="10" t="s">
        <v>28</v>
      </c>
      <c r="F321" s="10" t="s">
        <v>207</v>
      </c>
      <c r="G321" s="10"/>
      <c r="H321" s="10"/>
      <c r="I321" s="10"/>
      <c r="J321" s="10"/>
      <c r="K321" s="575"/>
      <c r="L321" s="152"/>
      <c r="M321" s="164"/>
      <c r="N321" s="62"/>
      <c r="O321" s="62"/>
      <c r="P321" s="177"/>
      <c r="Q321" s="171"/>
      <c r="R321" s="62"/>
      <c r="S321" s="62"/>
      <c r="T321" s="62"/>
      <c r="U321" s="62"/>
      <c r="V321" s="164"/>
      <c r="W321" s="62"/>
      <c r="X321" s="62"/>
      <c r="Y321" s="62"/>
      <c r="Z321" s="64"/>
      <c r="AA321" s="164"/>
      <c r="AB321" s="62"/>
      <c r="AC321" s="62"/>
      <c r="AD321" s="64"/>
      <c r="AE321" s="164"/>
      <c r="AF321" s="62"/>
      <c r="AG321" s="62"/>
      <c r="AH321" s="337"/>
      <c r="AI321" s="337"/>
      <c r="AJ321" s="337"/>
      <c r="AK321" s="337"/>
      <c r="AL321" s="414"/>
      <c r="AM321" s="414"/>
      <c r="AN321" s="45"/>
      <c r="AO321" s="45"/>
      <c r="AP321" s="45"/>
      <c r="AQ321" s="396"/>
      <c r="AR321" s="100"/>
      <c r="AS321" s="485"/>
      <c r="AT321" s="100"/>
      <c r="AU321" s="100"/>
      <c r="AV321" s="100"/>
      <c r="AW321" s="18">
        <v>23</v>
      </c>
      <c r="AX321" s="69" t="s">
        <v>356</v>
      </c>
      <c r="AY321" s="243" t="s">
        <v>28</v>
      </c>
      <c r="AZ321" s="243" t="str">
        <f t="shared" si="105"/>
        <v>Sockeye</v>
      </c>
      <c r="BA321" s="243" t="s">
        <v>419</v>
      </c>
      <c r="BB321" s="246"/>
      <c r="BC321" s="43" t="str">
        <f t="shared" si="106"/>
        <v>-</v>
      </c>
      <c r="BD321" s="43">
        <f t="shared" si="132"/>
        <v>0</v>
      </c>
      <c r="BE321" s="193">
        <f t="shared" si="128"/>
        <v>0</v>
      </c>
      <c r="BF321" s="193">
        <f t="shared" si="109"/>
        <v>0</v>
      </c>
      <c r="BG321" s="193">
        <f t="shared" si="110"/>
        <v>0</v>
      </c>
      <c r="BH321" s="307" t="str">
        <f t="shared" si="137"/>
        <v>-</v>
      </c>
      <c r="BI321" s="265" t="str">
        <f t="shared" si="133"/>
        <v>-</v>
      </c>
      <c r="BJ321" s="26" t="str">
        <f t="shared" si="112"/>
        <v>CHERRY CREEKSockeye</v>
      </c>
      <c r="BK321" s="26">
        <f t="shared" si="113"/>
        <v>0</v>
      </c>
      <c r="BL321" s="33">
        <f t="shared" si="135"/>
        <v>0</v>
      </c>
      <c r="BQ321" s="47" t="str">
        <f t="shared" si="114"/>
        <v>CHERRY CREEKSockeye</v>
      </c>
      <c r="BR321" s="49">
        <f t="shared" si="115"/>
        <v>0</v>
      </c>
      <c r="BS321" s="49">
        <f t="shared" si="116"/>
        <v>0</v>
      </c>
      <c r="BT321" s="31">
        <v>0</v>
      </c>
      <c r="BU321" s="188">
        <f t="shared" si="117"/>
        <v>0</v>
      </c>
      <c r="BV321" s="188" t="str">
        <f t="shared" si="118"/>
        <v xml:space="preserve"> </v>
      </c>
      <c r="BW321" s="188" t="str">
        <f t="shared" si="119"/>
        <v xml:space="preserve"> </v>
      </c>
      <c r="BX321" s="188" t="str">
        <f t="shared" si="120"/>
        <v xml:space="preserve"> </v>
      </c>
      <c r="BY321" s="50" t="str">
        <f t="shared" si="121"/>
        <v>CHERRY CREEK_Sockeye</v>
      </c>
      <c r="BZ321" s="50" t="str">
        <f>IFERROR(VLOOKUP(BY321,'[1]WCVI Esc'!$C$5:$W$555,18,FALSE),"-")</f>
        <v>-</v>
      </c>
      <c r="CA321" s="50" t="str">
        <f t="shared" si="122"/>
        <v>-</v>
      </c>
      <c r="CB321" s="50" t="str">
        <f>IFERROR(VLOOKUP(BY321,'[1]WCVI Esc'!$C$5:$W$555,19,FALSE),"-")</f>
        <v>-</v>
      </c>
      <c r="CC321" s="50" t="str">
        <f t="shared" si="123"/>
        <v>-</v>
      </c>
      <c r="CE321" s="342" t="str">
        <f t="shared" si="136"/>
        <v>CHERRY CREEK_Sockeye</v>
      </c>
      <c r="CF321" s="341" t="str">
        <f>IFERROR(VLOOKUP(BY321,'RawPL+D'!$O$8:$AB$503,12,FALSE),"-")</f>
        <v>-</v>
      </c>
      <c r="CG321" s="338" t="str">
        <f t="shared" si="125"/>
        <v>-</v>
      </c>
      <c r="CH321" s="341" t="str">
        <f>IFERROR(VLOOKUP(BY321,'RawPL+D'!$O$8:$AB$503,13,FALSE),"-")</f>
        <v>-</v>
      </c>
      <c r="CI321" s="338" t="str">
        <f t="shared" si="126"/>
        <v>-</v>
      </c>
    </row>
    <row r="322" spans="1:87" ht="12.75" hidden="1" customHeight="1" x14ac:dyDescent="0.2">
      <c r="A322" s="28">
        <v>4</v>
      </c>
      <c r="B322" s="28">
        <v>2</v>
      </c>
      <c r="C322" s="11">
        <v>23</v>
      </c>
      <c r="D322" s="148" t="s">
        <v>356</v>
      </c>
      <c r="E322" s="10" t="s">
        <v>28</v>
      </c>
      <c r="F322" s="10" t="s">
        <v>219</v>
      </c>
      <c r="G322" s="10"/>
      <c r="H322" s="10"/>
      <c r="I322" s="10"/>
      <c r="J322" s="10"/>
      <c r="K322" s="575"/>
      <c r="L322" s="152"/>
      <c r="M322" s="164"/>
      <c r="N322" s="62"/>
      <c r="O322" s="62"/>
      <c r="P322" s="177"/>
      <c r="Q322" s="171"/>
      <c r="R322" s="62"/>
      <c r="S322" s="62"/>
      <c r="T322" s="62"/>
      <c r="U322" s="62"/>
      <c r="V322" s="164"/>
      <c r="W322" s="62"/>
      <c r="X322" s="62"/>
      <c r="Y322" s="62"/>
      <c r="Z322" s="64"/>
      <c r="AA322" s="164"/>
      <c r="AB322" s="62"/>
      <c r="AC322" s="62"/>
      <c r="AD322" s="64"/>
      <c r="AE322" s="164"/>
      <c r="AF322" s="62"/>
      <c r="AG322" s="62"/>
      <c r="AH322" s="337"/>
      <c r="AI322" s="337"/>
      <c r="AJ322" s="337"/>
      <c r="AK322" s="337"/>
      <c r="AL322" s="414"/>
      <c r="AM322" s="414"/>
      <c r="AN322" s="45"/>
      <c r="AO322" s="45"/>
      <c r="AP322" s="45"/>
      <c r="AQ322" s="396"/>
      <c r="AR322" s="100"/>
      <c r="AS322" s="485"/>
      <c r="AT322" s="100"/>
      <c r="AU322" s="100"/>
      <c r="AV322" s="100"/>
      <c r="AW322" s="18">
        <v>23</v>
      </c>
      <c r="AX322" s="69" t="s">
        <v>356</v>
      </c>
      <c r="AY322" s="243" t="s">
        <v>28</v>
      </c>
      <c r="AZ322" s="243" t="str">
        <f t="shared" si="105"/>
        <v>Coho</v>
      </c>
      <c r="BA322" s="243" t="s">
        <v>419</v>
      </c>
      <c r="BB322" s="246"/>
      <c r="BC322" s="43" t="str">
        <f t="shared" si="106"/>
        <v>-</v>
      </c>
      <c r="BD322" s="43">
        <f t="shared" ref="BD322:BD353" si="138">BK322</f>
        <v>0</v>
      </c>
      <c r="BE322" s="193">
        <f t="shared" si="128"/>
        <v>0</v>
      </c>
      <c r="BF322" s="193">
        <f t="shared" si="109"/>
        <v>0</v>
      </c>
      <c r="BG322" s="193">
        <f t="shared" si="110"/>
        <v>0</v>
      </c>
      <c r="BH322" s="307" t="str">
        <f t="shared" si="137"/>
        <v>-</v>
      </c>
      <c r="BI322" s="265" t="str">
        <f t="shared" ref="BI322:BI353" si="139">CC322</f>
        <v>-</v>
      </c>
      <c r="BJ322" s="26" t="str">
        <f t="shared" si="112"/>
        <v>CHERRY CREEKCoho</v>
      </c>
      <c r="BK322" s="26">
        <f t="shared" si="113"/>
        <v>0</v>
      </c>
      <c r="BL322" s="33">
        <f t="shared" si="135"/>
        <v>0</v>
      </c>
      <c r="BQ322" s="47" t="str">
        <f t="shared" si="114"/>
        <v>CHERRY CREEKCoho</v>
      </c>
      <c r="BR322" s="49">
        <f t="shared" si="115"/>
        <v>0</v>
      </c>
      <c r="BS322" s="49">
        <f t="shared" si="116"/>
        <v>0</v>
      </c>
      <c r="BT322" s="31">
        <v>0</v>
      </c>
      <c r="BU322" s="188">
        <f t="shared" si="117"/>
        <v>0</v>
      </c>
      <c r="BV322" s="188" t="str">
        <f t="shared" si="118"/>
        <v xml:space="preserve"> </v>
      </c>
      <c r="BW322" s="188" t="str">
        <f t="shared" si="119"/>
        <v xml:space="preserve"> </v>
      </c>
      <c r="BX322" s="188" t="str">
        <f t="shared" si="120"/>
        <v xml:space="preserve"> </v>
      </c>
      <c r="BY322" s="50" t="str">
        <f t="shared" si="121"/>
        <v>CHERRY CREEK_Coho</v>
      </c>
      <c r="BZ322" s="50" t="str">
        <f>IFERROR(VLOOKUP(BY322,'[1]WCVI Esc'!$C$5:$W$555,18,FALSE),"-")</f>
        <v>-</v>
      </c>
      <c r="CA322" s="50" t="str">
        <f t="shared" si="122"/>
        <v>-</v>
      </c>
      <c r="CB322" s="50" t="str">
        <f>IFERROR(VLOOKUP(BY322,'[1]WCVI Esc'!$C$5:$W$555,19,FALSE),"-")</f>
        <v>-</v>
      </c>
      <c r="CC322" s="50" t="str">
        <f t="shared" si="123"/>
        <v>-</v>
      </c>
      <c r="CE322" s="342" t="str">
        <f t="shared" si="136"/>
        <v>CHERRY CREEK_Coho</v>
      </c>
      <c r="CF322" s="341" t="str">
        <f>IFERROR(VLOOKUP(BY322,'RawPL+D'!$O$8:$AB$503,12,FALSE),"-")</f>
        <v>-</v>
      </c>
      <c r="CG322" s="338" t="str">
        <f t="shared" si="125"/>
        <v>-</v>
      </c>
      <c r="CH322" s="341" t="str">
        <f>IFERROR(VLOOKUP(BY322,'RawPL+D'!$O$8:$AB$503,13,FALSE),"-")</f>
        <v>-</v>
      </c>
      <c r="CI322" s="338" t="str">
        <f t="shared" si="126"/>
        <v>-</v>
      </c>
    </row>
    <row r="323" spans="1:87" ht="12.75" hidden="1" customHeight="1" x14ac:dyDescent="0.2">
      <c r="A323" s="28">
        <v>4</v>
      </c>
      <c r="B323" s="28">
        <v>3</v>
      </c>
      <c r="C323" s="11">
        <v>23</v>
      </c>
      <c r="D323" s="148" t="s">
        <v>356</v>
      </c>
      <c r="E323" s="10" t="s">
        <v>28</v>
      </c>
      <c r="F323" s="10" t="s">
        <v>208</v>
      </c>
      <c r="G323" s="10"/>
      <c r="H323" s="10"/>
      <c r="I323" s="10"/>
      <c r="J323" s="10"/>
      <c r="K323" s="575"/>
      <c r="L323" s="152"/>
      <c r="M323" s="164"/>
      <c r="N323" s="62"/>
      <c r="O323" s="62"/>
      <c r="P323" s="177"/>
      <c r="Q323" s="171"/>
      <c r="R323" s="62"/>
      <c r="S323" s="62"/>
      <c r="T323" s="62"/>
      <c r="U323" s="62"/>
      <c r="V323" s="164"/>
      <c r="W323" s="62"/>
      <c r="X323" s="62"/>
      <c r="Y323" s="62"/>
      <c r="Z323" s="64"/>
      <c r="AA323" s="164"/>
      <c r="AB323" s="62"/>
      <c r="AC323" s="62"/>
      <c r="AD323" s="64"/>
      <c r="AE323" s="164"/>
      <c r="AF323" s="62"/>
      <c r="AG323" s="62"/>
      <c r="AH323" s="337"/>
      <c r="AI323" s="337"/>
      <c r="AJ323" s="337"/>
      <c r="AK323" s="337"/>
      <c r="AL323" s="414"/>
      <c r="AM323" s="414"/>
      <c r="AN323" s="45"/>
      <c r="AO323" s="45"/>
      <c r="AP323" s="45"/>
      <c r="AQ323" s="396"/>
      <c r="AR323" s="100"/>
      <c r="AS323" s="485"/>
      <c r="AT323" s="100"/>
      <c r="AU323" s="100"/>
      <c r="AV323" s="100"/>
      <c r="AW323" s="18">
        <v>23</v>
      </c>
      <c r="AX323" s="69" t="s">
        <v>356</v>
      </c>
      <c r="AY323" s="243" t="s">
        <v>28</v>
      </c>
      <c r="AZ323" s="243" t="str">
        <f t="shared" si="105"/>
        <v>Pink</v>
      </c>
      <c r="BA323" s="243" t="s">
        <v>419</v>
      </c>
      <c r="BB323" s="246"/>
      <c r="BC323" s="43" t="str">
        <f t="shared" si="106"/>
        <v>-</v>
      </c>
      <c r="BD323" s="43">
        <f t="shared" si="138"/>
        <v>0</v>
      </c>
      <c r="BE323" s="193">
        <f t="shared" si="128"/>
        <v>0</v>
      </c>
      <c r="BF323" s="193">
        <f t="shared" si="109"/>
        <v>0</v>
      </c>
      <c r="BG323" s="193">
        <f t="shared" si="110"/>
        <v>0</v>
      </c>
      <c r="BH323" s="307" t="str">
        <f t="shared" si="137"/>
        <v>-</v>
      </c>
      <c r="BI323" s="265" t="str">
        <f t="shared" si="139"/>
        <v>-</v>
      </c>
      <c r="BJ323" s="26" t="str">
        <f t="shared" si="112"/>
        <v>CHERRY CREEKPink</v>
      </c>
      <c r="BK323" s="26">
        <f t="shared" si="113"/>
        <v>0</v>
      </c>
      <c r="BL323" s="33">
        <f t="shared" si="135"/>
        <v>0</v>
      </c>
      <c r="BQ323" s="47" t="str">
        <f t="shared" si="114"/>
        <v>CHERRY CREEKPink</v>
      </c>
      <c r="BR323" s="49">
        <f t="shared" si="115"/>
        <v>0</v>
      </c>
      <c r="BS323" s="49">
        <f t="shared" si="116"/>
        <v>0</v>
      </c>
      <c r="BT323" s="31">
        <v>0</v>
      </c>
      <c r="BU323" s="188">
        <f t="shared" si="117"/>
        <v>0</v>
      </c>
      <c r="BV323" s="188" t="str">
        <f t="shared" si="118"/>
        <v xml:space="preserve"> </v>
      </c>
      <c r="BW323" s="188" t="str">
        <f t="shared" si="119"/>
        <v xml:space="preserve"> </v>
      </c>
      <c r="BX323" s="188" t="str">
        <f t="shared" si="120"/>
        <v xml:space="preserve"> </v>
      </c>
      <c r="BY323" s="50" t="str">
        <f t="shared" si="121"/>
        <v>CHERRY CREEK_Pink</v>
      </c>
      <c r="BZ323" s="50" t="str">
        <f>IFERROR(VLOOKUP(BY323,'[1]WCVI Esc'!$C$5:$W$555,18,FALSE),"-")</f>
        <v>-</v>
      </c>
      <c r="CA323" s="50" t="str">
        <f t="shared" si="122"/>
        <v>-</v>
      </c>
      <c r="CB323" s="50" t="str">
        <f>IFERROR(VLOOKUP(BY323,'[1]WCVI Esc'!$C$5:$W$555,19,FALSE),"-")</f>
        <v>-</v>
      </c>
      <c r="CC323" s="50" t="str">
        <f t="shared" si="123"/>
        <v>-</v>
      </c>
      <c r="CE323" s="342" t="str">
        <f t="shared" si="136"/>
        <v>CHERRY CREEK_Pink</v>
      </c>
      <c r="CF323" s="341" t="str">
        <f>IFERROR(VLOOKUP(BY323,'RawPL+D'!$O$8:$AB$503,12,FALSE),"-")</f>
        <v>-</v>
      </c>
      <c r="CG323" s="338" t="str">
        <f t="shared" si="125"/>
        <v>-</v>
      </c>
      <c r="CH323" s="341" t="str">
        <f>IFERROR(VLOOKUP(BY323,'RawPL+D'!$O$8:$AB$503,13,FALSE),"-")</f>
        <v>-</v>
      </c>
      <c r="CI323" s="338" t="str">
        <f t="shared" si="126"/>
        <v>-</v>
      </c>
    </row>
    <row r="324" spans="1:87" ht="12.75" hidden="1" customHeight="1" x14ac:dyDescent="0.2">
      <c r="A324" s="28">
        <v>4</v>
      </c>
      <c r="B324" s="28">
        <v>4</v>
      </c>
      <c r="C324" s="11">
        <v>23</v>
      </c>
      <c r="D324" s="148" t="s">
        <v>356</v>
      </c>
      <c r="E324" s="10" t="s">
        <v>28</v>
      </c>
      <c r="F324" s="10" t="s">
        <v>209</v>
      </c>
      <c r="G324" s="10"/>
      <c r="H324" s="10"/>
      <c r="I324" s="10"/>
      <c r="J324" s="10"/>
      <c r="K324" s="575"/>
      <c r="L324" s="152"/>
      <c r="M324" s="164"/>
      <c r="N324" s="62"/>
      <c r="O324" s="62"/>
      <c r="P324" s="177"/>
      <c r="Q324" s="171"/>
      <c r="R324" s="62"/>
      <c r="S324" s="62"/>
      <c r="T324" s="62"/>
      <c r="U324" s="62"/>
      <c r="V324" s="164"/>
      <c r="W324" s="62"/>
      <c r="X324" s="62"/>
      <c r="Y324" s="62"/>
      <c r="Z324" s="64"/>
      <c r="AA324" s="164"/>
      <c r="AB324" s="62"/>
      <c r="AC324" s="62"/>
      <c r="AD324" s="64"/>
      <c r="AE324" s="164"/>
      <c r="AF324" s="62"/>
      <c r="AG324" s="62"/>
      <c r="AH324" s="337"/>
      <c r="AI324" s="337"/>
      <c r="AJ324" s="337"/>
      <c r="AK324" s="337"/>
      <c r="AL324" s="414"/>
      <c r="AM324" s="414"/>
      <c r="AN324" s="45"/>
      <c r="AO324" s="45"/>
      <c r="AP324" s="45"/>
      <c r="AQ324" s="396"/>
      <c r="AR324" s="100"/>
      <c r="AS324" s="485"/>
      <c r="AT324" s="100"/>
      <c r="AU324" s="100"/>
      <c r="AV324" s="100"/>
      <c r="AW324" s="18">
        <v>23</v>
      </c>
      <c r="AX324" s="69" t="s">
        <v>356</v>
      </c>
      <c r="AY324" s="243" t="s">
        <v>28</v>
      </c>
      <c r="AZ324" s="243" t="str">
        <f t="shared" si="105"/>
        <v>Chum</v>
      </c>
      <c r="BA324" s="243" t="s">
        <v>419</v>
      </c>
      <c r="BB324" s="246"/>
      <c r="BC324" s="43" t="str">
        <f t="shared" si="106"/>
        <v>-</v>
      </c>
      <c r="BD324" s="43">
        <f t="shared" si="138"/>
        <v>0</v>
      </c>
      <c r="BE324" s="193">
        <f t="shared" si="128"/>
        <v>0</v>
      </c>
      <c r="BF324" s="193">
        <f t="shared" si="109"/>
        <v>0</v>
      </c>
      <c r="BG324" s="193">
        <f t="shared" si="110"/>
        <v>0</v>
      </c>
      <c r="BH324" s="307" t="str">
        <f t="shared" si="137"/>
        <v>-</v>
      </c>
      <c r="BI324" s="265" t="str">
        <f t="shared" si="139"/>
        <v>-</v>
      </c>
      <c r="BJ324" s="26" t="str">
        <f t="shared" si="112"/>
        <v>CHERRY CREEKChum</v>
      </c>
      <c r="BK324" s="26">
        <f t="shared" si="113"/>
        <v>0</v>
      </c>
      <c r="BL324" s="33">
        <f t="shared" si="135"/>
        <v>0</v>
      </c>
      <c r="BQ324" s="47" t="str">
        <f t="shared" si="114"/>
        <v>CHERRY CREEKChum</v>
      </c>
      <c r="BR324" s="49">
        <f t="shared" si="115"/>
        <v>0</v>
      </c>
      <c r="BS324" s="49">
        <f t="shared" si="116"/>
        <v>0</v>
      </c>
      <c r="BT324" s="31">
        <v>0</v>
      </c>
      <c r="BU324" s="188">
        <f t="shared" si="117"/>
        <v>0</v>
      </c>
      <c r="BV324" s="188" t="str">
        <f t="shared" si="118"/>
        <v xml:space="preserve"> </v>
      </c>
      <c r="BW324" s="188" t="str">
        <f t="shared" si="119"/>
        <v xml:space="preserve"> </v>
      </c>
      <c r="BX324" s="188" t="str">
        <f t="shared" si="120"/>
        <v xml:space="preserve"> </v>
      </c>
      <c r="BY324" s="50" t="str">
        <f t="shared" si="121"/>
        <v>CHERRY CREEK_Chum</v>
      </c>
      <c r="BZ324" s="50" t="str">
        <f>IFERROR(VLOOKUP(BY324,'[1]WCVI Esc'!$C$5:$W$555,18,FALSE),"-")</f>
        <v>-</v>
      </c>
      <c r="CA324" s="50" t="str">
        <f t="shared" si="122"/>
        <v>-</v>
      </c>
      <c r="CB324" s="50" t="str">
        <f>IFERROR(VLOOKUP(BY324,'[1]WCVI Esc'!$C$5:$W$555,19,FALSE),"-")</f>
        <v>-</v>
      </c>
      <c r="CC324" s="50" t="str">
        <f t="shared" si="123"/>
        <v>-</v>
      </c>
      <c r="CE324" s="342" t="str">
        <f t="shared" si="136"/>
        <v>CHERRY CREEK_Chum</v>
      </c>
      <c r="CF324" s="341" t="str">
        <f>IFERROR(VLOOKUP(BY324,'RawPL+D'!$O$8:$AB$503,12,FALSE),"-")</f>
        <v>-</v>
      </c>
      <c r="CG324" s="338" t="str">
        <f t="shared" si="125"/>
        <v>-</v>
      </c>
      <c r="CH324" s="341" t="str">
        <f>IFERROR(VLOOKUP(BY324,'RawPL+D'!$O$8:$AB$503,13,FALSE),"-")</f>
        <v>-</v>
      </c>
      <c r="CI324" s="338" t="str">
        <f t="shared" si="126"/>
        <v>-</v>
      </c>
    </row>
    <row r="325" spans="1:87" ht="12.75" hidden="1" customHeight="1" x14ac:dyDescent="0.2">
      <c r="A325" s="28">
        <v>4</v>
      </c>
      <c r="B325" s="28">
        <v>5</v>
      </c>
      <c r="C325" s="11">
        <v>23</v>
      </c>
      <c r="D325" s="148" t="s">
        <v>356</v>
      </c>
      <c r="E325" s="10" t="s">
        <v>28</v>
      </c>
      <c r="F325" s="10" t="s">
        <v>210</v>
      </c>
      <c r="G325" s="10"/>
      <c r="H325" s="10"/>
      <c r="I325" s="10"/>
      <c r="J325" s="10"/>
      <c r="K325" s="575"/>
      <c r="L325" s="152"/>
      <c r="M325" s="164"/>
      <c r="N325" s="62"/>
      <c r="O325" s="62"/>
      <c r="P325" s="177"/>
      <c r="Q325" s="171"/>
      <c r="R325" s="62"/>
      <c r="S325" s="62"/>
      <c r="T325" s="62"/>
      <c r="U325" s="62"/>
      <c r="V325" s="164"/>
      <c r="W325" s="62"/>
      <c r="X325" s="62"/>
      <c r="Y325" s="62"/>
      <c r="Z325" s="64"/>
      <c r="AA325" s="164"/>
      <c r="AB325" s="62"/>
      <c r="AC325" s="62"/>
      <c r="AD325" s="64"/>
      <c r="AE325" s="164"/>
      <c r="AF325" s="62"/>
      <c r="AG325" s="62"/>
      <c r="AH325" s="337"/>
      <c r="AI325" s="337"/>
      <c r="AJ325" s="337"/>
      <c r="AK325" s="337"/>
      <c r="AL325" s="414"/>
      <c r="AM325" s="414"/>
      <c r="AN325" s="45"/>
      <c r="AO325" s="45"/>
      <c r="AP325" s="45"/>
      <c r="AQ325" s="396"/>
      <c r="AR325" s="100"/>
      <c r="AS325" s="485"/>
      <c r="AT325" s="100"/>
      <c r="AU325" s="100"/>
      <c r="AV325" s="100"/>
      <c r="AW325" s="18">
        <v>23</v>
      </c>
      <c r="AX325" s="69" t="s">
        <v>356</v>
      </c>
      <c r="AY325" s="243" t="s">
        <v>28</v>
      </c>
      <c r="AZ325" s="243" t="str">
        <f t="shared" si="105"/>
        <v>Chinook</v>
      </c>
      <c r="BA325" s="243" t="s">
        <v>419</v>
      </c>
      <c r="BB325" s="246"/>
      <c r="BC325" s="43" t="str">
        <f t="shared" si="106"/>
        <v>-</v>
      </c>
      <c r="BD325" s="43">
        <f t="shared" si="138"/>
        <v>0</v>
      </c>
      <c r="BE325" s="193">
        <f t="shared" si="128"/>
        <v>0</v>
      </c>
      <c r="BF325" s="193">
        <f t="shared" si="109"/>
        <v>0</v>
      </c>
      <c r="BG325" s="193">
        <f t="shared" si="110"/>
        <v>0</v>
      </c>
      <c r="BH325" s="307" t="str">
        <f t="shared" si="137"/>
        <v>-</v>
      </c>
      <c r="BI325" s="265" t="str">
        <f t="shared" si="139"/>
        <v>-</v>
      </c>
      <c r="BJ325" s="26" t="str">
        <f t="shared" si="112"/>
        <v>CHERRY CREEKChinook</v>
      </c>
      <c r="BK325" s="26">
        <f t="shared" si="113"/>
        <v>0</v>
      </c>
      <c r="BL325" s="33">
        <f t="shared" si="135"/>
        <v>0</v>
      </c>
      <c r="BQ325" s="47" t="str">
        <f t="shared" si="114"/>
        <v>CHERRY CREEKChinook</v>
      </c>
      <c r="BR325" s="49">
        <f t="shared" si="115"/>
        <v>0</v>
      </c>
      <c r="BS325" s="49">
        <f t="shared" si="116"/>
        <v>0</v>
      </c>
      <c r="BT325" s="31">
        <v>0</v>
      </c>
      <c r="BU325" s="188">
        <f t="shared" si="117"/>
        <v>0</v>
      </c>
      <c r="BV325" s="188" t="str">
        <f t="shared" si="118"/>
        <v xml:space="preserve"> </v>
      </c>
      <c r="BW325" s="188" t="str">
        <f t="shared" si="119"/>
        <v xml:space="preserve"> </v>
      </c>
      <c r="BX325" s="188" t="str">
        <f t="shared" si="120"/>
        <v xml:space="preserve"> </v>
      </c>
      <c r="BY325" s="50" t="str">
        <f t="shared" si="121"/>
        <v>CHERRY CREEK_Chinook</v>
      </c>
      <c r="BZ325" s="50" t="str">
        <f>IFERROR(VLOOKUP(BY325,'[1]WCVI Esc'!$C$5:$W$555,18,FALSE),"-")</f>
        <v>-</v>
      </c>
      <c r="CA325" s="50" t="str">
        <f t="shared" si="122"/>
        <v>-</v>
      </c>
      <c r="CB325" s="50" t="str">
        <f>IFERROR(VLOOKUP(BY325,'[1]WCVI Esc'!$C$5:$W$555,19,FALSE),"-")</f>
        <v>-</v>
      </c>
      <c r="CC325" s="50" t="str">
        <f t="shared" si="123"/>
        <v>-</v>
      </c>
      <c r="CE325" s="342" t="str">
        <f t="shared" si="136"/>
        <v>CHERRY CREEK_Chinook</v>
      </c>
      <c r="CF325" s="341" t="str">
        <f>IFERROR(VLOOKUP(BY325,'RawPL+D'!$O$8:$AB$503,12,FALSE),"-")</f>
        <v>-</v>
      </c>
      <c r="CG325" s="338" t="str">
        <f t="shared" si="125"/>
        <v>-</v>
      </c>
      <c r="CH325" s="341" t="str">
        <f>IFERROR(VLOOKUP(BY325,'RawPL+D'!$O$8:$AB$503,13,FALSE),"-")</f>
        <v>-</v>
      </c>
      <c r="CI325" s="338" t="str">
        <f t="shared" si="126"/>
        <v>-</v>
      </c>
    </row>
    <row r="326" spans="1:87" ht="12.75" hidden="1" customHeight="1" x14ac:dyDescent="0.2">
      <c r="A326" s="28">
        <v>4</v>
      </c>
      <c r="B326" s="28">
        <v>6</v>
      </c>
      <c r="C326" s="11">
        <v>23</v>
      </c>
      <c r="D326" s="148" t="s">
        <v>356</v>
      </c>
      <c r="E326" s="10" t="s">
        <v>28</v>
      </c>
      <c r="F326" s="10" t="s">
        <v>211</v>
      </c>
      <c r="G326" s="10"/>
      <c r="H326" s="10"/>
      <c r="I326" s="10"/>
      <c r="J326" s="10"/>
      <c r="K326" s="575"/>
      <c r="L326" s="152"/>
      <c r="M326" s="164"/>
      <c r="N326" s="62"/>
      <c r="O326" s="62"/>
      <c r="P326" s="177"/>
      <c r="Q326" s="171"/>
      <c r="R326" s="62"/>
      <c r="S326" s="62"/>
      <c r="T326" s="62"/>
      <c r="U326" s="62"/>
      <c r="V326" s="164"/>
      <c r="W326" s="62"/>
      <c r="X326" s="62"/>
      <c r="Y326" s="62"/>
      <c r="Z326" s="64"/>
      <c r="AA326" s="164"/>
      <c r="AB326" s="62"/>
      <c r="AC326" s="62"/>
      <c r="AD326" s="64"/>
      <c r="AE326" s="164"/>
      <c r="AF326" s="62"/>
      <c r="AG326" s="62"/>
      <c r="AH326" s="337"/>
      <c r="AI326" s="337"/>
      <c r="AJ326" s="337"/>
      <c r="AK326" s="337"/>
      <c r="AL326" s="414"/>
      <c r="AM326" s="414"/>
      <c r="AN326" s="45"/>
      <c r="AO326" s="45"/>
      <c r="AP326" s="45"/>
      <c r="AQ326" s="396"/>
      <c r="AR326" s="100"/>
      <c r="AS326" s="485"/>
      <c r="AT326" s="100"/>
      <c r="AU326" s="100"/>
      <c r="AV326" s="100"/>
      <c r="AW326" s="18">
        <v>23</v>
      </c>
      <c r="AX326" s="69" t="s">
        <v>356</v>
      </c>
      <c r="AY326" s="243" t="s">
        <v>28</v>
      </c>
      <c r="AZ326" s="243" t="str">
        <f t="shared" si="105"/>
        <v>Steelhead</v>
      </c>
      <c r="BA326" s="243" t="s">
        <v>419</v>
      </c>
      <c r="BB326" s="246"/>
      <c r="BC326" s="43" t="str">
        <f t="shared" si="106"/>
        <v>-</v>
      </c>
      <c r="BD326" s="43">
        <f t="shared" si="138"/>
        <v>0</v>
      </c>
      <c r="BE326" s="193">
        <f t="shared" si="128"/>
        <v>0</v>
      </c>
      <c r="BF326" s="193">
        <f t="shared" si="109"/>
        <v>0</v>
      </c>
      <c r="BG326" s="193">
        <f t="shared" si="110"/>
        <v>0</v>
      </c>
      <c r="BH326" s="307" t="str">
        <f t="shared" si="137"/>
        <v>-</v>
      </c>
      <c r="BI326" s="265" t="str">
        <f t="shared" si="139"/>
        <v>-</v>
      </c>
      <c r="BJ326" s="26" t="str">
        <f t="shared" si="112"/>
        <v>CHERRY CREEKSteelhead</v>
      </c>
      <c r="BK326" s="26">
        <f t="shared" si="113"/>
        <v>0</v>
      </c>
      <c r="BL326" s="33">
        <f t="shared" si="135"/>
        <v>0</v>
      </c>
      <c r="BQ326" s="47" t="str">
        <f t="shared" si="114"/>
        <v>CHERRY CREEKSteelhead</v>
      </c>
      <c r="BR326" s="49">
        <f t="shared" si="115"/>
        <v>0</v>
      </c>
      <c r="BS326" s="49">
        <f t="shared" si="116"/>
        <v>0</v>
      </c>
      <c r="BT326" s="31">
        <v>0</v>
      </c>
      <c r="BU326" s="188">
        <f t="shared" si="117"/>
        <v>0</v>
      </c>
      <c r="BV326" s="188" t="str">
        <f t="shared" si="118"/>
        <v xml:space="preserve"> </v>
      </c>
      <c r="BW326" s="188" t="str">
        <f t="shared" si="119"/>
        <v xml:space="preserve"> </v>
      </c>
      <c r="BX326" s="188" t="str">
        <f t="shared" si="120"/>
        <v xml:space="preserve"> </v>
      </c>
      <c r="BY326" s="50" t="str">
        <f t="shared" si="121"/>
        <v>CHERRY CREEK_Steelhead</v>
      </c>
      <c r="BZ326" s="50" t="str">
        <f>IFERROR(VLOOKUP(BY326,'[1]WCVI Esc'!$C$5:$W$555,18,FALSE),"-")</f>
        <v>-</v>
      </c>
      <c r="CA326" s="50" t="str">
        <f t="shared" si="122"/>
        <v>-</v>
      </c>
      <c r="CB326" s="50" t="str">
        <f>IFERROR(VLOOKUP(BY326,'[1]WCVI Esc'!$C$5:$W$555,19,FALSE),"-")</f>
        <v>-</v>
      </c>
      <c r="CC326" s="50" t="str">
        <f t="shared" si="123"/>
        <v>-</v>
      </c>
      <c r="CE326" s="342" t="str">
        <f t="shared" si="136"/>
        <v>CHERRY CREEK_Steelhead</v>
      </c>
      <c r="CF326" s="341" t="str">
        <f>IFERROR(VLOOKUP(BY326,'RawPL+D'!$O$8:$AB$503,12,FALSE),"-")</f>
        <v>-</v>
      </c>
      <c r="CG326" s="338" t="str">
        <f t="shared" si="125"/>
        <v>-</v>
      </c>
      <c r="CH326" s="341" t="str">
        <f>IFERROR(VLOOKUP(BY326,'RawPL+D'!$O$8:$AB$503,13,FALSE),"-")</f>
        <v>-</v>
      </c>
      <c r="CI326" s="338" t="str">
        <f t="shared" si="126"/>
        <v>-</v>
      </c>
    </row>
    <row r="327" spans="1:87" ht="12.75" hidden="1" customHeight="1" x14ac:dyDescent="0.2">
      <c r="A327" s="28">
        <v>4</v>
      </c>
      <c r="B327" s="28">
        <v>1</v>
      </c>
      <c r="C327" s="11">
        <v>23</v>
      </c>
      <c r="D327" s="148" t="s">
        <v>356</v>
      </c>
      <c r="E327" s="10" t="s">
        <v>183</v>
      </c>
      <c r="F327" s="10" t="s">
        <v>207</v>
      </c>
      <c r="G327" s="10"/>
      <c r="H327" s="10"/>
      <c r="I327" s="10"/>
      <c r="J327" s="10"/>
      <c r="K327" s="575"/>
      <c r="L327" s="152"/>
      <c r="M327" s="164"/>
      <c r="N327" s="62"/>
      <c r="O327" s="62"/>
      <c r="P327" s="62"/>
      <c r="Q327" s="171"/>
      <c r="R327" s="62"/>
      <c r="S327" s="62"/>
      <c r="T327" s="62"/>
      <c r="U327" s="64"/>
      <c r="V327" s="164"/>
      <c r="W327" s="62"/>
      <c r="X327" s="62"/>
      <c r="Y327" s="62"/>
      <c r="Z327" s="64"/>
      <c r="AA327" s="164"/>
      <c r="AB327" s="62"/>
      <c r="AC327" s="62"/>
      <c r="AD327" s="64"/>
      <c r="AE327" s="164"/>
      <c r="AF327" s="62"/>
      <c r="AG327" s="62"/>
      <c r="AH327" s="337"/>
      <c r="AI327" s="337"/>
      <c r="AJ327" s="337"/>
      <c r="AK327" s="337"/>
      <c r="AL327" s="414"/>
      <c r="AM327" s="414"/>
      <c r="AN327" s="45"/>
      <c r="AO327" s="45"/>
      <c r="AP327" s="45"/>
      <c r="AQ327" s="396"/>
      <c r="AR327" s="100"/>
      <c r="AS327" s="485"/>
      <c r="AT327" s="24"/>
      <c r="AU327" s="24"/>
      <c r="AV327" s="24"/>
      <c r="AW327" s="18">
        <v>23</v>
      </c>
      <c r="AX327" s="69" t="s">
        <v>356</v>
      </c>
      <c r="AY327" s="243" t="s">
        <v>183</v>
      </c>
      <c r="AZ327" s="243" t="str">
        <f t="shared" si="105"/>
        <v>Sockeye</v>
      </c>
      <c r="BA327" s="243" t="s">
        <v>419</v>
      </c>
      <c r="BB327" s="246"/>
      <c r="BC327" s="43" t="str">
        <f t="shared" si="106"/>
        <v>-</v>
      </c>
      <c r="BD327" s="43">
        <f t="shared" si="138"/>
        <v>0</v>
      </c>
      <c r="BE327" s="193">
        <f t="shared" si="128"/>
        <v>0</v>
      </c>
      <c r="BF327" s="193">
        <f t="shared" si="109"/>
        <v>0</v>
      </c>
      <c r="BG327" s="193">
        <f t="shared" si="110"/>
        <v>0</v>
      </c>
      <c r="BH327" s="307" t="str">
        <f t="shared" si="137"/>
        <v>-</v>
      </c>
      <c r="BI327" s="265" t="str">
        <f t="shared" si="139"/>
        <v>-</v>
      </c>
      <c r="BJ327" s="26" t="str">
        <f t="shared" si="112"/>
        <v>OWATCHET CREEKSockeye</v>
      </c>
      <c r="BK327" s="26">
        <f t="shared" si="113"/>
        <v>0</v>
      </c>
      <c r="BL327" s="33">
        <f t="shared" si="135"/>
        <v>0</v>
      </c>
      <c r="BQ327" s="47" t="str">
        <f t="shared" si="114"/>
        <v>OWATCHET CREEKSockeye</v>
      </c>
      <c r="BR327" s="49">
        <f t="shared" si="115"/>
        <v>0</v>
      </c>
      <c r="BS327" s="49">
        <f t="shared" si="116"/>
        <v>0</v>
      </c>
      <c r="BT327" s="31">
        <v>0</v>
      </c>
      <c r="BU327" s="188">
        <f t="shared" si="117"/>
        <v>0</v>
      </c>
      <c r="BV327" s="188" t="str">
        <f t="shared" si="118"/>
        <v xml:space="preserve"> </v>
      </c>
      <c r="BW327" s="188" t="str">
        <f t="shared" si="119"/>
        <v xml:space="preserve"> </v>
      </c>
      <c r="BX327" s="188" t="str">
        <f t="shared" si="120"/>
        <v xml:space="preserve"> </v>
      </c>
      <c r="BY327" s="50" t="str">
        <f t="shared" si="121"/>
        <v>OWATCHET CREEK_Sockeye</v>
      </c>
      <c r="BZ327" s="50" t="str">
        <f>IFERROR(VLOOKUP(BY327,'[1]WCVI Esc'!$C$5:$W$555,18,FALSE),"-")</f>
        <v>-</v>
      </c>
      <c r="CA327" s="50" t="str">
        <f t="shared" si="122"/>
        <v>-</v>
      </c>
      <c r="CB327" s="50" t="str">
        <f>IFERROR(VLOOKUP(BY327,'[1]WCVI Esc'!$C$5:$W$555,19,FALSE),"-")</f>
        <v>-</v>
      </c>
      <c r="CC327" s="50" t="str">
        <f t="shared" si="123"/>
        <v>-</v>
      </c>
      <c r="CE327" s="342" t="str">
        <f t="shared" si="136"/>
        <v>OWATCHET CREEK_Sockeye</v>
      </c>
      <c r="CF327" s="341" t="str">
        <f>IFERROR(VLOOKUP(BY327,'RawPL+D'!$O$8:$AB$503,12,FALSE),"-")</f>
        <v>-</v>
      </c>
      <c r="CG327" s="338" t="str">
        <f t="shared" si="125"/>
        <v>-</v>
      </c>
      <c r="CH327" s="341" t="str">
        <f>IFERROR(VLOOKUP(BY327,'RawPL+D'!$O$8:$AB$503,13,FALSE),"-")</f>
        <v>-</v>
      </c>
      <c r="CI327" s="338" t="str">
        <f t="shared" si="126"/>
        <v>-</v>
      </c>
    </row>
    <row r="328" spans="1:87" ht="12.75" hidden="1" customHeight="1" x14ac:dyDescent="0.2">
      <c r="A328" s="28">
        <v>4</v>
      </c>
      <c r="B328" s="28">
        <v>2</v>
      </c>
      <c r="C328" s="11">
        <v>23</v>
      </c>
      <c r="D328" s="148" t="s">
        <v>356</v>
      </c>
      <c r="E328" s="10" t="s">
        <v>183</v>
      </c>
      <c r="F328" s="10" t="s">
        <v>219</v>
      </c>
      <c r="G328" s="10"/>
      <c r="H328" s="10"/>
      <c r="I328" s="10"/>
      <c r="J328" s="10"/>
      <c r="K328" s="575"/>
      <c r="L328" s="152"/>
      <c r="M328" s="164"/>
      <c r="N328" s="62"/>
      <c r="O328" s="62"/>
      <c r="P328" s="62"/>
      <c r="Q328" s="171"/>
      <c r="R328" s="62"/>
      <c r="S328" s="62"/>
      <c r="T328" s="62"/>
      <c r="U328" s="64"/>
      <c r="V328" s="164"/>
      <c r="W328" s="62"/>
      <c r="X328" s="62"/>
      <c r="Y328" s="62"/>
      <c r="Z328" s="64"/>
      <c r="AA328" s="164"/>
      <c r="AB328" s="62"/>
      <c r="AC328" s="62"/>
      <c r="AD328" s="64"/>
      <c r="AE328" s="164"/>
      <c r="AF328" s="62"/>
      <c r="AG328" s="62"/>
      <c r="AH328" s="337"/>
      <c r="AI328" s="337"/>
      <c r="AJ328" s="337"/>
      <c r="AK328" s="337"/>
      <c r="AL328" s="414"/>
      <c r="AM328" s="414"/>
      <c r="AN328" s="45"/>
      <c r="AO328" s="45"/>
      <c r="AP328" s="45"/>
      <c r="AQ328" s="396"/>
      <c r="AR328" s="100"/>
      <c r="AS328" s="485"/>
      <c r="AT328" s="24"/>
      <c r="AU328" s="24"/>
      <c r="AV328" s="24"/>
      <c r="AW328" s="18">
        <v>23</v>
      </c>
      <c r="AX328" s="69" t="s">
        <v>356</v>
      </c>
      <c r="AY328" s="243" t="s">
        <v>183</v>
      </c>
      <c r="AZ328" s="243" t="str">
        <f t="shared" si="105"/>
        <v>Coho</v>
      </c>
      <c r="BA328" s="243" t="s">
        <v>419</v>
      </c>
      <c r="BB328" s="246"/>
      <c r="BC328" s="43" t="str">
        <f t="shared" si="106"/>
        <v>-</v>
      </c>
      <c r="BD328" s="43">
        <f t="shared" si="138"/>
        <v>0</v>
      </c>
      <c r="BE328" s="193">
        <f t="shared" si="128"/>
        <v>0</v>
      </c>
      <c r="BF328" s="193">
        <f t="shared" si="109"/>
        <v>0</v>
      </c>
      <c r="BG328" s="193">
        <f t="shared" si="110"/>
        <v>0</v>
      </c>
      <c r="BH328" s="307" t="str">
        <f t="shared" si="137"/>
        <v>-</v>
      </c>
      <c r="BI328" s="265" t="str">
        <f t="shared" si="139"/>
        <v>-</v>
      </c>
      <c r="BJ328" s="26" t="str">
        <f t="shared" si="112"/>
        <v>OWATCHET CREEKCoho</v>
      </c>
      <c r="BK328" s="26">
        <f t="shared" si="113"/>
        <v>0</v>
      </c>
      <c r="BL328" s="33">
        <f t="shared" si="135"/>
        <v>0</v>
      </c>
      <c r="BQ328" s="47" t="str">
        <f t="shared" si="114"/>
        <v>OWATCHET CREEKCoho</v>
      </c>
      <c r="BR328" s="49">
        <f t="shared" si="115"/>
        <v>0</v>
      </c>
      <c r="BS328" s="49">
        <f t="shared" si="116"/>
        <v>0</v>
      </c>
      <c r="BT328" s="31">
        <v>0</v>
      </c>
      <c r="BU328" s="188">
        <f t="shared" si="117"/>
        <v>0</v>
      </c>
      <c r="BV328" s="188" t="str">
        <f t="shared" si="118"/>
        <v xml:space="preserve"> </v>
      </c>
      <c r="BW328" s="188" t="str">
        <f t="shared" si="119"/>
        <v xml:space="preserve"> </v>
      </c>
      <c r="BX328" s="188" t="str">
        <f t="shared" si="120"/>
        <v xml:space="preserve"> </v>
      </c>
      <c r="BY328" s="50" t="str">
        <f t="shared" si="121"/>
        <v>OWATCHET CREEK_Coho</v>
      </c>
      <c r="BZ328" s="50" t="str">
        <f>IFERROR(VLOOKUP(BY328,'[1]WCVI Esc'!$C$5:$W$555,18,FALSE),"-")</f>
        <v>-</v>
      </c>
      <c r="CA328" s="50" t="str">
        <f t="shared" si="122"/>
        <v>-</v>
      </c>
      <c r="CB328" s="50" t="str">
        <f>IFERROR(VLOOKUP(BY328,'[1]WCVI Esc'!$C$5:$W$555,19,FALSE),"-")</f>
        <v>-</v>
      </c>
      <c r="CC328" s="50" t="str">
        <f t="shared" si="123"/>
        <v>-</v>
      </c>
      <c r="CE328" s="342" t="str">
        <f t="shared" si="136"/>
        <v>OWATCHET CREEK_Coho</v>
      </c>
      <c r="CF328" s="341" t="str">
        <f>IFERROR(VLOOKUP(BY328,'RawPL+D'!$O$8:$AB$503,12,FALSE),"-")</f>
        <v>-</v>
      </c>
      <c r="CG328" s="338" t="str">
        <f t="shared" si="125"/>
        <v>-</v>
      </c>
      <c r="CH328" s="341" t="str">
        <f>IFERROR(VLOOKUP(BY328,'RawPL+D'!$O$8:$AB$503,13,FALSE),"-")</f>
        <v>-</v>
      </c>
      <c r="CI328" s="338" t="str">
        <f t="shared" si="126"/>
        <v>-</v>
      </c>
    </row>
    <row r="329" spans="1:87" ht="12.75" hidden="1" customHeight="1" x14ac:dyDescent="0.2">
      <c r="A329" s="28">
        <v>4</v>
      </c>
      <c r="B329" s="28">
        <v>3</v>
      </c>
      <c r="C329" s="11">
        <v>23</v>
      </c>
      <c r="D329" s="148" t="s">
        <v>356</v>
      </c>
      <c r="E329" s="10" t="s">
        <v>183</v>
      </c>
      <c r="F329" s="10" t="s">
        <v>208</v>
      </c>
      <c r="G329" s="10"/>
      <c r="H329" s="10"/>
      <c r="I329" s="10"/>
      <c r="J329" s="10"/>
      <c r="K329" s="575"/>
      <c r="L329" s="152"/>
      <c r="M329" s="164"/>
      <c r="N329" s="62"/>
      <c r="O329" s="62"/>
      <c r="P329" s="62"/>
      <c r="Q329" s="171"/>
      <c r="R329" s="62"/>
      <c r="S329" s="62"/>
      <c r="T329" s="62"/>
      <c r="U329" s="64"/>
      <c r="V329" s="164"/>
      <c r="W329" s="62"/>
      <c r="X329" s="62"/>
      <c r="Y329" s="62"/>
      <c r="Z329" s="64"/>
      <c r="AA329" s="164"/>
      <c r="AB329" s="62"/>
      <c r="AC329" s="62"/>
      <c r="AD329" s="64"/>
      <c r="AE329" s="164"/>
      <c r="AF329" s="62"/>
      <c r="AG329" s="62"/>
      <c r="AH329" s="337"/>
      <c r="AI329" s="337"/>
      <c r="AJ329" s="337"/>
      <c r="AK329" s="337"/>
      <c r="AL329" s="414"/>
      <c r="AM329" s="414"/>
      <c r="AN329" s="45"/>
      <c r="AO329" s="45"/>
      <c r="AP329" s="45"/>
      <c r="AQ329" s="396"/>
      <c r="AR329" s="100"/>
      <c r="AS329" s="485"/>
      <c r="AT329" s="24"/>
      <c r="AU329" s="24"/>
      <c r="AV329" s="24"/>
      <c r="AW329" s="18">
        <v>23</v>
      </c>
      <c r="AX329" s="69" t="s">
        <v>356</v>
      </c>
      <c r="AY329" s="243" t="s">
        <v>183</v>
      </c>
      <c r="AZ329" s="243" t="str">
        <f t="shared" ref="AZ329:AZ392" si="140">F329</f>
        <v>Pink</v>
      </c>
      <c r="BA329" s="243" t="s">
        <v>419</v>
      </c>
      <c r="BB329" s="246"/>
      <c r="BC329" s="43" t="str">
        <f t="shared" ref="BC329:BC392" si="141">IF(BX329=" ",IF(BW329=" ", IF(BV329=" ","-",BV329),BW329), BX329)</f>
        <v>-</v>
      </c>
      <c r="BD329" s="43">
        <f t="shared" si="138"/>
        <v>0</v>
      </c>
      <c r="BE329" s="193">
        <f t="shared" si="128"/>
        <v>0</v>
      </c>
      <c r="BF329" s="193">
        <f t="shared" ref="BF329:BF392" si="142">AL329</f>
        <v>0</v>
      </c>
      <c r="BG329" s="193">
        <f t="shared" ref="BG329:BG392" si="143">AH329</f>
        <v>0</v>
      </c>
      <c r="BH329" s="307" t="str">
        <f t="shared" si="137"/>
        <v>-</v>
      </c>
      <c r="BI329" s="265" t="str">
        <f t="shared" si="139"/>
        <v>-</v>
      </c>
      <c r="BJ329" s="26" t="str">
        <f t="shared" ref="BJ329:BJ392" si="144">CONCATENATE(E329,F329)</f>
        <v>OWATCHET CREEKPink</v>
      </c>
      <c r="BK329" s="26">
        <f t="shared" ref="BK329:BK392" si="145">COUNT(K329:AB329)</f>
        <v>0</v>
      </c>
      <c r="BL329" s="33">
        <f t="shared" si="135"/>
        <v>0</v>
      </c>
      <c r="BQ329" s="47" t="str">
        <f t="shared" ref="BQ329:BQ392" si="146">CONCATENATE(E329,F329)</f>
        <v>OWATCHET CREEKPink</v>
      </c>
      <c r="BR329" s="49">
        <f t="shared" ref="BR329:BR392" si="147">AP329</f>
        <v>0</v>
      </c>
      <c r="BS329" s="49">
        <f t="shared" ref="BS329:BS392" si="148">AL329</f>
        <v>0</v>
      </c>
      <c r="BT329" s="31">
        <v>0</v>
      </c>
      <c r="BU329" s="188">
        <f t="shared" ref="BU329:BU392" si="149">BB329</f>
        <v>0</v>
      </c>
      <c r="BV329" s="188" t="str">
        <f t="shared" ref="BV329:BV392" si="150">IF(ISNUMBER(Q329),Q$8,IF(ISNUMBER(P329),P$8,IF(ISNUMBER(O329),O$8,IF(ISNUMBER(N329),N$8,IF(ISNUMBER(M329),M$8,IF(ISNUMBER(L329),L$8, IF(ISNUMBER(K329),K$8," ")))))))</f>
        <v xml:space="preserve"> </v>
      </c>
      <c r="BW329" s="188" t="str">
        <f t="shared" ref="BW329:BW392" si="151">IF(ISNUMBER(W329),W$8,IF(ISNUMBER(V329),V$8,IF(ISNUMBER(U329),U$8,IF(ISNUMBER(T329),T$8,IF(ISNUMBER(S329),S$8,IF(ISNUMBER(R329),R$8," "))))))</f>
        <v xml:space="preserve"> </v>
      </c>
      <c r="BX329" s="188" t="str">
        <f t="shared" ref="BX329:BX392" si="152">IF(ISNUMBER(AB329),AB$8,IF(ISNUMBER(AA329),AA$8,IF(ISNUMBER(Z329),Z$8,IF(ISNUMBER(Y329),Y$8,IF(ISNUMBER(X329),X$8," ")))))</f>
        <v xml:space="preserve"> </v>
      </c>
      <c r="BY329" s="50" t="str">
        <f t="shared" ref="BY329:BY392" si="153">CONCATENATE(E329,"_",F329)</f>
        <v>OWATCHET CREEK_Pink</v>
      </c>
      <c r="BZ329" s="50" t="str">
        <f>IFERROR(VLOOKUP(BY329,'[1]WCVI Esc'!$C$5:$W$555,18,FALSE),"-")</f>
        <v>-</v>
      </c>
      <c r="CA329" s="50" t="str">
        <f t="shared" ref="CA329:CA392" si="154">IFERROR(ROUND(BZ329,-1),"-")</f>
        <v>-</v>
      </c>
      <c r="CB329" s="50" t="str">
        <f>IFERROR(VLOOKUP(BY329,'[1]WCVI Esc'!$C$5:$W$555,19,FALSE),"-")</f>
        <v>-</v>
      </c>
      <c r="CC329" s="50" t="str">
        <f t="shared" ref="CC329:CC392" si="155">IFERROR(ROUND(CB329,-1),"-")</f>
        <v>-</v>
      </c>
      <c r="CE329" s="342" t="str">
        <f t="shared" ref="CE329:CE360" si="156">CONCATENATE(E329,"_",F329)</f>
        <v>OWATCHET CREEK_Pink</v>
      </c>
      <c r="CF329" s="341" t="str">
        <f>IFERROR(VLOOKUP(BY329,'RawPL+D'!$O$8:$AB$503,12,FALSE),"-")</f>
        <v>-</v>
      </c>
      <c r="CG329" s="338" t="str">
        <f t="shared" ref="CG329:CG392" si="157">IFERROR(ROUND(CF329,-1),"-")</f>
        <v>-</v>
      </c>
      <c r="CH329" s="341" t="str">
        <f>IFERROR(VLOOKUP(BY329,'RawPL+D'!$O$8:$AB$503,13,FALSE),"-")</f>
        <v>-</v>
      </c>
      <c r="CI329" s="338" t="str">
        <f t="shared" ref="CI329:CI392" si="158">IFERROR(ROUND(CH329,-1),"-")</f>
        <v>-</v>
      </c>
    </row>
    <row r="330" spans="1:87" ht="12.75" hidden="1" customHeight="1" x14ac:dyDescent="0.2">
      <c r="A330" s="28">
        <v>4</v>
      </c>
      <c r="B330" s="28">
        <v>4</v>
      </c>
      <c r="C330" s="11">
        <v>23</v>
      </c>
      <c r="D330" s="148" t="s">
        <v>356</v>
      </c>
      <c r="E330" s="10" t="s">
        <v>183</v>
      </c>
      <c r="F330" s="10" t="s">
        <v>209</v>
      </c>
      <c r="G330" s="10"/>
      <c r="H330" s="10"/>
      <c r="I330" s="10"/>
      <c r="J330" s="10"/>
      <c r="K330" s="575"/>
      <c r="L330" s="152"/>
      <c r="M330" s="164"/>
      <c r="N330" s="62"/>
      <c r="O330" s="62"/>
      <c r="P330" s="62"/>
      <c r="Q330" s="171"/>
      <c r="R330" s="62"/>
      <c r="S330" s="62"/>
      <c r="T330" s="62"/>
      <c r="U330" s="64"/>
      <c r="V330" s="164"/>
      <c r="W330" s="62"/>
      <c r="X330" s="62"/>
      <c r="Y330" s="62"/>
      <c r="Z330" s="64"/>
      <c r="AA330" s="164"/>
      <c r="AB330" s="62"/>
      <c r="AC330" s="62"/>
      <c r="AD330" s="64"/>
      <c r="AE330" s="164"/>
      <c r="AF330" s="62"/>
      <c r="AG330" s="62"/>
      <c r="AH330" s="337"/>
      <c r="AI330" s="337"/>
      <c r="AJ330" s="337"/>
      <c r="AK330" s="337"/>
      <c r="AL330" s="414"/>
      <c r="AM330" s="414"/>
      <c r="AN330" s="45"/>
      <c r="AO330" s="45"/>
      <c r="AP330" s="45"/>
      <c r="AQ330" s="396"/>
      <c r="AR330" s="100"/>
      <c r="AS330" s="485"/>
      <c r="AT330" s="24"/>
      <c r="AU330" s="24"/>
      <c r="AV330" s="24"/>
      <c r="AW330" s="18">
        <v>23</v>
      </c>
      <c r="AX330" s="69" t="s">
        <v>356</v>
      </c>
      <c r="AY330" s="243" t="s">
        <v>183</v>
      </c>
      <c r="AZ330" s="243" t="str">
        <f t="shared" si="140"/>
        <v>Chum</v>
      </c>
      <c r="BA330" s="243" t="s">
        <v>419</v>
      </c>
      <c r="BB330" s="246"/>
      <c r="BC330" s="43" t="str">
        <f t="shared" si="141"/>
        <v>-</v>
      </c>
      <c r="BD330" s="43">
        <f t="shared" si="138"/>
        <v>0</v>
      </c>
      <c r="BE330" s="193">
        <f t="shared" si="128"/>
        <v>0</v>
      </c>
      <c r="BF330" s="193">
        <f t="shared" si="142"/>
        <v>0</v>
      </c>
      <c r="BG330" s="193">
        <f t="shared" si="143"/>
        <v>0</v>
      </c>
      <c r="BH330" s="307" t="str">
        <f t="shared" si="137"/>
        <v>-</v>
      </c>
      <c r="BI330" s="265" t="str">
        <f t="shared" si="139"/>
        <v>-</v>
      </c>
      <c r="BJ330" s="26" t="str">
        <f t="shared" si="144"/>
        <v>OWATCHET CREEKChum</v>
      </c>
      <c r="BK330" s="26">
        <f t="shared" si="145"/>
        <v>0</v>
      </c>
      <c r="BL330" s="33">
        <f t="shared" si="135"/>
        <v>0</v>
      </c>
      <c r="BQ330" s="47" t="str">
        <f t="shared" si="146"/>
        <v>OWATCHET CREEKChum</v>
      </c>
      <c r="BR330" s="49">
        <f t="shared" si="147"/>
        <v>0</v>
      </c>
      <c r="BS330" s="49">
        <f t="shared" si="148"/>
        <v>0</v>
      </c>
      <c r="BT330" s="31">
        <v>0</v>
      </c>
      <c r="BU330" s="188">
        <f t="shared" si="149"/>
        <v>0</v>
      </c>
      <c r="BV330" s="188" t="str">
        <f t="shared" si="150"/>
        <v xml:space="preserve"> </v>
      </c>
      <c r="BW330" s="188" t="str">
        <f t="shared" si="151"/>
        <v xml:space="preserve"> </v>
      </c>
      <c r="BX330" s="188" t="str">
        <f t="shared" si="152"/>
        <v xml:space="preserve"> </v>
      </c>
      <c r="BY330" s="50" t="str">
        <f t="shared" si="153"/>
        <v>OWATCHET CREEK_Chum</v>
      </c>
      <c r="BZ330" s="50" t="str">
        <f>IFERROR(VLOOKUP(BY330,'[1]WCVI Esc'!$C$5:$W$555,18,FALSE),"-")</f>
        <v>-</v>
      </c>
      <c r="CA330" s="50" t="str">
        <f t="shared" si="154"/>
        <v>-</v>
      </c>
      <c r="CB330" s="50" t="str">
        <f>IFERROR(VLOOKUP(BY330,'[1]WCVI Esc'!$C$5:$W$555,19,FALSE),"-")</f>
        <v>-</v>
      </c>
      <c r="CC330" s="50" t="str">
        <f t="shared" si="155"/>
        <v>-</v>
      </c>
      <c r="CE330" s="342" t="str">
        <f t="shared" si="156"/>
        <v>OWATCHET CREEK_Chum</v>
      </c>
      <c r="CF330" s="341" t="str">
        <f>IFERROR(VLOOKUP(BY330,'RawPL+D'!$O$8:$AB$503,12,FALSE),"-")</f>
        <v>-</v>
      </c>
      <c r="CG330" s="338" t="str">
        <f t="shared" si="157"/>
        <v>-</v>
      </c>
      <c r="CH330" s="341" t="str">
        <f>IFERROR(VLOOKUP(BY330,'RawPL+D'!$O$8:$AB$503,13,FALSE),"-")</f>
        <v>-</v>
      </c>
      <c r="CI330" s="338" t="str">
        <f t="shared" si="158"/>
        <v>-</v>
      </c>
    </row>
    <row r="331" spans="1:87" ht="12.75" hidden="1" customHeight="1" x14ac:dyDescent="0.2">
      <c r="A331" s="28">
        <v>4</v>
      </c>
      <c r="B331" s="28">
        <v>5</v>
      </c>
      <c r="C331" s="11">
        <v>23</v>
      </c>
      <c r="D331" s="148" t="s">
        <v>356</v>
      </c>
      <c r="E331" s="10" t="s">
        <v>183</v>
      </c>
      <c r="F331" s="10" t="s">
        <v>210</v>
      </c>
      <c r="G331" s="10"/>
      <c r="H331" s="10"/>
      <c r="I331" s="10"/>
      <c r="J331" s="10"/>
      <c r="K331" s="575"/>
      <c r="L331" s="152"/>
      <c r="M331" s="164"/>
      <c r="N331" s="62"/>
      <c r="O331" s="62"/>
      <c r="P331" s="62"/>
      <c r="Q331" s="171"/>
      <c r="R331" s="62"/>
      <c r="S331" s="62"/>
      <c r="T331" s="62"/>
      <c r="U331" s="64"/>
      <c r="V331" s="164"/>
      <c r="W331" s="62"/>
      <c r="X331" s="62"/>
      <c r="Y331" s="62"/>
      <c r="Z331" s="64"/>
      <c r="AA331" s="164"/>
      <c r="AB331" s="62"/>
      <c r="AC331" s="62"/>
      <c r="AD331" s="64"/>
      <c r="AE331" s="164"/>
      <c r="AF331" s="62"/>
      <c r="AG331" s="62"/>
      <c r="AH331" s="337"/>
      <c r="AI331" s="337"/>
      <c r="AJ331" s="337"/>
      <c r="AK331" s="337"/>
      <c r="AL331" s="414"/>
      <c r="AM331" s="414"/>
      <c r="AN331" s="45"/>
      <c r="AO331" s="45"/>
      <c r="AP331" s="45"/>
      <c r="AQ331" s="396"/>
      <c r="AR331"/>
      <c r="AS331" s="485"/>
      <c r="AT331" s="24"/>
      <c r="AU331" s="24"/>
      <c r="AV331" s="24"/>
      <c r="AW331" s="18">
        <v>23</v>
      </c>
      <c r="AX331" s="69" t="s">
        <v>356</v>
      </c>
      <c r="AY331" s="243" t="s">
        <v>183</v>
      </c>
      <c r="AZ331" s="243" t="str">
        <f t="shared" si="140"/>
        <v>Chinook</v>
      </c>
      <c r="BA331" s="243" t="s">
        <v>419</v>
      </c>
      <c r="BB331" s="246"/>
      <c r="BC331" s="43" t="str">
        <f t="shared" si="141"/>
        <v>-</v>
      </c>
      <c r="BD331" s="43">
        <f t="shared" si="138"/>
        <v>0</v>
      </c>
      <c r="BE331" s="193">
        <f t="shared" si="128"/>
        <v>0</v>
      </c>
      <c r="BF331" s="193">
        <f t="shared" si="142"/>
        <v>0</v>
      </c>
      <c r="BG331" s="193">
        <f t="shared" si="143"/>
        <v>0</v>
      </c>
      <c r="BH331" s="307" t="str">
        <f t="shared" si="137"/>
        <v>-</v>
      </c>
      <c r="BI331" s="265" t="str">
        <f t="shared" si="139"/>
        <v>-</v>
      </c>
      <c r="BJ331" s="26" t="str">
        <f t="shared" si="144"/>
        <v>OWATCHET CREEKChinook</v>
      </c>
      <c r="BK331" s="26">
        <f t="shared" si="145"/>
        <v>0</v>
      </c>
      <c r="BL331" s="33">
        <f t="shared" si="135"/>
        <v>0</v>
      </c>
      <c r="BQ331" s="47" t="str">
        <f t="shared" si="146"/>
        <v>OWATCHET CREEKChinook</v>
      </c>
      <c r="BR331" s="49">
        <f t="shared" si="147"/>
        <v>0</v>
      </c>
      <c r="BS331" s="49">
        <f t="shared" si="148"/>
        <v>0</v>
      </c>
      <c r="BT331" s="31">
        <v>0</v>
      </c>
      <c r="BU331" s="188">
        <f t="shared" si="149"/>
        <v>0</v>
      </c>
      <c r="BV331" s="188" t="str">
        <f t="shared" si="150"/>
        <v xml:space="preserve"> </v>
      </c>
      <c r="BW331" s="188" t="str">
        <f t="shared" si="151"/>
        <v xml:space="preserve"> </v>
      </c>
      <c r="BX331" s="188" t="str">
        <f t="shared" si="152"/>
        <v xml:space="preserve"> </v>
      </c>
      <c r="BY331" s="50" t="str">
        <f t="shared" si="153"/>
        <v>OWATCHET CREEK_Chinook</v>
      </c>
      <c r="BZ331" s="50" t="str">
        <f>IFERROR(VLOOKUP(BY331,'[1]WCVI Esc'!$C$5:$W$555,18,FALSE),"-")</f>
        <v>-</v>
      </c>
      <c r="CA331" s="50" t="str">
        <f t="shared" si="154"/>
        <v>-</v>
      </c>
      <c r="CB331" s="50" t="str">
        <f>IFERROR(VLOOKUP(BY331,'[1]WCVI Esc'!$C$5:$W$555,19,FALSE),"-")</f>
        <v>-</v>
      </c>
      <c r="CC331" s="50" t="str">
        <f t="shared" si="155"/>
        <v>-</v>
      </c>
      <c r="CE331" s="342" t="str">
        <f t="shared" si="156"/>
        <v>OWATCHET CREEK_Chinook</v>
      </c>
      <c r="CF331" s="341" t="str">
        <f>IFERROR(VLOOKUP(BY331,'RawPL+D'!$O$8:$AB$503,12,FALSE),"-")</f>
        <v>-</v>
      </c>
      <c r="CG331" s="338" t="str">
        <f t="shared" si="157"/>
        <v>-</v>
      </c>
      <c r="CH331" s="341" t="str">
        <f>IFERROR(VLOOKUP(BY331,'RawPL+D'!$O$8:$AB$503,13,FALSE),"-")</f>
        <v>-</v>
      </c>
      <c r="CI331" s="338" t="str">
        <f t="shared" si="158"/>
        <v>-</v>
      </c>
    </row>
    <row r="332" spans="1:87" ht="12.75" hidden="1" customHeight="1" x14ac:dyDescent="0.2">
      <c r="A332" s="28">
        <v>4</v>
      </c>
      <c r="B332" s="28">
        <v>6</v>
      </c>
      <c r="C332" s="11">
        <v>23</v>
      </c>
      <c r="D332" s="148" t="s">
        <v>356</v>
      </c>
      <c r="E332" s="10" t="s">
        <v>183</v>
      </c>
      <c r="F332" s="10" t="s">
        <v>211</v>
      </c>
      <c r="G332" s="10"/>
      <c r="H332" s="10"/>
      <c r="I332" s="10"/>
      <c r="J332" s="10"/>
      <c r="K332" s="575"/>
      <c r="L332" s="152"/>
      <c r="M332" s="164"/>
      <c r="N332" s="62"/>
      <c r="O332" s="62"/>
      <c r="P332" s="177"/>
      <c r="Q332" s="171"/>
      <c r="R332" s="62"/>
      <c r="S332" s="62"/>
      <c r="T332" s="62"/>
      <c r="U332" s="64"/>
      <c r="V332" s="164"/>
      <c r="W332" s="62"/>
      <c r="X332" s="62"/>
      <c r="Y332" s="62"/>
      <c r="Z332" s="64"/>
      <c r="AA332" s="164"/>
      <c r="AB332" s="62"/>
      <c r="AC332" s="62"/>
      <c r="AD332" s="64"/>
      <c r="AE332" s="164"/>
      <c r="AF332" s="62"/>
      <c r="AG332" s="62"/>
      <c r="AH332" s="337"/>
      <c r="AI332" s="337"/>
      <c r="AJ332" s="337"/>
      <c r="AK332" s="337"/>
      <c r="AL332" s="414"/>
      <c r="AM332" s="414"/>
      <c r="AN332" s="45"/>
      <c r="AO332" s="45"/>
      <c r="AP332" s="45"/>
      <c r="AQ332" s="396"/>
      <c r="AR332" s="100"/>
      <c r="AS332" s="485"/>
      <c r="AT332" s="24"/>
      <c r="AU332" s="24"/>
      <c r="AV332" s="24"/>
      <c r="AW332" s="18">
        <v>23</v>
      </c>
      <c r="AX332" s="69" t="s">
        <v>356</v>
      </c>
      <c r="AY332" s="243" t="s">
        <v>183</v>
      </c>
      <c r="AZ332" s="243" t="str">
        <f t="shared" si="140"/>
        <v>Steelhead</v>
      </c>
      <c r="BA332" s="243" t="s">
        <v>419</v>
      </c>
      <c r="BB332" s="246"/>
      <c r="BC332" s="43" t="str">
        <f t="shared" si="141"/>
        <v>-</v>
      </c>
      <c r="BD332" s="43">
        <f t="shared" si="138"/>
        <v>0</v>
      </c>
      <c r="BE332" s="193">
        <f t="shared" si="128"/>
        <v>0</v>
      </c>
      <c r="BF332" s="193">
        <f t="shared" si="142"/>
        <v>0</v>
      </c>
      <c r="BG332" s="193">
        <f t="shared" si="143"/>
        <v>0</v>
      </c>
      <c r="BH332" s="307" t="str">
        <f t="shared" si="137"/>
        <v>-</v>
      </c>
      <c r="BI332" s="265" t="str">
        <f t="shared" si="139"/>
        <v>-</v>
      </c>
      <c r="BJ332" s="26" t="str">
        <f t="shared" si="144"/>
        <v>OWATCHET CREEKSteelhead</v>
      </c>
      <c r="BK332" s="26">
        <f t="shared" si="145"/>
        <v>0</v>
      </c>
      <c r="BL332" s="33">
        <f t="shared" si="135"/>
        <v>0</v>
      </c>
      <c r="BQ332" s="47" t="str">
        <f t="shared" si="146"/>
        <v>OWATCHET CREEKSteelhead</v>
      </c>
      <c r="BR332" s="49">
        <f t="shared" si="147"/>
        <v>0</v>
      </c>
      <c r="BS332" s="49">
        <f t="shared" si="148"/>
        <v>0</v>
      </c>
      <c r="BT332" s="31">
        <v>0</v>
      </c>
      <c r="BU332" s="188">
        <f t="shared" si="149"/>
        <v>0</v>
      </c>
      <c r="BV332" s="188" t="str">
        <f t="shared" si="150"/>
        <v xml:space="preserve"> </v>
      </c>
      <c r="BW332" s="188" t="str">
        <f t="shared" si="151"/>
        <v xml:space="preserve"> </v>
      </c>
      <c r="BX332" s="188" t="str">
        <f t="shared" si="152"/>
        <v xml:space="preserve"> </v>
      </c>
      <c r="BY332" s="50" t="str">
        <f t="shared" si="153"/>
        <v>OWATCHET CREEK_Steelhead</v>
      </c>
      <c r="BZ332" s="50" t="str">
        <f>IFERROR(VLOOKUP(BY332,'[1]WCVI Esc'!$C$5:$W$555,18,FALSE),"-")</f>
        <v>-</v>
      </c>
      <c r="CA332" s="50" t="str">
        <f t="shared" si="154"/>
        <v>-</v>
      </c>
      <c r="CB332" s="50" t="str">
        <f>IFERROR(VLOOKUP(BY332,'[1]WCVI Esc'!$C$5:$W$555,19,FALSE),"-")</f>
        <v>-</v>
      </c>
      <c r="CC332" s="50" t="str">
        <f t="shared" si="155"/>
        <v>-</v>
      </c>
      <c r="CE332" s="342" t="str">
        <f t="shared" si="156"/>
        <v>OWATCHET CREEK_Steelhead</v>
      </c>
      <c r="CF332" s="341" t="str">
        <f>IFERROR(VLOOKUP(BY332,'RawPL+D'!$O$8:$AB$503,12,FALSE),"-")</f>
        <v>-</v>
      </c>
      <c r="CG332" s="338" t="str">
        <f t="shared" si="157"/>
        <v>-</v>
      </c>
      <c r="CH332" s="341" t="str">
        <f>IFERROR(VLOOKUP(BY332,'RawPL+D'!$O$8:$AB$503,13,FALSE),"-")</f>
        <v>-</v>
      </c>
      <c r="CI332" s="338" t="str">
        <f t="shared" si="158"/>
        <v>-</v>
      </c>
    </row>
    <row r="333" spans="1:87" ht="12.75" hidden="1" customHeight="1" x14ac:dyDescent="0.2">
      <c r="A333" s="28">
        <v>4</v>
      </c>
      <c r="B333" s="28">
        <v>1</v>
      </c>
      <c r="C333" s="11">
        <v>23</v>
      </c>
      <c r="D333" s="148" t="s">
        <v>320</v>
      </c>
      <c r="E333" s="10" t="s">
        <v>87</v>
      </c>
      <c r="F333" s="10" t="s">
        <v>207</v>
      </c>
      <c r="G333" s="10"/>
      <c r="H333" s="10"/>
      <c r="I333" s="10"/>
      <c r="J333" s="10"/>
      <c r="K333" s="575"/>
      <c r="L333" s="152"/>
      <c r="M333" s="164"/>
      <c r="N333" s="62"/>
      <c r="O333" s="62"/>
      <c r="P333" s="177"/>
      <c r="Q333" s="171"/>
      <c r="R333" s="62"/>
      <c r="S333" s="62"/>
      <c r="T333" s="62"/>
      <c r="U333" s="64"/>
      <c r="V333" s="164"/>
      <c r="W333" s="62"/>
      <c r="X333" s="62"/>
      <c r="Y333" s="62"/>
      <c r="Z333" s="64"/>
      <c r="AA333" s="164"/>
      <c r="AB333" s="62"/>
      <c r="AC333" s="62"/>
      <c r="AD333" s="64"/>
      <c r="AE333" s="164"/>
      <c r="AF333" s="62"/>
      <c r="AG333" s="62"/>
      <c r="AH333" s="337"/>
      <c r="AI333" s="337"/>
      <c r="AJ333" s="337"/>
      <c r="AK333" s="337"/>
      <c r="AL333" s="414"/>
      <c r="AM333" s="414"/>
      <c r="AN333" s="45"/>
      <c r="AO333" s="45"/>
      <c r="AP333" s="45"/>
      <c r="AQ333" s="396"/>
      <c r="AR333" s="100"/>
      <c r="AS333" s="485"/>
      <c r="AT333" s="100"/>
      <c r="AU333" s="100"/>
      <c r="AV333" s="100"/>
      <c r="AW333" s="18">
        <v>23</v>
      </c>
      <c r="AX333" s="69" t="s">
        <v>320</v>
      </c>
      <c r="AY333" s="243" t="s">
        <v>87</v>
      </c>
      <c r="AZ333" s="243" t="str">
        <f t="shared" si="140"/>
        <v>Sockeye</v>
      </c>
      <c r="BA333" s="243" t="s">
        <v>419</v>
      </c>
      <c r="BB333" s="246"/>
      <c r="BC333" s="43" t="str">
        <f t="shared" si="141"/>
        <v>-</v>
      </c>
      <c r="BD333" s="43">
        <f t="shared" si="138"/>
        <v>0</v>
      </c>
      <c r="BE333" s="193">
        <f t="shared" si="128"/>
        <v>0</v>
      </c>
      <c r="BF333" s="193">
        <f t="shared" si="142"/>
        <v>0</v>
      </c>
      <c r="BG333" s="193">
        <f t="shared" si="143"/>
        <v>0</v>
      </c>
      <c r="BH333" s="307" t="str">
        <f t="shared" si="137"/>
        <v>-</v>
      </c>
      <c r="BI333" s="265" t="str">
        <f t="shared" si="139"/>
        <v>-</v>
      </c>
      <c r="BJ333" s="26" t="str">
        <f t="shared" si="144"/>
        <v>ASH RIVERSockeye</v>
      </c>
      <c r="BK333" s="26">
        <f t="shared" si="145"/>
        <v>0</v>
      </c>
      <c r="BL333" s="33">
        <f t="shared" si="135"/>
        <v>0</v>
      </c>
      <c r="BQ333" s="47" t="str">
        <f t="shared" si="146"/>
        <v>ASH RIVERSockeye</v>
      </c>
      <c r="BR333" s="49">
        <f t="shared" si="147"/>
        <v>0</v>
      </c>
      <c r="BS333" s="49">
        <f t="shared" si="148"/>
        <v>0</v>
      </c>
      <c r="BT333" s="31">
        <v>0</v>
      </c>
      <c r="BU333" s="188">
        <f t="shared" si="149"/>
        <v>0</v>
      </c>
      <c r="BV333" s="188" t="str">
        <f t="shared" si="150"/>
        <v xml:space="preserve"> </v>
      </c>
      <c r="BW333" s="188" t="str">
        <f t="shared" si="151"/>
        <v xml:space="preserve"> </v>
      </c>
      <c r="BX333" s="188" t="str">
        <f t="shared" si="152"/>
        <v xml:space="preserve"> </v>
      </c>
      <c r="BY333" s="50" t="str">
        <f t="shared" si="153"/>
        <v>ASH RIVER_Sockeye</v>
      </c>
      <c r="BZ333" s="50" t="str">
        <f>IFERROR(VLOOKUP(BY333,'[1]WCVI Esc'!$C$5:$W$555,18,FALSE),"-")</f>
        <v>-</v>
      </c>
      <c r="CA333" s="50" t="str">
        <f t="shared" si="154"/>
        <v>-</v>
      </c>
      <c r="CB333" s="50" t="str">
        <f>IFERROR(VLOOKUP(BY333,'[1]WCVI Esc'!$C$5:$W$555,19,FALSE),"-")</f>
        <v>-</v>
      </c>
      <c r="CC333" s="50" t="str">
        <f t="shared" si="155"/>
        <v>-</v>
      </c>
      <c r="CE333" s="342" t="str">
        <f t="shared" si="156"/>
        <v>ASH RIVER_Sockeye</v>
      </c>
      <c r="CF333" s="341" t="str">
        <f>IFERROR(VLOOKUP(BY333,'RawPL+D'!$O$8:$AB$503,12,FALSE),"-")</f>
        <v>-</v>
      </c>
      <c r="CG333" s="338" t="str">
        <f t="shared" si="157"/>
        <v>-</v>
      </c>
      <c r="CH333" s="341" t="str">
        <f>IFERROR(VLOOKUP(BY333,'RawPL+D'!$O$8:$AB$503,13,FALSE),"-")</f>
        <v>-</v>
      </c>
      <c r="CI333" s="338" t="str">
        <f t="shared" si="158"/>
        <v>-</v>
      </c>
    </row>
    <row r="334" spans="1:87" ht="12.75" hidden="1" customHeight="1" x14ac:dyDescent="0.2">
      <c r="A334" s="28">
        <v>4</v>
      </c>
      <c r="B334" s="28">
        <v>2</v>
      </c>
      <c r="C334" s="11">
        <v>23</v>
      </c>
      <c r="D334" s="148" t="s">
        <v>320</v>
      </c>
      <c r="E334" s="10" t="s">
        <v>87</v>
      </c>
      <c r="F334" s="10" t="s">
        <v>219</v>
      </c>
      <c r="G334" s="10"/>
      <c r="H334" s="10"/>
      <c r="I334" s="10"/>
      <c r="J334" s="10"/>
      <c r="K334" s="575"/>
      <c r="L334" s="152"/>
      <c r="M334" s="164"/>
      <c r="N334" s="62"/>
      <c r="O334" s="62"/>
      <c r="P334" s="177"/>
      <c r="Q334" s="171"/>
      <c r="R334" s="62"/>
      <c r="S334" s="62"/>
      <c r="T334" s="62"/>
      <c r="U334" s="64"/>
      <c r="V334" s="164"/>
      <c r="W334" s="62"/>
      <c r="X334" s="62"/>
      <c r="Y334" s="62"/>
      <c r="Z334" s="64"/>
      <c r="AA334" s="164"/>
      <c r="AB334" s="62"/>
      <c r="AC334" s="62"/>
      <c r="AD334" s="64"/>
      <c r="AE334" s="164"/>
      <c r="AF334" s="62"/>
      <c r="AG334" s="62"/>
      <c r="AH334" s="337"/>
      <c r="AI334" s="337"/>
      <c r="AJ334" s="337"/>
      <c r="AK334" s="337"/>
      <c r="AL334" s="414"/>
      <c r="AM334" s="414"/>
      <c r="AN334" s="45"/>
      <c r="AO334" s="45"/>
      <c r="AP334" s="45"/>
      <c r="AQ334" s="396"/>
      <c r="AR334" s="100"/>
      <c r="AS334" s="485"/>
      <c r="AT334" s="100"/>
      <c r="AU334" s="100"/>
      <c r="AV334" s="100"/>
      <c r="AW334" s="18">
        <v>23</v>
      </c>
      <c r="AX334" s="69" t="s">
        <v>320</v>
      </c>
      <c r="AY334" s="243" t="s">
        <v>87</v>
      </c>
      <c r="AZ334" s="243" t="str">
        <f t="shared" si="140"/>
        <v>Coho</v>
      </c>
      <c r="BA334" s="243" t="s">
        <v>419</v>
      </c>
      <c r="BB334" s="246"/>
      <c r="BC334" s="43" t="str">
        <f t="shared" si="141"/>
        <v>-</v>
      </c>
      <c r="BD334" s="43">
        <f t="shared" si="138"/>
        <v>0</v>
      </c>
      <c r="BE334" s="193">
        <f t="shared" si="128"/>
        <v>0</v>
      </c>
      <c r="BF334" s="193">
        <f t="shared" si="142"/>
        <v>0</v>
      </c>
      <c r="BG334" s="193">
        <f t="shared" si="143"/>
        <v>0</v>
      </c>
      <c r="BH334" s="307" t="str">
        <f t="shared" si="137"/>
        <v>-</v>
      </c>
      <c r="BI334" s="265" t="str">
        <f t="shared" si="139"/>
        <v>-</v>
      </c>
      <c r="BJ334" s="26" t="str">
        <f t="shared" si="144"/>
        <v>ASH RIVERCoho</v>
      </c>
      <c r="BK334" s="26">
        <f t="shared" si="145"/>
        <v>0</v>
      </c>
      <c r="BL334" s="33">
        <f t="shared" si="135"/>
        <v>0</v>
      </c>
      <c r="BQ334" s="47" t="str">
        <f t="shared" si="146"/>
        <v>ASH RIVERCoho</v>
      </c>
      <c r="BR334" s="49">
        <f t="shared" si="147"/>
        <v>0</v>
      </c>
      <c r="BS334" s="49">
        <f t="shared" si="148"/>
        <v>0</v>
      </c>
      <c r="BT334" s="31">
        <v>0</v>
      </c>
      <c r="BU334" s="188">
        <f t="shared" si="149"/>
        <v>0</v>
      </c>
      <c r="BV334" s="188" t="str">
        <f t="shared" si="150"/>
        <v xml:space="preserve"> </v>
      </c>
      <c r="BW334" s="188" t="str">
        <f t="shared" si="151"/>
        <v xml:space="preserve"> </v>
      </c>
      <c r="BX334" s="188" t="str">
        <f t="shared" si="152"/>
        <v xml:space="preserve"> </v>
      </c>
      <c r="BY334" s="50" t="str">
        <f t="shared" si="153"/>
        <v>ASH RIVER_Coho</v>
      </c>
      <c r="BZ334" s="50" t="str">
        <f>IFERROR(VLOOKUP(BY334,'[1]WCVI Esc'!$C$5:$W$555,18,FALSE),"-")</f>
        <v>-</v>
      </c>
      <c r="CA334" s="50" t="str">
        <f t="shared" si="154"/>
        <v>-</v>
      </c>
      <c r="CB334" s="50" t="str">
        <f>IFERROR(VLOOKUP(BY334,'[1]WCVI Esc'!$C$5:$W$555,19,FALSE),"-")</f>
        <v>-</v>
      </c>
      <c r="CC334" s="50" t="str">
        <f t="shared" si="155"/>
        <v>-</v>
      </c>
      <c r="CE334" s="342" t="str">
        <f t="shared" si="156"/>
        <v>ASH RIVER_Coho</v>
      </c>
      <c r="CF334" s="341" t="str">
        <f>IFERROR(VLOOKUP(BY334,'RawPL+D'!$O$8:$AB$503,12,FALSE),"-")</f>
        <v>-</v>
      </c>
      <c r="CG334" s="338" t="str">
        <f t="shared" si="157"/>
        <v>-</v>
      </c>
      <c r="CH334" s="341" t="str">
        <f>IFERROR(VLOOKUP(BY334,'RawPL+D'!$O$8:$AB$503,13,FALSE),"-")</f>
        <v>-</v>
      </c>
      <c r="CI334" s="338" t="str">
        <f t="shared" si="158"/>
        <v>-</v>
      </c>
    </row>
    <row r="335" spans="1:87" ht="12.75" hidden="1" customHeight="1" x14ac:dyDescent="0.2">
      <c r="A335" s="28">
        <v>4</v>
      </c>
      <c r="B335" s="28">
        <v>3</v>
      </c>
      <c r="C335" s="11">
        <v>23</v>
      </c>
      <c r="D335" s="148" t="s">
        <v>320</v>
      </c>
      <c r="E335" s="10" t="s">
        <v>87</v>
      </c>
      <c r="F335" s="10" t="s">
        <v>208</v>
      </c>
      <c r="G335" s="10"/>
      <c r="H335" s="10"/>
      <c r="I335" s="10"/>
      <c r="J335" s="10"/>
      <c r="K335" s="575"/>
      <c r="L335" s="152"/>
      <c r="M335" s="164"/>
      <c r="N335" s="62"/>
      <c r="O335" s="62"/>
      <c r="P335" s="177"/>
      <c r="Q335" s="171"/>
      <c r="R335" s="62"/>
      <c r="S335" s="62"/>
      <c r="T335" s="62"/>
      <c r="U335" s="64"/>
      <c r="V335" s="164"/>
      <c r="W335" s="62"/>
      <c r="X335" s="62"/>
      <c r="Y335" s="62"/>
      <c r="Z335" s="64"/>
      <c r="AA335" s="164"/>
      <c r="AB335" s="62"/>
      <c r="AC335" s="62"/>
      <c r="AD335" s="64"/>
      <c r="AE335" s="164"/>
      <c r="AF335" s="62"/>
      <c r="AG335" s="62"/>
      <c r="AH335" s="337"/>
      <c r="AI335" s="337"/>
      <c r="AJ335" s="337"/>
      <c r="AK335" s="337"/>
      <c r="AL335" s="414"/>
      <c r="AM335" s="414"/>
      <c r="AN335" s="45"/>
      <c r="AO335" s="45"/>
      <c r="AP335" s="45"/>
      <c r="AQ335" s="396"/>
      <c r="AR335" s="100"/>
      <c r="AS335" s="485"/>
      <c r="AT335" s="100"/>
      <c r="AU335" s="100"/>
      <c r="AV335" s="100"/>
      <c r="AW335" s="18">
        <v>23</v>
      </c>
      <c r="AX335" s="69" t="s">
        <v>320</v>
      </c>
      <c r="AY335" s="243" t="s">
        <v>87</v>
      </c>
      <c r="AZ335" s="243" t="str">
        <f t="shared" si="140"/>
        <v>Pink</v>
      </c>
      <c r="BA335" s="243" t="s">
        <v>419</v>
      </c>
      <c r="BB335" s="246"/>
      <c r="BC335" s="43" t="str">
        <f t="shared" si="141"/>
        <v>-</v>
      </c>
      <c r="BD335" s="43">
        <f t="shared" si="138"/>
        <v>0</v>
      </c>
      <c r="BE335" s="193">
        <f t="shared" si="128"/>
        <v>0</v>
      </c>
      <c r="BF335" s="193">
        <f t="shared" si="142"/>
        <v>0</v>
      </c>
      <c r="BG335" s="193">
        <f t="shared" si="143"/>
        <v>0</v>
      </c>
      <c r="BH335" s="307" t="str">
        <f t="shared" si="137"/>
        <v>-</v>
      </c>
      <c r="BI335" s="265" t="str">
        <f t="shared" si="139"/>
        <v>-</v>
      </c>
      <c r="BJ335" s="26" t="str">
        <f t="shared" si="144"/>
        <v>ASH RIVERPink</v>
      </c>
      <c r="BK335" s="26">
        <f t="shared" si="145"/>
        <v>0</v>
      </c>
      <c r="BL335" s="33">
        <f t="shared" si="135"/>
        <v>0</v>
      </c>
      <c r="BQ335" s="47" t="str">
        <f t="shared" si="146"/>
        <v>ASH RIVERPink</v>
      </c>
      <c r="BR335" s="49">
        <f t="shared" si="147"/>
        <v>0</v>
      </c>
      <c r="BS335" s="49">
        <f t="shared" si="148"/>
        <v>0</v>
      </c>
      <c r="BT335" s="31">
        <v>0</v>
      </c>
      <c r="BU335" s="188">
        <f t="shared" si="149"/>
        <v>0</v>
      </c>
      <c r="BV335" s="188" t="str">
        <f t="shared" si="150"/>
        <v xml:space="preserve"> </v>
      </c>
      <c r="BW335" s="188" t="str">
        <f t="shared" si="151"/>
        <v xml:space="preserve"> </v>
      </c>
      <c r="BX335" s="188" t="str">
        <f t="shared" si="152"/>
        <v xml:space="preserve"> </v>
      </c>
      <c r="BY335" s="50" t="str">
        <f t="shared" si="153"/>
        <v>ASH RIVER_Pink</v>
      </c>
      <c r="BZ335" s="50" t="str">
        <f>IFERROR(VLOOKUP(BY335,'[1]WCVI Esc'!$C$5:$W$555,18,FALSE),"-")</f>
        <v>-</v>
      </c>
      <c r="CA335" s="50" t="str">
        <f t="shared" si="154"/>
        <v>-</v>
      </c>
      <c r="CB335" s="50" t="str">
        <f>IFERROR(VLOOKUP(BY335,'[1]WCVI Esc'!$C$5:$W$555,19,FALSE),"-")</f>
        <v>-</v>
      </c>
      <c r="CC335" s="50" t="str">
        <f t="shared" si="155"/>
        <v>-</v>
      </c>
      <c r="CE335" s="342" t="str">
        <f t="shared" si="156"/>
        <v>ASH RIVER_Pink</v>
      </c>
      <c r="CF335" s="341" t="str">
        <f>IFERROR(VLOOKUP(BY335,'RawPL+D'!$O$8:$AB$503,12,FALSE),"-")</f>
        <v>-</v>
      </c>
      <c r="CG335" s="338" t="str">
        <f t="shared" si="157"/>
        <v>-</v>
      </c>
      <c r="CH335" s="341" t="str">
        <f>IFERROR(VLOOKUP(BY335,'RawPL+D'!$O$8:$AB$503,13,FALSE),"-")</f>
        <v>-</v>
      </c>
      <c r="CI335" s="338" t="str">
        <f t="shared" si="158"/>
        <v>-</v>
      </c>
    </row>
    <row r="336" spans="1:87" ht="12.75" hidden="1" customHeight="1" x14ac:dyDescent="0.2">
      <c r="A336" s="28">
        <v>4</v>
      </c>
      <c r="B336" s="28">
        <v>4</v>
      </c>
      <c r="C336" s="11">
        <v>23</v>
      </c>
      <c r="D336" s="148" t="s">
        <v>320</v>
      </c>
      <c r="E336" s="10" t="s">
        <v>87</v>
      </c>
      <c r="F336" s="10" t="s">
        <v>209</v>
      </c>
      <c r="G336" s="10"/>
      <c r="H336" s="10"/>
      <c r="I336" s="10"/>
      <c r="J336" s="10"/>
      <c r="K336" s="575"/>
      <c r="L336" s="152"/>
      <c r="M336" s="164"/>
      <c r="N336" s="62"/>
      <c r="O336" s="62"/>
      <c r="P336" s="177"/>
      <c r="Q336" s="171"/>
      <c r="R336" s="62"/>
      <c r="S336" s="62"/>
      <c r="T336" s="62"/>
      <c r="U336" s="64"/>
      <c r="V336" s="164"/>
      <c r="W336" s="62"/>
      <c r="X336" s="62"/>
      <c r="Y336" s="62"/>
      <c r="Z336" s="64"/>
      <c r="AA336" s="164"/>
      <c r="AB336" s="62"/>
      <c r="AC336" s="62"/>
      <c r="AD336" s="64"/>
      <c r="AE336" s="164"/>
      <c r="AF336" s="62"/>
      <c r="AG336" s="62"/>
      <c r="AH336" s="337"/>
      <c r="AI336" s="337"/>
      <c r="AJ336" s="337"/>
      <c r="AK336" s="337"/>
      <c r="AL336" s="414"/>
      <c r="AM336" s="414"/>
      <c r="AN336" s="45"/>
      <c r="AO336" s="45"/>
      <c r="AP336" s="45"/>
      <c r="AQ336" s="396"/>
      <c r="AR336" s="100"/>
      <c r="AS336" s="485"/>
      <c r="AT336" s="100"/>
      <c r="AU336" s="100"/>
      <c r="AV336" s="100"/>
      <c r="AW336" s="18">
        <v>23</v>
      </c>
      <c r="AX336" s="69" t="s">
        <v>320</v>
      </c>
      <c r="AY336" s="243" t="s">
        <v>87</v>
      </c>
      <c r="AZ336" s="243" t="str">
        <f t="shared" si="140"/>
        <v>Chum</v>
      </c>
      <c r="BA336" s="243" t="s">
        <v>419</v>
      </c>
      <c r="BB336" s="246"/>
      <c r="BC336" s="43" t="str">
        <f t="shared" si="141"/>
        <v>-</v>
      </c>
      <c r="BD336" s="43">
        <f t="shared" si="138"/>
        <v>0</v>
      </c>
      <c r="BE336" s="193">
        <f t="shared" si="128"/>
        <v>0</v>
      </c>
      <c r="BF336" s="193">
        <f t="shared" si="142"/>
        <v>0</v>
      </c>
      <c r="BG336" s="193">
        <f t="shared" si="143"/>
        <v>0</v>
      </c>
      <c r="BH336" s="307" t="str">
        <f t="shared" si="137"/>
        <v>-</v>
      </c>
      <c r="BI336" s="265" t="str">
        <f t="shared" si="139"/>
        <v>-</v>
      </c>
      <c r="BJ336" s="26" t="str">
        <f t="shared" si="144"/>
        <v>ASH RIVERChum</v>
      </c>
      <c r="BK336" s="26">
        <f t="shared" si="145"/>
        <v>0</v>
      </c>
      <c r="BL336" s="33">
        <f t="shared" si="135"/>
        <v>0</v>
      </c>
      <c r="BQ336" s="47" t="str">
        <f t="shared" si="146"/>
        <v>ASH RIVERChum</v>
      </c>
      <c r="BR336" s="49">
        <f t="shared" si="147"/>
        <v>0</v>
      </c>
      <c r="BS336" s="49">
        <f t="shared" si="148"/>
        <v>0</v>
      </c>
      <c r="BT336" s="31">
        <v>0</v>
      </c>
      <c r="BU336" s="188">
        <f t="shared" si="149"/>
        <v>0</v>
      </c>
      <c r="BV336" s="188" t="str">
        <f t="shared" si="150"/>
        <v xml:space="preserve"> </v>
      </c>
      <c r="BW336" s="188" t="str">
        <f t="shared" si="151"/>
        <v xml:space="preserve"> </v>
      </c>
      <c r="BX336" s="188" t="str">
        <f t="shared" si="152"/>
        <v xml:space="preserve"> </v>
      </c>
      <c r="BY336" s="50" t="str">
        <f t="shared" si="153"/>
        <v>ASH RIVER_Chum</v>
      </c>
      <c r="BZ336" s="50" t="str">
        <f>IFERROR(VLOOKUP(BY336,'[1]WCVI Esc'!$C$5:$W$555,18,FALSE),"-")</f>
        <v>-</v>
      </c>
      <c r="CA336" s="50" t="str">
        <f t="shared" si="154"/>
        <v>-</v>
      </c>
      <c r="CB336" s="50" t="str">
        <f>IFERROR(VLOOKUP(BY336,'[1]WCVI Esc'!$C$5:$W$555,19,FALSE),"-")</f>
        <v>-</v>
      </c>
      <c r="CC336" s="50" t="str">
        <f t="shared" si="155"/>
        <v>-</v>
      </c>
      <c r="CE336" s="342" t="str">
        <f t="shared" si="156"/>
        <v>ASH RIVER_Chum</v>
      </c>
      <c r="CF336" s="341" t="str">
        <f>IFERROR(VLOOKUP(BY336,'RawPL+D'!$O$8:$AB$503,12,FALSE),"-")</f>
        <v>-</v>
      </c>
      <c r="CG336" s="338" t="str">
        <f t="shared" si="157"/>
        <v>-</v>
      </c>
      <c r="CH336" s="341" t="str">
        <f>IFERROR(VLOOKUP(BY336,'RawPL+D'!$O$8:$AB$503,13,FALSE),"-")</f>
        <v>-</v>
      </c>
      <c r="CI336" s="338" t="str">
        <f t="shared" si="158"/>
        <v>-</v>
      </c>
    </row>
    <row r="337" spans="1:87" ht="12.75" hidden="1" customHeight="1" x14ac:dyDescent="0.2">
      <c r="A337" s="28">
        <v>4</v>
      </c>
      <c r="B337" s="28">
        <v>5</v>
      </c>
      <c r="C337" s="11">
        <v>23</v>
      </c>
      <c r="D337" s="148" t="s">
        <v>320</v>
      </c>
      <c r="E337" s="10" t="s">
        <v>87</v>
      </c>
      <c r="F337" s="10" t="s">
        <v>210</v>
      </c>
      <c r="G337" s="10"/>
      <c r="H337" s="10"/>
      <c r="I337" s="10"/>
      <c r="J337" s="10"/>
      <c r="K337" s="575"/>
      <c r="L337" s="152"/>
      <c r="M337" s="164"/>
      <c r="N337" s="62"/>
      <c r="O337" s="62"/>
      <c r="P337" s="177"/>
      <c r="Q337" s="171"/>
      <c r="R337" s="62"/>
      <c r="S337" s="62"/>
      <c r="T337" s="62"/>
      <c r="U337" s="64"/>
      <c r="V337" s="164"/>
      <c r="W337" s="62"/>
      <c r="X337" s="62"/>
      <c r="Y337" s="62"/>
      <c r="Z337" s="64"/>
      <c r="AA337" s="164"/>
      <c r="AB337" s="62"/>
      <c r="AC337" s="62"/>
      <c r="AD337" s="64"/>
      <c r="AE337" s="164"/>
      <c r="AF337" s="62"/>
      <c r="AG337" s="62"/>
      <c r="AH337" s="337"/>
      <c r="AI337" s="337"/>
      <c r="AJ337" s="337"/>
      <c r="AK337" s="337"/>
      <c r="AL337" s="414"/>
      <c r="AM337" s="414"/>
      <c r="AN337" s="45"/>
      <c r="AO337" s="45"/>
      <c r="AP337" s="45"/>
      <c r="AQ337" s="396"/>
      <c r="AR337" s="100"/>
      <c r="AS337" s="485"/>
      <c r="AT337" s="100"/>
      <c r="AU337" s="100"/>
      <c r="AV337" s="100"/>
      <c r="AW337" s="18">
        <v>23</v>
      </c>
      <c r="AX337" s="69" t="s">
        <v>320</v>
      </c>
      <c r="AY337" s="243" t="s">
        <v>87</v>
      </c>
      <c r="AZ337" s="243" t="str">
        <f t="shared" si="140"/>
        <v>Chinook</v>
      </c>
      <c r="BA337" s="243" t="s">
        <v>419</v>
      </c>
      <c r="BB337" s="246"/>
      <c r="BC337" s="43" t="str">
        <f t="shared" si="141"/>
        <v>-</v>
      </c>
      <c r="BD337" s="43">
        <f t="shared" si="138"/>
        <v>0</v>
      </c>
      <c r="BE337" s="193">
        <f t="shared" ref="BE337:BE400" si="159">BL337</f>
        <v>0</v>
      </c>
      <c r="BF337" s="193">
        <f t="shared" si="142"/>
        <v>0</v>
      </c>
      <c r="BG337" s="193">
        <f t="shared" si="143"/>
        <v>0</v>
      </c>
      <c r="BH337" s="307" t="str">
        <f t="shared" si="137"/>
        <v>-</v>
      </c>
      <c r="BI337" s="265" t="str">
        <f t="shared" si="139"/>
        <v>-</v>
      </c>
      <c r="BJ337" s="26" t="str">
        <f t="shared" si="144"/>
        <v>ASH RIVERChinook</v>
      </c>
      <c r="BK337" s="26">
        <f t="shared" si="145"/>
        <v>0</v>
      </c>
      <c r="BL337" s="33">
        <f t="shared" si="135"/>
        <v>0</v>
      </c>
      <c r="BQ337" s="47" t="str">
        <f t="shared" si="146"/>
        <v>ASH RIVERChinook</v>
      </c>
      <c r="BR337" s="49">
        <f t="shared" si="147"/>
        <v>0</v>
      </c>
      <c r="BS337" s="49">
        <f t="shared" si="148"/>
        <v>0</v>
      </c>
      <c r="BT337" s="31">
        <v>0</v>
      </c>
      <c r="BU337" s="188">
        <f t="shared" si="149"/>
        <v>0</v>
      </c>
      <c r="BV337" s="188" t="str">
        <f t="shared" si="150"/>
        <v xml:space="preserve"> </v>
      </c>
      <c r="BW337" s="188" t="str">
        <f t="shared" si="151"/>
        <v xml:space="preserve"> </v>
      </c>
      <c r="BX337" s="188" t="str">
        <f t="shared" si="152"/>
        <v xml:space="preserve"> </v>
      </c>
      <c r="BY337" s="50" t="str">
        <f t="shared" si="153"/>
        <v>ASH RIVER_Chinook</v>
      </c>
      <c r="BZ337" s="50" t="str">
        <f>IFERROR(VLOOKUP(BY337,'[1]WCVI Esc'!$C$5:$W$555,18,FALSE),"-")</f>
        <v>-</v>
      </c>
      <c r="CA337" s="50" t="str">
        <f t="shared" si="154"/>
        <v>-</v>
      </c>
      <c r="CB337" s="50" t="str">
        <f>IFERROR(VLOOKUP(BY337,'[1]WCVI Esc'!$C$5:$W$555,19,FALSE),"-")</f>
        <v>-</v>
      </c>
      <c r="CC337" s="50" t="str">
        <f t="shared" si="155"/>
        <v>-</v>
      </c>
      <c r="CE337" s="342" t="str">
        <f t="shared" si="156"/>
        <v>ASH RIVER_Chinook</v>
      </c>
      <c r="CF337" s="341" t="str">
        <f>IFERROR(VLOOKUP(BY337,'RawPL+D'!$O$8:$AB$503,12,FALSE),"-")</f>
        <v>-</v>
      </c>
      <c r="CG337" s="338" t="str">
        <f t="shared" si="157"/>
        <v>-</v>
      </c>
      <c r="CH337" s="341" t="str">
        <f>IFERROR(VLOOKUP(BY337,'RawPL+D'!$O$8:$AB$503,13,FALSE),"-")</f>
        <v>-</v>
      </c>
      <c r="CI337" s="338" t="str">
        <f t="shared" si="158"/>
        <v>-</v>
      </c>
    </row>
    <row r="338" spans="1:87" ht="12.75" hidden="1" customHeight="1" x14ac:dyDescent="0.2">
      <c r="A338" s="28">
        <v>4</v>
      </c>
      <c r="B338" s="28">
        <v>6</v>
      </c>
      <c r="C338" s="11">
        <v>23</v>
      </c>
      <c r="D338" s="148" t="s">
        <v>320</v>
      </c>
      <c r="E338" s="10" t="s">
        <v>87</v>
      </c>
      <c r="F338" s="10" t="s">
        <v>211</v>
      </c>
      <c r="G338" s="10"/>
      <c r="H338" s="10"/>
      <c r="I338" s="10"/>
      <c r="J338" s="10"/>
      <c r="K338" s="575"/>
      <c r="L338" s="152"/>
      <c r="M338" s="164"/>
      <c r="N338" s="62"/>
      <c r="O338" s="62"/>
      <c r="P338" s="177"/>
      <c r="Q338" s="171"/>
      <c r="R338" s="62"/>
      <c r="S338" s="62"/>
      <c r="T338" s="62"/>
      <c r="U338" s="64"/>
      <c r="V338" s="164"/>
      <c r="W338" s="62"/>
      <c r="X338" s="62"/>
      <c r="Y338" s="62"/>
      <c r="Z338" s="64"/>
      <c r="AA338" s="164"/>
      <c r="AB338" s="62"/>
      <c r="AC338" s="62"/>
      <c r="AD338" s="64"/>
      <c r="AE338" s="164"/>
      <c r="AF338" s="62"/>
      <c r="AG338" s="62"/>
      <c r="AH338" s="337"/>
      <c r="AI338" s="337"/>
      <c r="AJ338" s="337"/>
      <c r="AK338" s="337"/>
      <c r="AL338" s="414"/>
      <c r="AM338" s="414"/>
      <c r="AN338" s="45"/>
      <c r="AO338" s="45"/>
      <c r="AP338" s="45"/>
      <c r="AQ338" s="485"/>
      <c r="AR338" s="100"/>
      <c r="AS338" s="485"/>
      <c r="AT338" s="100"/>
      <c r="AU338" s="100"/>
      <c r="AV338" s="100"/>
      <c r="AW338" s="18">
        <v>23</v>
      </c>
      <c r="AX338" s="69" t="s">
        <v>320</v>
      </c>
      <c r="AY338" s="243" t="s">
        <v>87</v>
      </c>
      <c r="AZ338" s="243" t="str">
        <f t="shared" si="140"/>
        <v>Steelhead</v>
      </c>
      <c r="BA338" s="243" t="s">
        <v>419</v>
      </c>
      <c r="BB338" s="246"/>
      <c r="BC338" s="43" t="str">
        <f t="shared" si="141"/>
        <v>-</v>
      </c>
      <c r="BD338" s="43">
        <f t="shared" si="138"/>
        <v>0</v>
      </c>
      <c r="BE338" s="193">
        <f t="shared" si="159"/>
        <v>0</v>
      </c>
      <c r="BF338" s="193">
        <f t="shared" si="142"/>
        <v>0</v>
      </c>
      <c r="BG338" s="193">
        <f t="shared" si="143"/>
        <v>0</v>
      </c>
      <c r="BH338" s="307" t="str">
        <f t="shared" si="137"/>
        <v>-</v>
      </c>
      <c r="BI338" s="265" t="str">
        <f t="shared" si="139"/>
        <v>-</v>
      </c>
      <c r="BJ338" s="26" t="str">
        <f t="shared" si="144"/>
        <v>ASH RIVERSteelhead</v>
      </c>
      <c r="BK338" s="26">
        <f t="shared" si="145"/>
        <v>0</v>
      </c>
      <c r="BL338" s="33">
        <f t="shared" si="135"/>
        <v>0</v>
      </c>
      <c r="BQ338" s="47" t="str">
        <f t="shared" si="146"/>
        <v>ASH RIVERSteelhead</v>
      </c>
      <c r="BR338" s="49">
        <f t="shared" si="147"/>
        <v>0</v>
      </c>
      <c r="BS338" s="49">
        <f t="shared" si="148"/>
        <v>0</v>
      </c>
      <c r="BT338" s="31">
        <v>0</v>
      </c>
      <c r="BU338" s="188">
        <f t="shared" si="149"/>
        <v>0</v>
      </c>
      <c r="BV338" s="188" t="str">
        <f t="shared" si="150"/>
        <v xml:space="preserve"> </v>
      </c>
      <c r="BW338" s="188" t="str">
        <f t="shared" si="151"/>
        <v xml:space="preserve"> </v>
      </c>
      <c r="BX338" s="188" t="str">
        <f t="shared" si="152"/>
        <v xml:space="preserve"> </v>
      </c>
      <c r="BY338" s="50" t="str">
        <f t="shared" si="153"/>
        <v>ASH RIVER_Steelhead</v>
      </c>
      <c r="BZ338" s="50" t="str">
        <f>IFERROR(VLOOKUP(BY338,'[1]WCVI Esc'!$C$5:$W$555,18,FALSE),"-")</f>
        <v>-</v>
      </c>
      <c r="CA338" s="50" t="str">
        <f t="shared" si="154"/>
        <v>-</v>
      </c>
      <c r="CB338" s="50" t="str">
        <f>IFERROR(VLOOKUP(BY338,'[1]WCVI Esc'!$C$5:$W$555,19,FALSE),"-")</f>
        <v>-</v>
      </c>
      <c r="CC338" s="50" t="str">
        <f t="shared" si="155"/>
        <v>-</v>
      </c>
      <c r="CE338" s="342" t="str">
        <f t="shared" si="156"/>
        <v>ASH RIVER_Steelhead</v>
      </c>
      <c r="CF338" s="341" t="str">
        <f>IFERROR(VLOOKUP(BY338,'RawPL+D'!$O$8:$AB$503,12,FALSE),"-")</f>
        <v>-</v>
      </c>
      <c r="CG338" s="338" t="str">
        <f t="shared" si="157"/>
        <v>-</v>
      </c>
      <c r="CH338" s="341" t="str">
        <f>IFERROR(VLOOKUP(BY338,'RawPL+D'!$O$8:$AB$503,13,FALSE),"-")</f>
        <v>-</v>
      </c>
      <c r="CI338" s="338" t="str">
        <f t="shared" si="158"/>
        <v>-</v>
      </c>
    </row>
    <row r="339" spans="1:87" ht="12.75" hidden="1" customHeight="1" x14ac:dyDescent="0.2">
      <c r="A339" s="28">
        <v>4</v>
      </c>
      <c r="B339" s="28">
        <v>1</v>
      </c>
      <c r="C339" s="11">
        <v>23</v>
      </c>
      <c r="D339" s="148" t="s">
        <v>320</v>
      </c>
      <c r="E339" s="10" t="s">
        <v>167</v>
      </c>
      <c r="F339" s="10" t="s">
        <v>207</v>
      </c>
      <c r="G339" s="10"/>
      <c r="H339" s="10"/>
      <c r="I339" s="10"/>
      <c r="J339" s="10"/>
      <c r="K339" s="575"/>
      <c r="L339" s="152"/>
      <c r="M339" s="164"/>
      <c r="N339" s="62"/>
      <c r="O339" s="62"/>
      <c r="P339" s="177"/>
      <c r="Q339" s="171"/>
      <c r="R339" s="62"/>
      <c r="S339" s="62"/>
      <c r="T339" s="62"/>
      <c r="U339" s="64"/>
      <c r="V339" s="164"/>
      <c r="W339" s="62"/>
      <c r="X339" s="62"/>
      <c r="Y339" s="62"/>
      <c r="Z339" s="64"/>
      <c r="AA339" s="164"/>
      <c r="AB339" s="62"/>
      <c r="AC339" s="62"/>
      <c r="AD339" s="64"/>
      <c r="AE339" s="164"/>
      <c r="AF339" s="62"/>
      <c r="AG339" s="62"/>
      <c r="AH339" s="337"/>
      <c r="AI339" s="337"/>
      <c r="AJ339" s="337"/>
      <c r="AK339" s="337"/>
      <c r="AL339" s="414"/>
      <c r="AM339" s="414"/>
      <c r="AN339" s="45"/>
      <c r="AO339" s="45"/>
      <c r="AP339" s="45"/>
      <c r="AQ339" s="485"/>
      <c r="AR339" s="100"/>
      <c r="AS339" s="485"/>
      <c r="AT339" s="100"/>
      <c r="AU339" s="100"/>
      <c r="AV339" s="100"/>
      <c r="AW339" s="18">
        <v>23</v>
      </c>
      <c r="AX339" s="69" t="s">
        <v>320</v>
      </c>
      <c r="AY339" s="243" t="s">
        <v>167</v>
      </c>
      <c r="AZ339" s="243" t="str">
        <f t="shared" si="140"/>
        <v>Sockeye</v>
      </c>
      <c r="BA339" s="243" t="s">
        <v>419</v>
      </c>
      <c r="BB339" s="246"/>
      <c r="BC339" s="43" t="str">
        <f t="shared" si="141"/>
        <v>-</v>
      </c>
      <c r="BD339" s="43">
        <f t="shared" si="138"/>
        <v>0</v>
      </c>
      <c r="BE339" s="193">
        <f t="shared" si="159"/>
        <v>0</v>
      </c>
      <c r="BF339" s="193">
        <f t="shared" si="142"/>
        <v>0</v>
      </c>
      <c r="BG339" s="193">
        <f t="shared" si="143"/>
        <v>0</v>
      </c>
      <c r="BH339" s="307" t="str">
        <f t="shared" si="137"/>
        <v>-</v>
      </c>
      <c r="BI339" s="265" t="str">
        <f t="shared" si="139"/>
        <v>-</v>
      </c>
      <c r="BJ339" s="26" t="str">
        <f t="shared" si="144"/>
        <v>BEAVER CREEKSockeye</v>
      </c>
      <c r="BK339" s="26">
        <f t="shared" si="145"/>
        <v>0</v>
      </c>
      <c r="BL339" s="33">
        <f t="shared" si="135"/>
        <v>0</v>
      </c>
      <c r="BQ339" s="47" t="str">
        <f t="shared" si="146"/>
        <v>BEAVER CREEKSockeye</v>
      </c>
      <c r="BR339" s="49">
        <f t="shared" si="147"/>
        <v>0</v>
      </c>
      <c r="BS339" s="49">
        <f t="shared" si="148"/>
        <v>0</v>
      </c>
      <c r="BT339" s="31">
        <v>0</v>
      </c>
      <c r="BU339" s="188">
        <f t="shared" si="149"/>
        <v>0</v>
      </c>
      <c r="BV339" s="188" t="str">
        <f t="shared" si="150"/>
        <v xml:space="preserve"> </v>
      </c>
      <c r="BW339" s="188" t="str">
        <f t="shared" si="151"/>
        <v xml:space="preserve"> </v>
      </c>
      <c r="BX339" s="188" t="str">
        <f t="shared" si="152"/>
        <v xml:space="preserve"> </v>
      </c>
      <c r="BY339" s="50" t="str">
        <f t="shared" si="153"/>
        <v>BEAVER CREEK_Sockeye</v>
      </c>
      <c r="BZ339" s="50" t="str">
        <f>IFERROR(VLOOKUP(BY339,'[1]WCVI Esc'!$C$5:$W$555,18,FALSE),"-")</f>
        <v>-</v>
      </c>
      <c r="CA339" s="50" t="str">
        <f t="shared" si="154"/>
        <v>-</v>
      </c>
      <c r="CB339" s="50" t="str">
        <f>IFERROR(VLOOKUP(BY339,'[1]WCVI Esc'!$C$5:$W$555,19,FALSE),"-")</f>
        <v>-</v>
      </c>
      <c r="CC339" s="50" t="str">
        <f t="shared" si="155"/>
        <v>-</v>
      </c>
      <c r="CE339" s="342" t="str">
        <f t="shared" si="156"/>
        <v>BEAVER CREEK_Sockeye</v>
      </c>
      <c r="CF339" s="341" t="str">
        <f>IFERROR(VLOOKUP(BY339,'RawPL+D'!$O$8:$AB$503,12,FALSE),"-")</f>
        <v>-</v>
      </c>
      <c r="CG339" s="338" t="str">
        <f t="shared" si="157"/>
        <v>-</v>
      </c>
      <c r="CH339" s="341" t="str">
        <f>IFERROR(VLOOKUP(BY339,'RawPL+D'!$O$8:$AB$503,13,FALSE),"-")</f>
        <v>-</v>
      </c>
      <c r="CI339" s="338" t="str">
        <f t="shared" si="158"/>
        <v>-</v>
      </c>
    </row>
    <row r="340" spans="1:87" ht="12.75" hidden="1" customHeight="1" x14ac:dyDescent="0.2">
      <c r="A340" s="28">
        <v>4</v>
      </c>
      <c r="B340" s="28">
        <v>2</v>
      </c>
      <c r="C340" s="11">
        <v>23</v>
      </c>
      <c r="D340" s="148" t="s">
        <v>320</v>
      </c>
      <c r="E340" s="10" t="s">
        <v>167</v>
      </c>
      <c r="F340" s="10" t="s">
        <v>219</v>
      </c>
      <c r="G340" s="10"/>
      <c r="H340" s="10"/>
      <c r="I340" s="10"/>
      <c r="J340" s="10"/>
      <c r="K340" s="575"/>
      <c r="L340" s="152"/>
      <c r="M340" s="164"/>
      <c r="N340" s="62"/>
      <c r="O340" s="62"/>
      <c r="P340" s="177"/>
      <c r="Q340" s="171"/>
      <c r="R340" s="62"/>
      <c r="S340" s="62"/>
      <c r="T340" s="62"/>
      <c r="U340" s="64"/>
      <c r="V340" s="164"/>
      <c r="W340" s="62"/>
      <c r="X340" s="62"/>
      <c r="Y340" s="62"/>
      <c r="Z340" s="64"/>
      <c r="AA340" s="164"/>
      <c r="AB340" s="62"/>
      <c r="AC340" s="62"/>
      <c r="AD340" s="64"/>
      <c r="AE340" s="164"/>
      <c r="AF340" s="62"/>
      <c r="AG340" s="62"/>
      <c r="AH340" s="337"/>
      <c r="AI340" s="337"/>
      <c r="AJ340" s="337"/>
      <c r="AK340" s="337"/>
      <c r="AL340" s="414"/>
      <c r="AM340" s="414"/>
      <c r="AN340" s="45"/>
      <c r="AO340" s="45"/>
      <c r="AP340" s="45"/>
      <c r="AQ340" s="485"/>
      <c r="AR340" s="100"/>
      <c r="AS340" s="485"/>
      <c r="AT340" s="100"/>
      <c r="AU340" s="100"/>
      <c r="AV340" s="100"/>
      <c r="AW340" s="18">
        <v>23</v>
      </c>
      <c r="AX340" s="69" t="s">
        <v>320</v>
      </c>
      <c r="AY340" s="243" t="s">
        <v>167</v>
      </c>
      <c r="AZ340" s="243" t="str">
        <f t="shared" si="140"/>
        <v>Coho</v>
      </c>
      <c r="BA340" s="243" t="s">
        <v>419</v>
      </c>
      <c r="BB340" s="246"/>
      <c r="BC340" s="43" t="str">
        <f t="shared" si="141"/>
        <v>-</v>
      </c>
      <c r="BD340" s="43">
        <f t="shared" si="138"/>
        <v>0</v>
      </c>
      <c r="BE340" s="193">
        <f t="shared" si="159"/>
        <v>0</v>
      </c>
      <c r="BF340" s="193">
        <f t="shared" si="142"/>
        <v>0</v>
      </c>
      <c r="BG340" s="193">
        <f t="shared" si="143"/>
        <v>0</v>
      </c>
      <c r="BH340" s="307" t="str">
        <f t="shared" si="137"/>
        <v>-</v>
      </c>
      <c r="BI340" s="265" t="str">
        <f t="shared" si="139"/>
        <v>-</v>
      </c>
      <c r="BJ340" s="26" t="str">
        <f t="shared" si="144"/>
        <v>BEAVER CREEKCoho</v>
      </c>
      <c r="BK340" s="26">
        <f t="shared" si="145"/>
        <v>0</v>
      </c>
      <c r="BL340" s="33">
        <f t="shared" si="135"/>
        <v>0</v>
      </c>
      <c r="BQ340" s="47" t="str">
        <f t="shared" si="146"/>
        <v>BEAVER CREEKCoho</v>
      </c>
      <c r="BR340" s="49">
        <f t="shared" si="147"/>
        <v>0</v>
      </c>
      <c r="BS340" s="49">
        <f t="shared" si="148"/>
        <v>0</v>
      </c>
      <c r="BT340" s="31">
        <v>1990</v>
      </c>
      <c r="BU340" s="188">
        <f t="shared" si="149"/>
        <v>0</v>
      </c>
      <c r="BV340" s="188" t="str">
        <f t="shared" si="150"/>
        <v xml:space="preserve"> </v>
      </c>
      <c r="BW340" s="188" t="str">
        <f t="shared" si="151"/>
        <v xml:space="preserve"> </v>
      </c>
      <c r="BX340" s="188" t="str">
        <f t="shared" si="152"/>
        <v xml:space="preserve"> </v>
      </c>
      <c r="BY340" s="50" t="str">
        <f t="shared" si="153"/>
        <v>BEAVER CREEK_Coho</v>
      </c>
      <c r="BZ340" s="50" t="str">
        <f>IFERROR(VLOOKUP(BY340,'[1]WCVI Esc'!$C$5:$W$555,18,FALSE),"-")</f>
        <v>-</v>
      </c>
      <c r="CA340" s="50" t="str">
        <f t="shared" si="154"/>
        <v>-</v>
      </c>
      <c r="CB340" s="50" t="str">
        <f>IFERROR(VLOOKUP(BY340,'[1]WCVI Esc'!$C$5:$W$555,19,FALSE),"-")</f>
        <v>-</v>
      </c>
      <c r="CC340" s="50" t="str">
        <f t="shared" si="155"/>
        <v>-</v>
      </c>
      <c r="CE340" s="342" t="str">
        <f t="shared" si="156"/>
        <v>BEAVER CREEK_Coho</v>
      </c>
      <c r="CF340" s="341" t="str">
        <f>IFERROR(VLOOKUP(BY340,'RawPL+D'!$O$8:$AB$503,12,FALSE),"-")</f>
        <v>-</v>
      </c>
      <c r="CG340" s="338" t="str">
        <f t="shared" si="157"/>
        <v>-</v>
      </c>
      <c r="CH340" s="341" t="str">
        <f>IFERROR(VLOOKUP(BY340,'RawPL+D'!$O$8:$AB$503,13,FALSE),"-")</f>
        <v>-</v>
      </c>
      <c r="CI340" s="338" t="str">
        <f t="shared" si="158"/>
        <v>-</v>
      </c>
    </row>
    <row r="341" spans="1:87" ht="12.75" hidden="1" customHeight="1" x14ac:dyDescent="0.2">
      <c r="A341" s="28">
        <v>4</v>
      </c>
      <c r="B341" s="28">
        <v>3</v>
      </c>
      <c r="C341" s="11">
        <v>23</v>
      </c>
      <c r="D341" s="148" t="s">
        <v>320</v>
      </c>
      <c r="E341" s="10" t="s">
        <v>167</v>
      </c>
      <c r="F341" s="10" t="s">
        <v>208</v>
      </c>
      <c r="G341" s="10"/>
      <c r="H341" s="10"/>
      <c r="I341" s="10"/>
      <c r="J341" s="10"/>
      <c r="K341" s="575"/>
      <c r="L341" s="152"/>
      <c r="M341" s="164"/>
      <c r="N341" s="62"/>
      <c r="O341" s="62"/>
      <c r="P341" s="177"/>
      <c r="Q341" s="171"/>
      <c r="R341" s="62"/>
      <c r="S341" s="62"/>
      <c r="T341" s="62"/>
      <c r="U341" s="64"/>
      <c r="V341" s="164"/>
      <c r="W341" s="62"/>
      <c r="X341" s="62"/>
      <c r="Y341" s="62"/>
      <c r="Z341" s="64"/>
      <c r="AA341" s="164"/>
      <c r="AB341" s="62"/>
      <c r="AC341" s="62"/>
      <c r="AD341" s="64"/>
      <c r="AE341" s="164"/>
      <c r="AF341" s="62"/>
      <c r="AG341" s="62"/>
      <c r="AH341" s="337"/>
      <c r="AI341" s="337"/>
      <c r="AJ341" s="337"/>
      <c r="AK341" s="337"/>
      <c r="AL341" s="414"/>
      <c r="AM341" s="414"/>
      <c r="AN341" s="45"/>
      <c r="AO341" s="45"/>
      <c r="AP341" s="45"/>
      <c r="AQ341" s="485"/>
      <c r="AR341" s="100"/>
      <c r="AS341" s="485"/>
      <c r="AT341" s="100"/>
      <c r="AU341" s="100"/>
      <c r="AV341" s="100"/>
      <c r="AW341" s="18">
        <v>23</v>
      </c>
      <c r="AX341" s="69" t="s">
        <v>320</v>
      </c>
      <c r="AY341" s="243" t="s">
        <v>167</v>
      </c>
      <c r="AZ341" s="243" t="str">
        <f t="shared" si="140"/>
        <v>Pink</v>
      </c>
      <c r="BA341" s="243" t="s">
        <v>419</v>
      </c>
      <c r="BB341" s="246"/>
      <c r="BC341" s="43" t="str">
        <f t="shared" si="141"/>
        <v>-</v>
      </c>
      <c r="BD341" s="43">
        <f t="shared" si="138"/>
        <v>0</v>
      </c>
      <c r="BE341" s="193">
        <f t="shared" si="159"/>
        <v>0</v>
      </c>
      <c r="BF341" s="193">
        <f t="shared" si="142"/>
        <v>0</v>
      </c>
      <c r="BG341" s="193">
        <f t="shared" si="143"/>
        <v>0</v>
      </c>
      <c r="BH341" s="307" t="str">
        <f t="shared" si="137"/>
        <v>-</v>
      </c>
      <c r="BI341" s="265" t="str">
        <f t="shared" si="139"/>
        <v>-</v>
      </c>
      <c r="BJ341" s="26" t="str">
        <f t="shared" si="144"/>
        <v>BEAVER CREEKPink</v>
      </c>
      <c r="BK341" s="26">
        <f t="shared" si="145"/>
        <v>0</v>
      </c>
      <c r="BL341" s="33">
        <f t="shared" si="135"/>
        <v>0</v>
      </c>
      <c r="BQ341" s="47" t="str">
        <f t="shared" si="146"/>
        <v>BEAVER CREEKPink</v>
      </c>
      <c r="BR341" s="49">
        <f t="shared" si="147"/>
        <v>0</v>
      </c>
      <c r="BS341" s="49">
        <f t="shared" si="148"/>
        <v>0</v>
      </c>
      <c r="BT341" s="31">
        <v>0</v>
      </c>
      <c r="BU341" s="188">
        <f t="shared" si="149"/>
        <v>0</v>
      </c>
      <c r="BV341" s="188" t="str">
        <f t="shared" si="150"/>
        <v xml:space="preserve"> </v>
      </c>
      <c r="BW341" s="188" t="str">
        <f t="shared" si="151"/>
        <v xml:space="preserve"> </v>
      </c>
      <c r="BX341" s="188" t="str">
        <f t="shared" si="152"/>
        <v xml:space="preserve"> </v>
      </c>
      <c r="BY341" s="50" t="str">
        <f t="shared" si="153"/>
        <v>BEAVER CREEK_Pink</v>
      </c>
      <c r="BZ341" s="50" t="str">
        <f>IFERROR(VLOOKUP(BY341,'[1]WCVI Esc'!$C$5:$W$555,18,FALSE),"-")</f>
        <v>-</v>
      </c>
      <c r="CA341" s="50" t="str">
        <f t="shared" si="154"/>
        <v>-</v>
      </c>
      <c r="CB341" s="50" t="str">
        <f>IFERROR(VLOOKUP(BY341,'[1]WCVI Esc'!$C$5:$W$555,19,FALSE),"-")</f>
        <v>-</v>
      </c>
      <c r="CC341" s="50" t="str">
        <f t="shared" si="155"/>
        <v>-</v>
      </c>
      <c r="CE341" s="342" t="str">
        <f t="shared" si="156"/>
        <v>BEAVER CREEK_Pink</v>
      </c>
      <c r="CF341" s="341" t="str">
        <f>IFERROR(VLOOKUP(BY341,'RawPL+D'!$O$8:$AB$503,12,FALSE),"-")</f>
        <v>-</v>
      </c>
      <c r="CG341" s="338" t="str">
        <f t="shared" si="157"/>
        <v>-</v>
      </c>
      <c r="CH341" s="341" t="str">
        <f>IFERROR(VLOOKUP(BY341,'RawPL+D'!$O$8:$AB$503,13,FALSE),"-")</f>
        <v>-</v>
      </c>
      <c r="CI341" s="338" t="str">
        <f t="shared" si="158"/>
        <v>-</v>
      </c>
    </row>
    <row r="342" spans="1:87" ht="12.75" hidden="1" customHeight="1" x14ac:dyDescent="0.2">
      <c r="A342" s="28">
        <v>4</v>
      </c>
      <c r="B342" s="28">
        <v>4</v>
      </c>
      <c r="C342" s="11">
        <v>23</v>
      </c>
      <c r="D342" s="148" t="s">
        <v>320</v>
      </c>
      <c r="E342" s="10" t="s">
        <v>167</v>
      </c>
      <c r="F342" s="10" t="s">
        <v>209</v>
      </c>
      <c r="G342" s="10"/>
      <c r="H342" s="10"/>
      <c r="I342" s="10"/>
      <c r="J342" s="10"/>
      <c r="K342" s="575"/>
      <c r="L342" s="152"/>
      <c r="M342" s="164"/>
      <c r="N342" s="62"/>
      <c r="O342" s="62"/>
      <c r="P342" s="177"/>
      <c r="Q342" s="171"/>
      <c r="R342" s="62"/>
      <c r="S342" s="62"/>
      <c r="T342" s="62"/>
      <c r="U342" s="64"/>
      <c r="V342" s="164"/>
      <c r="W342" s="62"/>
      <c r="X342" s="62"/>
      <c r="Y342" s="62"/>
      <c r="Z342" s="64"/>
      <c r="AA342" s="164"/>
      <c r="AB342" s="62"/>
      <c r="AC342" s="62"/>
      <c r="AD342" s="64"/>
      <c r="AE342" s="164"/>
      <c r="AF342" s="62"/>
      <c r="AG342" s="62"/>
      <c r="AH342" s="337"/>
      <c r="AI342" s="337"/>
      <c r="AJ342" s="337"/>
      <c r="AK342" s="337"/>
      <c r="AL342" s="414"/>
      <c r="AM342" s="414"/>
      <c r="AN342" s="45"/>
      <c r="AO342" s="45"/>
      <c r="AP342" s="45"/>
      <c r="AQ342" s="485"/>
      <c r="AR342" s="100"/>
      <c r="AS342" s="485"/>
      <c r="AT342" s="100"/>
      <c r="AU342" s="100"/>
      <c r="AV342" s="100"/>
      <c r="AW342" s="18">
        <v>23</v>
      </c>
      <c r="AX342" s="69" t="s">
        <v>320</v>
      </c>
      <c r="AY342" s="243" t="s">
        <v>167</v>
      </c>
      <c r="AZ342" s="243" t="str">
        <f t="shared" si="140"/>
        <v>Chum</v>
      </c>
      <c r="BA342" s="243" t="s">
        <v>419</v>
      </c>
      <c r="BB342" s="246"/>
      <c r="BC342" s="43" t="str">
        <f t="shared" si="141"/>
        <v>-</v>
      </c>
      <c r="BD342" s="43">
        <f t="shared" si="138"/>
        <v>0</v>
      </c>
      <c r="BE342" s="193">
        <f t="shared" si="159"/>
        <v>0</v>
      </c>
      <c r="BF342" s="193">
        <f t="shared" si="142"/>
        <v>0</v>
      </c>
      <c r="BG342" s="193">
        <f t="shared" si="143"/>
        <v>0</v>
      </c>
      <c r="BH342" s="307" t="str">
        <f t="shared" si="137"/>
        <v>-</v>
      </c>
      <c r="BI342" s="265" t="str">
        <f t="shared" si="139"/>
        <v>-</v>
      </c>
      <c r="BJ342" s="26" t="str">
        <f t="shared" si="144"/>
        <v>BEAVER CREEKChum</v>
      </c>
      <c r="BK342" s="26">
        <f t="shared" si="145"/>
        <v>0</v>
      </c>
      <c r="BL342" s="33">
        <f t="shared" si="135"/>
        <v>0</v>
      </c>
      <c r="BQ342" s="47" t="str">
        <f t="shared" si="146"/>
        <v>BEAVER CREEKChum</v>
      </c>
      <c r="BR342" s="49">
        <f t="shared" si="147"/>
        <v>0</v>
      </c>
      <c r="BS342" s="49">
        <f t="shared" si="148"/>
        <v>0</v>
      </c>
      <c r="BT342" s="31">
        <v>1990</v>
      </c>
      <c r="BU342" s="188">
        <f t="shared" si="149"/>
        <v>0</v>
      </c>
      <c r="BV342" s="188" t="str">
        <f t="shared" si="150"/>
        <v xml:space="preserve"> </v>
      </c>
      <c r="BW342" s="188" t="str">
        <f t="shared" si="151"/>
        <v xml:space="preserve"> </v>
      </c>
      <c r="BX342" s="188" t="str">
        <f t="shared" si="152"/>
        <v xml:space="preserve"> </v>
      </c>
      <c r="BY342" s="50" t="str">
        <f t="shared" si="153"/>
        <v>BEAVER CREEK_Chum</v>
      </c>
      <c r="BZ342" s="50" t="str">
        <f>IFERROR(VLOOKUP(BY342,'[1]WCVI Esc'!$C$5:$W$555,18,FALSE),"-")</f>
        <v>-</v>
      </c>
      <c r="CA342" s="50" t="str">
        <f t="shared" si="154"/>
        <v>-</v>
      </c>
      <c r="CB342" s="50" t="str">
        <f>IFERROR(VLOOKUP(BY342,'[1]WCVI Esc'!$C$5:$W$555,19,FALSE),"-")</f>
        <v>-</v>
      </c>
      <c r="CC342" s="50" t="str">
        <f t="shared" si="155"/>
        <v>-</v>
      </c>
      <c r="CE342" s="342" t="str">
        <f t="shared" si="156"/>
        <v>BEAVER CREEK_Chum</v>
      </c>
      <c r="CF342" s="341" t="str">
        <f>IFERROR(VLOOKUP(BY342,'RawPL+D'!$O$8:$AB$503,12,FALSE),"-")</f>
        <v>-</v>
      </c>
      <c r="CG342" s="338" t="str">
        <f t="shared" si="157"/>
        <v>-</v>
      </c>
      <c r="CH342" s="341" t="str">
        <f>IFERROR(VLOOKUP(BY342,'RawPL+D'!$O$8:$AB$503,13,FALSE),"-")</f>
        <v>-</v>
      </c>
      <c r="CI342" s="338" t="str">
        <f t="shared" si="158"/>
        <v>-</v>
      </c>
    </row>
    <row r="343" spans="1:87" ht="12.75" hidden="1" customHeight="1" x14ac:dyDescent="0.2">
      <c r="A343" s="28">
        <v>4</v>
      </c>
      <c r="B343" s="28">
        <v>5</v>
      </c>
      <c r="C343" s="11">
        <v>23</v>
      </c>
      <c r="D343" s="148" t="s">
        <v>320</v>
      </c>
      <c r="E343" s="10" t="s">
        <v>167</v>
      </c>
      <c r="F343" s="10" t="s">
        <v>210</v>
      </c>
      <c r="G343" s="10"/>
      <c r="H343" s="10"/>
      <c r="I343" s="10"/>
      <c r="J343" s="10"/>
      <c r="K343" s="575"/>
      <c r="L343" s="152"/>
      <c r="M343" s="164"/>
      <c r="N343" s="62"/>
      <c r="O343" s="62"/>
      <c r="P343" s="177"/>
      <c r="Q343" s="171"/>
      <c r="R343" s="62"/>
      <c r="S343" s="62"/>
      <c r="T343" s="62"/>
      <c r="U343" s="64"/>
      <c r="V343" s="164"/>
      <c r="W343" s="62"/>
      <c r="X343" s="62"/>
      <c r="Y343" s="62"/>
      <c r="Z343" s="64"/>
      <c r="AA343" s="164"/>
      <c r="AB343" s="62"/>
      <c r="AC343" s="62"/>
      <c r="AD343" s="64"/>
      <c r="AE343" s="164"/>
      <c r="AF343" s="62"/>
      <c r="AG343" s="62"/>
      <c r="AH343" s="337"/>
      <c r="AI343" s="337"/>
      <c r="AJ343" s="337"/>
      <c r="AK343" s="337"/>
      <c r="AL343" s="414"/>
      <c r="AM343" s="414"/>
      <c r="AN343" s="45"/>
      <c r="AO343" s="45"/>
      <c r="AP343" s="45"/>
      <c r="AQ343" s="485"/>
      <c r="AR343" s="100"/>
      <c r="AS343" s="485"/>
      <c r="AT343" s="100"/>
      <c r="AU343" s="100"/>
      <c r="AV343" s="100"/>
      <c r="AW343" s="18">
        <v>23</v>
      </c>
      <c r="AX343" s="69" t="s">
        <v>320</v>
      </c>
      <c r="AY343" s="243" t="s">
        <v>167</v>
      </c>
      <c r="AZ343" s="243" t="str">
        <f t="shared" si="140"/>
        <v>Chinook</v>
      </c>
      <c r="BA343" s="243" t="s">
        <v>419</v>
      </c>
      <c r="BB343" s="246"/>
      <c r="BC343" s="43" t="str">
        <f t="shared" si="141"/>
        <v>-</v>
      </c>
      <c r="BD343" s="43">
        <f t="shared" si="138"/>
        <v>0</v>
      </c>
      <c r="BE343" s="193">
        <f t="shared" si="159"/>
        <v>0</v>
      </c>
      <c r="BF343" s="193">
        <f t="shared" si="142"/>
        <v>0</v>
      </c>
      <c r="BG343" s="193">
        <f t="shared" si="143"/>
        <v>0</v>
      </c>
      <c r="BH343" s="307" t="str">
        <f t="shared" ref="BH343:BH374" si="160">CI343</f>
        <v>-</v>
      </c>
      <c r="BI343" s="265" t="str">
        <f t="shared" si="139"/>
        <v>-</v>
      </c>
      <c r="BJ343" s="26" t="str">
        <f t="shared" si="144"/>
        <v>BEAVER CREEKChinook</v>
      </c>
      <c r="BK343" s="26">
        <f t="shared" si="145"/>
        <v>0</v>
      </c>
      <c r="BL343" s="33">
        <f t="shared" si="135"/>
        <v>0</v>
      </c>
      <c r="BQ343" s="47" t="str">
        <f t="shared" si="146"/>
        <v>BEAVER CREEKChinook</v>
      </c>
      <c r="BR343" s="49">
        <f t="shared" si="147"/>
        <v>0</v>
      </c>
      <c r="BS343" s="49">
        <f t="shared" si="148"/>
        <v>0</v>
      </c>
      <c r="BT343" s="31">
        <v>0</v>
      </c>
      <c r="BU343" s="188">
        <f t="shared" si="149"/>
        <v>0</v>
      </c>
      <c r="BV343" s="188" t="str">
        <f t="shared" si="150"/>
        <v xml:space="preserve"> </v>
      </c>
      <c r="BW343" s="188" t="str">
        <f t="shared" si="151"/>
        <v xml:space="preserve"> </v>
      </c>
      <c r="BX343" s="188" t="str">
        <f t="shared" si="152"/>
        <v xml:space="preserve"> </v>
      </c>
      <c r="BY343" s="50" t="str">
        <f t="shared" si="153"/>
        <v>BEAVER CREEK_Chinook</v>
      </c>
      <c r="BZ343" s="50" t="str">
        <f>IFERROR(VLOOKUP(BY343,'[1]WCVI Esc'!$C$5:$W$555,18,FALSE),"-")</f>
        <v>-</v>
      </c>
      <c r="CA343" s="50" t="str">
        <f t="shared" si="154"/>
        <v>-</v>
      </c>
      <c r="CB343" s="50" t="str">
        <f>IFERROR(VLOOKUP(BY343,'[1]WCVI Esc'!$C$5:$W$555,19,FALSE),"-")</f>
        <v>-</v>
      </c>
      <c r="CC343" s="50" t="str">
        <f t="shared" si="155"/>
        <v>-</v>
      </c>
      <c r="CE343" s="342" t="str">
        <f t="shared" si="156"/>
        <v>BEAVER CREEK_Chinook</v>
      </c>
      <c r="CF343" s="341" t="str">
        <f>IFERROR(VLOOKUP(BY343,'RawPL+D'!$O$8:$AB$503,12,FALSE),"-")</f>
        <v>-</v>
      </c>
      <c r="CG343" s="338" t="str">
        <f t="shared" si="157"/>
        <v>-</v>
      </c>
      <c r="CH343" s="341" t="str">
        <f>IFERROR(VLOOKUP(BY343,'RawPL+D'!$O$8:$AB$503,13,FALSE),"-")</f>
        <v>-</v>
      </c>
      <c r="CI343" s="338" t="str">
        <f t="shared" si="158"/>
        <v>-</v>
      </c>
    </row>
    <row r="344" spans="1:87" ht="12.75" hidden="1" customHeight="1" x14ac:dyDescent="0.2">
      <c r="A344" s="28">
        <v>4</v>
      </c>
      <c r="B344" s="28">
        <v>6</v>
      </c>
      <c r="C344" s="11">
        <v>23</v>
      </c>
      <c r="D344" s="148" t="s">
        <v>320</v>
      </c>
      <c r="E344" s="10" t="s">
        <v>167</v>
      </c>
      <c r="F344" s="10" t="s">
        <v>211</v>
      </c>
      <c r="G344" s="10"/>
      <c r="H344" s="10"/>
      <c r="I344" s="10"/>
      <c r="J344" s="10"/>
      <c r="K344" s="575"/>
      <c r="L344" s="152"/>
      <c r="M344" s="164"/>
      <c r="N344" s="62"/>
      <c r="O344" s="62"/>
      <c r="P344" s="177"/>
      <c r="Q344" s="171"/>
      <c r="R344" s="62"/>
      <c r="S344" s="62"/>
      <c r="T344" s="62"/>
      <c r="U344" s="64"/>
      <c r="V344" s="164"/>
      <c r="W344" s="62"/>
      <c r="X344" s="62"/>
      <c r="Y344" s="62"/>
      <c r="Z344" s="64"/>
      <c r="AA344" s="164"/>
      <c r="AB344" s="62"/>
      <c r="AC344" s="62"/>
      <c r="AD344" s="64"/>
      <c r="AE344" s="164"/>
      <c r="AF344" s="62"/>
      <c r="AG344" s="62"/>
      <c r="AH344" s="337"/>
      <c r="AI344" s="337"/>
      <c r="AJ344" s="337"/>
      <c r="AK344" s="337"/>
      <c r="AL344" s="414"/>
      <c r="AM344" s="414"/>
      <c r="AN344" s="45"/>
      <c r="AO344" s="45"/>
      <c r="AP344" s="45"/>
      <c r="AQ344" s="485"/>
      <c r="AR344" s="100"/>
      <c r="AS344" s="485"/>
      <c r="AT344" s="100"/>
      <c r="AU344" s="100"/>
      <c r="AV344" s="100"/>
      <c r="AW344" s="18">
        <v>23</v>
      </c>
      <c r="AX344" s="69" t="s">
        <v>320</v>
      </c>
      <c r="AY344" s="243" t="s">
        <v>167</v>
      </c>
      <c r="AZ344" s="243" t="str">
        <f t="shared" si="140"/>
        <v>Steelhead</v>
      </c>
      <c r="BA344" s="243" t="s">
        <v>419</v>
      </c>
      <c r="BB344" s="246"/>
      <c r="BC344" s="43" t="str">
        <f t="shared" si="141"/>
        <v>-</v>
      </c>
      <c r="BD344" s="43">
        <f t="shared" si="138"/>
        <v>0</v>
      </c>
      <c r="BE344" s="193">
        <f t="shared" si="159"/>
        <v>0</v>
      </c>
      <c r="BF344" s="193">
        <f t="shared" si="142"/>
        <v>0</v>
      </c>
      <c r="BG344" s="193">
        <f t="shared" si="143"/>
        <v>0</v>
      </c>
      <c r="BH344" s="307" t="str">
        <f t="shared" si="160"/>
        <v>-</v>
      </c>
      <c r="BI344" s="265" t="str">
        <f t="shared" si="139"/>
        <v>-</v>
      </c>
      <c r="BJ344" s="26" t="str">
        <f t="shared" si="144"/>
        <v>BEAVER CREEKSteelhead</v>
      </c>
      <c r="BK344" s="26">
        <f t="shared" si="145"/>
        <v>0</v>
      </c>
      <c r="BL344" s="33">
        <f t="shared" si="135"/>
        <v>0</v>
      </c>
      <c r="BQ344" s="47" t="str">
        <f t="shared" si="146"/>
        <v>BEAVER CREEKSteelhead</v>
      </c>
      <c r="BR344" s="49">
        <f t="shared" si="147"/>
        <v>0</v>
      </c>
      <c r="BS344" s="49">
        <f t="shared" si="148"/>
        <v>0</v>
      </c>
      <c r="BT344" s="31">
        <v>0</v>
      </c>
      <c r="BU344" s="188">
        <f t="shared" si="149"/>
        <v>0</v>
      </c>
      <c r="BV344" s="188" t="str">
        <f t="shared" si="150"/>
        <v xml:space="preserve"> </v>
      </c>
      <c r="BW344" s="188" t="str">
        <f t="shared" si="151"/>
        <v xml:space="preserve"> </v>
      </c>
      <c r="BX344" s="188" t="str">
        <f t="shared" si="152"/>
        <v xml:space="preserve"> </v>
      </c>
      <c r="BY344" s="50" t="str">
        <f t="shared" si="153"/>
        <v>BEAVER CREEK_Steelhead</v>
      </c>
      <c r="BZ344" s="50" t="str">
        <f>IFERROR(VLOOKUP(BY344,'[1]WCVI Esc'!$C$5:$W$555,18,FALSE),"-")</f>
        <v>-</v>
      </c>
      <c r="CA344" s="50" t="str">
        <f t="shared" si="154"/>
        <v>-</v>
      </c>
      <c r="CB344" s="50" t="str">
        <f>IFERROR(VLOOKUP(BY344,'[1]WCVI Esc'!$C$5:$W$555,19,FALSE),"-")</f>
        <v>-</v>
      </c>
      <c r="CC344" s="50" t="str">
        <f t="shared" si="155"/>
        <v>-</v>
      </c>
      <c r="CE344" s="342" t="str">
        <f t="shared" si="156"/>
        <v>BEAVER CREEK_Steelhead</v>
      </c>
      <c r="CF344" s="341" t="str">
        <f>IFERROR(VLOOKUP(BY344,'RawPL+D'!$O$8:$AB$503,12,FALSE),"-")</f>
        <v>-</v>
      </c>
      <c r="CG344" s="338" t="str">
        <f t="shared" si="157"/>
        <v>-</v>
      </c>
      <c r="CH344" s="341" t="str">
        <f>IFERROR(VLOOKUP(BY344,'RawPL+D'!$O$8:$AB$503,13,FALSE),"-")</f>
        <v>-</v>
      </c>
      <c r="CI344" s="338" t="str">
        <f t="shared" si="158"/>
        <v>-</v>
      </c>
    </row>
    <row r="345" spans="1:87" ht="12.75" hidden="1" customHeight="1" x14ac:dyDescent="0.2">
      <c r="A345" s="28">
        <v>4</v>
      </c>
      <c r="B345" s="28">
        <v>1</v>
      </c>
      <c r="C345" s="11">
        <v>23</v>
      </c>
      <c r="D345" s="148" t="s">
        <v>320</v>
      </c>
      <c r="E345" s="10" t="s">
        <v>172</v>
      </c>
      <c r="F345" s="10" t="s">
        <v>207</v>
      </c>
      <c r="G345" s="10"/>
      <c r="H345" s="10"/>
      <c r="I345" s="10"/>
      <c r="J345" s="10"/>
      <c r="K345" s="575"/>
      <c r="L345" s="152"/>
      <c r="M345" s="164"/>
      <c r="N345" s="62"/>
      <c r="O345" s="62"/>
      <c r="P345" s="177"/>
      <c r="Q345" s="171"/>
      <c r="R345" s="62"/>
      <c r="S345" s="62"/>
      <c r="T345" s="62"/>
      <c r="U345" s="177"/>
      <c r="V345" s="164"/>
      <c r="W345" s="62"/>
      <c r="X345" s="62"/>
      <c r="Y345" s="62"/>
      <c r="Z345" s="64"/>
      <c r="AA345" s="164"/>
      <c r="AB345" s="62"/>
      <c r="AC345" s="62"/>
      <c r="AD345" s="64"/>
      <c r="AE345" s="164"/>
      <c r="AF345" s="62"/>
      <c r="AG345" s="62"/>
      <c r="AH345" s="337"/>
      <c r="AI345" s="337"/>
      <c r="AJ345" s="337"/>
      <c r="AK345" s="337"/>
      <c r="AL345" s="414"/>
      <c r="AM345" s="414"/>
      <c r="AN345" s="45"/>
      <c r="AO345" s="45"/>
      <c r="AP345" s="45"/>
      <c r="AQ345" s="485"/>
      <c r="AR345" s="100"/>
      <c r="AS345" s="485"/>
      <c r="AT345" s="24"/>
      <c r="AU345" s="24"/>
      <c r="AV345" s="24"/>
      <c r="AW345" s="18">
        <v>23</v>
      </c>
      <c r="AX345" s="69" t="s">
        <v>320</v>
      </c>
      <c r="AY345" s="243" t="s">
        <v>172</v>
      </c>
      <c r="AZ345" s="243" t="str">
        <f t="shared" si="140"/>
        <v>Sockeye</v>
      </c>
      <c r="BA345" s="243" t="s">
        <v>419</v>
      </c>
      <c r="BB345" s="244"/>
      <c r="BC345" s="43" t="str">
        <f t="shared" si="141"/>
        <v>-</v>
      </c>
      <c r="BD345" s="43">
        <f t="shared" si="138"/>
        <v>0</v>
      </c>
      <c r="BE345" s="193">
        <f t="shared" si="159"/>
        <v>0</v>
      </c>
      <c r="BF345" s="193">
        <f t="shared" si="142"/>
        <v>0</v>
      </c>
      <c r="BG345" s="193">
        <f t="shared" si="143"/>
        <v>0</v>
      </c>
      <c r="BH345" s="307" t="str">
        <f t="shared" si="160"/>
        <v>-</v>
      </c>
      <c r="BI345" s="265" t="str">
        <f t="shared" si="139"/>
        <v>-</v>
      </c>
      <c r="BJ345" s="26" t="str">
        <f t="shared" si="144"/>
        <v>DEER CREEKSockeye</v>
      </c>
      <c r="BK345" s="26">
        <f t="shared" si="145"/>
        <v>0</v>
      </c>
      <c r="BL345" s="33">
        <f t="shared" si="135"/>
        <v>0</v>
      </c>
      <c r="BQ345" s="47" t="str">
        <f t="shared" si="146"/>
        <v>DEER CREEKSockeye</v>
      </c>
      <c r="BR345" s="49">
        <f t="shared" si="147"/>
        <v>0</v>
      </c>
      <c r="BS345" s="49">
        <f t="shared" si="148"/>
        <v>0</v>
      </c>
      <c r="BT345" s="31">
        <v>0</v>
      </c>
      <c r="BU345" s="188">
        <f t="shared" si="149"/>
        <v>0</v>
      </c>
      <c r="BV345" s="188" t="str">
        <f t="shared" si="150"/>
        <v xml:space="preserve"> </v>
      </c>
      <c r="BW345" s="188" t="str">
        <f t="shared" si="151"/>
        <v xml:space="preserve"> </v>
      </c>
      <c r="BX345" s="188" t="str">
        <f t="shared" si="152"/>
        <v xml:space="preserve"> </v>
      </c>
      <c r="BY345" s="50" t="str">
        <f t="shared" si="153"/>
        <v>DEER CREEK_Sockeye</v>
      </c>
      <c r="BZ345" s="50" t="str">
        <f>IFERROR(VLOOKUP(BY345,'[1]WCVI Esc'!$C$5:$W$555,18,FALSE),"-")</f>
        <v>-</v>
      </c>
      <c r="CA345" s="50" t="str">
        <f t="shared" si="154"/>
        <v>-</v>
      </c>
      <c r="CB345" s="50" t="str">
        <f>IFERROR(VLOOKUP(BY345,'[1]WCVI Esc'!$C$5:$W$555,19,FALSE),"-")</f>
        <v>-</v>
      </c>
      <c r="CC345" s="50" t="str">
        <f t="shared" si="155"/>
        <v>-</v>
      </c>
      <c r="CE345" s="342" t="str">
        <f t="shared" si="156"/>
        <v>DEER CREEK_Sockeye</v>
      </c>
      <c r="CF345" s="341" t="str">
        <f>IFERROR(VLOOKUP(BY345,'RawPL+D'!$O$8:$AB$503,12,FALSE),"-")</f>
        <v>-</v>
      </c>
      <c r="CG345" s="338" t="str">
        <f t="shared" si="157"/>
        <v>-</v>
      </c>
      <c r="CH345" s="341" t="str">
        <f>IFERROR(VLOOKUP(BY345,'RawPL+D'!$O$8:$AB$503,13,FALSE),"-")</f>
        <v>-</v>
      </c>
      <c r="CI345" s="338" t="str">
        <f t="shared" si="158"/>
        <v>-</v>
      </c>
    </row>
    <row r="346" spans="1:87" ht="12.75" hidden="1" customHeight="1" x14ac:dyDescent="0.2">
      <c r="A346" s="28">
        <v>4</v>
      </c>
      <c r="B346" s="28">
        <v>2</v>
      </c>
      <c r="C346" s="11">
        <v>23</v>
      </c>
      <c r="D346" s="148" t="s">
        <v>320</v>
      </c>
      <c r="E346" s="10" t="s">
        <v>172</v>
      </c>
      <c r="F346" s="10" t="s">
        <v>219</v>
      </c>
      <c r="G346" s="10"/>
      <c r="H346" s="10"/>
      <c r="I346" s="10"/>
      <c r="J346" s="10"/>
      <c r="K346" s="575"/>
      <c r="L346" s="152"/>
      <c r="M346" s="164"/>
      <c r="N346" s="62"/>
      <c r="O346" s="62"/>
      <c r="P346" s="177"/>
      <c r="Q346" s="171"/>
      <c r="R346" s="62"/>
      <c r="S346" s="62"/>
      <c r="T346" s="62"/>
      <c r="U346" s="177"/>
      <c r="V346" s="164"/>
      <c r="W346" s="62"/>
      <c r="X346" s="62"/>
      <c r="Y346" s="62"/>
      <c r="Z346" s="64"/>
      <c r="AA346" s="164"/>
      <c r="AB346" s="62"/>
      <c r="AC346" s="62"/>
      <c r="AD346" s="64"/>
      <c r="AE346" s="164"/>
      <c r="AF346" s="62"/>
      <c r="AG346" s="62"/>
      <c r="AH346" s="337"/>
      <c r="AI346" s="337"/>
      <c r="AJ346" s="337"/>
      <c r="AK346" s="337"/>
      <c r="AL346" s="414"/>
      <c r="AM346" s="414"/>
      <c r="AN346" s="45"/>
      <c r="AO346" s="45"/>
      <c r="AP346" s="45"/>
      <c r="AQ346" s="485"/>
      <c r="AR346" s="100"/>
      <c r="AS346" s="485"/>
      <c r="AT346" s="24"/>
      <c r="AU346" s="24"/>
      <c r="AV346" s="24"/>
      <c r="AW346" s="18">
        <v>23</v>
      </c>
      <c r="AX346" s="69" t="s">
        <v>320</v>
      </c>
      <c r="AY346" s="243" t="s">
        <v>172</v>
      </c>
      <c r="AZ346" s="243" t="str">
        <f t="shared" si="140"/>
        <v>Coho</v>
      </c>
      <c r="BA346" s="243" t="s">
        <v>419</v>
      </c>
      <c r="BB346" s="244"/>
      <c r="BC346" s="43" t="str">
        <f t="shared" si="141"/>
        <v>-</v>
      </c>
      <c r="BD346" s="43">
        <f t="shared" si="138"/>
        <v>0</v>
      </c>
      <c r="BE346" s="193">
        <f t="shared" si="159"/>
        <v>0</v>
      </c>
      <c r="BF346" s="193">
        <f t="shared" si="142"/>
        <v>0</v>
      </c>
      <c r="BG346" s="193">
        <f t="shared" si="143"/>
        <v>0</v>
      </c>
      <c r="BH346" s="307" t="str">
        <f t="shared" si="160"/>
        <v>-</v>
      </c>
      <c r="BI346" s="265" t="str">
        <f t="shared" si="139"/>
        <v>-</v>
      </c>
      <c r="BJ346" s="26" t="str">
        <f t="shared" si="144"/>
        <v>DEER CREEKCoho</v>
      </c>
      <c r="BK346" s="26">
        <f t="shared" si="145"/>
        <v>0</v>
      </c>
      <c r="BL346" s="33">
        <f t="shared" si="135"/>
        <v>0</v>
      </c>
      <c r="BQ346" s="47" t="str">
        <f t="shared" si="146"/>
        <v>DEER CREEKCoho</v>
      </c>
      <c r="BR346" s="49">
        <f t="shared" si="147"/>
        <v>0</v>
      </c>
      <c r="BS346" s="49">
        <f t="shared" si="148"/>
        <v>0</v>
      </c>
      <c r="BT346" s="31">
        <v>1993</v>
      </c>
      <c r="BU346" s="188">
        <f t="shared" si="149"/>
        <v>0</v>
      </c>
      <c r="BV346" s="188" t="str">
        <f t="shared" si="150"/>
        <v xml:space="preserve"> </v>
      </c>
      <c r="BW346" s="188" t="str">
        <f t="shared" si="151"/>
        <v xml:space="preserve"> </v>
      </c>
      <c r="BX346" s="188" t="str">
        <f t="shared" si="152"/>
        <v xml:space="preserve"> </v>
      </c>
      <c r="BY346" s="50" t="str">
        <f t="shared" si="153"/>
        <v>DEER CREEK_Coho</v>
      </c>
      <c r="BZ346" s="50" t="str">
        <f>IFERROR(VLOOKUP(BY346,'[1]WCVI Esc'!$C$5:$W$555,18,FALSE),"-")</f>
        <v>-</v>
      </c>
      <c r="CA346" s="50" t="str">
        <f t="shared" si="154"/>
        <v>-</v>
      </c>
      <c r="CB346" s="50" t="str">
        <f>IFERROR(VLOOKUP(BY346,'[1]WCVI Esc'!$C$5:$W$555,19,FALSE),"-")</f>
        <v>-</v>
      </c>
      <c r="CC346" s="50" t="str">
        <f t="shared" si="155"/>
        <v>-</v>
      </c>
      <c r="CE346" s="342" t="str">
        <f t="shared" si="156"/>
        <v>DEER CREEK_Coho</v>
      </c>
      <c r="CF346" s="341" t="str">
        <f>IFERROR(VLOOKUP(BY346,'RawPL+D'!$O$8:$AB$503,12,FALSE),"-")</f>
        <v>-</v>
      </c>
      <c r="CG346" s="338" t="str">
        <f t="shared" si="157"/>
        <v>-</v>
      </c>
      <c r="CH346" s="341" t="str">
        <f>IFERROR(VLOOKUP(BY346,'RawPL+D'!$O$8:$AB$503,13,FALSE),"-")</f>
        <v>-</v>
      </c>
      <c r="CI346" s="338" t="str">
        <f t="shared" si="158"/>
        <v>-</v>
      </c>
    </row>
    <row r="347" spans="1:87" ht="12.75" hidden="1" customHeight="1" x14ac:dyDescent="0.2">
      <c r="A347" s="28">
        <v>4</v>
      </c>
      <c r="B347" s="28">
        <v>3</v>
      </c>
      <c r="C347" s="11">
        <v>23</v>
      </c>
      <c r="D347" s="148" t="s">
        <v>320</v>
      </c>
      <c r="E347" s="10" t="s">
        <v>172</v>
      </c>
      <c r="F347" s="10" t="s">
        <v>208</v>
      </c>
      <c r="G347" s="10"/>
      <c r="H347" s="10"/>
      <c r="I347" s="10"/>
      <c r="J347" s="10"/>
      <c r="K347" s="575"/>
      <c r="L347" s="152"/>
      <c r="M347" s="164"/>
      <c r="N347" s="62"/>
      <c r="O347" s="62"/>
      <c r="P347" s="177"/>
      <c r="Q347" s="171"/>
      <c r="R347" s="62"/>
      <c r="S347" s="62"/>
      <c r="T347" s="62"/>
      <c r="U347" s="177"/>
      <c r="V347" s="164"/>
      <c r="W347" s="62"/>
      <c r="X347" s="62"/>
      <c r="Y347" s="62"/>
      <c r="Z347" s="64"/>
      <c r="AA347" s="164"/>
      <c r="AB347" s="62"/>
      <c r="AC347" s="62"/>
      <c r="AD347" s="64"/>
      <c r="AE347" s="164"/>
      <c r="AF347" s="62"/>
      <c r="AG347" s="62"/>
      <c r="AH347" s="337"/>
      <c r="AI347" s="337"/>
      <c r="AJ347" s="337"/>
      <c r="AK347" s="337"/>
      <c r="AL347" s="414"/>
      <c r="AM347" s="414"/>
      <c r="AN347" s="45"/>
      <c r="AO347" s="45"/>
      <c r="AP347" s="45"/>
      <c r="AQ347" s="485"/>
      <c r="AR347" s="100"/>
      <c r="AS347" s="485"/>
      <c r="AT347" s="24"/>
      <c r="AU347" s="24"/>
      <c r="AV347" s="24"/>
      <c r="AW347" s="18">
        <v>23</v>
      </c>
      <c r="AX347" s="69" t="s">
        <v>320</v>
      </c>
      <c r="AY347" s="243" t="s">
        <v>172</v>
      </c>
      <c r="AZ347" s="243" t="str">
        <f t="shared" si="140"/>
        <v>Pink</v>
      </c>
      <c r="BA347" s="243" t="s">
        <v>419</v>
      </c>
      <c r="BB347" s="244"/>
      <c r="BC347" s="43" t="str">
        <f t="shared" si="141"/>
        <v>-</v>
      </c>
      <c r="BD347" s="43">
        <f t="shared" si="138"/>
        <v>0</v>
      </c>
      <c r="BE347" s="193">
        <f t="shared" si="159"/>
        <v>0</v>
      </c>
      <c r="BF347" s="193">
        <f t="shared" si="142"/>
        <v>0</v>
      </c>
      <c r="BG347" s="193">
        <f t="shared" si="143"/>
        <v>0</v>
      </c>
      <c r="BH347" s="307" t="str">
        <f t="shared" si="160"/>
        <v>-</v>
      </c>
      <c r="BI347" s="265" t="str">
        <f t="shared" si="139"/>
        <v>-</v>
      </c>
      <c r="BJ347" s="26" t="str">
        <f t="shared" si="144"/>
        <v>DEER CREEKPink</v>
      </c>
      <c r="BK347" s="26">
        <f t="shared" si="145"/>
        <v>0</v>
      </c>
      <c r="BL347" s="33">
        <f t="shared" si="135"/>
        <v>0</v>
      </c>
      <c r="BQ347" s="47" t="str">
        <f t="shared" si="146"/>
        <v>DEER CREEKPink</v>
      </c>
      <c r="BR347" s="49">
        <f t="shared" si="147"/>
        <v>0</v>
      </c>
      <c r="BS347" s="49">
        <f t="shared" si="148"/>
        <v>0</v>
      </c>
      <c r="BT347" s="31">
        <v>0</v>
      </c>
      <c r="BU347" s="188">
        <f t="shared" si="149"/>
        <v>0</v>
      </c>
      <c r="BV347" s="188" t="str">
        <f t="shared" si="150"/>
        <v xml:space="preserve"> </v>
      </c>
      <c r="BW347" s="188" t="str">
        <f t="shared" si="151"/>
        <v xml:space="preserve"> </v>
      </c>
      <c r="BX347" s="188" t="str">
        <f t="shared" si="152"/>
        <v xml:space="preserve"> </v>
      </c>
      <c r="BY347" s="50" t="str">
        <f t="shared" si="153"/>
        <v>DEER CREEK_Pink</v>
      </c>
      <c r="BZ347" s="50" t="str">
        <f>IFERROR(VLOOKUP(BY347,'[1]WCVI Esc'!$C$5:$W$555,18,FALSE),"-")</f>
        <v>-</v>
      </c>
      <c r="CA347" s="50" t="str">
        <f t="shared" si="154"/>
        <v>-</v>
      </c>
      <c r="CB347" s="50" t="str">
        <f>IFERROR(VLOOKUP(BY347,'[1]WCVI Esc'!$C$5:$W$555,19,FALSE),"-")</f>
        <v>-</v>
      </c>
      <c r="CC347" s="50" t="str">
        <f t="shared" si="155"/>
        <v>-</v>
      </c>
      <c r="CE347" s="342" t="str">
        <f t="shared" si="156"/>
        <v>DEER CREEK_Pink</v>
      </c>
      <c r="CF347" s="341" t="str">
        <f>IFERROR(VLOOKUP(BY347,'RawPL+D'!$O$8:$AB$503,12,FALSE),"-")</f>
        <v>-</v>
      </c>
      <c r="CG347" s="338" t="str">
        <f t="shared" si="157"/>
        <v>-</v>
      </c>
      <c r="CH347" s="341" t="str">
        <f>IFERROR(VLOOKUP(BY347,'RawPL+D'!$O$8:$AB$503,13,FALSE),"-")</f>
        <v>-</v>
      </c>
      <c r="CI347" s="338" t="str">
        <f t="shared" si="158"/>
        <v>-</v>
      </c>
    </row>
    <row r="348" spans="1:87" ht="12.75" hidden="1" customHeight="1" x14ac:dyDescent="0.2">
      <c r="A348" s="28">
        <v>4</v>
      </c>
      <c r="B348" s="28">
        <v>4</v>
      </c>
      <c r="C348" s="11">
        <v>23</v>
      </c>
      <c r="D348" s="148" t="s">
        <v>320</v>
      </c>
      <c r="E348" s="10" t="s">
        <v>172</v>
      </c>
      <c r="F348" s="10" t="s">
        <v>209</v>
      </c>
      <c r="G348" s="10"/>
      <c r="H348" s="10"/>
      <c r="I348" s="10"/>
      <c r="J348" s="10"/>
      <c r="K348" s="575"/>
      <c r="L348" s="152"/>
      <c r="M348" s="164"/>
      <c r="N348" s="62"/>
      <c r="O348" s="62"/>
      <c r="P348" s="177"/>
      <c r="Q348" s="171"/>
      <c r="R348" s="596"/>
      <c r="S348" s="62"/>
      <c r="T348" s="62"/>
      <c r="U348" s="177"/>
      <c r="V348" s="164"/>
      <c r="W348" s="62"/>
      <c r="X348" s="62"/>
      <c r="Y348" s="62"/>
      <c r="Z348" s="64"/>
      <c r="AA348" s="164"/>
      <c r="AB348" s="62"/>
      <c r="AC348" s="62"/>
      <c r="AD348" s="64"/>
      <c r="AE348" s="164"/>
      <c r="AF348" s="62"/>
      <c r="AG348" s="62"/>
      <c r="AH348" s="337"/>
      <c r="AI348" s="337"/>
      <c r="AJ348" s="337"/>
      <c r="AK348" s="337"/>
      <c r="AL348" s="414"/>
      <c r="AM348" s="414"/>
      <c r="AN348" s="45"/>
      <c r="AO348" s="45"/>
      <c r="AP348" s="45"/>
      <c r="AQ348" s="485"/>
      <c r="AR348" s="100"/>
      <c r="AS348" s="485"/>
      <c r="AT348" s="24"/>
      <c r="AU348" s="24"/>
      <c r="AV348" s="24"/>
      <c r="AW348" s="18">
        <v>23</v>
      </c>
      <c r="AX348" s="69" t="s">
        <v>320</v>
      </c>
      <c r="AY348" s="243" t="s">
        <v>172</v>
      </c>
      <c r="AZ348" s="243" t="str">
        <f t="shared" si="140"/>
        <v>Chum</v>
      </c>
      <c r="BA348" s="243" t="s">
        <v>419</v>
      </c>
      <c r="BB348" s="244"/>
      <c r="BC348" s="43" t="str">
        <f t="shared" si="141"/>
        <v>-</v>
      </c>
      <c r="BD348" s="43">
        <f t="shared" si="138"/>
        <v>0</v>
      </c>
      <c r="BE348" s="193">
        <f t="shared" si="159"/>
        <v>0</v>
      </c>
      <c r="BF348" s="193">
        <f t="shared" si="142"/>
        <v>0</v>
      </c>
      <c r="BG348" s="193">
        <f t="shared" si="143"/>
        <v>0</v>
      </c>
      <c r="BH348" s="307" t="str">
        <f t="shared" si="160"/>
        <v>-</v>
      </c>
      <c r="BI348" s="265" t="str">
        <f t="shared" si="139"/>
        <v>-</v>
      </c>
      <c r="BJ348" s="26" t="str">
        <f t="shared" si="144"/>
        <v>DEER CREEKChum</v>
      </c>
      <c r="BK348" s="26">
        <f t="shared" si="145"/>
        <v>0</v>
      </c>
      <c r="BL348" s="33">
        <f t="shared" si="135"/>
        <v>0</v>
      </c>
      <c r="BQ348" s="47" t="str">
        <f t="shared" si="146"/>
        <v>DEER CREEKChum</v>
      </c>
      <c r="BR348" s="49">
        <f t="shared" si="147"/>
        <v>0</v>
      </c>
      <c r="BS348" s="49">
        <f t="shared" si="148"/>
        <v>0</v>
      </c>
      <c r="BT348" s="31">
        <v>1993</v>
      </c>
      <c r="BU348" s="188">
        <f t="shared" si="149"/>
        <v>0</v>
      </c>
      <c r="BV348" s="188" t="str">
        <f t="shared" si="150"/>
        <v xml:space="preserve"> </v>
      </c>
      <c r="BW348" s="188" t="str">
        <f t="shared" si="151"/>
        <v xml:space="preserve"> </v>
      </c>
      <c r="BX348" s="188" t="str">
        <f t="shared" si="152"/>
        <v xml:space="preserve"> </v>
      </c>
      <c r="BY348" s="50" t="str">
        <f t="shared" si="153"/>
        <v>DEER CREEK_Chum</v>
      </c>
      <c r="BZ348" s="50" t="str">
        <f>IFERROR(VLOOKUP(BY348,'[1]WCVI Esc'!$C$5:$W$555,18,FALSE),"-")</f>
        <v>-</v>
      </c>
      <c r="CA348" s="50" t="str">
        <f t="shared" si="154"/>
        <v>-</v>
      </c>
      <c r="CB348" s="50" t="str">
        <f>IFERROR(VLOOKUP(BY348,'[1]WCVI Esc'!$C$5:$W$555,19,FALSE),"-")</f>
        <v>-</v>
      </c>
      <c r="CC348" s="50" t="str">
        <f t="shared" si="155"/>
        <v>-</v>
      </c>
      <c r="CE348" s="342" t="str">
        <f t="shared" si="156"/>
        <v>DEER CREEK_Chum</v>
      </c>
      <c r="CF348" s="341" t="str">
        <f>IFERROR(VLOOKUP(BY348,'RawPL+D'!$O$8:$AB$503,12,FALSE),"-")</f>
        <v>-</v>
      </c>
      <c r="CG348" s="338" t="str">
        <f t="shared" si="157"/>
        <v>-</v>
      </c>
      <c r="CH348" s="341" t="str">
        <f>IFERROR(VLOOKUP(BY348,'RawPL+D'!$O$8:$AB$503,13,FALSE),"-")</f>
        <v>-</v>
      </c>
      <c r="CI348" s="338" t="str">
        <f t="shared" si="158"/>
        <v>-</v>
      </c>
    </row>
    <row r="349" spans="1:87" ht="12.75" hidden="1" customHeight="1" x14ac:dyDescent="0.2">
      <c r="A349" s="28">
        <v>4</v>
      </c>
      <c r="B349" s="28">
        <v>5</v>
      </c>
      <c r="C349" s="11">
        <v>23</v>
      </c>
      <c r="D349" s="148" t="s">
        <v>320</v>
      </c>
      <c r="E349" s="10" t="s">
        <v>172</v>
      </c>
      <c r="F349" s="10" t="s">
        <v>210</v>
      </c>
      <c r="G349" s="10"/>
      <c r="H349" s="10"/>
      <c r="I349" s="10"/>
      <c r="J349" s="10"/>
      <c r="K349" s="575"/>
      <c r="L349" s="152"/>
      <c r="M349" s="164"/>
      <c r="N349" s="62"/>
      <c r="O349" s="62"/>
      <c r="P349" s="177"/>
      <c r="Q349" s="171"/>
      <c r="R349" s="62"/>
      <c r="S349" s="62"/>
      <c r="T349" s="62"/>
      <c r="U349" s="177"/>
      <c r="V349" s="164"/>
      <c r="W349" s="62"/>
      <c r="X349" s="62"/>
      <c r="Y349" s="62"/>
      <c r="Z349" s="64"/>
      <c r="AA349" s="164"/>
      <c r="AB349" s="62"/>
      <c r="AC349" s="62"/>
      <c r="AD349" s="64"/>
      <c r="AE349" s="164"/>
      <c r="AF349" s="62"/>
      <c r="AG349" s="62"/>
      <c r="AH349" s="337"/>
      <c r="AI349" s="337"/>
      <c r="AJ349" s="337"/>
      <c r="AK349" s="337"/>
      <c r="AL349" s="414"/>
      <c r="AM349" s="414"/>
      <c r="AN349" s="45"/>
      <c r="AO349" s="45"/>
      <c r="AP349" s="45"/>
      <c r="AQ349" s="485"/>
      <c r="AR349" s="100"/>
      <c r="AS349" s="485"/>
      <c r="AT349" s="24"/>
      <c r="AU349" s="24"/>
      <c r="AV349" s="24"/>
      <c r="AW349" s="18">
        <v>23</v>
      </c>
      <c r="AX349" s="69" t="s">
        <v>320</v>
      </c>
      <c r="AY349" s="243" t="s">
        <v>172</v>
      </c>
      <c r="AZ349" s="243" t="str">
        <f t="shared" si="140"/>
        <v>Chinook</v>
      </c>
      <c r="BA349" s="243" t="s">
        <v>419</v>
      </c>
      <c r="BB349" s="244"/>
      <c r="BC349" s="43" t="str">
        <f t="shared" si="141"/>
        <v>-</v>
      </c>
      <c r="BD349" s="43">
        <f t="shared" si="138"/>
        <v>0</v>
      </c>
      <c r="BE349" s="193">
        <f t="shared" si="159"/>
        <v>0</v>
      </c>
      <c r="BF349" s="193">
        <f t="shared" si="142"/>
        <v>0</v>
      </c>
      <c r="BG349" s="193">
        <f t="shared" si="143"/>
        <v>0</v>
      </c>
      <c r="BH349" s="307" t="str">
        <f t="shared" si="160"/>
        <v>-</v>
      </c>
      <c r="BI349" s="265" t="str">
        <f t="shared" si="139"/>
        <v>-</v>
      </c>
      <c r="BJ349" s="26" t="str">
        <f t="shared" si="144"/>
        <v>DEER CREEKChinook</v>
      </c>
      <c r="BK349" s="26">
        <f t="shared" si="145"/>
        <v>0</v>
      </c>
      <c r="BL349" s="33">
        <f t="shared" si="135"/>
        <v>0</v>
      </c>
      <c r="BQ349" s="47" t="str">
        <f t="shared" si="146"/>
        <v>DEER CREEKChinook</v>
      </c>
      <c r="BR349" s="49">
        <f t="shared" si="147"/>
        <v>0</v>
      </c>
      <c r="BS349" s="49">
        <f t="shared" si="148"/>
        <v>0</v>
      </c>
      <c r="BT349" s="31">
        <v>0</v>
      </c>
      <c r="BU349" s="188">
        <f t="shared" si="149"/>
        <v>0</v>
      </c>
      <c r="BV349" s="188" t="str">
        <f t="shared" si="150"/>
        <v xml:space="preserve"> </v>
      </c>
      <c r="BW349" s="188" t="str">
        <f t="shared" si="151"/>
        <v xml:space="preserve"> </v>
      </c>
      <c r="BX349" s="188" t="str">
        <f t="shared" si="152"/>
        <v xml:space="preserve"> </v>
      </c>
      <c r="BY349" s="50" t="str">
        <f t="shared" si="153"/>
        <v>DEER CREEK_Chinook</v>
      </c>
      <c r="BZ349" s="50" t="str">
        <f>IFERROR(VLOOKUP(BY349,'[1]WCVI Esc'!$C$5:$W$555,18,FALSE),"-")</f>
        <v>-</v>
      </c>
      <c r="CA349" s="50" t="str">
        <f t="shared" si="154"/>
        <v>-</v>
      </c>
      <c r="CB349" s="50" t="str">
        <f>IFERROR(VLOOKUP(BY349,'[1]WCVI Esc'!$C$5:$W$555,19,FALSE),"-")</f>
        <v>-</v>
      </c>
      <c r="CC349" s="50" t="str">
        <f t="shared" si="155"/>
        <v>-</v>
      </c>
      <c r="CE349" s="342" t="str">
        <f t="shared" si="156"/>
        <v>DEER CREEK_Chinook</v>
      </c>
      <c r="CF349" s="341" t="str">
        <f>IFERROR(VLOOKUP(BY349,'RawPL+D'!$O$8:$AB$503,12,FALSE),"-")</f>
        <v>-</v>
      </c>
      <c r="CG349" s="338" t="str">
        <f t="shared" si="157"/>
        <v>-</v>
      </c>
      <c r="CH349" s="341" t="str">
        <f>IFERROR(VLOOKUP(BY349,'RawPL+D'!$O$8:$AB$503,13,FALSE),"-")</f>
        <v>-</v>
      </c>
      <c r="CI349" s="338" t="str">
        <f t="shared" si="158"/>
        <v>-</v>
      </c>
    </row>
    <row r="350" spans="1:87" ht="12.75" hidden="1" customHeight="1" x14ac:dyDescent="0.2">
      <c r="A350" s="28">
        <v>4</v>
      </c>
      <c r="B350" s="28">
        <v>6</v>
      </c>
      <c r="C350" s="11">
        <v>23</v>
      </c>
      <c r="D350" s="148" t="s">
        <v>320</v>
      </c>
      <c r="E350" s="10" t="s">
        <v>172</v>
      </c>
      <c r="F350" s="10" t="s">
        <v>211</v>
      </c>
      <c r="G350" s="10"/>
      <c r="H350" s="10"/>
      <c r="I350" s="10"/>
      <c r="J350" s="10"/>
      <c r="K350" s="575"/>
      <c r="L350" s="152"/>
      <c r="M350" s="164"/>
      <c r="N350" s="62"/>
      <c r="O350" s="62"/>
      <c r="P350" s="177"/>
      <c r="Q350" s="171"/>
      <c r="R350" s="62"/>
      <c r="S350" s="62"/>
      <c r="T350" s="62"/>
      <c r="U350" s="177"/>
      <c r="V350" s="164"/>
      <c r="W350" s="62"/>
      <c r="X350" s="62"/>
      <c r="Y350" s="62"/>
      <c r="Z350" s="64"/>
      <c r="AA350" s="164"/>
      <c r="AB350" s="62"/>
      <c r="AC350" s="62"/>
      <c r="AD350" s="64"/>
      <c r="AE350" s="164"/>
      <c r="AF350" s="62"/>
      <c r="AG350" s="62"/>
      <c r="AH350" s="337"/>
      <c r="AI350" s="337"/>
      <c r="AJ350" s="337"/>
      <c r="AK350" s="337"/>
      <c r="AL350" s="414"/>
      <c r="AM350" s="414"/>
      <c r="AN350" s="45"/>
      <c r="AO350" s="45"/>
      <c r="AP350" s="45"/>
      <c r="AQ350" s="485"/>
      <c r="AR350" s="100"/>
      <c r="AS350" s="485"/>
      <c r="AT350" s="24"/>
      <c r="AU350" s="24"/>
      <c r="AV350" s="24"/>
      <c r="AW350" s="18">
        <v>23</v>
      </c>
      <c r="AX350" s="69" t="s">
        <v>320</v>
      </c>
      <c r="AY350" s="243" t="s">
        <v>172</v>
      </c>
      <c r="AZ350" s="243" t="str">
        <f t="shared" si="140"/>
        <v>Steelhead</v>
      </c>
      <c r="BA350" s="243" t="s">
        <v>419</v>
      </c>
      <c r="BB350" s="244"/>
      <c r="BC350" s="43" t="str">
        <f t="shared" si="141"/>
        <v>-</v>
      </c>
      <c r="BD350" s="43">
        <f t="shared" si="138"/>
        <v>0</v>
      </c>
      <c r="BE350" s="193">
        <f t="shared" si="159"/>
        <v>0</v>
      </c>
      <c r="BF350" s="193">
        <f t="shared" si="142"/>
        <v>0</v>
      </c>
      <c r="BG350" s="193">
        <f t="shared" si="143"/>
        <v>0</v>
      </c>
      <c r="BH350" s="307" t="str">
        <f t="shared" si="160"/>
        <v>-</v>
      </c>
      <c r="BI350" s="265" t="str">
        <f t="shared" si="139"/>
        <v>-</v>
      </c>
      <c r="BJ350" s="26" t="str">
        <f t="shared" si="144"/>
        <v>DEER CREEKSteelhead</v>
      </c>
      <c r="BK350" s="26">
        <f t="shared" si="145"/>
        <v>0</v>
      </c>
      <c r="BL350" s="33">
        <f t="shared" si="135"/>
        <v>0</v>
      </c>
      <c r="BQ350" s="47" t="str">
        <f t="shared" si="146"/>
        <v>DEER CREEKSteelhead</v>
      </c>
      <c r="BR350" s="49">
        <f t="shared" si="147"/>
        <v>0</v>
      </c>
      <c r="BS350" s="49">
        <f t="shared" si="148"/>
        <v>0</v>
      </c>
      <c r="BT350" s="31">
        <v>0</v>
      </c>
      <c r="BU350" s="188">
        <f t="shared" si="149"/>
        <v>0</v>
      </c>
      <c r="BV350" s="188" t="str">
        <f t="shared" si="150"/>
        <v xml:space="preserve"> </v>
      </c>
      <c r="BW350" s="188" t="str">
        <f t="shared" si="151"/>
        <v xml:space="preserve"> </v>
      </c>
      <c r="BX350" s="188" t="str">
        <f t="shared" si="152"/>
        <v xml:space="preserve"> </v>
      </c>
      <c r="BY350" s="50" t="str">
        <f t="shared" si="153"/>
        <v>DEER CREEK_Steelhead</v>
      </c>
      <c r="BZ350" s="50" t="str">
        <f>IFERROR(VLOOKUP(BY350,'[1]WCVI Esc'!$C$5:$W$555,18,FALSE),"-")</f>
        <v>-</v>
      </c>
      <c r="CA350" s="50" t="str">
        <f t="shared" si="154"/>
        <v>-</v>
      </c>
      <c r="CB350" s="50" t="str">
        <f>IFERROR(VLOOKUP(BY350,'[1]WCVI Esc'!$C$5:$W$555,19,FALSE),"-")</f>
        <v>-</v>
      </c>
      <c r="CC350" s="50" t="str">
        <f t="shared" si="155"/>
        <v>-</v>
      </c>
      <c r="CE350" s="342" t="str">
        <f t="shared" si="156"/>
        <v>DEER CREEK_Steelhead</v>
      </c>
      <c r="CF350" s="341" t="str">
        <f>IFERROR(VLOOKUP(BY350,'RawPL+D'!$O$8:$AB$503,12,FALSE),"-")</f>
        <v>-</v>
      </c>
      <c r="CG350" s="338" t="str">
        <f t="shared" si="157"/>
        <v>-</v>
      </c>
      <c r="CH350" s="341" t="str">
        <f>IFERROR(VLOOKUP(BY350,'RawPL+D'!$O$8:$AB$503,13,FALSE),"-")</f>
        <v>-</v>
      </c>
      <c r="CI350" s="338" t="str">
        <f t="shared" si="158"/>
        <v>-</v>
      </c>
    </row>
    <row r="351" spans="1:87" ht="12.75" hidden="1" customHeight="1" x14ac:dyDescent="0.2">
      <c r="A351" s="28">
        <v>4</v>
      </c>
      <c r="B351" s="28">
        <v>1</v>
      </c>
      <c r="C351" s="11">
        <v>23</v>
      </c>
      <c r="D351" s="148" t="s">
        <v>320</v>
      </c>
      <c r="E351" s="10" t="s">
        <v>93</v>
      </c>
      <c r="F351" s="10" t="s">
        <v>207</v>
      </c>
      <c r="G351" s="10"/>
      <c r="H351" s="10"/>
      <c r="I351" s="10"/>
      <c r="J351" s="10"/>
      <c r="K351" s="575"/>
      <c r="L351" s="152"/>
      <c r="M351" s="164"/>
      <c r="N351" s="62"/>
      <c r="O351" s="62"/>
      <c r="P351" s="177"/>
      <c r="Q351" s="171"/>
      <c r="R351" s="62"/>
      <c r="S351" s="62"/>
      <c r="T351" s="62"/>
      <c r="U351" s="64"/>
      <c r="V351" s="164"/>
      <c r="W351" s="62"/>
      <c r="X351" s="62"/>
      <c r="Y351" s="62"/>
      <c r="Z351" s="64"/>
      <c r="AA351" s="164"/>
      <c r="AB351" s="62"/>
      <c r="AC351" s="62"/>
      <c r="AD351" s="64"/>
      <c r="AE351" s="164"/>
      <c r="AF351" s="62"/>
      <c r="AG351" s="62"/>
      <c r="AH351" s="337"/>
      <c r="AI351" s="337"/>
      <c r="AJ351" s="337"/>
      <c r="AK351" s="337"/>
      <c r="AL351" s="414"/>
      <c r="AM351" s="414"/>
      <c r="AN351" s="45"/>
      <c r="AO351" s="45"/>
      <c r="AP351" s="45"/>
      <c r="AQ351" s="485"/>
      <c r="AR351" s="100"/>
      <c r="AS351" s="485"/>
      <c r="AT351" s="24"/>
      <c r="AU351" s="24"/>
      <c r="AV351" s="24"/>
      <c r="AW351" s="18">
        <v>23</v>
      </c>
      <c r="AX351" s="69" t="s">
        <v>320</v>
      </c>
      <c r="AY351" s="243" t="s">
        <v>93</v>
      </c>
      <c r="AZ351" s="243" t="str">
        <f t="shared" si="140"/>
        <v>Sockeye</v>
      </c>
      <c r="BA351" s="243" t="s">
        <v>419</v>
      </c>
      <c r="BB351" s="246"/>
      <c r="BC351" s="43" t="str">
        <f t="shared" si="141"/>
        <v>-</v>
      </c>
      <c r="BD351" s="43">
        <f t="shared" si="138"/>
        <v>0</v>
      </c>
      <c r="BE351" s="193">
        <f t="shared" si="159"/>
        <v>0</v>
      </c>
      <c r="BF351" s="193">
        <f t="shared" si="142"/>
        <v>0</v>
      </c>
      <c r="BG351" s="193">
        <f t="shared" si="143"/>
        <v>0</v>
      </c>
      <c r="BH351" s="307" t="str">
        <f t="shared" si="160"/>
        <v>-</v>
      </c>
      <c r="BI351" s="265" t="str">
        <f t="shared" si="139"/>
        <v>-</v>
      </c>
      <c r="BJ351" s="26" t="str">
        <f t="shared" si="144"/>
        <v>DRINKWATER CREEKSockeye</v>
      </c>
      <c r="BK351" s="26">
        <f t="shared" si="145"/>
        <v>0</v>
      </c>
      <c r="BL351" s="33">
        <f t="shared" si="135"/>
        <v>0</v>
      </c>
      <c r="BQ351" s="47" t="str">
        <f t="shared" si="146"/>
        <v>DRINKWATER CREEKSockeye</v>
      </c>
      <c r="BR351" s="49">
        <f t="shared" si="147"/>
        <v>0</v>
      </c>
      <c r="BS351" s="49">
        <f t="shared" si="148"/>
        <v>0</v>
      </c>
      <c r="BT351" s="31">
        <v>0</v>
      </c>
      <c r="BU351" s="188">
        <f t="shared" si="149"/>
        <v>0</v>
      </c>
      <c r="BV351" s="188" t="str">
        <f t="shared" si="150"/>
        <v xml:space="preserve"> </v>
      </c>
      <c r="BW351" s="188" t="str">
        <f t="shared" si="151"/>
        <v xml:space="preserve"> </v>
      </c>
      <c r="BX351" s="188" t="str">
        <f t="shared" si="152"/>
        <v xml:space="preserve"> </v>
      </c>
      <c r="BY351" s="50" t="str">
        <f t="shared" si="153"/>
        <v>DRINKWATER CREEK_Sockeye</v>
      </c>
      <c r="BZ351" s="50" t="str">
        <f>IFERROR(VLOOKUP(BY351,'[1]WCVI Esc'!$C$5:$W$555,18,FALSE),"-")</f>
        <v>-</v>
      </c>
      <c r="CA351" s="50" t="str">
        <f t="shared" si="154"/>
        <v>-</v>
      </c>
      <c r="CB351" s="50" t="str">
        <f>IFERROR(VLOOKUP(BY351,'[1]WCVI Esc'!$C$5:$W$555,19,FALSE),"-")</f>
        <v>-</v>
      </c>
      <c r="CC351" s="50" t="str">
        <f t="shared" si="155"/>
        <v>-</v>
      </c>
      <c r="CE351" s="342" t="str">
        <f t="shared" si="156"/>
        <v>DRINKWATER CREEK_Sockeye</v>
      </c>
      <c r="CF351" s="341" t="str">
        <f>IFERROR(VLOOKUP(BY351,'RawPL+D'!$O$8:$AB$503,12,FALSE),"-")</f>
        <v>-</v>
      </c>
      <c r="CG351" s="338" t="str">
        <f t="shared" si="157"/>
        <v>-</v>
      </c>
      <c r="CH351" s="341" t="str">
        <f>IFERROR(VLOOKUP(BY351,'RawPL+D'!$O$8:$AB$503,13,FALSE),"-")</f>
        <v>-</v>
      </c>
      <c r="CI351" s="338" t="str">
        <f t="shared" si="158"/>
        <v>-</v>
      </c>
    </row>
    <row r="352" spans="1:87" ht="12.75" hidden="1" customHeight="1" x14ac:dyDescent="0.2">
      <c r="A352" s="28">
        <v>4</v>
      </c>
      <c r="B352" s="28">
        <v>2</v>
      </c>
      <c r="C352" s="11">
        <v>23</v>
      </c>
      <c r="D352" s="148" t="s">
        <v>320</v>
      </c>
      <c r="E352" s="10" t="s">
        <v>93</v>
      </c>
      <c r="F352" s="10" t="s">
        <v>219</v>
      </c>
      <c r="G352" s="10"/>
      <c r="H352" s="10"/>
      <c r="I352" s="10"/>
      <c r="J352" s="10"/>
      <c r="K352" s="575"/>
      <c r="L352" s="152"/>
      <c r="M352" s="164"/>
      <c r="N352" s="62"/>
      <c r="O352" s="62"/>
      <c r="P352" s="177"/>
      <c r="Q352" s="171"/>
      <c r="R352" s="62"/>
      <c r="S352" s="62"/>
      <c r="T352" s="62"/>
      <c r="U352" s="64"/>
      <c r="V352" s="164"/>
      <c r="W352" s="62"/>
      <c r="X352" s="62"/>
      <c r="Y352" s="62"/>
      <c r="Z352" s="64"/>
      <c r="AA352" s="164"/>
      <c r="AB352" s="62"/>
      <c r="AC352" s="62"/>
      <c r="AD352" s="64"/>
      <c r="AE352" s="164"/>
      <c r="AF352" s="62"/>
      <c r="AG352" s="62"/>
      <c r="AH352" s="337"/>
      <c r="AI352" s="337"/>
      <c r="AJ352" s="337"/>
      <c r="AK352" s="337"/>
      <c r="AL352" s="414"/>
      <c r="AM352" s="414"/>
      <c r="AN352" s="45"/>
      <c r="AO352" s="45"/>
      <c r="AP352" s="45"/>
      <c r="AQ352" s="485"/>
      <c r="AR352" s="100"/>
      <c r="AS352" s="485"/>
      <c r="AT352" s="24"/>
      <c r="AU352" s="24"/>
      <c r="AV352" s="24"/>
      <c r="AW352" s="18">
        <v>23</v>
      </c>
      <c r="AX352" s="69" t="s">
        <v>320</v>
      </c>
      <c r="AY352" s="243" t="s">
        <v>93</v>
      </c>
      <c r="AZ352" s="243" t="str">
        <f t="shared" si="140"/>
        <v>Coho</v>
      </c>
      <c r="BA352" s="243" t="s">
        <v>419</v>
      </c>
      <c r="BB352" s="246"/>
      <c r="BC352" s="43" t="str">
        <f t="shared" si="141"/>
        <v>-</v>
      </c>
      <c r="BD352" s="43">
        <f t="shared" si="138"/>
        <v>0</v>
      </c>
      <c r="BE352" s="193">
        <f t="shared" si="159"/>
        <v>0</v>
      </c>
      <c r="BF352" s="193">
        <f t="shared" si="142"/>
        <v>0</v>
      </c>
      <c r="BG352" s="193">
        <f t="shared" si="143"/>
        <v>0</v>
      </c>
      <c r="BH352" s="307" t="str">
        <f t="shared" si="160"/>
        <v>-</v>
      </c>
      <c r="BI352" s="265" t="str">
        <f t="shared" si="139"/>
        <v>-</v>
      </c>
      <c r="BJ352" s="26" t="str">
        <f t="shared" si="144"/>
        <v>DRINKWATER CREEKCoho</v>
      </c>
      <c r="BK352" s="26">
        <f t="shared" si="145"/>
        <v>0</v>
      </c>
      <c r="BL352" s="33">
        <f t="shared" si="135"/>
        <v>0</v>
      </c>
      <c r="BQ352" s="47" t="str">
        <f t="shared" si="146"/>
        <v>DRINKWATER CREEKCoho</v>
      </c>
      <c r="BR352" s="49">
        <f t="shared" si="147"/>
        <v>0</v>
      </c>
      <c r="BS352" s="49">
        <f t="shared" si="148"/>
        <v>0</v>
      </c>
      <c r="BT352" s="31">
        <v>0</v>
      </c>
      <c r="BU352" s="188">
        <f t="shared" si="149"/>
        <v>0</v>
      </c>
      <c r="BV352" s="188" t="str">
        <f t="shared" si="150"/>
        <v xml:space="preserve"> </v>
      </c>
      <c r="BW352" s="188" t="str">
        <f t="shared" si="151"/>
        <v xml:space="preserve"> </v>
      </c>
      <c r="BX352" s="188" t="str">
        <f t="shared" si="152"/>
        <v xml:space="preserve"> </v>
      </c>
      <c r="BY352" s="50" t="str">
        <f t="shared" si="153"/>
        <v>DRINKWATER CREEK_Coho</v>
      </c>
      <c r="BZ352" s="50" t="str">
        <f>IFERROR(VLOOKUP(BY352,'[1]WCVI Esc'!$C$5:$W$555,18,FALSE),"-")</f>
        <v>-</v>
      </c>
      <c r="CA352" s="50" t="str">
        <f t="shared" si="154"/>
        <v>-</v>
      </c>
      <c r="CB352" s="50" t="str">
        <f>IFERROR(VLOOKUP(BY352,'[1]WCVI Esc'!$C$5:$W$555,19,FALSE),"-")</f>
        <v>-</v>
      </c>
      <c r="CC352" s="50" t="str">
        <f t="shared" si="155"/>
        <v>-</v>
      </c>
      <c r="CE352" s="342" t="str">
        <f t="shared" si="156"/>
        <v>DRINKWATER CREEK_Coho</v>
      </c>
      <c r="CF352" s="341" t="str">
        <f>IFERROR(VLOOKUP(BY352,'RawPL+D'!$O$8:$AB$503,12,FALSE),"-")</f>
        <v>-</v>
      </c>
      <c r="CG352" s="338" t="str">
        <f t="shared" si="157"/>
        <v>-</v>
      </c>
      <c r="CH352" s="341" t="str">
        <f>IFERROR(VLOOKUP(BY352,'RawPL+D'!$O$8:$AB$503,13,FALSE),"-")</f>
        <v>-</v>
      </c>
      <c r="CI352" s="338" t="str">
        <f t="shared" si="158"/>
        <v>-</v>
      </c>
    </row>
    <row r="353" spans="1:87" ht="12.75" hidden="1" customHeight="1" x14ac:dyDescent="0.2">
      <c r="A353" s="28">
        <v>4</v>
      </c>
      <c r="B353" s="28">
        <v>3</v>
      </c>
      <c r="C353" s="11">
        <v>23</v>
      </c>
      <c r="D353" s="148" t="s">
        <v>320</v>
      </c>
      <c r="E353" s="10" t="s">
        <v>93</v>
      </c>
      <c r="F353" s="10" t="s">
        <v>208</v>
      </c>
      <c r="G353" s="10"/>
      <c r="H353" s="10"/>
      <c r="I353" s="10"/>
      <c r="J353" s="10"/>
      <c r="K353" s="575"/>
      <c r="L353" s="152"/>
      <c r="M353" s="164"/>
      <c r="N353" s="62"/>
      <c r="O353" s="62"/>
      <c r="P353" s="177"/>
      <c r="Q353" s="171"/>
      <c r="R353" s="62"/>
      <c r="S353" s="62"/>
      <c r="T353" s="62"/>
      <c r="U353" s="64"/>
      <c r="V353" s="164"/>
      <c r="W353" s="62"/>
      <c r="X353" s="62"/>
      <c r="Y353" s="62"/>
      <c r="Z353" s="64"/>
      <c r="AA353" s="164"/>
      <c r="AB353" s="62"/>
      <c r="AC353" s="62"/>
      <c r="AD353" s="64"/>
      <c r="AE353" s="164"/>
      <c r="AF353" s="62"/>
      <c r="AG353" s="62"/>
      <c r="AH353" s="337"/>
      <c r="AI353" s="337"/>
      <c r="AJ353" s="337"/>
      <c r="AK353" s="337"/>
      <c r="AL353" s="414"/>
      <c r="AM353" s="414"/>
      <c r="AN353" s="45"/>
      <c r="AO353" s="45"/>
      <c r="AP353" s="45"/>
      <c r="AQ353" s="485"/>
      <c r="AR353" s="100"/>
      <c r="AS353" s="485"/>
      <c r="AT353" s="24"/>
      <c r="AU353" s="24"/>
      <c r="AV353" s="24"/>
      <c r="AW353" s="18">
        <v>23</v>
      </c>
      <c r="AX353" s="69" t="s">
        <v>320</v>
      </c>
      <c r="AY353" s="243" t="s">
        <v>93</v>
      </c>
      <c r="AZ353" s="243" t="str">
        <f t="shared" si="140"/>
        <v>Pink</v>
      </c>
      <c r="BA353" s="243" t="s">
        <v>419</v>
      </c>
      <c r="BB353" s="246"/>
      <c r="BC353" s="43" t="str">
        <f t="shared" si="141"/>
        <v>-</v>
      </c>
      <c r="BD353" s="43">
        <f t="shared" si="138"/>
        <v>0</v>
      </c>
      <c r="BE353" s="193">
        <f t="shared" si="159"/>
        <v>0</v>
      </c>
      <c r="BF353" s="193">
        <f t="shared" si="142"/>
        <v>0</v>
      </c>
      <c r="BG353" s="193">
        <f t="shared" si="143"/>
        <v>0</v>
      </c>
      <c r="BH353" s="307" t="str">
        <f t="shared" si="160"/>
        <v>-</v>
      </c>
      <c r="BI353" s="265" t="str">
        <f t="shared" si="139"/>
        <v>-</v>
      </c>
      <c r="BJ353" s="26" t="str">
        <f t="shared" si="144"/>
        <v>DRINKWATER CREEKPink</v>
      </c>
      <c r="BK353" s="26">
        <f t="shared" si="145"/>
        <v>0</v>
      </c>
      <c r="BL353" s="33">
        <f t="shared" si="135"/>
        <v>0</v>
      </c>
      <c r="BQ353" s="47" t="str">
        <f t="shared" si="146"/>
        <v>DRINKWATER CREEKPink</v>
      </c>
      <c r="BR353" s="49">
        <f t="shared" si="147"/>
        <v>0</v>
      </c>
      <c r="BS353" s="49">
        <f t="shared" si="148"/>
        <v>0</v>
      </c>
      <c r="BT353" s="31">
        <v>0</v>
      </c>
      <c r="BU353" s="188">
        <f t="shared" si="149"/>
        <v>0</v>
      </c>
      <c r="BV353" s="188" t="str">
        <f t="shared" si="150"/>
        <v xml:space="preserve"> </v>
      </c>
      <c r="BW353" s="188" t="str">
        <f t="shared" si="151"/>
        <v xml:space="preserve"> </v>
      </c>
      <c r="BX353" s="188" t="str">
        <f t="shared" si="152"/>
        <v xml:space="preserve"> </v>
      </c>
      <c r="BY353" s="50" t="str">
        <f t="shared" si="153"/>
        <v>DRINKWATER CREEK_Pink</v>
      </c>
      <c r="BZ353" s="50" t="str">
        <f>IFERROR(VLOOKUP(BY353,'[1]WCVI Esc'!$C$5:$W$555,18,FALSE),"-")</f>
        <v>-</v>
      </c>
      <c r="CA353" s="50" t="str">
        <f t="shared" si="154"/>
        <v>-</v>
      </c>
      <c r="CB353" s="50" t="str">
        <f>IFERROR(VLOOKUP(BY353,'[1]WCVI Esc'!$C$5:$W$555,19,FALSE),"-")</f>
        <v>-</v>
      </c>
      <c r="CC353" s="50" t="str">
        <f t="shared" si="155"/>
        <v>-</v>
      </c>
      <c r="CE353" s="342" t="str">
        <f t="shared" si="156"/>
        <v>DRINKWATER CREEK_Pink</v>
      </c>
      <c r="CF353" s="341" t="str">
        <f>IFERROR(VLOOKUP(BY353,'RawPL+D'!$O$8:$AB$503,12,FALSE),"-")</f>
        <v>-</v>
      </c>
      <c r="CG353" s="338" t="str">
        <f t="shared" si="157"/>
        <v>-</v>
      </c>
      <c r="CH353" s="341" t="str">
        <f>IFERROR(VLOOKUP(BY353,'RawPL+D'!$O$8:$AB$503,13,FALSE),"-")</f>
        <v>-</v>
      </c>
      <c r="CI353" s="338" t="str">
        <f t="shared" si="158"/>
        <v>-</v>
      </c>
    </row>
    <row r="354" spans="1:87" ht="12.75" hidden="1" customHeight="1" x14ac:dyDescent="0.2">
      <c r="A354" s="28">
        <v>4</v>
      </c>
      <c r="B354" s="28">
        <v>4</v>
      </c>
      <c r="C354" s="11">
        <v>23</v>
      </c>
      <c r="D354" s="148" t="s">
        <v>320</v>
      </c>
      <c r="E354" s="10" t="s">
        <v>93</v>
      </c>
      <c r="F354" s="10" t="s">
        <v>209</v>
      </c>
      <c r="G354" s="10"/>
      <c r="H354" s="10"/>
      <c r="I354" s="10"/>
      <c r="J354" s="10"/>
      <c r="K354" s="575"/>
      <c r="L354" s="152"/>
      <c r="M354" s="164"/>
      <c r="N354" s="62"/>
      <c r="O354" s="62"/>
      <c r="P354" s="177"/>
      <c r="Q354" s="171"/>
      <c r="R354" s="62"/>
      <c r="S354" s="62"/>
      <c r="T354" s="62"/>
      <c r="U354" s="64"/>
      <c r="V354" s="164"/>
      <c r="W354" s="62"/>
      <c r="X354" s="62"/>
      <c r="Y354" s="62"/>
      <c r="Z354" s="64"/>
      <c r="AA354" s="164"/>
      <c r="AB354" s="62"/>
      <c r="AC354" s="62"/>
      <c r="AD354" s="64"/>
      <c r="AE354" s="164"/>
      <c r="AF354" s="62"/>
      <c r="AG354" s="62"/>
      <c r="AH354" s="337"/>
      <c r="AI354" s="337"/>
      <c r="AJ354" s="337"/>
      <c r="AK354" s="337"/>
      <c r="AL354" s="414"/>
      <c r="AM354" s="414"/>
      <c r="AN354" s="45"/>
      <c r="AO354" s="45"/>
      <c r="AP354" s="45"/>
      <c r="AQ354" s="485"/>
      <c r="AR354" s="100"/>
      <c r="AS354" s="485"/>
      <c r="AT354" s="24"/>
      <c r="AU354" s="24"/>
      <c r="AV354" s="24"/>
      <c r="AW354" s="18">
        <v>23</v>
      </c>
      <c r="AX354" s="69" t="s">
        <v>320</v>
      </c>
      <c r="AY354" s="243" t="s">
        <v>93</v>
      </c>
      <c r="AZ354" s="243" t="str">
        <f t="shared" si="140"/>
        <v>Chum</v>
      </c>
      <c r="BA354" s="243" t="s">
        <v>419</v>
      </c>
      <c r="BB354" s="246"/>
      <c r="BC354" s="43" t="str">
        <f t="shared" si="141"/>
        <v>-</v>
      </c>
      <c r="BD354" s="43">
        <f t="shared" ref="BD354:BD385" si="161">BK354</f>
        <v>0</v>
      </c>
      <c r="BE354" s="193">
        <f t="shared" si="159"/>
        <v>0</v>
      </c>
      <c r="BF354" s="193">
        <f t="shared" si="142"/>
        <v>0</v>
      </c>
      <c r="BG354" s="193">
        <f t="shared" si="143"/>
        <v>0</v>
      </c>
      <c r="BH354" s="307" t="str">
        <f t="shared" si="160"/>
        <v>-</v>
      </c>
      <c r="BI354" s="265" t="str">
        <f t="shared" ref="BI354:BI374" si="162">CC354</f>
        <v>-</v>
      </c>
      <c r="BJ354" s="26" t="str">
        <f t="shared" si="144"/>
        <v>DRINKWATER CREEKChum</v>
      </c>
      <c r="BK354" s="26">
        <f t="shared" si="145"/>
        <v>0</v>
      </c>
      <c r="BL354" s="33">
        <f t="shared" si="135"/>
        <v>0</v>
      </c>
      <c r="BQ354" s="47" t="str">
        <f t="shared" si="146"/>
        <v>DRINKWATER CREEKChum</v>
      </c>
      <c r="BR354" s="49">
        <f t="shared" si="147"/>
        <v>0</v>
      </c>
      <c r="BS354" s="49">
        <f t="shared" si="148"/>
        <v>0</v>
      </c>
      <c r="BT354" s="31">
        <v>0</v>
      </c>
      <c r="BU354" s="188">
        <f t="shared" si="149"/>
        <v>0</v>
      </c>
      <c r="BV354" s="188" t="str">
        <f t="shared" si="150"/>
        <v xml:space="preserve"> </v>
      </c>
      <c r="BW354" s="188" t="str">
        <f t="shared" si="151"/>
        <v xml:space="preserve"> </v>
      </c>
      <c r="BX354" s="188" t="str">
        <f t="shared" si="152"/>
        <v xml:space="preserve"> </v>
      </c>
      <c r="BY354" s="50" t="str">
        <f t="shared" si="153"/>
        <v>DRINKWATER CREEK_Chum</v>
      </c>
      <c r="BZ354" s="50" t="str">
        <f>IFERROR(VLOOKUP(BY354,'[1]WCVI Esc'!$C$5:$W$555,18,FALSE),"-")</f>
        <v>-</v>
      </c>
      <c r="CA354" s="50" t="str">
        <f t="shared" si="154"/>
        <v>-</v>
      </c>
      <c r="CB354" s="50" t="str">
        <f>IFERROR(VLOOKUP(BY354,'[1]WCVI Esc'!$C$5:$W$555,19,FALSE),"-")</f>
        <v>-</v>
      </c>
      <c r="CC354" s="50" t="str">
        <f t="shared" si="155"/>
        <v>-</v>
      </c>
      <c r="CE354" s="342" t="str">
        <f t="shared" si="156"/>
        <v>DRINKWATER CREEK_Chum</v>
      </c>
      <c r="CF354" s="341" t="str">
        <f>IFERROR(VLOOKUP(BY354,'RawPL+D'!$O$8:$AB$503,12,FALSE),"-")</f>
        <v>-</v>
      </c>
      <c r="CG354" s="338" t="str">
        <f t="shared" si="157"/>
        <v>-</v>
      </c>
      <c r="CH354" s="341" t="str">
        <f>IFERROR(VLOOKUP(BY354,'RawPL+D'!$O$8:$AB$503,13,FALSE),"-")</f>
        <v>-</v>
      </c>
      <c r="CI354" s="338" t="str">
        <f t="shared" si="158"/>
        <v>-</v>
      </c>
    </row>
    <row r="355" spans="1:87" ht="12.75" hidden="1" customHeight="1" x14ac:dyDescent="0.2">
      <c r="A355" s="28">
        <v>4</v>
      </c>
      <c r="B355" s="28">
        <v>5</v>
      </c>
      <c r="C355" s="11">
        <v>23</v>
      </c>
      <c r="D355" s="148" t="s">
        <v>320</v>
      </c>
      <c r="E355" s="10" t="s">
        <v>93</v>
      </c>
      <c r="F355" s="10" t="s">
        <v>210</v>
      </c>
      <c r="G355" s="10"/>
      <c r="H355" s="10"/>
      <c r="I355" s="10"/>
      <c r="J355" s="10"/>
      <c r="K355" s="575"/>
      <c r="L355" s="152"/>
      <c r="M355" s="164"/>
      <c r="N355" s="62"/>
      <c r="O355" s="62"/>
      <c r="P355" s="177"/>
      <c r="Q355" s="171"/>
      <c r="R355" s="62"/>
      <c r="S355" s="62"/>
      <c r="T355" s="62"/>
      <c r="U355" s="64"/>
      <c r="V355" s="164"/>
      <c r="W355" s="62"/>
      <c r="X355" s="62"/>
      <c r="Y355" s="62"/>
      <c r="Z355" s="64"/>
      <c r="AA355" s="164"/>
      <c r="AB355" s="62"/>
      <c r="AC355" s="62"/>
      <c r="AD355" s="64"/>
      <c r="AE355" s="164"/>
      <c r="AF355" s="62"/>
      <c r="AG355" s="62"/>
      <c r="AH355" s="337"/>
      <c r="AI355" s="337"/>
      <c r="AJ355" s="337"/>
      <c r="AK355" s="337"/>
      <c r="AL355" s="414"/>
      <c r="AM355" s="414"/>
      <c r="AN355" s="45"/>
      <c r="AO355" s="45"/>
      <c r="AP355" s="45"/>
      <c r="AQ355" s="485"/>
      <c r="AR355" s="100"/>
      <c r="AS355" s="485"/>
      <c r="AT355" s="24"/>
      <c r="AU355" s="24"/>
      <c r="AV355" s="24"/>
      <c r="AW355" s="18">
        <v>23</v>
      </c>
      <c r="AX355" s="69" t="s">
        <v>320</v>
      </c>
      <c r="AY355" s="243" t="s">
        <v>93</v>
      </c>
      <c r="AZ355" s="243" t="str">
        <f t="shared" si="140"/>
        <v>Chinook</v>
      </c>
      <c r="BA355" s="243" t="s">
        <v>419</v>
      </c>
      <c r="BB355" s="246"/>
      <c r="BC355" s="43" t="str">
        <f t="shared" si="141"/>
        <v>-</v>
      </c>
      <c r="BD355" s="43">
        <f t="shared" si="161"/>
        <v>0</v>
      </c>
      <c r="BE355" s="193">
        <f t="shared" si="159"/>
        <v>0</v>
      </c>
      <c r="BF355" s="193">
        <f t="shared" si="142"/>
        <v>0</v>
      </c>
      <c r="BG355" s="193">
        <f t="shared" si="143"/>
        <v>0</v>
      </c>
      <c r="BH355" s="307" t="str">
        <f t="shared" si="160"/>
        <v>-</v>
      </c>
      <c r="BI355" s="265" t="str">
        <f t="shared" si="162"/>
        <v>-</v>
      </c>
      <c r="BJ355" s="26" t="str">
        <f t="shared" si="144"/>
        <v>DRINKWATER CREEKChinook</v>
      </c>
      <c r="BK355" s="26">
        <f t="shared" si="145"/>
        <v>0</v>
      </c>
      <c r="BL355" s="33">
        <f t="shared" si="135"/>
        <v>0</v>
      </c>
      <c r="BQ355" s="47" t="str">
        <f t="shared" si="146"/>
        <v>DRINKWATER CREEKChinook</v>
      </c>
      <c r="BR355" s="49">
        <f t="shared" si="147"/>
        <v>0</v>
      </c>
      <c r="BS355" s="49">
        <f t="shared" si="148"/>
        <v>0</v>
      </c>
      <c r="BT355" s="31">
        <v>0</v>
      </c>
      <c r="BU355" s="188">
        <f t="shared" si="149"/>
        <v>0</v>
      </c>
      <c r="BV355" s="188" t="str">
        <f t="shared" si="150"/>
        <v xml:space="preserve"> </v>
      </c>
      <c r="BW355" s="188" t="str">
        <f t="shared" si="151"/>
        <v xml:space="preserve"> </v>
      </c>
      <c r="BX355" s="188" t="str">
        <f t="shared" si="152"/>
        <v xml:space="preserve"> </v>
      </c>
      <c r="BY355" s="50" t="str">
        <f t="shared" si="153"/>
        <v>DRINKWATER CREEK_Chinook</v>
      </c>
      <c r="BZ355" s="50" t="str">
        <f>IFERROR(VLOOKUP(BY355,'[1]WCVI Esc'!$C$5:$W$555,18,FALSE),"-")</f>
        <v>-</v>
      </c>
      <c r="CA355" s="50" t="str">
        <f t="shared" si="154"/>
        <v>-</v>
      </c>
      <c r="CB355" s="50" t="str">
        <f>IFERROR(VLOOKUP(BY355,'[1]WCVI Esc'!$C$5:$W$555,19,FALSE),"-")</f>
        <v>-</v>
      </c>
      <c r="CC355" s="50" t="str">
        <f t="shared" si="155"/>
        <v>-</v>
      </c>
      <c r="CE355" s="342" t="str">
        <f t="shared" si="156"/>
        <v>DRINKWATER CREEK_Chinook</v>
      </c>
      <c r="CF355" s="341" t="str">
        <f>IFERROR(VLOOKUP(BY355,'RawPL+D'!$O$8:$AB$503,12,FALSE),"-")</f>
        <v>-</v>
      </c>
      <c r="CG355" s="338" t="str">
        <f t="shared" si="157"/>
        <v>-</v>
      </c>
      <c r="CH355" s="341" t="str">
        <f>IFERROR(VLOOKUP(BY355,'RawPL+D'!$O$8:$AB$503,13,FALSE),"-")</f>
        <v>-</v>
      </c>
      <c r="CI355" s="338" t="str">
        <f t="shared" si="158"/>
        <v>-</v>
      </c>
    </row>
    <row r="356" spans="1:87" ht="12.75" hidden="1" customHeight="1" x14ac:dyDescent="0.2">
      <c r="A356" s="28">
        <v>4</v>
      </c>
      <c r="B356" s="28">
        <v>6</v>
      </c>
      <c r="C356" s="11">
        <v>23</v>
      </c>
      <c r="D356" s="148" t="s">
        <v>320</v>
      </c>
      <c r="E356" s="10" t="s">
        <v>93</v>
      </c>
      <c r="F356" s="10" t="s">
        <v>211</v>
      </c>
      <c r="G356" s="10"/>
      <c r="H356" s="10"/>
      <c r="I356" s="10"/>
      <c r="J356" s="10"/>
      <c r="K356" s="575"/>
      <c r="L356" s="152"/>
      <c r="M356" s="164"/>
      <c r="N356" s="62"/>
      <c r="O356" s="62"/>
      <c r="P356" s="177"/>
      <c r="Q356" s="171"/>
      <c r="R356" s="62"/>
      <c r="S356" s="62"/>
      <c r="T356" s="62"/>
      <c r="U356" s="64"/>
      <c r="V356" s="164"/>
      <c r="W356" s="62"/>
      <c r="X356" s="62"/>
      <c r="Y356" s="62"/>
      <c r="Z356" s="64"/>
      <c r="AA356" s="164"/>
      <c r="AB356" s="62"/>
      <c r="AC356" s="62"/>
      <c r="AD356" s="64"/>
      <c r="AE356" s="164"/>
      <c r="AF356" s="62"/>
      <c r="AG356" s="62"/>
      <c r="AH356" s="337"/>
      <c r="AI356" s="337"/>
      <c r="AJ356" s="337"/>
      <c r="AK356" s="337"/>
      <c r="AL356" s="414"/>
      <c r="AM356" s="414"/>
      <c r="AN356" s="45"/>
      <c r="AO356" s="45"/>
      <c r="AP356" s="45"/>
      <c r="AQ356" s="485"/>
      <c r="AR356" s="100"/>
      <c r="AS356" s="485"/>
      <c r="AT356" s="24"/>
      <c r="AU356" s="24"/>
      <c r="AV356" s="24"/>
      <c r="AW356" s="18">
        <v>23</v>
      </c>
      <c r="AX356" s="69" t="s">
        <v>320</v>
      </c>
      <c r="AY356" s="243" t="s">
        <v>93</v>
      </c>
      <c r="AZ356" s="243" t="str">
        <f t="shared" si="140"/>
        <v>Steelhead</v>
      </c>
      <c r="BA356" s="243" t="s">
        <v>419</v>
      </c>
      <c r="BB356" s="246"/>
      <c r="BC356" s="43" t="str">
        <f t="shared" si="141"/>
        <v>-</v>
      </c>
      <c r="BD356" s="43">
        <f t="shared" si="161"/>
        <v>0</v>
      </c>
      <c r="BE356" s="193">
        <f t="shared" si="159"/>
        <v>0</v>
      </c>
      <c r="BF356" s="193">
        <f t="shared" si="142"/>
        <v>0</v>
      </c>
      <c r="BG356" s="193">
        <f t="shared" si="143"/>
        <v>0</v>
      </c>
      <c r="BH356" s="307" t="str">
        <f t="shared" si="160"/>
        <v>-</v>
      </c>
      <c r="BI356" s="265" t="str">
        <f t="shared" si="162"/>
        <v>-</v>
      </c>
      <c r="BJ356" s="26" t="str">
        <f t="shared" si="144"/>
        <v>DRINKWATER CREEKSteelhead</v>
      </c>
      <c r="BK356" s="26">
        <f t="shared" si="145"/>
        <v>0</v>
      </c>
      <c r="BL356" s="33">
        <f t="shared" si="135"/>
        <v>0</v>
      </c>
      <c r="BQ356" s="47" t="str">
        <f t="shared" si="146"/>
        <v>DRINKWATER CREEKSteelhead</v>
      </c>
      <c r="BR356" s="49">
        <f t="shared" si="147"/>
        <v>0</v>
      </c>
      <c r="BS356" s="49">
        <f t="shared" si="148"/>
        <v>0</v>
      </c>
      <c r="BT356" s="31">
        <v>0</v>
      </c>
      <c r="BU356" s="188">
        <f t="shared" si="149"/>
        <v>0</v>
      </c>
      <c r="BV356" s="188" t="str">
        <f t="shared" si="150"/>
        <v xml:space="preserve"> </v>
      </c>
      <c r="BW356" s="188" t="str">
        <f t="shared" si="151"/>
        <v xml:space="preserve"> </v>
      </c>
      <c r="BX356" s="188" t="str">
        <f t="shared" si="152"/>
        <v xml:space="preserve"> </v>
      </c>
      <c r="BY356" s="50" t="str">
        <f t="shared" si="153"/>
        <v>DRINKWATER CREEK_Steelhead</v>
      </c>
      <c r="BZ356" s="50" t="str">
        <f>IFERROR(VLOOKUP(BY356,'[1]WCVI Esc'!$C$5:$W$555,18,FALSE),"-")</f>
        <v>-</v>
      </c>
      <c r="CA356" s="50" t="str">
        <f t="shared" si="154"/>
        <v>-</v>
      </c>
      <c r="CB356" s="50" t="str">
        <f>IFERROR(VLOOKUP(BY356,'[1]WCVI Esc'!$C$5:$W$555,19,FALSE),"-")</f>
        <v>-</v>
      </c>
      <c r="CC356" s="50" t="str">
        <f t="shared" si="155"/>
        <v>-</v>
      </c>
      <c r="CE356" s="342" t="str">
        <f t="shared" si="156"/>
        <v>DRINKWATER CREEK_Steelhead</v>
      </c>
      <c r="CF356" s="341" t="str">
        <f>IFERROR(VLOOKUP(BY356,'RawPL+D'!$O$8:$AB$503,12,FALSE),"-")</f>
        <v>-</v>
      </c>
      <c r="CG356" s="338" t="str">
        <f t="shared" si="157"/>
        <v>-</v>
      </c>
      <c r="CH356" s="341" t="str">
        <f>IFERROR(VLOOKUP(BY356,'RawPL+D'!$O$8:$AB$503,13,FALSE),"-")</f>
        <v>-</v>
      </c>
      <c r="CI356" s="338" t="str">
        <f t="shared" si="158"/>
        <v>-</v>
      </c>
    </row>
    <row r="357" spans="1:87" ht="12.75" hidden="1" customHeight="1" x14ac:dyDescent="0.2">
      <c r="A357" s="28">
        <v>4</v>
      </c>
      <c r="B357" s="28">
        <v>1</v>
      </c>
      <c r="C357" s="11">
        <v>23</v>
      </c>
      <c r="D357" s="148" t="s">
        <v>320</v>
      </c>
      <c r="E357" s="10" t="s">
        <v>174</v>
      </c>
      <c r="F357" s="10" t="s">
        <v>207</v>
      </c>
      <c r="G357" s="10"/>
      <c r="H357" s="10"/>
      <c r="I357" s="10"/>
      <c r="J357" s="10"/>
      <c r="K357" s="575"/>
      <c r="L357" s="152"/>
      <c r="M357" s="164"/>
      <c r="N357" s="62"/>
      <c r="O357" s="62"/>
      <c r="P357" s="177"/>
      <c r="Q357" s="171"/>
      <c r="R357" s="62"/>
      <c r="S357" s="62"/>
      <c r="T357" s="62"/>
      <c r="U357" s="64"/>
      <c r="V357" s="164"/>
      <c r="W357" s="62"/>
      <c r="X357" s="62"/>
      <c r="Y357" s="62"/>
      <c r="Z357" s="64"/>
      <c r="AA357" s="164"/>
      <c r="AB357" s="62"/>
      <c r="AC357" s="62"/>
      <c r="AD357" s="64"/>
      <c r="AE357" s="164"/>
      <c r="AF357" s="62"/>
      <c r="AG357" s="62"/>
      <c r="AH357" s="337"/>
      <c r="AI357" s="337"/>
      <c r="AJ357" s="337"/>
      <c r="AK357" s="337"/>
      <c r="AL357" s="414"/>
      <c r="AM357" s="414"/>
      <c r="AN357" s="45"/>
      <c r="AO357" s="45"/>
      <c r="AP357" s="45"/>
      <c r="AQ357" s="485"/>
      <c r="AR357"/>
      <c r="AS357" s="485"/>
      <c r="AT357" s="24"/>
      <c r="AU357" s="24"/>
      <c r="AV357" s="24"/>
      <c r="AW357" s="18">
        <v>23</v>
      </c>
      <c r="AX357" s="69" t="s">
        <v>320</v>
      </c>
      <c r="AY357" s="243" t="s">
        <v>174</v>
      </c>
      <c r="AZ357" s="243" t="str">
        <f t="shared" si="140"/>
        <v>Sockeye</v>
      </c>
      <c r="BA357" s="243" t="s">
        <v>419</v>
      </c>
      <c r="BB357" s="246"/>
      <c r="BC357" s="43" t="str">
        <f t="shared" si="141"/>
        <v>-</v>
      </c>
      <c r="BD357" s="43">
        <f t="shared" si="161"/>
        <v>0</v>
      </c>
      <c r="BE357" s="193">
        <f t="shared" si="159"/>
        <v>0</v>
      </c>
      <c r="BF357" s="193">
        <f t="shared" si="142"/>
        <v>0</v>
      </c>
      <c r="BG357" s="193">
        <f t="shared" si="143"/>
        <v>0</v>
      </c>
      <c r="BH357" s="307" t="str">
        <f t="shared" si="160"/>
        <v>-</v>
      </c>
      <c r="BI357" s="265" t="str">
        <f t="shared" si="162"/>
        <v>-</v>
      </c>
      <c r="BJ357" s="26" t="str">
        <f t="shared" si="144"/>
        <v>FORESTRY CAMP CREEKSockeye</v>
      </c>
      <c r="BK357" s="26">
        <f t="shared" si="145"/>
        <v>0</v>
      </c>
      <c r="BL357" s="33">
        <f t="shared" si="135"/>
        <v>0</v>
      </c>
      <c r="BQ357" s="47" t="str">
        <f t="shared" si="146"/>
        <v>FORESTRY CAMP CREEKSockeye</v>
      </c>
      <c r="BR357" s="49">
        <f t="shared" si="147"/>
        <v>0</v>
      </c>
      <c r="BS357" s="49">
        <f t="shared" si="148"/>
        <v>0</v>
      </c>
      <c r="BT357" s="31">
        <v>0</v>
      </c>
      <c r="BU357" s="188">
        <f t="shared" si="149"/>
        <v>0</v>
      </c>
      <c r="BV357" s="188" t="str">
        <f t="shared" si="150"/>
        <v xml:space="preserve"> </v>
      </c>
      <c r="BW357" s="188" t="str">
        <f t="shared" si="151"/>
        <v xml:space="preserve"> </v>
      </c>
      <c r="BX357" s="188" t="str">
        <f t="shared" si="152"/>
        <v xml:space="preserve"> </v>
      </c>
      <c r="BY357" s="50" t="str">
        <f t="shared" si="153"/>
        <v>FORESTRY CAMP CREEK_Sockeye</v>
      </c>
      <c r="BZ357" s="50" t="str">
        <f>IFERROR(VLOOKUP(BY357,'[1]WCVI Esc'!$C$5:$W$555,18,FALSE),"-")</f>
        <v>-</v>
      </c>
      <c r="CA357" s="50" t="str">
        <f t="shared" si="154"/>
        <v>-</v>
      </c>
      <c r="CB357" s="50" t="str">
        <f>IFERROR(VLOOKUP(BY357,'[1]WCVI Esc'!$C$5:$W$555,19,FALSE),"-")</f>
        <v>-</v>
      </c>
      <c r="CC357" s="50" t="str">
        <f t="shared" si="155"/>
        <v>-</v>
      </c>
      <c r="CE357" s="342" t="str">
        <f t="shared" si="156"/>
        <v>FORESTRY CAMP CREEK_Sockeye</v>
      </c>
      <c r="CF357" s="341" t="str">
        <f>IFERROR(VLOOKUP(BY357,'RawPL+D'!$O$8:$AB$503,12,FALSE),"-")</f>
        <v>-</v>
      </c>
      <c r="CG357" s="338" t="str">
        <f t="shared" si="157"/>
        <v>-</v>
      </c>
      <c r="CH357" s="341" t="str">
        <f>IFERROR(VLOOKUP(BY357,'RawPL+D'!$O$8:$AB$503,13,FALSE),"-")</f>
        <v>-</v>
      </c>
      <c r="CI357" s="338" t="str">
        <f t="shared" si="158"/>
        <v>-</v>
      </c>
    </row>
    <row r="358" spans="1:87" ht="12.75" hidden="1" customHeight="1" x14ac:dyDescent="0.2">
      <c r="A358" s="28">
        <v>4</v>
      </c>
      <c r="B358" s="28">
        <v>2</v>
      </c>
      <c r="C358" s="11">
        <v>23</v>
      </c>
      <c r="D358" s="148" t="s">
        <v>320</v>
      </c>
      <c r="E358" s="10" t="s">
        <v>174</v>
      </c>
      <c r="F358" s="10" t="s">
        <v>219</v>
      </c>
      <c r="G358" s="10"/>
      <c r="H358" s="10"/>
      <c r="I358" s="10"/>
      <c r="J358" s="10"/>
      <c r="K358" s="575"/>
      <c r="L358" s="152"/>
      <c r="M358" s="164"/>
      <c r="N358" s="62"/>
      <c r="O358" s="62"/>
      <c r="P358" s="177"/>
      <c r="Q358" s="171"/>
      <c r="R358" s="62"/>
      <c r="S358" s="62"/>
      <c r="T358" s="62"/>
      <c r="U358" s="64"/>
      <c r="V358" s="164"/>
      <c r="W358" s="62"/>
      <c r="X358" s="62"/>
      <c r="Y358" s="62"/>
      <c r="Z358" s="64"/>
      <c r="AA358" s="164"/>
      <c r="AB358" s="62"/>
      <c r="AC358" s="62"/>
      <c r="AD358" s="64"/>
      <c r="AE358" s="164"/>
      <c r="AF358" s="62"/>
      <c r="AG358" s="62"/>
      <c r="AH358" s="337"/>
      <c r="AI358" s="337"/>
      <c r="AJ358" s="337"/>
      <c r="AK358" s="337"/>
      <c r="AL358" s="414"/>
      <c r="AM358" s="414"/>
      <c r="AN358" s="45"/>
      <c r="AO358" s="45"/>
      <c r="AP358" s="45"/>
      <c r="AQ358" s="485"/>
      <c r="AR358" s="100"/>
      <c r="AS358" s="485"/>
      <c r="AT358" s="24"/>
      <c r="AU358" s="24"/>
      <c r="AV358" s="24"/>
      <c r="AW358" s="18">
        <v>23</v>
      </c>
      <c r="AX358" s="69" t="s">
        <v>320</v>
      </c>
      <c r="AY358" s="243" t="s">
        <v>174</v>
      </c>
      <c r="AZ358" s="243" t="str">
        <f t="shared" si="140"/>
        <v>Coho</v>
      </c>
      <c r="BA358" s="243" t="s">
        <v>419</v>
      </c>
      <c r="BB358" s="246"/>
      <c r="BC358" s="43" t="str">
        <f t="shared" si="141"/>
        <v>-</v>
      </c>
      <c r="BD358" s="43">
        <f t="shared" si="161"/>
        <v>0</v>
      </c>
      <c r="BE358" s="193">
        <f t="shared" si="159"/>
        <v>0</v>
      </c>
      <c r="BF358" s="193">
        <f t="shared" si="142"/>
        <v>0</v>
      </c>
      <c r="BG358" s="193">
        <f t="shared" si="143"/>
        <v>0</v>
      </c>
      <c r="BH358" s="307" t="str">
        <f t="shared" si="160"/>
        <v>-</v>
      </c>
      <c r="BI358" s="265" t="str">
        <f t="shared" si="162"/>
        <v>-</v>
      </c>
      <c r="BJ358" s="26" t="str">
        <f t="shared" si="144"/>
        <v>FORESTRY CAMP CREEKCoho</v>
      </c>
      <c r="BK358" s="26">
        <f t="shared" si="145"/>
        <v>0</v>
      </c>
      <c r="BL358" s="33">
        <f t="shared" si="135"/>
        <v>0</v>
      </c>
      <c r="BQ358" s="47" t="str">
        <f t="shared" si="146"/>
        <v>FORESTRY CAMP CREEKCoho</v>
      </c>
      <c r="BR358" s="49">
        <f t="shared" si="147"/>
        <v>0</v>
      </c>
      <c r="BS358" s="49">
        <f t="shared" si="148"/>
        <v>0</v>
      </c>
      <c r="BT358" s="31">
        <v>0</v>
      </c>
      <c r="BU358" s="188">
        <f t="shared" si="149"/>
        <v>0</v>
      </c>
      <c r="BV358" s="188" t="str">
        <f t="shared" si="150"/>
        <v xml:space="preserve"> </v>
      </c>
      <c r="BW358" s="188" t="str">
        <f t="shared" si="151"/>
        <v xml:space="preserve"> </v>
      </c>
      <c r="BX358" s="188" t="str">
        <f t="shared" si="152"/>
        <v xml:space="preserve"> </v>
      </c>
      <c r="BY358" s="50" t="str">
        <f t="shared" si="153"/>
        <v>FORESTRY CAMP CREEK_Coho</v>
      </c>
      <c r="BZ358" s="50" t="str">
        <f>IFERROR(VLOOKUP(BY358,'[1]WCVI Esc'!$C$5:$W$555,18,FALSE),"-")</f>
        <v>-</v>
      </c>
      <c r="CA358" s="50" t="str">
        <f t="shared" si="154"/>
        <v>-</v>
      </c>
      <c r="CB358" s="50" t="str">
        <f>IFERROR(VLOOKUP(BY358,'[1]WCVI Esc'!$C$5:$W$555,19,FALSE),"-")</f>
        <v>-</v>
      </c>
      <c r="CC358" s="50" t="str">
        <f t="shared" si="155"/>
        <v>-</v>
      </c>
      <c r="CE358" s="342" t="str">
        <f t="shared" si="156"/>
        <v>FORESTRY CAMP CREEK_Coho</v>
      </c>
      <c r="CF358" s="341" t="str">
        <f>IFERROR(VLOOKUP(BY358,'RawPL+D'!$O$8:$AB$503,12,FALSE),"-")</f>
        <v>-</v>
      </c>
      <c r="CG358" s="338" t="str">
        <f t="shared" si="157"/>
        <v>-</v>
      </c>
      <c r="CH358" s="341" t="str">
        <f>IFERROR(VLOOKUP(BY358,'RawPL+D'!$O$8:$AB$503,13,FALSE),"-")</f>
        <v>-</v>
      </c>
      <c r="CI358" s="338" t="str">
        <f t="shared" si="158"/>
        <v>-</v>
      </c>
    </row>
    <row r="359" spans="1:87" ht="12.75" hidden="1" customHeight="1" x14ac:dyDescent="0.2">
      <c r="A359" s="28">
        <v>4</v>
      </c>
      <c r="B359" s="28">
        <v>3</v>
      </c>
      <c r="C359" s="11">
        <v>23</v>
      </c>
      <c r="D359" s="148" t="s">
        <v>320</v>
      </c>
      <c r="E359" s="10" t="s">
        <v>174</v>
      </c>
      <c r="F359" s="10" t="s">
        <v>208</v>
      </c>
      <c r="G359" s="10"/>
      <c r="H359" s="10"/>
      <c r="I359" s="10"/>
      <c r="J359" s="10"/>
      <c r="K359" s="575"/>
      <c r="L359" s="152"/>
      <c r="M359" s="164"/>
      <c r="N359" s="62"/>
      <c r="O359" s="62"/>
      <c r="P359" s="177"/>
      <c r="Q359" s="171"/>
      <c r="R359" s="62"/>
      <c r="S359" s="62"/>
      <c r="T359" s="62"/>
      <c r="U359" s="64"/>
      <c r="V359" s="164"/>
      <c r="W359" s="62"/>
      <c r="X359" s="62"/>
      <c r="Y359" s="62"/>
      <c r="Z359" s="64"/>
      <c r="AA359" s="164"/>
      <c r="AB359" s="62"/>
      <c r="AC359" s="62"/>
      <c r="AD359" s="64"/>
      <c r="AE359" s="164"/>
      <c r="AF359" s="62"/>
      <c r="AG359" s="62"/>
      <c r="AH359" s="337"/>
      <c r="AI359" s="337"/>
      <c r="AJ359" s="337"/>
      <c r="AK359" s="337"/>
      <c r="AL359" s="414"/>
      <c r="AM359" s="414"/>
      <c r="AN359" s="45"/>
      <c r="AO359" s="45"/>
      <c r="AP359" s="45"/>
      <c r="AQ359" s="485"/>
      <c r="AR359" s="100"/>
      <c r="AS359" s="485"/>
      <c r="AT359" s="24"/>
      <c r="AU359" s="24"/>
      <c r="AV359" s="24"/>
      <c r="AW359" s="18">
        <v>23</v>
      </c>
      <c r="AX359" s="69" t="s">
        <v>320</v>
      </c>
      <c r="AY359" s="243" t="s">
        <v>174</v>
      </c>
      <c r="AZ359" s="243" t="str">
        <f t="shared" si="140"/>
        <v>Pink</v>
      </c>
      <c r="BA359" s="243" t="s">
        <v>419</v>
      </c>
      <c r="BB359" s="246"/>
      <c r="BC359" s="43" t="str">
        <f t="shared" si="141"/>
        <v>-</v>
      </c>
      <c r="BD359" s="43">
        <f t="shared" si="161"/>
        <v>0</v>
      </c>
      <c r="BE359" s="193">
        <f t="shared" si="159"/>
        <v>0</v>
      </c>
      <c r="BF359" s="193">
        <f t="shared" si="142"/>
        <v>0</v>
      </c>
      <c r="BG359" s="193">
        <f t="shared" si="143"/>
        <v>0</v>
      </c>
      <c r="BH359" s="307" t="str">
        <f t="shared" si="160"/>
        <v>-</v>
      </c>
      <c r="BI359" s="265" t="str">
        <f t="shared" si="162"/>
        <v>-</v>
      </c>
      <c r="BJ359" s="26" t="str">
        <f t="shared" si="144"/>
        <v>FORESTRY CAMP CREEKPink</v>
      </c>
      <c r="BK359" s="26">
        <f t="shared" si="145"/>
        <v>0</v>
      </c>
      <c r="BL359" s="33">
        <f t="shared" ref="BL359:BL422" si="163">MAX(K359:AB359)</f>
        <v>0</v>
      </c>
      <c r="BQ359" s="47" t="str">
        <f t="shared" si="146"/>
        <v>FORESTRY CAMP CREEKPink</v>
      </c>
      <c r="BR359" s="49">
        <f t="shared" si="147"/>
        <v>0</v>
      </c>
      <c r="BS359" s="49">
        <f t="shared" si="148"/>
        <v>0</v>
      </c>
      <c r="BT359" s="31">
        <v>0</v>
      </c>
      <c r="BU359" s="188">
        <f t="shared" si="149"/>
        <v>0</v>
      </c>
      <c r="BV359" s="188" t="str">
        <f t="shared" si="150"/>
        <v xml:space="preserve"> </v>
      </c>
      <c r="BW359" s="188" t="str">
        <f t="shared" si="151"/>
        <v xml:space="preserve"> </v>
      </c>
      <c r="BX359" s="188" t="str">
        <f t="shared" si="152"/>
        <v xml:space="preserve"> </v>
      </c>
      <c r="BY359" s="50" t="str">
        <f t="shared" si="153"/>
        <v>FORESTRY CAMP CREEK_Pink</v>
      </c>
      <c r="BZ359" s="50" t="str">
        <f>IFERROR(VLOOKUP(BY359,'[1]WCVI Esc'!$C$5:$W$555,18,FALSE),"-")</f>
        <v>-</v>
      </c>
      <c r="CA359" s="50" t="str">
        <f t="shared" si="154"/>
        <v>-</v>
      </c>
      <c r="CB359" s="50" t="str">
        <f>IFERROR(VLOOKUP(BY359,'[1]WCVI Esc'!$C$5:$W$555,19,FALSE),"-")</f>
        <v>-</v>
      </c>
      <c r="CC359" s="50" t="str">
        <f t="shared" si="155"/>
        <v>-</v>
      </c>
      <c r="CE359" s="342" t="str">
        <f t="shared" si="156"/>
        <v>FORESTRY CAMP CREEK_Pink</v>
      </c>
      <c r="CF359" s="341" t="str">
        <f>IFERROR(VLOOKUP(BY359,'RawPL+D'!$O$8:$AB$503,12,FALSE),"-")</f>
        <v>-</v>
      </c>
      <c r="CG359" s="338" t="str">
        <f t="shared" si="157"/>
        <v>-</v>
      </c>
      <c r="CH359" s="341" t="str">
        <f>IFERROR(VLOOKUP(BY359,'RawPL+D'!$O$8:$AB$503,13,FALSE),"-")</f>
        <v>-</v>
      </c>
      <c r="CI359" s="338" t="str">
        <f t="shared" si="158"/>
        <v>-</v>
      </c>
    </row>
    <row r="360" spans="1:87" ht="12.75" hidden="1" customHeight="1" x14ac:dyDescent="0.2">
      <c r="A360" s="28">
        <v>4</v>
      </c>
      <c r="B360" s="28">
        <v>4</v>
      </c>
      <c r="C360" s="11">
        <v>23</v>
      </c>
      <c r="D360" s="148" t="s">
        <v>320</v>
      </c>
      <c r="E360" s="10" t="s">
        <v>174</v>
      </c>
      <c r="F360" s="10" t="s">
        <v>209</v>
      </c>
      <c r="G360" s="10"/>
      <c r="H360" s="10"/>
      <c r="I360" s="10"/>
      <c r="J360" s="10"/>
      <c r="K360" s="575"/>
      <c r="L360" s="152"/>
      <c r="M360" s="164"/>
      <c r="N360" s="62"/>
      <c r="O360" s="62"/>
      <c r="P360" s="177"/>
      <c r="Q360" s="171"/>
      <c r="R360" s="62"/>
      <c r="S360" s="62"/>
      <c r="T360" s="62"/>
      <c r="U360" s="64"/>
      <c r="V360" s="164"/>
      <c r="W360" s="62"/>
      <c r="X360" s="62"/>
      <c r="Y360" s="62"/>
      <c r="Z360" s="64"/>
      <c r="AA360" s="164"/>
      <c r="AB360" s="62"/>
      <c r="AC360" s="62"/>
      <c r="AD360" s="64"/>
      <c r="AE360" s="164"/>
      <c r="AF360" s="62"/>
      <c r="AG360" s="62"/>
      <c r="AH360" s="337"/>
      <c r="AI360" s="337"/>
      <c r="AJ360" s="337"/>
      <c r="AK360" s="337"/>
      <c r="AL360" s="414"/>
      <c r="AM360" s="414"/>
      <c r="AN360" s="45"/>
      <c r="AO360" s="45"/>
      <c r="AP360" s="45"/>
      <c r="AQ360" s="485"/>
      <c r="AR360" s="100"/>
      <c r="AS360" s="485"/>
      <c r="AT360" s="24"/>
      <c r="AU360" s="24"/>
      <c r="AV360" s="24"/>
      <c r="AW360" s="18">
        <v>23</v>
      </c>
      <c r="AX360" s="69" t="s">
        <v>320</v>
      </c>
      <c r="AY360" s="243" t="s">
        <v>174</v>
      </c>
      <c r="AZ360" s="243" t="str">
        <f t="shared" si="140"/>
        <v>Chum</v>
      </c>
      <c r="BA360" s="243" t="s">
        <v>419</v>
      </c>
      <c r="BB360" s="246"/>
      <c r="BC360" s="43" t="str">
        <f t="shared" si="141"/>
        <v>-</v>
      </c>
      <c r="BD360" s="43">
        <f t="shared" si="161"/>
        <v>0</v>
      </c>
      <c r="BE360" s="193">
        <f t="shared" si="159"/>
        <v>0</v>
      </c>
      <c r="BF360" s="193">
        <f t="shared" si="142"/>
        <v>0</v>
      </c>
      <c r="BG360" s="193">
        <f t="shared" si="143"/>
        <v>0</v>
      </c>
      <c r="BH360" s="307" t="str">
        <f t="shared" si="160"/>
        <v>-</v>
      </c>
      <c r="BI360" s="265" t="str">
        <f t="shared" si="162"/>
        <v>-</v>
      </c>
      <c r="BJ360" s="26" t="str">
        <f t="shared" si="144"/>
        <v>FORESTRY CAMP CREEKChum</v>
      </c>
      <c r="BK360" s="26">
        <f t="shared" si="145"/>
        <v>0</v>
      </c>
      <c r="BL360" s="33">
        <f t="shared" si="163"/>
        <v>0</v>
      </c>
      <c r="BQ360" s="47" t="str">
        <f t="shared" si="146"/>
        <v>FORESTRY CAMP CREEKChum</v>
      </c>
      <c r="BR360" s="49">
        <f t="shared" si="147"/>
        <v>0</v>
      </c>
      <c r="BS360" s="49">
        <f t="shared" si="148"/>
        <v>0</v>
      </c>
      <c r="BT360" s="31">
        <v>0</v>
      </c>
      <c r="BU360" s="188">
        <f t="shared" si="149"/>
        <v>0</v>
      </c>
      <c r="BV360" s="188" t="str">
        <f t="shared" si="150"/>
        <v xml:space="preserve"> </v>
      </c>
      <c r="BW360" s="188" t="str">
        <f t="shared" si="151"/>
        <v xml:space="preserve"> </v>
      </c>
      <c r="BX360" s="188" t="str">
        <f t="shared" si="152"/>
        <v xml:space="preserve"> </v>
      </c>
      <c r="BY360" s="50" t="str">
        <f t="shared" si="153"/>
        <v>FORESTRY CAMP CREEK_Chum</v>
      </c>
      <c r="BZ360" s="50" t="str">
        <f>IFERROR(VLOOKUP(BY360,'[1]WCVI Esc'!$C$5:$W$555,18,FALSE),"-")</f>
        <v>-</v>
      </c>
      <c r="CA360" s="50" t="str">
        <f t="shared" si="154"/>
        <v>-</v>
      </c>
      <c r="CB360" s="50" t="str">
        <f>IFERROR(VLOOKUP(BY360,'[1]WCVI Esc'!$C$5:$W$555,19,FALSE),"-")</f>
        <v>-</v>
      </c>
      <c r="CC360" s="50" t="str">
        <f t="shared" si="155"/>
        <v>-</v>
      </c>
      <c r="CE360" s="342" t="str">
        <f t="shared" si="156"/>
        <v>FORESTRY CAMP CREEK_Chum</v>
      </c>
      <c r="CF360" s="341" t="str">
        <f>IFERROR(VLOOKUP(BY360,'RawPL+D'!$O$8:$AB$503,12,FALSE),"-")</f>
        <v>-</v>
      </c>
      <c r="CG360" s="338" t="str">
        <f t="shared" si="157"/>
        <v>-</v>
      </c>
      <c r="CH360" s="341" t="str">
        <f>IFERROR(VLOOKUP(BY360,'RawPL+D'!$O$8:$AB$503,13,FALSE),"-")</f>
        <v>-</v>
      </c>
      <c r="CI360" s="338" t="str">
        <f t="shared" si="158"/>
        <v>-</v>
      </c>
    </row>
    <row r="361" spans="1:87" ht="12.75" hidden="1" customHeight="1" x14ac:dyDescent="0.2">
      <c r="A361" s="28">
        <v>4</v>
      </c>
      <c r="B361" s="28">
        <v>5</v>
      </c>
      <c r="C361" s="11">
        <v>23</v>
      </c>
      <c r="D361" s="148" t="s">
        <v>320</v>
      </c>
      <c r="E361" s="10" t="s">
        <v>174</v>
      </c>
      <c r="F361" s="10" t="s">
        <v>210</v>
      </c>
      <c r="G361" s="10"/>
      <c r="H361" s="10"/>
      <c r="I361" s="10"/>
      <c r="J361" s="10"/>
      <c r="K361" s="575"/>
      <c r="L361" s="152"/>
      <c r="M361" s="164"/>
      <c r="N361" s="62"/>
      <c r="O361" s="62"/>
      <c r="P361" s="177"/>
      <c r="Q361" s="171"/>
      <c r="R361" s="62"/>
      <c r="S361" s="62"/>
      <c r="T361" s="62"/>
      <c r="U361" s="64"/>
      <c r="V361" s="164"/>
      <c r="W361" s="62"/>
      <c r="X361" s="62"/>
      <c r="Y361" s="62"/>
      <c r="Z361" s="64"/>
      <c r="AA361" s="164"/>
      <c r="AB361" s="62"/>
      <c r="AC361" s="62"/>
      <c r="AD361" s="64"/>
      <c r="AE361" s="164"/>
      <c r="AF361" s="62"/>
      <c r="AG361" s="62"/>
      <c r="AH361" s="337"/>
      <c r="AI361" s="337"/>
      <c r="AJ361" s="337"/>
      <c r="AK361" s="337"/>
      <c r="AL361" s="414"/>
      <c r="AM361" s="414"/>
      <c r="AN361" s="45"/>
      <c r="AO361" s="45"/>
      <c r="AP361" s="45"/>
      <c r="AQ361" s="485"/>
      <c r="AR361" s="100"/>
      <c r="AS361" s="485"/>
      <c r="AT361" s="24"/>
      <c r="AU361" s="24"/>
      <c r="AV361" s="24"/>
      <c r="AW361" s="18">
        <v>23</v>
      </c>
      <c r="AX361" s="69" t="s">
        <v>320</v>
      </c>
      <c r="AY361" s="243" t="s">
        <v>174</v>
      </c>
      <c r="AZ361" s="243" t="str">
        <f t="shared" si="140"/>
        <v>Chinook</v>
      </c>
      <c r="BA361" s="243" t="s">
        <v>419</v>
      </c>
      <c r="BB361" s="246"/>
      <c r="BC361" s="43" t="str">
        <f t="shared" si="141"/>
        <v>-</v>
      </c>
      <c r="BD361" s="43">
        <f t="shared" si="161"/>
        <v>0</v>
      </c>
      <c r="BE361" s="193">
        <f t="shared" si="159"/>
        <v>0</v>
      </c>
      <c r="BF361" s="193">
        <f t="shared" si="142"/>
        <v>0</v>
      </c>
      <c r="BG361" s="193">
        <f t="shared" si="143"/>
        <v>0</v>
      </c>
      <c r="BH361" s="307" t="str">
        <f t="shared" si="160"/>
        <v>-</v>
      </c>
      <c r="BI361" s="265" t="str">
        <f t="shared" si="162"/>
        <v>-</v>
      </c>
      <c r="BJ361" s="26" t="str">
        <f t="shared" si="144"/>
        <v>FORESTRY CAMP CREEKChinook</v>
      </c>
      <c r="BK361" s="26">
        <f t="shared" si="145"/>
        <v>0</v>
      </c>
      <c r="BL361" s="33">
        <f t="shared" si="163"/>
        <v>0</v>
      </c>
      <c r="BQ361" s="47" t="str">
        <f t="shared" si="146"/>
        <v>FORESTRY CAMP CREEKChinook</v>
      </c>
      <c r="BR361" s="49">
        <f t="shared" si="147"/>
        <v>0</v>
      </c>
      <c r="BS361" s="49">
        <f t="shared" si="148"/>
        <v>0</v>
      </c>
      <c r="BT361" s="31">
        <v>0</v>
      </c>
      <c r="BU361" s="188">
        <f t="shared" si="149"/>
        <v>0</v>
      </c>
      <c r="BV361" s="188" t="str">
        <f t="shared" si="150"/>
        <v xml:space="preserve"> </v>
      </c>
      <c r="BW361" s="188" t="str">
        <f t="shared" si="151"/>
        <v xml:space="preserve"> </v>
      </c>
      <c r="BX361" s="188" t="str">
        <f t="shared" si="152"/>
        <v xml:space="preserve"> </v>
      </c>
      <c r="BY361" s="50" t="str">
        <f t="shared" si="153"/>
        <v>FORESTRY CAMP CREEK_Chinook</v>
      </c>
      <c r="BZ361" s="50" t="str">
        <f>IFERROR(VLOOKUP(BY361,'[1]WCVI Esc'!$C$5:$W$555,18,FALSE),"-")</f>
        <v>-</v>
      </c>
      <c r="CA361" s="50" t="str">
        <f t="shared" si="154"/>
        <v>-</v>
      </c>
      <c r="CB361" s="50" t="str">
        <f>IFERROR(VLOOKUP(BY361,'[1]WCVI Esc'!$C$5:$W$555,19,FALSE),"-")</f>
        <v>-</v>
      </c>
      <c r="CC361" s="50" t="str">
        <f t="shared" si="155"/>
        <v>-</v>
      </c>
      <c r="CE361" s="342" t="str">
        <f t="shared" ref="CE361:CE392" si="164">CONCATENATE(E361,"_",F361)</f>
        <v>FORESTRY CAMP CREEK_Chinook</v>
      </c>
      <c r="CF361" s="341" t="str">
        <f>IFERROR(VLOOKUP(BY361,'RawPL+D'!$O$8:$AB$503,12,FALSE),"-")</f>
        <v>-</v>
      </c>
      <c r="CG361" s="338" t="str">
        <f t="shared" si="157"/>
        <v>-</v>
      </c>
      <c r="CH361" s="341" t="str">
        <f>IFERROR(VLOOKUP(BY361,'RawPL+D'!$O$8:$AB$503,13,FALSE),"-")</f>
        <v>-</v>
      </c>
      <c r="CI361" s="338" t="str">
        <f t="shared" si="158"/>
        <v>-</v>
      </c>
    </row>
    <row r="362" spans="1:87" ht="12.75" hidden="1" customHeight="1" x14ac:dyDescent="0.2">
      <c r="A362" s="28">
        <v>4</v>
      </c>
      <c r="B362" s="28">
        <v>6</v>
      </c>
      <c r="C362" s="11">
        <v>23</v>
      </c>
      <c r="D362" s="148" t="s">
        <v>320</v>
      </c>
      <c r="E362" s="10" t="s">
        <v>174</v>
      </c>
      <c r="F362" s="10" t="s">
        <v>211</v>
      </c>
      <c r="G362" s="10"/>
      <c r="H362" s="10"/>
      <c r="I362" s="10"/>
      <c r="J362" s="10"/>
      <c r="K362" s="575"/>
      <c r="L362" s="152"/>
      <c r="M362" s="164"/>
      <c r="N362" s="62"/>
      <c r="O362" s="62"/>
      <c r="P362" s="177"/>
      <c r="Q362" s="171"/>
      <c r="R362" s="62"/>
      <c r="S362" s="62"/>
      <c r="T362" s="62"/>
      <c r="U362" s="64"/>
      <c r="V362" s="164"/>
      <c r="W362" s="62"/>
      <c r="X362" s="62"/>
      <c r="Y362" s="62"/>
      <c r="Z362" s="64"/>
      <c r="AA362" s="164"/>
      <c r="AB362" s="62"/>
      <c r="AC362" s="62"/>
      <c r="AD362" s="64"/>
      <c r="AE362" s="164"/>
      <c r="AF362" s="62"/>
      <c r="AG362" s="62"/>
      <c r="AH362" s="337"/>
      <c r="AI362" s="337"/>
      <c r="AJ362" s="337"/>
      <c r="AK362" s="337"/>
      <c r="AL362" s="414"/>
      <c r="AM362" s="414"/>
      <c r="AN362" s="45"/>
      <c r="AO362" s="45"/>
      <c r="AP362" s="45"/>
      <c r="AQ362" s="485"/>
      <c r="AR362" s="100"/>
      <c r="AS362" s="485"/>
      <c r="AT362" s="24"/>
      <c r="AU362" s="24"/>
      <c r="AV362" s="24"/>
      <c r="AW362" s="18">
        <v>23</v>
      </c>
      <c r="AX362" s="69" t="s">
        <v>320</v>
      </c>
      <c r="AY362" s="243" t="s">
        <v>174</v>
      </c>
      <c r="AZ362" s="243" t="str">
        <f t="shared" si="140"/>
        <v>Steelhead</v>
      </c>
      <c r="BA362" s="243" t="s">
        <v>419</v>
      </c>
      <c r="BB362" s="246"/>
      <c r="BC362" s="43" t="str">
        <f t="shared" si="141"/>
        <v>-</v>
      </c>
      <c r="BD362" s="43">
        <f t="shared" si="161"/>
        <v>0</v>
      </c>
      <c r="BE362" s="193">
        <f t="shared" si="159"/>
        <v>0</v>
      </c>
      <c r="BF362" s="193">
        <f t="shared" si="142"/>
        <v>0</v>
      </c>
      <c r="BG362" s="193">
        <f t="shared" si="143"/>
        <v>0</v>
      </c>
      <c r="BH362" s="307" t="str">
        <f t="shared" si="160"/>
        <v>-</v>
      </c>
      <c r="BI362" s="265" t="str">
        <f t="shared" si="162"/>
        <v>-</v>
      </c>
      <c r="BJ362" s="26" t="str">
        <f t="shared" si="144"/>
        <v>FORESTRY CAMP CREEKSteelhead</v>
      </c>
      <c r="BK362" s="26">
        <f t="shared" si="145"/>
        <v>0</v>
      </c>
      <c r="BL362" s="33">
        <f t="shared" si="163"/>
        <v>0</v>
      </c>
      <c r="BQ362" s="47" t="str">
        <f t="shared" si="146"/>
        <v>FORESTRY CAMP CREEKSteelhead</v>
      </c>
      <c r="BR362" s="49">
        <f t="shared" si="147"/>
        <v>0</v>
      </c>
      <c r="BS362" s="49">
        <f t="shared" si="148"/>
        <v>0</v>
      </c>
      <c r="BT362" s="31">
        <v>0</v>
      </c>
      <c r="BU362" s="188">
        <f t="shared" si="149"/>
        <v>0</v>
      </c>
      <c r="BV362" s="188" t="str">
        <f t="shared" si="150"/>
        <v xml:space="preserve"> </v>
      </c>
      <c r="BW362" s="188" t="str">
        <f t="shared" si="151"/>
        <v xml:space="preserve"> </v>
      </c>
      <c r="BX362" s="188" t="str">
        <f t="shared" si="152"/>
        <v xml:space="preserve"> </v>
      </c>
      <c r="BY362" s="50" t="str">
        <f t="shared" si="153"/>
        <v>FORESTRY CAMP CREEK_Steelhead</v>
      </c>
      <c r="BZ362" s="50" t="str">
        <f>IFERROR(VLOOKUP(BY362,'[1]WCVI Esc'!$C$5:$W$555,18,FALSE),"-")</f>
        <v>-</v>
      </c>
      <c r="CA362" s="50" t="str">
        <f t="shared" si="154"/>
        <v>-</v>
      </c>
      <c r="CB362" s="50" t="str">
        <f>IFERROR(VLOOKUP(BY362,'[1]WCVI Esc'!$C$5:$W$555,19,FALSE),"-")</f>
        <v>-</v>
      </c>
      <c r="CC362" s="50" t="str">
        <f t="shared" si="155"/>
        <v>-</v>
      </c>
      <c r="CE362" s="342" t="str">
        <f t="shared" si="164"/>
        <v>FORESTRY CAMP CREEK_Steelhead</v>
      </c>
      <c r="CF362" s="341" t="str">
        <f>IFERROR(VLOOKUP(BY362,'RawPL+D'!$O$8:$AB$503,12,FALSE),"-")</f>
        <v>-</v>
      </c>
      <c r="CG362" s="338" t="str">
        <f t="shared" si="157"/>
        <v>-</v>
      </c>
      <c r="CH362" s="341" t="str">
        <f>IFERROR(VLOOKUP(BY362,'RawPL+D'!$O$8:$AB$503,13,FALSE),"-")</f>
        <v>-</v>
      </c>
      <c r="CI362" s="338" t="str">
        <f t="shared" si="158"/>
        <v>-</v>
      </c>
    </row>
    <row r="363" spans="1:87" ht="12.75" hidden="1" customHeight="1" x14ac:dyDescent="0.2">
      <c r="A363" s="28">
        <v>4</v>
      </c>
      <c r="B363" s="28">
        <v>1</v>
      </c>
      <c r="C363" s="11">
        <v>23</v>
      </c>
      <c r="D363" s="148" t="s">
        <v>320</v>
      </c>
      <c r="E363" s="10" t="s">
        <v>100</v>
      </c>
      <c r="F363" s="10" t="s">
        <v>207</v>
      </c>
      <c r="G363" s="10"/>
      <c r="H363" s="10"/>
      <c r="I363" s="10"/>
      <c r="J363" s="10"/>
      <c r="K363" s="575"/>
      <c r="L363" s="152"/>
      <c r="M363" s="164"/>
      <c r="N363" s="62"/>
      <c r="O363" s="62"/>
      <c r="P363" s="177"/>
      <c r="Q363" s="171"/>
      <c r="R363" s="62"/>
      <c r="S363" s="62"/>
      <c r="T363" s="62"/>
      <c r="U363" s="64"/>
      <c r="V363" s="164"/>
      <c r="W363" s="62"/>
      <c r="X363" s="62"/>
      <c r="Y363" s="62"/>
      <c r="Z363" s="64"/>
      <c r="AA363" s="164"/>
      <c r="AB363" s="62"/>
      <c r="AC363" s="62"/>
      <c r="AD363" s="64"/>
      <c r="AE363" s="164"/>
      <c r="AF363" s="62"/>
      <c r="AG363" s="62"/>
      <c r="AH363" s="337"/>
      <c r="AI363" s="337"/>
      <c r="AJ363" s="337"/>
      <c r="AK363" s="337"/>
      <c r="AL363" s="414"/>
      <c r="AM363" s="414"/>
      <c r="AN363" s="45"/>
      <c r="AO363" s="45"/>
      <c r="AP363" s="45"/>
      <c r="AQ363" s="485"/>
      <c r="AR363" s="100"/>
      <c r="AS363" s="485"/>
      <c r="AT363" s="24"/>
      <c r="AU363" s="24"/>
      <c r="AV363" s="24"/>
      <c r="AW363" s="18">
        <v>23</v>
      </c>
      <c r="AX363" s="69" t="s">
        <v>320</v>
      </c>
      <c r="AY363" s="243" t="s">
        <v>100</v>
      </c>
      <c r="AZ363" s="243" t="str">
        <f t="shared" si="140"/>
        <v>Sockeye</v>
      </c>
      <c r="BA363" s="243" t="s">
        <v>419</v>
      </c>
      <c r="BB363" s="246"/>
      <c r="BC363" s="43" t="str">
        <f t="shared" si="141"/>
        <v>-</v>
      </c>
      <c r="BD363" s="43">
        <f t="shared" si="161"/>
        <v>0</v>
      </c>
      <c r="BE363" s="193">
        <f t="shared" si="159"/>
        <v>0</v>
      </c>
      <c r="BF363" s="193">
        <f t="shared" si="142"/>
        <v>0</v>
      </c>
      <c r="BG363" s="193">
        <f t="shared" si="143"/>
        <v>0</v>
      </c>
      <c r="BH363" s="307" t="str">
        <f t="shared" si="160"/>
        <v>-</v>
      </c>
      <c r="BI363" s="265" t="str">
        <f t="shared" si="162"/>
        <v>-</v>
      </c>
      <c r="BJ363" s="26" t="str">
        <f t="shared" si="144"/>
        <v>MCBRIDE CREEKSockeye</v>
      </c>
      <c r="BK363" s="26">
        <f t="shared" si="145"/>
        <v>0</v>
      </c>
      <c r="BL363" s="33">
        <f t="shared" si="163"/>
        <v>0</v>
      </c>
      <c r="BQ363" s="47" t="str">
        <f t="shared" si="146"/>
        <v>MCBRIDE CREEKSockeye</v>
      </c>
      <c r="BR363" s="49">
        <f t="shared" si="147"/>
        <v>0</v>
      </c>
      <c r="BS363" s="49">
        <f t="shared" si="148"/>
        <v>0</v>
      </c>
      <c r="BT363" s="31">
        <v>0</v>
      </c>
      <c r="BU363" s="188">
        <f t="shared" si="149"/>
        <v>0</v>
      </c>
      <c r="BV363" s="188" t="str">
        <f t="shared" si="150"/>
        <v xml:space="preserve"> </v>
      </c>
      <c r="BW363" s="188" t="str">
        <f t="shared" si="151"/>
        <v xml:space="preserve"> </v>
      </c>
      <c r="BX363" s="188" t="str">
        <f t="shared" si="152"/>
        <v xml:space="preserve"> </v>
      </c>
      <c r="BY363" s="50" t="str">
        <f t="shared" si="153"/>
        <v>MCBRIDE CREEK_Sockeye</v>
      </c>
      <c r="BZ363" s="50" t="str">
        <f>IFERROR(VLOOKUP(BY363,'[1]WCVI Esc'!$C$5:$W$555,18,FALSE),"-")</f>
        <v>-</v>
      </c>
      <c r="CA363" s="50" t="str">
        <f t="shared" si="154"/>
        <v>-</v>
      </c>
      <c r="CB363" s="50" t="str">
        <f>IFERROR(VLOOKUP(BY363,'[1]WCVI Esc'!$C$5:$W$555,19,FALSE),"-")</f>
        <v>-</v>
      </c>
      <c r="CC363" s="50" t="str">
        <f t="shared" si="155"/>
        <v>-</v>
      </c>
      <c r="CE363" s="342" t="str">
        <f t="shared" si="164"/>
        <v>MCBRIDE CREEK_Sockeye</v>
      </c>
      <c r="CF363" s="341" t="str">
        <f>IFERROR(VLOOKUP(BY363,'RawPL+D'!$O$8:$AB$503,12,FALSE),"-")</f>
        <v>-</v>
      </c>
      <c r="CG363" s="338" t="str">
        <f t="shared" si="157"/>
        <v>-</v>
      </c>
      <c r="CH363" s="341" t="str">
        <f>IFERROR(VLOOKUP(BY363,'RawPL+D'!$O$8:$AB$503,13,FALSE),"-")</f>
        <v>-</v>
      </c>
      <c r="CI363" s="338" t="str">
        <f t="shared" si="158"/>
        <v>-</v>
      </c>
    </row>
    <row r="364" spans="1:87" ht="12.75" hidden="1" customHeight="1" x14ac:dyDescent="0.2">
      <c r="A364" s="28">
        <v>4</v>
      </c>
      <c r="B364" s="28">
        <v>2</v>
      </c>
      <c r="C364" s="11">
        <v>23</v>
      </c>
      <c r="D364" s="148" t="s">
        <v>320</v>
      </c>
      <c r="E364" s="10" t="s">
        <v>100</v>
      </c>
      <c r="F364" s="10" t="s">
        <v>219</v>
      </c>
      <c r="G364" s="10"/>
      <c r="H364" s="10"/>
      <c r="I364" s="10"/>
      <c r="J364" s="10"/>
      <c r="K364" s="575"/>
      <c r="L364" s="152"/>
      <c r="M364" s="164"/>
      <c r="N364" s="62"/>
      <c r="O364" s="62"/>
      <c r="P364" s="177"/>
      <c r="Q364" s="171"/>
      <c r="R364" s="62"/>
      <c r="S364" s="62"/>
      <c r="T364" s="62"/>
      <c r="U364" s="64"/>
      <c r="V364" s="164"/>
      <c r="W364" s="62"/>
      <c r="X364" s="62"/>
      <c r="Y364" s="62"/>
      <c r="Z364" s="64"/>
      <c r="AA364" s="164"/>
      <c r="AB364" s="62"/>
      <c r="AC364" s="62"/>
      <c r="AD364" s="64"/>
      <c r="AE364" s="164"/>
      <c r="AF364" s="62"/>
      <c r="AG364" s="62"/>
      <c r="AH364" s="337"/>
      <c r="AI364" s="337"/>
      <c r="AJ364" s="337"/>
      <c r="AK364" s="337"/>
      <c r="AL364" s="414"/>
      <c r="AM364" s="414"/>
      <c r="AN364" s="45"/>
      <c r="AO364" s="45"/>
      <c r="AP364" s="45"/>
      <c r="AQ364" s="485"/>
      <c r="AR364" s="100"/>
      <c r="AS364" s="485"/>
      <c r="AT364" s="24"/>
      <c r="AU364" s="24"/>
      <c r="AV364" s="24"/>
      <c r="AW364" s="18">
        <v>23</v>
      </c>
      <c r="AX364" s="69" t="s">
        <v>320</v>
      </c>
      <c r="AY364" s="243" t="s">
        <v>100</v>
      </c>
      <c r="AZ364" s="243" t="str">
        <f t="shared" si="140"/>
        <v>Coho</v>
      </c>
      <c r="BA364" s="243" t="s">
        <v>419</v>
      </c>
      <c r="BB364" s="246"/>
      <c r="BC364" s="43" t="str">
        <f t="shared" si="141"/>
        <v>-</v>
      </c>
      <c r="BD364" s="43">
        <f t="shared" si="161"/>
        <v>0</v>
      </c>
      <c r="BE364" s="193">
        <f t="shared" si="159"/>
        <v>0</v>
      </c>
      <c r="BF364" s="193">
        <f t="shared" si="142"/>
        <v>0</v>
      </c>
      <c r="BG364" s="193">
        <f t="shared" si="143"/>
        <v>0</v>
      </c>
      <c r="BH364" s="307" t="str">
        <f t="shared" si="160"/>
        <v>-</v>
      </c>
      <c r="BI364" s="265" t="str">
        <f t="shared" si="162"/>
        <v>-</v>
      </c>
      <c r="BJ364" s="26" t="str">
        <f t="shared" si="144"/>
        <v>MCBRIDE CREEKCoho</v>
      </c>
      <c r="BK364" s="26">
        <f t="shared" si="145"/>
        <v>0</v>
      </c>
      <c r="BL364" s="33">
        <f t="shared" si="163"/>
        <v>0</v>
      </c>
      <c r="BQ364" s="47" t="str">
        <f t="shared" si="146"/>
        <v>MCBRIDE CREEKCoho</v>
      </c>
      <c r="BR364" s="49">
        <f t="shared" si="147"/>
        <v>0</v>
      </c>
      <c r="BS364" s="49">
        <f t="shared" si="148"/>
        <v>0</v>
      </c>
      <c r="BT364" s="31">
        <v>0</v>
      </c>
      <c r="BU364" s="188">
        <f t="shared" si="149"/>
        <v>0</v>
      </c>
      <c r="BV364" s="188" t="str">
        <f t="shared" si="150"/>
        <v xml:space="preserve"> </v>
      </c>
      <c r="BW364" s="188" t="str">
        <f t="shared" si="151"/>
        <v xml:space="preserve"> </v>
      </c>
      <c r="BX364" s="188" t="str">
        <f t="shared" si="152"/>
        <v xml:space="preserve"> </v>
      </c>
      <c r="BY364" s="50" t="str">
        <f t="shared" si="153"/>
        <v>MCBRIDE CREEK_Coho</v>
      </c>
      <c r="BZ364" s="50" t="str">
        <f>IFERROR(VLOOKUP(BY364,'[1]WCVI Esc'!$C$5:$W$555,18,FALSE),"-")</f>
        <v>-</v>
      </c>
      <c r="CA364" s="50" t="str">
        <f t="shared" si="154"/>
        <v>-</v>
      </c>
      <c r="CB364" s="50" t="str">
        <f>IFERROR(VLOOKUP(BY364,'[1]WCVI Esc'!$C$5:$W$555,19,FALSE),"-")</f>
        <v>-</v>
      </c>
      <c r="CC364" s="50" t="str">
        <f t="shared" si="155"/>
        <v>-</v>
      </c>
      <c r="CE364" s="342" t="str">
        <f t="shared" si="164"/>
        <v>MCBRIDE CREEK_Coho</v>
      </c>
      <c r="CF364" s="341" t="str">
        <f>IFERROR(VLOOKUP(BY364,'RawPL+D'!$O$8:$AB$503,12,FALSE),"-")</f>
        <v>-</v>
      </c>
      <c r="CG364" s="338" t="str">
        <f t="shared" si="157"/>
        <v>-</v>
      </c>
      <c r="CH364" s="341" t="str">
        <f>IFERROR(VLOOKUP(BY364,'RawPL+D'!$O$8:$AB$503,13,FALSE),"-")</f>
        <v>-</v>
      </c>
      <c r="CI364" s="338" t="str">
        <f t="shared" si="158"/>
        <v>-</v>
      </c>
    </row>
    <row r="365" spans="1:87" ht="12.75" hidden="1" customHeight="1" x14ac:dyDescent="0.2">
      <c r="A365" s="28">
        <v>4</v>
      </c>
      <c r="B365" s="28">
        <v>3</v>
      </c>
      <c r="C365" s="11">
        <v>23</v>
      </c>
      <c r="D365" s="148" t="s">
        <v>320</v>
      </c>
      <c r="E365" s="10" t="s">
        <v>100</v>
      </c>
      <c r="F365" s="10" t="s">
        <v>208</v>
      </c>
      <c r="G365" s="10"/>
      <c r="H365" s="10"/>
      <c r="I365" s="10"/>
      <c r="J365" s="10"/>
      <c r="K365" s="575"/>
      <c r="L365" s="152"/>
      <c r="M365" s="164"/>
      <c r="N365" s="62"/>
      <c r="O365" s="62"/>
      <c r="P365" s="177"/>
      <c r="Q365" s="171"/>
      <c r="R365" s="62"/>
      <c r="S365" s="62"/>
      <c r="T365" s="62"/>
      <c r="U365" s="64"/>
      <c r="V365" s="164"/>
      <c r="W365" s="62"/>
      <c r="X365" s="62"/>
      <c r="Y365" s="62"/>
      <c r="Z365" s="64"/>
      <c r="AA365" s="164"/>
      <c r="AB365" s="62"/>
      <c r="AC365" s="62"/>
      <c r="AD365" s="64"/>
      <c r="AE365" s="164"/>
      <c r="AF365" s="62"/>
      <c r="AG365" s="62"/>
      <c r="AH365" s="337"/>
      <c r="AI365" s="337"/>
      <c r="AJ365" s="337"/>
      <c r="AK365" s="337"/>
      <c r="AL365" s="414"/>
      <c r="AM365" s="414"/>
      <c r="AN365" s="45"/>
      <c r="AO365" s="45"/>
      <c r="AP365" s="45"/>
      <c r="AQ365" s="485"/>
      <c r="AR365" s="100"/>
      <c r="AS365" s="485"/>
      <c r="AT365" s="24"/>
      <c r="AU365" s="24"/>
      <c r="AV365" s="24"/>
      <c r="AW365" s="18">
        <v>23</v>
      </c>
      <c r="AX365" s="69" t="s">
        <v>320</v>
      </c>
      <c r="AY365" s="243" t="s">
        <v>100</v>
      </c>
      <c r="AZ365" s="243" t="str">
        <f t="shared" si="140"/>
        <v>Pink</v>
      </c>
      <c r="BA365" s="243" t="s">
        <v>419</v>
      </c>
      <c r="BB365" s="246"/>
      <c r="BC365" s="43" t="str">
        <f t="shared" si="141"/>
        <v>-</v>
      </c>
      <c r="BD365" s="43">
        <f t="shared" si="161"/>
        <v>0</v>
      </c>
      <c r="BE365" s="193">
        <f t="shared" si="159"/>
        <v>0</v>
      </c>
      <c r="BF365" s="193">
        <f t="shared" si="142"/>
        <v>0</v>
      </c>
      <c r="BG365" s="193">
        <f t="shared" si="143"/>
        <v>0</v>
      </c>
      <c r="BH365" s="307" t="str">
        <f t="shared" si="160"/>
        <v>-</v>
      </c>
      <c r="BI365" s="265" t="str">
        <f t="shared" si="162"/>
        <v>-</v>
      </c>
      <c r="BJ365" s="26" t="str">
        <f t="shared" si="144"/>
        <v>MCBRIDE CREEKPink</v>
      </c>
      <c r="BK365" s="26">
        <f t="shared" si="145"/>
        <v>0</v>
      </c>
      <c r="BL365" s="33">
        <f t="shared" si="163"/>
        <v>0</v>
      </c>
      <c r="BQ365" s="47" t="str">
        <f t="shared" si="146"/>
        <v>MCBRIDE CREEKPink</v>
      </c>
      <c r="BR365" s="49">
        <f t="shared" si="147"/>
        <v>0</v>
      </c>
      <c r="BS365" s="49">
        <f t="shared" si="148"/>
        <v>0</v>
      </c>
      <c r="BT365" s="31">
        <v>0</v>
      </c>
      <c r="BU365" s="188">
        <f t="shared" si="149"/>
        <v>0</v>
      </c>
      <c r="BV365" s="188" t="str">
        <f t="shared" si="150"/>
        <v xml:space="preserve"> </v>
      </c>
      <c r="BW365" s="188" t="str">
        <f t="shared" si="151"/>
        <v xml:space="preserve"> </v>
      </c>
      <c r="BX365" s="188" t="str">
        <f t="shared" si="152"/>
        <v xml:space="preserve"> </v>
      </c>
      <c r="BY365" s="50" t="str">
        <f t="shared" si="153"/>
        <v>MCBRIDE CREEK_Pink</v>
      </c>
      <c r="BZ365" s="50" t="str">
        <f>IFERROR(VLOOKUP(BY365,'[1]WCVI Esc'!$C$5:$W$555,18,FALSE),"-")</f>
        <v>-</v>
      </c>
      <c r="CA365" s="50" t="str">
        <f t="shared" si="154"/>
        <v>-</v>
      </c>
      <c r="CB365" s="50" t="str">
        <f>IFERROR(VLOOKUP(BY365,'[1]WCVI Esc'!$C$5:$W$555,19,FALSE),"-")</f>
        <v>-</v>
      </c>
      <c r="CC365" s="50" t="str">
        <f t="shared" si="155"/>
        <v>-</v>
      </c>
      <c r="CE365" s="342" t="str">
        <f t="shared" si="164"/>
        <v>MCBRIDE CREEK_Pink</v>
      </c>
      <c r="CF365" s="341" t="str">
        <f>IFERROR(VLOOKUP(BY365,'RawPL+D'!$O$8:$AB$503,12,FALSE),"-")</f>
        <v>-</v>
      </c>
      <c r="CG365" s="338" t="str">
        <f t="shared" si="157"/>
        <v>-</v>
      </c>
      <c r="CH365" s="341" t="str">
        <f>IFERROR(VLOOKUP(BY365,'RawPL+D'!$O$8:$AB$503,13,FALSE),"-")</f>
        <v>-</v>
      </c>
      <c r="CI365" s="338" t="str">
        <f t="shared" si="158"/>
        <v>-</v>
      </c>
    </row>
    <row r="366" spans="1:87" ht="12.75" hidden="1" customHeight="1" x14ac:dyDescent="0.2">
      <c r="A366" s="28">
        <v>4</v>
      </c>
      <c r="B366" s="28">
        <v>4</v>
      </c>
      <c r="C366" s="11">
        <v>23</v>
      </c>
      <c r="D366" s="148" t="s">
        <v>320</v>
      </c>
      <c r="E366" s="10" t="s">
        <v>100</v>
      </c>
      <c r="F366" s="10" t="s">
        <v>209</v>
      </c>
      <c r="G366" s="10"/>
      <c r="H366" s="10"/>
      <c r="I366" s="10"/>
      <c r="J366" s="10"/>
      <c r="K366" s="575"/>
      <c r="L366" s="152"/>
      <c r="M366" s="164"/>
      <c r="N366" s="62"/>
      <c r="O366" s="62"/>
      <c r="P366" s="177"/>
      <c r="Q366" s="171"/>
      <c r="R366" s="62"/>
      <c r="S366" s="62"/>
      <c r="T366" s="62"/>
      <c r="U366" s="64"/>
      <c r="V366" s="164"/>
      <c r="W366" s="62"/>
      <c r="X366" s="62"/>
      <c r="Y366" s="62"/>
      <c r="Z366" s="64"/>
      <c r="AA366" s="164"/>
      <c r="AB366" s="62"/>
      <c r="AC366" s="62"/>
      <c r="AD366" s="64"/>
      <c r="AE366" s="164"/>
      <c r="AF366" s="62"/>
      <c r="AG366" s="62"/>
      <c r="AH366" s="337"/>
      <c r="AI366" s="337"/>
      <c r="AJ366" s="337"/>
      <c r="AK366" s="337"/>
      <c r="AL366" s="414"/>
      <c r="AM366" s="414"/>
      <c r="AN366" s="45"/>
      <c r="AO366" s="45"/>
      <c r="AP366" s="45"/>
      <c r="AQ366" s="485"/>
      <c r="AR366" s="100"/>
      <c r="AS366" s="485"/>
      <c r="AT366" s="24"/>
      <c r="AU366" s="24"/>
      <c r="AV366" s="24"/>
      <c r="AW366" s="18">
        <v>23</v>
      </c>
      <c r="AX366" s="69" t="s">
        <v>320</v>
      </c>
      <c r="AY366" s="243" t="s">
        <v>100</v>
      </c>
      <c r="AZ366" s="243" t="str">
        <f t="shared" si="140"/>
        <v>Chum</v>
      </c>
      <c r="BA366" s="243" t="s">
        <v>419</v>
      </c>
      <c r="BB366" s="246"/>
      <c r="BC366" s="43" t="str">
        <f t="shared" si="141"/>
        <v>-</v>
      </c>
      <c r="BD366" s="43">
        <f t="shared" si="161"/>
        <v>0</v>
      </c>
      <c r="BE366" s="193">
        <f t="shared" si="159"/>
        <v>0</v>
      </c>
      <c r="BF366" s="193">
        <f t="shared" si="142"/>
        <v>0</v>
      </c>
      <c r="BG366" s="193">
        <f t="shared" si="143"/>
        <v>0</v>
      </c>
      <c r="BH366" s="307" t="str">
        <f t="shared" si="160"/>
        <v>-</v>
      </c>
      <c r="BI366" s="265" t="str">
        <f t="shared" si="162"/>
        <v>-</v>
      </c>
      <c r="BJ366" s="26" t="str">
        <f t="shared" si="144"/>
        <v>MCBRIDE CREEKChum</v>
      </c>
      <c r="BK366" s="26">
        <f t="shared" si="145"/>
        <v>0</v>
      </c>
      <c r="BL366" s="33">
        <f t="shared" si="163"/>
        <v>0</v>
      </c>
      <c r="BQ366" s="47" t="str">
        <f t="shared" si="146"/>
        <v>MCBRIDE CREEKChum</v>
      </c>
      <c r="BR366" s="49">
        <f t="shared" si="147"/>
        <v>0</v>
      </c>
      <c r="BS366" s="49">
        <f t="shared" si="148"/>
        <v>0</v>
      </c>
      <c r="BT366" s="31">
        <v>0</v>
      </c>
      <c r="BU366" s="188">
        <f t="shared" si="149"/>
        <v>0</v>
      </c>
      <c r="BV366" s="188" t="str">
        <f t="shared" si="150"/>
        <v xml:space="preserve"> </v>
      </c>
      <c r="BW366" s="188" t="str">
        <f t="shared" si="151"/>
        <v xml:space="preserve"> </v>
      </c>
      <c r="BX366" s="188" t="str">
        <f t="shared" si="152"/>
        <v xml:space="preserve"> </v>
      </c>
      <c r="BY366" s="50" t="str">
        <f t="shared" si="153"/>
        <v>MCBRIDE CREEK_Chum</v>
      </c>
      <c r="BZ366" s="50" t="str">
        <f>IFERROR(VLOOKUP(BY366,'[1]WCVI Esc'!$C$5:$W$555,18,FALSE),"-")</f>
        <v>-</v>
      </c>
      <c r="CA366" s="50" t="str">
        <f t="shared" si="154"/>
        <v>-</v>
      </c>
      <c r="CB366" s="50" t="str">
        <f>IFERROR(VLOOKUP(BY366,'[1]WCVI Esc'!$C$5:$W$555,19,FALSE),"-")</f>
        <v>-</v>
      </c>
      <c r="CC366" s="50" t="str">
        <f t="shared" si="155"/>
        <v>-</v>
      </c>
      <c r="CE366" s="342" t="str">
        <f t="shared" si="164"/>
        <v>MCBRIDE CREEK_Chum</v>
      </c>
      <c r="CF366" s="341" t="str">
        <f>IFERROR(VLOOKUP(BY366,'RawPL+D'!$O$8:$AB$503,12,FALSE),"-")</f>
        <v>-</v>
      </c>
      <c r="CG366" s="338" t="str">
        <f t="shared" si="157"/>
        <v>-</v>
      </c>
      <c r="CH366" s="341" t="str">
        <f>IFERROR(VLOOKUP(BY366,'RawPL+D'!$O$8:$AB$503,13,FALSE),"-")</f>
        <v>-</v>
      </c>
      <c r="CI366" s="338" t="str">
        <f t="shared" si="158"/>
        <v>-</v>
      </c>
    </row>
    <row r="367" spans="1:87" ht="12.75" hidden="1" customHeight="1" x14ac:dyDescent="0.2">
      <c r="A367" s="28">
        <v>4</v>
      </c>
      <c r="B367" s="28">
        <v>5</v>
      </c>
      <c r="C367" s="11">
        <v>23</v>
      </c>
      <c r="D367" s="148" t="s">
        <v>320</v>
      </c>
      <c r="E367" s="10" t="s">
        <v>100</v>
      </c>
      <c r="F367" s="10" t="s">
        <v>210</v>
      </c>
      <c r="G367" s="10"/>
      <c r="H367" s="10"/>
      <c r="I367" s="10"/>
      <c r="J367" s="10"/>
      <c r="K367" s="575"/>
      <c r="L367" s="152"/>
      <c r="M367" s="164"/>
      <c r="N367" s="62"/>
      <c r="O367" s="62"/>
      <c r="P367" s="177"/>
      <c r="Q367" s="171"/>
      <c r="R367" s="62"/>
      <c r="S367" s="62"/>
      <c r="T367" s="62"/>
      <c r="U367" s="64"/>
      <c r="V367" s="164"/>
      <c r="W367" s="62"/>
      <c r="X367" s="62"/>
      <c r="Y367" s="62"/>
      <c r="Z367" s="64"/>
      <c r="AA367" s="164"/>
      <c r="AB367" s="62"/>
      <c r="AC367" s="62"/>
      <c r="AD367" s="64"/>
      <c r="AE367" s="164"/>
      <c r="AF367" s="62"/>
      <c r="AG367" s="62"/>
      <c r="AH367" s="337"/>
      <c r="AI367" s="337"/>
      <c r="AJ367" s="337"/>
      <c r="AK367" s="337"/>
      <c r="AL367" s="414"/>
      <c r="AM367" s="414"/>
      <c r="AN367" s="45"/>
      <c r="AO367" s="45"/>
      <c r="AP367" s="45"/>
      <c r="AQ367" s="485"/>
      <c r="AR367" s="100"/>
      <c r="AS367" s="485"/>
      <c r="AT367" s="24"/>
      <c r="AU367" s="24"/>
      <c r="AV367" s="24"/>
      <c r="AW367" s="18">
        <v>23</v>
      </c>
      <c r="AX367" s="69" t="s">
        <v>320</v>
      </c>
      <c r="AY367" s="243" t="s">
        <v>100</v>
      </c>
      <c r="AZ367" s="243" t="str">
        <f t="shared" si="140"/>
        <v>Chinook</v>
      </c>
      <c r="BA367" s="243" t="s">
        <v>419</v>
      </c>
      <c r="BB367" s="246"/>
      <c r="BC367" s="43" t="str">
        <f t="shared" si="141"/>
        <v>-</v>
      </c>
      <c r="BD367" s="43">
        <f t="shared" si="161"/>
        <v>0</v>
      </c>
      <c r="BE367" s="193">
        <f t="shared" si="159"/>
        <v>0</v>
      </c>
      <c r="BF367" s="193">
        <f t="shared" si="142"/>
        <v>0</v>
      </c>
      <c r="BG367" s="193">
        <f t="shared" si="143"/>
        <v>0</v>
      </c>
      <c r="BH367" s="307" t="str">
        <f t="shared" si="160"/>
        <v>-</v>
      </c>
      <c r="BI367" s="265" t="str">
        <f t="shared" si="162"/>
        <v>-</v>
      </c>
      <c r="BJ367" s="26" t="str">
        <f t="shared" si="144"/>
        <v>MCBRIDE CREEKChinook</v>
      </c>
      <c r="BK367" s="26">
        <f t="shared" si="145"/>
        <v>0</v>
      </c>
      <c r="BL367" s="33">
        <f t="shared" si="163"/>
        <v>0</v>
      </c>
      <c r="BQ367" s="47" t="str">
        <f t="shared" si="146"/>
        <v>MCBRIDE CREEKChinook</v>
      </c>
      <c r="BR367" s="49">
        <f t="shared" si="147"/>
        <v>0</v>
      </c>
      <c r="BS367" s="49">
        <f t="shared" si="148"/>
        <v>0</v>
      </c>
      <c r="BT367" s="31">
        <v>0</v>
      </c>
      <c r="BU367" s="188">
        <f t="shared" si="149"/>
        <v>0</v>
      </c>
      <c r="BV367" s="188" t="str">
        <f t="shared" si="150"/>
        <v xml:space="preserve"> </v>
      </c>
      <c r="BW367" s="188" t="str">
        <f t="shared" si="151"/>
        <v xml:space="preserve"> </v>
      </c>
      <c r="BX367" s="188" t="str">
        <f t="shared" si="152"/>
        <v xml:space="preserve"> </v>
      </c>
      <c r="BY367" s="50" t="str">
        <f t="shared" si="153"/>
        <v>MCBRIDE CREEK_Chinook</v>
      </c>
      <c r="BZ367" s="50" t="str">
        <f>IFERROR(VLOOKUP(BY367,'[1]WCVI Esc'!$C$5:$W$555,18,FALSE),"-")</f>
        <v>-</v>
      </c>
      <c r="CA367" s="50" t="str">
        <f t="shared" si="154"/>
        <v>-</v>
      </c>
      <c r="CB367" s="50" t="str">
        <f>IFERROR(VLOOKUP(BY367,'[1]WCVI Esc'!$C$5:$W$555,19,FALSE),"-")</f>
        <v>-</v>
      </c>
      <c r="CC367" s="50" t="str">
        <f t="shared" si="155"/>
        <v>-</v>
      </c>
      <c r="CE367" s="342" t="str">
        <f t="shared" si="164"/>
        <v>MCBRIDE CREEK_Chinook</v>
      </c>
      <c r="CF367" s="341" t="str">
        <f>IFERROR(VLOOKUP(BY367,'RawPL+D'!$O$8:$AB$503,12,FALSE),"-")</f>
        <v>-</v>
      </c>
      <c r="CG367" s="338" t="str">
        <f t="shared" si="157"/>
        <v>-</v>
      </c>
      <c r="CH367" s="341" t="str">
        <f>IFERROR(VLOOKUP(BY367,'RawPL+D'!$O$8:$AB$503,13,FALSE),"-")</f>
        <v>-</v>
      </c>
      <c r="CI367" s="338" t="str">
        <f t="shared" si="158"/>
        <v>-</v>
      </c>
    </row>
    <row r="368" spans="1:87" ht="12.75" hidden="1" customHeight="1" x14ac:dyDescent="0.2">
      <c r="A368" s="28">
        <v>4</v>
      </c>
      <c r="B368" s="28">
        <v>6</v>
      </c>
      <c r="C368" s="11">
        <v>23</v>
      </c>
      <c r="D368" s="148" t="s">
        <v>320</v>
      </c>
      <c r="E368" s="10" t="s">
        <v>100</v>
      </c>
      <c r="F368" s="10" t="s">
        <v>211</v>
      </c>
      <c r="G368" s="10"/>
      <c r="H368" s="10"/>
      <c r="I368" s="10"/>
      <c r="J368" s="10"/>
      <c r="K368" s="575"/>
      <c r="L368" s="152"/>
      <c r="M368" s="164"/>
      <c r="N368" s="62"/>
      <c r="O368" s="62"/>
      <c r="P368" s="177"/>
      <c r="Q368" s="171"/>
      <c r="R368" s="62"/>
      <c r="S368" s="62"/>
      <c r="T368" s="62"/>
      <c r="U368" s="64"/>
      <c r="V368" s="164"/>
      <c r="W368" s="62"/>
      <c r="X368" s="62"/>
      <c r="Y368" s="62"/>
      <c r="Z368" s="64"/>
      <c r="AA368" s="164"/>
      <c r="AB368" s="62"/>
      <c r="AC368" s="62"/>
      <c r="AD368" s="64"/>
      <c r="AE368" s="164"/>
      <c r="AF368" s="62"/>
      <c r="AG368" s="62"/>
      <c r="AH368" s="337"/>
      <c r="AI368" s="337"/>
      <c r="AJ368" s="337"/>
      <c r="AK368" s="337"/>
      <c r="AL368" s="414"/>
      <c r="AM368" s="414"/>
      <c r="AN368" s="45"/>
      <c r="AO368" s="45"/>
      <c r="AP368" s="45"/>
      <c r="AQ368" s="485"/>
      <c r="AR368" s="100"/>
      <c r="AS368" s="485"/>
      <c r="AT368" s="24"/>
      <c r="AU368" s="24"/>
      <c r="AV368" s="24"/>
      <c r="AW368" s="18">
        <v>23</v>
      </c>
      <c r="AX368" s="69" t="s">
        <v>320</v>
      </c>
      <c r="AY368" s="243" t="s">
        <v>100</v>
      </c>
      <c r="AZ368" s="243" t="str">
        <f t="shared" si="140"/>
        <v>Steelhead</v>
      </c>
      <c r="BA368" s="243" t="s">
        <v>419</v>
      </c>
      <c r="BB368" s="246"/>
      <c r="BC368" s="43" t="str">
        <f t="shared" si="141"/>
        <v>-</v>
      </c>
      <c r="BD368" s="43">
        <f t="shared" si="161"/>
        <v>0</v>
      </c>
      <c r="BE368" s="193">
        <f t="shared" si="159"/>
        <v>0</v>
      </c>
      <c r="BF368" s="193">
        <f t="shared" si="142"/>
        <v>0</v>
      </c>
      <c r="BG368" s="193">
        <f t="shared" si="143"/>
        <v>0</v>
      </c>
      <c r="BH368" s="307" t="str">
        <f t="shared" si="160"/>
        <v>-</v>
      </c>
      <c r="BI368" s="265" t="str">
        <f t="shared" si="162"/>
        <v>-</v>
      </c>
      <c r="BJ368" s="26" t="str">
        <f t="shared" si="144"/>
        <v>MCBRIDE CREEKSteelhead</v>
      </c>
      <c r="BK368" s="26">
        <f t="shared" si="145"/>
        <v>0</v>
      </c>
      <c r="BL368" s="33">
        <f t="shared" si="163"/>
        <v>0</v>
      </c>
      <c r="BQ368" s="47" t="str">
        <f t="shared" si="146"/>
        <v>MCBRIDE CREEKSteelhead</v>
      </c>
      <c r="BR368" s="49">
        <f t="shared" si="147"/>
        <v>0</v>
      </c>
      <c r="BS368" s="49">
        <f t="shared" si="148"/>
        <v>0</v>
      </c>
      <c r="BT368" s="31">
        <v>0</v>
      </c>
      <c r="BU368" s="188">
        <f t="shared" si="149"/>
        <v>0</v>
      </c>
      <c r="BV368" s="188" t="str">
        <f t="shared" si="150"/>
        <v xml:space="preserve"> </v>
      </c>
      <c r="BW368" s="188" t="str">
        <f t="shared" si="151"/>
        <v xml:space="preserve"> </v>
      </c>
      <c r="BX368" s="188" t="str">
        <f t="shared" si="152"/>
        <v xml:space="preserve"> </v>
      </c>
      <c r="BY368" s="50" t="str">
        <f t="shared" si="153"/>
        <v>MCBRIDE CREEK_Steelhead</v>
      </c>
      <c r="BZ368" s="50" t="str">
        <f>IFERROR(VLOOKUP(BY368,'[1]WCVI Esc'!$C$5:$W$555,18,FALSE),"-")</f>
        <v>-</v>
      </c>
      <c r="CA368" s="50" t="str">
        <f t="shared" si="154"/>
        <v>-</v>
      </c>
      <c r="CB368" s="50" t="str">
        <f>IFERROR(VLOOKUP(BY368,'[1]WCVI Esc'!$C$5:$W$555,19,FALSE),"-")</f>
        <v>-</v>
      </c>
      <c r="CC368" s="50" t="str">
        <f t="shared" si="155"/>
        <v>-</v>
      </c>
      <c r="CE368" s="342" t="str">
        <f t="shared" si="164"/>
        <v>MCBRIDE CREEK_Steelhead</v>
      </c>
      <c r="CF368" s="341" t="str">
        <f>IFERROR(VLOOKUP(BY368,'RawPL+D'!$O$8:$AB$503,12,FALSE),"-")</f>
        <v>-</v>
      </c>
      <c r="CG368" s="338" t="str">
        <f t="shared" si="157"/>
        <v>-</v>
      </c>
      <c r="CH368" s="341" t="str">
        <f>IFERROR(VLOOKUP(BY368,'RawPL+D'!$O$8:$AB$503,13,FALSE),"-")</f>
        <v>-</v>
      </c>
      <c r="CI368" s="338" t="str">
        <f t="shared" si="158"/>
        <v>-</v>
      </c>
    </row>
    <row r="369" spans="1:87" ht="12.75" hidden="1" customHeight="1" x14ac:dyDescent="0.2">
      <c r="A369" s="28">
        <v>4</v>
      </c>
      <c r="B369" s="28">
        <v>1</v>
      </c>
      <c r="C369" s="11">
        <v>23</v>
      </c>
      <c r="D369" s="148" t="s">
        <v>320</v>
      </c>
      <c r="E369" s="10" t="s">
        <v>106</v>
      </c>
      <c r="F369" s="10" t="s">
        <v>207</v>
      </c>
      <c r="G369" s="10"/>
      <c r="H369" s="10"/>
      <c r="I369" s="10"/>
      <c r="J369" s="10"/>
      <c r="K369" s="575"/>
      <c r="L369" s="152"/>
      <c r="M369" s="164"/>
      <c r="N369" s="62"/>
      <c r="O369" s="62"/>
      <c r="P369" s="177"/>
      <c r="Q369" s="171"/>
      <c r="R369" s="62"/>
      <c r="S369" s="62"/>
      <c r="T369" s="62"/>
      <c r="U369" s="64"/>
      <c r="V369" s="164"/>
      <c r="W369" s="62"/>
      <c r="X369" s="62"/>
      <c r="Y369" s="62"/>
      <c r="Z369" s="64"/>
      <c r="AA369" s="164"/>
      <c r="AB369" s="62"/>
      <c r="AC369" s="62"/>
      <c r="AD369" s="64"/>
      <c r="AE369" s="164"/>
      <c r="AF369" s="62"/>
      <c r="AG369" s="62"/>
      <c r="AH369" s="337"/>
      <c r="AI369" s="337"/>
      <c r="AJ369" s="337"/>
      <c r="AK369" s="337"/>
      <c r="AL369" s="414"/>
      <c r="AM369" s="414"/>
      <c r="AN369" s="45"/>
      <c r="AO369" s="45"/>
      <c r="AP369" s="45"/>
      <c r="AQ369" s="485"/>
      <c r="AR369" s="100"/>
      <c r="AS369" s="485"/>
      <c r="AT369" s="24"/>
      <c r="AU369" s="24"/>
      <c r="AV369" s="24"/>
      <c r="AW369" s="18">
        <v>23</v>
      </c>
      <c r="AX369" s="69" t="s">
        <v>320</v>
      </c>
      <c r="AY369" s="243" t="s">
        <v>106</v>
      </c>
      <c r="AZ369" s="243" t="str">
        <f t="shared" si="140"/>
        <v>Sockeye</v>
      </c>
      <c r="BA369" s="243" t="s">
        <v>419</v>
      </c>
      <c r="BB369" s="246"/>
      <c r="BC369" s="43" t="str">
        <f t="shared" si="141"/>
        <v>-</v>
      </c>
      <c r="BD369" s="43">
        <f t="shared" si="161"/>
        <v>0</v>
      </c>
      <c r="BE369" s="193">
        <f t="shared" si="159"/>
        <v>0</v>
      </c>
      <c r="BF369" s="193">
        <f t="shared" si="142"/>
        <v>0</v>
      </c>
      <c r="BG369" s="193">
        <f t="shared" si="143"/>
        <v>0</v>
      </c>
      <c r="BH369" s="307" t="str">
        <f t="shared" si="160"/>
        <v>-</v>
      </c>
      <c r="BI369" s="265" t="str">
        <f t="shared" si="162"/>
        <v>-</v>
      </c>
      <c r="BJ369" s="26" t="str">
        <f t="shared" si="144"/>
        <v>TAYLOR RIVERSockeye</v>
      </c>
      <c r="BK369" s="26">
        <f t="shared" si="145"/>
        <v>0</v>
      </c>
      <c r="BL369" s="33">
        <f t="shared" si="163"/>
        <v>0</v>
      </c>
      <c r="BQ369" s="47" t="str">
        <f t="shared" si="146"/>
        <v>TAYLOR RIVERSockeye</v>
      </c>
      <c r="BR369" s="49">
        <f t="shared" si="147"/>
        <v>0</v>
      </c>
      <c r="BS369" s="49">
        <f t="shared" si="148"/>
        <v>0</v>
      </c>
      <c r="BT369" s="31">
        <v>0</v>
      </c>
      <c r="BU369" s="188">
        <f t="shared" si="149"/>
        <v>0</v>
      </c>
      <c r="BV369" s="188" t="str">
        <f t="shared" si="150"/>
        <v xml:space="preserve"> </v>
      </c>
      <c r="BW369" s="188" t="str">
        <f t="shared" si="151"/>
        <v xml:space="preserve"> </v>
      </c>
      <c r="BX369" s="188" t="str">
        <f t="shared" si="152"/>
        <v xml:space="preserve"> </v>
      </c>
      <c r="BY369" s="50" t="str">
        <f t="shared" si="153"/>
        <v>TAYLOR RIVER_Sockeye</v>
      </c>
      <c r="BZ369" s="50" t="str">
        <f>IFERROR(VLOOKUP(BY369,'[1]WCVI Esc'!$C$5:$W$555,18,FALSE),"-")</f>
        <v>-</v>
      </c>
      <c r="CA369" s="50" t="str">
        <f t="shared" si="154"/>
        <v>-</v>
      </c>
      <c r="CB369" s="50" t="str">
        <f>IFERROR(VLOOKUP(BY369,'[1]WCVI Esc'!$C$5:$W$555,19,FALSE),"-")</f>
        <v>-</v>
      </c>
      <c r="CC369" s="50" t="str">
        <f t="shared" si="155"/>
        <v>-</v>
      </c>
      <c r="CE369" s="342" t="str">
        <f t="shared" si="164"/>
        <v>TAYLOR RIVER_Sockeye</v>
      </c>
      <c r="CF369" s="341" t="str">
        <f>IFERROR(VLOOKUP(BY369,'RawPL+D'!$O$8:$AB$503,12,FALSE),"-")</f>
        <v>-</v>
      </c>
      <c r="CG369" s="338" t="str">
        <f t="shared" si="157"/>
        <v>-</v>
      </c>
      <c r="CH369" s="341" t="str">
        <f>IFERROR(VLOOKUP(BY369,'RawPL+D'!$O$8:$AB$503,13,FALSE),"-")</f>
        <v>-</v>
      </c>
      <c r="CI369" s="338" t="str">
        <f t="shared" si="158"/>
        <v>-</v>
      </c>
    </row>
    <row r="370" spans="1:87" ht="12.75" hidden="1" customHeight="1" x14ac:dyDescent="0.2">
      <c r="A370" s="28">
        <v>4</v>
      </c>
      <c r="B370" s="28">
        <v>2</v>
      </c>
      <c r="C370" s="11">
        <v>23</v>
      </c>
      <c r="D370" s="148" t="s">
        <v>320</v>
      </c>
      <c r="E370" s="10" t="s">
        <v>106</v>
      </c>
      <c r="F370" s="10" t="s">
        <v>219</v>
      </c>
      <c r="G370" s="10"/>
      <c r="H370" s="10"/>
      <c r="I370" s="10"/>
      <c r="J370" s="10"/>
      <c r="K370" s="575"/>
      <c r="L370" s="152"/>
      <c r="M370" s="164"/>
      <c r="N370" s="62"/>
      <c r="O370" s="62"/>
      <c r="P370" s="177"/>
      <c r="Q370" s="171"/>
      <c r="R370" s="62"/>
      <c r="S370" s="62"/>
      <c r="T370" s="62"/>
      <c r="U370" s="64"/>
      <c r="V370" s="164"/>
      <c r="W370" s="62"/>
      <c r="X370" s="62"/>
      <c r="Y370" s="62"/>
      <c r="Z370" s="64"/>
      <c r="AA370" s="164"/>
      <c r="AB370" s="62"/>
      <c r="AC370" s="62"/>
      <c r="AD370" s="64"/>
      <c r="AE370" s="164"/>
      <c r="AF370" s="62"/>
      <c r="AG370" s="62"/>
      <c r="AH370" s="337"/>
      <c r="AI370" s="337"/>
      <c r="AJ370" s="337"/>
      <c r="AK370" s="337"/>
      <c r="AL370" s="414"/>
      <c r="AM370" s="414"/>
      <c r="AN370" s="45"/>
      <c r="AO370" s="45"/>
      <c r="AP370" s="45"/>
      <c r="AQ370" s="485"/>
      <c r="AR370" s="100"/>
      <c r="AS370" s="485"/>
      <c r="AT370" s="24"/>
      <c r="AU370" s="24"/>
      <c r="AV370" s="24"/>
      <c r="AW370" s="18">
        <v>23</v>
      </c>
      <c r="AX370" s="69" t="s">
        <v>320</v>
      </c>
      <c r="AY370" s="243" t="s">
        <v>106</v>
      </c>
      <c r="AZ370" s="243" t="str">
        <f t="shared" si="140"/>
        <v>Coho</v>
      </c>
      <c r="BA370" s="243" t="s">
        <v>419</v>
      </c>
      <c r="BB370" s="246"/>
      <c r="BC370" s="43" t="str">
        <f t="shared" si="141"/>
        <v>-</v>
      </c>
      <c r="BD370" s="43">
        <f t="shared" si="161"/>
        <v>0</v>
      </c>
      <c r="BE370" s="193">
        <f t="shared" si="159"/>
        <v>0</v>
      </c>
      <c r="BF370" s="193">
        <f t="shared" si="142"/>
        <v>0</v>
      </c>
      <c r="BG370" s="193">
        <f t="shared" si="143"/>
        <v>0</v>
      </c>
      <c r="BH370" s="307" t="str">
        <f t="shared" si="160"/>
        <v>-</v>
      </c>
      <c r="BI370" s="265" t="str">
        <f t="shared" si="162"/>
        <v>-</v>
      </c>
      <c r="BJ370" s="26" t="str">
        <f t="shared" si="144"/>
        <v>TAYLOR RIVERCoho</v>
      </c>
      <c r="BK370" s="26">
        <f t="shared" si="145"/>
        <v>0</v>
      </c>
      <c r="BL370" s="33">
        <f t="shared" si="163"/>
        <v>0</v>
      </c>
      <c r="BQ370" s="47" t="str">
        <f t="shared" si="146"/>
        <v>TAYLOR RIVERCoho</v>
      </c>
      <c r="BR370" s="49">
        <f t="shared" si="147"/>
        <v>0</v>
      </c>
      <c r="BS370" s="49">
        <f t="shared" si="148"/>
        <v>0</v>
      </c>
      <c r="BT370" s="31">
        <v>0</v>
      </c>
      <c r="BU370" s="188">
        <f t="shared" si="149"/>
        <v>0</v>
      </c>
      <c r="BV370" s="188" t="str">
        <f t="shared" si="150"/>
        <v xml:space="preserve"> </v>
      </c>
      <c r="BW370" s="188" t="str">
        <f t="shared" si="151"/>
        <v xml:space="preserve"> </v>
      </c>
      <c r="BX370" s="188" t="str">
        <f t="shared" si="152"/>
        <v xml:space="preserve"> </v>
      </c>
      <c r="BY370" s="50" t="str">
        <f t="shared" si="153"/>
        <v>TAYLOR RIVER_Coho</v>
      </c>
      <c r="BZ370" s="50" t="str">
        <f>IFERROR(VLOOKUP(BY370,'[1]WCVI Esc'!$C$5:$W$555,18,FALSE),"-")</f>
        <v>-</v>
      </c>
      <c r="CA370" s="50" t="str">
        <f t="shared" si="154"/>
        <v>-</v>
      </c>
      <c r="CB370" s="50" t="str">
        <f>IFERROR(VLOOKUP(BY370,'[1]WCVI Esc'!$C$5:$W$555,19,FALSE),"-")</f>
        <v>-</v>
      </c>
      <c r="CC370" s="50" t="str">
        <f t="shared" si="155"/>
        <v>-</v>
      </c>
      <c r="CE370" s="342" t="str">
        <f t="shared" si="164"/>
        <v>TAYLOR RIVER_Coho</v>
      </c>
      <c r="CF370" s="341" t="str">
        <f>IFERROR(VLOOKUP(BY370,'RawPL+D'!$O$8:$AB$503,12,FALSE),"-")</f>
        <v>-</v>
      </c>
      <c r="CG370" s="338" t="str">
        <f t="shared" si="157"/>
        <v>-</v>
      </c>
      <c r="CH370" s="341" t="str">
        <f>IFERROR(VLOOKUP(BY370,'RawPL+D'!$O$8:$AB$503,13,FALSE),"-")</f>
        <v>-</v>
      </c>
      <c r="CI370" s="338" t="str">
        <f t="shared" si="158"/>
        <v>-</v>
      </c>
    </row>
    <row r="371" spans="1:87" ht="12.75" hidden="1" customHeight="1" x14ac:dyDescent="0.2">
      <c r="A371" s="28">
        <v>4</v>
      </c>
      <c r="B371" s="28">
        <v>3</v>
      </c>
      <c r="C371" s="11">
        <v>23</v>
      </c>
      <c r="D371" s="148" t="s">
        <v>320</v>
      </c>
      <c r="E371" s="10" t="s">
        <v>106</v>
      </c>
      <c r="F371" s="10" t="s">
        <v>208</v>
      </c>
      <c r="G371" s="10"/>
      <c r="H371" s="10"/>
      <c r="I371" s="10"/>
      <c r="J371" s="10"/>
      <c r="K371" s="575"/>
      <c r="L371" s="152"/>
      <c r="M371" s="164"/>
      <c r="N371" s="62"/>
      <c r="O371" s="62"/>
      <c r="P371" s="177"/>
      <c r="Q371" s="171"/>
      <c r="R371" s="62"/>
      <c r="S371" s="62"/>
      <c r="T371" s="62"/>
      <c r="U371" s="64"/>
      <c r="V371" s="164"/>
      <c r="W371" s="62"/>
      <c r="X371" s="62"/>
      <c r="Y371" s="62"/>
      <c r="Z371" s="64"/>
      <c r="AA371" s="164"/>
      <c r="AB371" s="62"/>
      <c r="AC371" s="62"/>
      <c r="AD371" s="64"/>
      <c r="AE371" s="164"/>
      <c r="AF371" s="62"/>
      <c r="AG371" s="62"/>
      <c r="AH371" s="337"/>
      <c r="AI371" s="337"/>
      <c r="AJ371" s="337"/>
      <c r="AK371" s="337"/>
      <c r="AL371" s="414"/>
      <c r="AM371" s="414"/>
      <c r="AN371" s="45"/>
      <c r="AO371" s="45"/>
      <c r="AP371" s="45"/>
      <c r="AQ371" s="485"/>
      <c r="AR371" s="100"/>
      <c r="AS371" s="485"/>
      <c r="AT371" s="24"/>
      <c r="AU371" s="24"/>
      <c r="AV371" s="24"/>
      <c r="AW371" s="18">
        <v>23</v>
      </c>
      <c r="AX371" s="69" t="s">
        <v>320</v>
      </c>
      <c r="AY371" s="243" t="s">
        <v>106</v>
      </c>
      <c r="AZ371" s="243" t="str">
        <f t="shared" si="140"/>
        <v>Pink</v>
      </c>
      <c r="BA371" s="243" t="s">
        <v>419</v>
      </c>
      <c r="BB371" s="246"/>
      <c r="BC371" s="43" t="str">
        <f t="shared" si="141"/>
        <v>-</v>
      </c>
      <c r="BD371" s="43">
        <f t="shared" si="161"/>
        <v>0</v>
      </c>
      <c r="BE371" s="193">
        <f t="shared" si="159"/>
        <v>0</v>
      </c>
      <c r="BF371" s="193">
        <f t="shared" si="142"/>
        <v>0</v>
      </c>
      <c r="BG371" s="193">
        <f t="shared" si="143"/>
        <v>0</v>
      </c>
      <c r="BH371" s="307" t="str">
        <f t="shared" si="160"/>
        <v>-</v>
      </c>
      <c r="BI371" s="265" t="str">
        <f t="shared" si="162"/>
        <v>-</v>
      </c>
      <c r="BJ371" s="26" t="str">
        <f t="shared" si="144"/>
        <v>TAYLOR RIVERPink</v>
      </c>
      <c r="BK371" s="26">
        <f t="shared" si="145"/>
        <v>0</v>
      </c>
      <c r="BL371" s="33">
        <f t="shared" si="163"/>
        <v>0</v>
      </c>
      <c r="BQ371" s="47" t="str">
        <f t="shared" si="146"/>
        <v>TAYLOR RIVERPink</v>
      </c>
      <c r="BR371" s="49">
        <f t="shared" si="147"/>
        <v>0</v>
      </c>
      <c r="BS371" s="49">
        <f t="shared" si="148"/>
        <v>0</v>
      </c>
      <c r="BT371" s="31">
        <v>0</v>
      </c>
      <c r="BU371" s="188">
        <f t="shared" si="149"/>
        <v>0</v>
      </c>
      <c r="BV371" s="188" t="str">
        <f t="shared" si="150"/>
        <v xml:space="preserve"> </v>
      </c>
      <c r="BW371" s="188" t="str">
        <f t="shared" si="151"/>
        <v xml:space="preserve"> </v>
      </c>
      <c r="BX371" s="188" t="str">
        <f t="shared" si="152"/>
        <v xml:space="preserve"> </v>
      </c>
      <c r="BY371" s="50" t="str">
        <f t="shared" si="153"/>
        <v>TAYLOR RIVER_Pink</v>
      </c>
      <c r="BZ371" s="50" t="str">
        <f>IFERROR(VLOOKUP(BY371,'[1]WCVI Esc'!$C$5:$W$555,18,FALSE),"-")</f>
        <v>-</v>
      </c>
      <c r="CA371" s="50" t="str">
        <f t="shared" si="154"/>
        <v>-</v>
      </c>
      <c r="CB371" s="50" t="str">
        <f>IFERROR(VLOOKUP(BY371,'[1]WCVI Esc'!$C$5:$W$555,19,FALSE),"-")</f>
        <v>-</v>
      </c>
      <c r="CC371" s="50" t="str">
        <f t="shared" si="155"/>
        <v>-</v>
      </c>
      <c r="CE371" s="342" t="str">
        <f t="shared" si="164"/>
        <v>TAYLOR RIVER_Pink</v>
      </c>
      <c r="CF371" s="341" t="str">
        <f>IFERROR(VLOOKUP(BY371,'RawPL+D'!$O$8:$AB$503,12,FALSE),"-")</f>
        <v>-</v>
      </c>
      <c r="CG371" s="338" t="str">
        <f t="shared" si="157"/>
        <v>-</v>
      </c>
      <c r="CH371" s="341" t="str">
        <f>IFERROR(VLOOKUP(BY371,'RawPL+D'!$O$8:$AB$503,13,FALSE),"-")</f>
        <v>-</v>
      </c>
      <c r="CI371" s="338" t="str">
        <f t="shared" si="158"/>
        <v>-</v>
      </c>
    </row>
    <row r="372" spans="1:87" ht="12.75" hidden="1" customHeight="1" x14ac:dyDescent="0.2">
      <c r="A372" s="28">
        <v>4</v>
      </c>
      <c r="B372" s="28">
        <v>4</v>
      </c>
      <c r="C372" s="11">
        <v>23</v>
      </c>
      <c r="D372" s="148" t="s">
        <v>320</v>
      </c>
      <c r="E372" s="10" t="s">
        <v>106</v>
      </c>
      <c r="F372" s="10" t="s">
        <v>209</v>
      </c>
      <c r="G372" s="10"/>
      <c r="H372" s="10"/>
      <c r="I372" s="10"/>
      <c r="J372" s="10"/>
      <c r="K372" s="575"/>
      <c r="L372" s="152"/>
      <c r="M372" s="164"/>
      <c r="N372" s="62"/>
      <c r="O372" s="62"/>
      <c r="P372" s="177"/>
      <c r="Q372" s="171"/>
      <c r="R372" s="62"/>
      <c r="S372" s="62"/>
      <c r="T372" s="62"/>
      <c r="U372" s="64"/>
      <c r="V372" s="164"/>
      <c r="W372" s="62"/>
      <c r="X372" s="62"/>
      <c r="Y372" s="62"/>
      <c r="Z372" s="64"/>
      <c r="AA372" s="164"/>
      <c r="AB372" s="62"/>
      <c r="AC372" s="62"/>
      <c r="AD372" s="64"/>
      <c r="AE372" s="164"/>
      <c r="AF372" s="62"/>
      <c r="AG372" s="62"/>
      <c r="AH372" s="337"/>
      <c r="AI372" s="337"/>
      <c r="AJ372" s="337"/>
      <c r="AK372" s="337"/>
      <c r="AL372" s="414"/>
      <c r="AM372" s="414"/>
      <c r="AN372" s="45"/>
      <c r="AO372" s="45"/>
      <c r="AP372" s="45"/>
      <c r="AQ372" s="485"/>
      <c r="AR372" s="100"/>
      <c r="AS372" s="485"/>
      <c r="AT372" s="24"/>
      <c r="AU372" s="24"/>
      <c r="AV372" s="24"/>
      <c r="AW372" s="18">
        <v>23</v>
      </c>
      <c r="AX372" s="69" t="s">
        <v>320</v>
      </c>
      <c r="AY372" s="243" t="s">
        <v>106</v>
      </c>
      <c r="AZ372" s="243" t="str">
        <f t="shared" si="140"/>
        <v>Chum</v>
      </c>
      <c r="BA372" s="243" t="s">
        <v>419</v>
      </c>
      <c r="BB372" s="246"/>
      <c r="BC372" s="43" t="str">
        <f t="shared" si="141"/>
        <v>-</v>
      </c>
      <c r="BD372" s="43">
        <f t="shared" si="161"/>
        <v>0</v>
      </c>
      <c r="BE372" s="193">
        <f t="shared" si="159"/>
        <v>0</v>
      </c>
      <c r="BF372" s="193">
        <f t="shared" si="142"/>
        <v>0</v>
      </c>
      <c r="BG372" s="193">
        <f t="shared" si="143"/>
        <v>0</v>
      </c>
      <c r="BH372" s="307" t="str">
        <f t="shared" si="160"/>
        <v>-</v>
      </c>
      <c r="BI372" s="265" t="str">
        <f t="shared" si="162"/>
        <v>-</v>
      </c>
      <c r="BJ372" s="26" t="str">
        <f t="shared" si="144"/>
        <v>TAYLOR RIVERChum</v>
      </c>
      <c r="BK372" s="26">
        <f t="shared" si="145"/>
        <v>0</v>
      </c>
      <c r="BL372" s="33">
        <f t="shared" si="163"/>
        <v>0</v>
      </c>
      <c r="BQ372" s="47" t="str">
        <f t="shared" si="146"/>
        <v>TAYLOR RIVERChum</v>
      </c>
      <c r="BR372" s="49">
        <f t="shared" si="147"/>
        <v>0</v>
      </c>
      <c r="BS372" s="49">
        <f t="shared" si="148"/>
        <v>0</v>
      </c>
      <c r="BT372" s="31">
        <v>0</v>
      </c>
      <c r="BU372" s="188">
        <f t="shared" si="149"/>
        <v>0</v>
      </c>
      <c r="BV372" s="188" t="str">
        <f t="shared" si="150"/>
        <v xml:space="preserve"> </v>
      </c>
      <c r="BW372" s="188" t="str">
        <f t="shared" si="151"/>
        <v xml:space="preserve"> </v>
      </c>
      <c r="BX372" s="188" t="str">
        <f t="shared" si="152"/>
        <v xml:space="preserve"> </v>
      </c>
      <c r="BY372" s="50" t="str">
        <f t="shared" si="153"/>
        <v>TAYLOR RIVER_Chum</v>
      </c>
      <c r="BZ372" s="50" t="str">
        <f>IFERROR(VLOOKUP(BY372,'[1]WCVI Esc'!$C$5:$W$555,18,FALSE),"-")</f>
        <v>-</v>
      </c>
      <c r="CA372" s="50" t="str">
        <f t="shared" si="154"/>
        <v>-</v>
      </c>
      <c r="CB372" s="50" t="str">
        <f>IFERROR(VLOOKUP(BY372,'[1]WCVI Esc'!$C$5:$W$555,19,FALSE),"-")</f>
        <v>-</v>
      </c>
      <c r="CC372" s="50" t="str">
        <f t="shared" si="155"/>
        <v>-</v>
      </c>
      <c r="CE372" s="342" t="str">
        <f t="shared" si="164"/>
        <v>TAYLOR RIVER_Chum</v>
      </c>
      <c r="CF372" s="341" t="str">
        <f>IFERROR(VLOOKUP(BY372,'RawPL+D'!$O$8:$AB$503,12,FALSE),"-")</f>
        <v>-</v>
      </c>
      <c r="CG372" s="338" t="str">
        <f t="shared" si="157"/>
        <v>-</v>
      </c>
      <c r="CH372" s="341" t="str">
        <f>IFERROR(VLOOKUP(BY372,'RawPL+D'!$O$8:$AB$503,13,FALSE),"-")</f>
        <v>-</v>
      </c>
      <c r="CI372" s="338" t="str">
        <f t="shared" si="158"/>
        <v>-</v>
      </c>
    </row>
    <row r="373" spans="1:87" ht="12.75" hidden="1" customHeight="1" x14ac:dyDescent="0.2">
      <c r="A373" s="28">
        <v>4</v>
      </c>
      <c r="B373" s="28">
        <v>5</v>
      </c>
      <c r="C373" s="11">
        <v>23</v>
      </c>
      <c r="D373" s="148" t="s">
        <v>320</v>
      </c>
      <c r="E373" s="10" t="s">
        <v>106</v>
      </c>
      <c r="F373" s="10" t="s">
        <v>210</v>
      </c>
      <c r="G373" s="10"/>
      <c r="H373" s="10"/>
      <c r="I373" s="10"/>
      <c r="J373" s="10"/>
      <c r="K373" s="575"/>
      <c r="L373" s="152"/>
      <c r="M373" s="164"/>
      <c r="N373" s="62"/>
      <c r="O373" s="62"/>
      <c r="P373" s="177"/>
      <c r="Q373" s="171"/>
      <c r="R373" s="62"/>
      <c r="S373" s="62"/>
      <c r="T373" s="62"/>
      <c r="U373" s="64"/>
      <c r="V373" s="164"/>
      <c r="W373" s="62"/>
      <c r="X373" s="62"/>
      <c r="Y373" s="62"/>
      <c r="Z373" s="64"/>
      <c r="AA373" s="164"/>
      <c r="AB373" s="62"/>
      <c r="AC373" s="62"/>
      <c r="AD373" s="64"/>
      <c r="AE373" s="164"/>
      <c r="AF373" s="62"/>
      <c r="AG373" s="62"/>
      <c r="AH373" s="337"/>
      <c r="AI373" s="337"/>
      <c r="AJ373" s="337"/>
      <c r="AK373" s="337"/>
      <c r="AL373" s="414"/>
      <c r="AM373" s="414"/>
      <c r="AN373" s="45"/>
      <c r="AO373" s="45"/>
      <c r="AP373" s="45"/>
      <c r="AQ373" s="485"/>
      <c r="AR373"/>
      <c r="AS373" s="485"/>
      <c r="AT373" s="24"/>
      <c r="AU373" s="24"/>
      <c r="AV373" s="24"/>
      <c r="AW373" s="18">
        <v>23</v>
      </c>
      <c r="AX373" s="69" t="s">
        <v>320</v>
      </c>
      <c r="AY373" s="243" t="s">
        <v>106</v>
      </c>
      <c r="AZ373" s="243" t="str">
        <f t="shared" si="140"/>
        <v>Chinook</v>
      </c>
      <c r="BA373" s="243" t="s">
        <v>419</v>
      </c>
      <c r="BB373" s="246"/>
      <c r="BC373" s="43" t="str">
        <f t="shared" si="141"/>
        <v>-</v>
      </c>
      <c r="BD373" s="43">
        <f t="shared" si="161"/>
        <v>0</v>
      </c>
      <c r="BE373" s="193">
        <f t="shared" si="159"/>
        <v>0</v>
      </c>
      <c r="BF373" s="193">
        <f t="shared" si="142"/>
        <v>0</v>
      </c>
      <c r="BG373" s="193">
        <f t="shared" si="143"/>
        <v>0</v>
      </c>
      <c r="BH373" s="307" t="str">
        <f t="shared" si="160"/>
        <v>-</v>
      </c>
      <c r="BI373" s="265" t="str">
        <f t="shared" si="162"/>
        <v>-</v>
      </c>
      <c r="BJ373" s="26" t="str">
        <f t="shared" si="144"/>
        <v>TAYLOR RIVERChinook</v>
      </c>
      <c r="BK373" s="26">
        <f t="shared" si="145"/>
        <v>0</v>
      </c>
      <c r="BL373" s="33">
        <f t="shared" si="163"/>
        <v>0</v>
      </c>
      <c r="BQ373" s="47" t="str">
        <f t="shared" si="146"/>
        <v>TAYLOR RIVERChinook</v>
      </c>
      <c r="BR373" s="49">
        <f t="shared" si="147"/>
        <v>0</v>
      </c>
      <c r="BS373" s="49">
        <f t="shared" si="148"/>
        <v>0</v>
      </c>
      <c r="BT373" s="31">
        <v>0</v>
      </c>
      <c r="BU373" s="188">
        <f t="shared" si="149"/>
        <v>0</v>
      </c>
      <c r="BV373" s="188" t="str">
        <f t="shared" si="150"/>
        <v xml:space="preserve"> </v>
      </c>
      <c r="BW373" s="188" t="str">
        <f t="shared" si="151"/>
        <v xml:space="preserve"> </v>
      </c>
      <c r="BX373" s="188" t="str">
        <f t="shared" si="152"/>
        <v xml:space="preserve"> </v>
      </c>
      <c r="BY373" s="50" t="str">
        <f t="shared" si="153"/>
        <v>TAYLOR RIVER_Chinook</v>
      </c>
      <c r="BZ373" s="50" t="str">
        <f>IFERROR(VLOOKUP(BY373,'[1]WCVI Esc'!$C$5:$W$555,18,FALSE),"-")</f>
        <v>-</v>
      </c>
      <c r="CA373" s="50" t="str">
        <f t="shared" si="154"/>
        <v>-</v>
      </c>
      <c r="CB373" s="50" t="str">
        <f>IFERROR(VLOOKUP(BY373,'[1]WCVI Esc'!$C$5:$W$555,19,FALSE),"-")</f>
        <v>-</v>
      </c>
      <c r="CC373" s="50" t="str">
        <f t="shared" si="155"/>
        <v>-</v>
      </c>
      <c r="CE373" s="342" t="str">
        <f t="shared" si="164"/>
        <v>TAYLOR RIVER_Chinook</v>
      </c>
      <c r="CF373" s="341" t="str">
        <f>IFERROR(VLOOKUP(BY373,'RawPL+D'!$O$8:$AB$503,12,FALSE),"-")</f>
        <v>-</v>
      </c>
      <c r="CG373" s="338" t="str">
        <f t="shared" si="157"/>
        <v>-</v>
      </c>
      <c r="CH373" s="341" t="str">
        <f>IFERROR(VLOOKUP(BY373,'RawPL+D'!$O$8:$AB$503,13,FALSE),"-")</f>
        <v>-</v>
      </c>
      <c r="CI373" s="338" t="str">
        <f t="shared" si="158"/>
        <v>-</v>
      </c>
    </row>
    <row r="374" spans="1:87" ht="12.75" hidden="1" customHeight="1" x14ac:dyDescent="0.2">
      <c r="A374" s="28">
        <v>4</v>
      </c>
      <c r="B374" s="28">
        <v>6</v>
      </c>
      <c r="C374" s="11">
        <v>23</v>
      </c>
      <c r="D374" s="148" t="s">
        <v>320</v>
      </c>
      <c r="E374" s="10" t="s">
        <v>106</v>
      </c>
      <c r="F374" s="10" t="s">
        <v>211</v>
      </c>
      <c r="G374" s="10"/>
      <c r="H374" s="10"/>
      <c r="I374" s="10"/>
      <c r="J374" s="10"/>
      <c r="K374" s="575"/>
      <c r="L374" s="152"/>
      <c r="M374" s="164"/>
      <c r="N374" s="62"/>
      <c r="O374" s="62"/>
      <c r="P374" s="177"/>
      <c r="Q374" s="171"/>
      <c r="R374" s="62"/>
      <c r="S374" s="62"/>
      <c r="T374" s="62"/>
      <c r="U374" s="64"/>
      <c r="V374" s="164"/>
      <c r="W374" s="62"/>
      <c r="X374" s="62"/>
      <c r="Y374" s="62"/>
      <c r="Z374" s="64"/>
      <c r="AA374" s="164"/>
      <c r="AB374" s="62"/>
      <c r="AC374" s="62"/>
      <c r="AD374" s="64"/>
      <c r="AE374" s="164"/>
      <c r="AF374" s="62"/>
      <c r="AG374" s="62"/>
      <c r="AH374" s="337"/>
      <c r="AI374" s="337"/>
      <c r="AJ374" s="337"/>
      <c r="AK374" s="337"/>
      <c r="AL374" s="414"/>
      <c r="AM374" s="414"/>
      <c r="AN374" s="45"/>
      <c r="AO374" s="45"/>
      <c r="AP374" s="45"/>
      <c r="AQ374" s="485"/>
      <c r="AR374" s="100"/>
      <c r="AS374" s="485"/>
      <c r="AT374" s="24"/>
      <c r="AU374" s="24"/>
      <c r="AV374" s="24"/>
      <c r="AW374" s="18">
        <v>23</v>
      </c>
      <c r="AX374" s="69" t="s">
        <v>320</v>
      </c>
      <c r="AY374" s="243" t="s">
        <v>106</v>
      </c>
      <c r="AZ374" s="243" t="str">
        <f t="shared" si="140"/>
        <v>Steelhead</v>
      </c>
      <c r="BA374" s="243" t="s">
        <v>419</v>
      </c>
      <c r="BB374" s="246"/>
      <c r="BC374" s="43" t="str">
        <f t="shared" si="141"/>
        <v>-</v>
      </c>
      <c r="BD374" s="43">
        <f t="shared" si="161"/>
        <v>0</v>
      </c>
      <c r="BE374" s="193">
        <f t="shared" si="159"/>
        <v>0</v>
      </c>
      <c r="BF374" s="193">
        <f t="shared" si="142"/>
        <v>0</v>
      </c>
      <c r="BG374" s="193">
        <f t="shared" si="143"/>
        <v>0</v>
      </c>
      <c r="BH374" s="307" t="str">
        <f t="shared" si="160"/>
        <v>-</v>
      </c>
      <c r="BI374" s="265" t="str">
        <f t="shared" si="162"/>
        <v>-</v>
      </c>
      <c r="BJ374" s="26" t="str">
        <f t="shared" si="144"/>
        <v>TAYLOR RIVERSteelhead</v>
      </c>
      <c r="BK374" s="26">
        <f t="shared" si="145"/>
        <v>0</v>
      </c>
      <c r="BL374" s="33">
        <f t="shared" si="163"/>
        <v>0</v>
      </c>
      <c r="BQ374" s="47" t="str">
        <f t="shared" si="146"/>
        <v>TAYLOR RIVERSteelhead</v>
      </c>
      <c r="BR374" s="49">
        <f t="shared" si="147"/>
        <v>0</v>
      </c>
      <c r="BS374" s="49">
        <f t="shared" si="148"/>
        <v>0</v>
      </c>
      <c r="BT374" s="31">
        <v>0</v>
      </c>
      <c r="BU374" s="188">
        <f t="shared" si="149"/>
        <v>0</v>
      </c>
      <c r="BV374" s="188" t="str">
        <f t="shared" si="150"/>
        <v xml:space="preserve"> </v>
      </c>
      <c r="BW374" s="188" t="str">
        <f t="shared" si="151"/>
        <v xml:space="preserve"> </v>
      </c>
      <c r="BX374" s="188" t="str">
        <f t="shared" si="152"/>
        <v xml:space="preserve"> </v>
      </c>
      <c r="BY374" s="50" t="str">
        <f t="shared" si="153"/>
        <v>TAYLOR RIVER_Steelhead</v>
      </c>
      <c r="BZ374" s="50" t="str">
        <f>IFERROR(VLOOKUP(BY374,'[1]WCVI Esc'!$C$5:$W$555,18,FALSE),"-")</f>
        <v>-</v>
      </c>
      <c r="CA374" s="50" t="str">
        <f t="shared" si="154"/>
        <v>-</v>
      </c>
      <c r="CB374" s="50" t="str">
        <f>IFERROR(VLOOKUP(BY374,'[1]WCVI Esc'!$C$5:$W$555,19,FALSE),"-")</f>
        <v>-</v>
      </c>
      <c r="CC374" s="50" t="str">
        <f t="shared" si="155"/>
        <v>-</v>
      </c>
      <c r="CE374" s="342" t="str">
        <f t="shared" si="164"/>
        <v>TAYLOR RIVER_Steelhead</v>
      </c>
      <c r="CF374" s="341" t="str">
        <f>IFERROR(VLOOKUP(BY374,'RawPL+D'!$O$8:$AB$503,12,FALSE),"-")</f>
        <v>-</v>
      </c>
      <c r="CG374" s="338" t="str">
        <f t="shared" si="157"/>
        <v>-</v>
      </c>
      <c r="CH374" s="341" t="str">
        <f>IFERROR(VLOOKUP(BY374,'RawPL+D'!$O$8:$AB$503,13,FALSE),"-")</f>
        <v>-</v>
      </c>
      <c r="CI374" s="338" t="str">
        <f t="shared" si="158"/>
        <v>-</v>
      </c>
    </row>
    <row r="375" spans="1:87" ht="12.75" hidden="1" customHeight="1" x14ac:dyDescent="0.2">
      <c r="A375" s="28">
        <v>3</v>
      </c>
      <c r="B375" s="28">
        <v>1</v>
      </c>
      <c r="C375" s="11">
        <v>23</v>
      </c>
      <c r="D375" s="148" t="s">
        <v>319</v>
      </c>
      <c r="E375" s="10" t="s">
        <v>105</v>
      </c>
      <c r="F375" s="10" t="s">
        <v>207</v>
      </c>
      <c r="G375" s="10"/>
      <c r="H375" s="10"/>
      <c r="I375" s="10"/>
      <c r="J375" s="10"/>
      <c r="K375" s="575"/>
      <c r="L375" s="152"/>
      <c r="M375" s="164"/>
      <c r="N375" s="62"/>
      <c r="O375" s="62"/>
      <c r="P375" s="177"/>
      <c r="Q375" s="171"/>
      <c r="R375" s="62"/>
      <c r="S375" s="444"/>
      <c r="T375" s="62"/>
      <c r="U375" s="632">
        <v>0</v>
      </c>
      <c r="V375" s="169"/>
      <c r="W375" s="62"/>
      <c r="X375" s="62"/>
      <c r="Y375" s="62"/>
      <c r="Z375" s="64"/>
      <c r="AA375" s="164"/>
      <c r="AB375" s="62"/>
      <c r="AC375" s="62"/>
      <c r="AD375" s="64"/>
      <c r="AE375" s="164"/>
      <c r="AF375" s="62"/>
      <c r="AG375" s="62"/>
      <c r="AH375" s="337">
        <v>0</v>
      </c>
      <c r="AI375" s="337">
        <v>0</v>
      </c>
      <c r="AJ375" s="337">
        <v>0</v>
      </c>
      <c r="AK375" s="337">
        <v>0</v>
      </c>
      <c r="AL375" s="552">
        <v>0</v>
      </c>
      <c r="AM375" s="552">
        <v>0</v>
      </c>
      <c r="AN375" s="552" t="s">
        <v>765</v>
      </c>
      <c r="AO375" s="552" t="s">
        <v>772</v>
      </c>
      <c r="AP375" s="44"/>
      <c r="AQ375" s="485"/>
      <c r="AR375" s="124"/>
      <c r="AS375" s="485"/>
      <c r="AT375" s="24"/>
      <c r="AU375" s="24"/>
      <c r="AV375" s="24"/>
      <c r="AW375" s="18">
        <v>23</v>
      </c>
      <c r="AX375" s="69" t="s">
        <v>319</v>
      </c>
      <c r="AY375" s="243" t="s">
        <v>105</v>
      </c>
      <c r="AZ375" s="243" t="str">
        <f t="shared" si="140"/>
        <v>Sockeye</v>
      </c>
      <c r="BA375" s="243" t="s">
        <v>419</v>
      </c>
      <c r="BB375" s="244" t="s">
        <v>374</v>
      </c>
      <c r="BC375" s="43" t="str">
        <f t="shared" si="141"/>
        <v>Oct 29-Nov4</v>
      </c>
      <c r="BD375" s="43">
        <f t="shared" si="161"/>
        <v>1</v>
      </c>
      <c r="BE375" s="193">
        <f t="shared" si="159"/>
        <v>0</v>
      </c>
      <c r="BF375" s="193">
        <f t="shared" si="142"/>
        <v>0</v>
      </c>
      <c r="BG375" s="193">
        <f t="shared" si="143"/>
        <v>0</v>
      </c>
      <c r="BH375" s="307" t="str">
        <f t="shared" ref="BH375:BH410" si="165">CI375</f>
        <v>-</v>
      </c>
      <c r="BI375" s="265"/>
      <c r="BJ375" s="26" t="str">
        <f t="shared" si="144"/>
        <v>SUGSAW CREEKSockeye</v>
      </c>
      <c r="BK375" s="26">
        <f t="shared" si="145"/>
        <v>1</v>
      </c>
      <c r="BL375" s="33">
        <f t="shared" si="163"/>
        <v>0</v>
      </c>
      <c r="BQ375" s="47" t="str">
        <f t="shared" si="146"/>
        <v>SUGSAW CREEKSockeye</v>
      </c>
      <c r="BR375" s="49">
        <f t="shared" si="147"/>
        <v>0</v>
      </c>
      <c r="BS375" s="49">
        <f t="shared" si="148"/>
        <v>0</v>
      </c>
      <c r="BT375" s="31">
        <v>0</v>
      </c>
      <c r="BU375" s="188" t="str">
        <f t="shared" si="149"/>
        <v>HFN</v>
      </c>
      <c r="BV375" s="188" t="str">
        <f t="shared" si="150"/>
        <v xml:space="preserve"> </v>
      </c>
      <c r="BW375" s="188" t="str">
        <f t="shared" si="151"/>
        <v>Oct 29-Nov4</v>
      </c>
      <c r="BX375" s="188" t="str">
        <f t="shared" si="152"/>
        <v xml:space="preserve"> </v>
      </c>
      <c r="BY375" s="50" t="str">
        <f t="shared" si="153"/>
        <v>SUGSAW CREEK_Sockeye</v>
      </c>
      <c r="BZ375" s="50" t="str">
        <f>IFERROR(VLOOKUP(BY375,'[1]WCVI Esc'!$C$5:$W$555,18,FALSE),"-")</f>
        <v>-</v>
      </c>
      <c r="CA375" s="50" t="str">
        <f t="shared" si="154"/>
        <v>-</v>
      </c>
      <c r="CB375" s="50" t="str">
        <f>IFERROR(VLOOKUP(BY375,'[1]WCVI Esc'!$C$5:$W$555,19,FALSE),"-")</f>
        <v>-</v>
      </c>
      <c r="CC375" s="50" t="str">
        <f t="shared" si="155"/>
        <v>-</v>
      </c>
      <c r="CE375" s="342" t="str">
        <f t="shared" si="164"/>
        <v>SUGSAW CREEK_Sockeye</v>
      </c>
      <c r="CF375" s="341" t="str">
        <f>IFERROR(VLOOKUP(BY375,'RawPL+D'!$O$8:$AB$503,12,FALSE),"-")</f>
        <v>-</v>
      </c>
      <c r="CG375" s="338" t="str">
        <f t="shared" si="157"/>
        <v>-</v>
      </c>
      <c r="CH375" s="341" t="str">
        <f>IFERROR(VLOOKUP(BY375,'RawPL+D'!$O$8:$AB$503,13,FALSE),"-")</f>
        <v>-</v>
      </c>
      <c r="CI375" s="338" t="str">
        <f t="shared" si="158"/>
        <v>-</v>
      </c>
    </row>
    <row r="376" spans="1:87" ht="12.75" hidden="1" customHeight="1" x14ac:dyDescent="0.2">
      <c r="A376" s="28">
        <v>3</v>
      </c>
      <c r="B376" s="28">
        <v>2</v>
      </c>
      <c r="C376" s="11">
        <v>23</v>
      </c>
      <c r="D376" s="148" t="s">
        <v>319</v>
      </c>
      <c r="E376" s="10" t="s">
        <v>105</v>
      </c>
      <c r="F376" s="10" t="s">
        <v>219</v>
      </c>
      <c r="G376" s="10"/>
      <c r="H376" s="10"/>
      <c r="I376" s="10"/>
      <c r="J376" s="10"/>
      <c r="K376" s="575"/>
      <c r="L376" s="152"/>
      <c r="M376" s="164"/>
      <c r="N376" s="62"/>
      <c r="O376" s="62"/>
      <c r="P376" s="177"/>
      <c r="Q376" s="171"/>
      <c r="R376" s="62"/>
      <c r="S376" s="444"/>
      <c r="T376" s="62"/>
      <c r="U376" s="632">
        <v>0</v>
      </c>
      <c r="V376" s="169"/>
      <c r="W376" s="62"/>
      <c r="X376" s="62"/>
      <c r="Y376" s="62"/>
      <c r="Z376" s="64"/>
      <c r="AA376" s="164"/>
      <c r="AB376" s="62"/>
      <c r="AC376" s="62"/>
      <c r="AD376" s="64"/>
      <c r="AE376" s="164"/>
      <c r="AF376" s="62"/>
      <c r="AG376" s="62"/>
      <c r="AH376" s="337">
        <v>0</v>
      </c>
      <c r="AI376" s="337">
        <v>0</v>
      </c>
      <c r="AJ376" s="337">
        <v>0</v>
      </c>
      <c r="AK376" s="337">
        <v>0</v>
      </c>
      <c r="AL376" s="552">
        <v>0</v>
      </c>
      <c r="AM376" s="552">
        <v>0</v>
      </c>
      <c r="AN376" s="552" t="s">
        <v>765</v>
      </c>
      <c r="AO376" s="552" t="s">
        <v>772</v>
      </c>
      <c r="AP376" s="44"/>
      <c r="AQ376" s="485"/>
      <c r="AR376" s="100"/>
      <c r="AS376" s="485"/>
      <c r="AT376" s="24"/>
      <c r="AU376" s="24"/>
      <c r="AV376" s="24"/>
      <c r="AW376" s="18">
        <v>23</v>
      </c>
      <c r="AX376" s="69" t="s">
        <v>319</v>
      </c>
      <c r="AY376" s="243" t="s">
        <v>105</v>
      </c>
      <c r="AZ376" s="243" t="str">
        <f t="shared" si="140"/>
        <v>Coho</v>
      </c>
      <c r="BA376" s="243" t="s">
        <v>419</v>
      </c>
      <c r="BB376" s="244" t="s">
        <v>374</v>
      </c>
      <c r="BC376" s="43" t="str">
        <f t="shared" si="141"/>
        <v>Oct 29-Nov4</v>
      </c>
      <c r="BD376" s="43">
        <f t="shared" si="161"/>
        <v>1</v>
      </c>
      <c r="BE376" s="193">
        <f t="shared" si="159"/>
        <v>0</v>
      </c>
      <c r="BF376" s="193">
        <f t="shared" si="142"/>
        <v>0</v>
      </c>
      <c r="BG376" s="193">
        <f t="shared" si="143"/>
        <v>0</v>
      </c>
      <c r="BH376" s="307">
        <f t="shared" si="165"/>
        <v>0</v>
      </c>
      <c r="BI376" s="265" t="str">
        <f>CC376</f>
        <v>-</v>
      </c>
      <c r="BJ376" s="26" t="str">
        <f t="shared" si="144"/>
        <v>SUGSAW CREEKCoho</v>
      </c>
      <c r="BK376" s="26">
        <f t="shared" si="145"/>
        <v>1</v>
      </c>
      <c r="BL376" s="33">
        <f t="shared" si="163"/>
        <v>0</v>
      </c>
      <c r="BQ376" s="47" t="str">
        <f t="shared" si="146"/>
        <v>SUGSAW CREEKCoho</v>
      </c>
      <c r="BR376" s="49">
        <f t="shared" si="147"/>
        <v>0</v>
      </c>
      <c r="BS376" s="49">
        <f t="shared" si="148"/>
        <v>0</v>
      </c>
      <c r="BT376" s="31">
        <v>2001</v>
      </c>
      <c r="BU376" s="188" t="str">
        <f t="shared" si="149"/>
        <v>HFN</v>
      </c>
      <c r="BV376" s="188" t="str">
        <f t="shared" si="150"/>
        <v xml:space="preserve"> </v>
      </c>
      <c r="BW376" s="188" t="str">
        <f t="shared" si="151"/>
        <v>Oct 29-Nov4</v>
      </c>
      <c r="BX376" s="188" t="str">
        <f t="shared" si="152"/>
        <v xml:space="preserve"> </v>
      </c>
      <c r="BY376" s="50" t="str">
        <f t="shared" si="153"/>
        <v>SUGSAW CREEK_Coho</v>
      </c>
      <c r="BZ376" s="50" t="str">
        <f>IFERROR(VLOOKUP(BY376,'[1]WCVI Esc'!$C$5:$W$555,18,FALSE),"-")</f>
        <v>-</v>
      </c>
      <c r="CA376" s="50" t="str">
        <f t="shared" si="154"/>
        <v>-</v>
      </c>
      <c r="CB376" s="50" t="str">
        <f>IFERROR(VLOOKUP(BY376,'[1]WCVI Esc'!$C$5:$W$555,19,FALSE),"-")</f>
        <v>-</v>
      </c>
      <c r="CC376" s="50" t="str">
        <f t="shared" si="155"/>
        <v>-</v>
      </c>
      <c r="CE376" s="342" t="str">
        <f t="shared" si="164"/>
        <v>SUGSAW CREEK_Coho</v>
      </c>
      <c r="CF376" s="341">
        <f>IFERROR(VLOOKUP(BY376,'RawPL+D'!$O$8:$AB$503,12,FALSE),"-")</f>
        <v>0</v>
      </c>
      <c r="CG376" s="338">
        <f t="shared" si="157"/>
        <v>0</v>
      </c>
      <c r="CH376" s="341">
        <f>IFERROR(VLOOKUP(BY376,'RawPL+D'!$O$8:$AB$503,13,FALSE),"-")</f>
        <v>0</v>
      </c>
      <c r="CI376" s="338">
        <f t="shared" si="158"/>
        <v>0</v>
      </c>
    </row>
    <row r="377" spans="1:87" ht="12.75" hidden="1" customHeight="1" x14ac:dyDescent="0.2">
      <c r="A377" s="28">
        <v>3</v>
      </c>
      <c r="B377" s="28">
        <v>3</v>
      </c>
      <c r="C377" s="11">
        <v>23</v>
      </c>
      <c r="D377" s="148" t="s">
        <v>319</v>
      </c>
      <c r="E377" s="10" t="s">
        <v>105</v>
      </c>
      <c r="F377" s="10" t="s">
        <v>208</v>
      </c>
      <c r="G377" s="10"/>
      <c r="H377" s="10"/>
      <c r="I377" s="10"/>
      <c r="J377" s="10"/>
      <c r="K377" s="575"/>
      <c r="L377" s="152"/>
      <c r="M377" s="164"/>
      <c r="N377" s="62"/>
      <c r="O377" s="62"/>
      <c r="P377" s="177"/>
      <c r="Q377" s="171"/>
      <c r="R377" s="62"/>
      <c r="S377" s="444"/>
      <c r="T377" s="62"/>
      <c r="U377" s="632">
        <v>0</v>
      </c>
      <c r="V377" s="169"/>
      <c r="W377" s="62"/>
      <c r="X377" s="62"/>
      <c r="Y377" s="62"/>
      <c r="Z377" s="64"/>
      <c r="AA377" s="164"/>
      <c r="AB377" s="62"/>
      <c r="AC377" s="62"/>
      <c r="AD377" s="64"/>
      <c r="AE377" s="164"/>
      <c r="AF377" s="62"/>
      <c r="AG377" s="62"/>
      <c r="AH377" s="337">
        <v>0</v>
      </c>
      <c r="AI377" s="337">
        <v>0</v>
      </c>
      <c r="AJ377" s="337">
        <v>0</v>
      </c>
      <c r="AK377" s="337">
        <v>0</v>
      </c>
      <c r="AL377" s="552">
        <v>0</v>
      </c>
      <c r="AM377" s="552">
        <v>0</v>
      </c>
      <c r="AN377" s="552" t="s">
        <v>765</v>
      </c>
      <c r="AO377" s="552" t="s">
        <v>772</v>
      </c>
      <c r="AP377" s="44"/>
      <c r="AQ377" s="485"/>
      <c r="AR377" s="100"/>
      <c r="AS377" s="485"/>
      <c r="AT377" s="24"/>
      <c r="AU377" s="24"/>
      <c r="AV377" s="24"/>
      <c r="AW377" s="18">
        <v>23</v>
      </c>
      <c r="AX377" s="69" t="s">
        <v>319</v>
      </c>
      <c r="AY377" s="243" t="s">
        <v>105</v>
      </c>
      <c r="AZ377" s="243" t="str">
        <f t="shared" si="140"/>
        <v>Pink</v>
      </c>
      <c r="BA377" s="243" t="s">
        <v>419</v>
      </c>
      <c r="BB377" s="244" t="s">
        <v>374</v>
      </c>
      <c r="BC377" s="43" t="str">
        <f t="shared" si="141"/>
        <v>Oct 29-Nov4</v>
      </c>
      <c r="BD377" s="43">
        <f t="shared" si="161"/>
        <v>1</v>
      </c>
      <c r="BE377" s="193">
        <f t="shared" si="159"/>
        <v>0</v>
      </c>
      <c r="BF377" s="193">
        <f t="shared" si="142"/>
        <v>0</v>
      </c>
      <c r="BG377" s="193">
        <f t="shared" si="143"/>
        <v>0</v>
      </c>
      <c r="BH377" s="307" t="str">
        <f t="shared" si="165"/>
        <v>-</v>
      </c>
      <c r="BI377" s="265"/>
      <c r="BJ377" s="26" t="str">
        <f t="shared" si="144"/>
        <v>SUGSAW CREEKPink</v>
      </c>
      <c r="BK377" s="26">
        <f t="shared" si="145"/>
        <v>1</v>
      </c>
      <c r="BL377" s="33">
        <f t="shared" si="163"/>
        <v>0</v>
      </c>
      <c r="BQ377" s="47" t="str">
        <f t="shared" si="146"/>
        <v>SUGSAW CREEKPink</v>
      </c>
      <c r="BR377" s="49">
        <f t="shared" si="147"/>
        <v>0</v>
      </c>
      <c r="BS377" s="49">
        <f t="shared" si="148"/>
        <v>0</v>
      </c>
      <c r="BT377" s="31">
        <v>0</v>
      </c>
      <c r="BU377" s="188" t="str">
        <f t="shared" si="149"/>
        <v>HFN</v>
      </c>
      <c r="BV377" s="188" t="str">
        <f t="shared" si="150"/>
        <v xml:space="preserve"> </v>
      </c>
      <c r="BW377" s="188" t="str">
        <f t="shared" si="151"/>
        <v>Oct 29-Nov4</v>
      </c>
      <c r="BX377" s="188" t="str">
        <f t="shared" si="152"/>
        <v xml:space="preserve"> </v>
      </c>
      <c r="BY377" s="50" t="str">
        <f t="shared" si="153"/>
        <v>SUGSAW CREEK_Pink</v>
      </c>
      <c r="BZ377" s="50" t="str">
        <f>IFERROR(VLOOKUP(BY377,'[1]WCVI Esc'!$C$5:$W$555,18,FALSE),"-")</f>
        <v>-</v>
      </c>
      <c r="CA377" s="50" t="str">
        <f t="shared" si="154"/>
        <v>-</v>
      </c>
      <c r="CB377" s="50" t="str">
        <f>IFERROR(VLOOKUP(BY377,'[1]WCVI Esc'!$C$5:$W$555,19,FALSE),"-")</f>
        <v>-</v>
      </c>
      <c r="CC377" s="50" t="str">
        <f t="shared" si="155"/>
        <v>-</v>
      </c>
      <c r="CE377" s="342" t="str">
        <f t="shared" si="164"/>
        <v>SUGSAW CREEK_Pink</v>
      </c>
      <c r="CF377" s="341" t="str">
        <f>IFERROR(VLOOKUP(BY377,'RawPL+D'!$O$8:$AB$503,12,FALSE),"-")</f>
        <v>-</v>
      </c>
      <c r="CG377" s="338" t="str">
        <f t="shared" si="157"/>
        <v>-</v>
      </c>
      <c r="CH377" s="341" t="str">
        <f>IFERROR(VLOOKUP(BY377,'RawPL+D'!$O$8:$AB$503,13,FALSE),"-")</f>
        <v>-</v>
      </c>
      <c r="CI377" s="338" t="str">
        <f t="shared" si="158"/>
        <v>-</v>
      </c>
    </row>
    <row r="378" spans="1:87" ht="12.75" hidden="1" customHeight="1" x14ac:dyDescent="0.2">
      <c r="A378" s="28">
        <v>3</v>
      </c>
      <c r="B378" s="28">
        <v>4</v>
      </c>
      <c r="C378" s="11">
        <v>23</v>
      </c>
      <c r="D378" s="148" t="s">
        <v>319</v>
      </c>
      <c r="E378" s="10" t="s">
        <v>105</v>
      </c>
      <c r="F378" s="10" t="s">
        <v>209</v>
      </c>
      <c r="G378" s="10"/>
      <c r="H378" s="10"/>
      <c r="I378" s="10"/>
      <c r="J378" s="10"/>
      <c r="K378" s="575"/>
      <c r="L378" s="152"/>
      <c r="M378" s="164"/>
      <c r="N378" s="62"/>
      <c r="O378" s="62"/>
      <c r="P378" s="177"/>
      <c r="Q378" s="171"/>
      <c r="R378" s="431"/>
      <c r="S378" s="445"/>
      <c r="T378" s="431"/>
      <c r="U378" s="776">
        <f>460+600</f>
        <v>1060</v>
      </c>
      <c r="V378" s="446"/>
      <c r="W378" s="431"/>
      <c r="X378" s="62"/>
      <c r="Y378" s="390"/>
      <c r="Z378" s="64"/>
      <c r="AA378" s="164"/>
      <c r="AB378" s="62"/>
      <c r="AC378" s="62"/>
      <c r="AD378" s="64"/>
      <c r="AE378" s="164"/>
      <c r="AF378" s="62"/>
      <c r="AG378" s="62"/>
      <c r="AH378" s="337">
        <v>1060</v>
      </c>
      <c r="AI378" s="337">
        <v>0</v>
      </c>
      <c r="AJ378" s="337">
        <v>0</v>
      </c>
      <c r="AK378" s="337">
        <v>0</v>
      </c>
      <c r="AL378" s="552">
        <v>1060</v>
      </c>
      <c r="AM378" s="552">
        <v>1060</v>
      </c>
      <c r="AN378" s="552" t="s">
        <v>765</v>
      </c>
      <c r="AO378" s="552" t="s">
        <v>772</v>
      </c>
      <c r="AP378" s="44"/>
      <c r="AQ378" s="485">
        <f>AL378/BI378</f>
        <v>2.0784313725490198</v>
      </c>
      <c r="AR378" s="100">
        <f>BL378/BH378</f>
        <v>5.8888888888888893</v>
      </c>
      <c r="AS378" s="485">
        <f>BL378/BI378</f>
        <v>2.0784313725490198</v>
      </c>
      <c r="AT378" s="24"/>
      <c r="AU378" s="24"/>
      <c r="AV378" s="24"/>
      <c r="AW378" s="18">
        <v>23</v>
      </c>
      <c r="AX378" s="69" t="s">
        <v>319</v>
      </c>
      <c r="AY378" s="243" t="s">
        <v>105</v>
      </c>
      <c r="AZ378" s="243" t="str">
        <f t="shared" si="140"/>
        <v>Chum</v>
      </c>
      <c r="BA378" s="243" t="s">
        <v>419</v>
      </c>
      <c r="BB378" s="244" t="s">
        <v>374</v>
      </c>
      <c r="BC378" s="43" t="str">
        <f t="shared" si="141"/>
        <v>Oct 29-Nov4</v>
      </c>
      <c r="BD378" s="43">
        <f t="shared" si="161"/>
        <v>1</v>
      </c>
      <c r="BE378" s="193">
        <f t="shared" si="159"/>
        <v>1060</v>
      </c>
      <c r="BF378" s="193">
        <f t="shared" si="142"/>
        <v>1060</v>
      </c>
      <c r="BG378" s="193">
        <f t="shared" si="143"/>
        <v>1060</v>
      </c>
      <c r="BH378" s="307">
        <f t="shared" si="165"/>
        <v>180</v>
      </c>
      <c r="BI378" s="265">
        <f>CC378</f>
        <v>510</v>
      </c>
      <c r="BJ378" s="26" t="str">
        <f t="shared" si="144"/>
        <v>SUGSAW CREEKChum</v>
      </c>
      <c r="BK378" s="26">
        <f t="shared" si="145"/>
        <v>1</v>
      </c>
      <c r="BL378" s="33">
        <f t="shared" si="163"/>
        <v>1060</v>
      </c>
      <c r="BQ378" s="47" t="str">
        <f t="shared" si="146"/>
        <v>SUGSAW CREEKChum</v>
      </c>
      <c r="BR378" s="49">
        <f t="shared" si="147"/>
        <v>0</v>
      </c>
      <c r="BS378" s="49">
        <f t="shared" si="148"/>
        <v>1060</v>
      </c>
      <c r="BT378" s="31">
        <v>2012</v>
      </c>
      <c r="BU378" s="188" t="str">
        <f t="shared" si="149"/>
        <v>HFN</v>
      </c>
      <c r="BV378" s="188" t="str">
        <f t="shared" si="150"/>
        <v xml:space="preserve"> </v>
      </c>
      <c r="BW378" s="188" t="str">
        <f t="shared" si="151"/>
        <v>Oct 29-Nov4</v>
      </c>
      <c r="BX378" s="188" t="str">
        <f t="shared" si="152"/>
        <v xml:space="preserve"> </v>
      </c>
      <c r="BY378" s="50" t="str">
        <f t="shared" si="153"/>
        <v>SUGSAW CREEK_Chum</v>
      </c>
      <c r="BZ378" s="50">
        <f>IFERROR(VLOOKUP(BY378,'[1]WCVI Esc'!$C$5:$W$555,18,FALSE),"-")</f>
        <v>353</v>
      </c>
      <c r="CA378" s="50">
        <f t="shared" si="154"/>
        <v>350</v>
      </c>
      <c r="CB378" s="50">
        <f>IFERROR(VLOOKUP(BY378,'[1]WCVI Esc'!$C$5:$W$555,19,FALSE),"-")</f>
        <v>514.75</v>
      </c>
      <c r="CC378" s="50">
        <f t="shared" si="155"/>
        <v>510</v>
      </c>
      <c r="CE378" s="342" t="str">
        <f t="shared" si="164"/>
        <v>SUGSAW CREEK_Chum</v>
      </c>
      <c r="CF378" s="341">
        <f>IFERROR(VLOOKUP(CE378,'RawPL+D'!$O$8:$AB$503,12,FALSE),"-")</f>
        <v>0</v>
      </c>
      <c r="CG378" s="338">
        <f t="shared" si="157"/>
        <v>0</v>
      </c>
      <c r="CH378" s="341">
        <f>IFERROR(VLOOKUP(CE378,'RawPL+D'!$O$8:$AB$503,13,FALSE),"-")</f>
        <v>183.33333333333334</v>
      </c>
      <c r="CI378" s="338">
        <f t="shared" si="158"/>
        <v>180</v>
      </c>
    </row>
    <row r="379" spans="1:87" ht="12.75" hidden="1" customHeight="1" x14ac:dyDescent="0.2">
      <c r="A379" s="28">
        <v>3</v>
      </c>
      <c r="B379" s="28">
        <v>5</v>
      </c>
      <c r="C379" s="11">
        <v>23</v>
      </c>
      <c r="D379" s="148" t="s">
        <v>319</v>
      </c>
      <c r="E379" s="10" t="s">
        <v>105</v>
      </c>
      <c r="F379" s="10" t="s">
        <v>210</v>
      </c>
      <c r="G379" s="10"/>
      <c r="H379" s="10"/>
      <c r="I379" s="10"/>
      <c r="J379" s="10"/>
      <c r="K379" s="575"/>
      <c r="L379" s="152"/>
      <c r="M379" s="164"/>
      <c r="N379" s="62"/>
      <c r="O379" s="62"/>
      <c r="P379" s="177"/>
      <c r="Q379" s="171"/>
      <c r="R379" s="62"/>
      <c r="S379" s="444"/>
      <c r="T379" s="62"/>
      <c r="U379" s="632">
        <v>0</v>
      </c>
      <c r="V379" s="169"/>
      <c r="W379" s="62"/>
      <c r="X379" s="62"/>
      <c r="Y379" s="62"/>
      <c r="Z379" s="64"/>
      <c r="AA379" s="164"/>
      <c r="AB379" s="62"/>
      <c r="AC379" s="62"/>
      <c r="AD379" s="64"/>
      <c r="AE379" s="164"/>
      <c r="AF379" s="62"/>
      <c r="AG379" s="62"/>
      <c r="AH379" s="337">
        <v>0</v>
      </c>
      <c r="AI379" s="337">
        <v>0</v>
      </c>
      <c r="AJ379" s="337">
        <v>0</v>
      </c>
      <c r="AK379" s="337">
        <v>0</v>
      </c>
      <c r="AL379" s="552">
        <v>0</v>
      </c>
      <c r="AM379" s="552">
        <v>0</v>
      </c>
      <c r="AN379" s="552" t="s">
        <v>765</v>
      </c>
      <c r="AO379" s="552" t="s">
        <v>772</v>
      </c>
      <c r="AP379" s="44"/>
      <c r="AQ379" s="485"/>
      <c r="AR379" s="100"/>
      <c r="AS379" s="485"/>
      <c r="AT379" s="24"/>
      <c r="AU379" s="24"/>
      <c r="AV379" s="24"/>
      <c r="AW379" s="18">
        <v>23</v>
      </c>
      <c r="AX379" s="69" t="s">
        <v>319</v>
      </c>
      <c r="AY379" s="243" t="s">
        <v>105</v>
      </c>
      <c r="AZ379" s="243" t="str">
        <f t="shared" si="140"/>
        <v>Chinook</v>
      </c>
      <c r="BA379" s="243" t="s">
        <v>419</v>
      </c>
      <c r="BB379" s="244" t="s">
        <v>374</v>
      </c>
      <c r="BC379" s="43" t="str">
        <f t="shared" si="141"/>
        <v>Oct 29-Nov4</v>
      </c>
      <c r="BD379" s="43">
        <f t="shared" si="161"/>
        <v>1</v>
      </c>
      <c r="BE379" s="193">
        <f t="shared" si="159"/>
        <v>0</v>
      </c>
      <c r="BF379" s="193">
        <f t="shared" si="142"/>
        <v>0</v>
      </c>
      <c r="BG379" s="193">
        <f t="shared" si="143"/>
        <v>0</v>
      </c>
      <c r="BH379" s="307">
        <f t="shared" si="165"/>
        <v>0</v>
      </c>
      <c r="BI379" s="265"/>
      <c r="BJ379" s="26" t="str">
        <f t="shared" si="144"/>
        <v>SUGSAW CREEKChinook</v>
      </c>
      <c r="BK379" s="26">
        <f t="shared" si="145"/>
        <v>1</v>
      </c>
      <c r="BL379" s="33">
        <f t="shared" si="163"/>
        <v>0</v>
      </c>
      <c r="BQ379" s="47" t="str">
        <f t="shared" si="146"/>
        <v>SUGSAW CREEKChinook</v>
      </c>
      <c r="BR379" s="49">
        <f t="shared" si="147"/>
        <v>0</v>
      </c>
      <c r="BS379" s="49">
        <f t="shared" si="148"/>
        <v>0</v>
      </c>
      <c r="BT379" s="31">
        <v>2001</v>
      </c>
      <c r="BU379" s="188" t="str">
        <f t="shared" si="149"/>
        <v>HFN</v>
      </c>
      <c r="BV379" s="188" t="str">
        <f t="shared" si="150"/>
        <v xml:space="preserve"> </v>
      </c>
      <c r="BW379" s="188" t="str">
        <f t="shared" si="151"/>
        <v>Oct 29-Nov4</v>
      </c>
      <c r="BX379" s="188" t="str">
        <f t="shared" si="152"/>
        <v xml:space="preserve"> </v>
      </c>
      <c r="BY379" s="50" t="str">
        <f t="shared" si="153"/>
        <v>SUGSAW CREEK_Chinook</v>
      </c>
      <c r="BZ379" s="50" t="str">
        <f>IFERROR(VLOOKUP(BY379,'[1]WCVI Esc'!$C$5:$W$555,18,FALSE),"-")</f>
        <v>-</v>
      </c>
      <c r="CA379" s="50" t="str">
        <f t="shared" si="154"/>
        <v>-</v>
      </c>
      <c r="CB379" s="50" t="str">
        <f>IFERROR(VLOOKUP(BY379,'[1]WCVI Esc'!$C$5:$W$555,19,FALSE),"-")</f>
        <v>-</v>
      </c>
      <c r="CC379" s="50" t="str">
        <f t="shared" si="155"/>
        <v>-</v>
      </c>
      <c r="CE379" s="342" t="str">
        <f t="shared" si="164"/>
        <v>SUGSAW CREEK_Chinook</v>
      </c>
      <c r="CF379" s="341">
        <f>IFERROR(VLOOKUP(BY379,'RawPL+D'!$O$8:$AB$503,12,FALSE),"-")</f>
        <v>0</v>
      </c>
      <c r="CG379" s="338">
        <f t="shared" si="157"/>
        <v>0</v>
      </c>
      <c r="CH379" s="341">
        <f>IFERROR(VLOOKUP(BY379,'RawPL+D'!$O$8:$AB$503,13,FALSE),"-")</f>
        <v>0</v>
      </c>
      <c r="CI379" s="338">
        <f t="shared" si="158"/>
        <v>0</v>
      </c>
    </row>
    <row r="380" spans="1:87" ht="12.75" hidden="1" customHeight="1" x14ac:dyDescent="0.2">
      <c r="A380" s="28">
        <v>3</v>
      </c>
      <c r="B380" s="28">
        <v>6</v>
      </c>
      <c r="C380" s="11">
        <v>23</v>
      </c>
      <c r="D380" s="148" t="s">
        <v>319</v>
      </c>
      <c r="E380" s="10" t="s">
        <v>105</v>
      </c>
      <c r="F380" s="10" t="s">
        <v>211</v>
      </c>
      <c r="G380" s="10"/>
      <c r="H380" s="10"/>
      <c r="I380" s="10"/>
      <c r="J380" s="10"/>
      <c r="K380" s="575"/>
      <c r="L380" s="152"/>
      <c r="M380" s="164"/>
      <c r="N380" s="62"/>
      <c r="O380" s="62"/>
      <c r="P380" s="177"/>
      <c r="Q380" s="171"/>
      <c r="R380" s="62"/>
      <c r="S380" s="444"/>
      <c r="T380" s="62"/>
      <c r="U380" s="632">
        <v>0</v>
      </c>
      <c r="V380" s="169"/>
      <c r="W380" s="62"/>
      <c r="X380" s="62"/>
      <c r="Y380" s="62"/>
      <c r="Z380" s="64"/>
      <c r="AA380" s="164"/>
      <c r="AB380" s="62"/>
      <c r="AC380" s="62"/>
      <c r="AD380" s="64"/>
      <c r="AE380" s="164"/>
      <c r="AF380" s="62"/>
      <c r="AG380" s="62"/>
      <c r="AH380" s="337"/>
      <c r="AI380" s="337"/>
      <c r="AJ380" s="337"/>
      <c r="AK380" s="337"/>
      <c r="AL380" s="552"/>
      <c r="AM380" s="552"/>
      <c r="AN380" s="45"/>
      <c r="AO380" s="45"/>
      <c r="AP380" s="45"/>
      <c r="AQ380" s="485"/>
      <c r="AR380" s="100"/>
      <c r="AS380" s="485"/>
      <c r="AT380" s="24"/>
      <c r="AU380" s="24"/>
      <c r="AV380" s="24"/>
      <c r="AW380" s="18">
        <v>23</v>
      </c>
      <c r="AX380" s="69" t="s">
        <v>319</v>
      </c>
      <c r="AY380" s="243" t="s">
        <v>105</v>
      </c>
      <c r="AZ380" s="243" t="str">
        <f t="shared" si="140"/>
        <v>Steelhead</v>
      </c>
      <c r="BA380" s="243" t="s">
        <v>419</v>
      </c>
      <c r="BB380" s="244" t="s">
        <v>374</v>
      </c>
      <c r="BC380" s="43" t="str">
        <f t="shared" si="141"/>
        <v>Oct 29-Nov4</v>
      </c>
      <c r="BD380" s="43">
        <f t="shared" si="161"/>
        <v>1</v>
      </c>
      <c r="BE380" s="193">
        <f t="shared" si="159"/>
        <v>0</v>
      </c>
      <c r="BF380" s="193">
        <f t="shared" si="142"/>
        <v>0</v>
      </c>
      <c r="BG380" s="193">
        <f t="shared" si="143"/>
        <v>0</v>
      </c>
      <c r="BH380" s="307" t="str">
        <f t="shared" si="165"/>
        <v>-</v>
      </c>
      <c r="BI380" s="265" t="str">
        <f t="shared" ref="BI380:BI392" si="166">CC380</f>
        <v>-</v>
      </c>
      <c r="BJ380" s="26" t="str">
        <f t="shared" si="144"/>
        <v>SUGSAW CREEKSteelhead</v>
      </c>
      <c r="BK380" s="26">
        <f t="shared" si="145"/>
        <v>1</v>
      </c>
      <c r="BL380" s="33">
        <f t="shared" si="163"/>
        <v>0</v>
      </c>
      <c r="BQ380" s="47" t="str">
        <f t="shared" si="146"/>
        <v>SUGSAW CREEKSteelhead</v>
      </c>
      <c r="BR380" s="49">
        <f t="shared" si="147"/>
        <v>0</v>
      </c>
      <c r="BS380" s="49">
        <f t="shared" si="148"/>
        <v>0</v>
      </c>
      <c r="BT380" s="31">
        <v>0</v>
      </c>
      <c r="BU380" s="188" t="str">
        <f t="shared" si="149"/>
        <v>HFN</v>
      </c>
      <c r="BV380" s="188" t="str">
        <f t="shared" si="150"/>
        <v xml:space="preserve"> </v>
      </c>
      <c r="BW380" s="188" t="str">
        <f t="shared" si="151"/>
        <v>Oct 29-Nov4</v>
      </c>
      <c r="BX380" s="188" t="str">
        <f t="shared" si="152"/>
        <v xml:space="preserve"> </v>
      </c>
      <c r="BY380" s="50" t="str">
        <f t="shared" si="153"/>
        <v>SUGSAW CREEK_Steelhead</v>
      </c>
      <c r="BZ380" s="50" t="str">
        <f>IFERROR(VLOOKUP(BY380,'[1]WCVI Esc'!$C$5:$W$555,18,FALSE),"-")</f>
        <v>-</v>
      </c>
      <c r="CA380" s="50" t="str">
        <f t="shared" si="154"/>
        <v>-</v>
      </c>
      <c r="CB380" s="50" t="str">
        <f>IFERROR(VLOOKUP(BY380,'[1]WCVI Esc'!$C$5:$W$555,19,FALSE),"-")</f>
        <v>-</v>
      </c>
      <c r="CC380" s="50" t="str">
        <f t="shared" si="155"/>
        <v>-</v>
      </c>
      <c r="CE380" s="342" t="str">
        <f t="shared" si="164"/>
        <v>SUGSAW CREEK_Steelhead</v>
      </c>
      <c r="CF380" s="341" t="str">
        <f>IFERROR(VLOOKUP(BY380,'RawPL+D'!$O$8:$AB$503,12,FALSE),"-")</f>
        <v>-</v>
      </c>
      <c r="CG380" s="338" t="str">
        <f t="shared" si="157"/>
        <v>-</v>
      </c>
      <c r="CH380" s="341" t="str">
        <f>IFERROR(VLOOKUP(BY380,'RawPL+D'!$O$8:$AB$503,13,FALSE),"-")</f>
        <v>-</v>
      </c>
      <c r="CI380" s="338" t="str">
        <f t="shared" si="158"/>
        <v>-</v>
      </c>
    </row>
    <row r="381" spans="1:87" ht="12.75" hidden="1" customHeight="1" x14ac:dyDescent="0.2">
      <c r="A381" s="28">
        <v>4</v>
      </c>
      <c r="B381" s="28">
        <v>1</v>
      </c>
      <c r="C381" s="11">
        <v>23</v>
      </c>
      <c r="D381" s="148" t="s">
        <v>319</v>
      </c>
      <c r="E381" s="10" t="s">
        <v>90</v>
      </c>
      <c r="F381" s="10" t="s">
        <v>207</v>
      </c>
      <c r="G381" s="10"/>
      <c r="H381" s="10"/>
      <c r="I381" s="10"/>
      <c r="J381" s="10"/>
      <c r="K381" s="575"/>
      <c r="L381" s="152"/>
      <c r="M381" s="164"/>
      <c r="N381" s="62"/>
      <c r="O381" s="62"/>
      <c r="P381" s="177"/>
      <c r="Q381" s="171"/>
      <c r="R381" s="62"/>
      <c r="S381" s="62"/>
      <c r="T381" s="62"/>
      <c r="U381" s="64"/>
      <c r="V381" s="164"/>
      <c r="W381" s="62"/>
      <c r="X381" s="62"/>
      <c r="Y381" s="62"/>
      <c r="Z381" s="64"/>
      <c r="AA381" s="164"/>
      <c r="AB381" s="62"/>
      <c r="AC381" s="62"/>
      <c r="AD381" s="64"/>
      <c r="AE381" s="164"/>
      <c r="AF381" s="62"/>
      <c r="AG381" s="62"/>
      <c r="AH381" s="337"/>
      <c r="AI381" s="337"/>
      <c r="AJ381" s="337"/>
      <c r="AK381" s="337"/>
      <c r="AL381" s="414"/>
      <c r="AM381" s="414"/>
      <c r="AN381" s="45"/>
      <c r="AO381" s="45"/>
      <c r="AP381" s="45"/>
      <c r="AQ381" s="485"/>
      <c r="AR381" s="100"/>
      <c r="AS381" s="485"/>
      <c r="AT381" s="24"/>
      <c r="AU381" s="24"/>
      <c r="AV381" s="24"/>
      <c r="AW381" s="18">
        <v>23</v>
      </c>
      <c r="AX381" s="69" t="s">
        <v>319</v>
      </c>
      <c r="AY381" s="243" t="s">
        <v>90</v>
      </c>
      <c r="AZ381" s="243" t="str">
        <f t="shared" si="140"/>
        <v>Sockeye</v>
      </c>
      <c r="BA381" s="243" t="s">
        <v>419</v>
      </c>
      <c r="BB381" s="246"/>
      <c r="BC381" s="43" t="str">
        <f t="shared" si="141"/>
        <v>-</v>
      </c>
      <c r="BD381" s="43">
        <f t="shared" si="161"/>
        <v>0</v>
      </c>
      <c r="BE381" s="193">
        <f t="shared" si="159"/>
        <v>0</v>
      </c>
      <c r="BF381" s="193">
        <f t="shared" si="142"/>
        <v>0</v>
      </c>
      <c r="BG381" s="193">
        <f t="shared" si="143"/>
        <v>0</v>
      </c>
      <c r="BH381" s="307" t="str">
        <f t="shared" si="165"/>
        <v>-</v>
      </c>
      <c r="BI381" s="265" t="str">
        <f t="shared" si="166"/>
        <v>-</v>
      </c>
      <c r="BJ381" s="26" t="str">
        <f t="shared" si="144"/>
        <v>COLEMAN CREEKSockeye</v>
      </c>
      <c r="BK381" s="26">
        <f t="shared" si="145"/>
        <v>0</v>
      </c>
      <c r="BL381" s="33">
        <f t="shared" si="163"/>
        <v>0</v>
      </c>
      <c r="BQ381" s="47" t="str">
        <f t="shared" si="146"/>
        <v>COLEMAN CREEKSockeye</v>
      </c>
      <c r="BR381" s="49">
        <f t="shared" si="147"/>
        <v>0</v>
      </c>
      <c r="BS381" s="49">
        <f t="shared" si="148"/>
        <v>0</v>
      </c>
      <c r="BT381" s="31">
        <v>0</v>
      </c>
      <c r="BU381" s="188">
        <f t="shared" si="149"/>
        <v>0</v>
      </c>
      <c r="BV381" s="188" t="str">
        <f t="shared" si="150"/>
        <v xml:space="preserve"> </v>
      </c>
      <c r="BW381" s="188" t="str">
        <f t="shared" si="151"/>
        <v xml:space="preserve"> </v>
      </c>
      <c r="BX381" s="188" t="str">
        <f t="shared" si="152"/>
        <v xml:space="preserve"> </v>
      </c>
      <c r="BY381" s="50" t="str">
        <f t="shared" si="153"/>
        <v>COLEMAN CREEK_Sockeye</v>
      </c>
      <c r="BZ381" s="50" t="str">
        <f>IFERROR(VLOOKUP(BY381,'[1]WCVI Esc'!$C$5:$W$555,18,FALSE),"-")</f>
        <v>-</v>
      </c>
      <c r="CA381" s="50" t="str">
        <f t="shared" si="154"/>
        <v>-</v>
      </c>
      <c r="CB381" s="50" t="str">
        <f>IFERROR(VLOOKUP(BY381,'[1]WCVI Esc'!$C$5:$W$555,19,FALSE),"-")</f>
        <v>-</v>
      </c>
      <c r="CC381" s="50" t="str">
        <f t="shared" si="155"/>
        <v>-</v>
      </c>
      <c r="CE381" s="342" t="str">
        <f t="shared" si="164"/>
        <v>COLEMAN CREEK_Sockeye</v>
      </c>
      <c r="CF381" s="341" t="str">
        <f>IFERROR(VLOOKUP(BY381,'RawPL+D'!$O$8:$AB$503,12,FALSE),"-")</f>
        <v>-</v>
      </c>
      <c r="CG381" s="338" t="str">
        <f t="shared" si="157"/>
        <v>-</v>
      </c>
      <c r="CH381" s="341" t="str">
        <f>IFERROR(VLOOKUP(BY381,'RawPL+D'!$O$8:$AB$503,13,FALSE),"-")</f>
        <v>-</v>
      </c>
      <c r="CI381" s="338" t="str">
        <f t="shared" si="158"/>
        <v>-</v>
      </c>
    </row>
    <row r="382" spans="1:87" ht="12.75" hidden="1" customHeight="1" x14ac:dyDescent="0.2">
      <c r="A382" s="28">
        <v>4</v>
      </c>
      <c r="B382" s="28">
        <v>2</v>
      </c>
      <c r="C382" s="11">
        <v>23</v>
      </c>
      <c r="D382" s="148" t="s">
        <v>319</v>
      </c>
      <c r="E382" s="10" t="s">
        <v>90</v>
      </c>
      <c r="F382" s="10" t="s">
        <v>219</v>
      </c>
      <c r="G382" s="10"/>
      <c r="H382" s="10"/>
      <c r="I382" s="10"/>
      <c r="J382" s="10"/>
      <c r="K382" s="575"/>
      <c r="L382" s="152"/>
      <c r="M382" s="164"/>
      <c r="N382" s="62"/>
      <c r="O382" s="62"/>
      <c r="P382" s="177"/>
      <c r="Q382" s="171"/>
      <c r="R382" s="62"/>
      <c r="S382" s="62"/>
      <c r="T382" s="62"/>
      <c r="U382" s="64"/>
      <c r="V382" s="164"/>
      <c r="W382" s="62"/>
      <c r="X382" s="62"/>
      <c r="Y382" s="62"/>
      <c r="Z382" s="64"/>
      <c r="AA382" s="164"/>
      <c r="AB382" s="62"/>
      <c r="AC382" s="62"/>
      <c r="AD382" s="64"/>
      <c r="AE382" s="164"/>
      <c r="AF382" s="62"/>
      <c r="AG382" s="62"/>
      <c r="AH382" s="337"/>
      <c r="AI382" s="337"/>
      <c r="AJ382" s="337"/>
      <c r="AK382" s="337"/>
      <c r="AL382" s="414"/>
      <c r="AM382" s="414"/>
      <c r="AN382" s="45"/>
      <c r="AO382" s="45"/>
      <c r="AP382" s="45"/>
      <c r="AQ382" s="485"/>
      <c r="AR382" s="100"/>
      <c r="AS382" s="485"/>
      <c r="AT382" s="24"/>
      <c r="AU382" s="24"/>
      <c r="AV382" s="24"/>
      <c r="AW382" s="18">
        <v>23</v>
      </c>
      <c r="AX382" s="69" t="s">
        <v>319</v>
      </c>
      <c r="AY382" s="243" t="s">
        <v>90</v>
      </c>
      <c r="AZ382" s="243" t="str">
        <f t="shared" si="140"/>
        <v>Coho</v>
      </c>
      <c r="BA382" s="243" t="s">
        <v>419</v>
      </c>
      <c r="BB382" s="246"/>
      <c r="BC382" s="43" t="str">
        <f t="shared" si="141"/>
        <v>-</v>
      </c>
      <c r="BD382" s="43">
        <f t="shared" si="161"/>
        <v>0</v>
      </c>
      <c r="BE382" s="193">
        <f t="shared" si="159"/>
        <v>0</v>
      </c>
      <c r="BF382" s="193">
        <f t="shared" si="142"/>
        <v>0</v>
      </c>
      <c r="BG382" s="193">
        <f t="shared" si="143"/>
        <v>0</v>
      </c>
      <c r="BH382" s="307" t="str">
        <f t="shared" si="165"/>
        <v>-</v>
      </c>
      <c r="BI382" s="265" t="str">
        <f t="shared" si="166"/>
        <v>-</v>
      </c>
      <c r="BJ382" s="26" t="str">
        <f t="shared" si="144"/>
        <v>COLEMAN CREEKCoho</v>
      </c>
      <c r="BK382" s="26">
        <f t="shared" si="145"/>
        <v>0</v>
      </c>
      <c r="BL382" s="33">
        <f t="shared" si="163"/>
        <v>0</v>
      </c>
      <c r="BQ382" s="47" t="str">
        <f t="shared" si="146"/>
        <v>COLEMAN CREEKCoho</v>
      </c>
      <c r="BR382" s="49">
        <f t="shared" si="147"/>
        <v>0</v>
      </c>
      <c r="BS382" s="49">
        <f t="shared" si="148"/>
        <v>0</v>
      </c>
      <c r="BT382" s="31">
        <v>1996</v>
      </c>
      <c r="BU382" s="188">
        <f t="shared" si="149"/>
        <v>0</v>
      </c>
      <c r="BV382" s="188" t="str">
        <f t="shared" si="150"/>
        <v xml:space="preserve"> </v>
      </c>
      <c r="BW382" s="188" t="str">
        <f t="shared" si="151"/>
        <v xml:space="preserve"> </v>
      </c>
      <c r="BX382" s="188" t="str">
        <f t="shared" si="152"/>
        <v xml:space="preserve"> </v>
      </c>
      <c r="BY382" s="50" t="str">
        <f t="shared" si="153"/>
        <v>COLEMAN CREEK_Coho</v>
      </c>
      <c r="BZ382" s="50" t="str">
        <f>IFERROR(VLOOKUP(BY382,'[1]WCVI Esc'!$C$5:$W$555,18,FALSE),"-")</f>
        <v>-</v>
      </c>
      <c r="CA382" s="50" t="str">
        <f t="shared" si="154"/>
        <v>-</v>
      </c>
      <c r="CB382" s="50" t="str">
        <f>IFERROR(VLOOKUP(BY382,'[1]WCVI Esc'!$C$5:$W$555,19,FALSE),"-")</f>
        <v>-</v>
      </c>
      <c r="CC382" s="50" t="str">
        <f t="shared" si="155"/>
        <v>-</v>
      </c>
      <c r="CE382" s="342" t="str">
        <f t="shared" si="164"/>
        <v>COLEMAN CREEK_Coho</v>
      </c>
      <c r="CF382" s="341" t="str">
        <f>IFERROR(VLOOKUP(BY382,'RawPL+D'!$O$8:$AB$503,12,FALSE),"-")</f>
        <v>-</v>
      </c>
      <c r="CG382" s="338" t="str">
        <f t="shared" si="157"/>
        <v>-</v>
      </c>
      <c r="CH382" s="341" t="str">
        <f>IFERROR(VLOOKUP(BY382,'RawPL+D'!$O$8:$AB$503,13,FALSE),"-")</f>
        <v>-</v>
      </c>
      <c r="CI382" s="338" t="str">
        <f t="shared" si="158"/>
        <v>-</v>
      </c>
    </row>
    <row r="383" spans="1:87" ht="12.75" hidden="1" customHeight="1" x14ac:dyDescent="0.2">
      <c r="A383" s="28">
        <v>4</v>
      </c>
      <c r="B383" s="28">
        <v>3</v>
      </c>
      <c r="C383" s="11">
        <v>23</v>
      </c>
      <c r="D383" s="148" t="s">
        <v>319</v>
      </c>
      <c r="E383" s="10" t="s">
        <v>90</v>
      </c>
      <c r="F383" s="10" t="s">
        <v>208</v>
      </c>
      <c r="G383" s="10"/>
      <c r="H383" s="10"/>
      <c r="I383" s="10"/>
      <c r="J383" s="10"/>
      <c r="K383" s="575"/>
      <c r="L383" s="152"/>
      <c r="M383" s="164"/>
      <c r="N383" s="62"/>
      <c r="O383" s="62"/>
      <c r="P383" s="177"/>
      <c r="Q383" s="171"/>
      <c r="R383" s="62"/>
      <c r="S383" s="62"/>
      <c r="T383" s="62"/>
      <c r="U383" s="64"/>
      <c r="V383" s="164"/>
      <c r="W383" s="62"/>
      <c r="X383" s="62"/>
      <c r="Y383" s="62"/>
      <c r="Z383" s="64"/>
      <c r="AA383" s="164"/>
      <c r="AB383" s="62"/>
      <c r="AC383" s="62"/>
      <c r="AD383" s="64"/>
      <c r="AE383" s="164"/>
      <c r="AF383" s="62"/>
      <c r="AG383" s="62"/>
      <c r="AH383" s="337"/>
      <c r="AI383" s="337"/>
      <c r="AJ383" s="337"/>
      <c r="AK383" s="337"/>
      <c r="AL383" s="414"/>
      <c r="AM383" s="414"/>
      <c r="AN383" s="45"/>
      <c r="AO383" s="45"/>
      <c r="AP383" s="45"/>
      <c r="AQ383" s="485"/>
      <c r="AR383" s="100"/>
      <c r="AS383" s="485"/>
      <c r="AT383" s="24"/>
      <c r="AU383" s="24"/>
      <c r="AV383" s="24"/>
      <c r="AW383" s="18">
        <v>23</v>
      </c>
      <c r="AX383" s="69" t="s">
        <v>319</v>
      </c>
      <c r="AY383" s="243" t="s">
        <v>90</v>
      </c>
      <c r="AZ383" s="243" t="str">
        <f t="shared" si="140"/>
        <v>Pink</v>
      </c>
      <c r="BA383" s="243" t="s">
        <v>419</v>
      </c>
      <c r="BB383" s="246"/>
      <c r="BC383" s="43" t="str">
        <f t="shared" si="141"/>
        <v>-</v>
      </c>
      <c r="BD383" s="43">
        <f t="shared" si="161"/>
        <v>0</v>
      </c>
      <c r="BE383" s="193">
        <f t="shared" si="159"/>
        <v>0</v>
      </c>
      <c r="BF383" s="193">
        <f t="shared" si="142"/>
        <v>0</v>
      </c>
      <c r="BG383" s="193">
        <f t="shared" si="143"/>
        <v>0</v>
      </c>
      <c r="BH383" s="307" t="str">
        <f t="shared" si="165"/>
        <v>-</v>
      </c>
      <c r="BI383" s="265" t="str">
        <f t="shared" si="166"/>
        <v>-</v>
      </c>
      <c r="BJ383" s="26" t="str">
        <f t="shared" si="144"/>
        <v>COLEMAN CREEKPink</v>
      </c>
      <c r="BK383" s="26">
        <f t="shared" si="145"/>
        <v>0</v>
      </c>
      <c r="BL383" s="33">
        <f t="shared" si="163"/>
        <v>0</v>
      </c>
      <c r="BQ383" s="47" t="str">
        <f t="shared" si="146"/>
        <v>COLEMAN CREEKPink</v>
      </c>
      <c r="BR383" s="49">
        <f t="shared" si="147"/>
        <v>0</v>
      </c>
      <c r="BS383" s="49">
        <f t="shared" si="148"/>
        <v>0</v>
      </c>
      <c r="BT383" s="31">
        <v>0</v>
      </c>
      <c r="BU383" s="188">
        <f t="shared" si="149"/>
        <v>0</v>
      </c>
      <c r="BV383" s="188" t="str">
        <f t="shared" si="150"/>
        <v xml:space="preserve"> </v>
      </c>
      <c r="BW383" s="188" t="str">
        <f t="shared" si="151"/>
        <v xml:space="preserve"> </v>
      </c>
      <c r="BX383" s="188" t="str">
        <f t="shared" si="152"/>
        <v xml:space="preserve"> </v>
      </c>
      <c r="BY383" s="50" t="str">
        <f t="shared" si="153"/>
        <v>COLEMAN CREEK_Pink</v>
      </c>
      <c r="BZ383" s="50" t="str">
        <f>IFERROR(VLOOKUP(BY383,'[1]WCVI Esc'!$C$5:$W$555,18,FALSE),"-")</f>
        <v>-</v>
      </c>
      <c r="CA383" s="50" t="str">
        <f t="shared" si="154"/>
        <v>-</v>
      </c>
      <c r="CB383" s="50" t="str">
        <f>IFERROR(VLOOKUP(BY383,'[1]WCVI Esc'!$C$5:$W$555,19,FALSE),"-")</f>
        <v>-</v>
      </c>
      <c r="CC383" s="50" t="str">
        <f t="shared" si="155"/>
        <v>-</v>
      </c>
      <c r="CE383" s="342" t="str">
        <f t="shared" si="164"/>
        <v>COLEMAN CREEK_Pink</v>
      </c>
      <c r="CF383" s="341" t="str">
        <f>IFERROR(VLOOKUP(BY383,'RawPL+D'!$O$8:$AB$503,12,FALSE),"-")</f>
        <v>-</v>
      </c>
      <c r="CG383" s="338" t="str">
        <f t="shared" si="157"/>
        <v>-</v>
      </c>
      <c r="CH383" s="341" t="str">
        <f>IFERROR(VLOOKUP(BY383,'RawPL+D'!$O$8:$AB$503,13,FALSE),"-")</f>
        <v>-</v>
      </c>
      <c r="CI383" s="338" t="str">
        <f t="shared" si="158"/>
        <v>-</v>
      </c>
    </row>
    <row r="384" spans="1:87" ht="12.75" hidden="1" customHeight="1" x14ac:dyDescent="0.2">
      <c r="A384" s="28">
        <v>4</v>
      </c>
      <c r="B384" s="28">
        <v>4</v>
      </c>
      <c r="C384" s="11">
        <v>23</v>
      </c>
      <c r="D384" s="148" t="s">
        <v>319</v>
      </c>
      <c r="E384" s="10" t="s">
        <v>90</v>
      </c>
      <c r="F384" s="10" t="s">
        <v>209</v>
      </c>
      <c r="G384" s="10"/>
      <c r="H384" s="10"/>
      <c r="I384" s="10"/>
      <c r="J384" s="10"/>
      <c r="K384" s="575"/>
      <c r="L384" s="152"/>
      <c r="M384" s="164"/>
      <c r="N384" s="62"/>
      <c r="O384" s="62"/>
      <c r="P384" s="177"/>
      <c r="Q384" s="171"/>
      <c r="R384" s="62"/>
      <c r="S384" s="62"/>
      <c r="T384" s="62"/>
      <c r="U384" s="64"/>
      <c r="V384" s="164"/>
      <c r="W384" s="62"/>
      <c r="X384" s="62"/>
      <c r="Y384" s="62"/>
      <c r="Z384" s="64"/>
      <c r="AA384" s="164"/>
      <c r="AB384" s="62"/>
      <c r="AC384" s="62"/>
      <c r="AD384" s="64"/>
      <c r="AE384" s="164"/>
      <c r="AF384" s="62"/>
      <c r="AG384" s="62"/>
      <c r="AH384" s="337"/>
      <c r="AI384" s="337"/>
      <c r="AJ384" s="337"/>
      <c r="AK384" s="337"/>
      <c r="AL384" s="414"/>
      <c r="AM384" s="414"/>
      <c r="AN384" s="45"/>
      <c r="AO384" s="45"/>
      <c r="AP384" s="45"/>
      <c r="AQ384" s="485"/>
      <c r="AR384" s="100"/>
      <c r="AS384" s="485"/>
      <c r="AT384" s="24"/>
      <c r="AU384" s="24"/>
      <c r="AV384" s="24"/>
      <c r="AW384" s="18">
        <v>23</v>
      </c>
      <c r="AX384" s="69" t="s">
        <v>319</v>
      </c>
      <c r="AY384" s="243" t="s">
        <v>90</v>
      </c>
      <c r="AZ384" s="243" t="str">
        <f t="shared" si="140"/>
        <v>Chum</v>
      </c>
      <c r="BA384" s="243" t="s">
        <v>419</v>
      </c>
      <c r="BB384" s="246"/>
      <c r="BC384" s="43" t="str">
        <f t="shared" si="141"/>
        <v>-</v>
      </c>
      <c r="BD384" s="43">
        <f t="shared" si="161"/>
        <v>0</v>
      </c>
      <c r="BE384" s="193">
        <f t="shared" si="159"/>
        <v>0</v>
      </c>
      <c r="BF384" s="193">
        <f t="shared" si="142"/>
        <v>0</v>
      </c>
      <c r="BG384" s="193">
        <f t="shared" si="143"/>
        <v>0</v>
      </c>
      <c r="BH384" s="307" t="str">
        <f t="shared" si="165"/>
        <v>-</v>
      </c>
      <c r="BI384" s="265" t="str">
        <f t="shared" si="166"/>
        <v>-</v>
      </c>
      <c r="BJ384" s="26" t="str">
        <f t="shared" si="144"/>
        <v>COLEMAN CREEKChum</v>
      </c>
      <c r="BK384" s="26">
        <f t="shared" si="145"/>
        <v>0</v>
      </c>
      <c r="BL384" s="33">
        <f t="shared" si="163"/>
        <v>0</v>
      </c>
      <c r="BQ384" s="47" t="str">
        <f t="shared" si="146"/>
        <v>COLEMAN CREEKChum</v>
      </c>
      <c r="BR384" s="49">
        <f t="shared" si="147"/>
        <v>0</v>
      </c>
      <c r="BS384" s="49">
        <f t="shared" si="148"/>
        <v>0</v>
      </c>
      <c r="BT384" s="31">
        <v>2003</v>
      </c>
      <c r="BU384" s="188">
        <f t="shared" si="149"/>
        <v>0</v>
      </c>
      <c r="BV384" s="188" t="str">
        <f t="shared" si="150"/>
        <v xml:space="preserve"> </v>
      </c>
      <c r="BW384" s="188" t="str">
        <f t="shared" si="151"/>
        <v xml:space="preserve"> </v>
      </c>
      <c r="BX384" s="188" t="str">
        <f t="shared" si="152"/>
        <v xml:space="preserve"> </v>
      </c>
      <c r="BY384" s="50" t="str">
        <f t="shared" si="153"/>
        <v>COLEMAN CREEK_Chum</v>
      </c>
      <c r="BZ384" s="50" t="str">
        <f>IFERROR(VLOOKUP(BY384,'[1]WCVI Esc'!$C$5:$W$555,18,FALSE),"-")</f>
        <v>-</v>
      </c>
      <c r="CA384" s="50" t="str">
        <f t="shared" si="154"/>
        <v>-</v>
      </c>
      <c r="CB384" s="50" t="str">
        <f>IFERROR(VLOOKUP(BY384,'[1]WCVI Esc'!$C$5:$W$555,19,FALSE),"-")</f>
        <v>-</v>
      </c>
      <c r="CC384" s="50" t="str">
        <f t="shared" si="155"/>
        <v>-</v>
      </c>
      <c r="CE384" s="342" t="str">
        <f t="shared" si="164"/>
        <v>COLEMAN CREEK_Chum</v>
      </c>
      <c r="CF384" s="341" t="str">
        <f>IFERROR(VLOOKUP(BY384,'RawPL+D'!$O$8:$AB$503,12,FALSE),"-")</f>
        <v>-</v>
      </c>
      <c r="CG384" s="338" t="str">
        <f t="shared" si="157"/>
        <v>-</v>
      </c>
      <c r="CH384" s="341" t="str">
        <f>IFERROR(VLOOKUP(BY384,'RawPL+D'!$O$8:$AB$503,13,FALSE),"-")</f>
        <v>-</v>
      </c>
      <c r="CI384" s="338" t="str">
        <f t="shared" si="158"/>
        <v>-</v>
      </c>
    </row>
    <row r="385" spans="1:87" ht="12.75" hidden="1" customHeight="1" x14ac:dyDescent="0.2">
      <c r="A385" s="28">
        <v>4</v>
      </c>
      <c r="B385" s="28">
        <v>5</v>
      </c>
      <c r="C385" s="11">
        <v>23</v>
      </c>
      <c r="D385" s="148" t="s">
        <v>319</v>
      </c>
      <c r="E385" s="10" t="s">
        <v>90</v>
      </c>
      <c r="F385" s="10" t="s">
        <v>210</v>
      </c>
      <c r="G385" s="10"/>
      <c r="H385" s="10"/>
      <c r="I385" s="10"/>
      <c r="J385" s="10"/>
      <c r="K385" s="575"/>
      <c r="L385" s="152"/>
      <c r="M385" s="164"/>
      <c r="N385" s="62"/>
      <c r="O385" s="62"/>
      <c r="P385" s="177"/>
      <c r="Q385" s="171"/>
      <c r="R385" s="62"/>
      <c r="S385" s="62"/>
      <c r="T385" s="62"/>
      <c r="U385" s="64"/>
      <c r="V385" s="164"/>
      <c r="W385" s="62"/>
      <c r="X385" s="62"/>
      <c r="Y385" s="62"/>
      <c r="Z385" s="64"/>
      <c r="AA385" s="164"/>
      <c r="AB385" s="62"/>
      <c r="AC385" s="62"/>
      <c r="AD385" s="64"/>
      <c r="AE385" s="164"/>
      <c r="AF385" s="62"/>
      <c r="AG385" s="62"/>
      <c r="AH385" s="337"/>
      <c r="AI385" s="337"/>
      <c r="AJ385" s="337"/>
      <c r="AK385" s="337"/>
      <c r="AL385" s="414"/>
      <c r="AM385" s="414"/>
      <c r="AN385" s="45"/>
      <c r="AO385" s="45"/>
      <c r="AP385" s="45"/>
      <c r="AQ385" s="485"/>
      <c r="AR385" s="100"/>
      <c r="AS385" s="485"/>
      <c r="AT385" s="24"/>
      <c r="AU385" s="24"/>
      <c r="AV385" s="24"/>
      <c r="AW385" s="18">
        <v>23</v>
      </c>
      <c r="AX385" s="69" t="s">
        <v>319</v>
      </c>
      <c r="AY385" s="243" t="s">
        <v>90</v>
      </c>
      <c r="AZ385" s="243" t="str">
        <f t="shared" si="140"/>
        <v>Chinook</v>
      </c>
      <c r="BA385" s="243" t="s">
        <v>419</v>
      </c>
      <c r="BB385" s="246"/>
      <c r="BC385" s="43" t="str">
        <f t="shared" si="141"/>
        <v>-</v>
      </c>
      <c r="BD385" s="43">
        <f t="shared" si="161"/>
        <v>0</v>
      </c>
      <c r="BE385" s="193">
        <f t="shared" si="159"/>
        <v>0</v>
      </c>
      <c r="BF385" s="193">
        <f t="shared" si="142"/>
        <v>0</v>
      </c>
      <c r="BG385" s="193">
        <f t="shared" si="143"/>
        <v>0</v>
      </c>
      <c r="BH385" s="307" t="str">
        <f t="shared" si="165"/>
        <v>-</v>
      </c>
      <c r="BI385" s="265" t="str">
        <f t="shared" si="166"/>
        <v>-</v>
      </c>
      <c r="BJ385" s="26" t="str">
        <f t="shared" si="144"/>
        <v>COLEMAN CREEKChinook</v>
      </c>
      <c r="BK385" s="26">
        <f t="shared" si="145"/>
        <v>0</v>
      </c>
      <c r="BL385" s="33">
        <f t="shared" si="163"/>
        <v>0</v>
      </c>
      <c r="BQ385" s="47" t="str">
        <f t="shared" si="146"/>
        <v>COLEMAN CREEKChinook</v>
      </c>
      <c r="BR385" s="49">
        <f t="shared" si="147"/>
        <v>0</v>
      </c>
      <c r="BS385" s="49">
        <f t="shared" si="148"/>
        <v>0</v>
      </c>
      <c r="BT385" s="31">
        <v>0</v>
      </c>
      <c r="BU385" s="188">
        <f t="shared" si="149"/>
        <v>0</v>
      </c>
      <c r="BV385" s="188" t="str">
        <f t="shared" si="150"/>
        <v xml:space="preserve"> </v>
      </c>
      <c r="BW385" s="188" t="str">
        <f t="shared" si="151"/>
        <v xml:space="preserve"> </v>
      </c>
      <c r="BX385" s="188" t="str">
        <f t="shared" si="152"/>
        <v xml:space="preserve"> </v>
      </c>
      <c r="BY385" s="50" t="str">
        <f t="shared" si="153"/>
        <v>COLEMAN CREEK_Chinook</v>
      </c>
      <c r="BZ385" s="50" t="str">
        <f>IFERROR(VLOOKUP(BY385,'[1]WCVI Esc'!$C$5:$W$555,18,FALSE),"-")</f>
        <v>-</v>
      </c>
      <c r="CA385" s="50" t="str">
        <f t="shared" si="154"/>
        <v>-</v>
      </c>
      <c r="CB385" s="50" t="str">
        <f>IFERROR(VLOOKUP(BY385,'[1]WCVI Esc'!$C$5:$W$555,19,FALSE),"-")</f>
        <v>-</v>
      </c>
      <c r="CC385" s="50" t="str">
        <f t="shared" si="155"/>
        <v>-</v>
      </c>
      <c r="CE385" s="342" t="str">
        <f t="shared" si="164"/>
        <v>COLEMAN CREEK_Chinook</v>
      </c>
      <c r="CF385" s="341" t="str">
        <f>IFERROR(VLOOKUP(BY385,'RawPL+D'!$O$8:$AB$503,12,FALSE),"-")</f>
        <v>-</v>
      </c>
      <c r="CG385" s="338" t="str">
        <f t="shared" si="157"/>
        <v>-</v>
      </c>
      <c r="CH385" s="341" t="str">
        <f>IFERROR(VLOOKUP(BY385,'RawPL+D'!$O$8:$AB$503,13,FALSE),"-")</f>
        <v>-</v>
      </c>
      <c r="CI385" s="338" t="str">
        <f t="shared" si="158"/>
        <v>-</v>
      </c>
    </row>
    <row r="386" spans="1:87" ht="12.75" hidden="1" customHeight="1" x14ac:dyDescent="0.2">
      <c r="A386" s="28">
        <v>4</v>
      </c>
      <c r="B386" s="28">
        <v>6</v>
      </c>
      <c r="C386" s="11">
        <v>23</v>
      </c>
      <c r="D386" s="148" t="s">
        <v>319</v>
      </c>
      <c r="E386" s="10" t="s">
        <v>90</v>
      </c>
      <c r="F386" s="10" t="s">
        <v>211</v>
      </c>
      <c r="G386" s="10"/>
      <c r="H386" s="10"/>
      <c r="I386" s="10"/>
      <c r="J386" s="10"/>
      <c r="K386" s="575"/>
      <c r="L386" s="152"/>
      <c r="M386" s="164"/>
      <c r="N386" s="62"/>
      <c r="O386" s="62"/>
      <c r="P386" s="177"/>
      <c r="Q386" s="171"/>
      <c r="R386" s="62"/>
      <c r="S386" s="62"/>
      <c r="T386" s="62"/>
      <c r="U386" s="64"/>
      <c r="V386" s="164"/>
      <c r="W386" s="62"/>
      <c r="X386" s="62"/>
      <c r="Y386" s="62"/>
      <c r="Z386" s="64"/>
      <c r="AA386" s="164"/>
      <c r="AB386" s="62"/>
      <c r="AC386" s="62"/>
      <c r="AD386" s="64"/>
      <c r="AE386" s="164"/>
      <c r="AF386" s="62"/>
      <c r="AG386" s="62"/>
      <c r="AH386" s="337"/>
      <c r="AI386" s="337"/>
      <c r="AJ386" s="337"/>
      <c r="AK386" s="337"/>
      <c r="AL386" s="414"/>
      <c r="AM386" s="414"/>
      <c r="AN386" s="45"/>
      <c r="AO386" s="45"/>
      <c r="AP386" s="45"/>
      <c r="AQ386" s="485"/>
      <c r="AR386" s="100"/>
      <c r="AS386" s="485"/>
      <c r="AT386" s="24"/>
      <c r="AU386" s="24"/>
      <c r="AV386" s="24"/>
      <c r="AW386" s="18">
        <v>23</v>
      </c>
      <c r="AX386" s="69" t="s">
        <v>319</v>
      </c>
      <c r="AY386" s="243" t="s">
        <v>90</v>
      </c>
      <c r="AZ386" s="243" t="str">
        <f t="shared" si="140"/>
        <v>Steelhead</v>
      </c>
      <c r="BA386" s="243" t="s">
        <v>419</v>
      </c>
      <c r="BB386" s="246"/>
      <c r="BC386" s="43" t="str">
        <f t="shared" si="141"/>
        <v>-</v>
      </c>
      <c r="BD386" s="43">
        <f t="shared" ref="BD386:BD410" si="167">BK386</f>
        <v>0</v>
      </c>
      <c r="BE386" s="193">
        <f t="shared" si="159"/>
        <v>0</v>
      </c>
      <c r="BF386" s="193">
        <f t="shared" si="142"/>
        <v>0</v>
      </c>
      <c r="BG386" s="193">
        <f t="shared" si="143"/>
        <v>0</v>
      </c>
      <c r="BH386" s="307" t="str">
        <f t="shared" si="165"/>
        <v>-</v>
      </c>
      <c r="BI386" s="265" t="str">
        <f t="shared" si="166"/>
        <v>-</v>
      </c>
      <c r="BJ386" s="26" t="str">
        <f t="shared" si="144"/>
        <v>COLEMAN CREEKSteelhead</v>
      </c>
      <c r="BK386" s="26">
        <f t="shared" si="145"/>
        <v>0</v>
      </c>
      <c r="BL386" s="33">
        <f t="shared" si="163"/>
        <v>0</v>
      </c>
      <c r="BQ386" s="47" t="str">
        <f t="shared" si="146"/>
        <v>COLEMAN CREEKSteelhead</v>
      </c>
      <c r="BR386" s="49">
        <f t="shared" si="147"/>
        <v>0</v>
      </c>
      <c r="BS386" s="49">
        <f t="shared" si="148"/>
        <v>0</v>
      </c>
      <c r="BT386" s="31">
        <v>0</v>
      </c>
      <c r="BU386" s="188">
        <f t="shared" si="149"/>
        <v>0</v>
      </c>
      <c r="BV386" s="188" t="str">
        <f t="shared" si="150"/>
        <v xml:space="preserve"> </v>
      </c>
      <c r="BW386" s="188" t="str">
        <f t="shared" si="151"/>
        <v xml:space="preserve"> </v>
      </c>
      <c r="BX386" s="188" t="str">
        <f t="shared" si="152"/>
        <v xml:space="preserve"> </v>
      </c>
      <c r="BY386" s="50" t="str">
        <f t="shared" si="153"/>
        <v>COLEMAN CREEK_Steelhead</v>
      </c>
      <c r="BZ386" s="50" t="str">
        <f>IFERROR(VLOOKUP(BY386,'[1]WCVI Esc'!$C$5:$W$555,18,FALSE),"-")</f>
        <v>-</v>
      </c>
      <c r="CA386" s="50" t="str">
        <f t="shared" si="154"/>
        <v>-</v>
      </c>
      <c r="CB386" s="50" t="str">
        <f>IFERROR(VLOOKUP(BY386,'[1]WCVI Esc'!$C$5:$W$555,19,FALSE),"-")</f>
        <v>-</v>
      </c>
      <c r="CC386" s="50" t="str">
        <f t="shared" si="155"/>
        <v>-</v>
      </c>
      <c r="CE386" s="342" t="str">
        <f t="shared" si="164"/>
        <v>COLEMAN CREEK_Steelhead</v>
      </c>
      <c r="CF386" s="341" t="str">
        <f>IFERROR(VLOOKUP(BY386,'RawPL+D'!$O$8:$AB$503,12,FALSE),"-")</f>
        <v>-</v>
      </c>
      <c r="CG386" s="338" t="str">
        <f t="shared" si="157"/>
        <v>-</v>
      </c>
      <c r="CH386" s="341" t="str">
        <f>IFERROR(VLOOKUP(BY386,'RawPL+D'!$O$8:$AB$503,13,FALSE),"-")</f>
        <v>-</v>
      </c>
      <c r="CI386" s="338" t="str">
        <f t="shared" si="158"/>
        <v>-</v>
      </c>
    </row>
    <row r="387" spans="1:87" ht="12.75" hidden="1" customHeight="1" x14ac:dyDescent="0.2">
      <c r="A387" s="28">
        <v>4</v>
      </c>
      <c r="B387" s="28">
        <v>1</v>
      </c>
      <c r="C387" s="11">
        <v>23</v>
      </c>
      <c r="D387" s="148" t="s">
        <v>319</v>
      </c>
      <c r="E387" s="10" t="s">
        <v>91</v>
      </c>
      <c r="F387" s="10" t="s">
        <v>207</v>
      </c>
      <c r="G387" s="10"/>
      <c r="H387" s="10"/>
      <c r="I387" s="10"/>
      <c r="J387" s="10"/>
      <c r="K387" s="575"/>
      <c r="L387" s="152"/>
      <c r="M387" s="164"/>
      <c r="N387" s="62"/>
      <c r="O387" s="62"/>
      <c r="P387" s="177"/>
      <c r="Q387" s="171"/>
      <c r="R387" s="62"/>
      <c r="S387" s="62"/>
      <c r="T387" s="64"/>
      <c r="U387" s="62"/>
      <c r="V387" s="164"/>
      <c r="W387" s="62"/>
      <c r="X387" s="62"/>
      <c r="Y387" s="62"/>
      <c r="Z387" s="64"/>
      <c r="AA387" s="164"/>
      <c r="AB387" s="62"/>
      <c r="AC387" s="62"/>
      <c r="AD387" s="64"/>
      <c r="AE387" s="164"/>
      <c r="AF387" s="62"/>
      <c r="AG387" s="62"/>
      <c r="AH387" s="337"/>
      <c r="AI387" s="337"/>
      <c r="AJ387" s="337"/>
      <c r="AK387" s="337"/>
      <c r="AL387" s="414"/>
      <c r="AM387" s="414"/>
      <c r="AN387" s="45"/>
      <c r="AO387" s="45"/>
      <c r="AP387" s="45"/>
      <c r="AQ387" s="485"/>
      <c r="AR387" s="100"/>
      <c r="AS387" s="485"/>
      <c r="AT387" s="24"/>
      <c r="AU387" s="24"/>
      <c r="AV387" s="24"/>
      <c r="AW387" s="18">
        <v>23</v>
      </c>
      <c r="AX387" s="69" t="s">
        <v>319</v>
      </c>
      <c r="AY387" s="243" t="s">
        <v>91</v>
      </c>
      <c r="AZ387" s="243" t="str">
        <f t="shared" si="140"/>
        <v>Sockeye</v>
      </c>
      <c r="BA387" s="243" t="s">
        <v>419</v>
      </c>
      <c r="BB387" s="244" t="s">
        <v>374</v>
      </c>
      <c r="BC387" s="43" t="str">
        <f t="shared" si="141"/>
        <v>-</v>
      </c>
      <c r="BD387" s="43">
        <f t="shared" si="167"/>
        <v>0</v>
      </c>
      <c r="BE387" s="193">
        <f t="shared" si="159"/>
        <v>0</v>
      </c>
      <c r="BF387" s="193">
        <f t="shared" si="142"/>
        <v>0</v>
      </c>
      <c r="BG387" s="193">
        <f t="shared" si="143"/>
        <v>0</v>
      </c>
      <c r="BH387" s="307" t="str">
        <f t="shared" si="165"/>
        <v>-</v>
      </c>
      <c r="BI387" s="265" t="str">
        <f t="shared" si="166"/>
        <v>-</v>
      </c>
      <c r="BJ387" s="26" t="str">
        <f t="shared" si="144"/>
        <v>CONSINKA CREEKSockeye</v>
      </c>
      <c r="BK387" s="26">
        <f t="shared" si="145"/>
        <v>0</v>
      </c>
      <c r="BL387" s="33">
        <f t="shared" si="163"/>
        <v>0</v>
      </c>
      <c r="BQ387" s="47" t="str">
        <f t="shared" si="146"/>
        <v>CONSINKA CREEKSockeye</v>
      </c>
      <c r="BR387" s="49">
        <f t="shared" si="147"/>
        <v>0</v>
      </c>
      <c r="BS387" s="49">
        <f t="shared" si="148"/>
        <v>0</v>
      </c>
      <c r="BT387" s="31">
        <v>0</v>
      </c>
      <c r="BU387" s="188" t="str">
        <f t="shared" si="149"/>
        <v>HFN</v>
      </c>
      <c r="BV387" s="188" t="str">
        <f t="shared" si="150"/>
        <v xml:space="preserve"> </v>
      </c>
      <c r="BW387" s="188" t="str">
        <f t="shared" si="151"/>
        <v xml:space="preserve"> </v>
      </c>
      <c r="BX387" s="188" t="str">
        <f t="shared" si="152"/>
        <v xml:space="preserve"> </v>
      </c>
      <c r="BY387" s="50" t="str">
        <f t="shared" si="153"/>
        <v>CONSINKA CREEK_Sockeye</v>
      </c>
      <c r="BZ387" s="50" t="str">
        <f>IFERROR(VLOOKUP(BY387,'[1]WCVI Esc'!$C$5:$W$555,18,FALSE),"-")</f>
        <v>-</v>
      </c>
      <c r="CA387" s="50" t="str">
        <f t="shared" si="154"/>
        <v>-</v>
      </c>
      <c r="CB387" s="50" t="str">
        <f>IFERROR(VLOOKUP(BY387,'[1]WCVI Esc'!$C$5:$W$555,19,FALSE),"-")</f>
        <v>-</v>
      </c>
      <c r="CC387" s="50" t="str">
        <f t="shared" si="155"/>
        <v>-</v>
      </c>
      <c r="CE387" s="342" t="str">
        <f t="shared" si="164"/>
        <v>CONSINKA CREEK_Sockeye</v>
      </c>
      <c r="CF387" s="341" t="str">
        <f>IFERROR(VLOOKUP(BY387,'RawPL+D'!$O$8:$AB$503,12,FALSE),"-")</f>
        <v>-</v>
      </c>
      <c r="CG387" s="338" t="str">
        <f t="shared" si="157"/>
        <v>-</v>
      </c>
      <c r="CH387" s="341" t="str">
        <f>IFERROR(VLOOKUP(BY387,'RawPL+D'!$O$8:$AB$503,13,FALSE),"-")</f>
        <v>-</v>
      </c>
      <c r="CI387" s="338" t="str">
        <f t="shared" si="158"/>
        <v>-</v>
      </c>
    </row>
    <row r="388" spans="1:87" ht="12.75" hidden="1" customHeight="1" x14ac:dyDescent="0.2">
      <c r="A388" s="28">
        <v>4</v>
      </c>
      <c r="B388" s="28">
        <v>2</v>
      </c>
      <c r="C388" s="11">
        <v>23</v>
      </c>
      <c r="D388" s="148" t="s">
        <v>319</v>
      </c>
      <c r="E388" s="10" t="s">
        <v>91</v>
      </c>
      <c r="F388" s="10" t="s">
        <v>219</v>
      </c>
      <c r="G388" s="10"/>
      <c r="H388" s="10"/>
      <c r="I388" s="10"/>
      <c r="J388" s="10"/>
      <c r="K388" s="575"/>
      <c r="L388" s="152"/>
      <c r="M388" s="164"/>
      <c r="N388" s="62"/>
      <c r="O388" s="62"/>
      <c r="P388" s="177"/>
      <c r="Q388" s="171"/>
      <c r="R388" s="62"/>
      <c r="S388" s="62"/>
      <c r="T388" s="64"/>
      <c r="U388" s="62"/>
      <c r="V388" s="164"/>
      <c r="W388" s="62"/>
      <c r="X388" s="62"/>
      <c r="Y388" s="62"/>
      <c r="Z388" s="64"/>
      <c r="AA388" s="164"/>
      <c r="AB388" s="62"/>
      <c r="AC388" s="62"/>
      <c r="AD388" s="64"/>
      <c r="AE388" s="164"/>
      <c r="AF388" s="62"/>
      <c r="AG388" s="62"/>
      <c r="AH388" s="337"/>
      <c r="AI388" s="337"/>
      <c r="AJ388" s="337"/>
      <c r="AK388" s="337"/>
      <c r="AL388" s="414"/>
      <c r="AM388" s="414"/>
      <c r="AN388" s="45"/>
      <c r="AO388" s="45"/>
      <c r="AP388" s="45"/>
      <c r="AQ388" s="485"/>
      <c r="AR388" s="100"/>
      <c r="AS388" s="485"/>
      <c r="AT388" s="24"/>
      <c r="AU388" s="24"/>
      <c r="AV388" s="24"/>
      <c r="AW388" s="18">
        <v>23</v>
      </c>
      <c r="AX388" s="69" t="s">
        <v>319</v>
      </c>
      <c r="AY388" s="243" t="s">
        <v>91</v>
      </c>
      <c r="AZ388" s="243" t="str">
        <f t="shared" si="140"/>
        <v>Coho</v>
      </c>
      <c r="BA388" s="243" t="s">
        <v>419</v>
      </c>
      <c r="BB388" s="244" t="s">
        <v>374</v>
      </c>
      <c r="BC388" s="43" t="str">
        <f t="shared" si="141"/>
        <v>-</v>
      </c>
      <c r="BD388" s="43">
        <f t="shared" si="167"/>
        <v>0</v>
      </c>
      <c r="BE388" s="193">
        <f t="shared" si="159"/>
        <v>0</v>
      </c>
      <c r="BF388" s="193">
        <f t="shared" si="142"/>
        <v>0</v>
      </c>
      <c r="BG388" s="193">
        <f t="shared" si="143"/>
        <v>0</v>
      </c>
      <c r="BH388" s="307" t="str">
        <f t="shared" si="165"/>
        <v>-</v>
      </c>
      <c r="BI388" s="265">
        <f t="shared" si="166"/>
        <v>0</v>
      </c>
      <c r="BJ388" s="26" t="str">
        <f t="shared" si="144"/>
        <v>CONSINKA CREEKCoho</v>
      </c>
      <c r="BK388" s="26">
        <f t="shared" si="145"/>
        <v>0</v>
      </c>
      <c r="BL388" s="33">
        <f t="shared" si="163"/>
        <v>0</v>
      </c>
      <c r="BQ388" s="47" t="str">
        <f t="shared" si="146"/>
        <v>CONSINKA CREEKCoho</v>
      </c>
      <c r="BR388" s="49">
        <f t="shared" si="147"/>
        <v>0</v>
      </c>
      <c r="BS388" s="49">
        <f t="shared" si="148"/>
        <v>0</v>
      </c>
      <c r="BT388" s="31">
        <v>0</v>
      </c>
      <c r="BU388" s="188" t="str">
        <f t="shared" si="149"/>
        <v>HFN</v>
      </c>
      <c r="BV388" s="188" t="str">
        <f t="shared" si="150"/>
        <v xml:space="preserve"> </v>
      </c>
      <c r="BW388" s="188" t="str">
        <f t="shared" si="151"/>
        <v xml:space="preserve"> </v>
      </c>
      <c r="BX388" s="188" t="str">
        <f t="shared" si="152"/>
        <v xml:space="preserve"> </v>
      </c>
      <c r="BY388" s="50" t="str">
        <f t="shared" si="153"/>
        <v>CONSINKA CREEK_Coho</v>
      </c>
      <c r="BZ388" s="50">
        <f>IFERROR(VLOOKUP(BY388,'[1]WCVI Esc'!$C$5:$W$555,18,FALSE),"-")</f>
        <v>2</v>
      </c>
      <c r="CA388" s="50">
        <f t="shared" si="154"/>
        <v>0</v>
      </c>
      <c r="CB388" s="50">
        <f>IFERROR(VLOOKUP(BY388,'[1]WCVI Esc'!$C$5:$W$555,19,FALSE),"-")</f>
        <v>2</v>
      </c>
      <c r="CC388" s="50">
        <f t="shared" si="155"/>
        <v>0</v>
      </c>
      <c r="CE388" s="342" t="str">
        <f t="shared" si="164"/>
        <v>CONSINKA CREEK_Coho</v>
      </c>
      <c r="CF388" s="341" t="str">
        <f>IFERROR(VLOOKUP(BY388,'RawPL+D'!$O$8:$AB$503,12,FALSE),"-")</f>
        <v>-</v>
      </c>
      <c r="CG388" s="338" t="str">
        <f t="shared" si="157"/>
        <v>-</v>
      </c>
      <c r="CH388" s="341" t="str">
        <f>IFERROR(VLOOKUP(BY388,'RawPL+D'!$O$8:$AB$503,13,FALSE),"-")</f>
        <v>-</v>
      </c>
      <c r="CI388" s="338" t="str">
        <f t="shared" si="158"/>
        <v>-</v>
      </c>
    </row>
    <row r="389" spans="1:87" ht="12.75" hidden="1" customHeight="1" x14ac:dyDescent="0.2">
      <c r="A389" s="28">
        <v>4</v>
      </c>
      <c r="B389" s="28">
        <v>3</v>
      </c>
      <c r="C389" s="11">
        <v>23</v>
      </c>
      <c r="D389" s="148" t="s">
        <v>319</v>
      </c>
      <c r="E389" s="10" t="s">
        <v>91</v>
      </c>
      <c r="F389" s="10" t="s">
        <v>208</v>
      </c>
      <c r="G389" s="10"/>
      <c r="H389" s="10"/>
      <c r="I389" s="10"/>
      <c r="J389" s="10"/>
      <c r="K389" s="575"/>
      <c r="L389" s="152"/>
      <c r="M389" s="164"/>
      <c r="N389" s="62"/>
      <c r="O389" s="62"/>
      <c r="P389" s="177"/>
      <c r="Q389" s="171"/>
      <c r="R389" s="62"/>
      <c r="S389" s="62"/>
      <c r="T389" s="64"/>
      <c r="U389" s="62"/>
      <c r="V389" s="164"/>
      <c r="W389" s="62"/>
      <c r="X389" s="62"/>
      <c r="Y389" s="62"/>
      <c r="Z389" s="64"/>
      <c r="AA389" s="164"/>
      <c r="AB389" s="62"/>
      <c r="AC389" s="62"/>
      <c r="AD389" s="64"/>
      <c r="AE389" s="164"/>
      <c r="AF389" s="62"/>
      <c r="AG389" s="62"/>
      <c r="AH389" s="337"/>
      <c r="AI389" s="337"/>
      <c r="AJ389" s="337"/>
      <c r="AK389" s="337"/>
      <c r="AL389" s="414"/>
      <c r="AM389" s="414"/>
      <c r="AN389" s="45"/>
      <c r="AO389" s="45"/>
      <c r="AP389" s="45"/>
      <c r="AQ389" s="485"/>
      <c r="AR389" s="100"/>
      <c r="AS389" s="485"/>
      <c r="AT389" s="24"/>
      <c r="AU389" s="24"/>
      <c r="AV389" s="24"/>
      <c r="AW389" s="18">
        <v>23</v>
      </c>
      <c r="AX389" s="69" t="s">
        <v>319</v>
      </c>
      <c r="AY389" s="243" t="s">
        <v>91</v>
      </c>
      <c r="AZ389" s="243" t="str">
        <f t="shared" si="140"/>
        <v>Pink</v>
      </c>
      <c r="BA389" s="243" t="s">
        <v>419</v>
      </c>
      <c r="BB389" s="244" t="s">
        <v>374</v>
      </c>
      <c r="BC389" s="43" t="str">
        <f t="shared" si="141"/>
        <v>-</v>
      </c>
      <c r="BD389" s="43">
        <f t="shared" si="167"/>
        <v>0</v>
      </c>
      <c r="BE389" s="193">
        <f t="shared" si="159"/>
        <v>0</v>
      </c>
      <c r="BF389" s="193">
        <f t="shared" si="142"/>
        <v>0</v>
      </c>
      <c r="BG389" s="193">
        <f t="shared" si="143"/>
        <v>0</v>
      </c>
      <c r="BH389" s="307" t="str">
        <f t="shared" si="165"/>
        <v>-</v>
      </c>
      <c r="BI389" s="265" t="str">
        <f t="shared" si="166"/>
        <v>-</v>
      </c>
      <c r="BJ389" s="26" t="str">
        <f t="shared" si="144"/>
        <v>CONSINKA CREEKPink</v>
      </c>
      <c r="BK389" s="26">
        <f t="shared" si="145"/>
        <v>0</v>
      </c>
      <c r="BL389" s="33">
        <f t="shared" si="163"/>
        <v>0</v>
      </c>
      <c r="BQ389" s="47" t="str">
        <f t="shared" si="146"/>
        <v>CONSINKA CREEKPink</v>
      </c>
      <c r="BR389" s="49">
        <f t="shared" si="147"/>
        <v>0</v>
      </c>
      <c r="BS389" s="49">
        <f t="shared" si="148"/>
        <v>0</v>
      </c>
      <c r="BT389" s="31">
        <v>0</v>
      </c>
      <c r="BU389" s="188" t="str">
        <f t="shared" si="149"/>
        <v>HFN</v>
      </c>
      <c r="BV389" s="188" t="str">
        <f t="shared" si="150"/>
        <v xml:space="preserve"> </v>
      </c>
      <c r="BW389" s="188" t="str">
        <f t="shared" si="151"/>
        <v xml:space="preserve"> </v>
      </c>
      <c r="BX389" s="188" t="str">
        <f t="shared" si="152"/>
        <v xml:space="preserve"> </v>
      </c>
      <c r="BY389" s="50" t="str">
        <f t="shared" si="153"/>
        <v>CONSINKA CREEK_Pink</v>
      </c>
      <c r="BZ389" s="50" t="str">
        <f>IFERROR(VLOOKUP(BY389,'[1]WCVI Esc'!$C$5:$W$555,18,FALSE),"-")</f>
        <v>-</v>
      </c>
      <c r="CA389" s="50" t="str">
        <f t="shared" si="154"/>
        <v>-</v>
      </c>
      <c r="CB389" s="50" t="str">
        <f>IFERROR(VLOOKUP(BY389,'[1]WCVI Esc'!$C$5:$W$555,19,FALSE),"-")</f>
        <v>-</v>
      </c>
      <c r="CC389" s="50" t="str">
        <f t="shared" si="155"/>
        <v>-</v>
      </c>
      <c r="CE389" s="342" t="str">
        <f t="shared" si="164"/>
        <v>CONSINKA CREEK_Pink</v>
      </c>
      <c r="CF389" s="341" t="str">
        <f>IFERROR(VLOOKUP(BY389,'RawPL+D'!$O$8:$AB$503,12,FALSE),"-")</f>
        <v>-</v>
      </c>
      <c r="CG389" s="338" t="str">
        <f t="shared" si="157"/>
        <v>-</v>
      </c>
      <c r="CH389" s="341" t="str">
        <f>IFERROR(VLOOKUP(BY389,'RawPL+D'!$O$8:$AB$503,13,FALSE),"-")</f>
        <v>-</v>
      </c>
      <c r="CI389" s="338" t="str">
        <f t="shared" si="158"/>
        <v>-</v>
      </c>
    </row>
    <row r="390" spans="1:87" ht="12.75" hidden="1" customHeight="1" x14ac:dyDescent="0.2">
      <c r="A390" s="28">
        <v>4</v>
      </c>
      <c r="B390" s="28">
        <v>4</v>
      </c>
      <c r="C390" s="11">
        <v>23</v>
      </c>
      <c r="D390" s="148" t="s">
        <v>319</v>
      </c>
      <c r="E390" s="10" t="s">
        <v>91</v>
      </c>
      <c r="F390" s="10" t="s">
        <v>209</v>
      </c>
      <c r="G390" s="10"/>
      <c r="H390" s="10"/>
      <c r="I390" s="10"/>
      <c r="J390" s="10"/>
      <c r="K390" s="575"/>
      <c r="L390" s="152"/>
      <c r="M390" s="164"/>
      <c r="N390" s="62"/>
      <c r="O390" s="62"/>
      <c r="P390" s="177"/>
      <c r="Q390" s="171"/>
      <c r="R390" s="62"/>
      <c r="S390" s="62"/>
      <c r="T390" s="64"/>
      <c r="U390" s="177"/>
      <c r="V390" s="164"/>
      <c r="W390" s="62"/>
      <c r="X390" s="62"/>
      <c r="Y390" s="62"/>
      <c r="Z390" s="64"/>
      <c r="AA390" s="164"/>
      <c r="AB390" s="62"/>
      <c r="AC390" s="62"/>
      <c r="AD390" s="64"/>
      <c r="AE390" s="164"/>
      <c r="AF390" s="62"/>
      <c r="AG390" s="62"/>
      <c r="AH390" s="337"/>
      <c r="AI390" s="337"/>
      <c r="AJ390" s="337"/>
      <c r="AK390" s="337"/>
      <c r="AL390" s="414"/>
      <c r="AM390" s="414"/>
      <c r="AN390" s="45"/>
      <c r="AO390" s="45"/>
      <c r="AP390" s="45"/>
      <c r="AQ390" s="485">
        <f>AL390/BI390</f>
        <v>0</v>
      </c>
      <c r="AR390" s="100">
        <f>BL390/BI390</f>
        <v>0</v>
      </c>
      <c r="AS390" s="485"/>
      <c r="AT390" s="24"/>
      <c r="AU390" s="24"/>
      <c r="AV390" s="24"/>
      <c r="AW390" s="18">
        <v>23</v>
      </c>
      <c r="AX390" s="69" t="s">
        <v>319</v>
      </c>
      <c r="AY390" s="243" t="s">
        <v>91</v>
      </c>
      <c r="AZ390" s="243" t="str">
        <f t="shared" si="140"/>
        <v>Chum</v>
      </c>
      <c r="BA390" s="243" t="s">
        <v>419</v>
      </c>
      <c r="BB390" s="244" t="s">
        <v>374</v>
      </c>
      <c r="BC390" s="43" t="str">
        <f t="shared" si="141"/>
        <v>-</v>
      </c>
      <c r="BD390" s="43">
        <f t="shared" si="167"/>
        <v>0</v>
      </c>
      <c r="BE390" s="193">
        <f t="shared" si="159"/>
        <v>0</v>
      </c>
      <c r="BF390" s="193">
        <f t="shared" si="142"/>
        <v>0</v>
      </c>
      <c r="BG390" s="193">
        <f t="shared" si="143"/>
        <v>0</v>
      </c>
      <c r="BH390" s="307" t="str">
        <f t="shared" si="165"/>
        <v>-</v>
      </c>
      <c r="BI390" s="265">
        <f t="shared" si="166"/>
        <v>320</v>
      </c>
      <c r="BJ390" s="26" t="str">
        <f t="shared" si="144"/>
        <v>CONSINKA CREEKChum</v>
      </c>
      <c r="BK390" s="26">
        <f t="shared" si="145"/>
        <v>0</v>
      </c>
      <c r="BL390" s="33">
        <f t="shared" si="163"/>
        <v>0</v>
      </c>
      <c r="BQ390" s="47" t="str">
        <f t="shared" si="146"/>
        <v>CONSINKA CREEKChum</v>
      </c>
      <c r="BR390" s="49">
        <f t="shared" si="147"/>
        <v>0</v>
      </c>
      <c r="BS390" s="49">
        <f t="shared" si="148"/>
        <v>0</v>
      </c>
      <c r="BT390" s="31">
        <v>2011</v>
      </c>
      <c r="BU390" s="188" t="str">
        <f t="shared" si="149"/>
        <v>HFN</v>
      </c>
      <c r="BV390" s="188" t="str">
        <f t="shared" si="150"/>
        <v xml:space="preserve"> </v>
      </c>
      <c r="BW390" s="188" t="str">
        <f t="shared" si="151"/>
        <v xml:space="preserve"> </v>
      </c>
      <c r="BX390" s="188" t="str">
        <f t="shared" si="152"/>
        <v xml:space="preserve"> </v>
      </c>
      <c r="BY390" s="50" t="str">
        <f t="shared" si="153"/>
        <v>CONSINKA CREEK_Chum</v>
      </c>
      <c r="BZ390" s="50" t="str">
        <f>IFERROR(VLOOKUP(BY390,'[1]WCVI Esc'!$C$5:$W$555,18,FALSE),"-")</f>
        <v>-</v>
      </c>
      <c r="CA390" s="50" t="str">
        <f t="shared" si="154"/>
        <v>-</v>
      </c>
      <c r="CB390" s="50">
        <f>IFERROR(VLOOKUP(BY390,'[1]WCVI Esc'!$C$5:$W$555,19,FALSE),"-")</f>
        <v>320</v>
      </c>
      <c r="CC390" s="50">
        <f t="shared" si="155"/>
        <v>320</v>
      </c>
      <c r="CE390" s="342" t="str">
        <f t="shared" si="164"/>
        <v>CONSINKA CREEK_Chum</v>
      </c>
      <c r="CF390" s="341" t="str">
        <f>IFERROR(VLOOKUP(BY390,'RawPL+D'!$O$8:$AB$503,12,FALSE),"-")</f>
        <v>-</v>
      </c>
      <c r="CG390" s="338" t="str">
        <f t="shared" si="157"/>
        <v>-</v>
      </c>
      <c r="CH390" s="341" t="str">
        <f>IFERROR(VLOOKUP(BY390,'RawPL+D'!$O$8:$AB$503,13,FALSE),"-")</f>
        <v>-</v>
      </c>
      <c r="CI390" s="338" t="str">
        <f t="shared" si="158"/>
        <v>-</v>
      </c>
    </row>
    <row r="391" spans="1:87" ht="12.75" hidden="1" customHeight="1" x14ac:dyDescent="0.2">
      <c r="A391" s="28">
        <v>4</v>
      </c>
      <c r="B391" s="28">
        <v>5</v>
      </c>
      <c r="C391" s="11">
        <v>23</v>
      </c>
      <c r="D391" s="148" t="s">
        <v>319</v>
      </c>
      <c r="E391" s="10" t="s">
        <v>91</v>
      </c>
      <c r="F391" s="10" t="s">
        <v>210</v>
      </c>
      <c r="G391" s="10"/>
      <c r="H391" s="10"/>
      <c r="I391" s="10"/>
      <c r="J391" s="10"/>
      <c r="K391" s="575"/>
      <c r="L391" s="152"/>
      <c r="M391" s="164"/>
      <c r="N391" s="62"/>
      <c r="O391" s="62"/>
      <c r="P391" s="177"/>
      <c r="Q391" s="171"/>
      <c r="R391" s="62"/>
      <c r="S391" s="62"/>
      <c r="T391" s="64"/>
      <c r="U391" s="62"/>
      <c r="V391" s="164"/>
      <c r="W391" s="62"/>
      <c r="X391" s="62"/>
      <c r="Y391" s="62"/>
      <c r="Z391" s="64"/>
      <c r="AA391" s="164"/>
      <c r="AB391" s="62"/>
      <c r="AC391" s="62"/>
      <c r="AD391" s="64"/>
      <c r="AE391" s="164"/>
      <c r="AF391" s="62"/>
      <c r="AG391" s="62"/>
      <c r="AH391" s="337"/>
      <c r="AI391" s="337"/>
      <c r="AJ391" s="337"/>
      <c r="AK391" s="337"/>
      <c r="AL391" s="414"/>
      <c r="AM391" s="414"/>
      <c r="AN391" s="45"/>
      <c r="AO391" s="45"/>
      <c r="AP391" s="45"/>
      <c r="AQ391" s="485"/>
      <c r="AR391" s="100"/>
      <c r="AS391" s="485"/>
      <c r="AT391" s="24"/>
      <c r="AU391" s="24"/>
      <c r="AV391" s="24"/>
      <c r="AW391" s="18">
        <v>23</v>
      </c>
      <c r="AX391" s="69" t="s">
        <v>319</v>
      </c>
      <c r="AY391" s="243" t="s">
        <v>91</v>
      </c>
      <c r="AZ391" s="243" t="str">
        <f t="shared" si="140"/>
        <v>Chinook</v>
      </c>
      <c r="BA391" s="243" t="s">
        <v>419</v>
      </c>
      <c r="BB391" s="244" t="s">
        <v>374</v>
      </c>
      <c r="BC391" s="43" t="str">
        <f t="shared" si="141"/>
        <v>-</v>
      </c>
      <c r="BD391" s="43">
        <f t="shared" si="167"/>
        <v>0</v>
      </c>
      <c r="BE391" s="193">
        <f t="shared" si="159"/>
        <v>0</v>
      </c>
      <c r="BF391" s="193">
        <f t="shared" si="142"/>
        <v>0</v>
      </c>
      <c r="BG391" s="193">
        <f t="shared" si="143"/>
        <v>0</v>
      </c>
      <c r="BH391" s="307" t="str">
        <f t="shared" si="165"/>
        <v>-</v>
      </c>
      <c r="BI391" s="265" t="str">
        <f t="shared" si="166"/>
        <v>-</v>
      </c>
      <c r="BJ391" s="26" t="str">
        <f t="shared" si="144"/>
        <v>CONSINKA CREEKChinook</v>
      </c>
      <c r="BK391" s="26">
        <f t="shared" si="145"/>
        <v>0</v>
      </c>
      <c r="BL391" s="33">
        <f t="shared" si="163"/>
        <v>0</v>
      </c>
      <c r="BQ391" s="47" t="str">
        <f t="shared" si="146"/>
        <v>CONSINKA CREEKChinook</v>
      </c>
      <c r="BR391" s="49">
        <f t="shared" si="147"/>
        <v>0</v>
      </c>
      <c r="BS391" s="49">
        <f t="shared" si="148"/>
        <v>0</v>
      </c>
      <c r="BT391" s="31">
        <v>2011</v>
      </c>
      <c r="BU391" s="188" t="str">
        <f t="shared" si="149"/>
        <v>HFN</v>
      </c>
      <c r="BV391" s="188" t="str">
        <f t="shared" si="150"/>
        <v xml:space="preserve"> </v>
      </c>
      <c r="BW391" s="188" t="str">
        <f t="shared" si="151"/>
        <v xml:space="preserve"> </v>
      </c>
      <c r="BX391" s="188" t="str">
        <f t="shared" si="152"/>
        <v xml:space="preserve"> </v>
      </c>
      <c r="BY391" s="50" t="str">
        <f t="shared" si="153"/>
        <v>CONSINKA CREEK_Chinook</v>
      </c>
      <c r="BZ391" s="50" t="str">
        <f>IFERROR(VLOOKUP(BY391,'[1]WCVI Esc'!$C$5:$W$555,18,FALSE),"-")</f>
        <v>-</v>
      </c>
      <c r="CA391" s="50" t="str">
        <f t="shared" si="154"/>
        <v>-</v>
      </c>
      <c r="CB391" s="50" t="str">
        <f>IFERROR(VLOOKUP(BY391,'[1]WCVI Esc'!$C$5:$W$555,19,FALSE),"-")</f>
        <v>-</v>
      </c>
      <c r="CC391" s="50" t="str">
        <f t="shared" si="155"/>
        <v>-</v>
      </c>
      <c r="CE391" s="342" t="str">
        <f t="shared" si="164"/>
        <v>CONSINKA CREEK_Chinook</v>
      </c>
      <c r="CF391" s="341" t="str">
        <f>IFERROR(VLOOKUP(BY391,'RawPL+D'!$O$8:$AB$503,12,FALSE),"-")</f>
        <v>-</v>
      </c>
      <c r="CG391" s="338" t="str">
        <f t="shared" si="157"/>
        <v>-</v>
      </c>
      <c r="CH391" s="341" t="str">
        <f>IFERROR(VLOOKUP(BY391,'RawPL+D'!$O$8:$AB$503,13,FALSE),"-")</f>
        <v>-</v>
      </c>
      <c r="CI391" s="338" t="str">
        <f t="shared" si="158"/>
        <v>-</v>
      </c>
    </row>
    <row r="392" spans="1:87" ht="12.75" hidden="1" customHeight="1" x14ac:dyDescent="0.2">
      <c r="A392" s="28">
        <v>4</v>
      </c>
      <c r="B392" s="28">
        <v>6</v>
      </c>
      <c r="C392" s="11">
        <v>23</v>
      </c>
      <c r="D392" s="148" t="s">
        <v>319</v>
      </c>
      <c r="E392" s="10" t="s">
        <v>91</v>
      </c>
      <c r="F392" s="10" t="s">
        <v>211</v>
      </c>
      <c r="G392" s="10"/>
      <c r="H392" s="10"/>
      <c r="I392" s="10"/>
      <c r="J392" s="10"/>
      <c r="K392" s="575"/>
      <c r="L392" s="152"/>
      <c r="M392" s="164"/>
      <c r="N392" s="62"/>
      <c r="O392" s="62"/>
      <c r="P392" s="177"/>
      <c r="Q392" s="171"/>
      <c r="R392" s="62"/>
      <c r="S392" s="62"/>
      <c r="T392" s="64"/>
      <c r="U392" s="62"/>
      <c r="V392" s="164"/>
      <c r="W392" s="62"/>
      <c r="X392" s="62"/>
      <c r="Y392" s="62"/>
      <c r="Z392" s="64"/>
      <c r="AA392" s="164"/>
      <c r="AB392" s="62"/>
      <c r="AC392" s="62"/>
      <c r="AD392" s="64"/>
      <c r="AE392" s="164"/>
      <c r="AF392" s="62"/>
      <c r="AG392" s="62"/>
      <c r="AH392" s="337"/>
      <c r="AI392" s="337"/>
      <c r="AJ392" s="337"/>
      <c r="AK392" s="337"/>
      <c r="AL392" s="414"/>
      <c r="AM392" s="414"/>
      <c r="AN392" s="45"/>
      <c r="AO392" s="45"/>
      <c r="AP392" s="45"/>
      <c r="AQ392" s="485"/>
      <c r="AR392" s="100"/>
      <c r="AS392" s="485"/>
      <c r="AT392" s="24"/>
      <c r="AU392" s="24"/>
      <c r="AV392" s="24"/>
      <c r="AW392" s="18">
        <v>23</v>
      </c>
      <c r="AX392" s="69" t="s">
        <v>319</v>
      </c>
      <c r="AY392" s="243" t="s">
        <v>91</v>
      </c>
      <c r="AZ392" s="243" t="str">
        <f t="shared" si="140"/>
        <v>Steelhead</v>
      </c>
      <c r="BA392" s="243" t="s">
        <v>419</v>
      </c>
      <c r="BB392" s="244" t="s">
        <v>374</v>
      </c>
      <c r="BC392" s="43" t="str">
        <f t="shared" si="141"/>
        <v>-</v>
      </c>
      <c r="BD392" s="43">
        <f t="shared" si="167"/>
        <v>0</v>
      </c>
      <c r="BE392" s="193">
        <f t="shared" si="159"/>
        <v>0</v>
      </c>
      <c r="BF392" s="193">
        <f t="shared" si="142"/>
        <v>0</v>
      </c>
      <c r="BG392" s="193">
        <f t="shared" si="143"/>
        <v>0</v>
      </c>
      <c r="BH392" s="307" t="str">
        <f t="shared" si="165"/>
        <v>-</v>
      </c>
      <c r="BI392" s="265" t="str">
        <f t="shared" si="166"/>
        <v>-</v>
      </c>
      <c r="BJ392" s="26" t="str">
        <f t="shared" si="144"/>
        <v>CONSINKA CREEKSteelhead</v>
      </c>
      <c r="BK392" s="26">
        <f t="shared" si="145"/>
        <v>0</v>
      </c>
      <c r="BL392" s="33">
        <f t="shared" si="163"/>
        <v>0</v>
      </c>
      <c r="BQ392" s="47" t="str">
        <f t="shared" si="146"/>
        <v>CONSINKA CREEKSteelhead</v>
      </c>
      <c r="BR392" s="49">
        <f t="shared" si="147"/>
        <v>0</v>
      </c>
      <c r="BS392" s="49">
        <f t="shared" si="148"/>
        <v>0</v>
      </c>
      <c r="BT392" s="31">
        <v>0</v>
      </c>
      <c r="BU392" s="188" t="str">
        <f t="shared" si="149"/>
        <v>HFN</v>
      </c>
      <c r="BV392" s="188" t="str">
        <f t="shared" si="150"/>
        <v xml:space="preserve"> </v>
      </c>
      <c r="BW392" s="188" t="str">
        <f t="shared" si="151"/>
        <v xml:space="preserve"> </v>
      </c>
      <c r="BX392" s="188" t="str">
        <f t="shared" si="152"/>
        <v xml:space="preserve"> </v>
      </c>
      <c r="BY392" s="50" t="str">
        <f t="shared" si="153"/>
        <v>CONSINKA CREEK_Steelhead</v>
      </c>
      <c r="BZ392" s="50" t="str">
        <f>IFERROR(VLOOKUP(BY392,'[1]WCVI Esc'!$C$5:$W$555,18,FALSE),"-")</f>
        <v>-</v>
      </c>
      <c r="CA392" s="50" t="str">
        <f t="shared" si="154"/>
        <v>-</v>
      </c>
      <c r="CB392" s="50" t="str">
        <f>IFERROR(VLOOKUP(BY392,'[1]WCVI Esc'!$C$5:$W$555,19,FALSE),"-")</f>
        <v>-</v>
      </c>
      <c r="CC392" s="50" t="str">
        <f t="shared" si="155"/>
        <v>-</v>
      </c>
      <c r="CE392" s="342" t="str">
        <f t="shared" si="164"/>
        <v>CONSINKA CREEK_Steelhead</v>
      </c>
      <c r="CF392" s="341" t="str">
        <f>IFERROR(VLOOKUP(BY392,'RawPL+D'!$O$8:$AB$503,12,FALSE),"-")</f>
        <v>-</v>
      </c>
      <c r="CG392" s="338" t="str">
        <f t="shared" si="157"/>
        <v>-</v>
      </c>
      <c r="CH392" s="341" t="str">
        <f>IFERROR(VLOOKUP(BY392,'RawPL+D'!$O$8:$AB$503,13,FALSE),"-")</f>
        <v>-</v>
      </c>
      <c r="CI392" s="338" t="str">
        <f t="shared" si="158"/>
        <v>-</v>
      </c>
    </row>
    <row r="393" spans="1:87" ht="12.75" hidden="1" customHeight="1" x14ac:dyDescent="0.2">
      <c r="A393" s="28">
        <v>4</v>
      </c>
      <c r="B393" s="28">
        <v>1</v>
      </c>
      <c r="C393" s="11">
        <v>23</v>
      </c>
      <c r="D393" s="13" t="s">
        <v>319</v>
      </c>
      <c r="E393" s="10" t="s">
        <v>175</v>
      </c>
      <c r="F393" s="10" t="s">
        <v>207</v>
      </c>
      <c r="G393" s="10"/>
      <c r="H393" s="10"/>
      <c r="I393" s="10"/>
      <c r="J393" s="10"/>
      <c r="K393" s="575"/>
      <c r="L393" s="152"/>
      <c r="M393" s="164"/>
      <c r="N393" s="62"/>
      <c r="O393" s="62"/>
      <c r="P393" s="177"/>
      <c r="Q393" s="171"/>
      <c r="R393" s="62"/>
      <c r="S393" s="62"/>
      <c r="T393" s="62"/>
      <c r="U393" s="64"/>
      <c r="V393" s="164"/>
      <c r="W393" s="62"/>
      <c r="X393" s="62"/>
      <c r="Y393" s="62"/>
      <c r="Z393" s="64"/>
      <c r="AA393" s="164"/>
      <c r="AB393" s="62"/>
      <c r="AC393" s="62"/>
      <c r="AD393" s="64"/>
      <c r="AE393" s="164"/>
      <c r="AF393" s="62"/>
      <c r="AG393" s="62"/>
      <c r="AH393" s="337"/>
      <c r="AI393" s="337"/>
      <c r="AJ393" s="337"/>
      <c r="AK393" s="337"/>
      <c r="AL393" s="552"/>
      <c r="AM393" s="552"/>
      <c r="AN393" s="45"/>
      <c r="AO393" s="45"/>
      <c r="AP393" s="45"/>
      <c r="AQ393" s="485"/>
      <c r="AR393" s="100"/>
      <c r="AS393" s="485"/>
      <c r="AT393" s="24"/>
      <c r="AU393" s="24"/>
      <c r="AV393" s="24"/>
      <c r="AW393" s="18">
        <v>23</v>
      </c>
      <c r="AX393" s="69" t="s">
        <v>319</v>
      </c>
      <c r="AY393" s="243" t="s">
        <v>175</v>
      </c>
      <c r="AZ393" s="243" t="str">
        <f t="shared" ref="AZ393:AZ456" si="168">F393</f>
        <v>Sockeye</v>
      </c>
      <c r="BA393" s="243" t="s">
        <v>419</v>
      </c>
      <c r="BB393" s="244" t="s">
        <v>374</v>
      </c>
      <c r="BC393" s="43" t="str">
        <f t="shared" ref="BC393:BC456" si="169">IF(BX393=" ",IF(BW393=" ", IF(BV393=" ","-",BV393),BW393), BX393)</f>
        <v>-</v>
      </c>
      <c r="BD393" s="43">
        <f t="shared" si="167"/>
        <v>0</v>
      </c>
      <c r="BE393" s="193">
        <f t="shared" si="159"/>
        <v>0</v>
      </c>
      <c r="BF393" s="193">
        <f t="shared" ref="BF393:BF456" si="170">AL393</f>
        <v>0</v>
      </c>
      <c r="BG393" s="193">
        <f t="shared" ref="BG393:BG456" si="171">AH393</f>
        <v>0</v>
      </c>
      <c r="BH393" s="307" t="str">
        <f t="shared" si="165"/>
        <v>-</v>
      </c>
      <c r="BI393" s="265"/>
      <c r="BJ393" s="26" t="str">
        <f t="shared" ref="BJ393:BJ456" si="172">CONCATENATE(E393,F393)</f>
        <v>FREDERICK CREEKSockeye</v>
      </c>
      <c r="BK393" s="26">
        <f t="shared" ref="BK393:BK456" si="173">COUNT(K393:AB393)</f>
        <v>0</v>
      </c>
      <c r="BL393" s="33">
        <f t="shared" si="163"/>
        <v>0</v>
      </c>
      <c r="BQ393" s="47" t="str">
        <f t="shared" ref="BQ393:BQ456" si="174">CONCATENATE(E393,F393)</f>
        <v>FREDERICK CREEKSockeye</v>
      </c>
      <c r="BR393" s="49">
        <f t="shared" ref="BR393:BR456" si="175">AP393</f>
        <v>0</v>
      </c>
      <c r="BS393" s="49">
        <f t="shared" ref="BS393:BS456" si="176">AL393</f>
        <v>0</v>
      </c>
      <c r="BT393" s="31">
        <v>0</v>
      </c>
      <c r="BU393" s="188" t="str">
        <f t="shared" ref="BU393:BU456" si="177">BB393</f>
        <v>HFN</v>
      </c>
      <c r="BV393" s="188" t="str">
        <f t="shared" ref="BV393:BV456" si="178">IF(ISNUMBER(Q393),Q$8,IF(ISNUMBER(P393),P$8,IF(ISNUMBER(O393),O$8,IF(ISNUMBER(N393),N$8,IF(ISNUMBER(M393),M$8,IF(ISNUMBER(L393),L$8, IF(ISNUMBER(K393),K$8," ")))))))</f>
        <v xml:space="preserve"> </v>
      </c>
      <c r="BW393" s="188" t="str">
        <f t="shared" ref="BW393:BW456" si="179">IF(ISNUMBER(W393),W$8,IF(ISNUMBER(V393),V$8,IF(ISNUMBER(U393),U$8,IF(ISNUMBER(T393),T$8,IF(ISNUMBER(S393),S$8,IF(ISNUMBER(R393),R$8," "))))))</f>
        <v xml:space="preserve"> </v>
      </c>
      <c r="BX393" s="188" t="str">
        <f t="shared" ref="BX393:BX456" si="180">IF(ISNUMBER(AB393),AB$8,IF(ISNUMBER(AA393),AA$8,IF(ISNUMBER(Z393),Z$8,IF(ISNUMBER(Y393),Y$8,IF(ISNUMBER(X393),X$8," ")))))</f>
        <v xml:space="preserve"> </v>
      </c>
      <c r="BY393" s="50" t="str">
        <f t="shared" ref="BY393:BY434" si="181">CONCATENATE(E393,"_",F393)</f>
        <v>FREDERICK CREEK_Sockeye</v>
      </c>
      <c r="BZ393" s="50" t="str">
        <f>IFERROR(VLOOKUP(BY393,'[1]WCVI Esc'!$C$5:$W$555,18,FALSE),"-")</f>
        <v>-</v>
      </c>
      <c r="CA393" s="50" t="str">
        <f t="shared" ref="CA393:CA456" si="182">IFERROR(ROUND(BZ393,-1),"-")</f>
        <v>-</v>
      </c>
      <c r="CB393" s="50" t="str">
        <f>IFERROR(VLOOKUP(BY393,'[1]WCVI Esc'!$C$5:$W$555,19,FALSE),"-")</f>
        <v>-</v>
      </c>
      <c r="CC393" s="50" t="str">
        <f t="shared" ref="CC393:CC456" si="183">IFERROR(ROUND(CB393,-1),"-")</f>
        <v>-</v>
      </c>
      <c r="CE393" s="342" t="str">
        <f t="shared" ref="CE393:CE424" si="184">CONCATENATE(E393,"_",F393)</f>
        <v>FREDERICK CREEK_Sockeye</v>
      </c>
      <c r="CF393" s="341" t="str">
        <f>IFERROR(VLOOKUP(BY393,'RawPL+D'!$O$8:$AB$503,12,FALSE),"-")</f>
        <v>-</v>
      </c>
      <c r="CG393" s="338" t="str">
        <f t="shared" ref="CG393:CG456" si="185">IFERROR(ROUND(CF393,-1),"-")</f>
        <v>-</v>
      </c>
      <c r="CH393" s="341" t="str">
        <f>IFERROR(VLOOKUP(BY393,'RawPL+D'!$O$8:$AB$503,13,FALSE),"-")</f>
        <v>-</v>
      </c>
      <c r="CI393" s="338" t="str">
        <f t="shared" ref="CI393:CI456" si="186">IFERROR(ROUND(CH393,-1),"-")</f>
        <v>-</v>
      </c>
    </row>
    <row r="394" spans="1:87" ht="12.75" hidden="1" customHeight="1" x14ac:dyDescent="0.2">
      <c r="A394" s="28">
        <v>4</v>
      </c>
      <c r="B394" s="28">
        <v>2</v>
      </c>
      <c r="C394" s="11">
        <v>23</v>
      </c>
      <c r="D394" s="13" t="s">
        <v>319</v>
      </c>
      <c r="E394" s="10" t="s">
        <v>175</v>
      </c>
      <c r="F394" s="10" t="s">
        <v>219</v>
      </c>
      <c r="G394" s="10"/>
      <c r="H394" s="10"/>
      <c r="I394" s="10"/>
      <c r="J394" s="10"/>
      <c r="K394" s="575"/>
      <c r="L394" s="152"/>
      <c r="M394" s="164"/>
      <c r="N394" s="62"/>
      <c r="O394" s="62"/>
      <c r="P394" s="177"/>
      <c r="Q394" s="171"/>
      <c r="R394" s="62"/>
      <c r="S394" s="62"/>
      <c r="T394" s="62"/>
      <c r="U394" s="64"/>
      <c r="V394" s="164"/>
      <c r="W394" s="62"/>
      <c r="X394" s="62"/>
      <c r="Y394" s="62"/>
      <c r="Z394" s="64"/>
      <c r="AA394" s="164"/>
      <c r="AB394" s="62"/>
      <c r="AC394" s="62"/>
      <c r="AD394" s="64"/>
      <c r="AE394" s="164"/>
      <c r="AF394" s="62"/>
      <c r="AG394" s="62"/>
      <c r="AH394" s="337"/>
      <c r="AI394" s="337"/>
      <c r="AJ394" s="337"/>
      <c r="AK394" s="337"/>
      <c r="AL394" s="552"/>
      <c r="AM394" s="552"/>
      <c r="AN394" s="45"/>
      <c r="AO394" s="45"/>
      <c r="AP394" s="45"/>
      <c r="AQ394" s="396">
        <f>AL394/BI394</f>
        <v>0</v>
      </c>
      <c r="AR394" s="12"/>
      <c r="AS394" s="485"/>
      <c r="AT394" s="24"/>
      <c r="AU394" s="24"/>
      <c r="AV394" s="24"/>
      <c r="AW394" s="18">
        <v>23</v>
      </c>
      <c r="AX394" s="69" t="s">
        <v>319</v>
      </c>
      <c r="AY394" s="243" t="s">
        <v>175</v>
      </c>
      <c r="AZ394" s="243" t="str">
        <f t="shared" si="168"/>
        <v>Coho</v>
      </c>
      <c r="BA394" s="243" t="s">
        <v>419</v>
      </c>
      <c r="BB394" s="244" t="s">
        <v>374</v>
      </c>
      <c r="BC394" s="43" t="str">
        <f t="shared" si="169"/>
        <v>-</v>
      </c>
      <c r="BD394" s="43">
        <f t="shared" si="167"/>
        <v>0</v>
      </c>
      <c r="BE394" s="193">
        <f t="shared" si="159"/>
        <v>0</v>
      </c>
      <c r="BF394" s="193">
        <f t="shared" si="170"/>
        <v>0</v>
      </c>
      <c r="BG394" s="193">
        <f t="shared" si="171"/>
        <v>0</v>
      </c>
      <c r="BH394" s="307">
        <f t="shared" si="165"/>
        <v>10</v>
      </c>
      <c r="BI394" s="265">
        <f>CC394</f>
        <v>10</v>
      </c>
      <c r="BJ394" s="26" t="str">
        <f t="shared" si="172"/>
        <v>FREDERICK CREEKCoho</v>
      </c>
      <c r="BK394" s="26">
        <f t="shared" si="173"/>
        <v>0</v>
      </c>
      <c r="BL394" s="33">
        <f t="shared" si="163"/>
        <v>0</v>
      </c>
      <c r="BQ394" s="47" t="str">
        <f t="shared" si="174"/>
        <v>FREDERICK CREEKCoho</v>
      </c>
      <c r="BR394" s="49">
        <f t="shared" si="175"/>
        <v>0</v>
      </c>
      <c r="BS394" s="49">
        <f t="shared" si="176"/>
        <v>0</v>
      </c>
      <c r="BT394" s="31">
        <v>1988</v>
      </c>
      <c r="BU394" s="188" t="str">
        <f t="shared" si="177"/>
        <v>HFN</v>
      </c>
      <c r="BV394" s="188" t="str">
        <f t="shared" si="178"/>
        <v xml:space="preserve"> </v>
      </c>
      <c r="BW394" s="188" t="str">
        <f t="shared" si="179"/>
        <v xml:space="preserve"> </v>
      </c>
      <c r="BX394" s="188" t="str">
        <f t="shared" si="180"/>
        <v xml:space="preserve"> </v>
      </c>
      <c r="BY394" s="50" t="str">
        <f t="shared" si="181"/>
        <v>FREDERICK CREEK_Coho</v>
      </c>
      <c r="BZ394" s="50">
        <f>IFERROR(VLOOKUP(BY394,'[1]WCVI Esc'!$C$5:$W$555,18,FALSE),"-")</f>
        <v>11.5</v>
      </c>
      <c r="CA394" s="50">
        <f t="shared" si="182"/>
        <v>10</v>
      </c>
      <c r="CB394" s="50">
        <f>IFERROR(VLOOKUP(BY394,'[1]WCVI Esc'!$C$5:$W$555,19,FALSE),"-")</f>
        <v>11.5</v>
      </c>
      <c r="CC394" s="50">
        <f t="shared" si="183"/>
        <v>10</v>
      </c>
      <c r="CE394" s="342" t="str">
        <f t="shared" si="184"/>
        <v>FREDERICK CREEK_Coho</v>
      </c>
      <c r="CF394" s="341">
        <f>IFERROR(VLOOKUP(BY394,'RawPL+D'!$O$8:$AB$503,12,FALSE),"-")</f>
        <v>8</v>
      </c>
      <c r="CG394" s="338">
        <f t="shared" si="185"/>
        <v>10</v>
      </c>
      <c r="CH394" s="341">
        <f>IFERROR(VLOOKUP(BY394,'RawPL+D'!$O$8:$AB$503,13,FALSE),"-")</f>
        <v>7</v>
      </c>
      <c r="CI394" s="338">
        <f t="shared" si="186"/>
        <v>10</v>
      </c>
    </row>
    <row r="395" spans="1:87" ht="12.75" hidden="1" customHeight="1" x14ac:dyDescent="0.2">
      <c r="A395" s="28">
        <v>4</v>
      </c>
      <c r="B395" s="28">
        <v>3</v>
      </c>
      <c r="C395" s="11">
        <v>23</v>
      </c>
      <c r="D395" s="13" t="s">
        <v>319</v>
      </c>
      <c r="E395" s="10" t="s">
        <v>175</v>
      </c>
      <c r="F395" s="10" t="s">
        <v>208</v>
      </c>
      <c r="G395" s="10"/>
      <c r="H395" s="10"/>
      <c r="I395" s="10"/>
      <c r="J395" s="10"/>
      <c r="K395" s="575"/>
      <c r="L395" s="152"/>
      <c r="M395" s="164"/>
      <c r="N395" s="62"/>
      <c r="O395" s="62"/>
      <c r="P395" s="177"/>
      <c r="Q395" s="171"/>
      <c r="R395" s="62"/>
      <c r="S395" s="62"/>
      <c r="T395" s="62"/>
      <c r="U395" s="64"/>
      <c r="V395" s="164"/>
      <c r="W395" s="62"/>
      <c r="X395" s="62"/>
      <c r="Y395" s="62"/>
      <c r="Z395" s="64"/>
      <c r="AA395" s="164"/>
      <c r="AB395" s="62"/>
      <c r="AC395" s="62"/>
      <c r="AD395" s="64"/>
      <c r="AE395" s="164"/>
      <c r="AF395" s="62"/>
      <c r="AG395" s="62"/>
      <c r="AH395" s="337"/>
      <c r="AI395" s="337"/>
      <c r="AJ395" s="337"/>
      <c r="AK395" s="337"/>
      <c r="AL395" s="552"/>
      <c r="AM395" s="552"/>
      <c r="AN395" s="45"/>
      <c r="AO395" s="45"/>
      <c r="AP395" s="45"/>
      <c r="AQ395" s="485"/>
      <c r="AR395" s="100"/>
      <c r="AS395" s="485"/>
      <c r="AT395" s="24"/>
      <c r="AU395" s="24"/>
      <c r="AV395" s="24"/>
      <c r="AW395" s="18">
        <v>23</v>
      </c>
      <c r="AX395" s="69" t="s">
        <v>319</v>
      </c>
      <c r="AY395" s="243" t="s">
        <v>175</v>
      </c>
      <c r="AZ395" s="243" t="str">
        <f t="shared" si="168"/>
        <v>Pink</v>
      </c>
      <c r="BA395" s="243" t="s">
        <v>419</v>
      </c>
      <c r="BB395" s="244" t="s">
        <v>374</v>
      </c>
      <c r="BC395" s="43" t="str">
        <f t="shared" si="169"/>
        <v>-</v>
      </c>
      <c r="BD395" s="43">
        <f t="shared" si="167"/>
        <v>0</v>
      </c>
      <c r="BE395" s="193">
        <f t="shared" si="159"/>
        <v>0</v>
      </c>
      <c r="BF395" s="193">
        <f t="shared" si="170"/>
        <v>0</v>
      </c>
      <c r="BG395" s="193">
        <f t="shared" si="171"/>
        <v>0</v>
      </c>
      <c r="BH395" s="307" t="str">
        <f t="shared" si="165"/>
        <v>-</v>
      </c>
      <c r="BI395" s="265"/>
      <c r="BJ395" s="26" t="str">
        <f t="shared" si="172"/>
        <v>FREDERICK CREEKPink</v>
      </c>
      <c r="BK395" s="26">
        <f t="shared" si="173"/>
        <v>0</v>
      </c>
      <c r="BL395" s="33">
        <f t="shared" si="163"/>
        <v>0</v>
      </c>
      <c r="BQ395" s="47" t="str">
        <f t="shared" si="174"/>
        <v>FREDERICK CREEKPink</v>
      </c>
      <c r="BR395" s="49">
        <f t="shared" si="175"/>
        <v>0</v>
      </c>
      <c r="BS395" s="49">
        <f t="shared" si="176"/>
        <v>0</v>
      </c>
      <c r="BT395" s="31">
        <v>0</v>
      </c>
      <c r="BU395" s="188" t="str">
        <f t="shared" si="177"/>
        <v>HFN</v>
      </c>
      <c r="BV395" s="188" t="str">
        <f t="shared" si="178"/>
        <v xml:space="preserve"> </v>
      </c>
      <c r="BW395" s="188" t="str">
        <f t="shared" si="179"/>
        <v xml:space="preserve"> </v>
      </c>
      <c r="BX395" s="188" t="str">
        <f t="shared" si="180"/>
        <v xml:space="preserve"> </v>
      </c>
      <c r="BY395" s="50" t="str">
        <f t="shared" si="181"/>
        <v>FREDERICK CREEK_Pink</v>
      </c>
      <c r="BZ395" s="50" t="str">
        <f>IFERROR(VLOOKUP(BY395,'[1]WCVI Esc'!$C$5:$W$555,18,FALSE),"-")</f>
        <v>-</v>
      </c>
      <c r="CA395" s="50" t="str">
        <f t="shared" si="182"/>
        <v>-</v>
      </c>
      <c r="CB395" s="50" t="str">
        <f>IFERROR(VLOOKUP(BY395,'[1]WCVI Esc'!$C$5:$W$555,19,FALSE),"-")</f>
        <v>-</v>
      </c>
      <c r="CC395" s="50" t="str">
        <f t="shared" si="183"/>
        <v>-</v>
      </c>
      <c r="CE395" s="342" t="str">
        <f t="shared" si="184"/>
        <v>FREDERICK CREEK_Pink</v>
      </c>
      <c r="CF395" s="341" t="str">
        <f>IFERROR(VLOOKUP(BY395,'RawPL+D'!$O$8:$AB$503,12,FALSE),"-")</f>
        <v>-</v>
      </c>
      <c r="CG395" s="338" t="str">
        <f t="shared" si="185"/>
        <v>-</v>
      </c>
      <c r="CH395" s="341" t="str">
        <f>IFERROR(VLOOKUP(BY395,'RawPL+D'!$O$8:$AB$503,13,FALSE),"-")</f>
        <v>-</v>
      </c>
      <c r="CI395" s="338" t="str">
        <f t="shared" si="186"/>
        <v>-</v>
      </c>
    </row>
    <row r="396" spans="1:87" ht="12.75" hidden="1" customHeight="1" x14ac:dyDescent="0.2">
      <c r="A396" s="28">
        <v>4</v>
      </c>
      <c r="B396" s="28">
        <v>4</v>
      </c>
      <c r="C396" s="11">
        <v>23</v>
      </c>
      <c r="D396" s="13" t="s">
        <v>319</v>
      </c>
      <c r="E396" s="10" t="s">
        <v>175</v>
      </c>
      <c r="F396" s="10" t="s">
        <v>209</v>
      </c>
      <c r="G396" s="10"/>
      <c r="H396" s="10"/>
      <c r="I396" s="10"/>
      <c r="J396" s="10"/>
      <c r="K396" s="575"/>
      <c r="L396" s="152"/>
      <c r="M396" s="164"/>
      <c r="N396" s="62"/>
      <c r="O396" s="62"/>
      <c r="P396" s="177"/>
      <c r="Q396" s="171"/>
      <c r="R396" s="62"/>
      <c r="S396" s="431"/>
      <c r="T396" s="62"/>
      <c r="U396" s="64"/>
      <c r="V396" s="164"/>
      <c r="W396" s="62"/>
      <c r="X396" s="62"/>
      <c r="Y396" s="62"/>
      <c r="Z396" s="64"/>
      <c r="AA396" s="164"/>
      <c r="AB396" s="62"/>
      <c r="AC396" s="62"/>
      <c r="AD396" s="64"/>
      <c r="AE396" s="164"/>
      <c r="AF396" s="62"/>
      <c r="AG396" s="62"/>
      <c r="AH396" s="337"/>
      <c r="AI396" s="337"/>
      <c r="AJ396" s="337"/>
      <c r="AK396" s="337"/>
      <c r="AL396" s="552"/>
      <c r="AM396" s="552"/>
      <c r="AN396" s="45"/>
      <c r="AO396" s="45"/>
      <c r="AP396" s="45"/>
      <c r="AQ396" s="485"/>
      <c r="AR396" s="12"/>
      <c r="AS396" s="485"/>
      <c r="AT396" s="24"/>
      <c r="AU396" s="24"/>
      <c r="AV396" s="24"/>
      <c r="AW396" s="18">
        <v>23</v>
      </c>
      <c r="AX396" s="69" t="s">
        <v>319</v>
      </c>
      <c r="AY396" s="243" t="s">
        <v>175</v>
      </c>
      <c r="AZ396" s="243" t="str">
        <f t="shared" si="168"/>
        <v>Chum</v>
      </c>
      <c r="BA396" s="243" t="s">
        <v>419</v>
      </c>
      <c r="BB396" s="244" t="s">
        <v>374</v>
      </c>
      <c r="BC396" s="43" t="str">
        <f t="shared" si="169"/>
        <v>-</v>
      </c>
      <c r="BD396" s="43">
        <f t="shared" si="167"/>
        <v>0</v>
      </c>
      <c r="BE396" s="193">
        <f t="shared" si="159"/>
        <v>0</v>
      </c>
      <c r="BF396" s="193">
        <f t="shared" si="170"/>
        <v>0</v>
      </c>
      <c r="BG396" s="193">
        <f t="shared" si="171"/>
        <v>0</v>
      </c>
      <c r="BH396" s="307">
        <f t="shared" si="165"/>
        <v>10</v>
      </c>
      <c r="BI396" s="265">
        <f>CC396</f>
        <v>10</v>
      </c>
      <c r="BJ396" s="26" t="str">
        <f t="shared" si="172"/>
        <v>FREDERICK CREEKChum</v>
      </c>
      <c r="BK396" s="26">
        <f t="shared" si="173"/>
        <v>0</v>
      </c>
      <c r="BL396" s="33">
        <f t="shared" si="163"/>
        <v>0</v>
      </c>
      <c r="BQ396" s="47" t="str">
        <f t="shared" si="174"/>
        <v>FREDERICK CREEKChum</v>
      </c>
      <c r="BR396" s="49">
        <f t="shared" si="175"/>
        <v>0</v>
      </c>
      <c r="BS396" s="49">
        <f t="shared" si="176"/>
        <v>0</v>
      </c>
      <c r="BT396" s="31">
        <v>1992</v>
      </c>
      <c r="BU396" s="188" t="str">
        <f t="shared" si="177"/>
        <v>HFN</v>
      </c>
      <c r="BV396" s="188" t="str">
        <f t="shared" si="178"/>
        <v xml:space="preserve"> </v>
      </c>
      <c r="BW396" s="188" t="str">
        <f t="shared" si="179"/>
        <v xml:space="preserve"> </v>
      </c>
      <c r="BX396" s="188" t="str">
        <f t="shared" si="180"/>
        <v xml:space="preserve"> </v>
      </c>
      <c r="BY396" s="50" t="str">
        <f t="shared" si="181"/>
        <v>FREDERICK CREEK_Chum</v>
      </c>
      <c r="BZ396" s="50">
        <f>IFERROR(VLOOKUP(BY396,'[1]WCVI Esc'!$C$5:$W$555,18,FALSE),"-")</f>
        <v>13</v>
      </c>
      <c r="CA396" s="50">
        <f t="shared" si="182"/>
        <v>10</v>
      </c>
      <c r="CB396" s="50">
        <f>IFERROR(VLOOKUP(BY396,'[1]WCVI Esc'!$C$5:$W$555,19,FALSE),"-")</f>
        <v>13</v>
      </c>
      <c r="CC396" s="50">
        <f t="shared" si="183"/>
        <v>10</v>
      </c>
      <c r="CE396" s="342" t="str">
        <f t="shared" si="184"/>
        <v>FREDERICK CREEK_Chum</v>
      </c>
      <c r="CF396" s="341">
        <f>IFERROR(VLOOKUP(BY396,'RawPL+D'!$O$8:$AB$503,12,FALSE),"-")</f>
        <v>1</v>
      </c>
      <c r="CG396" s="338">
        <f t="shared" si="185"/>
        <v>0</v>
      </c>
      <c r="CH396" s="341">
        <f>IFERROR(VLOOKUP(BY396,'RawPL+D'!$O$8:$AB$503,13,FALSE),"-")</f>
        <v>7</v>
      </c>
      <c r="CI396" s="338">
        <f t="shared" si="186"/>
        <v>10</v>
      </c>
    </row>
    <row r="397" spans="1:87" ht="12.75" hidden="1" customHeight="1" x14ac:dyDescent="0.2">
      <c r="A397" s="28">
        <v>4</v>
      </c>
      <c r="B397" s="28">
        <v>5</v>
      </c>
      <c r="C397" s="11">
        <v>23</v>
      </c>
      <c r="D397" s="13" t="s">
        <v>319</v>
      </c>
      <c r="E397" s="10" t="s">
        <v>175</v>
      </c>
      <c r="F397" s="10" t="s">
        <v>210</v>
      </c>
      <c r="G397" s="10"/>
      <c r="H397" s="10"/>
      <c r="I397" s="10"/>
      <c r="J397" s="10"/>
      <c r="K397" s="575"/>
      <c r="L397" s="152"/>
      <c r="M397" s="164"/>
      <c r="N397" s="62"/>
      <c r="O397" s="62"/>
      <c r="P397" s="177"/>
      <c r="Q397" s="171"/>
      <c r="R397" s="62"/>
      <c r="S397" s="62"/>
      <c r="T397" s="62"/>
      <c r="U397" s="64"/>
      <c r="V397" s="164"/>
      <c r="W397" s="62"/>
      <c r="X397" s="62"/>
      <c r="Y397" s="62"/>
      <c r="Z397" s="64"/>
      <c r="AA397" s="164"/>
      <c r="AB397" s="62"/>
      <c r="AC397" s="62"/>
      <c r="AD397" s="64"/>
      <c r="AE397" s="164"/>
      <c r="AF397" s="62"/>
      <c r="AG397" s="62"/>
      <c r="AH397" s="337"/>
      <c r="AI397" s="337"/>
      <c r="AJ397" s="337"/>
      <c r="AK397" s="337"/>
      <c r="AL397" s="552"/>
      <c r="AM397" s="552"/>
      <c r="AN397" s="45"/>
      <c r="AO397" s="45"/>
      <c r="AP397" s="45"/>
      <c r="AQ397" s="485"/>
      <c r="AR397" s="100"/>
      <c r="AS397" s="485"/>
      <c r="AT397" s="24"/>
      <c r="AU397" s="24"/>
      <c r="AV397" s="24"/>
      <c r="AW397" s="18">
        <v>23</v>
      </c>
      <c r="AX397" s="69" t="s">
        <v>319</v>
      </c>
      <c r="AY397" s="243" t="s">
        <v>175</v>
      </c>
      <c r="AZ397" s="243" t="str">
        <f t="shared" si="168"/>
        <v>Chinook</v>
      </c>
      <c r="BA397" s="243" t="s">
        <v>419</v>
      </c>
      <c r="BB397" s="244" t="s">
        <v>374</v>
      </c>
      <c r="BC397" s="43" t="str">
        <f t="shared" si="169"/>
        <v>-</v>
      </c>
      <c r="BD397" s="43">
        <f t="shared" si="167"/>
        <v>0</v>
      </c>
      <c r="BE397" s="193">
        <f t="shared" si="159"/>
        <v>0</v>
      </c>
      <c r="BF397" s="193">
        <f t="shared" si="170"/>
        <v>0</v>
      </c>
      <c r="BG397" s="193">
        <f t="shared" si="171"/>
        <v>0</v>
      </c>
      <c r="BH397" s="307" t="str">
        <f t="shared" si="165"/>
        <v>-</v>
      </c>
      <c r="BI397" s="265"/>
      <c r="BJ397" s="26" t="str">
        <f t="shared" si="172"/>
        <v>FREDERICK CREEKChinook</v>
      </c>
      <c r="BK397" s="26">
        <f t="shared" si="173"/>
        <v>0</v>
      </c>
      <c r="BL397" s="33">
        <f t="shared" si="163"/>
        <v>0</v>
      </c>
      <c r="BQ397" s="47" t="str">
        <f t="shared" si="174"/>
        <v>FREDERICK CREEKChinook</v>
      </c>
      <c r="BR397" s="49">
        <f t="shared" si="175"/>
        <v>0</v>
      </c>
      <c r="BS397" s="49">
        <f t="shared" si="176"/>
        <v>0</v>
      </c>
      <c r="BT397" s="31">
        <v>0</v>
      </c>
      <c r="BU397" s="188" t="str">
        <f t="shared" si="177"/>
        <v>HFN</v>
      </c>
      <c r="BV397" s="188" t="str">
        <f t="shared" si="178"/>
        <v xml:space="preserve"> </v>
      </c>
      <c r="BW397" s="188" t="str">
        <f t="shared" si="179"/>
        <v xml:space="preserve"> </v>
      </c>
      <c r="BX397" s="188" t="str">
        <f t="shared" si="180"/>
        <v xml:space="preserve"> </v>
      </c>
      <c r="BY397" s="50" t="str">
        <f t="shared" si="181"/>
        <v>FREDERICK CREEK_Chinook</v>
      </c>
      <c r="BZ397" s="50" t="str">
        <f>IFERROR(VLOOKUP(BY397,'[1]WCVI Esc'!$C$5:$W$555,18,FALSE),"-")</f>
        <v>-</v>
      </c>
      <c r="CA397" s="50" t="str">
        <f t="shared" si="182"/>
        <v>-</v>
      </c>
      <c r="CB397" s="50" t="str">
        <f>IFERROR(VLOOKUP(BY397,'[1]WCVI Esc'!$C$5:$W$555,19,FALSE),"-")</f>
        <v>-</v>
      </c>
      <c r="CC397" s="50" t="str">
        <f t="shared" si="183"/>
        <v>-</v>
      </c>
      <c r="CE397" s="342" t="str">
        <f t="shared" si="184"/>
        <v>FREDERICK CREEK_Chinook</v>
      </c>
      <c r="CF397" s="341" t="str">
        <f>IFERROR(VLOOKUP(BY397,'RawPL+D'!$O$8:$AB$503,12,FALSE),"-")</f>
        <v>-</v>
      </c>
      <c r="CG397" s="338" t="str">
        <f t="shared" si="185"/>
        <v>-</v>
      </c>
      <c r="CH397" s="341" t="str">
        <f>IFERROR(VLOOKUP(BY397,'RawPL+D'!$O$8:$AB$503,13,FALSE),"-")</f>
        <v>-</v>
      </c>
      <c r="CI397" s="338" t="str">
        <f t="shared" si="186"/>
        <v>-</v>
      </c>
    </row>
    <row r="398" spans="1:87" ht="12.75" hidden="1" customHeight="1" x14ac:dyDescent="0.2">
      <c r="A398" s="28">
        <v>4</v>
      </c>
      <c r="B398" s="28">
        <v>6</v>
      </c>
      <c r="C398" s="11">
        <v>23</v>
      </c>
      <c r="D398" s="148" t="s">
        <v>319</v>
      </c>
      <c r="E398" s="10" t="s">
        <v>175</v>
      </c>
      <c r="F398" s="10" t="s">
        <v>211</v>
      </c>
      <c r="G398" s="10"/>
      <c r="H398" s="10"/>
      <c r="I398" s="10"/>
      <c r="J398" s="10"/>
      <c r="K398" s="575"/>
      <c r="L398" s="152"/>
      <c r="M398" s="164"/>
      <c r="N398" s="62"/>
      <c r="O398" s="62"/>
      <c r="P398" s="177"/>
      <c r="Q398" s="171"/>
      <c r="R398" s="62"/>
      <c r="S398" s="62"/>
      <c r="T398" s="62"/>
      <c r="U398" s="64"/>
      <c r="V398" s="164"/>
      <c r="W398" s="62"/>
      <c r="X398" s="62"/>
      <c r="Y398" s="62"/>
      <c r="Z398" s="64"/>
      <c r="AA398" s="164"/>
      <c r="AB398" s="62"/>
      <c r="AC398" s="62"/>
      <c r="AD398" s="64"/>
      <c r="AE398" s="164"/>
      <c r="AF398" s="62"/>
      <c r="AG398" s="62"/>
      <c r="AH398" s="337"/>
      <c r="AI398" s="337"/>
      <c r="AJ398" s="337"/>
      <c r="AK398" s="337"/>
      <c r="AL398" s="552"/>
      <c r="AM398" s="552"/>
      <c r="AN398" s="45"/>
      <c r="AO398" s="45"/>
      <c r="AP398" s="45"/>
      <c r="AQ398" s="485"/>
      <c r="AR398" s="100"/>
      <c r="AS398" s="485"/>
      <c r="AT398" s="24"/>
      <c r="AU398" s="24"/>
      <c r="AV398" s="24"/>
      <c r="AW398" s="18">
        <v>23</v>
      </c>
      <c r="AX398" s="69" t="s">
        <v>319</v>
      </c>
      <c r="AY398" s="243" t="s">
        <v>175</v>
      </c>
      <c r="AZ398" s="243" t="str">
        <f t="shared" si="168"/>
        <v>Steelhead</v>
      </c>
      <c r="BA398" s="243" t="s">
        <v>419</v>
      </c>
      <c r="BB398" s="244" t="s">
        <v>374</v>
      </c>
      <c r="BC398" s="43" t="str">
        <f t="shared" si="169"/>
        <v>-</v>
      </c>
      <c r="BD398" s="43">
        <f t="shared" si="167"/>
        <v>0</v>
      </c>
      <c r="BE398" s="193">
        <f t="shared" si="159"/>
        <v>0</v>
      </c>
      <c r="BF398" s="193">
        <f t="shared" si="170"/>
        <v>0</v>
      </c>
      <c r="BG398" s="193">
        <f t="shared" si="171"/>
        <v>0</v>
      </c>
      <c r="BH398" s="307" t="str">
        <f t="shared" si="165"/>
        <v>-</v>
      </c>
      <c r="BI398" s="265" t="str">
        <f t="shared" ref="BI398:BI410" si="187">CC398</f>
        <v>-</v>
      </c>
      <c r="BJ398" s="26" t="str">
        <f t="shared" si="172"/>
        <v>FREDERICK CREEKSteelhead</v>
      </c>
      <c r="BK398" s="26">
        <f t="shared" si="173"/>
        <v>0</v>
      </c>
      <c r="BL398" s="33">
        <f t="shared" si="163"/>
        <v>0</v>
      </c>
      <c r="BQ398" s="47" t="str">
        <f t="shared" si="174"/>
        <v>FREDERICK CREEKSteelhead</v>
      </c>
      <c r="BR398" s="49">
        <f t="shared" si="175"/>
        <v>0</v>
      </c>
      <c r="BS398" s="49">
        <f t="shared" si="176"/>
        <v>0</v>
      </c>
      <c r="BT398" s="31">
        <v>0</v>
      </c>
      <c r="BU398" s="188" t="str">
        <f t="shared" si="177"/>
        <v>HFN</v>
      </c>
      <c r="BV398" s="188" t="str">
        <f t="shared" si="178"/>
        <v xml:space="preserve"> </v>
      </c>
      <c r="BW398" s="188" t="str">
        <f t="shared" si="179"/>
        <v xml:space="preserve"> </v>
      </c>
      <c r="BX398" s="188" t="str">
        <f t="shared" si="180"/>
        <v xml:space="preserve"> </v>
      </c>
      <c r="BY398" s="50" t="str">
        <f t="shared" si="181"/>
        <v>FREDERICK CREEK_Steelhead</v>
      </c>
      <c r="BZ398" s="50" t="str">
        <f>IFERROR(VLOOKUP(BY398,'[1]WCVI Esc'!$C$5:$W$555,18,FALSE),"-")</f>
        <v>-</v>
      </c>
      <c r="CA398" s="50" t="str">
        <f t="shared" si="182"/>
        <v>-</v>
      </c>
      <c r="CB398" s="50" t="str">
        <f>IFERROR(VLOOKUP(BY398,'[1]WCVI Esc'!$C$5:$W$555,19,FALSE),"-")</f>
        <v>-</v>
      </c>
      <c r="CC398" s="50" t="str">
        <f t="shared" si="183"/>
        <v>-</v>
      </c>
      <c r="CE398" s="342" t="str">
        <f t="shared" si="184"/>
        <v>FREDERICK CREEK_Steelhead</v>
      </c>
      <c r="CF398" s="341" t="str">
        <f>IFERROR(VLOOKUP(BY398,'RawPL+D'!$O$8:$AB$503,12,FALSE),"-")</f>
        <v>-</v>
      </c>
      <c r="CG398" s="338" t="str">
        <f t="shared" si="185"/>
        <v>-</v>
      </c>
      <c r="CH398" s="341" t="str">
        <f>IFERROR(VLOOKUP(BY398,'RawPL+D'!$O$8:$AB$503,13,FALSE),"-")</f>
        <v>-</v>
      </c>
      <c r="CI398" s="338" t="str">
        <f t="shared" si="186"/>
        <v>-</v>
      </c>
    </row>
    <row r="399" spans="1:87" ht="12.75" hidden="1" customHeight="1" x14ac:dyDescent="0.2">
      <c r="A399" s="28">
        <v>4</v>
      </c>
      <c r="B399" s="28">
        <v>1</v>
      </c>
      <c r="C399" s="11">
        <v>23</v>
      </c>
      <c r="D399" s="148" t="s">
        <v>319</v>
      </c>
      <c r="E399" s="10" t="s">
        <v>102</v>
      </c>
      <c r="F399" s="10" t="s">
        <v>207</v>
      </c>
      <c r="G399" s="10"/>
      <c r="H399" s="10"/>
      <c r="I399" s="10"/>
      <c r="J399" s="10"/>
      <c r="K399" s="575"/>
      <c r="L399" s="152"/>
      <c r="M399" s="164"/>
      <c r="N399" s="62"/>
      <c r="O399" s="62"/>
      <c r="P399" s="177"/>
      <c r="Q399" s="171"/>
      <c r="R399" s="62"/>
      <c r="S399" s="62"/>
      <c r="T399" s="62"/>
      <c r="U399" s="64"/>
      <c r="V399" s="164"/>
      <c r="W399" s="62"/>
      <c r="X399" s="62"/>
      <c r="Y399" s="62"/>
      <c r="Z399" s="64"/>
      <c r="AA399" s="164"/>
      <c r="AB399" s="62"/>
      <c r="AC399" s="62"/>
      <c r="AD399" s="64"/>
      <c r="AE399" s="164"/>
      <c r="AF399" s="62"/>
      <c r="AG399" s="62"/>
      <c r="AH399" s="337"/>
      <c r="AI399" s="337"/>
      <c r="AJ399" s="337"/>
      <c r="AK399" s="337"/>
      <c r="AL399" s="414"/>
      <c r="AM399" s="414"/>
      <c r="AN399" s="45"/>
      <c r="AO399" s="45"/>
      <c r="AP399" s="45"/>
      <c r="AQ399" s="485"/>
      <c r="AR399" s="100"/>
      <c r="AS399" s="485"/>
      <c r="AT399" s="24"/>
      <c r="AU399" s="24"/>
      <c r="AV399" s="24"/>
      <c r="AW399" s="18">
        <v>23</v>
      </c>
      <c r="AX399" s="69" t="s">
        <v>319</v>
      </c>
      <c r="AY399" s="243" t="s">
        <v>102</v>
      </c>
      <c r="AZ399" s="243" t="str">
        <f t="shared" si="168"/>
        <v>Sockeye</v>
      </c>
      <c r="BA399" s="243" t="s">
        <v>419</v>
      </c>
      <c r="BB399" s="244" t="s">
        <v>374</v>
      </c>
      <c r="BC399" s="43" t="str">
        <f t="shared" si="169"/>
        <v>-</v>
      </c>
      <c r="BD399" s="43">
        <f t="shared" si="167"/>
        <v>0</v>
      </c>
      <c r="BE399" s="193">
        <f t="shared" si="159"/>
        <v>0</v>
      </c>
      <c r="BF399" s="193">
        <f t="shared" si="170"/>
        <v>0</v>
      </c>
      <c r="BG399" s="193">
        <f t="shared" si="171"/>
        <v>0</v>
      </c>
      <c r="BH399" s="307" t="str">
        <f t="shared" si="165"/>
        <v>-</v>
      </c>
      <c r="BI399" s="265" t="str">
        <f t="shared" si="187"/>
        <v>-</v>
      </c>
      <c r="BJ399" s="26" t="str">
        <f t="shared" si="172"/>
        <v>POETT NOOK CREEKSockeye</v>
      </c>
      <c r="BK399" s="26">
        <f t="shared" si="173"/>
        <v>0</v>
      </c>
      <c r="BL399" s="33">
        <f t="shared" si="163"/>
        <v>0</v>
      </c>
      <c r="BQ399" s="47" t="str">
        <f t="shared" si="174"/>
        <v>POETT NOOK CREEKSockeye</v>
      </c>
      <c r="BR399" s="49">
        <f t="shared" si="175"/>
        <v>0</v>
      </c>
      <c r="BS399" s="49">
        <f t="shared" si="176"/>
        <v>0</v>
      </c>
      <c r="BT399" s="31">
        <v>0</v>
      </c>
      <c r="BU399" s="188" t="str">
        <f t="shared" si="177"/>
        <v>HFN</v>
      </c>
      <c r="BV399" s="188" t="str">
        <f t="shared" si="178"/>
        <v xml:space="preserve"> </v>
      </c>
      <c r="BW399" s="188" t="str">
        <f t="shared" si="179"/>
        <v xml:space="preserve"> </v>
      </c>
      <c r="BX399" s="188" t="str">
        <f t="shared" si="180"/>
        <v xml:space="preserve"> </v>
      </c>
      <c r="BY399" s="50" t="str">
        <f t="shared" si="181"/>
        <v>POETT NOOK CREEK_Sockeye</v>
      </c>
      <c r="BZ399" s="50" t="str">
        <f>IFERROR(VLOOKUP(BY399,'[1]WCVI Esc'!$C$5:$W$555,18,FALSE),"-")</f>
        <v>-</v>
      </c>
      <c r="CA399" s="50" t="str">
        <f t="shared" si="182"/>
        <v>-</v>
      </c>
      <c r="CB399" s="50" t="str">
        <f>IFERROR(VLOOKUP(BY399,'[1]WCVI Esc'!$C$5:$W$555,19,FALSE),"-")</f>
        <v>-</v>
      </c>
      <c r="CC399" s="50" t="str">
        <f t="shared" si="183"/>
        <v>-</v>
      </c>
      <c r="CE399" s="342" t="str">
        <f t="shared" si="184"/>
        <v>POETT NOOK CREEK_Sockeye</v>
      </c>
      <c r="CF399" s="341" t="str">
        <f>IFERROR(VLOOKUP(BY399,'RawPL+D'!$O$8:$AB$503,12,FALSE),"-")</f>
        <v>-</v>
      </c>
      <c r="CG399" s="338" t="str">
        <f t="shared" si="185"/>
        <v>-</v>
      </c>
      <c r="CH399" s="341" t="str">
        <f>IFERROR(VLOOKUP(BY399,'RawPL+D'!$O$8:$AB$503,13,FALSE),"-")</f>
        <v>-</v>
      </c>
      <c r="CI399" s="338" t="str">
        <f t="shared" si="186"/>
        <v>-</v>
      </c>
    </row>
    <row r="400" spans="1:87" ht="12.75" hidden="1" customHeight="1" x14ac:dyDescent="0.2">
      <c r="A400" s="28">
        <v>4</v>
      </c>
      <c r="B400" s="28">
        <v>2</v>
      </c>
      <c r="C400" s="11">
        <v>23</v>
      </c>
      <c r="D400" s="148" t="s">
        <v>319</v>
      </c>
      <c r="E400" s="10" t="s">
        <v>102</v>
      </c>
      <c r="F400" s="10" t="s">
        <v>219</v>
      </c>
      <c r="G400" s="10"/>
      <c r="H400" s="10"/>
      <c r="I400" s="10"/>
      <c r="J400" s="10"/>
      <c r="K400" s="575"/>
      <c r="L400" s="152"/>
      <c r="M400" s="164"/>
      <c r="N400" s="62"/>
      <c r="O400" s="62"/>
      <c r="P400" s="177"/>
      <c r="Q400" s="171"/>
      <c r="R400" s="62"/>
      <c r="S400" s="62"/>
      <c r="T400" s="62"/>
      <c r="U400" s="64"/>
      <c r="V400" s="164"/>
      <c r="W400" s="62"/>
      <c r="X400" s="62"/>
      <c r="Y400" s="62"/>
      <c r="Z400" s="64"/>
      <c r="AA400" s="164"/>
      <c r="AB400" s="62"/>
      <c r="AC400" s="62"/>
      <c r="AD400" s="64"/>
      <c r="AE400" s="164"/>
      <c r="AF400" s="62"/>
      <c r="AG400" s="62"/>
      <c r="AH400" s="337"/>
      <c r="AI400" s="337"/>
      <c r="AJ400" s="337"/>
      <c r="AK400" s="337"/>
      <c r="AL400" s="414"/>
      <c r="AM400" s="414"/>
      <c r="AN400" s="45"/>
      <c r="AO400" s="45"/>
      <c r="AP400" s="45"/>
      <c r="AQ400" s="485"/>
      <c r="AR400" s="100"/>
      <c r="AS400" s="485"/>
      <c r="AT400" s="24"/>
      <c r="AU400" s="24"/>
      <c r="AV400" s="24"/>
      <c r="AW400" s="18">
        <v>23</v>
      </c>
      <c r="AX400" s="69" t="s">
        <v>319</v>
      </c>
      <c r="AY400" s="243" t="s">
        <v>102</v>
      </c>
      <c r="AZ400" s="243" t="str">
        <f t="shared" si="168"/>
        <v>Coho</v>
      </c>
      <c r="BA400" s="243" t="s">
        <v>419</v>
      </c>
      <c r="BB400" s="244" t="s">
        <v>374</v>
      </c>
      <c r="BC400" s="43" t="str">
        <f t="shared" si="169"/>
        <v>-</v>
      </c>
      <c r="BD400" s="43">
        <f t="shared" si="167"/>
        <v>0</v>
      </c>
      <c r="BE400" s="193">
        <f t="shared" si="159"/>
        <v>0</v>
      </c>
      <c r="BF400" s="193">
        <f t="shared" si="170"/>
        <v>0</v>
      </c>
      <c r="BG400" s="193">
        <f t="shared" si="171"/>
        <v>0</v>
      </c>
      <c r="BH400" s="307" t="str">
        <f t="shared" si="165"/>
        <v>-</v>
      </c>
      <c r="BI400" s="265">
        <f t="shared" si="187"/>
        <v>0</v>
      </c>
      <c r="BJ400" s="26" t="str">
        <f t="shared" si="172"/>
        <v>POETT NOOK CREEKCoho</v>
      </c>
      <c r="BK400" s="26">
        <f t="shared" si="173"/>
        <v>0</v>
      </c>
      <c r="BL400" s="33">
        <f t="shared" si="163"/>
        <v>0</v>
      </c>
      <c r="BQ400" s="47" t="str">
        <f t="shared" si="174"/>
        <v>POETT NOOK CREEKCoho</v>
      </c>
      <c r="BR400" s="49">
        <f t="shared" si="175"/>
        <v>0</v>
      </c>
      <c r="BS400" s="49">
        <f t="shared" si="176"/>
        <v>0</v>
      </c>
      <c r="BT400" s="31">
        <v>2011</v>
      </c>
      <c r="BU400" s="188" t="str">
        <f t="shared" si="177"/>
        <v>HFN</v>
      </c>
      <c r="BV400" s="188" t="str">
        <f t="shared" si="178"/>
        <v xml:space="preserve"> </v>
      </c>
      <c r="BW400" s="188" t="str">
        <f t="shared" si="179"/>
        <v xml:space="preserve"> </v>
      </c>
      <c r="BX400" s="188" t="str">
        <f t="shared" si="180"/>
        <v xml:space="preserve"> </v>
      </c>
      <c r="BY400" s="50" t="str">
        <f t="shared" si="181"/>
        <v>POETT NOOK CREEK_Coho</v>
      </c>
      <c r="BZ400" s="50" t="str">
        <f>IFERROR(VLOOKUP(BY400,'[1]WCVI Esc'!$C$5:$W$555,18,FALSE),"-")</f>
        <v>-</v>
      </c>
      <c r="CA400" s="50" t="str">
        <f t="shared" si="182"/>
        <v>-</v>
      </c>
      <c r="CB400" s="50">
        <f>IFERROR(VLOOKUP(BY400,'[1]WCVI Esc'!$C$5:$W$555,19,FALSE),"-")</f>
        <v>2</v>
      </c>
      <c r="CC400" s="50">
        <f t="shared" si="183"/>
        <v>0</v>
      </c>
      <c r="CE400" s="342" t="str">
        <f t="shared" si="184"/>
        <v>POETT NOOK CREEK_Coho</v>
      </c>
      <c r="CF400" s="341" t="str">
        <f>IFERROR(VLOOKUP(BY400,'RawPL+D'!$O$8:$AB$503,12,FALSE),"-")</f>
        <v>-</v>
      </c>
      <c r="CG400" s="338" t="str">
        <f t="shared" si="185"/>
        <v>-</v>
      </c>
      <c r="CH400" s="341" t="str">
        <f>IFERROR(VLOOKUP(BY400,'RawPL+D'!$O$8:$AB$503,13,FALSE),"-")</f>
        <v>-</v>
      </c>
      <c r="CI400" s="338" t="str">
        <f t="shared" si="186"/>
        <v>-</v>
      </c>
    </row>
    <row r="401" spans="1:87" ht="12.75" hidden="1" customHeight="1" x14ac:dyDescent="0.2">
      <c r="A401" s="28">
        <v>4</v>
      </c>
      <c r="B401" s="28">
        <v>3</v>
      </c>
      <c r="C401" s="11">
        <v>23</v>
      </c>
      <c r="D401" s="148" t="s">
        <v>319</v>
      </c>
      <c r="E401" s="10" t="s">
        <v>102</v>
      </c>
      <c r="F401" s="10" t="s">
        <v>208</v>
      </c>
      <c r="G401" s="10"/>
      <c r="H401" s="10"/>
      <c r="I401" s="10"/>
      <c r="J401" s="10"/>
      <c r="K401" s="575"/>
      <c r="L401" s="152"/>
      <c r="M401" s="164"/>
      <c r="N401" s="62"/>
      <c r="O401" s="62"/>
      <c r="P401" s="177"/>
      <c r="Q401" s="171"/>
      <c r="R401" s="62"/>
      <c r="S401" s="62"/>
      <c r="T401" s="62"/>
      <c r="U401" s="64"/>
      <c r="V401" s="164"/>
      <c r="W401" s="62"/>
      <c r="X401" s="62"/>
      <c r="Y401" s="62"/>
      <c r="Z401" s="64"/>
      <c r="AA401" s="164"/>
      <c r="AB401" s="62"/>
      <c r="AC401" s="62"/>
      <c r="AD401" s="64"/>
      <c r="AE401" s="164"/>
      <c r="AF401" s="62"/>
      <c r="AG401" s="62"/>
      <c r="AH401" s="337"/>
      <c r="AI401" s="337"/>
      <c r="AJ401" s="337"/>
      <c r="AK401" s="337"/>
      <c r="AL401" s="414"/>
      <c r="AM401" s="414"/>
      <c r="AN401" s="45"/>
      <c r="AO401" s="45"/>
      <c r="AP401" s="45"/>
      <c r="AQ401" s="485"/>
      <c r="AR401" s="100"/>
      <c r="AS401" s="485"/>
      <c r="AT401" s="24"/>
      <c r="AU401" s="24"/>
      <c r="AV401" s="24"/>
      <c r="AW401" s="18">
        <v>23</v>
      </c>
      <c r="AX401" s="69" t="s">
        <v>319</v>
      </c>
      <c r="AY401" s="243" t="s">
        <v>102</v>
      </c>
      <c r="AZ401" s="243" t="str">
        <f t="shared" si="168"/>
        <v>Pink</v>
      </c>
      <c r="BA401" s="243" t="s">
        <v>419</v>
      </c>
      <c r="BB401" s="244" t="s">
        <v>374</v>
      </c>
      <c r="BC401" s="43" t="str">
        <f t="shared" si="169"/>
        <v>-</v>
      </c>
      <c r="BD401" s="43">
        <f t="shared" si="167"/>
        <v>0</v>
      </c>
      <c r="BE401" s="193">
        <f t="shared" ref="BE401:BE464" si="188">BL401</f>
        <v>0</v>
      </c>
      <c r="BF401" s="193">
        <f t="shared" si="170"/>
        <v>0</v>
      </c>
      <c r="BG401" s="193">
        <f t="shared" si="171"/>
        <v>0</v>
      </c>
      <c r="BH401" s="307" t="str">
        <f t="shared" si="165"/>
        <v>-</v>
      </c>
      <c r="BI401" s="265" t="str">
        <f t="shared" si="187"/>
        <v>-</v>
      </c>
      <c r="BJ401" s="26" t="str">
        <f t="shared" si="172"/>
        <v>POETT NOOK CREEKPink</v>
      </c>
      <c r="BK401" s="26">
        <f t="shared" si="173"/>
        <v>0</v>
      </c>
      <c r="BL401" s="33">
        <f t="shared" si="163"/>
        <v>0</v>
      </c>
      <c r="BQ401" s="47" t="str">
        <f t="shared" si="174"/>
        <v>POETT NOOK CREEKPink</v>
      </c>
      <c r="BR401" s="49">
        <f t="shared" si="175"/>
        <v>0</v>
      </c>
      <c r="BS401" s="49">
        <f t="shared" si="176"/>
        <v>0</v>
      </c>
      <c r="BT401" s="31">
        <v>0</v>
      </c>
      <c r="BU401" s="188" t="str">
        <f t="shared" si="177"/>
        <v>HFN</v>
      </c>
      <c r="BV401" s="188" t="str">
        <f t="shared" si="178"/>
        <v xml:space="preserve"> </v>
      </c>
      <c r="BW401" s="188" t="str">
        <f t="shared" si="179"/>
        <v xml:space="preserve"> </v>
      </c>
      <c r="BX401" s="188" t="str">
        <f t="shared" si="180"/>
        <v xml:space="preserve"> </v>
      </c>
      <c r="BY401" s="50" t="str">
        <f t="shared" si="181"/>
        <v>POETT NOOK CREEK_Pink</v>
      </c>
      <c r="BZ401" s="50" t="str">
        <f>IFERROR(VLOOKUP(BY401,'[1]WCVI Esc'!$C$5:$W$555,18,FALSE),"-")</f>
        <v>-</v>
      </c>
      <c r="CA401" s="50" t="str">
        <f t="shared" si="182"/>
        <v>-</v>
      </c>
      <c r="CB401" s="50" t="str">
        <f>IFERROR(VLOOKUP(BY401,'[1]WCVI Esc'!$C$5:$W$555,19,FALSE),"-")</f>
        <v>-</v>
      </c>
      <c r="CC401" s="50" t="str">
        <f t="shared" si="183"/>
        <v>-</v>
      </c>
      <c r="CE401" s="342" t="str">
        <f t="shared" si="184"/>
        <v>POETT NOOK CREEK_Pink</v>
      </c>
      <c r="CF401" s="341" t="str">
        <f>IFERROR(VLOOKUP(BY401,'RawPL+D'!$O$8:$AB$503,12,FALSE),"-")</f>
        <v>-</v>
      </c>
      <c r="CG401" s="338" t="str">
        <f t="shared" si="185"/>
        <v>-</v>
      </c>
      <c r="CH401" s="341" t="str">
        <f>IFERROR(VLOOKUP(BY401,'RawPL+D'!$O$8:$AB$503,13,FALSE),"-")</f>
        <v>-</v>
      </c>
      <c r="CI401" s="338" t="str">
        <f t="shared" si="186"/>
        <v>-</v>
      </c>
    </row>
    <row r="402" spans="1:87" ht="12.75" hidden="1" customHeight="1" x14ac:dyDescent="0.2">
      <c r="A402" s="28">
        <v>4</v>
      </c>
      <c r="B402" s="28">
        <v>4</v>
      </c>
      <c r="C402" s="11">
        <v>23</v>
      </c>
      <c r="D402" s="148" t="s">
        <v>319</v>
      </c>
      <c r="E402" s="10" t="s">
        <v>102</v>
      </c>
      <c r="F402" s="10" t="s">
        <v>209</v>
      </c>
      <c r="G402" s="10"/>
      <c r="H402" s="10"/>
      <c r="I402" s="10"/>
      <c r="J402" s="10"/>
      <c r="K402" s="575"/>
      <c r="L402" s="152"/>
      <c r="M402" s="164"/>
      <c r="N402" s="62"/>
      <c r="O402" s="62"/>
      <c r="P402" s="177"/>
      <c r="Q402" s="171"/>
      <c r="R402" s="62"/>
      <c r="S402" s="62"/>
      <c r="T402" s="62"/>
      <c r="U402" s="64"/>
      <c r="V402" s="164"/>
      <c r="W402" s="62"/>
      <c r="X402" s="62"/>
      <c r="Y402" s="62"/>
      <c r="Z402" s="64"/>
      <c r="AA402" s="164"/>
      <c r="AB402" s="62"/>
      <c r="AC402" s="62"/>
      <c r="AD402" s="64"/>
      <c r="AE402" s="164"/>
      <c r="AF402" s="62"/>
      <c r="AG402" s="62"/>
      <c r="AH402" s="337"/>
      <c r="AI402" s="337"/>
      <c r="AJ402" s="337"/>
      <c r="AK402" s="337"/>
      <c r="AL402" s="414"/>
      <c r="AM402" s="414"/>
      <c r="AN402" s="45"/>
      <c r="AO402" s="45"/>
      <c r="AP402" s="45"/>
      <c r="AQ402" s="485">
        <f>AL402/BI402</f>
        <v>0</v>
      </c>
      <c r="AR402" s="100">
        <f>BL402/BI402</f>
        <v>0</v>
      </c>
      <c r="AS402" s="485"/>
      <c r="AT402" s="24"/>
      <c r="AU402" s="24"/>
      <c r="AV402" s="24"/>
      <c r="AW402" s="18">
        <v>23</v>
      </c>
      <c r="AX402" s="69" t="s">
        <v>319</v>
      </c>
      <c r="AY402" s="243" t="s">
        <v>102</v>
      </c>
      <c r="AZ402" s="243" t="str">
        <f t="shared" si="168"/>
        <v>Chum</v>
      </c>
      <c r="BA402" s="243" t="s">
        <v>419</v>
      </c>
      <c r="BB402" s="244" t="s">
        <v>374</v>
      </c>
      <c r="BC402" s="43" t="str">
        <f t="shared" si="169"/>
        <v>-</v>
      </c>
      <c r="BD402" s="43">
        <f t="shared" si="167"/>
        <v>0</v>
      </c>
      <c r="BE402" s="193">
        <f t="shared" si="188"/>
        <v>0</v>
      </c>
      <c r="BF402" s="193">
        <f t="shared" si="170"/>
        <v>0</v>
      </c>
      <c r="BG402" s="193">
        <f t="shared" si="171"/>
        <v>0</v>
      </c>
      <c r="BH402" s="307" t="str">
        <f t="shared" si="165"/>
        <v>-</v>
      </c>
      <c r="BI402" s="265">
        <f t="shared" si="187"/>
        <v>10</v>
      </c>
      <c r="BJ402" s="26" t="str">
        <f t="shared" si="172"/>
        <v>POETT NOOK CREEKChum</v>
      </c>
      <c r="BK402" s="26">
        <f t="shared" si="173"/>
        <v>0</v>
      </c>
      <c r="BL402" s="33">
        <f t="shared" si="163"/>
        <v>0</v>
      </c>
      <c r="BQ402" s="47" t="str">
        <f t="shared" si="174"/>
        <v>POETT NOOK CREEKChum</v>
      </c>
      <c r="BR402" s="49">
        <f t="shared" si="175"/>
        <v>0</v>
      </c>
      <c r="BS402" s="49">
        <f t="shared" si="176"/>
        <v>0</v>
      </c>
      <c r="BT402" s="31">
        <v>2011</v>
      </c>
      <c r="BU402" s="188" t="str">
        <f t="shared" si="177"/>
        <v>HFN</v>
      </c>
      <c r="BV402" s="188" t="str">
        <f t="shared" si="178"/>
        <v xml:space="preserve"> </v>
      </c>
      <c r="BW402" s="188" t="str">
        <f t="shared" si="179"/>
        <v xml:space="preserve"> </v>
      </c>
      <c r="BX402" s="188" t="str">
        <f t="shared" si="180"/>
        <v xml:space="preserve"> </v>
      </c>
      <c r="BY402" s="50" t="str">
        <f t="shared" si="181"/>
        <v>POETT NOOK CREEK_Chum</v>
      </c>
      <c r="BZ402" s="50" t="str">
        <f>IFERROR(VLOOKUP(BY402,'[1]WCVI Esc'!$C$5:$W$555,18,FALSE),"-")</f>
        <v>-</v>
      </c>
      <c r="CA402" s="50" t="str">
        <f t="shared" si="182"/>
        <v>-</v>
      </c>
      <c r="CB402" s="50">
        <f>IFERROR(VLOOKUP(BY402,'[1]WCVI Esc'!$C$5:$W$555,19,FALSE),"-")</f>
        <v>10</v>
      </c>
      <c r="CC402" s="50">
        <f t="shared" si="183"/>
        <v>10</v>
      </c>
      <c r="CE402" s="342" t="str">
        <f t="shared" si="184"/>
        <v>POETT NOOK CREEK_Chum</v>
      </c>
      <c r="CF402" s="341" t="str">
        <f>IFERROR(VLOOKUP(BY402,'RawPL+D'!$O$8:$AB$503,12,FALSE),"-")</f>
        <v>-</v>
      </c>
      <c r="CG402" s="338" t="str">
        <f t="shared" si="185"/>
        <v>-</v>
      </c>
      <c r="CH402" s="341" t="str">
        <f>IFERROR(VLOOKUP(BY402,'RawPL+D'!$O$8:$AB$503,13,FALSE),"-")</f>
        <v>-</v>
      </c>
      <c r="CI402" s="338" t="str">
        <f t="shared" si="186"/>
        <v>-</v>
      </c>
    </row>
    <row r="403" spans="1:87" ht="12.75" hidden="1" customHeight="1" x14ac:dyDescent="0.2">
      <c r="A403" s="28">
        <v>4</v>
      </c>
      <c r="B403" s="28">
        <v>5</v>
      </c>
      <c r="C403" s="11">
        <v>23</v>
      </c>
      <c r="D403" s="148" t="s">
        <v>319</v>
      </c>
      <c r="E403" s="10" t="s">
        <v>102</v>
      </c>
      <c r="F403" s="10" t="s">
        <v>210</v>
      </c>
      <c r="G403" s="10"/>
      <c r="H403" s="10"/>
      <c r="I403" s="10"/>
      <c r="J403" s="10"/>
      <c r="K403" s="575"/>
      <c r="L403" s="152"/>
      <c r="M403" s="164"/>
      <c r="N403" s="62"/>
      <c r="O403" s="62"/>
      <c r="P403" s="177"/>
      <c r="Q403" s="171"/>
      <c r="R403" s="62"/>
      <c r="S403" s="62"/>
      <c r="T403" s="62"/>
      <c r="U403" s="64"/>
      <c r="V403" s="164"/>
      <c r="W403" s="62"/>
      <c r="X403" s="62"/>
      <c r="Y403" s="62"/>
      <c r="Z403" s="64"/>
      <c r="AA403" s="164"/>
      <c r="AB403" s="62"/>
      <c r="AC403" s="62"/>
      <c r="AD403" s="64"/>
      <c r="AE403" s="164"/>
      <c r="AF403" s="62"/>
      <c r="AG403" s="62"/>
      <c r="AH403" s="337"/>
      <c r="AI403" s="337"/>
      <c r="AJ403" s="337"/>
      <c r="AK403" s="337"/>
      <c r="AL403" s="414"/>
      <c r="AM403" s="414"/>
      <c r="AN403" s="45"/>
      <c r="AO403" s="45"/>
      <c r="AP403" s="45"/>
      <c r="AQ403" s="485"/>
      <c r="AR403" s="100"/>
      <c r="AS403" s="485"/>
      <c r="AT403" s="24"/>
      <c r="AU403" s="24"/>
      <c r="AV403" s="24"/>
      <c r="AW403" s="18">
        <v>23</v>
      </c>
      <c r="AX403" s="69" t="s">
        <v>319</v>
      </c>
      <c r="AY403" s="243" t="s">
        <v>102</v>
      </c>
      <c r="AZ403" s="243" t="str">
        <f t="shared" si="168"/>
        <v>Chinook</v>
      </c>
      <c r="BA403" s="243" t="s">
        <v>419</v>
      </c>
      <c r="BB403" s="244" t="s">
        <v>374</v>
      </c>
      <c r="BC403" s="43" t="str">
        <f t="shared" si="169"/>
        <v>-</v>
      </c>
      <c r="BD403" s="43">
        <f t="shared" si="167"/>
        <v>0</v>
      </c>
      <c r="BE403" s="193">
        <f t="shared" si="188"/>
        <v>0</v>
      </c>
      <c r="BF403" s="193">
        <f t="shared" si="170"/>
        <v>0</v>
      </c>
      <c r="BG403" s="193">
        <f t="shared" si="171"/>
        <v>0</v>
      </c>
      <c r="BH403" s="307" t="str">
        <f t="shared" si="165"/>
        <v>-</v>
      </c>
      <c r="BI403" s="265" t="str">
        <f t="shared" si="187"/>
        <v>-</v>
      </c>
      <c r="BJ403" s="26" t="str">
        <f t="shared" si="172"/>
        <v>POETT NOOK CREEKChinook</v>
      </c>
      <c r="BK403" s="26">
        <f t="shared" si="173"/>
        <v>0</v>
      </c>
      <c r="BL403" s="33">
        <f t="shared" si="163"/>
        <v>0</v>
      </c>
      <c r="BQ403" s="47" t="str">
        <f t="shared" si="174"/>
        <v>POETT NOOK CREEKChinook</v>
      </c>
      <c r="BR403" s="49">
        <f t="shared" si="175"/>
        <v>0</v>
      </c>
      <c r="BS403" s="49">
        <f t="shared" si="176"/>
        <v>0</v>
      </c>
      <c r="BT403" s="31">
        <v>0</v>
      </c>
      <c r="BU403" s="188" t="str">
        <f t="shared" si="177"/>
        <v>HFN</v>
      </c>
      <c r="BV403" s="188" t="str">
        <f t="shared" si="178"/>
        <v xml:space="preserve"> </v>
      </c>
      <c r="BW403" s="188" t="str">
        <f t="shared" si="179"/>
        <v xml:space="preserve"> </v>
      </c>
      <c r="BX403" s="188" t="str">
        <f t="shared" si="180"/>
        <v xml:space="preserve"> </v>
      </c>
      <c r="BY403" s="50" t="str">
        <f t="shared" si="181"/>
        <v>POETT NOOK CREEK_Chinook</v>
      </c>
      <c r="BZ403" s="50" t="str">
        <f>IFERROR(VLOOKUP(BY403,'[1]WCVI Esc'!$C$5:$W$555,18,FALSE),"-")</f>
        <v>-</v>
      </c>
      <c r="CA403" s="50" t="str">
        <f t="shared" si="182"/>
        <v>-</v>
      </c>
      <c r="CB403" s="50" t="str">
        <f>IFERROR(VLOOKUP(BY403,'[1]WCVI Esc'!$C$5:$W$555,19,FALSE),"-")</f>
        <v>-</v>
      </c>
      <c r="CC403" s="50" t="str">
        <f t="shared" si="183"/>
        <v>-</v>
      </c>
      <c r="CE403" s="342" t="str">
        <f t="shared" si="184"/>
        <v>POETT NOOK CREEK_Chinook</v>
      </c>
      <c r="CF403" s="341" t="str">
        <f>IFERROR(VLOOKUP(BY403,'RawPL+D'!$O$8:$AB$503,12,FALSE),"-")</f>
        <v>-</v>
      </c>
      <c r="CG403" s="338" t="str">
        <f t="shared" si="185"/>
        <v>-</v>
      </c>
      <c r="CH403" s="341" t="str">
        <f>IFERROR(VLOOKUP(BY403,'RawPL+D'!$O$8:$AB$503,13,FALSE),"-")</f>
        <v>-</v>
      </c>
      <c r="CI403" s="338" t="str">
        <f t="shared" si="186"/>
        <v>-</v>
      </c>
    </row>
    <row r="404" spans="1:87" ht="12.75" hidden="1" customHeight="1" x14ac:dyDescent="0.2">
      <c r="A404" s="28">
        <v>4</v>
      </c>
      <c r="B404" s="28">
        <v>6</v>
      </c>
      <c r="C404" s="11">
        <v>23</v>
      </c>
      <c r="D404" s="148" t="s">
        <v>319</v>
      </c>
      <c r="E404" s="10" t="s">
        <v>102</v>
      </c>
      <c r="F404" s="10" t="s">
        <v>211</v>
      </c>
      <c r="G404" s="10"/>
      <c r="H404" s="10"/>
      <c r="I404" s="10"/>
      <c r="J404" s="10"/>
      <c r="K404" s="575"/>
      <c r="L404" s="152"/>
      <c r="M404" s="164"/>
      <c r="N404" s="62"/>
      <c r="O404" s="62"/>
      <c r="P404" s="177"/>
      <c r="Q404" s="171"/>
      <c r="R404" s="62"/>
      <c r="S404" s="62"/>
      <c r="T404" s="62"/>
      <c r="U404" s="64"/>
      <c r="V404" s="164"/>
      <c r="W404" s="62"/>
      <c r="X404" s="62"/>
      <c r="Y404" s="62"/>
      <c r="Z404" s="64"/>
      <c r="AA404" s="164"/>
      <c r="AB404" s="62"/>
      <c r="AC404" s="62"/>
      <c r="AD404" s="64"/>
      <c r="AE404" s="164"/>
      <c r="AF404" s="62"/>
      <c r="AG404" s="62"/>
      <c r="AH404" s="337"/>
      <c r="AI404" s="337"/>
      <c r="AJ404" s="337"/>
      <c r="AK404" s="337"/>
      <c r="AL404" s="414"/>
      <c r="AM404" s="414"/>
      <c r="AN404" s="45"/>
      <c r="AO404" s="45"/>
      <c r="AP404" s="45"/>
      <c r="AQ404" s="485"/>
      <c r="AR404" s="100"/>
      <c r="AS404" s="485"/>
      <c r="AT404" s="24"/>
      <c r="AU404" s="24"/>
      <c r="AV404" s="24"/>
      <c r="AW404" s="18">
        <v>23</v>
      </c>
      <c r="AX404" s="69" t="s">
        <v>319</v>
      </c>
      <c r="AY404" s="243" t="s">
        <v>102</v>
      </c>
      <c r="AZ404" s="243" t="str">
        <f t="shared" si="168"/>
        <v>Steelhead</v>
      </c>
      <c r="BA404" s="243" t="s">
        <v>419</v>
      </c>
      <c r="BB404" s="244" t="s">
        <v>374</v>
      </c>
      <c r="BC404" s="43" t="str">
        <f t="shared" si="169"/>
        <v>-</v>
      </c>
      <c r="BD404" s="43">
        <f t="shared" si="167"/>
        <v>0</v>
      </c>
      <c r="BE404" s="193">
        <f t="shared" si="188"/>
        <v>0</v>
      </c>
      <c r="BF404" s="193">
        <f t="shared" si="170"/>
        <v>0</v>
      </c>
      <c r="BG404" s="193">
        <f t="shared" si="171"/>
        <v>0</v>
      </c>
      <c r="BH404" s="307" t="str">
        <f t="shared" si="165"/>
        <v>-</v>
      </c>
      <c r="BI404" s="265" t="str">
        <f t="shared" si="187"/>
        <v>-</v>
      </c>
      <c r="BJ404" s="26" t="str">
        <f t="shared" si="172"/>
        <v>POETT NOOK CREEKSteelhead</v>
      </c>
      <c r="BK404" s="26">
        <f t="shared" si="173"/>
        <v>0</v>
      </c>
      <c r="BL404" s="33">
        <f t="shared" si="163"/>
        <v>0</v>
      </c>
      <c r="BQ404" s="47" t="str">
        <f t="shared" si="174"/>
        <v>POETT NOOK CREEKSteelhead</v>
      </c>
      <c r="BR404" s="49">
        <f t="shared" si="175"/>
        <v>0</v>
      </c>
      <c r="BS404" s="49">
        <f t="shared" si="176"/>
        <v>0</v>
      </c>
      <c r="BT404" s="31">
        <v>0</v>
      </c>
      <c r="BU404" s="188" t="str">
        <f t="shared" si="177"/>
        <v>HFN</v>
      </c>
      <c r="BV404" s="188" t="str">
        <f t="shared" si="178"/>
        <v xml:space="preserve"> </v>
      </c>
      <c r="BW404" s="188" t="str">
        <f t="shared" si="179"/>
        <v xml:space="preserve"> </v>
      </c>
      <c r="BX404" s="188" t="str">
        <f t="shared" si="180"/>
        <v xml:space="preserve"> </v>
      </c>
      <c r="BY404" s="50" t="str">
        <f t="shared" si="181"/>
        <v>POETT NOOK CREEK_Steelhead</v>
      </c>
      <c r="BZ404" s="50" t="str">
        <f>IFERROR(VLOOKUP(BY404,'[1]WCVI Esc'!$C$5:$W$555,18,FALSE),"-")</f>
        <v>-</v>
      </c>
      <c r="CA404" s="50" t="str">
        <f t="shared" si="182"/>
        <v>-</v>
      </c>
      <c r="CB404" s="50" t="str">
        <f>IFERROR(VLOOKUP(BY404,'[1]WCVI Esc'!$C$5:$W$555,19,FALSE),"-")</f>
        <v>-</v>
      </c>
      <c r="CC404" s="50" t="str">
        <f t="shared" si="183"/>
        <v>-</v>
      </c>
      <c r="CE404" s="342" t="str">
        <f t="shared" si="184"/>
        <v>POETT NOOK CREEK_Steelhead</v>
      </c>
      <c r="CF404" s="341" t="str">
        <f>IFERROR(VLOOKUP(BY404,'RawPL+D'!$O$8:$AB$503,12,FALSE),"-")</f>
        <v>-</v>
      </c>
      <c r="CG404" s="338" t="str">
        <f t="shared" si="185"/>
        <v>-</v>
      </c>
      <c r="CH404" s="341" t="str">
        <f>IFERROR(VLOOKUP(BY404,'RawPL+D'!$O$8:$AB$503,13,FALSE),"-")</f>
        <v>-</v>
      </c>
      <c r="CI404" s="338" t="str">
        <f t="shared" si="186"/>
        <v>-</v>
      </c>
    </row>
    <row r="405" spans="1:87" ht="12.75" hidden="1" customHeight="1" x14ac:dyDescent="0.2">
      <c r="A405" s="28">
        <v>4</v>
      </c>
      <c r="B405" s="28">
        <v>1</v>
      </c>
      <c r="C405" s="11">
        <v>23</v>
      </c>
      <c r="D405" s="148" t="s">
        <v>319</v>
      </c>
      <c r="E405" s="10" t="s">
        <v>103</v>
      </c>
      <c r="F405" s="10" t="s">
        <v>207</v>
      </c>
      <c r="G405" s="10"/>
      <c r="H405" s="10"/>
      <c r="I405" s="10"/>
      <c r="J405" s="10"/>
      <c r="K405" s="575"/>
      <c r="L405" s="152"/>
      <c r="M405" s="164"/>
      <c r="N405" s="62"/>
      <c r="O405" s="62"/>
      <c r="P405" s="177"/>
      <c r="Q405" s="171"/>
      <c r="R405" s="62"/>
      <c r="S405" s="62"/>
      <c r="T405" s="62"/>
      <c r="U405" s="64"/>
      <c r="V405" s="164"/>
      <c r="W405" s="62"/>
      <c r="X405" s="62"/>
      <c r="Y405" s="62"/>
      <c r="Z405" s="64"/>
      <c r="AA405" s="164"/>
      <c r="AB405" s="62"/>
      <c r="AC405" s="62"/>
      <c r="AD405" s="64"/>
      <c r="AE405" s="164"/>
      <c r="AF405" s="62"/>
      <c r="AG405" s="62"/>
      <c r="AH405" s="337"/>
      <c r="AI405" s="337"/>
      <c r="AJ405" s="337"/>
      <c r="AK405" s="337"/>
      <c r="AL405" s="414"/>
      <c r="AM405" s="414"/>
      <c r="AN405" s="45"/>
      <c r="AO405" s="45"/>
      <c r="AP405" s="45"/>
      <c r="AQ405" s="485"/>
      <c r="AR405" s="100"/>
      <c r="AS405" s="485"/>
      <c r="AT405" s="24"/>
      <c r="AU405" s="24"/>
      <c r="AV405" s="24"/>
      <c r="AW405" s="18">
        <v>23</v>
      </c>
      <c r="AX405" s="69" t="s">
        <v>319</v>
      </c>
      <c r="AY405" s="243" t="s">
        <v>103</v>
      </c>
      <c r="AZ405" s="243" t="str">
        <f t="shared" si="168"/>
        <v>Sockeye</v>
      </c>
      <c r="BA405" s="243" t="s">
        <v>419</v>
      </c>
      <c r="BB405" s="244" t="s">
        <v>374</v>
      </c>
      <c r="BC405" s="43" t="str">
        <f t="shared" si="169"/>
        <v>-</v>
      </c>
      <c r="BD405" s="43">
        <f t="shared" si="167"/>
        <v>0</v>
      </c>
      <c r="BE405" s="193">
        <f t="shared" si="188"/>
        <v>0</v>
      </c>
      <c r="BF405" s="193">
        <f t="shared" si="170"/>
        <v>0</v>
      </c>
      <c r="BG405" s="193">
        <f t="shared" si="171"/>
        <v>0</v>
      </c>
      <c r="BH405" s="307" t="str">
        <f t="shared" si="165"/>
        <v>-</v>
      </c>
      <c r="BI405" s="265" t="str">
        <f t="shared" si="187"/>
        <v>-</v>
      </c>
      <c r="BJ405" s="26" t="str">
        <f t="shared" si="172"/>
        <v>RITHERDON CREEKSockeye</v>
      </c>
      <c r="BK405" s="26">
        <f t="shared" si="173"/>
        <v>0</v>
      </c>
      <c r="BL405" s="33">
        <f t="shared" si="163"/>
        <v>0</v>
      </c>
      <c r="BQ405" s="47" t="str">
        <f t="shared" si="174"/>
        <v>RITHERDON CREEKSockeye</v>
      </c>
      <c r="BR405" s="49">
        <f t="shared" si="175"/>
        <v>0</v>
      </c>
      <c r="BS405" s="49">
        <f t="shared" si="176"/>
        <v>0</v>
      </c>
      <c r="BT405" s="31">
        <v>0</v>
      </c>
      <c r="BU405" s="188" t="str">
        <f t="shared" si="177"/>
        <v>HFN</v>
      </c>
      <c r="BV405" s="188" t="str">
        <f t="shared" si="178"/>
        <v xml:space="preserve"> </v>
      </c>
      <c r="BW405" s="188" t="str">
        <f t="shared" si="179"/>
        <v xml:space="preserve"> </v>
      </c>
      <c r="BX405" s="188" t="str">
        <f t="shared" si="180"/>
        <v xml:space="preserve"> </v>
      </c>
      <c r="BY405" s="50" t="str">
        <f t="shared" si="181"/>
        <v>RITHERDON CREEK_Sockeye</v>
      </c>
      <c r="BZ405" s="50" t="str">
        <f>IFERROR(VLOOKUP(BY405,'[1]WCVI Esc'!$C$5:$W$555,18,FALSE),"-")</f>
        <v>-</v>
      </c>
      <c r="CA405" s="50" t="str">
        <f t="shared" si="182"/>
        <v>-</v>
      </c>
      <c r="CB405" s="50" t="str">
        <f>IFERROR(VLOOKUP(BY405,'[1]WCVI Esc'!$C$5:$W$555,19,FALSE),"-")</f>
        <v>-</v>
      </c>
      <c r="CC405" s="50" t="str">
        <f t="shared" si="183"/>
        <v>-</v>
      </c>
      <c r="CE405" s="342" t="str">
        <f t="shared" si="184"/>
        <v>RITHERDON CREEK_Sockeye</v>
      </c>
      <c r="CF405" s="341" t="str">
        <f>IFERROR(VLOOKUP(BY405,'RawPL+D'!$O$8:$AB$503,12,FALSE),"-")</f>
        <v>-</v>
      </c>
      <c r="CG405" s="338" t="str">
        <f t="shared" si="185"/>
        <v>-</v>
      </c>
      <c r="CH405" s="341" t="str">
        <f>IFERROR(VLOOKUP(BY405,'RawPL+D'!$O$8:$AB$503,13,FALSE),"-")</f>
        <v>-</v>
      </c>
      <c r="CI405" s="338" t="str">
        <f t="shared" si="186"/>
        <v>-</v>
      </c>
    </row>
    <row r="406" spans="1:87" ht="12.75" hidden="1" customHeight="1" x14ac:dyDescent="0.2">
      <c r="A406" s="28">
        <v>4</v>
      </c>
      <c r="B406" s="28">
        <v>2</v>
      </c>
      <c r="C406" s="11">
        <v>23</v>
      </c>
      <c r="D406" s="148" t="s">
        <v>319</v>
      </c>
      <c r="E406" s="10" t="s">
        <v>103</v>
      </c>
      <c r="F406" s="10" t="s">
        <v>219</v>
      </c>
      <c r="G406" s="10"/>
      <c r="H406" s="10"/>
      <c r="I406" s="10"/>
      <c r="J406" s="10"/>
      <c r="K406" s="575"/>
      <c r="L406" s="152"/>
      <c r="M406" s="164"/>
      <c r="N406" s="62"/>
      <c r="O406" s="62"/>
      <c r="P406" s="177"/>
      <c r="Q406" s="171"/>
      <c r="R406" s="62"/>
      <c r="S406" s="390"/>
      <c r="T406" s="62"/>
      <c r="U406" s="64"/>
      <c r="V406" s="164"/>
      <c r="W406" s="62"/>
      <c r="X406" s="62"/>
      <c r="Y406" s="62"/>
      <c r="Z406" s="64"/>
      <c r="AA406" s="164"/>
      <c r="AB406" s="62"/>
      <c r="AC406" s="62"/>
      <c r="AD406" s="64"/>
      <c r="AE406" s="164"/>
      <c r="AF406" s="62"/>
      <c r="AG406" s="62"/>
      <c r="AH406" s="337"/>
      <c r="AI406" s="337"/>
      <c r="AJ406" s="337"/>
      <c r="AK406" s="337"/>
      <c r="AL406" s="414"/>
      <c r="AM406" s="414"/>
      <c r="AN406" s="45"/>
      <c r="AO406" s="45"/>
      <c r="AP406" s="45"/>
      <c r="AQ406" s="485"/>
      <c r="AR406" s="100"/>
      <c r="AS406" s="485"/>
      <c r="AT406" s="24"/>
      <c r="AU406" s="24"/>
      <c r="AV406" s="24"/>
      <c r="AW406" s="18">
        <v>23</v>
      </c>
      <c r="AX406" s="69" t="s">
        <v>319</v>
      </c>
      <c r="AY406" s="243" t="s">
        <v>103</v>
      </c>
      <c r="AZ406" s="243" t="str">
        <f t="shared" si="168"/>
        <v>Coho</v>
      </c>
      <c r="BA406" s="243" t="s">
        <v>419</v>
      </c>
      <c r="BB406" s="244" t="s">
        <v>374</v>
      </c>
      <c r="BC406" s="43" t="str">
        <f t="shared" si="169"/>
        <v>-</v>
      </c>
      <c r="BD406" s="43">
        <f t="shared" si="167"/>
        <v>0</v>
      </c>
      <c r="BE406" s="193">
        <f t="shared" si="188"/>
        <v>0</v>
      </c>
      <c r="BF406" s="193">
        <f t="shared" si="170"/>
        <v>0</v>
      </c>
      <c r="BG406" s="193">
        <f t="shared" si="171"/>
        <v>0</v>
      </c>
      <c r="BH406" s="307">
        <f t="shared" si="165"/>
        <v>0</v>
      </c>
      <c r="BI406" s="265">
        <f t="shared" si="187"/>
        <v>10</v>
      </c>
      <c r="BJ406" s="26" t="str">
        <f t="shared" si="172"/>
        <v>RITHERDON CREEKCoho</v>
      </c>
      <c r="BK406" s="26">
        <f t="shared" si="173"/>
        <v>0</v>
      </c>
      <c r="BL406" s="33">
        <f t="shared" si="163"/>
        <v>0</v>
      </c>
      <c r="BQ406" s="47" t="str">
        <f t="shared" si="174"/>
        <v>RITHERDON CREEKCoho</v>
      </c>
      <c r="BR406" s="49">
        <f t="shared" si="175"/>
        <v>0</v>
      </c>
      <c r="BS406" s="49">
        <f t="shared" si="176"/>
        <v>0</v>
      </c>
      <c r="BT406" s="31">
        <v>2001</v>
      </c>
      <c r="BU406" s="188" t="str">
        <f t="shared" si="177"/>
        <v>HFN</v>
      </c>
      <c r="BV406" s="188" t="str">
        <f t="shared" si="178"/>
        <v xml:space="preserve"> </v>
      </c>
      <c r="BW406" s="188" t="str">
        <f t="shared" si="179"/>
        <v xml:space="preserve"> </v>
      </c>
      <c r="BX406" s="188" t="str">
        <f t="shared" si="180"/>
        <v xml:space="preserve"> </v>
      </c>
      <c r="BY406" s="50" t="str">
        <f t="shared" si="181"/>
        <v>RITHERDON CREEK_Coho</v>
      </c>
      <c r="BZ406" s="50">
        <f>IFERROR(VLOOKUP(BY406,'[1]WCVI Esc'!$C$5:$W$555,18,FALSE),"-")</f>
        <v>6</v>
      </c>
      <c r="CA406" s="50">
        <f t="shared" si="182"/>
        <v>10</v>
      </c>
      <c r="CB406" s="50">
        <f>IFERROR(VLOOKUP(BY406,'[1]WCVI Esc'!$C$5:$W$555,19,FALSE),"-")</f>
        <v>6</v>
      </c>
      <c r="CC406" s="50">
        <f t="shared" si="183"/>
        <v>10</v>
      </c>
      <c r="CE406" s="342" t="str">
        <f t="shared" si="184"/>
        <v>RITHERDON CREEK_Coho</v>
      </c>
      <c r="CF406" s="341">
        <f>IFERROR(VLOOKUP(BY406,'RawPL+D'!$O$8:$AB$503,12,FALSE),"-")</f>
        <v>0</v>
      </c>
      <c r="CG406" s="338">
        <f t="shared" si="185"/>
        <v>0</v>
      </c>
      <c r="CH406" s="341">
        <f>IFERROR(VLOOKUP(BY406,'RawPL+D'!$O$8:$AB$503,13,FALSE),"-")</f>
        <v>4</v>
      </c>
      <c r="CI406" s="338">
        <f t="shared" si="186"/>
        <v>0</v>
      </c>
    </row>
    <row r="407" spans="1:87" ht="12.75" hidden="1" customHeight="1" x14ac:dyDescent="0.2">
      <c r="A407" s="28">
        <v>4</v>
      </c>
      <c r="B407" s="28">
        <v>3</v>
      </c>
      <c r="C407" s="11">
        <v>23</v>
      </c>
      <c r="D407" s="148" t="s">
        <v>319</v>
      </c>
      <c r="E407" s="10" t="s">
        <v>103</v>
      </c>
      <c r="F407" s="10" t="s">
        <v>208</v>
      </c>
      <c r="G407" s="10"/>
      <c r="H407" s="10"/>
      <c r="I407" s="10"/>
      <c r="J407" s="10"/>
      <c r="K407" s="575"/>
      <c r="L407" s="152"/>
      <c r="M407" s="164"/>
      <c r="N407" s="62"/>
      <c r="O407" s="62"/>
      <c r="P407" s="177"/>
      <c r="Q407" s="171"/>
      <c r="R407" s="62"/>
      <c r="S407" s="62"/>
      <c r="T407" s="62"/>
      <c r="U407" s="64"/>
      <c r="V407" s="164"/>
      <c r="W407" s="62"/>
      <c r="X407" s="62"/>
      <c r="Y407" s="62"/>
      <c r="Z407" s="64"/>
      <c r="AA407" s="164"/>
      <c r="AB407" s="62"/>
      <c r="AC407" s="62"/>
      <c r="AD407" s="64"/>
      <c r="AE407" s="164"/>
      <c r="AF407" s="62"/>
      <c r="AG407" s="62"/>
      <c r="AH407" s="337"/>
      <c r="AI407" s="337"/>
      <c r="AJ407" s="337"/>
      <c r="AK407" s="337"/>
      <c r="AL407" s="414"/>
      <c r="AM407" s="414"/>
      <c r="AN407" s="45"/>
      <c r="AO407" s="45"/>
      <c r="AP407" s="45"/>
      <c r="AQ407" s="485"/>
      <c r="AR407" s="100"/>
      <c r="AS407" s="485"/>
      <c r="AT407" s="24"/>
      <c r="AU407" s="24"/>
      <c r="AV407" s="24"/>
      <c r="AW407" s="18">
        <v>23</v>
      </c>
      <c r="AX407" s="69" t="s">
        <v>319</v>
      </c>
      <c r="AY407" s="243" t="s">
        <v>103</v>
      </c>
      <c r="AZ407" s="243" t="str">
        <f t="shared" si="168"/>
        <v>Pink</v>
      </c>
      <c r="BA407" s="243" t="s">
        <v>419</v>
      </c>
      <c r="BB407" s="244" t="s">
        <v>374</v>
      </c>
      <c r="BC407" s="43" t="str">
        <f t="shared" si="169"/>
        <v>-</v>
      </c>
      <c r="BD407" s="43">
        <f t="shared" si="167"/>
        <v>0</v>
      </c>
      <c r="BE407" s="193">
        <f t="shared" si="188"/>
        <v>0</v>
      </c>
      <c r="BF407" s="193">
        <f t="shared" si="170"/>
        <v>0</v>
      </c>
      <c r="BG407" s="193">
        <f t="shared" si="171"/>
        <v>0</v>
      </c>
      <c r="BH407" s="307" t="str">
        <f t="shared" si="165"/>
        <v>-</v>
      </c>
      <c r="BI407" s="265" t="str">
        <f t="shared" si="187"/>
        <v>-</v>
      </c>
      <c r="BJ407" s="26" t="str">
        <f t="shared" si="172"/>
        <v>RITHERDON CREEKPink</v>
      </c>
      <c r="BK407" s="26">
        <f t="shared" si="173"/>
        <v>0</v>
      </c>
      <c r="BL407" s="33">
        <f t="shared" si="163"/>
        <v>0</v>
      </c>
      <c r="BQ407" s="47" t="str">
        <f t="shared" si="174"/>
        <v>RITHERDON CREEKPink</v>
      </c>
      <c r="BR407" s="49">
        <f t="shared" si="175"/>
        <v>0</v>
      </c>
      <c r="BS407" s="49">
        <f t="shared" si="176"/>
        <v>0</v>
      </c>
      <c r="BT407" s="31">
        <v>0</v>
      </c>
      <c r="BU407" s="188" t="str">
        <f t="shared" si="177"/>
        <v>HFN</v>
      </c>
      <c r="BV407" s="188" t="str">
        <f t="shared" si="178"/>
        <v xml:space="preserve"> </v>
      </c>
      <c r="BW407" s="188" t="str">
        <f t="shared" si="179"/>
        <v xml:space="preserve"> </v>
      </c>
      <c r="BX407" s="188" t="str">
        <f t="shared" si="180"/>
        <v xml:space="preserve"> </v>
      </c>
      <c r="BY407" s="50" t="str">
        <f t="shared" si="181"/>
        <v>RITHERDON CREEK_Pink</v>
      </c>
      <c r="BZ407" s="50" t="str">
        <f>IFERROR(VLOOKUP(BY407,'[1]WCVI Esc'!$C$5:$W$555,18,FALSE),"-")</f>
        <v>-</v>
      </c>
      <c r="CA407" s="50" t="str">
        <f t="shared" si="182"/>
        <v>-</v>
      </c>
      <c r="CB407" s="50" t="str">
        <f>IFERROR(VLOOKUP(BY407,'[1]WCVI Esc'!$C$5:$W$555,19,FALSE),"-")</f>
        <v>-</v>
      </c>
      <c r="CC407" s="50" t="str">
        <f t="shared" si="183"/>
        <v>-</v>
      </c>
      <c r="CE407" s="342" t="str">
        <f t="shared" si="184"/>
        <v>RITHERDON CREEK_Pink</v>
      </c>
      <c r="CF407" s="341" t="str">
        <f>IFERROR(VLOOKUP(BY407,'RawPL+D'!$O$8:$AB$503,12,FALSE),"-")</f>
        <v>-</v>
      </c>
      <c r="CG407" s="338" t="str">
        <f t="shared" si="185"/>
        <v>-</v>
      </c>
      <c r="CH407" s="341" t="str">
        <f>IFERROR(VLOOKUP(BY407,'RawPL+D'!$O$8:$AB$503,13,FALSE),"-")</f>
        <v>-</v>
      </c>
      <c r="CI407" s="338" t="str">
        <f t="shared" si="186"/>
        <v>-</v>
      </c>
    </row>
    <row r="408" spans="1:87" ht="12.75" hidden="1" customHeight="1" x14ac:dyDescent="0.2">
      <c r="A408" s="28">
        <v>4</v>
      </c>
      <c r="B408" s="28">
        <v>4</v>
      </c>
      <c r="C408" s="11">
        <v>23</v>
      </c>
      <c r="D408" s="148" t="s">
        <v>319</v>
      </c>
      <c r="E408" s="10" t="s">
        <v>103</v>
      </c>
      <c r="F408" s="10" t="s">
        <v>209</v>
      </c>
      <c r="G408" s="10"/>
      <c r="H408" s="10"/>
      <c r="I408" s="10"/>
      <c r="J408" s="10"/>
      <c r="K408" s="575"/>
      <c r="L408" s="152"/>
      <c r="M408" s="164"/>
      <c r="N408" s="62"/>
      <c r="O408" s="62"/>
      <c r="P408" s="177"/>
      <c r="Q408" s="171"/>
      <c r="R408" s="62"/>
      <c r="S408" s="62"/>
      <c r="T408" s="62"/>
      <c r="U408" s="64"/>
      <c r="V408" s="164"/>
      <c r="W408" s="62"/>
      <c r="X408" s="62"/>
      <c r="Y408" s="62"/>
      <c r="Z408" s="64"/>
      <c r="AA408" s="164"/>
      <c r="AB408" s="62"/>
      <c r="AC408" s="62"/>
      <c r="AD408" s="64"/>
      <c r="AE408" s="164"/>
      <c r="AF408" s="62"/>
      <c r="AG408" s="62"/>
      <c r="AH408" s="337"/>
      <c r="AI408" s="337"/>
      <c r="AJ408" s="337"/>
      <c r="AK408" s="337"/>
      <c r="AL408" s="414"/>
      <c r="AM408" s="414"/>
      <c r="AN408" s="45"/>
      <c r="AO408" s="45"/>
      <c r="AP408" s="45"/>
      <c r="AQ408" s="485">
        <f>AL408/BI408</f>
        <v>0</v>
      </c>
      <c r="AR408" s="100">
        <f>BL408/BI408</f>
        <v>0</v>
      </c>
      <c r="AS408" s="485"/>
      <c r="AT408" s="24"/>
      <c r="AU408" s="24"/>
      <c r="AV408" s="24"/>
      <c r="AW408" s="18">
        <v>23</v>
      </c>
      <c r="AX408" s="69" t="s">
        <v>319</v>
      </c>
      <c r="AY408" s="243" t="s">
        <v>103</v>
      </c>
      <c r="AZ408" s="243" t="str">
        <f t="shared" si="168"/>
        <v>Chum</v>
      </c>
      <c r="BA408" s="243" t="s">
        <v>419</v>
      </c>
      <c r="BB408" s="244" t="s">
        <v>374</v>
      </c>
      <c r="BC408" s="43" t="str">
        <f t="shared" si="169"/>
        <v>-</v>
      </c>
      <c r="BD408" s="43">
        <f t="shared" si="167"/>
        <v>0</v>
      </c>
      <c r="BE408" s="193">
        <f t="shared" si="188"/>
        <v>0</v>
      </c>
      <c r="BF408" s="193">
        <f t="shared" si="170"/>
        <v>0</v>
      </c>
      <c r="BG408" s="193">
        <f t="shared" si="171"/>
        <v>0</v>
      </c>
      <c r="BH408" s="307" t="str">
        <f t="shared" si="165"/>
        <v>-</v>
      </c>
      <c r="BI408" s="265">
        <f t="shared" si="187"/>
        <v>10</v>
      </c>
      <c r="BJ408" s="26" t="str">
        <f t="shared" si="172"/>
        <v>RITHERDON CREEKChum</v>
      </c>
      <c r="BK408" s="26">
        <f t="shared" si="173"/>
        <v>0</v>
      </c>
      <c r="BL408" s="33">
        <f t="shared" si="163"/>
        <v>0</v>
      </c>
      <c r="BQ408" s="47" t="str">
        <f t="shared" si="174"/>
        <v>RITHERDON CREEKChum</v>
      </c>
      <c r="BR408" s="49">
        <f t="shared" si="175"/>
        <v>0</v>
      </c>
      <c r="BS408" s="49">
        <f t="shared" si="176"/>
        <v>0</v>
      </c>
      <c r="BT408" s="31">
        <v>2011</v>
      </c>
      <c r="BU408" s="188" t="str">
        <f t="shared" si="177"/>
        <v>HFN</v>
      </c>
      <c r="BV408" s="188" t="str">
        <f t="shared" si="178"/>
        <v xml:space="preserve"> </v>
      </c>
      <c r="BW408" s="188" t="str">
        <f t="shared" si="179"/>
        <v xml:space="preserve"> </v>
      </c>
      <c r="BX408" s="188" t="str">
        <f t="shared" si="180"/>
        <v xml:space="preserve"> </v>
      </c>
      <c r="BY408" s="50" t="str">
        <f t="shared" si="181"/>
        <v>RITHERDON CREEK_Chum</v>
      </c>
      <c r="BZ408" s="50" t="str">
        <f>IFERROR(VLOOKUP(BY408,'[1]WCVI Esc'!$C$5:$W$555,18,FALSE),"-")</f>
        <v>-</v>
      </c>
      <c r="CA408" s="50" t="str">
        <f t="shared" si="182"/>
        <v>-</v>
      </c>
      <c r="CB408" s="50">
        <f>IFERROR(VLOOKUP(BY408,'[1]WCVI Esc'!$C$5:$W$555,19,FALSE),"-")</f>
        <v>6</v>
      </c>
      <c r="CC408" s="50">
        <f t="shared" si="183"/>
        <v>10</v>
      </c>
      <c r="CE408" s="342" t="str">
        <f t="shared" si="184"/>
        <v>RITHERDON CREEK_Chum</v>
      </c>
      <c r="CF408" s="341" t="str">
        <f>IFERROR(VLOOKUP(BY408,'RawPL+D'!$O$8:$AB$503,12,FALSE),"-")</f>
        <v>-</v>
      </c>
      <c r="CG408" s="338" t="str">
        <f t="shared" si="185"/>
        <v>-</v>
      </c>
      <c r="CH408" s="341" t="str">
        <f>IFERROR(VLOOKUP(BY408,'RawPL+D'!$O$8:$AB$503,13,FALSE),"-")</f>
        <v>-</v>
      </c>
      <c r="CI408" s="338" t="str">
        <f t="shared" si="186"/>
        <v>-</v>
      </c>
    </row>
    <row r="409" spans="1:87" ht="12.75" hidden="1" customHeight="1" x14ac:dyDescent="0.2">
      <c r="A409" s="28">
        <v>4</v>
      </c>
      <c r="B409" s="28">
        <v>5</v>
      </c>
      <c r="C409" s="11">
        <v>23</v>
      </c>
      <c r="D409" s="148" t="s">
        <v>319</v>
      </c>
      <c r="E409" s="10" t="s">
        <v>103</v>
      </c>
      <c r="F409" s="10" t="s">
        <v>210</v>
      </c>
      <c r="G409" s="10"/>
      <c r="H409" s="10"/>
      <c r="I409" s="10"/>
      <c r="J409" s="10"/>
      <c r="K409" s="575"/>
      <c r="L409" s="152"/>
      <c r="M409" s="164"/>
      <c r="N409" s="62"/>
      <c r="O409" s="62"/>
      <c r="P409" s="177"/>
      <c r="Q409" s="171"/>
      <c r="R409" s="62"/>
      <c r="S409" s="62"/>
      <c r="T409" s="62"/>
      <c r="U409" s="64"/>
      <c r="V409" s="164"/>
      <c r="W409" s="62"/>
      <c r="X409" s="62"/>
      <c r="Y409" s="62"/>
      <c r="Z409" s="64"/>
      <c r="AA409" s="164"/>
      <c r="AB409" s="62"/>
      <c r="AC409" s="62"/>
      <c r="AD409" s="64"/>
      <c r="AE409" s="164"/>
      <c r="AF409" s="62"/>
      <c r="AG409" s="62"/>
      <c r="AH409" s="337"/>
      <c r="AI409" s="337"/>
      <c r="AJ409" s="337"/>
      <c r="AK409" s="337"/>
      <c r="AL409" s="414"/>
      <c r="AM409" s="414"/>
      <c r="AN409" s="45"/>
      <c r="AO409" s="45"/>
      <c r="AP409" s="45"/>
      <c r="AQ409" s="485"/>
      <c r="AR409" s="100"/>
      <c r="AS409" s="485"/>
      <c r="AT409" s="24"/>
      <c r="AU409" s="24"/>
      <c r="AV409" s="24"/>
      <c r="AW409" s="18">
        <v>23</v>
      </c>
      <c r="AX409" s="69" t="s">
        <v>319</v>
      </c>
      <c r="AY409" s="243" t="s">
        <v>103</v>
      </c>
      <c r="AZ409" s="243" t="str">
        <f t="shared" si="168"/>
        <v>Chinook</v>
      </c>
      <c r="BA409" s="243" t="s">
        <v>419</v>
      </c>
      <c r="BB409" s="244" t="s">
        <v>374</v>
      </c>
      <c r="BC409" s="43" t="str">
        <f t="shared" si="169"/>
        <v>-</v>
      </c>
      <c r="BD409" s="43">
        <f t="shared" si="167"/>
        <v>0</v>
      </c>
      <c r="BE409" s="193">
        <f t="shared" si="188"/>
        <v>0</v>
      </c>
      <c r="BF409" s="193">
        <f t="shared" si="170"/>
        <v>0</v>
      </c>
      <c r="BG409" s="193">
        <f t="shared" si="171"/>
        <v>0</v>
      </c>
      <c r="BH409" s="307" t="str">
        <f t="shared" si="165"/>
        <v>-</v>
      </c>
      <c r="BI409" s="265" t="str">
        <f t="shared" si="187"/>
        <v>-</v>
      </c>
      <c r="BJ409" s="26" t="str">
        <f t="shared" si="172"/>
        <v>RITHERDON CREEKChinook</v>
      </c>
      <c r="BK409" s="26">
        <f t="shared" si="173"/>
        <v>0</v>
      </c>
      <c r="BL409" s="33">
        <f t="shared" si="163"/>
        <v>0</v>
      </c>
      <c r="BQ409" s="47" t="str">
        <f t="shared" si="174"/>
        <v>RITHERDON CREEKChinook</v>
      </c>
      <c r="BR409" s="49">
        <f t="shared" si="175"/>
        <v>0</v>
      </c>
      <c r="BS409" s="49">
        <f t="shared" si="176"/>
        <v>0</v>
      </c>
      <c r="BT409" s="31">
        <v>0</v>
      </c>
      <c r="BU409" s="188" t="str">
        <f t="shared" si="177"/>
        <v>HFN</v>
      </c>
      <c r="BV409" s="188" t="str">
        <f t="shared" si="178"/>
        <v xml:space="preserve"> </v>
      </c>
      <c r="BW409" s="188" t="str">
        <f t="shared" si="179"/>
        <v xml:space="preserve"> </v>
      </c>
      <c r="BX409" s="188" t="str">
        <f t="shared" si="180"/>
        <v xml:space="preserve"> </v>
      </c>
      <c r="BY409" s="50" t="str">
        <f t="shared" si="181"/>
        <v>RITHERDON CREEK_Chinook</v>
      </c>
      <c r="BZ409" s="50" t="str">
        <f>IFERROR(VLOOKUP(BY409,'[1]WCVI Esc'!$C$5:$W$555,18,FALSE),"-")</f>
        <v>-</v>
      </c>
      <c r="CA409" s="50" t="str">
        <f t="shared" si="182"/>
        <v>-</v>
      </c>
      <c r="CB409" s="50" t="str">
        <f>IFERROR(VLOOKUP(BY409,'[1]WCVI Esc'!$C$5:$W$555,19,FALSE),"-")</f>
        <v>-</v>
      </c>
      <c r="CC409" s="50" t="str">
        <f t="shared" si="183"/>
        <v>-</v>
      </c>
      <c r="CE409" s="342" t="str">
        <f t="shared" si="184"/>
        <v>RITHERDON CREEK_Chinook</v>
      </c>
      <c r="CF409" s="341" t="str">
        <f>IFERROR(VLOOKUP(BY409,'RawPL+D'!$O$8:$AB$503,12,FALSE),"-")</f>
        <v>-</v>
      </c>
      <c r="CG409" s="338" t="str">
        <f t="shared" si="185"/>
        <v>-</v>
      </c>
      <c r="CH409" s="341" t="str">
        <f>IFERROR(VLOOKUP(BY409,'RawPL+D'!$O$8:$AB$503,13,FALSE),"-")</f>
        <v>-</v>
      </c>
      <c r="CI409" s="338" t="str">
        <f t="shared" si="186"/>
        <v>-</v>
      </c>
    </row>
    <row r="410" spans="1:87" ht="12.75" hidden="1" customHeight="1" x14ac:dyDescent="0.2">
      <c r="A410" s="28">
        <v>4</v>
      </c>
      <c r="B410" s="28">
        <v>6</v>
      </c>
      <c r="C410" s="11">
        <v>23</v>
      </c>
      <c r="D410" s="148" t="s">
        <v>319</v>
      </c>
      <c r="E410" s="10" t="s">
        <v>103</v>
      </c>
      <c r="F410" s="10" t="s">
        <v>211</v>
      </c>
      <c r="G410" s="10"/>
      <c r="H410" s="10"/>
      <c r="I410" s="10"/>
      <c r="J410" s="10"/>
      <c r="K410" s="575"/>
      <c r="L410" s="152"/>
      <c r="M410" s="164"/>
      <c r="N410" s="62"/>
      <c r="O410" s="62"/>
      <c r="P410" s="177"/>
      <c r="Q410" s="171"/>
      <c r="R410" s="62"/>
      <c r="S410" s="62"/>
      <c r="T410" s="62"/>
      <c r="U410" s="64"/>
      <c r="V410" s="164"/>
      <c r="W410" s="62"/>
      <c r="X410" s="62"/>
      <c r="Y410" s="62"/>
      <c r="Z410" s="64"/>
      <c r="AA410" s="164"/>
      <c r="AB410" s="62"/>
      <c r="AC410" s="62"/>
      <c r="AD410" s="64"/>
      <c r="AE410" s="164"/>
      <c r="AF410" s="62"/>
      <c r="AG410" s="62"/>
      <c r="AH410" s="337"/>
      <c r="AI410" s="337"/>
      <c r="AJ410" s="337"/>
      <c r="AK410" s="337"/>
      <c r="AL410" s="414"/>
      <c r="AM410" s="414"/>
      <c r="AN410" s="45"/>
      <c r="AO410" s="45"/>
      <c r="AP410" s="45"/>
      <c r="AQ410" s="485"/>
      <c r="AR410" s="100"/>
      <c r="AS410" s="485"/>
      <c r="AT410" s="24"/>
      <c r="AU410" s="24"/>
      <c r="AV410" s="24"/>
      <c r="AW410" s="18">
        <v>23</v>
      </c>
      <c r="AX410" s="69" t="s">
        <v>319</v>
      </c>
      <c r="AY410" s="243" t="s">
        <v>103</v>
      </c>
      <c r="AZ410" s="243" t="str">
        <f t="shared" si="168"/>
        <v>Steelhead</v>
      </c>
      <c r="BA410" s="243" t="s">
        <v>419</v>
      </c>
      <c r="BB410" s="244" t="s">
        <v>374</v>
      </c>
      <c r="BC410" s="43" t="str">
        <f t="shared" si="169"/>
        <v>-</v>
      </c>
      <c r="BD410" s="43">
        <f t="shared" si="167"/>
        <v>0</v>
      </c>
      <c r="BE410" s="193">
        <f t="shared" si="188"/>
        <v>0</v>
      </c>
      <c r="BF410" s="193">
        <f t="shared" si="170"/>
        <v>0</v>
      </c>
      <c r="BG410" s="193">
        <f t="shared" si="171"/>
        <v>0</v>
      </c>
      <c r="BH410" s="307" t="str">
        <f t="shared" si="165"/>
        <v>-</v>
      </c>
      <c r="BI410" s="265" t="str">
        <f t="shared" si="187"/>
        <v>-</v>
      </c>
      <c r="BJ410" s="26" t="str">
        <f t="shared" si="172"/>
        <v>RITHERDON CREEKSteelhead</v>
      </c>
      <c r="BK410" s="26">
        <f t="shared" si="173"/>
        <v>0</v>
      </c>
      <c r="BL410" s="33">
        <f t="shared" si="163"/>
        <v>0</v>
      </c>
      <c r="BQ410" s="47" t="str">
        <f t="shared" si="174"/>
        <v>RITHERDON CREEKSteelhead</v>
      </c>
      <c r="BR410" s="49">
        <f t="shared" si="175"/>
        <v>0</v>
      </c>
      <c r="BS410" s="49">
        <f t="shared" si="176"/>
        <v>0</v>
      </c>
      <c r="BT410" s="31">
        <v>0</v>
      </c>
      <c r="BU410" s="188" t="str">
        <f t="shared" si="177"/>
        <v>HFN</v>
      </c>
      <c r="BV410" s="188" t="str">
        <f t="shared" si="178"/>
        <v xml:space="preserve"> </v>
      </c>
      <c r="BW410" s="188" t="str">
        <f t="shared" si="179"/>
        <v xml:space="preserve"> </v>
      </c>
      <c r="BX410" s="188" t="str">
        <f t="shared" si="180"/>
        <v xml:space="preserve"> </v>
      </c>
      <c r="BY410" s="50" t="str">
        <f t="shared" si="181"/>
        <v>RITHERDON CREEK_Steelhead</v>
      </c>
      <c r="BZ410" s="50" t="str">
        <f>IFERROR(VLOOKUP(BY410,'[1]WCVI Esc'!$C$5:$W$555,18,FALSE),"-")</f>
        <v>-</v>
      </c>
      <c r="CA410" s="50" t="str">
        <f t="shared" si="182"/>
        <v>-</v>
      </c>
      <c r="CB410" s="50" t="str">
        <f>IFERROR(VLOOKUP(BY410,'[1]WCVI Esc'!$C$5:$W$555,19,FALSE),"-")</f>
        <v>-</v>
      </c>
      <c r="CC410" s="50" t="str">
        <f t="shared" si="183"/>
        <v>-</v>
      </c>
      <c r="CE410" s="342" t="str">
        <f t="shared" si="184"/>
        <v>RITHERDON CREEK_Steelhead</v>
      </c>
      <c r="CF410" s="341" t="str">
        <f>IFERROR(VLOOKUP(BY410,'RawPL+D'!$O$8:$AB$503,12,FALSE),"-")</f>
        <v>-</v>
      </c>
      <c r="CG410" s="338" t="str">
        <f t="shared" si="185"/>
        <v>-</v>
      </c>
      <c r="CH410" s="341" t="str">
        <f>IFERROR(VLOOKUP(BY410,'RawPL+D'!$O$8:$AB$503,13,FALSE),"-")</f>
        <v>-</v>
      </c>
      <c r="CI410" s="338" t="str">
        <f t="shared" si="186"/>
        <v>-</v>
      </c>
    </row>
    <row r="411" spans="1:87" ht="12.75" hidden="1" customHeight="1" x14ac:dyDescent="0.2">
      <c r="A411" s="29">
        <v>1</v>
      </c>
      <c r="B411" s="29">
        <v>1</v>
      </c>
      <c r="C411" s="13">
        <v>23</v>
      </c>
      <c r="D411" s="128" t="s">
        <v>293</v>
      </c>
      <c r="E411" s="10" t="s">
        <v>27</v>
      </c>
      <c r="F411" s="10" t="s">
        <v>207</v>
      </c>
      <c r="G411" s="10"/>
      <c r="H411" s="10"/>
      <c r="I411" s="10"/>
      <c r="J411" s="10"/>
      <c r="K411" s="575"/>
      <c r="L411" s="64"/>
      <c r="M411" s="164"/>
      <c r="N411" s="62"/>
      <c r="O411" s="62"/>
      <c r="P411" s="177"/>
      <c r="Q411" s="692">
        <v>0</v>
      </c>
      <c r="R411" s="677">
        <v>0</v>
      </c>
      <c r="S411" s="62"/>
      <c r="T411" s="677">
        <v>0</v>
      </c>
      <c r="U411" s="703">
        <v>0</v>
      </c>
      <c r="V411" s="703">
        <v>0</v>
      </c>
      <c r="W411" s="703">
        <v>0</v>
      </c>
      <c r="X411" s="62"/>
      <c r="Y411" s="62"/>
      <c r="Z411" s="64"/>
      <c r="AA411" s="164"/>
      <c r="AB411" s="62"/>
      <c r="AC411" s="62"/>
      <c r="AD411" s="64"/>
      <c r="AE411" s="164"/>
      <c r="AF411" s="62"/>
      <c r="AG411" s="62"/>
      <c r="AH411" s="337"/>
      <c r="AI411" s="337"/>
      <c r="AJ411" s="337"/>
      <c r="AK411" s="337"/>
      <c r="AL411" s="568"/>
      <c r="AM411" s="568"/>
      <c r="AN411" s="44"/>
      <c r="AO411" s="44"/>
      <c r="AP411" s="44"/>
      <c r="AQ411" s="485"/>
      <c r="AR411" s="100"/>
      <c r="AS411" s="485"/>
      <c r="AT411" s="679"/>
      <c r="AU411" s="679"/>
      <c r="AV411" s="679"/>
      <c r="AW411" s="69">
        <v>23</v>
      </c>
      <c r="AX411" s="195" t="s">
        <v>293</v>
      </c>
      <c r="AY411" s="243" t="s">
        <v>27</v>
      </c>
      <c r="AZ411" s="243" t="str">
        <f t="shared" si="168"/>
        <v>Sockeye</v>
      </c>
      <c r="BA411" s="243" t="s">
        <v>418</v>
      </c>
      <c r="BB411" s="352" t="s">
        <v>365</v>
      </c>
      <c r="BC411" s="43" t="str">
        <f t="shared" si="169"/>
        <v>Nov 12-18</v>
      </c>
      <c r="BD411" s="680" t="s">
        <v>242</v>
      </c>
      <c r="BE411" s="193">
        <f t="shared" si="188"/>
        <v>0</v>
      </c>
      <c r="BF411" s="193">
        <f t="shared" si="170"/>
        <v>0</v>
      </c>
      <c r="BG411" s="193">
        <f t="shared" si="171"/>
        <v>0</v>
      </c>
      <c r="BH411" s="44"/>
      <c r="BI411" s="389"/>
      <c r="BJ411" s="26" t="str">
        <f t="shared" si="172"/>
        <v>CARNATION CREEKSockeye</v>
      </c>
      <c r="BK411" s="26">
        <f t="shared" si="173"/>
        <v>6</v>
      </c>
      <c r="BL411" s="33">
        <f t="shared" si="163"/>
        <v>0</v>
      </c>
      <c r="BO411"/>
      <c r="BP411"/>
      <c r="BQ411" s="47" t="str">
        <f t="shared" si="174"/>
        <v>CARNATION CREEKSockeye</v>
      </c>
      <c r="BR411" s="49">
        <f t="shared" si="175"/>
        <v>0</v>
      </c>
      <c r="BS411" s="49">
        <f t="shared" si="176"/>
        <v>0</v>
      </c>
      <c r="BT411" s="31">
        <v>0</v>
      </c>
      <c r="BU411" s="188" t="str">
        <f t="shared" si="177"/>
        <v>BC</v>
      </c>
      <c r="BV411" s="188" t="str">
        <f t="shared" si="178"/>
        <v>Oct 1-7</v>
      </c>
      <c r="BW411" s="188" t="str">
        <f t="shared" si="179"/>
        <v>Nov 12-18</v>
      </c>
      <c r="BX411" s="188" t="str">
        <f t="shared" si="180"/>
        <v xml:space="preserve"> </v>
      </c>
      <c r="BY411" s="50" t="str">
        <f t="shared" si="181"/>
        <v>CARNATION CREEK_Sockeye</v>
      </c>
      <c r="BZ411" s="50" t="str">
        <f>IFERROR(VLOOKUP(BY411,'RawPL+D'!$O$8:$AB$499,10,FALSE),"-")</f>
        <v>-</v>
      </c>
      <c r="CA411" s="50" t="str">
        <f t="shared" si="182"/>
        <v>-</v>
      </c>
      <c r="CB411" s="50" t="str">
        <f>IFERROR(VLOOKUP(BY411,'RawPL+D'!$O$8:$AB$499,11,FALSE),"-")</f>
        <v>-</v>
      </c>
      <c r="CC411" s="50" t="str">
        <f t="shared" si="183"/>
        <v>-</v>
      </c>
      <c r="CE411" s="342" t="str">
        <f t="shared" si="184"/>
        <v>CARNATION CREEK_Sockeye</v>
      </c>
      <c r="CF411" s="341" t="str">
        <f>IFERROR(VLOOKUP(BY411,'RawPL+D'!$O$8:$AB$503,12,FALSE),"-")</f>
        <v>-</v>
      </c>
      <c r="CG411" s="338" t="str">
        <f t="shared" si="185"/>
        <v>-</v>
      </c>
      <c r="CH411" s="341" t="str">
        <f>IFERROR(VLOOKUP(BY411,'RawPL+D'!$O$8:$AB$503,13,FALSE),"-")</f>
        <v>-</v>
      </c>
      <c r="CI411" s="338" t="str">
        <f t="shared" si="186"/>
        <v>-</v>
      </c>
    </row>
    <row r="412" spans="1:87" ht="12.75" hidden="1" customHeight="1" x14ac:dyDescent="0.2">
      <c r="A412" s="29">
        <v>1</v>
      </c>
      <c r="B412" s="29">
        <v>2</v>
      </c>
      <c r="C412" s="13">
        <v>23</v>
      </c>
      <c r="D412" s="574" t="s">
        <v>293</v>
      </c>
      <c r="E412" s="10" t="s">
        <v>27</v>
      </c>
      <c r="F412" s="10" t="s">
        <v>219</v>
      </c>
      <c r="G412" s="10"/>
      <c r="H412" s="10"/>
      <c r="I412" s="10"/>
      <c r="J412" s="10"/>
      <c r="K412" s="575"/>
      <c r="L412" s="64"/>
      <c r="M412" s="164"/>
      <c r="N412" s="62"/>
      <c r="O412" s="62"/>
      <c r="P412" s="177"/>
      <c r="Q412" s="692">
        <v>17</v>
      </c>
      <c r="R412" s="677">
        <f>19+8</f>
        <v>27</v>
      </c>
      <c r="S412" s="62"/>
      <c r="T412" s="677">
        <f>34+20</f>
        <v>54</v>
      </c>
      <c r="U412" s="703">
        <f>35+21</f>
        <v>56</v>
      </c>
      <c r="V412" s="703">
        <f>35+21</f>
        <v>56</v>
      </c>
      <c r="W412" s="703">
        <f>35+21</f>
        <v>56</v>
      </c>
      <c r="X412" s="62"/>
      <c r="Y412" s="62"/>
      <c r="Z412" s="64"/>
      <c r="AA412" s="164"/>
      <c r="AB412" s="62"/>
      <c r="AC412" s="62"/>
      <c r="AD412" s="64"/>
      <c r="AE412" s="164"/>
      <c r="AF412" s="62"/>
      <c r="AG412" s="62"/>
      <c r="AH412" s="337">
        <v>56</v>
      </c>
      <c r="AI412" s="337">
        <v>24</v>
      </c>
      <c r="AJ412" s="337">
        <v>0</v>
      </c>
      <c r="AK412" s="337">
        <v>0</v>
      </c>
      <c r="AL412" s="552">
        <v>56</v>
      </c>
      <c r="AM412" s="552">
        <v>80</v>
      </c>
      <c r="AN412" s="552" t="s">
        <v>441</v>
      </c>
      <c r="AO412" s="552" t="s">
        <v>782</v>
      </c>
      <c r="AP412" s="44"/>
      <c r="AQ412" s="485">
        <f>AL412/BI412</f>
        <v>0.50909090909090904</v>
      </c>
      <c r="AR412" s="100">
        <f>BL412/BH412</f>
        <v>0.8</v>
      </c>
      <c r="AS412" s="485">
        <f>BL412/BI412</f>
        <v>0.50909090909090904</v>
      </c>
      <c r="AT412" s="123"/>
      <c r="AU412" s="123"/>
      <c r="AV412" s="123"/>
      <c r="AW412" s="69">
        <v>23</v>
      </c>
      <c r="AX412" s="195" t="s">
        <v>293</v>
      </c>
      <c r="AY412" s="243" t="s">
        <v>27</v>
      </c>
      <c r="AZ412" s="243" t="str">
        <f t="shared" si="168"/>
        <v>Coho</v>
      </c>
      <c r="BA412" s="243" t="s">
        <v>418</v>
      </c>
      <c r="BB412" s="244" t="s">
        <v>365</v>
      </c>
      <c r="BC412" s="43" t="str">
        <f t="shared" si="169"/>
        <v>Nov 12-18</v>
      </c>
      <c r="BD412" s="680" t="s">
        <v>242</v>
      </c>
      <c r="BE412" s="193">
        <f t="shared" si="188"/>
        <v>56</v>
      </c>
      <c r="BF412" s="193">
        <f t="shared" si="170"/>
        <v>56</v>
      </c>
      <c r="BG412" s="193">
        <f t="shared" si="171"/>
        <v>56</v>
      </c>
      <c r="BH412" s="307">
        <f t="shared" ref="BH412:BH475" si="189">CI412</f>
        <v>70</v>
      </c>
      <c r="BI412" s="265">
        <f>CC412</f>
        <v>110</v>
      </c>
      <c r="BJ412" s="26" t="str">
        <f t="shared" si="172"/>
        <v>CARNATION CREEKCoho</v>
      </c>
      <c r="BK412" s="26">
        <f t="shared" si="173"/>
        <v>6</v>
      </c>
      <c r="BL412" s="33">
        <f t="shared" si="163"/>
        <v>56</v>
      </c>
      <c r="BO412"/>
      <c r="BQ412" s="47" t="str">
        <f t="shared" si="174"/>
        <v>CARNATION CREEKCoho</v>
      </c>
      <c r="BR412" s="49">
        <f t="shared" si="175"/>
        <v>0</v>
      </c>
      <c r="BS412" s="49">
        <f t="shared" si="176"/>
        <v>56</v>
      </c>
      <c r="BT412" s="31">
        <v>2017</v>
      </c>
      <c r="BU412" s="188" t="str">
        <f t="shared" si="177"/>
        <v>BC</v>
      </c>
      <c r="BV412" s="188" t="str">
        <f t="shared" si="178"/>
        <v>Oct 1-7</v>
      </c>
      <c r="BW412" s="188" t="str">
        <f t="shared" si="179"/>
        <v>Nov 12-18</v>
      </c>
      <c r="BX412" s="188" t="str">
        <f t="shared" si="180"/>
        <v xml:space="preserve"> </v>
      </c>
      <c r="BY412" s="50" t="str">
        <f t="shared" si="181"/>
        <v>CARNATION CREEK_Coho</v>
      </c>
      <c r="BZ412" s="50">
        <f>IFERROR(VLOOKUP(BY412,'[1]WCVI Esc'!$C$5:$W$555,18,FALSE),"-")</f>
        <v>69</v>
      </c>
      <c r="CA412" s="50">
        <f t="shared" si="182"/>
        <v>70</v>
      </c>
      <c r="CB412" s="50">
        <f>IFERROR(VLOOKUP(BY412,'[1]WCVI Esc'!$C$5:$W$555,19,FALSE),"-")</f>
        <v>108.08333333333333</v>
      </c>
      <c r="CC412" s="50">
        <f t="shared" si="183"/>
        <v>110</v>
      </c>
      <c r="CE412" s="342" t="str">
        <f t="shared" si="184"/>
        <v>CARNATION CREEK_Coho</v>
      </c>
      <c r="CF412" s="341">
        <f>IFERROR(VLOOKUP(CE412,'RawPL+D'!$O$8:$AB$503,12,FALSE),"-")</f>
        <v>56</v>
      </c>
      <c r="CG412" s="338">
        <f t="shared" si="185"/>
        <v>60</v>
      </c>
      <c r="CH412" s="341">
        <f>IFERROR(VLOOKUP(CE412,'RawPL+D'!$O$8:$AB$503,13,FALSE),"-")</f>
        <v>69</v>
      </c>
      <c r="CI412" s="338">
        <f t="shared" si="186"/>
        <v>70</v>
      </c>
    </row>
    <row r="413" spans="1:87" ht="12.75" hidden="1" customHeight="1" x14ac:dyDescent="0.2">
      <c r="A413" s="29">
        <v>1</v>
      </c>
      <c r="B413" s="29">
        <v>3</v>
      </c>
      <c r="C413" s="13">
        <v>23</v>
      </c>
      <c r="D413" s="128" t="s">
        <v>293</v>
      </c>
      <c r="E413" s="10" t="s">
        <v>27</v>
      </c>
      <c r="F413" s="10" t="s">
        <v>208</v>
      </c>
      <c r="G413" s="10"/>
      <c r="H413" s="10"/>
      <c r="I413" s="10"/>
      <c r="J413" s="10"/>
      <c r="K413" s="575"/>
      <c r="L413" s="64"/>
      <c r="M413" s="164"/>
      <c r="N413" s="62"/>
      <c r="O413" s="62"/>
      <c r="P413" s="177"/>
      <c r="Q413" s="692">
        <v>0</v>
      </c>
      <c r="R413" s="677">
        <v>0</v>
      </c>
      <c r="S413" s="62"/>
      <c r="T413" s="677">
        <v>0</v>
      </c>
      <c r="U413" s="703">
        <v>0</v>
      </c>
      <c r="V413" s="703">
        <v>0</v>
      </c>
      <c r="W413" s="703">
        <v>0</v>
      </c>
      <c r="X413" s="62"/>
      <c r="Y413" s="62"/>
      <c r="Z413" s="64"/>
      <c r="AA413" s="164"/>
      <c r="AB413" s="62"/>
      <c r="AC413" s="62"/>
      <c r="AD413" s="64"/>
      <c r="AE413" s="164"/>
      <c r="AF413" s="62"/>
      <c r="AG413" s="62"/>
      <c r="AH413" s="337"/>
      <c r="AI413" s="337"/>
      <c r="AJ413" s="337"/>
      <c r="AK413" s="337"/>
      <c r="AL413" s="552"/>
      <c r="AM413" s="552"/>
      <c r="AN413" s="45"/>
      <c r="AO413" s="45"/>
      <c r="AP413" s="44"/>
      <c r="AQ413" s="485"/>
      <c r="AR413" s="100"/>
      <c r="AS413" s="485"/>
      <c r="AT413" s="100"/>
      <c r="AU413" s="100"/>
      <c r="AV413" s="100"/>
      <c r="AW413" s="69">
        <v>23</v>
      </c>
      <c r="AX413" s="195" t="s">
        <v>293</v>
      </c>
      <c r="AY413" s="243" t="s">
        <v>27</v>
      </c>
      <c r="AZ413" s="243" t="str">
        <f t="shared" si="168"/>
        <v>Pink</v>
      </c>
      <c r="BA413" s="243" t="s">
        <v>419</v>
      </c>
      <c r="BB413" s="244" t="s">
        <v>365</v>
      </c>
      <c r="BC413" s="43" t="str">
        <f t="shared" si="169"/>
        <v>Nov 12-18</v>
      </c>
      <c r="BD413" s="680" t="s">
        <v>242</v>
      </c>
      <c r="BE413" s="193">
        <f t="shared" si="188"/>
        <v>0</v>
      </c>
      <c r="BF413" s="193">
        <f t="shared" si="170"/>
        <v>0</v>
      </c>
      <c r="BG413" s="193">
        <f t="shared" si="171"/>
        <v>0</v>
      </c>
      <c r="BH413" s="307" t="str">
        <f t="shared" si="189"/>
        <v>-</v>
      </c>
      <c r="BI413" s="265" t="str">
        <f>CC413</f>
        <v>-</v>
      </c>
      <c r="BJ413" s="26" t="str">
        <f t="shared" si="172"/>
        <v>CARNATION CREEKPink</v>
      </c>
      <c r="BK413" s="26">
        <f t="shared" si="173"/>
        <v>6</v>
      </c>
      <c r="BL413" s="33">
        <f t="shared" si="163"/>
        <v>0</v>
      </c>
      <c r="BO413"/>
      <c r="BQ413" s="47" t="str">
        <f t="shared" si="174"/>
        <v>CARNATION CREEKPink</v>
      </c>
      <c r="BR413" s="49">
        <f t="shared" si="175"/>
        <v>0</v>
      </c>
      <c r="BS413" s="49">
        <f t="shared" si="176"/>
        <v>0</v>
      </c>
      <c r="BT413" s="31">
        <v>0</v>
      </c>
      <c r="BU413" s="188" t="str">
        <f t="shared" si="177"/>
        <v>BC</v>
      </c>
      <c r="BV413" s="188" t="str">
        <f t="shared" si="178"/>
        <v>Oct 1-7</v>
      </c>
      <c r="BW413" s="188" t="str">
        <f t="shared" si="179"/>
        <v>Nov 12-18</v>
      </c>
      <c r="BX413" s="188" t="str">
        <f t="shared" si="180"/>
        <v xml:space="preserve"> </v>
      </c>
      <c r="BY413" s="50" t="str">
        <f t="shared" si="181"/>
        <v>CARNATION CREEK_Pink</v>
      </c>
      <c r="BZ413" s="50" t="str">
        <f>IFERROR(VLOOKUP(BY413,'[1]WCVI Esc'!$C$5:$W$555,18,FALSE),"-")</f>
        <v>-</v>
      </c>
      <c r="CA413" s="50" t="str">
        <f t="shared" si="182"/>
        <v>-</v>
      </c>
      <c r="CB413" s="50" t="str">
        <f>IFERROR(VLOOKUP(BY413,'[1]WCVI Esc'!$C$5:$W$555,19,FALSE),"-")</f>
        <v>-</v>
      </c>
      <c r="CC413" s="50" t="str">
        <f t="shared" si="183"/>
        <v>-</v>
      </c>
      <c r="CE413" s="342" t="str">
        <f t="shared" si="184"/>
        <v>CARNATION CREEK_Pink</v>
      </c>
      <c r="CF413" s="341" t="str">
        <f>IFERROR(VLOOKUP(BY413,'RawPL+D'!$O$8:$AB$503,12,FALSE),"-")</f>
        <v>-</v>
      </c>
      <c r="CG413" s="338" t="str">
        <f t="shared" si="185"/>
        <v>-</v>
      </c>
      <c r="CH413" s="341" t="str">
        <f>IFERROR(VLOOKUP(BY413,'RawPL+D'!$O$8:$AB$503,13,FALSE),"-")</f>
        <v>-</v>
      </c>
      <c r="CI413" s="338" t="str">
        <f t="shared" si="186"/>
        <v>-</v>
      </c>
    </row>
    <row r="414" spans="1:87" ht="12.75" hidden="1" customHeight="1" x14ac:dyDescent="0.2">
      <c r="A414" s="29">
        <v>1</v>
      </c>
      <c r="B414" s="29">
        <v>4</v>
      </c>
      <c r="C414" s="13">
        <v>23</v>
      </c>
      <c r="D414" s="574" t="s">
        <v>293</v>
      </c>
      <c r="E414" s="10" t="s">
        <v>27</v>
      </c>
      <c r="F414" s="10" t="s">
        <v>209</v>
      </c>
      <c r="G414" s="10"/>
      <c r="H414" s="10"/>
      <c r="I414" s="10"/>
      <c r="J414" s="10"/>
      <c r="K414" s="575"/>
      <c r="L414" s="64"/>
      <c r="M414" s="164"/>
      <c r="N414" s="62"/>
      <c r="O414" s="62"/>
      <c r="P414" s="177"/>
      <c r="Q414" s="692">
        <v>0</v>
      </c>
      <c r="R414" s="677">
        <v>0</v>
      </c>
      <c r="S414" s="62"/>
      <c r="T414" s="677">
        <v>0</v>
      </c>
      <c r="U414" s="703">
        <v>0</v>
      </c>
      <c r="V414" s="703">
        <v>1</v>
      </c>
      <c r="W414" s="703">
        <v>1</v>
      </c>
      <c r="X414" s="62"/>
      <c r="Y414" s="62"/>
      <c r="Z414" s="64"/>
      <c r="AA414" s="164"/>
      <c r="AB414" s="62"/>
      <c r="AC414" s="62"/>
      <c r="AD414" s="64"/>
      <c r="AE414" s="164"/>
      <c r="AF414" s="62"/>
      <c r="AG414" s="62"/>
      <c r="AH414" s="337"/>
      <c r="AI414" s="337"/>
      <c r="AJ414" s="337"/>
      <c r="AK414" s="337"/>
      <c r="AL414" s="552"/>
      <c r="AM414" s="552"/>
      <c r="AN414" s="45"/>
      <c r="AO414" s="45"/>
      <c r="AP414" s="44"/>
      <c r="AQ414" s="485"/>
      <c r="AR414" s="12"/>
      <c r="AS414" s="485"/>
      <c r="AT414" s="123"/>
      <c r="AU414" s="123"/>
      <c r="AV414" s="123"/>
      <c r="AW414" s="69">
        <v>23</v>
      </c>
      <c r="AX414" s="195" t="s">
        <v>293</v>
      </c>
      <c r="AY414" s="243" t="s">
        <v>27</v>
      </c>
      <c r="AZ414" s="243" t="str">
        <f t="shared" si="168"/>
        <v>Chum</v>
      </c>
      <c r="BA414" s="243" t="s">
        <v>419</v>
      </c>
      <c r="BB414" s="244" t="s">
        <v>365</v>
      </c>
      <c r="BC414" s="43" t="str">
        <f t="shared" si="169"/>
        <v>Nov 12-18</v>
      </c>
      <c r="BD414" s="680" t="s">
        <v>242</v>
      </c>
      <c r="BE414" s="193">
        <f t="shared" si="188"/>
        <v>1</v>
      </c>
      <c r="BF414" s="193">
        <f t="shared" si="170"/>
        <v>0</v>
      </c>
      <c r="BG414" s="193">
        <f t="shared" si="171"/>
        <v>0</v>
      </c>
      <c r="BH414" s="307" t="str">
        <f t="shared" si="189"/>
        <v>-</v>
      </c>
      <c r="BI414" s="265">
        <f>CC414</f>
        <v>170</v>
      </c>
      <c r="BJ414" s="26" t="str">
        <f t="shared" si="172"/>
        <v>CARNATION CREEKChum</v>
      </c>
      <c r="BK414" s="26">
        <f t="shared" si="173"/>
        <v>6</v>
      </c>
      <c r="BL414" s="33">
        <f t="shared" si="163"/>
        <v>1</v>
      </c>
      <c r="BO414"/>
      <c r="BQ414" s="47" t="str">
        <f t="shared" si="174"/>
        <v>CARNATION CREEKChum</v>
      </c>
      <c r="BR414" s="49">
        <f t="shared" si="175"/>
        <v>0</v>
      </c>
      <c r="BS414" s="49">
        <f t="shared" si="176"/>
        <v>0</v>
      </c>
      <c r="BT414" s="31">
        <v>2013</v>
      </c>
      <c r="BU414" s="188" t="str">
        <f t="shared" si="177"/>
        <v>BC</v>
      </c>
      <c r="BV414" s="188" t="str">
        <f t="shared" si="178"/>
        <v>Oct 1-7</v>
      </c>
      <c r="BW414" s="188" t="str">
        <f t="shared" si="179"/>
        <v>Nov 12-18</v>
      </c>
      <c r="BX414" s="188" t="str">
        <f t="shared" si="180"/>
        <v xml:space="preserve"> </v>
      </c>
      <c r="BY414" s="50" t="str">
        <f t="shared" si="181"/>
        <v>CARNATION CREEK_Chum</v>
      </c>
      <c r="BZ414" s="50">
        <f>IFERROR(VLOOKUP(BY414,'[1]WCVI Esc'!$C$5:$W$555,18,FALSE),"-")</f>
        <v>12</v>
      </c>
      <c r="CA414" s="50">
        <f t="shared" si="182"/>
        <v>10</v>
      </c>
      <c r="CB414" s="50">
        <f>IFERROR(VLOOKUP(BY414,'[1]WCVI Esc'!$C$5:$W$555,19,FALSE),"-")</f>
        <v>170</v>
      </c>
      <c r="CC414" s="50">
        <f t="shared" si="183"/>
        <v>170</v>
      </c>
      <c r="CE414" s="342" t="str">
        <f t="shared" si="184"/>
        <v>CARNATION CREEK_Chum</v>
      </c>
      <c r="CF414" s="341" t="str">
        <f>IFERROR(VLOOKUP(BY414,'RawPL+D'!$O$8:$AB$503,12,FALSE),"-")</f>
        <v>-</v>
      </c>
      <c r="CG414" s="338" t="str">
        <f t="shared" si="185"/>
        <v>-</v>
      </c>
      <c r="CH414" s="341" t="str">
        <f>IFERROR(VLOOKUP(BY414,'RawPL+D'!$O$8:$AB$503,13,FALSE),"-")</f>
        <v>-</v>
      </c>
      <c r="CI414" s="338" t="str">
        <f t="shared" si="186"/>
        <v>-</v>
      </c>
    </row>
    <row r="415" spans="1:87" ht="12.75" hidden="1" customHeight="1" x14ac:dyDescent="0.2">
      <c r="A415" s="29">
        <v>1</v>
      </c>
      <c r="B415" s="29">
        <v>5</v>
      </c>
      <c r="C415" s="13">
        <v>23</v>
      </c>
      <c r="D415" s="128" t="s">
        <v>293</v>
      </c>
      <c r="E415" s="10" t="s">
        <v>27</v>
      </c>
      <c r="F415" s="10" t="s">
        <v>210</v>
      </c>
      <c r="G415" s="10"/>
      <c r="H415" s="10"/>
      <c r="I415" s="10"/>
      <c r="J415" s="10"/>
      <c r="K415" s="575"/>
      <c r="L415" s="64"/>
      <c r="M415" s="164"/>
      <c r="N415" s="62"/>
      <c r="O415" s="62"/>
      <c r="P415" s="177"/>
      <c r="Q415" s="692">
        <v>0</v>
      </c>
      <c r="R415" s="677">
        <v>0</v>
      </c>
      <c r="S415" s="62"/>
      <c r="T415" s="677">
        <v>0</v>
      </c>
      <c r="U415" s="703">
        <v>0</v>
      </c>
      <c r="V415" s="703">
        <v>0</v>
      </c>
      <c r="W415" s="703">
        <v>0</v>
      </c>
      <c r="X415" s="62"/>
      <c r="Y415" s="62"/>
      <c r="Z415" s="64"/>
      <c r="AA415" s="164"/>
      <c r="AB415" s="62"/>
      <c r="AC415" s="62"/>
      <c r="AD415" s="64"/>
      <c r="AE415" s="164"/>
      <c r="AF415" s="62"/>
      <c r="AG415" s="62"/>
      <c r="AH415" s="337"/>
      <c r="AI415" s="337"/>
      <c r="AJ415" s="337"/>
      <c r="AK415" s="337"/>
      <c r="AL415" s="552"/>
      <c r="AM415" s="552"/>
      <c r="AN415" s="45"/>
      <c r="AO415" s="45"/>
      <c r="AP415" s="44"/>
      <c r="AQ415" s="485"/>
      <c r="AR415" s="100"/>
      <c r="AS415" s="485"/>
      <c r="AT415" s="100"/>
      <c r="AU415" s="100"/>
      <c r="AV415" s="100"/>
      <c r="AW415" s="69">
        <v>23</v>
      </c>
      <c r="AX415" s="195" t="s">
        <v>293</v>
      </c>
      <c r="AY415" s="243" t="s">
        <v>27</v>
      </c>
      <c r="AZ415" s="243" t="str">
        <f t="shared" si="168"/>
        <v>Chinook</v>
      </c>
      <c r="BA415" s="243" t="s">
        <v>419</v>
      </c>
      <c r="BB415" s="244" t="s">
        <v>365</v>
      </c>
      <c r="BC415" s="43" t="str">
        <f t="shared" si="169"/>
        <v>Nov 12-18</v>
      </c>
      <c r="BD415" s="680" t="s">
        <v>242</v>
      </c>
      <c r="BE415" s="193">
        <f t="shared" si="188"/>
        <v>0</v>
      </c>
      <c r="BF415" s="193">
        <f t="shared" si="170"/>
        <v>0</v>
      </c>
      <c r="BG415" s="193">
        <f t="shared" si="171"/>
        <v>0</v>
      </c>
      <c r="BH415" s="307" t="str">
        <f t="shared" si="189"/>
        <v>-</v>
      </c>
      <c r="BI415" s="265"/>
      <c r="BJ415" s="26" t="str">
        <f t="shared" si="172"/>
        <v>CARNATION CREEKChinook</v>
      </c>
      <c r="BK415" s="26">
        <f t="shared" si="173"/>
        <v>6</v>
      </c>
      <c r="BL415" s="33">
        <f t="shared" si="163"/>
        <v>0</v>
      </c>
      <c r="BO415"/>
      <c r="BQ415" s="47" t="str">
        <f t="shared" si="174"/>
        <v>CARNATION CREEKChinook</v>
      </c>
      <c r="BR415" s="49">
        <f t="shared" si="175"/>
        <v>0</v>
      </c>
      <c r="BS415" s="49">
        <f t="shared" si="176"/>
        <v>0</v>
      </c>
      <c r="BT415" s="31">
        <v>0</v>
      </c>
      <c r="BU415" s="188" t="str">
        <f t="shared" si="177"/>
        <v>BC</v>
      </c>
      <c r="BV415" s="188" t="str">
        <f t="shared" si="178"/>
        <v>Oct 1-7</v>
      </c>
      <c r="BW415" s="188" t="str">
        <f t="shared" si="179"/>
        <v>Nov 12-18</v>
      </c>
      <c r="BX415" s="188" t="str">
        <f t="shared" si="180"/>
        <v xml:space="preserve"> </v>
      </c>
      <c r="BY415" s="50" t="str">
        <f t="shared" si="181"/>
        <v>CARNATION CREEK_Chinook</v>
      </c>
      <c r="BZ415" s="50" t="str">
        <f>IFERROR(VLOOKUP(BY415,'[1]WCVI Esc'!$C$5:$W$555,18,FALSE),"-")</f>
        <v>-</v>
      </c>
      <c r="CA415" s="50" t="str">
        <f t="shared" si="182"/>
        <v>-</v>
      </c>
      <c r="CB415" s="50" t="str">
        <f>IFERROR(VLOOKUP(BY415,'[1]WCVI Esc'!$C$5:$W$555,19,FALSE),"-")</f>
        <v>-</v>
      </c>
      <c r="CC415" s="50" t="str">
        <f t="shared" si="183"/>
        <v>-</v>
      </c>
      <c r="CE415" s="342" t="str">
        <f t="shared" si="184"/>
        <v>CARNATION CREEK_Chinook</v>
      </c>
      <c r="CF415" s="341" t="str">
        <f>IFERROR(VLOOKUP(BY415,'RawPL+D'!$O$8:$AB$503,12,FALSE),"-")</f>
        <v>-</v>
      </c>
      <c r="CG415" s="338" t="str">
        <f t="shared" si="185"/>
        <v>-</v>
      </c>
      <c r="CH415" s="341" t="str">
        <f>IFERROR(VLOOKUP(BY415,'RawPL+D'!$O$8:$AB$503,13,FALSE),"-")</f>
        <v>-</v>
      </c>
      <c r="CI415" s="338" t="str">
        <f t="shared" si="186"/>
        <v>-</v>
      </c>
    </row>
    <row r="416" spans="1:87" ht="12.75" hidden="1" customHeight="1" x14ac:dyDescent="0.2">
      <c r="A416" s="29">
        <v>1</v>
      </c>
      <c r="B416" s="29">
        <v>6</v>
      </c>
      <c r="C416" s="13">
        <v>23</v>
      </c>
      <c r="D416" s="128" t="s">
        <v>293</v>
      </c>
      <c r="E416" s="10" t="s">
        <v>27</v>
      </c>
      <c r="F416" s="10" t="s">
        <v>211</v>
      </c>
      <c r="G416" s="10"/>
      <c r="H416" s="10"/>
      <c r="I416" s="10"/>
      <c r="J416" s="10"/>
      <c r="K416" s="575"/>
      <c r="L416" s="64"/>
      <c r="M416" s="164"/>
      <c r="N416" s="62"/>
      <c r="O416" s="62"/>
      <c r="P416" s="177"/>
      <c r="Q416" s="692">
        <v>0</v>
      </c>
      <c r="R416" s="677">
        <v>0</v>
      </c>
      <c r="S416" s="62"/>
      <c r="T416" s="677">
        <v>0</v>
      </c>
      <c r="U416" s="703">
        <v>0</v>
      </c>
      <c r="V416" s="703">
        <v>0</v>
      </c>
      <c r="W416" s="703">
        <v>0</v>
      </c>
      <c r="X416" s="62"/>
      <c r="Y416" s="62"/>
      <c r="Z416" s="64"/>
      <c r="AA416" s="164"/>
      <c r="AB416" s="62"/>
      <c r="AC416" s="62"/>
      <c r="AD416" s="64"/>
      <c r="AE416" s="164"/>
      <c r="AF416" s="62"/>
      <c r="AG416" s="62"/>
      <c r="AH416" s="337"/>
      <c r="AI416" s="337"/>
      <c r="AJ416" s="337"/>
      <c r="AK416" s="337"/>
      <c r="AL416" s="552"/>
      <c r="AM416" s="552"/>
      <c r="AN416" s="45"/>
      <c r="AO416" s="45"/>
      <c r="AP416" s="44"/>
      <c r="AQ416" s="485"/>
      <c r="AR416" s="100"/>
      <c r="AS416" s="485"/>
      <c r="AT416" s="100"/>
      <c r="AU416" s="100"/>
      <c r="AV416" s="100"/>
      <c r="AW416" s="69">
        <v>23</v>
      </c>
      <c r="AX416" s="195" t="s">
        <v>293</v>
      </c>
      <c r="AY416" s="243" t="s">
        <v>27</v>
      </c>
      <c r="AZ416" s="243" t="str">
        <f t="shared" si="168"/>
        <v>Steelhead</v>
      </c>
      <c r="BA416" s="243" t="s">
        <v>418</v>
      </c>
      <c r="BB416" s="244" t="s">
        <v>365</v>
      </c>
      <c r="BC416" s="43" t="str">
        <f t="shared" si="169"/>
        <v>Nov 12-18</v>
      </c>
      <c r="BD416" s="680" t="s">
        <v>242</v>
      </c>
      <c r="BE416" s="193">
        <f t="shared" si="188"/>
        <v>0</v>
      </c>
      <c r="BF416" s="193">
        <f t="shared" si="170"/>
        <v>0</v>
      </c>
      <c r="BG416" s="193">
        <f t="shared" si="171"/>
        <v>0</v>
      </c>
      <c r="BH416" s="307" t="str">
        <f t="shared" si="189"/>
        <v>-</v>
      </c>
      <c r="BI416" s="265" t="str">
        <f t="shared" ref="BI416:BI422" si="190">CC416</f>
        <v>-</v>
      </c>
      <c r="BJ416" s="26" t="str">
        <f t="shared" si="172"/>
        <v>CARNATION CREEKSteelhead</v>
      </c>
      <c r="BK416" s="26">
        <f t="shared" si="173"/>
        <v>6</v>
      </c>
      <c r="BL416" s="33">
        <f t="shared" si="163"/>
        <v>0</v>
      </c>
      <c r="BO416"/>
      <c r="BQ416" s="47" t="str">
        <f t="shared" si="174"/>
        <v>CARNATION CREEKSteelhead</v>
      </c>
      <c r="BR416" s="49">
        <f t="shared" si="175"/>
        <v>0</v>
      </c>
      <c r="BS416" s="49">
        <f t="shared" si="176"/>
        <v>0</v>
      </c>
      <c r="BT416" s="31">
        <v>0</v>
      </c>
      <c r="BU416" s="188" t="str">
        <f t="shared" si="177"/>
        <v>BC</v>
      </c>
      <c r="BV416" s="188" t="str">
        <f t="shared" si="178"/>
        <v>Oct 1-7</v>
      </c>
      <c r="BW416" s="188" t="str">
        <f t="shared" si="179"/>
        <v>Nov 12-18</v>
      </c>
      <c r="BX416" s="188" t="str">
        <f t="shared" si="180"/>
        <v xml:space="preserve"> </v>
      </c>
      <c r="BY416" s="50" t="str">
        <f t="shared" si="181"/>
        <v>CARNATION CREEK_Steelhead</v>
      </c>
      <c r="BZ416" s="50" t="str">
        <f>IFERROR(VLOOKUP(BY416,'[1]WCVI Esc'!$C$5:$W$555,18,FALSE),"-")</f>
        <v>-</v>
      </c>
      <c r="CA416" s="50" t="str">
        <f t="shared" si="182"/>
        <v>-</v>
      </c>
      <c r="CB416" s="50" t="str">
        <f>IFERROR(VLOOKUP(BY416,'[1]WCVI Esc'!$C$5:$W$555,19,FALSE),"-")</f>
        <v>-</v>
      </c>
      <c r="CC416" s="50" t="str">
        <f t="shared" si="183"/>
        <v>-</v>
      </c>
      <c r="CE416" s="342" t="str">
        <f t="shared" si="184"/>
        <v>CARNATION CREEK_Steelhead</v>
      </c>
      <c r="CF416" s="341" t="str">
        <f>IFERROR(VLOOKUP(BY416,'RawPL+D'!$O$8:$AB$503,12,FALSE),"-")</f>
        <v>-</v>
      </c>
      <c r="CG416" s="338" t="str">
        <f t="shared" si="185"/>
        <v>-</v>
      </c>
      <c r="CH416" s="341" t="str">
        <f>IFERROR(VLOOKUP(BY416,'RawPL+D'!$O$8:$AB$503,13,FALSE),"-")</f>
        <v>-</v>
      </c>
      <c r="CI416" s="338" t="str">
        <f t="shared" si="186"/>
        <v>-</v>
      </c>
    </row>
    <row r="417" spans="1:87" ht="12.75" hidden="1" customHeight="1" x14ac:dyDescent="0.2">
      <c r="A417" s="29">
        <v>2</v>
      </c>
      <c r="B417" s="29">
        <v>1</v>
      </c>
      <c r="C417" s="13">
        <v>23</v>
      </c>
      <c r="D417" s="13" t="s">
        <v>293</v>
      </c>
      <c r="E417" s="10" t="s">
        <v>33</v>
      </c>
      <c r="F417" s="10" t="s">
        <v>207</v>
      </c>
      <c r="G417" s="10"/>
      <c r="H417" s="10"/>
      <c r="I417" s="10"/>
      <c r="J417" s="10"/>
      <c r="K417" s="331">
        <v>0</v>
      </c>
      <c r="L417" s="681">
        <v>0</v>
      </c>
      <c r="M417" s="641">
        <v>0</v>
      </c>
      <c r="N417" s="642">
        <v>0</v>
      </c>
      <c r="O417" s="643">
        <v>6</v>
      </c>
      <c r="P417" s="686">
        <v>23</v>
      </c>
      <c r="Q417" s="683">
        <v>2</v>
      </c>
      <c r="R417" s="646">
        <v>0</v>
      </c>
      <c r="S417" s="445"/>
      <c r="T417" s="773">
        <v>0</v>
      </c>
      <c r="U417" s="783">
        <v>0</v>
      </c>
      <c r="V417" s="798">
        <v>0</v>
      </c>
      <c r="W417" s="331">
        <v>0</v>
      </c>
      <c r="X417" s="62"/>
      <c r="Y417" s="62"/>
      <c r="Z417" s="64"/>
      <c r="AA417" s="164"/>
      <c r="AB417" s="62"/>
      <c r="AC417" s="62"/>
      <c r="AD417" s="64"/>
      <c r="AE417" s="164"/>
      <c r="AF417" s="62"/>
      <c r="AG417" s="62"/>
      <c r="AH417" s="337">
        <v>12</v>
      </c>
      <c r="AI417" s="337">
        <v>0</v>
      </c>
      <c r="AJ417" s="337">
        <v>0</v>
      </c>
      <c r="AK417" s="337">
        <v>0</v>
      </c>
      <c r="AL417" s="839">
        <v>12</v>
      </c>
      <c r="AM417" s="552">
        <v>12</v>
      </c>
      <c r="AN417" s="567" t="s">
        <v>768</v>
      </c>
      <c r="AO417" s="552" t="s">
        <v>773</v>
      </c>
      <c r="AP417" s="44"/>
      <c r="AQ417" s="485">
        <f>AL417/BI417</f>
        <v>0.24</v>
      </c>
      <c r="AR417" s="100">
        <f>BL417/BH417</f>
        <v>2.2999999999999998</v>
      </c>
      <c r="AS417" s="485">
        <f>BL417/BI417</f>
        <v>0.46</v>
      </c>
      <c r="AT417" s="123"/>
      <c r="AU417" s="123"/>
      <c r="AV417" s="123"/>
      <c r="AW417" s="69">
        <v>23</v>
      </c>
      <c r="AX417" s="69" t="s">
        <v>293</v>
      </c>
      <c r="AY417" s="243" t="s">
        <v>33</v>
      </c>
      <c r="AZ417" s="243" t="str">
        <f t="shared" si="168"/>
        <v>Sockeye</v>
      </c>
      <c r="BA417" s="243" t="s">
        <v>419</v>
      </c>
      <c r="BB417" s="244" t="s">
        <v>374</v>
      </c>
      <c r="BC417" s="43" t="str">
        <f t="shared" si="169"/>
        <v>Nov 12-18</v>
      </c>
      <c r="BD417" s="43">
        <f t="shared" ref="BD417:BD480" si="191">BK417</f>
        <v>12</v>
      </c>
      <c r="BE417" s="193">
        <f t="shared" si="188"/>
        <v>23</v>
      </c>
      <c r="BF417" s="193">
        <f t="shared" si="170"/>
        <v>12</v>
      </c>
      <c r="BG417" s="193">
        <f t="shared" si="171"/>
        <v>12</v>
      </c>
      <c r="BH417" s="307">
        <f t="shared" si="189"/>
        <v>10</v>
      </c>
      <c r="BI417" s="265">
        <f t="shared" si="190"/>
        <v>50</v>
      </c>
      <c r="BJ417" s="26" t="str">
        <f t="shared" si="172"/>
        <v>SARITA RIVERSockeye</v>
      </c>
      <c r="BK417" s="26">
        <f t="shared" si="173"/>
        <v>12</v>
      </c>
      <c r="BL417" s="33">
        <f t="shared" si="163"/>
        <v>23</v>
      </c>
      <c r="BP417" s="34"/>
      <c r="BQ417" s="47" t="str">
        <f t="shared" si="174"/>
        <v>SARITA RIVERSockeye</v>
      </c>
      <c r="BR417" s="49">
        <f t="shared" si="175"/>
        <v>0</v>
      </c>
      <c r="BS417" s="49">
        <f t="shared" si="176"/>
        <v>12</v>
      </c>
      <c r="BT417" s="31">
        <v>2016</v>
      </c>
      <c r="BU417" s="188" t="str">
        <f t="shared" si="177"/>
        <v>HFN</v>
      </c>
      <c r="BV417" s="188" t="str">
        <f t="shared" si="178"/>
        <v>Oct 1-7</v>
      </c>
      <c r="BW417" s="188" t="str">
        <f t="shared" si="179"/>
        <v>Nov 12-18</v>
      </c>
      <c r="BX417" s="188" t="str">
        <f t="shared" si="180"/>
        <v xml:space="preserve"> </v>
      </c>
      <c r="BY417" s="50" t="str">
        <f t="shared" si="181"/>
        <v>SARITA RIVER_Sockeye</v>
      </c>
      <c r="BZ417" s="50">
        <f>IFERROR(VLOOKUP(BY417,'[1]WCVI Esc'!$C$5:$W$555,18,FALSE),"-")</f>
        <v>16.5</v>
      </c>
      <c r="CA417" s="50">
        <f t="shared" si="182"/>
        <v>20</v>
      </c>
      <c r="CB417" s="50">
        <f>IFERROR(VLOOKUP(BY417,'[1]WCVI Esc'!$C$5:$W$555,19,FALSE),"-")</f>
        <v>45.444444444444443</v>
      </c>
      <c r="CC417" s="50">
        <f t="shared" si="183"/>
        <v>50</v>
      </c>
      <c r="CE417" s="342" t="str">
        <f t="shared" si="184"/>
        <v>SARITA RIVER_Sockeye</v>
      </c>
      <c r="CF417" s="341">
        <f>IFERROR(VLOOKUP(CE417,'RawPL+D'!$O$8:$AB$503,12,FALSE),"-")</f>
        <v>26</v>
      </c>
      <c r="CG417" s="338">
        <f t="shared" si="185"/>
        <v>30</v>
      </c>
      <c r="CH417" s="341">
        <f>IFERROR(VLOOKUP(CE417,'RawPL+D'!$O$8:$AB$503,13,FALSE),"-")</f>
        <v>9.75</v>
      </c>
      <c r="CI417" s="338">
        <f t="shared" si="186"/>
        <v>10</v>
      </c>
    </row>
    <row r="418" spans="1:87" ht="12.75" hidden="1" customHeight="1" x14ac:dyDescent="0.2">
      <c r="A418" s="29">
        <v>2</v>
      </c>
      <c r="B418" s="29">
        <v>2</v>
      </c>
      <c r="C418" s="13">
        <v>23</v>
      </c>
      <c r="D418" s="13" t="s">
        <v>293</v>
      </c>
      <c r="E418" s="10" t="s">
        <v>33</v>
      </c>
      <c r="F418" s="10" t="s">
        <v>219</v>
      </c>
      <c r="G418" s="10"/>
      <c r="H418" s="10"/>
      <c r="I418" s="10"/>
      <c r="J418" s="10"/>
      <c r="K418" s="331">
        <v>0</v>
      </c>
      <c r="L418" s="681">
        <v>0</v>
      </c>
      <c r="M418" s="641">
        <v>0</v>
      </c>
      <c r="N418" s="642">
        <v>0</v>
      </c>
      <c r="O418" s="643">
        <v>0</v>
      </c>
      <c r="P418" s="686">
        <v>0</v>
      </c>
      <c r="Q418" s="683">
        <v>375</v>
      </c>
      <c r="R418" s="642">
        <v>6</v>
      </c>
      <c r="S418" s="483"/>
      <c r="T418" s="773">
        <v>0</v>
      </c>
      <c r="U418" s="784">
        <v>0</v>
      </c>
      <c r="V418" s="809">
        <v>0</v>
      </c>
      <c r="W418" s="790">
        <v>0</v>
      </c>
      <c r="X418" s="63"/>
      <c r="Y418" s="62"/>
      <c r="Z418" s="64"/>
      <c r="AA418" s="164"/>
      <c r="AB418" s="62"/>
      <c r="AC418" s="62"/>
      <c r="AD418" s="64"/>
      <c r="AE418" s="164"/>
      <c r="AF418" s="62"/>
      <c r="AG418" s="62"/>
      <c r="AH418" s="337">
        <v>88</v>
      </c>
      <c r="AI418" s="337">
        <v>0</v>
      </c>
      <c r="AJ418" s="337">
        <v>0</v>
      </c>
      <c r="AK418" s="337">
        <v>0</v>
      </c>
      <c r="AL418" s="839">
        <v>88</v>
      </c>
      <c r="AM418" s="552">
        <v>88</v>
      </c>
      <c r="AN418" s="567" t="s">
        <v>768</v>
      </c>
      <c r="AO418" s="552" t="s">
        <v>773</v>
      </c>
      <c r="AP418" s="44"/>
      <c r="AQ418" s="485">
        <f>AL418/BI418</f>
        <v>0.15172413793103448</v>
      </c>
      <c r="AR418" s="100">
        <f>BL418/BH418</f>
        <v>2.2058823529411766</v>
      </c>
      <c r="AS418" s="485">
        <f>BL418/BI418</f>
        <v>0.64655172413793105</v>
      </c>
      <c r="AT418" s="123"/>
      <c r="AU418" s="123"/>
      <c r="AV418" s="123"/>
      <c r="AW418" s="69">
        <v>23</v>
      </c>
      <c r="AX418" s="69" t="s">
        <v>293</v>
      </c>
      <c r="AY418" s="243" t="s">
        <v>33</v>
      </c>
      <c r="AZ418" s="243" t="str">
        <f t="shared" si="168"/>
        <v>Coho</v>
      </c>
      <c r="BA418" s="243" t="s">
        <v>419</v>
      </c>
      <c r="BB418" s="244" t="s">
        <v>374</v>
      </c>
      <c r="BC418" s="43" t="str">
        <f t="shared" si="169"/>
        <v>Nov 12-18</v>
      </c>
      <c r="BD418" s="43">
        <f t="shared" si="191"/>
        <v>12</v>
      </c>
      <c r="BE418" s="193">
        <f t="shared" si="188"/>
        <v>375</v>
      </c>
      <c r="BF418" s="193">
        <f t="shared" si="170"/>
        <v>88</v>
      </c>
      <c r="BG418" s="193">
        <f t="shared" si="171"/>
        <v>88</v>
      </c>
      <c r="BH418" s="307">
        <f t="shared" si="189"/>
        <v>170</v>
      </c>
      <c r="BI418" s="265">
        <f t="shared" si="190"/>
        <v>580</v>
      </c>
      <c r="BJ418" s="26" t="str">
        <f t="shared" si="172"/>
        <v>SARITA RIVERCoho</v>
      </c>
      <c r="BK418" s="26">
        <f t="shared" si="173"/>
        <v>12</v>
      </c>
      <c r="BL418" s="33">
        <f t="shared" si="163"/>
        <v>375</v>
      </c>
      <c r="BP418" s="34"/>
      <c r="BQ418" s="47" t="str">
        <f t="shared" si="174"/>
        <v>SARITA RIVERCoho</v>
      </c>
      <c r="BR418" s="49">
        <f t="shared" si="175"/>
        <v>0</v>
      </c>
      <c r="BS418" s="49">
        <f t="shared" si="176"/>
        <v>88</v>
      </c>
      <c r="BT418" s="31">
        <v>2016</v>
      </c>
      <c r="BU418" s="188" t="str">
        <f t="shared" si="177"/>
        <v>HFN</v>
      </c>
      <c r="BV418" s="188" t="str">
        <f t="shared" si="178"/>
        <v>Oct 1-7</v>
      </c>
      <c r="BW418" s="188" t="str">
        <f t="shared" si="179"/>
        <v>Nov 12-18</v>
      </c>
      <c r="BX418" s="188" t="str">
        <f t="shared" si="180"/>
        <v xml:space="preserve"> </v>
      </c>
      <c r="BY418" s="50" t="str">
        <f t="shared" si="181"/>
        <v>SARITA RIVER_Coho</v>
      </c>
      <c r="BZ418" s="50">
        <f>IFERROR(VLOOKUP(BY418,'[1]WCVI Esc'!$C$5:$W$555,18,FALSE),"-")</f>
        <v>209.25</v>
      </c>
      <c r="CA418" s="50">
        <f t="shared" si="182"/>
        <v>210</v>
      </c>
      <c r="CB418" s="50">
        <f>IFERROR(VLOOKUP(BY418,'[1]WCVI Esc'!$C$5:$W$555,19,FALSE),"-")</f>
        <v>584.33333333333337</v>
      </c>
      <c r="CC418" s="50">
        <f t="shared" si="183"/>
        <v>580</v>
      </c>
      <c r="CE418" s="342" t="str">
        <f t="shared" si="184"/>
        <v>SARITA RIVER_Coho</v>
      </c>
      <c r="CF418" s="341">
        <f>IFERROR(VLOOKUP(CE418,'RawPL+D'!$O$8:$AB$503,12,FALSE),"-")</f>
        <v>148</v>
      </c>
      <c r="CG418" s="338">
        <f t="shared" si="185"/>
        <v>150</v>
      </c>
      <c r="CH418" s="341">
        <f>IFERROR(VLOOKUP(CE418,'RawPL+D'!$O$8:$AB$503,13,FALSE),"-")</f>
        <v>174.75</v>
      </c>
      <c r="CI418" s="338">
        <f t="shared" si="186"/>
        <v>170</v>
      </c>
    </row>
    <row r="419" spans="1:87" ht="12.75" hidden="1" customHeight="1" x14ac:dyDescent="0.2">
      <c r="A419" s="29">
        <v>2</v>
      </c>
      <c r="B419" s="29">
        <v>3</v>
      </c>
      <c r="C419" s="13">
        <v>23</v>
      </c>
      <c r="D419" s="13" t="s">
        <v>293</v>
      </c>
      <c r="E419" s="10" t="s">
        <v>33</v>
      </c>
      <c r="F419" s="10" t="s">
        <v>208</v>
      </c>
      <c r="G419" s="10"/>
      <c r="H419" s="10"/>
      <c r="I419" s="10"/>
      <c r="J419" s="10"/>
      <c r="K419" s="331">
        <v>0</v>
      </c>
      <c r="L419" s="681">
        <v>0</v>
      </c>
      <c r="M419" s="641">
        <v>0</v>
      </c>
      <c r="N419" s="642">
        <v>0</v>
      </c>
      <c r="O419" s="643">
        <v>2</v>
      </c>
      <c r="P419" s="686">
        <v>20</v>
      </c>
      <c r="Q419" s="683">
        <v>0</v>
      </c>
      <c r="R419" s="642">
        <v>0</v>
      </c>
      <c r="S419" s="444"/>
      <c r="T419" s="773">
        <v>0</v>
      </c>
      <c r="U419" s="783">
        <v>0</v>
      </c>
      <c r="V419" s="798">
        <v>0</v>
      </c>
      <c r="W419" s="331">
        <v>0</v>
      </c>
      <c r="X419" s="62"/>
      <c r="Y419" s="62"/>
      <c r="Z419" s="64"/>
      <c r="AA419" s="164"/>
      <c r="AB419" s="62"/>
      <c r="AC419" s="62"/>
      <c r="AD419" s="64"/>
      <c r="AE419" s="164"/>
      <c r="AF419" s="62"/>
      <c r="AG419" s="62"/>
      <c r="AH419" s="337">
        <v>22</v>
      </c>
      <c r="AI419" s="337">
        <v>0</v>
      </c>
      <c r="AJ419" s="337">
        <v>0</v>
      </c>
      <c r="AK419" s="337">
        <v>0</v>
      </c>
      <c r="AL419" s="567">
        <v>22</v>
      </c>
      <c r="AM419" s="567">
        <v>22</v>
      </c>
      <c r="AN419" s="567" t="s">
        <v>765</v>
      </c>
      <c r="AO419" s="552" t="s">
        <v>773</v>
      </c>
      <c r="AP419" s="44"/>
      <c r="AQ419" s="485">
        <f>AL419/BI419</f>
        <v>2.2000000000000002</v>
      </c>
      <c r="AR419"/>
      <c r="AS419" s="485">
        <f>BL419/BI419</f>
        <v>2</v>
      </c>
      <c r="AT419" s="123"/>
      <c r="AU419" s="123"/>
      <c r="AV419" s="123"/>
      <c r="AW419" s="69">
        <v>23</v>
      </c>
      <c r="AX419" s="69" t="s">
        <v>293</v>
      </c>
      <c r="AY419" s="243" t="s">
        <v>33</v>
      </c>
      <c r="AZ419" s="243" t="str">
        <f t="shared" si="168"/>
        <v>Pink</v>
      </c>
      <c r="BA419" s="243" t="s">
        <v>419</v>
      </c>
      <c r="BB419" s="244" t="s">
        <v>374</v>
      </c>
      <c r="BC419" s="43" t="str">
        <f t="shared" si="169"/>
        <v>Nov 12-18</v>
      </c>
      <c r="BD419" s="43">
        <f t="shared" si="191"/>
        <v>12</v>
      </c>
      <c r="BE419" s="193">
        <f t="shared" si="188"/>
        <v>20</v>
      </c>
      <c r="BF419" s="193">
        <f t="shared" si="170"/>
        <v>22</v>
      </c>
      <c r="BG419" s="193">
        <f t="shared" si="171"/>
        <v>22</v>
      </c>
      <c r="BH419" s="307">
        <f t="shared" si="189"/>
        <v>0</v>
      </c>
      <c r="BI419" s="265">
        <f t="shared" si="190"/>
        <v>10</v>
      </c>
      <c r="BJ419" s="26" t="str">
        <f t="shared" si="172"/>
        <v>SARITA RIVERPink</v>
      </c>
      <c r="BK419" s="26">
        <f t="shared" si="173"/>
        <v>12</v>
      </c>
      <c r="BL419" s="33">
        <f t="shared" si="163"/>
        <v>20</v>
      </c>
      <c r="BP419" s="34"/>
      <c r="BQ419" s="47" t="str">
        <f t="shared" si="174"/>
        <v>SARITA RIVERPink</v>
      </c>
      <c r="BR419" s="49">
        <f t="shared" si="175"/>
        <v>0</v>
      </c>
      <c r="BS419" s="49">
        <f t="shared" si="176"/>
        <v>22</v>
      </c>
      <c r="BT419" s="31">
        <v>2016</v>
      </c>
      <c r="BU419" s="188" t="str">
        <f t="shared" si="177"/>
        <v>HFN</v>
      </c>
      <c r="BV419" s="188" t="str">
        <f t="shared" si="178"/>
        <v>Oct 1-7</v>
      </c>
      <c r="BW419" s="188" t="str">
        <f t="shared" si="179"/>
        <v>Nov 12-18</v>
      </c>
      <c r="BX419" s="188" t="str">
        <f t="shared" si="180"/>
        <v xml:space="preserve"> </v>
      </c>
      <c r="BY419" s="50" t="str">
        <f t="shared" si="181"/>
        <v>SARITA RIVER_Pink</v>
      </c>
      <c r="BZ419" s="50">
        <f>IFERROR(VLOOKUP(BY419,'[1]WCVI Esc'!$C$5:$W$555,18,FALSE),"-")</f>
        <v>2</v>
      </c>
      <c r="CA419" s="50">
        <f t="shared" si="182"/>
        <v>0</v>
      </c>
      <c r="CB419" s="50">
        <f>IFERROR(VLOOKUP(BY419,'[1]WCVI Esc'!$C$5:$W$555,19,FALSE),"-")</f>
        <v>11.142857142857142</v>
      </c>
      <c r="CC419" s="50">
        <f t="shared" si="183"/>
        <v>10</v>
      </c>
      <c r="CE419" s="342" t="str">
        <f t="shared" si="184"/>
        <v>SARITA RIVER_Pink</v>
      </c>
      <c r="CF419" s="341">
        <f>IFERROR(VLOOKUP(CE419,'RawPL+D'!$O$8:$AB$503,12,FALSE),"-")</f>
        <v>3</v>
      </c>
      <c r="CG419" s="338">
        <f t="shared" si="185"/>
        <v>0</v>
      </c>
      <c r="CH419" s="341">
        <f>IFERROR(VLOOKUP(CE419,'RawPL+D'!$O$8:$AB$503,13,FALSE),"-")</f>
        <v>1.5</v>
      </c>
      <c r="CI419" s="338">
        <f t="shared" si="186"/>
        <v>0</v>
      </c>
    </row>
    <row r="420" spans="1:87" ht="12.75" hidden="1" customHeight="1" x14ac:dyDescent="0.2">
      <c r="A420" s="29">
        <v>2</v>
      </c>
      <c r="B420" s="29">
        <v>4</v>
      </c>
      <c r="C420" s="13">
        <v>23</v>
      </c>
      <c r="D420" s="13" t="s">
        <v>293</v>
      </c>
      <c r="E420" s="10" t="s">
        <v>33</v>
      </c>
      <c r="F420" s="10" t="s">
        <v>209</v>
      </c>
      <c r="G420" s="10"/>
      <c r="H420" s="10"/>
      <c r="I420" s="10"/>
      <c r="J420" s="10"/>
      <c r="K420" s="331">
        <v>0</v>
      </c>
      <c r="L420" s="681">
        <v>0</v>
      </c>
      <c r="M420" s="641">
        <v>0</v>
      </c>
      <c r="N420" s="642">
        <v>0</v>
      </c>
      <c r="O420" s="643">
        <v>0</v>
      </c>
      <c r="P420" s="686">
        <v>4</v>
      </c>
      <c r="Q420" s="683">
        <v>285</v>
      </c>
      <c r="R420" s="675">
        <v>544</v>
      </c>
      <c r="S420" s="445"/>
      <c r="T420" s="774">
        <f>1569+314</f>
        <v>1883</v>
      </c>
      <c r="U420" s="786">
        <f>4773+400</f>
        <v>5173</v>
      </c>
      <c r="V420" s="799">
        <f>652+915</f>
        <v>1567</v>
      </c>
      <c r="W420" s="331">
        <v>6</v>
      </c>
      <c r="X420" s="63"/>
      <c r="Y420" s="62"/>
      <c r="Z420" s="64"/>
      <c r="AA420" s="164"/>
      <c r="AB420" s="62"/>
      <c r="AC420" s="62"/>
      <c r="AD420" s="64"/>
      <c r="AE420" s="164"/>
      <c r="AF420" s="62"/>
      <c r="AG420" s="62"/>
      <c r="AH420" s="337">
        <v>4815</v>
      </c>
      <c r="AI420" s="337">
        <v>0</v>
      </c>
      <c r="AJ420" s="337">
        <v>0</v>
      </c>
      <c r="AK420" s="337">
        <v>0</v>
      </c>
      <c r="AL420" s="567">
        <v>4815</v>
      </c>
      <c r="AM420" s="567">
        <v>4815</v>
      </c>
      <c r="AN420" s="567" t="s">
        <v>768</v>
      </c>
      <c r="AO420" s="552" t="s">
        <v>773</v>
      </c>
      <c r="AP420" s="44"/>
      <c r="AQ420" s="485">
        <f>AL420/BI420</f>
        <v>0.51006355932203384</v>
      </c>
      <c r="AR420" s="100">
        <f>BL420/BH420</f>
        <v>1.9230483271375465</v>
      </c>
      <c r="AS420" s="485">
        <f>BL420/BI420</f>
        <v>0.54798728813559328</v>
      </c>
      <c r="AT420" s="123"/>
      <c r="AU420" s="123"/>
      <c r="AV420" s="123"/>
      <c r="AW420" s="69">
        <v>23</v>
      </c>
      <c r="AX420" s="69" t="s">
        <v>293</v>
      </c>
      <c r="AY420" s="243" t="s">
        <v>33</v>
      </c>
      <c r="AZ420" s="243" t="str">
        <f t="shared" si="168"/>
        <v>Chum</v>
      </c>
      <c r="BA420" s="243" t="s">
        <v>419</v>
      </c>
      <c r="BB420" s="244" t="s">
        <v>374</v>
      </c>
      <c r="BC420" s="43" t="str">
        <f t="shared" si="169"/>
        <v>Nov 12-18</v>
      </c>
      <c r="BD420" s="43">
        <f t="shared" si="191"/>
        <v>12</v>
      </c>
      <c r="BE420" s="193">
        <f t="shared" si="188"/>
        <v>5173</v>
      </c>
      <c r="BF420" s="193">
        <f t="shared" si="170"/>
        <v>4815</v>
      </c>
      <c r="BG420" s="193">
        <f t="shared" si="171"/>
        <v>4815</v>
      </c>
      <c r="BH420" s="307">
        <f t="shared" si="189"/>
        <v>2690</v>
      </c>
      <c r="BI420" s="265">
        <f t="shared" si="190"/>
        <v>9440</v>
      </c>
      <c r="BJ420" s="26" t="str">
        <f t="shared" si="172"/>
        <v>SARITA RIVERChum</v>
      </c>
      <c r="BK420" s="26">
        <f t="shared" si="173"/>
        <v>12</v>
      </c>
      <c r="BL420" s="33">
        <f t="shared" si="163"/>
        <v>5173</v>
      </c>
      <c r="BP420" s="34"/>
      <c r="BQ420" s="47" t="str">
        <f t="shared" si="174"/>
        <v>SARITA RIVERChum</v>
      </c>
      <c r="BR420" s="49">
        <f t="shared" si="175"/>
        <v>0</v>
      </c>
      <c r="BS420" s="49">
        <f t="shared" si="176"/>
        <v>4815</v>
      </c>
      <c r="BT420" s="31">
        <v>2016</v>
      </c>
      <c r="BU420" s="188" t="str">
        <f t="shared" si="177"/>
        <v>HFN</v>
      </c>
      <c r="BV420" s="188" t="str">
        <f t="shared" si="178"/>
        <v>Oct 1-7</v>
      </c>
      <c r="BW420" s="188" t="str">
        <f t="shared" si="179"/>
        <v>Nov 12-18</v>
      </c>
      <c r="BX420" s="188" t="str">
        <f t="shared" si="180"/>
        <v xml:space="preserve"> </v>
      </c>
      <c r="BY420" s="50" t="str">
        <f t="shared" si="181"/>
        <v>SARITA RIVER_Chum</v>
      </c>
      <c r="BZ420" s="50">
        <f>IFERROR(VLOOKUP(BY420,'[1]WCVI Esc'!$C$5:$W$555,18,FALSE),"-")</f>
        <v>3872</v>
      </c>
      <c r="CA420" s="50">
        <f t="shared" si="182"/>
        <v>3870</v>
      </c>
      <c r="CB420" s="50">
        <f>IFERROR(VLOOKUP(BY420,'[1]WCVI Esc'!$C$5:$W$555,19,FALSE),"-")</f>
        <v>9441</v>
      </c>
      <c r="CC420" s="50">
        <f t="shared" si="183"/>
        <v>9440</v>
      </c>
      <c r="CE420" s="342" t="str">
        <f t="shared" si="184"/>
        <v>SARITA RIVER_Chum</v>
      </c>
      <c r="CF420" s="341">
        <f>IFERROR(VLOOKUP(CE420,'RawPL+D'!$O$8:$AB$503,12,FALSE),"-")</f>
        <v>1397</v>
      </c>
      <c r="CG420" s="338">
        <f t="shared" si="185"/>
        <v>1400</v>
      </c>
      <c r="CH420" s="341">
        <f>IFERROR(VLOOKUP(CE420,'RawPL+D'!$O$8:$AB$503,13,FALSE),"-")</f>
        <v>2686.25</v>
      </c>
      <c r="CI420" s="338">
        <f t="shared" si="186"/>
        <v>2690</v>
      </c>
    </row>
    <row r="421" spans="1:87" ht="12.75" hidden="1" customHeight="1" x14ac:dyDescent="0.2">
      <c r="A421" s="29">
        <v>2</v>
      </c>
      <c r="B421" s="29">
        <v>5</v>
      </c>
      <c r="C421" s="13">
        <v>23</v>
      </c>
      <c r="D421" s="13" t="s">
        <v>293</v>
      </c>
      <c r="E421" s="10" t="s">
        <v>33</v>
      </c>
      <c r="F421" s="10" t="s">
        <v>210</v>
      </c>
      <c r="G421" s="10"/>
      <c r="H421" s="10"/>
      <c r="I421" s="10"/>
      <c r="J421" s="10"/>
      <c r="K421" s="331">
        <v>0</v>
      </c>
      <c r="L421" s="681">
        <v>0</v>
      </c>
      <c r="M421" s="641">
        <v>0</v>
      </c>
      <c r="N421" s="642">
        <v>0</v>
      </c>
      <c r="O421" s="643">
        <f>341+1</f>
        <v>342</v>
      </c>
      <c r="P421" s="713">
        <v>3609</v>
      </c>
      <c r="Q421" s="682">
        <f>3061+4</f>
        <v>3065</v>
      </c>
      <c r="R421" s="676">
        <f>1700+36</f>
        <v>1736</v>
      </c>
      <c r="S421" s="445"/>
      <c r="T421" s="775">
        <v>2</v>
      </c>
      <c r="U421" s="785">
        <v>0</v>
      </c>
      <c r="V421" s="798">
        <v>0</v>
      </c>
      <c r="W421" s="331">
        <v>0</v>
      </c>
      <c r="X421" s="63"/>
      <c r="Y421" s="62"/>
      <c r="Z421" s="64"/>
      <c r="AA421" s="164"/>
      <c r="AB421" s="62"/>
      <c r="AC421" s="62"/>
      <c r="AD421" s="64"/>
      <c r="AE421" s="164"/>
      <c r="AF421" s="62"/>
      <c r="AG421" s="62"/>
      <c r="AH421" s="337">
        <v>3008</v>
      </c>
      <c r="AI421" s="337">
        <v>74</v>
      </c>
      <c r="AJ421" s="337">
        <v>3212</v>
      </c>
      <c r="AK421" s="337">
        <v>0</v>
      </c>
      <c r="AL421" s="552">
        <v>6220</v>
      </c>
      <c r="AM421" s="552">
        <v>6294</v>
      </c>
      <c r="AN421" s="552" t="s">
        <v>768</v>
      </c>
      <c r="AO421" s="552" t="s">
        <v>773</v>
      </c>
      <c r="AP421" s="44"/>
      <c r="AQ421" s="485">
        <f>AL421/BI421</f>
        <v>3.362162162162162</v>
      </c>
      <c r="AR421" s="100">
        <f>BL421/BH421</f>
        <v>2.2556250000000002</v>
      </c>
      <c r="AS421" s="485">
        <f>BL421/BI421</f>
        <v>1.9508108108108109</v>
      </c>
      <c r="AT421" s="123">
        <v>496</v>
      </c>
      <c r="AU421" s="123">
        <v>146</v>
      </c>
      <c r="AV421" s="123">
        <f>AL421</f>
        <v>6220</v>
      </c>
      <c r="AW421" s="69">
        <v>23</v>
      </c>
      <c r="AX421" s="69" t="s">
        <v>293</v>
      </c>
      <c r="AY421" s="243" t="s">
        <v>33</v>
      </c>
      <c r="AZ421" s="243" t="str">
        <f t="shared" si="168"/>
        <v>Chinook</v>
      </c>
      <c r="BA421" s="243" t="s">
        <v>419</v>
      </c>
      <c r="BB421" s="244" t="s">
        <v>374</v>
      </c>
      <c r="BC421" s="43" t="str">
        <f t="shared" si="169"/>
        <v>Nov 12-18</v>
      </c>
      <c r="BD421" s="43">
        <f t="shared" si="191"/>
        <v>12</v>
      </c>
      <c r="BE421" s="193">
        <f t="shared" si="188"/>
        <v>3609</v>
      </c>
      <c r="BF421" s="193">
        <f t="shared" si="170"/>
        <v>6220</v>
      </c>
      <c r="BG421" s="193">
        <f t="shared" si="171"/>
        <v>3008</v>
      </c>
      <c r="BH421" s="307">
        <f t="shared" si="189"/>
        <v>1600</v>
      </c>
      <c r="BI421" s="265">
        <f t="shared" si="190"/>
        <v>1850</v>
      </c>
      <c r="BJ421" s="26" t="str">
        <f t="shared" si="172"/>
        <v>SARITA RIVERChinook</v>
      </c>
      <c r="BK421" s="26">
        <f t="shared" si="173"/>
        <v>12</v>
      </c>
      <c r="BL421" s="33">
        <f t="shared" si="163"/>
        <v>3609</v>
      </c>
      <c r="BM421" s="34">
        <f>BL421*1.14</f>
        <v>4114.2599999999993</v>
      </c>
      <c r="BN421" s="34">
        <f>BL421*2.88</f>
        <v>10393.92</v>
      </c>
      <c r="BO421" s="36"/>
      <c r="BP421" s="34">
        <f>SUM(BM421:BN421)/2</f>
        <v>7254.09</v>
      </c>
      <c r="BQ421" s="47" t="str">
        <f t="shared" si="174"/>
        <v>SARITA RIVERChinook</v>
      </c>
      <c r="BR421" s="49">
        <f t="shared" si="175"/>
        <v>0</v>
      </c>
      <c r="BS421" s="49">
        <f t="shared" si="176"/>
        <v>6220</v>
      </c>
      <c r="BT421" s="31">
        <v>2016</v>
      </c>
      <c r="BU421" s="188" t="str">
        <f t="shared" si="177"/>
        <v>HFN</v>
      </c>
      <c r="BV421" s="188" t="str">
        <f t="shared" si="178"/>
        <v>Oct 1-7</v>
      </c>
      <c r="BW421" s="188" t="str">
        <f t="shared" si="179"/>
        <v>Nov 12-18</v>
      </c>
      <c r="BX421" s="188" t="str">
        <f t="shared" si="180"/>
        <v xml:space="preserve"> </v>
      </c>
      <c r="BY421" s="50" t="str">
        <f t="shared" si="181"/>
        <v>SARITA RIVER_Chinook</v>
      </c>
      <c r="BZ421" s="50">
        <f>IFERROR(VLOOKUP(BY421,'[1]WCVI Esc'!$C$5:$W$555,18,FALSE),"-")</f>
        <v>2323.75</v>
      </c>
      <c r="CA421" s="50">
        <f t="shared" si="182"/>
        <v>2320</v>
      </c>
      <c r="CB421" s="50">
        <f>IFERROR(VLOOKUP(BY421,'[1]WCVI Esc'!$C$5:$W$555,19,FALSE),"-")</f>
        <v>1848.8333333333333</v>
      </c>
      <c r="CC421" s="50">
        <f t="shared" si="183"/>
        <v>1850</v>
      </c>
      <c r="CE421" s="342" t="str">
        <f t="shared" si="184"/>
        <v>SARITA RIVER_Chinook</v>
      </c>
      <c r="CF421" s="341">
        <f>IFERROR(VLOOKUP(CE421,'RawPL+D'!$O$8:$AB$503,12,FALSE),"-")</f>
        <v>2201</v>
      </c>
      <c r="CG421" s="338">
        <f t="shared" si="185"/>
        <v>2200</v>
      </c>
      <c r="CH421" s="341">
        <f>IFERROR(VLOOKUP(CE421,'RawPL+D'!$O$8:$AB$503,13,FALSE),"-")</f>
        <v>1597.75</v>
      </c>
      <c r="CI421" s="338">
        <f t="shared" si="186"/>
        <v>1600</v>
      </c>
    </row>
    <row r="422" spans="1:87" ht="12.75" hidden="1" customHeight="1" x14ac:dyDescent="0.2">
      <c r="A422" s="29">
        <v>2</v>
      </c>
      <c r="B422" s="29">
        <v>6</v>
      </c>
      <c r="C422" s="13">
        <v>23</v>
      </c>
      <c r="D422" s="148" t="s">
        <v>293</v>
      </c>
      <c r="E422" s="10" t="s">
        <v>33</v>
      </c>
      <c r="F422" s="10" t="s">
        <v>211</v>
      </c>
      <c r="G422" s="10"/>
      <c r="H422" s="10"/>
      <c r="I422" s="10"/>
      <c r="J422" s="10"/>
      <c r="K422" s="331">
        <v>0</v>
      </c>
      <c r="L422" s="681">
        <v>0</v>
      </c>
      <c r="M422" s="641">
        <v>0</v>
      </c>
      <c r="N422" s="642">
        <v>0</v>
      </c>
      <c r="O422" s="644">
        <v>0</v>
      </c>
      <c r="P422" s="686">
        <v>0</v>
      </c>
      <c r="Q422" s="682">
        <v>0</v>
      </c>
      <c r="R422" s="676">
        <v>0</v>
      </c>
      <c r="S422" s="444"/>
      <c r="T422" s="773">
        <v>0</v>
      </c>
      <c r="U422" s="783">
        <v>0</v>
      </c>
      <c r="V422" s="798">
        <v>0</v>
      </c>
      <c r="W422" s="331">
        <v>0</v>
      </c>
      <c r="X422" s="62"/>
      <c r="Y422" s="62"/>
      <c r="Z422" s="64"/>
      <c r="AA422" s="164"/>
      <c r="AB422" s="62"/>
      <c r="AC422" s="62"/>
      <c r="AD422" s="64"/>
      <c r="AE422" s="164"/>
      <c r="AF422" s="62"/>
      <c r="AG422" s="62"/>
      <c r="AH422" s="337"/>
      <c r="AI422" s="337"/>
      <c r="AJ422" s="337"/>
      <c r="AK422" s="337"/>
      <c r="AL422" s="567"/>
      <c r="AM422" s="567"/>
      <c r="AN422" s="46"/>
      <c r="AO422" s="46"/>
      <c r="AP422" s="44"/>
      <c r="AQ422" s="485"/>
      <c r="AR422" s="100"/>
      <c r="AS422" s="485"/>
      <c r="AT422" s="123"/>
      <c r="AU422" s="123"/>
      <c r="AV422" s="123"/>
      <c r="AW422" s="69">
        <v>23</v>
      </c>
      <c r="AX422" s="69" t="s">
        <v>293</v>
      </c>
      <c r="AY422" s="243" t="s">
        <v>33</v>
      </c>
      <c r="AZ422" s="243" t="str">
        <f t="shared" si="168"/>
        <v>Steelhead</v>
      </c>
      <c r="BA422" s="243" t="s">
        <v>419</v>
      </c>
      <c r="BB422" s="244" t="s">
        <v>374</v>
      </c>
      <c r="BC422" s="43" t="str">
        <f t="shared" si="169"/>
        <v>Nov 12-18</v>
      </c>
      <c r="BD422" s="43">
        <f t="shared" si="191"/>
        <v>12</v>
      </c>
      <c r="BE422" s="193">
        <f t="shared" si="188"/>
        <v>0</v>
      </c>
      <c r="BF422" s="193">
        <f t="shared" si="170"/>
        <v>0</v>
      </c>
      <c r="BG422" s="193">
        <f t="shared" si="171"/>
        <v>0</v>
      </c>
      <c r="BH422" s="307" t="str">
        <f t="shared" si="189"/>
        <v>-</v>
      </c>
      <c r="BI422" s="265" t="str">
        <f t="shared" si="190"/>
        <v>-</v>
      </c>
      <c r="BJ422" s="26" t="str">
        <f t="shared" si="172"/>
        <v>SARITA RIVERSteelhead</v>
      </c>
      <c r="BK422" s="26">
        <f t="shared" si="173"/>
        <v>12</v>
      </c>
      <c r="BL422" s="33">
        <f t="shared" si="163"/>
        <v>0</v>
      </c>
      <c r="BP422" s="34"/>
      <c r="BQ422" s="47" t="str">
        <f t="shared" si="174"/>
        <v>SARITA RIVERSteelhead</v>
      </c>
      <c r="BR422" s="49">
        <f t="shared" si="175"/>
        <v>0</v>
      </c>
      <c r="BS422" s="49">
        <f t="shared" si="176"/>
        <v>0</v>
      </c>
      <c r="BT422" s="31">
        <v>0</v>
      </c>
      <c r="BU422" s="188" t="str">
        <f t="shared" si="177"/>
        <v>HFN</v>
      </c>
      <c r="BV422" s="188" t="str">
        <f t="shared" si="178"/>
        <v>Oct 1-7</v>
      </c>
      <c r="BW422" s="188" t="str">
        <f t="shared" si="179"/>
        <v>Nov 12-18</v>
      </c>
      <c r="BX422" s="188" t="str">
        <f t="shared" si="180"/>
        <v xml:space="preserve"> </v>
      </c>
      <c r="BY422" s="50" t="str">
        <f t="shared" si="181"/>
        <v>SARITA RIVER_Steelhead</v>
      </c>
      <c r="BZ422" s="50" t="str">
        <f>IFERROR(VLOOKUP(BY422,'[1]WCVI Esc'!$C$5:$W$555,18,FALSE),"-")</f>
        <v>-</v>
      </c>
      <c r="CA422" s="50" t="str">
        <f t="shared" si="182"/>
        <v>-</v>
      </c>
      <c r="CB422" s="50" t="str">
        <f>IFERROR(VLOOKUP(BY422,'[1]WCVI Esc'!$C$5:$W$555,19,FALSE),"-")</f>
        <v>-</v>
      </c>
      <c r="CC422" s="50" t="str">
        <f t="shared" si="183"/>
        <v>-</v>
      </c>
      <c r="CE422" s="342" t="str">
        <f t="shared" si="184"/>
        <v>SARITA RIVER_Steelhead</v>
      </c>
      <c r="CF422" s="341" t="str">
        <f>IFERROR(VLOOKUP(BY422,'RawPL+D'!$O$8:$AB$503,12,FALSE),"-")</f>
        <v>-</v>
      </c>
      <c r="CG422" s="338" t="str">
        <f t="shared" si="185"/>
        <v>-</v>
      </c>
      <c r="CH422" s="341" t="str">
        <f>IFERROR(VLOOKUP(BY422,'RawPL+D'!$O$8:$AB$503,13,FALSE),"-")</f>
        <v>-</v>
      </c>
      <c r="CI422" s="338" t="str">
        <f t="shared" si="186"/>
        <v>-</v>
      </c>
    </row>
    <row r="423" spans="1:87" ht="12.75" hidden="1" customHeight="1" x14ac:dyDescent="0.2">
      <c r="A423" s="29">
        <v>3</v>
      </c>
      <c r="B423" s="29">
        <v>1</v>
      </c>
      <c r="C423" s="13">
        <v>23</v>
      </c>
      <c r="D423" s="148" t="s">
        <v>293</v>
      </c>
      <c r="E423" s="10" t="s">
        <v>101</v>
      </c>
      <c r="F423" s="10" t="s">
        <v>207</v>
      </c>
      <c r="G423" s="10"/>
      <c r="H423" s="10"/>
      <c r="I423" s="10"/>
      <c r="J423" s="10"/>
      <c r="K423" s="575"/>
      <c r="L423" s="152"/>
      <c r="M423" s="422"/>
      <c r="N423" s="339"/>
      <c r="O423" s="62"/>
      <c r="P423" s="424"/>
      <c r="Q423" s="171"/>
      <c r="R423" s="729">
        <v>0</v>
      </c>
      <c r="S423" s="339"/>
      <c r="T423" s="339"/>
      <c r="U423" s="802">
        <v>0</v>
      </c>
      <c r="V423" s="422"/>
      <c r="W423" s="62"/>
      <c r="X423" s="810">
        <v>0</v>
      </c>
      <c r="Y423" s="339"/>
      <c r="Z423" s="423"/>
      <c r="AA423" s="161"/>
      <c r="AB423" s="62"/>
      <c r="AC423" s="62"/>
      <c r="AD423" s="64"/>
      <c r="AE423" s="164"/>
      <c r="AF423" s="62"/>
      <c r="AG423" s="62"/>
      <c r="AH423" s="337">
        <v>0</v>
      </c>
      <c r="AI423" s="337">
        <v>0</v>
      </c>
      <c r="AJ423" s="337">
        <v>0</v>
      </c>
      <c r="AK423" s="337">
        <v>0</v>
      </c>
      <c r="AL423" s="552">
        <v>0</v>
      </c>
      <c r="AM423" s="552">
        <v>0</v>
      </c>
      <c r="AN423" s="552" t="s">
        <v>765</v>
      </c>
      <c r="AO423" s="45"/>
      <c r="AP423" s="45"/>
      <c r="AQ423" s="485"/>
      <c r="AR423" s="124"/>
      <c r="AS423" s="485"/>
      <c r="AT423" s="100"/>
      <c r="AU423" s="100"/>
      <c r="AV423" s="100"/>
      <c r="AW423" s="69">
        <v>23</v>
      </c>
      <c r="AX423" s="69" t="s">
        <v>293</v>
      </c>
      <c r="AY423" s="243" t="s">
        <v>101</v>
      </c>
      <c r="AZ423" s="243" t="str">
        <f t="shared" si="168"/>
        <v>Sockeye</v>
      </c>
      <c r="BA423" s="243" t="s">
        <v>419</v>
      </c>
      <c r="BB423" s="244" t="s">
        <v>374</v>
      </c>
      <c r="BC423" s="43" t="str">
        <f t="shared" si="169"/>
        <v>Nov 19-25</v>
      </c>
      <c r="BD423" s="43">
        <f t="shared" si="191"/>
        <v>3</v>
      </c>
      <c r="BE423" s="193">
        <f t="shared" si="188"/>
        <v>0</v>
      </c>
      <c r="BF423" s="193">
        <f t="shared" si="170"/>
        <v>0</v>
      </c>
      <c r="BG423" s="193">
        <f t="shared" si="171"/>
        <v>0</v>
      </c>
      <c r="BH423" s="307" t="str">
        <f t="shared" si="189"/>
        <v>-</v>
      </c>
      <c r="BI423" s="265"/>
      <c r="BJ423" s="26" t="str">
        <f t="shared" si="172"/>
        <v>PACHENA RIVERSockeye</v>
      </c>
      <c r="BK423" s="26">
        <f t="shared" si="173"/>
        <v>3</v>
      </c>
      <c r="BL423" s="33">
        <f t="shared" ref="BL423:BL486" si="192">MAX(K423:AB423)</f>
        <v>0</v>
      </c>
      <c r="BP423" s="34"/>
      <c r="BQ423" s="47" t="str">
        <f t="shared" si="174"/>
        <v>PACHENA RIVERSockeye</v>
      </c>
      <c r="BR423" s="49">
        <f t="shared" si="175"/>
        <v>0</v>
      </c>
      <c r="BS423" s="49">
        <f t="shared" si="176"/>
        <v>0</v>
      </c>
      <c r="BT423" s="31">
        <v>2010</v>
      </c>
      <c r="BU423" s="188" t="str">
        <f t="shared" si="177"/>
        <v>HFN</v>
      </c>
      <c r="BV423" s="188" t="str">
        <f t="shared" si="178"/>
        <v xml:space="preserve"> </v>
      </c>
      <c r="BW423" s="188" t="str">
        <f t="shared" si="179"/>
        <v>Oct 29-Nov4</v>
      </c>
      <c r="BX423" s="188" t="str">
        <f t="shared" si="180"/>
        <v>Nov 19-25</v>
      </c>
      <c r="BY423" s="50" t="str">
        <f t="shared" si="181"/>
        <v>PACHENA RIVER_Sockeye</v>
      </c>
      <c r="BZ423" s="50" t="str">
        <f>IFERROR(VLOOKUP(BY423,'[1]WCVI Esc'!$C$5:$W$555,18,FALSE),"-")</f>
        <v>-</v>
      </c>
      <c r="CA423" s="50" t="str">
        <f t="shared" si="182"/>
        <v>-</v>
      </c>
      <c r="CB423" s="50" t="str">
        <f>IFERROR(VLOOKUP(BY423,'[1]WCVI Esc'!$C$5:$W$555,19,FALSE),"-")</f>
        <v>-</v>
      </c>
      <c r="CC423" s="50" t="str">
        <f t="shared" si="183"/>
        <v>-</v>
      </c>
      <c r="CE423" s="342" t="str">
        <f t="shared" si="184"/>
        <v>PACHENA RIVER_Sockeye</v>
      </c>
      <c r="CF423" s="341" t="str">
        <f>IFERROR(VLOOKUP(BY423,'RawPL+D'!$O$8:$AB$503,12,FALSE),"-")</f>
        <v>-</v>
      </c>
      <c r="CG423" s="338" t="str">
        <f t="shared" si="185"/>
        <v>-</v>
      </c>
      <c r="CH423" s="341" t="str">
        <f>IFERROR(VLOOKUP(BY423,'RawPL+D'!$O$8:$AB$503,13,FALSE),"-")</f>
        <v>-</v>
      </c>
      <c r="CI423" s="338" t="str">
        <f t="shared" si="186"/>
        <v>-</v>
      </c>
    </row>
    <row r="424" spans="1:87" ht="12.75" hidden="1" customHeight="1" x14ac:dyDescent="0.2">
      <c r="A424" s="29">
        <v>3</v>
      </c>
      <c r="B424" s="29">
        <v>2</v>
      </c>
      <c r="C424" s="13">
        <v>23</v>
      </c>
      <c r="D424" s="13" t="s">
        <v>293</v>
      </c>
      <c r="E424" s="10" t="s">
        <v>101</v>
      </c>
      <c r="F424" s="10" t="s">
        <v>219</v>
      </c>
      <c r="G424" s="10"/>
      <c r="H424" s="10"/>
      <c r="I424" s="10"/>
      <c r="J424" s="10"/>
      <c r="K424" s="575"/>
      <c r="L424" s="152"/>
      <c r="M424" s="422"/>
      <c r="N424" s="339"/>
      <c r="O424" s="62"/>
      <c r="P424" s="424"/>
      <c r="Q424" s="171"/>
      <c r="R424" s="730">
        <f>5+1</f>
        <v>6</v>
      </c>
      <c r="S424" s="339"/>
      <c r="T424" s="437"/>
      <c r="U424" s="802">
        <v>8</v>
      </c>
      <c r="V424" s="421"/>
      <c r="W424" s="62"/>
      <c r="X424" s="810">
        <v>1</v>
      </c>
      <c r="Y424" s="432"/>
      <c r="Z424" s="64"/>
      <c r="AA424" s="161"/>
      <c r="AB424" s="62"/>
      <c r="AC424" s="62"/>
      <c r="AD424" s="64"/>
      <c r="AE424" s="164"/>
      <c r="AF424" s="62"/>
      <c r="AG424" s="62"/>
      <c r="AH424" s="337">
        <v>12</v>
      </c>
      <c r="AI424" s="337">
        <v>2</v>
      </c>
      <c r="AJ424" s="337">
        <v>0</v>
      </c>
      <c r="AK424" s="337">
        <v>0</v>
      </c>
      <c r="AL424" s="552">
        <v>12</v>
      </c>
      <c r="AM424" s="552">
        <v>14</v>
      </c>
      <c r="AN424" s="552" t="s">
        <v>765</v>
      </c>
      <c r="AO424" s="552" t="s">
        <v>773</v>
      </c>
      <c r="AP424" s="45"/>
      <c r="AQ424" s="485">
        <f>AL424/BI424</f>
        <v>7.4999999999999997E-2</v>
      </c>
      <c r="AR424"/>
      <c r="AS424" s="485">
        <f>BL424/BI424</f>
        <v>0.05</v>
      </c>
      <c r="AT424" s="100"/>
      <c r="AU424" s="100"/>
      <c r="AV424" s="100"/>
      <c r="AW424" s="69">
        <v>23</v>
      </c>
      <c r="AX424" s="69" t="s">
        <v>293</v>
      </c>
      <c r="AY424" s="243" t="s">
        <v>101</v>
      </c>
      <c r="AZ424" s="243" t="str">
        <f t="shared" si="168"/>
        <v>Coho</v>
      </c>
      <c r="BA424" s="243" t="s">
        <v>419</v>
      </c>
      <c r="BB424" s="244" t="s">
        <v>374</v>
      </c>
      <c r="BC424" s="43" t="str">
        <f t="shared" si="169"/>
        <v>Nov 19-25</v>
      </c>
      <c r="BD424" s="43">
        <f t="shared" si="191"/>
        <v>3</v>
      </c>
      <c r="BE424" s="193">
        <f t="shared" si="188"/>
        <v>8</v>
      </c>
      <c r="BF424" s="193">
        <f t="shared" si="170"/>
        <v>12</v>
      </c>
      <c r="BG424" s="193">
        <f t="shared" si="171"/>
        <v>12</v>
      </c>
      <c r="BH424" s="307">
        <f t="shared" si="189"/>
        <v>100</v>
      </c>
      <c r="BI424" s="265">
        <f>CC424</f>
        <v>160</v>
      </c>
      <c r="BJ424" s="26" t="str">
        <f t="shared" si="172"/>
        <v>PACHENA RIVERCoho</v>
      </c>
      <c r="BK424" s="26">
        <f t="shared" si="173"/>
        <v>3</v>
      </c>
      <c r="BL424" s="33">
        <f t="shared" si="192"/>
        <v>8</v>
      </c>
      <c r="BP424" s="34"/>
      <c r="BQ424" s="47" t="str">
        <f t="shared" si="174"/>
        <v>PACHENA RIVERCoho</v>
      </c>
      <c r="BR424" s="49">
        <f t="shared" si="175"/>
        <v>0</v>
      </c>
      <c r="BS424" s="49">
        <f t="shared" si="176"/>
        <v>12</v>
      </c>
      <c r="BT424" s="31">
        <v>2010</v>
      </c>
      <c r="BU424" s="188" t="str">
        <f t="shared" si="177"/>
        <v>HFN</v>
      </c>
      <c r="BV424" s="188" t="str">
        <f t="shared" si="178"/>
        <v xml:space="preserve"> </v>
      </c>
      <c r="BW424" s="188" t="str">
        <f t="shared" si="179"/>
        <v>Oct 29-Nov4</v>
      </c>
      <c r="BX424" s="188" t="str">
        <f t="shared" si="180"/>
        <v>Nov 19-25</v>
      </c>
      <c r="BY424" s="50" t="str">
        <f t="shared" si="181"/>
        <v>PACHENA RIVER_Coho</v>
      </c>
      <c r="BZ424" s="50">
        <f>IFERROR(VLOOKUP(BY424,'[1]WCVI Esc'!$C$5:$W$555,18,FALSE),"-")</f>
        <v>157.66666666666666</v>
      </c>
      <c r="CA424" s="50">
        <f t="shared" si="182"/>
        <v>160</v>
      </c>
      <c r="CB424" s="50">
        <f>IFERROR(VLOOKUP(BY424,'[1]WCVI Esc'!$C$5:$W$555,19,FALSE),"-")</f>
        <v>157.66666666666666</v>
      </c>
      <c r="CC424" s="50">
        <f t="shared" si="183"/>
        <v>160</v>
      </c>
      <c r="CE424" s="342" t="str">
        <f t="shared" si="184"/>
        <v>PACHENA RIVER_Coho</v>
      </c>
      <c r="CF424" s="341">
        <f>IFERROR(VLOOKUP(CE424,'RawPL+D'!$O$8:$AB$503,12,FALSE),"-")</f>
        <v>33</v>
      </c>
      <c r="CG424" s="338">
        <f t="shared" si="185"/>
        <v>30</v>
      </c>
      <c r="CH424" s="341">
        <f>IFERROR(VLOOKUP(CE424,'RawPL+D'!$O$8:$AB$503,13,FALSE),"-")</f>
        <v>101</v>
      </c>
      <c r="CI424" s="338">
        <f t="shared" si="186"/>
        <v>100</v>
      </c>
    </row>
    <row r="425" spans="1:87" ht="12.75" hidden="1" customHeight="1" x14ac:dyDescent="0.2">
      <c r="A425" s="29">
        <v>3</v>
      </c>
      <c r="B425" s="29">
        <v>3</v>
      </c>
      <c r="C425" s="13">
        <v>23</v>
      </c>
      <c r="D425" s="148" t="s">
        <v>293</v>
      </c>
      <c r="E425" s="10" t="s">
        <v>101</v>
      </c>
      <c r="F425" s="10" t="s">
        <v>208</v>
      </c>
      <c r="G425" s="10"/>
      <c r="H425" s="10"/>
      <c r="I425" s="10"/>
      <c r="J425" s="10"/>
      <c r="K425" s="575"/>
      <c r="L425" s="152"/>
      <c r="M425" s="422"/>
      <c r="N425" s="339"/>
      <c r="O425" s="62"/>
      <c r="P425" s="424"/>
      <c r="Q425" s="171"/>
      <c r="R425" s="729">
        <v>0</v>
      </c>
      <c r="S425" s="339"/>
      <c r="T425" s="63"/>
      <c r="U425" s="802">
        <v>0</v>
      </c>
      <c r="V425" s="164"/>
      <c r="W425" s="62"/>
      <c r="X425" s="810">
        <v>0</v>
      </c>
      <c r="Y425" s="62"/>
      <c r="Z425" s="64"/>
      <c r="AA425" s="161"/>
      <c r="AB425" s="62"/>
      <c r="AC425" s="62"/>
      <c r="AD425" s="64"/>
      <c r="AE425" s="164"/>
      <c r="AF425" s="62"/>
      <c r="AG425" s="62"/>
      <c r="AH425" s="337">
        <v>0</v>
      </c>
      <c r="AI425" s="337">
        <v>0</v>
      </c>
      <c r="AJ425" s="337">
        <v>0</v>
      </c>
      <c r="AK425" s="337">
        <v>0</v>
      </c>
      <c r="AL425" s="552">
        <v>0</v>
      </c>
      <c r="AM425" s="552">
        <v>0</v>
      </c>
      <c r="AN425" s="552" t="s">
        <v>765</v>
      </c>
      <c r="AO425" s="552" t="s">
        <v>773</v>
      </c>
      <c r="AP425" s="45"/>
      <c r="AQ425" s="485"/>
      <c r="AR425"/>
      <c r="AS425" s="485"/>
      <c r="AT425" s="100"/>
      <c r="AU425" s="100"/>
      <c r="AV425" s="100"/>
      <c r="AW425" s="69">
        <v>23</v>
      </c>
      <c r="AX425" s="69" t="s">
        <v>293</v>
      </c>
      <c r="AY425" s="243" t="s">
        <v>101</v>
      </c>
      <c r="AZ425" s="243" t="str">
        <f t="shared" si="168"/>
        <v>Pink</v>
      </c>
      <c r="BA425" s="243" t="s">
        <v>419</v>
      </c>
      <c r="BB425" s="244" t="s">
        <v>374</v>
      </c>
      <c r="BC425" s="43" t="str">
        <f t="shared" si="169"/>
        <v>Nov 19-25</v>
      </c>
      <c r="BD425" s="43">
        <f t="shared" si="191"/>
        <v>3</v>
      </c>
      <c r="BE425" s="193">
        <f t="shared" si="188"/>
        <v>0</v>
      </c>
      <c r="BF425" s="193">
        <f t="shared" si="170"/>
        <v>0</v>
      </c>
      <c r="BG425" s="193">
        <f t="shared" si="171"/>
        <v>0</v>
      </c>
      <c r="BH425" s="307" t="str">
        <f t="shared" si="189"/>
        <v>-</v>
      </c>
      <c r="BI425" s="265" t="str">
        <f>CC425</f>
        <v>-</v>
      </c>
      <c r="BJ425" s="26" t="str">
        <f t="shared" si="172"/>
        <v>PACHENA RIVERPink</v>
      </c>
      <c r="BK425" s="26">
        <f t="shared" si="173"/>
        <v>3</v>
      </c>
      <c r="BL425" s="33">
        <f t="shared" si="192"/>
        <v>0</v>
      </c>
      <c r="BP425" s="34"/>
      <c r="BQ425" s="47" t="str">
        <f t="shared" si="174"/>
        <v>PACHENA RIVERPink</v>
      </c>
      <c r="BR425" s="49">
        <f t="shared" si="175"/>
        <v>0</v>
      </c>
      <c r="BS425" s="49">
        <f t="shared" si="176"/>
        <v>0</v>
      </c>
      <c r="BT425" s="31">
        <v>0</v>
      </c>
      <c r="BU425" s="188" t="str">
        <f t="shared" si="177"/>
        <v>HFN</v>
      </c>
      <c r="BV425" s="188" t="str">
        <f t="shared" si="178"/>
        <v xml:space="preserve"> </v>
      </c>
      <c r="BW425" s="188" t="str">
        <f t="shared" si="179"/>
        <v>Oct 29-Nov4</v>
      </c>
      <c r="BX425" s="188" t="str">
        <f t="shared" si="180"/>
        <v>Nov 19-25</v>
      </c>
      <c r="BY425" s="50" t="str">
        <f t="shared" si="181"/>
        <v>PACHENA RIVER_Pink</v>
      </c>
      <c r="BZ425" s="50" t="str">
        <f>IFERROR(VLOOKUP(BY425,'[1]WCVI Esc'!$C$5:$W$555,18,FALSE),"-")</f>
        <v>-</v>
      </c>
      <c r="CA425" s="50" t="str">
        <f t="shared" si="182"/>
        <v>-</v>
      </c>
      <c r="CB425" s="50" t="str">
        <f>IFERROR(VLOOKUP(BY425,'[1]WCVI Esc'!$C$5:$W$555,19,FALSE),"-")</f>
        <v>-</v>
      </c>
      <c r="CC425" s="50" t="str">
        <f t="shared" si="183"/>
        <v>-</v>
      </c>
      <c r="CE425" s="342" t="str">
        <f t="shared" ref="CE425:CE434" si="193">CONCATENATE(E425,"_",F425)</f>
        <v>PACHENA RIVER_Pink</v>
      </c>
      <c r="CF425" s="341" t="str">
        <f>IFERROR(VLOOKUP(BY425,'RawPL+D'!$O$8:$AB$503,12,FALSE),"-")</f>
        <v>-</v>
      </c>
      <c r="CG425" s="338" t="str">
        <f t="shared" si="185"/>
        <v>-</v>
      </c>
      <c r="CH425" s="341" t="str">
        <f>IFERROR(VLOOKUP(BY425,'RawPL+D'!$O$8:$AB$503,13,FALSE),"-")</f>
        <v>-</v>
      </c>
      <c r="CI425" s="338" t="str">
        <f t="shared" si="186"/>
        <v>-</v>
      </c>
    </row>
    <row r="426" spans="1:87" ht="12.75" hidden="1" customHeight="1" x14ac:dyDescent="0.2">
      <c r="A426" s="29">
        <v>3</v>
      </c>
      <c r="B426" s="29">
        <v>4</v>
      </c>
      <c r="C426" s="13">
        <v>23</v>
      </c>
      <c r="D426" s="13" t="s">
        <v>293</v>
      </c>
      <c r="E426" s="10" t="s">
        <v>101</v>
      </c>
      <c r="F426" s="10" t="s">
        <v>209</v>
      </c>
      <c r="G426" s="10"/>
      <c r="H426" s="10"/>
      <c r="I426" s="10"/>
      <c r="J426" s="10"/>
      <c r="K426" s="575"/>
      <c r="L426" s="152"/>
      <c r="M426" s="422"/>
      <c r="N426" s="339"/>
      <c r="O426" s="62"/>
      <c r="P426" s="424"/>
      <c r="Q426" s="171"/>
      <c r="R426" s="729">
        <v>0</v>
      </c>
      <c r="S426" s="339"/>
      <c r="T426" s="63"/>
      <c r="U426" s="802">
        <v>0</v>
      </c>
      <c r="V426" s="164"/>
      <c r="W426" s="62"/>
      <c r="X426" s="810">
        <v>0</v>
      </c>
      <c r="Y426" s="62"/>
      <c r="Z426" s="64"/>
      <c r="AA426" s="161"/>
      <c r="AB426" s="62"/>
      <c r="AC426" s="62"/>
      <c r="AD426" s="64"/>
      <c r="AE426" s="164"/>
      <c r="AF426" s="62"/>
      <c r="AG426" s="62"/>
      <c r="AH426" s="337">
        <v>0</v>
      </c>
      <c r="AI426" s="337">
        <v>0</v>
      </c>
      <c r="AJ426" s="337">
        <v>0</v>
      </c>
      <c r="AK426" s="337">
        <v>0</v>
      </c>
      <c r="AL426" s="552">
        <v>0</v>
      </c>
      <c r="AM426" s="552">
        <v>0</v>
      </c>
      <c r="AN426" s="552" t="s">
        <v>765</v>
      </c>
      <c r="AO426" s="552" t="s">
        <v>773</v>
      </c>
      <c r="AP426" s="45"/>
      <c r="AQ426" s="485">
        <f>AL426/BI426</f>
        <v>0</v>
      </c>
      <c r="AR426"/>
      <c r="AS426" s="485">
        <f>BL426/BI426</f>
        <v>0</v>
      </c>
      <c r="AT426" s="100"/>
      <c r="AU426" s="100"/>
      <c r="AV426" s="100"/>
      <c r="AW426" s="69">
        <v>23</v>
      </c>
      <c r="AX426" s="69" t="s">
        <v>293</v>
      </c>
      <c r="AY426" s="243" t="s">
        <v>101</v>
      </c>
      <c r="AZ426" s="243" t="str">
        <f t="shared" si="168"/>
        <v>Chum</v>
      </c>
      <c r="BA426" s="243" t="s">
        <v>419</v>
      </c>
      <c r="BB426" s="244" t="s">
        <v>374</v>
      </c>
      <c r="BC426" s="43" t="str">
        <f t="shared" si="169"/>
        <v>Nov 19-25</v>
      </c>
      <c r="BD426" s="43">
        <f t="shared" si="191"/>
        <v>3</v>
      </c>
      <c r="BE426" s="193">
        <f t="shared" si="188"/>
        <v>0</v>
      </c>
      <c r="BF426" s="193">
        <f t="shared" si="170"/>
        <v>0</v>
      </c>
      <c r="BG426" s="193">
        <f t="shared" si="171"/>
        <v>0</v>
      </c>
      <c r="BH426" s="307">
        <f t="shared" si="189"/>
        <v>20</v>
      </c>
      <c r="BI426" s="265">
        <f>CC426</f>
        <v>40</v>
      </c>
      <c r="BJ426" s="26" t="str">
        <f t="shared" si="172"/>
        <v>PACHENA RIVERChum</v>
      </c>
      <c r="BK426" s="26">
        <f t="shared" si="173"/>
        <v>3</v>
      </c>
      <c r="BL426" s="33">
        <f t="shared" si="192"/>
        <v>0</v>
      </c>
      <c r="BP426" s="34"/>
      <c r="BQ426" s="47" t="str">
        <f t="shared" si="174"/>
        <v>PACHENA RIVERChum</v>
      </c>
      <c r="BR426" s="49">
        <f t="shared" si="175"/>
        <v>0</v>
      </c>
      <c r="BS426" s="49">
        <f t="shared" si="176"/>
        <v>0</v>
      </c>
      <c r="BT426" s="31">
        <v>2010</v>
      </c>
      <c r="BU426" s="188" t="str">
        <f t="shared" si="177"/>
        <v>HFN</v>
      </c>
      <c r="BV426" s="188" t="str">
        <f t="shared" si="178"/>
        <v xml:space="preserve"> </v>
      </c>
      <c r="BW426" s="188" t="str">
        <f t="shared" si="179"/>
        <v>Oct 29-Nov4</v>
      </c>
      <c r="BX426" s="188" t="str">
        <f t="shared" si="180"/>
        <v>Nov 19-25</v>
      </c>
      <c r="BY426" s="50" t="str">
        <f t="shared" si="181"/>
        <v>PACHENA RIVER_Chum</v>
      </c>
      <c r="BZ426" s="50">
        <f>IFERROR(VLOOKUP(BY426,'[1]WCVI Esc'!$C$5:$W$555,18,FALSE),"-")</f>
        <v>37.5</v>
      </c>
      <c r="CA426" s="50">
        <f t="shared" si="182"/>
        <v>40</v>
      </c>
      <c r="CB426" s="50">
        <f>IFERROR(VLOOKUP(BY426,'[1]WCVI Esc'!$C$5:$W$555,19,FALSE),"-")</f>
        <v>37.5</v>
      </c>
      <c r="CC426" s="50">
        <f t="shared" si="183"/>
        <v>40</v>
      </c>
      <c r="CE426" s="342" t="str">
        <f t="shared" si="193"/>
        <v>PACHENA RIVER_Chum</v>
      </c>
      <c r="CF426" s="341">
        <f>IFERROR(VLOOKUP(CE426,'RawPL+D'!$O$8:$AB$503,12,FALSE),"-")</f>
        <v>0</v>
      </c>
      <c r="CG426" s="338">
        <f t="shared" si="185"/>
        <v>0</v>
      </c>
      <c r="CH426" s="341">
        <f>IFERROR(VLOOKUP(CE426,'RawPL+D'!$O$8:$AB$503,13,FALSE),"-")</f>
        <v>18.75</v>
      </c>
      <c r="CI426" s="338">
        <f t="shared" si="186"/>
        <v>20</v>
      </c>
    </row>
    <row r="427" spans="1:87" ht="12.75" hidden="1" customHeight="1" x14ac:dyDescent="0.2">
      <c r="A427" s="29">
        <v>3</v>
      </c>
      <c r="B427" s="29">
        <v>5</v>
      </c>
      <c r="C427" s="13">
        <v>23</v>
      </c>
      <c r="D427" s="148" t="s">
        <v>293</v>
      </c>
      <c r="E427" s="10" t="s">
        <v>101</v>
      </c>
      <c r="F427" s="10" t="s">
        <v>210</v>
      </c>
      <c r="G427" s="10"/>
      <c r="H427" s="10"/>
      <c r="I427" s="10"/>
      <c r="J427" s="10"/>
      <c r="K427" s="575"/>
      <c r="L427" s="152"/>
      <c r="M427" s="422"/>
      <c r="N427" s="339"/>
      <c r="O427" s="62"/>
      <c r="P427" s="424"/>
      <c r="Q427" s="171"/>
      <c r="R427" s="729">
        <v>0</v>
      </c>
      <c r="S427" s="339"/>
      <c r="T427" s="63"/>
      <c r="U427" s="802">
        <v>0</v>
      </c>
      <c r="V427" s="164"/>
      <c r="W427" s="62"/>
      <c r="X427" s="810">
        <v>0</v>
      </c>
      <c r="Y427" s="62"/>
      <c r="Z427" s="64"/>
      <c r="AA427" s="161"/>
      <c r="AB427" s="62"/>
      <c r="AC427" s="62"/>
      <c r="AD427" s="64"/>
      <c r="AE427" s="164"/>
      <c r="AF427" s="62"/>
      <c r="AG427" s="62"/>
      <c r="AH427" s="337">
        <v>0</v>
      </c>
      <c r="AI427" s="337">
        <v>0</v>
      </c>
      <c r="AJ427" s="337">
        <v>0</v>
      </c>
      <c r="AK427" s="337">
        <v>0</v>
      </c>
      <c r="AL427" s="552">
        <v>0</v>
      </c>
      <c r="AM427" s="552">
        <v>0</v>
      </c>
      <c r="AN427" s="552" t="s">
        <v>765</v>
      </c>
      <c r="AO427" s="552" t="s">
        <v>773</v>
      </c>
      <c r="AP427" s="45"/>
      <c r="AQ427" s="485"/>
      <c r="AR427"/>
      <c r="AS427" s="485"/>
      <c r="AT427" s="100"/>
      <c r="AU427" s="100"/>
      <c r="AV427" s="100"/>
      <c r="AW427" s="69">
        <v>23</v>
      </c>
      <c r="AX427" s="69" t="s">
        <v>293</v>
      </c>
      <c r="AY427" s="243" t="s">
        <v>101</v>
      </c>
      <c r="AZ427" s="243" t="str">
        <f t="shared" si="168"/>
        <v>Chinook</v>
      </c>
      <c r="BA427" s="243" t="s">
        <v>419</v>
      </c>
      <c r="BB427" s="244" t="s">
        <v>374</v>
      </c>
      <c r="BC427" s="43" t="str">
        <f t="shared" si="169"/>
        <v>Nov 19-25</v>
      </c>
      <c r="BD427" s="43">
        <f t="shared" si="191"/>
        <v>3</v>
      </c>
      <c r="BE427" s="193">
        <f t="shared" si="188"/>
        <v>0</v>
      </c>
      <c r="BF427" s="193">
        <f t="shared" si="170"/>
        <v>0</v>
      </c>
      <c r="BG427" s="193">
        <f t="shared" si="171"/>
        <v>0</v>
      </c>
      <c r="BH427" s="307" t="str">
        <f t="shared" si="189"/>
        <v>-</v>
      </c>
      <c r="BI427" s="265" t="str">
        <f>CC427</f>
        <v>-</v>
      </c>
      <c r="BJ427" s="26" t="str">
        <f t="shared" si="172"/>
        <v>PACHENA RIVERChinook</v>
      </c>
      <c r="BK427" s="26">
        <f t="shared" si="173"/>
        <v>3</v>
      </c>
      <c r="BL427" s="33">
        <f t="shared" si="192"/>
        <v>0</v>
      </c>
      <c r="BM427" s="34">
        <f>BL427*1.14</f>
        <v>0</v>
      </c>
      <c r="BN427" s="34">
        <f>BL427*2.88</f>
        <v>0</v>
      </c>
      <c r="BP427" s="34">
        <f>SUM(BM427:BN427)/2</f>
        <v>0</v>
      </c>
      <c r="BQ427" s="47" t="str">
        <f t="shared" si="174"/>
        <v>PACHENA RIVERChinook</v>
      </c>
      <c r="BR427" s="49">
        <f t="shared" si="175"/>
        <v>0</v>
      </c>
      <c r="BS427" s="49">
        <f t="shared" si="176"/>
        <v>0</v>
      </c>
      <c r="BT427" s="31">
        <v>2010</v>
      </c>
      <c r="BU427" s="188" t="str">
        <f t="shared" si="177"/>
        <v>HFN</v>
      </c>
      <c r="BV427" s="188" t="str">
        <f t="shared" si="178"/>
        <v xml:space="preserve"> </v>
      </c>
      <c r="BW427" s="188" t="str">
        <f t="shared" si="179"/>
        <v>Oct 29-Nov4</v>
      </c>
      <c r="BX427" s="188" t="str">
        <f t="shared" si="180"/>
        <v>Nov 19-25</v>
      </c>
      <c r="BY427" s="50" t="str">
        <f t="shared" si="181"/>
        <v>PACHENA RIVER_Chinook</v>
      </c>
      <c r="BZ427" s="50" t="str">
        <f>IFERROR(VLOOKUP(BY427,'[1]WCVI Esc'!$C$5:$W$555,18,FALSE),"-")</f>
        <v>-</v>
      </c>
      <c r="CA427" s="50" t="str">
        <f t="shared" si="182"/>
        <v>-</v>
      </c>
      <c r="CB427" s="50" t="str">
        <f>IFERROR(VLOOKUP(BY427,'[1]WCVI Esc'!$C$5:$W$555,19,FALSE),"-")</f>
        <v>-</v>
      </c>
      <c r="CC427" s="50" t="str">
        <f t="shared" si="183"/>
        <v>-</v>
      </c>
      <c r="CE427" s="342" t="str">
        <f t="shared" si="193"/>
        <v>PACHENA RIVER_Chinook</v>
      </c>
      <c r="CF427" s="341" t="str">
        <f>IFERROR(VLOOKUP(BY427,'RawPL+D'!$O$8:$AB$503,12,FALSE),"-")</f>
        <v>-</v>
      </c>
      <c r="CG427" s="338" t="str">
        <f t="shared" si="185"/>
        <v>-</v>
      </c>
      <c r="CH427" s="341" t="str">
        <f>IFERROR(VLOOKUP(BY427,'RawPL+D'!$O$8:$AB$503,13,FALSE),"-")</f>
        <v>-</v>
      </c>
      <c r="CI427" s="338" t="str">
        <f t="shared" si="186"/>
        <v>-</v>
      </c>
    </row>
    <row r="428" spans="1:87" ht="12.75" hidden="1" customHeight="1" x14ac:dyDescent="0.2">
      <c r="A428" s="29">
        <v>3</v>
      </c>
      <c r="B428" s="29">
        <v>6</v>
      </c>
      <c r="C428" s="13">
        <v>23</v>
      </c>
      <c r="D428" s="148" t="s">
        <v>293</v>
      </c>
      <c r="E428" s="10" t="s">
        <v>101</v>
      </c>
      <c r="F428" s="10" t="s">
        <v>211</v>
      </c>
      <c r="G428" s="10"/>
      <c r="H428" s="10"/>
      <c r="I428" s="10"/>
      <c r="J428" s="10"/>
      <c r="K428" s="575"/>
      <c r="L428" s="152"/>
      <c r="M428" s="422"/>
      <c r="N428" s="339"/>
      <c r="O428" s="62"/>
      <c r="P428" s="424"/>
      <c r="Q428" s="171"/>
      <c r="R428" s="729">
        <v>0</v>
      </c>
      <c r="S428" s="339"/>
      <c r="T428" s="63"/>
      <c r="U428" s="802">
        <v>0</v>
      </c>
      <c r="V428" s="164"/>
      <c r="W428" s="62"/>
      <c r="X428" s="810">
        <v>0</v>
      </c>
      <c r="Y428" s="62"/>
      <c r="Z428" s="64"/>
      <c r="AA428" s="161"/>
      <c r="AB428" s="62"/>
      <c r="AC428" s="62"/>
      <c r="AD428" s="64"/>
      <c r="AE428" s="164"/>
      <c r="AF428" s="62"/>
      <c r="AG428" s="62"/>
      <c r="AH428" s="337"/>
      <c r="AI428" s="337"/>
      <c r="AJ428" s="337"/>
      <c r="AK428" s="337"/>
      <c r="AL428" s="552"/>
      <c r="AM428" s="552"/>
      <c r="AN428" s="45"/>
      <c r="AO428" s="45"/>
      <c r="AP428" s="45"/>
      <c r="AQ428" s="485"/>
      <c r="AR428"/>
      <c r="AS428" s="485"/>
      <c r="AT428" s="100"/>
      <c r="AU428" s="100"/>
      <c r="AV428" s="100"/>
      <c r="AW428" s="69">
        <v>23</v>
      </c>
      <c r="AX428" s="69" t="s">
        <v>293</v>
      </c>
      <c r="AY428" s="243" t="s">
        <v>101</v>
      </c>
      <c r="AZ428" s="243" t="str">
        <f t="shared" si="168"/>
        <v>Steelhead</v>
      </c>
      <c r="BA428" s="243" t="s">
        <v>419</v>
      </c>
      <c r="BB428" s="244" t="s">
        <v>374</v>
      </c>
      <c r="BC428" s="43" t="str">
        <f t="shared" si="169"/>
        <v>Nov 19-25</v>
      </c>
      <c r="BD428" s="43">
        <f t="shared" si="191"/>
        <v>3</v>
      </c>
      <c r="BE428" s="193">
        <f t="shared" si="188"/>
        <v>0</v>
      </c>
      <c r="BF428" s="193">
        <f t="shared" si="170"/>
        <v>0</v>
      </c>
      <c r="BG428" s="193">
        <f t="shared" si="171"/>
        <v>0</v>
      </c>
      <c r="BH428" s="307" t="str">
        <f t="shared" si="189"/>
        <v>-</v>
      </c>
      <c r="BI428" s="265" t="str">
        <f>CC428</f>
        <v>-</v>
      </c>
      <c r="BJ428" s="26" t="str">
        <f t="shared" si="172"/>
        <v>PACHENA RIVERSteelhead</v>
      </c>
      <c r="BK428" s="26">
        <f t="shared" si="173"/>
        <v>3</v>
      </c>
      <c r="BL428" s="33">
        <f t="shared" si="192"/>
        <v>0</v>
      </c>
      <c r="BP428" s="34"/>
      <c r="BQ428" s="47" t="str">
        <f t="shared" si="174"/>
        <v>PACHENA RIVERSteelhead</v>
      </c>
      <c r="BR428" s="49">
        <f t="shared" si="175"/>
        <v>0</v>
      </c>
      <c r="BS428" s="49">
        <f t="shared" si="176"/>
        <v>0</v>
      </c>
      <c r="BT428" s="31">
        <v>0</v>
      </c>
      <c r="BU428" s="188" t="str">
        <f t="shared" si="177"/>
        <v>HFN</v>
      </c>
      <c r="BV428" s="188" t="str">
        <f t="shared" si="178"/>
        <v xml:space="preserve"> </v>
      </c>
      <c r="BW428" s="188" t="str">
        <f t="shared" si="179"/>
        <v>Oct 29-Nov4</v>
      </c>
      <c r="BX428" s="188" t="str">
        <f t="shared" si="180"/>
        <v>Nov 19-25</v>
      </c>
      <c r="BY428" s="50" t="str">
        <f t="shared" si="181"/>
        <v>PACHENA RIVER_Steelhead</v>
      </c>
      <c r="BZ428" s="50" t="str">
        <f>IFERROR(VLOOKUP(BY428,'[1]WCVI Esc'!$C$5:$W$555,18,FALSE),"-")</f>
        <v>-</v>
      </c>
      <c r="CA428" s="50" t="str">
        <f t="shared" si="182"/>
        <v>-</v>
      </c>
      <c r="CB428" s="50" t="str">
        <f>IFERROR(VLOOKUP(BY428,'[1]WCVI Esc'!$C$5:$W$555,19,FALSE),"-")</f>
        <v>-</v>
      </c>
      <c r="CC428" s="50" t="str">
        <f t="shared" si="183"/>
        <v>-</v>
      </c>
      <c r="CE428" s="342" t="str">
        <f t="shared" si="193"/>
        <v>PACHENA RIVER_Steelhead</v>
      </c>
      <c r="CF428" s="341" t="str">
        <f>IFERROR(VLOOKUP(BY428,'RawPL+D'!$O$8:$AB$503,12,FALSE),"-")</f>
        <v>-</v>
      </c>
      <c r="CG428" s="338" t="str">
        <f t="shared" si="185"/>
        <v>-</v>
      </c>
      <c r="CH428" s="341" t="str">
        <f>IFERROR(VLOOKUP(BY428,'RawPL+D'!$O$8:$AB$503,13,FALSE),"-")</f>
        <v>-</v>
      </c>
      <c r="CI428" s="338" t="str">
        <f t="shared" si="186"/>
        <v>-</v>
      </c>
    </row>
    <row r="429" spans="1:87" ht="12.75" hidden="1" customHeight="1" x14ac:dyDescent="0.2">
      <c r="A429" s="29">
        <v>3</v>
      </c>
      <c r="B429" s="29">
        <v>1</v>
      </c>
      <c r="C429" s="13">
        <v>23</v>
      </c>
      <c r="D429" s="148" t="s">
        <v>293</v>
      </c>
      <c r="E429" s="10" t="s">
        <v>597</v>
      </c>
      <c r="F429" s="10" t="s">
        <v>207</v>
      </c>
      <c r="G429" s="10"/>
      <c r="H429" s="10"/>
      <c r="I429" s="10"/>
      <c r="J429" s="10"/>
      <c r="K429" s="575"/>
      <c r="L429" s="152"/>
      <c r="M429" s="422"/>
      <c r="N429" s="339"/>
      <c r="O429" s="62"/>
      <c r="P429" s="424"/>
      <c r="Q429" s="171"/>
      <c r="R429" s="62"/>
      <c r="S429" s="339"/>
      <c r="T429" s="643">
        <v>0</v>
      </c>
      <c r="U429" s="162"/>
      <c r="V429" s="422"/>
      <c r="W429" s="62"/>
      <c r="X429" s="63"/>
      <c r="Y429" s="339"/>
      <c r="Z429" s="423"/>
      <c r="AA429" s="161"/>
      <c r="AB429" s="62"/>
      <c r="AC429" s="62"/>
      <c r="AD429" s="64"/>
      <c r="AE429" s="164"/>
      <c r="AF429" s="62"/>
      <c r="AG429" s="62"/>
      <c r="AH429" s="337"/>
      <c r="AI429" s="337"/>
      <c r="AJ429" s="337"/>
      <c r="AK429" s="337"/>
      <c r="AL429" s="552"/>
      <c r="AM429" s="552"/>
      <c r="AN429" s="45"/>
      <c r="AO429" s="45"/>
      <c r="AP429" s="45"/>
      <c r="AQ429" s="485"/>
      <c r="AR429" s="124"/>
      <c r="AS429" s="485"/>
      <c r="AT429" s="100"/>
      <c r="AU429" s="100"/>
      <c r="AV429" s="100"/>
      <c r="AW429" s="18">
        <v>23</v>
      </c>
      <c r="AX429" s="69" t="s">
        <v>319</v>
      </c>
      <c r="AY429" s="243" t="s">
        <v>597</v>
      </c>
      <c r="AZ429" s="243" t="str">
        <f t="shared" si="168"/>
        <v>Sockeye</v>
      </c>
      <c r="BA429" s="243" t="s">
        <v>419</v>
      </c>
      <c r="BB429" s="244" t="s">
        <v>374</v>
      </c>
      <c r="BC429" s="43" t="str">
        <f t="shared" si="169"/>
        <v>Oct 22-28</v>
      </c>
      <c r="BD429" s="43">
        <f t="shared" si="191"/>
        <v>1</v>
      </c>
      <c r="BE429" s="193">
        <f t="shared" si="188"/>
        <v>0</v>
      </c>
      <c r="BF429" s="193">
        <f t="shared" si="170"/>
        <v>0</v>
      </c>
      <c r="BG429" s="193">
        <f t="shared" si="171"/>
        <v>0</v>
      </c>
      <c r="BH429" s="307" t="str">
        <f t="shared" si="189"/>
        <v>-</v>
      </c>
      <c r="BI429" s="265"/>
      <c r="BJ429" s="26" t="str">
        <f t="shared" si="172"/>
        <v>Rousseau CreekSockeye</v>
      </c>
      <c r="BK429" s="26">
        <f t="shared" si="173"/>
        <v>1</v>
      </c>
      <c r="BL429" s="33">
        <f t="shared" si="192"/>
        <v>0</v>
      </c>
      <c r="BQ429" s="47" t="str">
        <f t="shared" si="174"/>
        <v>Rousseau CreekSockeye</v>
      </c>
      <c r="BR429" s="49">
        <f t="shared" si="175"/>
        <v>0</v>
      </c>
      <c r="BS429" s="49">
        <f t="shared" si="176"/>
        <v>0</v>
      </c>
      <c r="BT429" s="31">
        <v>0</v>
      </c>
      <c r="BU429" s="188" t="str">
        <f t="shared" si="177"/>
        <v>HFN</v>
      </c>
      <c r="BV429" s="188" t="str">
        <f t="shared" si="178"/>
        <v xml:space="preserve"> </v>
      </c>
      <c r="BW429" s="188" t="str">
        <f t="shared" si="179"/>
        <v>Oct 22-28</v>
      </c>
      <c r="BX429" s="188" t="str">
        <f t="shared" si="180"/>
        <v xml:space="preserve"> </v>
      </c>
      <c r="BY429" s="50" t="str">
        <f t="shared" si="181"/>
        <v>Rousseau Creek_Sockeye</v>
      </c>
      <c r="BZ429" s="50" t="str">
        <f>IFERROR(VLOOKUP(BY429,'[1]WCVI Esc'!$C$5:$W$555,18,FALSE),"-")</f>
        <v>-</v>
      </c>
      <c r="CA429" s="50" t="str">
        <f t="shared" si="182"/>
        <v>-</v>
      </c>
      <c r="CB429" s="50" t="str">
        <f>IFERROR(VLOOKUP(BY429,'[1]WCVI Esc'!$C$5:$W$555,19,FALSE),"-")</f>
        <v>-</v>
      </c>
      <c r="CC429" s="50" t="str">
        <f t="shared" si="183"/>
        <v>-</v>
      </c>
      <c r="CE429" s="342" t="str">
        <f t="shared" si="193"/>
        <v>Rousseau Creek_Sockeye</v>
      </c>
      <c r="CF429" s="341" t="str">
        <f>IFERROR(VLOOKUP(BY429,'RawPL+D'!$O$8:$AB$503,12,FALSE),"-")</f>
        <v>-</v>
      </c>
      <c r="CG429" s="338" t="str">
        <f t="shared" si="185"/>
        <v>-</v>
      </c>
      <c r="CH429" s="341" t="str">
        <f>IFERROR(VLOOKUP(BY429,'RawPL+D'!$O$8:$AB$503,13,FALSE),"-")</f>
        <v>-</v>
      </c>
      <c r="CI429" s="338" t="str">
        <f t="shared" si="186"/>
        <v>-</v>
      </c>
    </row>
    <row r="430" spans="1:87" ht="12.75" hidden="1" customHeight="1" x14ac:dyDescent="0.2">
      <c r="A430" s="29">
        <v>3</v>
      </c>
      <c r="B430" s="29">
        <v>2</v>
      </c>
      <c r="C430" s="13">
        <v>23</v>
      </c>
      <c r="D430" s="13" t="s">
        <v>293</v>
      </c>
      <c r="E430" s="10" t="s">
        <v>597</v>
      </c>
      <c r="F430" s="10" t="s">
        <v>219</v>
      </c>
      <c r="G430" s="10"/>
      <c r="H430" s="10"/>
      <c r="I430" s="10"/>
      <c r="J430" s="10"/>
      <c r="K430" s="575"/>
      <c r="L430" s="152"/>
      <c r="M430" s="422"/>
      <c r="N430" s="339"/>
      <c r="O430" s="62"/>
      <c r="P430" s="424"/>
      <c r="Q430" s="171"/>
      <c r="R430" s="62"/>
      <c r="S430" s="339"/>
      <c r="T430" s="787">
        <f>160+3</f>
        <v>163</v>
      </c>
      <c r="U430" s="162"/>
      <c r="V430" s="421"/>
      <c r="W430" s="62"/>
      <c r="X430" s="63"/>
      <c r="Y430" s="431"/>
      <c r="Z430" s="64"/>
      <c r="AA430" s="478"/>
      <c r="AB430" s="62"/>
      <c r="AC430" s="62"/>
      <c r="AD430" s="64"/>
      <c r="AE430" s="164"/>
      <c r="AF430" s="62"/>
      <c r="AG430" s="62"/>
      <c r="AH430" s="337"/>
      <c r="AI430" s="337"/>
      <c r="AJ430" s="337"/>
      <c r="AK430" s="337"/>
      <c r="AL430" s="552"/>
      <c r="AM430" s="552"/>
      <c r="AN430" s="45"/>
      <c r="AO430" s="45"/>
      <c r="AP430" s="45"/>
      <c r="AQ430" s="396"/>
      <c r="AR430"/>
      <c r="AS430" s="485">
        <v>0</v>
      </c>
      <c r="AT430" s="100"/>
      <c r="AU430" s="100"/>
      <c r="AV430" s="100"/>
      <c r="AW430" s="18">
        <v>23</v>
      </c>
      <c r="AX430" s="69" t="s">
        <v>319</v>
      </c>
      <c r="AY430" s="243" t="s">
        <v>597</v>
      </c>
      <c r="AZ430" s="243" t="str">
        <f t="shared" si="168"/>
        <v>Coho</v>
      </c>
      <c r="BA430" s="243" t="s">
        <v>419</v>
      </c>
      <c r="BB430" s="244" t="s">
        <v>374</v>
      </c>
      <c r="BC430" s="43" t="str">
        <f t="shared" si="169"/>
        <v>Oct 22-28</v>
      </c>
      <c r="BD430" s="43">
        <f t="shared" si="191"/>
        <v>1</v>
      </c>
      <c r="BE430" s="193">
        <f t="shared" si="188"/>
        <v>163</v>
      </c>
      <c r="BF430" s="193">
        <f t="shared" si="170"/>
        <v>0</v>
      </c>
      <c r="BG430" s="193">
        <f t="shared" si="171"/>
        <v>0</v>
      </c>
      <c r="BH430" s="307">
        <f t="shared" si="189"/>
        <v>200</v>
      </c>
      <c r="BI430" s="265" t="str">
        <f>CC430</f>
        <v>-</v>
      </c>
      <c r="BJ430" s="26" t="str">
        <f t="shared" si="172"/>
        <v>Rousseau CreekCoho</v>
      </c>
      <c r="BK430" s="26">
        <f t="shared" si="173"/>
        <v>1</v>
      </c>
      <c r="BL430" s="33">
        <f t="shared" si="192"/>
        <v>163</v>
      </c>
      <c r="BQ430" s="47" t="str">
        <f t="shared" si="174"/>
        <v>Rousseau CreekCoho</v>
      </c>
      <c r="BR430" s="49">
        <f t="shared" si="175"/>
        <v>0</v>
      </c>
      <c r="BS430" s="49">
        <f t="shared" si="176"/>
        <v>0</v>
      </c>
      <c r="BT430" s="31">
        <v>1988</v>
      </c>
      <c r="BU430" s="188" t="str">
        <f t="shared" si="177"/>
        <v>HFN</v>
      </c>
      <c r="BV430" s="188" t="str">
        <f t="shared" si="178"/>
        <v xml:space="preserve"> </v>
      </c>
      <c r="BW430" s="188" t="str">
        <f t="shared" si="179"/>
        <v>Oct 22-28</v>
      </c>
      <c r="BX430" s="188" t="str">
        <f t="shared" si="180"/>
        <v xml:space="preserve"> </v>
      </c>
      <c r="BY430" s="50" t="str">
        <f t="shared" si="181"/>
        <v>Rousseau Creek_Coho</v>
      </c>
      <c r="BZ430" s="50" t="str">
        <f>IFERROR(VLOOKUP(BY430,'[1]WCVI Esc'!$C$5:$W$555,18,FALSE),"-")</f>
        <v>-</v>
      </c>
      <c r="CA430" s="50" t="str">
        <f t="shared" si="182"/>
        <v>-</v>
      </c>
      <c r="CB430" s="50" t="str">
        <f>IFERROR(VLOOKUP(BY430,'[1]WCVI Esc'!$C$5:$W$555,19,FALSE),"-")</f>
        <v>-</v>
      </c>
      <c r="CC430" s="50" t="str">
        <f t="shared" si="183"/>
        <v>-</v>
      </c>
      <c r="CE430" s="342" t="str">
        <f t="shared" si="193"/>
        <v>Rousseau Creek_Coho</v>
      </c>
      <c r="CF430" s="341">
        <f>IFERROR(VLOOKUP(CE430,'RawPL+D'!$O$8:$AB$503,12,FALSE),"-")</f>
        <v>199</v>
      </c>
      <c r="CG430" s="338">
        <f t="shared" si="185"/>
        <v>200</v>
      </c>
      <c r="CH430" s="341">
        <f>IFERROR(VLOOKUP(CE430,'RawPL+D'!$O$8:$AB$503,13,FALSE),"-")</f>
        <v>199</v>
      </c>
      <c r="CI430" s="338">
        <f t="shared" si="186"/>
        <v>200</v>
      </c>
    </row>
    <row r="431" spans="1:87" ht="12.75" hidden="1" customHeight="1" x14ac:dyDescent="0.2">
      <c r="A431" s="29">
        <v>3</v>
      </c>
      <c r="B431" s="29">
        <v>3</v>
      </c>
      <c r="C431" s="13">
        <v>23</v>
      </c>
      <c r="D431" s="148" t="s">
        <v>293</v>
      </c>
      <c r="E431" s="10" t="s">
        <v>597</v>
      </c>
      <c r="F431" s="10" t="s">
        <v>208</v>
      </c>
      <c r="G431" s="10"/>
      <c r="H431" s="10"/>
      <c r="I431" s="10"/>
      <c r="J431" s="10"/>
      <c r="K431" s="575"/>
      <c r="L431" s="152"/>
      <c r="M431" s="422"/>
      <c r="N431" s="339"/>
      <c r="O431" s="62"/>
      <c r="P431" s="424"/>
      <c r="Q431" s="171"/>
      <c r="R431" s="62"/>
      <c r="S431" s="339"/>
      <c r="T431" s="767">
        <v>0</v>
      </c>
      <c r="U431" s="162"/>
      <c r="V431" s="164"/>
      <c r="W431" s="62"/>
      <c r="X431" s="63"/>
      <c r="Y431" s="62"/>
      <c r="Z431" s="64"/>
      <c r="AA431" s="161"/>
      <c r="AB431" s="62"/>
      <c r="AC431" s="62"/>
      <c r="AD431" s="64"/>
      <c r="AE431" s="164"/>
      <c r="AF431" s="62"/>
      <c r="AG431" s="62"/>
      <c r="AH431" s="337"/>
      <c r="AI431" s="337"/>
      <c r="AJ431" s="337"/>
      <c r="AK431" s="337"/>
      <c r="AL431" s="552"/>
      <c r="AM431" s="552"/>
      <c r="AN431" s="45"/>
      <c r="AO431" s="45"/>
      <c r="AP431" s="45"/>
      <c r="AQ431" s="485"/>
      <c r="AR431"/>
      <c r="AS431" s="485"/>
      <c r="AT431" s="100"/>
      <c r="AU431" s="100"/>
      <c r="AV431" s="100"/>
      <c r="AW431" s="18">
        <v>23</v>
      </c>
      <c r="AX431" s="69" t="s">
        <v>319</v>
      </c>
      <c r="AY431" s="243" t="s">
        <v>597</v>
      </c>
      <c r="AZ431" s="243" t="str">
        <f t="shared" si="168"/>
        <v>Pink</v>
      </c>
      <c r="BA431" s="243" t="s">
        <v>419</v>
      </c>
      <c r="BB431" s="244" t="s">
        <v>374</v>
      </c>
      <c r="BC431" s="43" t="str">
        <f t="shared" si="169"/>
        <v>Oct 22-28</v>
      </c>
      <c r="BD431" s="43">
        <f t="shared" si="191"/>
        <v>1</v>
      </c>
      <c r="BE431" s="193">
        <f t="shared" si="188"/>
        <v>0</v>
      </c>
      <c r="BF431" s="193">
        <f t="shared" si="170"/>
        <v>0</v>
      </c>
      <c r="BG431" s="193">
        <f t="shared" si="171"/>
        <v>0</v>
      </c>
      <c r="BH431" s="307" t="str">
        <f t="shared" si="189"/>
        <v>-</v>
      </c>
      <c r="BI431" s="265"/>
      <c r="BJ431" s="26" t="str">
        <f t="shared" si="172"/>
        <v>Rousseau CreekPink</v>
      </c>
      <c r="BK431" s="26">
        <f t="shared" si="173"/>
        <v>1</v>
      </c>
      <c r="BL431" s="33">
        <f t="shared" si="192"/>
        <v>0</v>
      </c>
      <c r="BQ431" s="47" t="str">
        <f t="shared" si="174"/>
        <v>Rousseau CreekPink</v>
      </c>
      <c r="BR431" s="49">
        <f t="shared" si="175"/>
        <v>0</v>
      </c>
      <c r="BS431" s="49">
        <f t="shared" si="176"/>
        <v>0</v>
      </c>
      <c r="BT431" s="31">
        <v>0</v>
      </c>
      <c r="BU431" s="188" t="str">
        <f t="shared" si="177"/>
        <v>HFN</v>
      </c>
      <c r="BV431" s="188" t="str">
        <f t="shared" si="178"/>
        <v xml:space="preserve"> </v>
      </c>
      <c r="BW431" s="188" t="str">
        <f t="shared" si="179"/>
        <v>Oct 22-28</v>
      </c>
      <c r="BX431" s="188" t="str">
        <f t="shared" si="180"/>
        <v xml:space="preserve"> </v>
      </c>
      <c r="BY431" s="50" t="str">
        <f t="shared" si="181"/>
        <v>Rousseau Creek_Pink</v>
      </c>
      <c r="BZ431" s="50" t="str">
        <f>IFERROR(VLOOKUP(BY431,'[1]WCVI Esc'!$C$5:$W$555,18,FALSE),"-")</f>
        <v>-</v>
      </c>
      <c r="CA431" s="50" t="str">
        <f t="shared" si="182"/>
        <v>-</v>
      </c>
      <c r="CB431" s="50" t="str">
        <f>IFERROR(VLOOKUP(BY431,'[1]WCVI Esc'!$C$5:$W$555,19,FALSE),"-")</f>
        <v>-</v>
      </c>
      <c r="CC431" s="50" t="str">
        <f t="shared" si="183"/>
        <v>-</v>
      </c>
      <c r="CE431" s="342" t="str">
        <f t="shared" si="193"/>
        <v>Rousseau Creek_Pink</v>
      </c>
      <c r="CF431" s="341" t="str">
        <f>IFERROR(VLOOKUP(BY431,'RawPL+D'!$O$8:$AB$503,12,FALSE),"-")</f>
        <v>-</v>
      </c>
      <c r="CG431" s="338" t="str">
        <f t="shared" si="185"/>
        <v>-</v>
      </c>
      <c r="CH431" s="341" t="str">
        <f>IFERROR(VLOOKUP(BY431,'RawPL+D'!$O$8:$AB$503,13,FALSE),"-")</f>
        <v>-</v>
      </c>
      <c r="CI431" s="338" t="str">
        <f t="shared" si="186"/>
        <v>-</v>
      </c>
    </row>
    <row r="432" spans="1:87" ht="12.75" hidden="1" customHeight="1" x14ac:dyDescent="0.2">
      <c r="A432" s="29">
        <v>3</v>
      </c>
      <c r="B432" s="29">
        <v>4</v>
      </c>
      <c r="C432" s="13">
        <v>23</v>
      </c>
      <c r="D432" s="13" t="s">
        <v>293</v>
      </c>
      <c r="E432" s="10" t="s">
        <v>597</v>
      </c>
      <c r="F432" s="10" t="s">
        <v>209</v>
      </c>
      <c r="G432" s="10"/>
      <c r="H432" s="10"/>
      <c r="I432" s="10"/>
      <c r="J432" s="10"/>
      <c r="K432" s="575"/>
      <c r="L432" s="152"/>
      <c r="M432" s="422"/>
      <c r="N432" s="339"/>
      <c r="O432" s="62"/>
      <c r="P432" s="424"/>
      <c r="Q432" s="171"/>
      <c r="R432" s="62"/>
      <c r="S432" s="339"/>
      <c r="T432" s="767">
        <v>21</v>
      </c>
      <c r="U432" s="162"/>
      <c r="V432" s="164"/>
      <c r="W432" s="62"/>
      <c r="X432" s="63"/>
      <c r="Y432" s="62"/>
      <c r="Z432" s="64"/>
      <c r="AA432" s="161"/>
      <c r="AB432" s="62"/>
      <c r="AC432" s="62"/>
      <c r="AD432" s="64"/>
      <c r="AE432" s="164"/>
      <c r="AF432" s="62"/>
      <c r="AG432" s="62"/>
      <c r="AH432" s="337"/>
      <c r="AI432" s="337"/>
      <c r="AJ432" s="337"/>
      <c r="AK432" s="337"/>
      <c r="AL432" s="552"/>
      <c r="AM432" s="552"/>
      <c r="AN432" s="45"/>
      <c r="AO432" s="45"/>
      <c r="AP432" s="45"/>
      <c r="AQ432" s="396"/>
      <c r="AR432"/>
      <c r="AS432" s="485">
        <v>0</v>
      </c>
      <c r="AT432" s="100"/>
      <c r="AU432" s="100"/>
      <c r="AV432" s="100"/>
      <c r="AW432" s="18">
        <v>23</v>
      </c>
      <c r="AX432" s="69" t="s">
        <v>319</v>
      </c>
      <c r="AY432" s="243" t="s">
        <v>597</v>
      </c>
      <c r="AZ432" s="243" t="str">
        <f t="shared" si="168"/>
        <v>Chum</v>
      </c>
      <c r="BA432" s="243" t="s">
        <v>419</v>
      </c>
      <c r="BB432" s="244" t="s">
        <v>374</v>
      </c>
      <c r="BC432" s="43" t="str">
        <f t="shared" si="169"/>
        <v>Oct 22-28</v>
      </c>
      <c r="BD432" s="43">
        <f t="shared" si="191"/>
        <v>1</v>
      </c>
      <c r="BE432" s="193">
        <f t="shared" si="188"/>
        <v>21</v>
      </c>
      <c r="BF432" s="193">
        <f t="shared" si="170"/>
        <v>0</v>
      </c>
      <c r="BG432" s="193">
        <f t="shared" si="171"/>
        <v>0</v>
      </c>
      <c r="BH432" s="307">
        <f t="shared" si="189"/>
        <v>10</v>
      </c>
      <c r="BI432" s="265" t="str">
        <f>CC432</f>
        <v>-</v>
      </c>
      <c r="BJ432" s="26" t="str">
        <f t="shared" si="172"/>
        <v>Rousseau CreekChum</v>
      </c>
      <c r="BK432" s="26">
        <f t="shared" si="173"/>
        <v>1</v>
      </c>
      <c r="BL432" s="33">
        <f t="shared" si="192"/>
        <v>21</v>
      </c>
      <c r="BQ432" s="47" t="str">
        <f t="shared" si="174"/>
        <v>Rousseau CreekChum</v>
      </c>
      <c r="BR432" s="49">
        <f t="shared" si="175"/>
        <v>0</v>
      </c>
      <c r="BS432" s="49">
        <f t="shared" si="176"/>
        <v>0</v>
      </c>
      <c r="BT432" s="31">
        <v>1992</v>
      </c>
      <c r="BU432" s="188" t="str">
        <f t="shared" si="177"/>
        <v>HFN</v>
      </c>
      <c r="BV432" s="188" t="str">
        <f t="shared" si="178"/>
        <v xml:space="preserve"> </v>
      </c>
      <c r="BW432" s="188" t="str">
        <f t="shared" si="179"/>
        <v>Oct 22-28</v>
      </c>
      <c r="BX432" s="188" t="str">
        <f t="shared" si="180"/>
        <v xml:space="preserve"> </v>
      </c>
      <c r="BY432" s="50" t="str">
        <f t="shared" si="181"/>
        <v>Rousseau Creek_Chum</v>
      </c>
      <c r="BZ432" s="50" t="str">
        <f>IFERROR(VLOOKUP(BY432,'[1]WCVI Esc'!$C$5:$W$555,18,FALSE),"-")</f>
        <v>-</v>
      </c>
      <c r="CA432" s="50" t="str">
        <f t="shared" si="182"/>
        <v>-</v>
      </c>
      <c r="CB432" s="50" t="str">
        <f>IFERROR(VLOOKUP(BY432,'[1]WCVI Esc'!$C$5:$W$555,19,FALSE),"-")</f>
        <v>-</v>
      </c>
      <c r="CC432" s="50" t="str">
        <f t="shared" si="183"/>
        <v>-</v>
      </c>
      <c r="CE432" s="342" t="str">
        <f t="shared" si="193"/>
        <v>Rousseau Creek_Chum</v>
      </c>
      <c r="CF432" s="341">
        <f>IFERROR(VLOOKUP(CE432,'RawPL+D'!$O$8:$AB$503,12,FALSE),"-")</f>
        <v>14</v>
      </c>
      <c r="CG432" s="338">
        <f t="shared" si="185"/>
        <v>10</v>
      </c>
      <c r="CH432" s="341">
        <f>IFERROR(VLOOKUP(CE432,'RawPL+D'!$O$8:$AB$503,13,FALSE),"-")</f>
        <v>14</v>
      </c>
      <c r="CI432" s="338">
        <f t="shared" si="186"/>
        <v>10</v>
      </c>
    </row>
    <row r="433" spans="1:87" ht="12.75" hidden="1" customHeight="1" x14ac:dyDescent="0.2">
      <c r="A433" s="29">
        <v>3</v>
      </c>
      <c r="B433" s="29">
        <v>5</v>
      </c>
      <c r="C433" s="13">
        <v>23</v>
      </c>
      <c r="D433" s="148" t="s">
        <v>293</v>
      </c>
      <c r="E433" s="10" t="s">
        <v>597</v>
      </c>
      <c r="F433" s="10" t="s">
        <v>210</v>
      </c>
      <c r="G433" s="10"/>
      <c r="H433" s="10"/>
      <c r="I433" s="10"/>
      <c r="J433" s="10"/>
      <c r="K433" s="575"/>
      <c r="L433" s="152"/>
      <c r="M433" s="422"/>
      <c r="N433" s="339"/>
      <c r="O433" s="62"/>
      <c r="P433" s="424"/>
      <c r="Q433" s="171"/>
      <c r="R433" s="62"/>
      <c r="S433" s="339"/>
      <c r="T433" s="767">
        <v>0</v>
      </c>
      <c r="U433" s="162"/>
      <c r="V433" s="164"/>
      <c r="W433" s="62"/>
      <c r="X433" s="63"/>
      <c r="Y433" s="62"/>
      <c r="Z433" s="64"/>
      <c r="AA433" s="161"/>
      <c r="AB433" s="62"/>
      <c r="AC433" s="62"/>
      <c r="AD433" s="64"/>
      <c r="AE433" s="164"/>
      <c r="AF433" s="62"/>
      <c r="AG433" s="62"/>
      <c r="AH433" s="337"/>
      <c r="AI433" s="337"/>
      <c r="AJ433" s="337"/>
      <c r="AK433" s="337"/>
      <c r="AL433" s="552"/>
      <c r="AM433" s="552"/>
      <c r="AN433" s="45"/>
      <c r="AO433" s="45"/>
      <c r="AP433" s="45"/>
      <c r="AQ433" s="485"/>
      <c r="AR433"/>
      <c r="AS433" s="485"/>
      <c r="AT433" s="100"/>
      <c r="AU433" s="100"/>
      <c r="AV433" s="100"/>
      <c r="AW433" s="18">
        <v>23</v>
      </c>
      <c r="AX433" s="69" t="s">
        <v>319</v>
      </c>
      <c r="AY433" s="243" t="s">
        <v>597</v>
      </c>
      <c r="AZ433" s="243" t="str">
        <f t="shared" si="168"/>
        <v>Chinook</v>
      </c>
      <c r="BA433" s="243" t="s">
        <v>419</v>
      </c>
      <c r="BB433" s="244" t="s">
        <v>374</v>
      </c>
      <c r="BC433" s="43" t="str">
        <f t="shared" si="169"/>
        <v>Oct 22-28</v>
      </c>
      <c r="BD433" s="43">
        <f t="shared" si="191"/>
        <v>1</v>
      </c>
      <c r="BE433" s="193">
        <f t="shared" si="188"/>
        <v>0</v>
      </c>
      <c r="BF433" s="193">
        <f t="shared" si="170"/>
        <v>0</v>
      </c>
      <c r="BG433" s="193">
        <f t="shared" si="171"/>
        <v>0</v>
      </c>
      <c r="BH433" s="307" t="str">
        <f t="shared" si="189"/>
        <v>-</v>
      </c>
      <c r="BI433" s="265"/>
      <c r="BJ433" s="26" t="str">
        <f t="shared" si="172"/>
        <v>Rousseau CreekChinook</v>
      </c>
      <c r="BK433" s="26">
        <f t="shared" si="173"/>
        <v>1</v>
      </c>
      <c r="BL433" s="33">
        <f t="shared" si="192"/>
        <v>0</v>
      </c>
      <c r="BQ433" s="47" t="str">
        <f t="shared" si="174"/>
        <v>Rousseau CreekChinook</v>
      </c>
      <c r="BR433" s="49">
        <f t="shared" si="175"/>
        <v>0</v>
      </c>
      <c r="BS433" s="49">
        <f t="shared" si="176"/>
        <v>0</v>
      </c>
      <c r="BT433" s="31">
        <v>0</v>
      </c>
      <c r="BU433" s="188" t="str">
        <f t="shared" si="177"/>
        <v>HFN</v>
      </c>
      <c r="BV433" s="188" t="str">
        <f t="shared" si="178"/>
        <v xml:space="preserve"> </v>
      </c>
      <c r="BW433" s="188" t="str">
        <f t="shared" si="179"/>
        <v>Oct 22-28</v>
      </c>
      <c r="BX433" s="188" t="str">
        <f t="shared" si="180"/>
        <v xml:space="preserve"> </v>
      </c>
      <c r="BY433" s="50" t="str">
        <f t="shared" si="181"/>
        <v>Rousseau Creek_Chinook</v>
      </c>
      <c r="BZ433" s="50" t="str">
        <f>IFERROR(VLOOKUP(BY433,'[1]WCVI Esc'!$C$5:$W$555,18,FALSE),"-")</f>
        <v>-</v>
      </c>
      <c r="CA433" s="50" t="str">
        <f t="shared" si="182"/>
        <v>-</v>
      </c>
      <c r="CB433" s="50" t="str">
        <f>IFERROR(VLOOKUP(BY433,'[1]WCVI Esc'!$C$5:$W$555,19,FALSE),"-")</f>
        <v>-</v>
      </c>
      <c r="CC433" s="50" t="str">
        <f t="shared" si="183"/>
        <v>-</v>
      </c>
      <c r="CE433" s="342" t="str">
        <f t="shared" si="193"/>
        <v>Rousseau Creek_Chinook</v>
      </c>
      <c r="CF433" s="341" t="str">
        <f>IFERROR(VLOOKUP(BY433,'RawPL+D'!$O$8:$AB$503,12,FALSE),"-")</f>
        <v>-</v>
      </c>
      <c r="CG433" s="338" t="str">
        <f t="shared" si="185"/>
        <v>-</v>
      </c>
      <c r="CH433" s="341" t="str">
        <f>IFERROR(VLOOKUP(BY433,'RawPL+D'!$O$8:$AB$503,13,FALSE),"-")</f>
        <v>-</v>
      </c>
      <c r="CI433" s="338" t="str">
        <f t="shared" si="186"/>
        <v>-</v>
      </c>
    </row>
    <row r="434" spans="1:87" ht="12.75" hidden="1" customHeight="1" x14ac:dyDescent="0.2">
      <c r="A434" s="29">
        <v>3</v>
      </c>
      <c r="B434" s="29">
        <v>6</v>
      </c>
      <c r="C434" s="13">
        <v>23</v>
      </c>
      <c r="D434" s="148" t="s">
        <v>293</v>
      </c>
      <c r="E434" s="10" t="s">
        <v>597</v>
      </c>
      <c r="F434" s="10" t="s">
        <v>211</v>
      </c>
      <c r="G434" s="10"/>
      <c r="H434" s="10"/>
      <c r="I434" s="10"/>
      <c r="J434" s="10"/>
      <c r="K434" s="575"/>
      <c r="L434" s="152"/>
      <c r="M434" s="422"/>
      <c r="N434" s="339"/>
      <c r="O434" s="62"/>
      <c r="P434" s="424"/>
      <c r="Q434" s="171"/>
      <c r="R434" s="62"/>
      <c r="S434" s="339"/>
      <c r="T434" s="767">
        <v>0</v>
      </c>
      <c r="U434" s="162"/>
      <c r="V434" s="164"/>
      <c r="W434" s="62"/>
      <c r="X434" s="63"/>
      <c r="Y434" s="62"/>
      <c r="Z434" s="64"/>
      <c r="AA434" s="161"/>
      <c r="AB434" s="62"/>
      <c r="AC434" s="62"/>
      <c r="AD434" s="64"/>
      <c r="AE434" s="164"/>
      <c r="AF434" s="62"/>
      <c r="AG434" s="62"/>
      <c r="AH434" s="337"/>
      <c r="AI434" s="337"/>
      <c r="AJ434" s="337"/>
      <c r="AK434" s="337"/>
      <c r="AL434" s="552"/>
      <c r="AM434" s="552"/>
      <c r="AN434" s="45"/>
      <c r="AO434" s="45"/>
      <c r="AP434" s="45"/>
      <c r="AQ434" s="485"/>
      <c r="AR434"/>
      <c r="AS434" s="485"/>
      <c r="AT434" s="100"/>
      <c r="AU434" s="100"/>
      <c r="AV434" s="100"/>
      <c r="AW434" s="18">
        <v>23</v>
      </c>
      <c r="AX434" s="69" t="s">
        <v>319</v>
      </c>
      <c r="AY434" s="243" t="s">
        <v>597</v>
      </c>
      <c r="AZ434" s="243" t="str">
        <f t="shared" si="168"/>
        <v>Steelhead</v>
      </c>
      <c r="BA434" s="243" t="s">
        <v>419</v>
      </c>
      <c r="BB434" s="244" t="s">
        <v>374</v>
      </c>
      <c r="BC434" s="43" t="str">
        <f t="shared" si="169"/>
        <v>Oct 22-28</v>
      </c>
      <c r="BD434" s="43">
        <f t="shared" si="191"/>
        <v>1</v>
      </c>
      <c r="BE434" s="193">
        <f t="shared" si="188"/>
        <v>0</v>
      </c>
      <c r="BF434" s="193">
        <f t="shared" si="170"/>
        <v>0</v>
      </c>
      <c r="BG434" s="193">
        <f t="shared" si="171"/>
        <v>0</v>
      </c>
      <c r="BH434" s="307" t="str">
        <f t="shared" si="189"/>
        <v>-</v>
      </c>
      <c r="BI434" s="265" t="str">
        <f t="shared" ref="BI434:BI440" si="194">CC434</f>
        <v>-</v>
      </c>
      <c r="BJ434" s="26" t="str">
        <f t="shared" si="172"/>
        <v>Rousseau CreekSteelhead</v>
      </c>
      <c r="BK434" s="26">
        <f t="shared" si="173"/>
        <v>1</v>
      </c>
      <c r="BL434" s="33">
        <f t="shared" si="192"/>
        <v>0</v>
      </c>
      <c r="BQ434" s="47" t="str">
        <f t="shared" si="174"/>
        <v>Rousseau CreekSteelhead</v>
      </c>
      <c r="BR434" s="49">
        <f t="shared" si="175"/>
        <v>0</v>
      </c>
      <c r="BS434" s="49">
        <f t="shared" si="176"/>
        <v>0</v>
      </c>
      <c r="BT434" s="31">
        <v>0</v>
      </c>
      <c r="BU434" s="188" t="str">
        <f t="shared" si="177"/>
        <v>HFN</v>
      </c>
      <c r="BV434" s="188" t="str">
        <f t="shared" si="178"/>
        <v xml:space="preserve"> </v>
      </c>
      <c r="BW434" s="188" t="str">
        <f t="shared" si="179"/>
        <v>Oct 22-28</v>
      </c>
      <c r="BX434" s="188" t="str">
        <f t="shared" si="180"/>
        <v xml:space="preserve"> </v>
      </c>
      <c r="BY434" s="50" t="str">
        <f t="shared" si="181"/>
        <v>Rousseau Creek_Steelhead</v>
      </c>
      <c r="BZ434" s="50" t="str">
        <f>IFERROR(VLOOKUP(BY434,'[1]WCVI Esc'!$C$5:$W$555,18,FALSE),"-")</f>
        <v>-</v>
      </c>
      <c r="CA434" s="50" t="str">
        <f t="shared" si="182"/>
        <v>-</v>
      </c>
      <c r="CB434" s="50" t="str">
        <f>IFERROR(VLOOKUP(BY434,'[1]WCVI Esc'!$C$5:$W$555,19,FALSE),"-")</f>
        <v>-</v>
      </c>
      <c r="CC434" s="50" t="str">
        <f t="shared" si="183"/>
        <v>-</v>
      </c>
      <c r="CE434" s="342" t="str">
        <f t="shared" si="193"/>
        <v>Rousseau Creek_Steelhead</v>
      </c>
      <c r="CF434" s="341" t="str">
        <f>IFERROR(VLOOKUP(BY434,'RawPL+D'!$O$8:$AB$503,12,FALSE),"-")</f>
        <v>-</v>
      </c>
      <c r="CG434" s="338" t="str">
        <f t="shared" si="185"/>
        <v>-</v>
      </c>
      <c r="CH434" s="341" t="str">
        <f>IFERROR(VLOOKUP(BY434,'RawPL+D'!$O$8:$AB$503,13,FALSE),"-")</f>
        <v>-</v>
      </c>
      <c r="CI434" s="338" t="str">
        <f t="shared" si="186"/>
        <v>-</v>
      </c>
    </row>
    <row r="435" spans="1:87" ht="12.75" hidden="1" customHeight="1" x14ac:dyDescent="0.2">
      <c r="A435" s="29">
        <v>3</v>
      </c>
      <c r="B435" s="29">
        <v>1</v>
      </c>
      <c r="C435" s="13">
        <v>23</v>
      </c>
      <c r="D435" s="13" t="s">
        <v>295</v>
      </c>
      <c r="E435" s="10" t="s">
        <v>288</v>
      </c>
      <c r="F435" s="10" t="s">
        <v>207</v>
      </c>
      <c r="G435" s="10"/>
      <c r="H435" s="10"/>
      <c r="I435" s="10"/>
      <c r="J435" s="10"/>
      <c r="K435" s="575"/>
      <c r="L435" s="152"/>
      <c r="M435" s="422"/>
      <c r="N435" s="339"/>
      <c r="O435" s="642">
        <f>24+1</f>
        <v>25</v>
      </c>
      <c r="P435" s="177"/>
      <c r="Q435" s="683">
        <v>13</v>
      </c>
      <c r="R435" s="339"/>
      <c r="S435" s="339"/>
      <c r="T435" s="767">
        <v>0</v>
      </c>
      <c r="U435" s="162"/>
      <c r="V435" s="641">
        <v>0</v>
      </c>
      <c r="W435" s="62"/>
      <c r="X435" s="444"/>
      <c r="Y435" s="62"/>
      <c r="Z435" s="64"/>
      <c r="AA435" s="164"/>
      <c r="AB435" s="64"/>
      <c r="AC435" s="62"/>
      <c r="AD435" s="64"/>
      <c r="AE435" s="164"/>
      <c r="AF435" s="62"/>
      <c r="AG435" s="62"/>
      <c r="AH435" s="337">
        <v>28</v>
      </c>
      <c r="AI435" s="337">
        <v>3</v>
      </c>
      <c r="AJ435" s="337">
        <v>0</v>
      </c>
      <c r="AK435" s="337">
        <v>0</v>
      </c>
      <c r="AL435" s="552">
        <v>28</v>
      </c>
      <c r="AM435" s="552">
        <v>31</v>
      </c>
      <c r="AN435" s="552" t="s">
        <v>765</v>
      </c>
      <c r="AO435" s="552" t="s">
        <v>773</v>
      </c>
      <c r="AP435" s="44"/>
      <c r="AQ435" s="485">
        <f>AL435/BI435</f>
        <v>0.46666666666666667</v>
      </c>
      <c r="AR435" s="100">
        <f>BL435/BH435</f>
        <v>2.5</v>
      </c>
      <c r="AS435" s="485">
        <f>BL435/BI435</f>
        <v>0.41666666666666669</v>
      </c>
      <c r="AT435" s="123"/>
      <c r="AU435" s="123"/>
      <c r="AV435" s="123"/>
      <c r="AW435" s="69">
        <v>23</v>
      </c>
      <c r="AX435" s="69" t="s">
        <v>295</v>
      </c>
      <c r="AY435" s="243" t="s">
        <v>288</v>
      </c>
      <c r="AZ435" s="243" t="str">
        <f t="shared" si="168"/>
        <v>Sockeye</v>
      </c>
      <c r="BA435" s="243" t="s">
        <v>419</v>
      </c>
      <c r="BB435" s="244" t="s">
        <v>289</v>
      </c>
      <c r="BC435" s="43" t="str">
        <f t="shared" si="169"/>
        <v>Nov 5-11</v>
      </c>
      <c r="BD435" s="43">
        <f t="shared" si="191"/>
        <v>4</v>
      </c>
      <c r="BE435" s="193">
        <f t="shared" si="188"/>
        <v>25</v>
      </c>
      <c r="BF435" s="193">
        <f t="shared" si="170"/>
        <v>28</v>
      </c>
      <c r="BG435" s="193">
        <f t="shared" si="171"/>
        <v>28</v>
      </c>
      <c r="BH435" s="307">
        <f t="shared" si="189"/>
        <v>10</v>
      </c>
      <c r="BI435" s="265">
        <f t="shared" si="194"/>
        <v>60</v>
      </c>
      <c r="BJ435" s="26" t="str">
        <f t="shared" si="172"/>
        <v>TOQUAHT RIVERSockeye</v>
      </c>
      <c r="BK435" s="26">
        <f t="shared" si="173"/>
        <v>4</v>
      </c>
      <c r="BL435" s="33">
        <f t="shared" si="192"/>
        <v>25</v>
      </c>
      <c r="BP435" s="34"/>
      <c r="BQ435" s="47" t="str">
        <f t="shared" si="174"/>
        <v>TOQUAHT RIVERSockeye</v>
      </c>
      <c r="BR435" s="49">
        <f t="shared" si="175"/>
        <v>0</v>
      </c>
      <c r="BS435" s="49">
        <f t="shared" si="176"/>
        <v>28</v>
      </c>
      <c r="BT435" s="31">
        <v>2016</v>
      </c>
      <c r="BU435" s="188" t="str">
        <f t="shared" si="177"/>
        <v>TCES</v>
      </c>
      <c r="BV435" s="188" t="str">
        <f t="shared" si="178"/>
        <v>Oct 1-7</v>
      </c>
      <c r="BW435" s="188" t="str">
        <f t="shared" si="179"/>
        <v>Nov 5-11</v>
      </c>
      <c r="BX435" s="188" t="str">
        <f t="shared" si="180"/>
        <v xml:space="preserve"> </v>
      </c>
      <c r="BY435" s="50" t="str">
        <f t="shared" ref="BY435:BY440" si="195">CONCATENATE("Toquart River","_",F435)</f>
        <v>Toquart River_Sockeye</v>
      </c>
      <c r="BZ435" s="50">
        <f>IFERROR(VLOOKUP(BY435,'[1]WCVI Esc'!$C$5:$W$555,18,FALSE),"-")</f>
        <v>9.75</v>
      </c>
      <c r="CA435" s="50">
        <f t="shared" si="182"/>
        <v>10</v>
      </c>
      <c r="CB435" s="50">
        <f>IFERROR(VLOOKUP(BY435,'[1]WCVI Esc'!$C$5:$W$555,19,FALSE),"-")</f>
        <v>62.18181818181818</v>
      </c>
      <c r="CC435" s="50">
        <f t="shared" si="183"/>
        <v>60</v>
      </c>
      <c r="CE435" s="342" t="s">
        <v>670</v>
      </c>
      <c r="CF435" s="341">
        <f>IFERROR(VLOOKUP(CE435,'RawPL+D'!$O$8:$AB$503,12,FALSE),"-")</f>
        <v>17</v>
      </c>
      <c r="CG435" s="338">
        <f t="shared" si="185"/>
        <v>20</v>
      </c>
      <c r="CH435" s="341">
        <f>IFERROR(VLOOKUP(CE435,'RawPL+D'!$O$8:$AB$503,13,FALSE),"-")</f>
        <v>8.75</v>
      </c>
      <c r="CI435" s="338">
        <f t="shared" si="186"/>
        <v>10</v>
      </c>
    </row>
    <row r="436" spans="1:87" ht="12.75" hidden="1" customHeight="1" x14ac:dyDescent="0.2">
      <c r="A436" s="29">
        <v>3</v>
      </c>
      <c r="B436" s="29">
        <v>2</v>
      </c>
      <c r="C436" s="13">
        <v>23</v>
      </c>
      <c r="D436" s="13" t="s">
        <v>295</v>
      </c>
      <c r="E436" s="10" t="s">
        <v>288</v>
      </c>
      <c r="F436" s="10" t="s">
        <v>219</v>
      </c>
      <c r="G436" s="10"/>
      <c r="H436" s="10"/>
      <c r="I436" s="10"/>
      <c r="J436" s="10"/>
      <c r="K436" s="575"/>
      <c r="L436" s="152"/>
      <c r="M436" s="422"/>
      <c r="N436" s="339"/>
      <c r="O436" s="642">
        <v>303</v>
      </c>
      <c r="P436" s="177"/>
      <c r="Q436" s="683">
        <f>305+2</f>
        <v>307</v>
      </c>
      <c r="R436" s="339"/>
      <c r="S436" s="339"/>
      <c r="T436" s="767">
        <v>23</v>
      </c>
      <c r="U436" s="162"/>
      <c r="V436" s="648">
        <v>224</v>
      </c>
      <c r="W436" s="62"/>
      <c r="X436" s="483"/>
      <c r="Y436" s="431"/>
      <c r="Z436" s="392"/>
      <c r="AA436" s="164"/>
      <c r="AB436" s="391"/>
      <c r="AC436" s="62"/>
      <c r="AD436" s="64"/>
      <c r="AE436" s="164"/>
      <c r="AF436" s="62"/>
      <c r="AG436" s="62"/>
      <c r="AH436" s="337">
        <v>339</v>
      </c>
      <c r="AI436" s="337">
        <v>61</v>
      </c>
      <c r="AJ436" s="337">
        <v>0</v>
      </c>
      <c r="AK436" s="337">
        <v>0</v>
      </c>
      <c r="AL436" s="552">
        <v>339</v>
      </c>
      <c r="AM436" s="552">
        <v>400</v>
      </c>
      <c r="AN436" s="552" t="s">
        <v>765</v>
      </c>
      <c r="AO436" s="552" t="s">
        <v>773</v>
      </c>
      <c r="AP436" s="44"/>
      <c r="AQ436" s="485">
        <f>AL436/BI436</f>
        <v>0.50597014925373129</v>
      </c>
      <c r="AR436" s="100">
        <f>BL436/BH436</f>
        <v>0.53859649122807018</v>
      </c>
      <c r="AS436" s="485">
        <f>BL436/BI436</f>
        <v>0.45820895522388061</v>
      </c>
      <c r="AT436" s="123"/>
      <c r="AU436" s="123"/>
      <c r="AV436" s="123"/>
      <c r="AW436" s="69">
        <v>23</v>
      </c>
      <c r="AX436" s="69" t="s">
        <v>295</v>
      </c>
      <c r="AY436" s="243" t="s">
        <v>288</v>
      </c>
      <c r="AZ436" s="243" t="str">
        <f t="shared" si="168"/>
        <v>Coho</v>
      </c>
      <c r="BA436" s="243" t="s">
        <v>419</v>
      </c>
      <c r="BB436" s="244" t="s">
        <v>289</v>
      </c>
      <c r="BC436" s="43" t="str">
        <f t="shared" si="169"/>
        <v>Nov 5-11</v>
      </c>
      <c r="BD436" s="43">
        <f t="shared" si="191"/>
        <v>4</v>
      </c>
      <c r="BE436" s="193">
        <f t="shared" si="188"/>
        <v>307</v>
      </c>
      <c r="BF436" s="193">
        <f t="shared" si="170"/>
        <v>339</v>
      </c>
      <c r="BG436" s="193">
        <f t="shared" si="171"/>
        <v>339</v>
      </c>
      <c r="BH436" s="307">
        <f t="shared" si="189"/>
        <v>570</v>
      </c>
      <c r="BI436" s="265">
        <f t="shared" si="194"/>
        <v>670</v>
      </c>
      <c r="BJ436" s="26" t="str">
        <f t="shared" si="172"/>
        <v>TOQUAHT RIVERCoho</v>
      </c>
      <c r="BK436" s="26">
        <f t="shared" si="173"/>
        <v>4</v>
      </c>
      <c r="BL436" s="33">
        <f t="shared" si="192"/>
        <v>307</v>
      </c>
      <c r="BP436" s="34"/>
      <c r="BQ436" s="47" t="str">
        <f t="shared" si="174"/>
        <v>TOQUAHT RIVERCoho</v>
      </c>
      <c r="BR436" s="49">
        <f t="shared" si="175"/>
        <v>0</v>
      </c>
      <c r="BS436" s="49">
        <f t="shared" si="176"/>
        <v>339</v>
      </c>
      <c r="BT436" s="31">
        <v>2016</v>
      </c>
      <c r="BU436" s="188" t="str">
        <f t="shared" si="177"/>
        <v>TCES</v>
      </c>
      <c r="BV436" s="188" t="str">
        <f t="shared" si="178"/>
        <v>Oct 1-7</v>
      </c>
      <c r="BW436" s="188" t="str">
        <f t="shared" si="179"/>
        <v>Nov 5-11</v>
      </c>
      <c r="BX436" s="188" t="str">
        <f t="shared" si="180"/>
        <v xml:space="preserve"> </v>
      </c>
      <c r="BY436" s="50" t="str">
        <f t="shared" si="195"/>
        <v>Toquart River_Coho</v>
      </c>
      <c r="BZ436" s="50">
        <f>IFERROR(VLOOKUP(BY436,'[1]WCVI Esc'!$C$5:$W$555,18,FALSE),"-")</f>
        <v>631.25</v>
      </c>
      <c r="CA436" s="50">
        <f t="shared" si="182"/>
        <v>630</v>
      </c>
      <c r="CB436" s="50">
        <f>IFERROR(VLOOKUP(BY436,'[1]WCVI Esc'!$C$5:$W$555,19,FALSE),"-")</f>
        <v>667.81818181818187</v>
      </c>
      <c r="CC436" s="50">
        <f t="shared" si="183"/>
        <v>670</v>
      </c>
      <c r="CE436" s="342" t="s">
        <v>671</v>
      </c>
      <c r="CF436" s="341">
        <f>IFERROR(VLOOKUP(CE436,'RawPL+D'!$O$8:$AB$503,12,FALSE),"-")</f>
        <v>864</v>
      </c>
      <c r="CG436" s="338">
        <f t="shared" si="185"/>
        <v>860</v>
      </c>
      <c r="CH436" s="341">
        <f>IFERROR(VLOOKUP(CE436,'RawPL+D'!$O$8:$AB$503,13,FALSE),"-")</f>
        <v>568</v>
      </c>
      <c r="CI436" s="338">
        <f t="shared" si="186"/>
        <v>570</v>
      </c>
    </row>
    <row r="437" spans="1:87" ht="12.75" hidden="1" customHeight="1" x14ac:dyDescent="0.2">
      <c r="A437" s="29">
        <v>3</v>
      </c>
      <c r="B437" s="29">
        <v>3</v>
      </c>
      <c r="C437" s="13">
        <v>23</v>
      </c>
      <c r="D437" s="13" t="s">
        <v>295</v>
      </c>
      <c r="E437" s="10" t="s">
        <v>288</v>
      </c>
      <c r="F437" s="10" t="s">
        <v>208</v>
      </c>
      <c r="G437" s="10"/>
      <c r="H437" s="10"/>
      <c r="I437" s="10"/>
      <c r="J437" s="10"/>
      <c r="K437" s="575"/>
      <c r="L437" s="152"/>
      <c r="M437" s="422"/>
      <c r="N437" s="339"/>
      <c r="O437" s="642">
        <v>0</v>
      </c>
      <c r="P437" s="177"/>
      <c r="Q437" s="683">
        <v>0</v>
      </c>
      <c r="R437" s="339"/>
      <c r="S437" s="339"/>
      <c r="T437" s="767">
        <v>0</v>
      </c>
      <c r="U437" s="162"/>
      <c r="V437" s="641">
        <v>0</v>
      </c>
      <c r="W437" s="62"/>
      <c r="X437" s="444"/>
      <c r="Y437" s="62"/>
      <c r="Z437" s="64"/>
      <c r="AA437" s="164"/>
      <c r="AB437" s="64"/>
      <c r="AC437" s="62"/>
      <c r="AD437" s="64"/>
      <c r="AE437" s="164"/>
      <c r="AF437" s="62"/>
      <c r="AG437" s="62"/>
      <c r="AH437" s="337">
        <v>0</v>
      </c>
      <c r="AI437" s="337">
        <v>0</v>
      </c>
      <c r="AJ437" s="337">
        <v>0</v>
      </c>
      <c r="AK437" s="337">
        <v>0</v>
      </c>
      <c r="AL437" s="552">
        <v>0</v>
      </c>
      <c r="AM437" s="552">
        <v>0</v>
      </c>
      <c r="AN437" s="552" t="s">
        <v>765</v>
      </c>
      <c r="AO437" s="552" t="s">
        <v>773</v>
      </c>
      <c r="AP437" s="44"/>
      <c r="AQ437" s="485"/>
      <c r="AR437"/>
      <c r="AS437" s="485">
        <f>BL437/BI437</f>
        <v>0</v>
      </c>
      <c r="AT437" s="123"/>
      <c r="AU437" s="123"/>
      <c r="AV437" s="123"/>
      <c r="AW437" s="69">
        <v>23</v>
      </c>
      <c r="AX437" s="69" t="s">
        <v>295</v>
      </c>
      <c r="AY437" s="243" t="s">
        <v>288</v>
      </c>
      <c r="AZ437" s="243" t="str">
        <f t="shared" si="168"/>
        <v>Pink</v>
      </c>
      <c r="BA437" s="243" t="s">
        <v>419</v>
      </c>
      <c r="BB437" s="244" t="s">
        <v>289</v>
      </c>
      <c r="BC437" s="43" t="str">
        <f t="shared" si="169"/>
        <v>Nov 5-11</v>
      </c>
      <c r="BD437" s="43">
        <f t="shared" si="191"/>
        <v>4</v>
      </c>
      <c r="BE437" s="193">
        <f t="shared" si="188"/>
        <v>0</v>
      </c>
      <c r="BF437" s="193">
        <f t="shared" si="170"/>
        <v>0</v>
      </c>
      <c r="BG437" s="193">
        <f t="shared" si="171"/>
        <v>0</v>
      </c>
      <c r="BH437" s="307">
        <f t="shared" si="189"/>
        <v>0</v>
      </c>
      <c r="BI437" s="265">
        <f t="shared" si="194"/>
        <v>40</v>
      </c>
      <c r="BJ437" s="26" t="str">
        <f t="shared" si="172"/>
        <v>TOQUAHT RIVERPink</v>
      </c>
      <c r="BK437" s="26">
        <f t="shared" si="173"/>
        <v>4</v>
      </c>
      <c r="BL437" s="33">
        <f t="shared" si="192"/>
        <v>0</v>
      </c>
      <c r="BP437" s="34"/>
      <c r="BQ437" s="47" t="str">
        <f t="shared" si="174"/>
        <v>TOQUAHT RIVERPink</v>
      </c>
      <c r="BR437" s="49">
        <f t="shared" si="175"/>
        <v>0</v>
      </c>
      <c r="BS437" s="49">
        <f t="shared" si="176"/>
        <v>0</v>
      </c>
      <c r="BT437" s="31">
        <v>2016</v>
      </c>
      <c r="BU437" s="188" t="str">
        <f t="shared" si="177"/>
        <v>TCES</v>
      </c>
      <c r="BV437" s="188" t="str">
        <f t="shared" si="178"/>
        <v>Oct 1-7</v>
      </c>
      <c r="BW437" s="188" t="str">
        <f t="shared" si="179"/>
        <v>Nov 5-11</v>
      </c>
      <c r="BX437" s="188" t="str">
        <f t="shared" si="180"/>
        <v xml:space="preserve"> </v>
      </c>
      <c r="BY437" s="50" t="str">
        <f t="shared" si="195"/>
        <v>Toquart River_Pink</v>
      </c>
      <c r="BZ437" s="50" t="str">
        <f>IFERROR(VLOOKUP(BY437,'[1]WCVI Esc'!$C$5:$W$555,18,FALSE),"-")</f>
        <v>-</v>
      </c>
      <c r="CA437" s="50" t="str">
        <f t="shared" si="182"/>
        <v>-</v>
      </c>
      <c r="CB437" s="50">
        <f>IFERROR(VLOOKUP(BY437,'[1]WCVI Esc'!$C$5:$W$555,19,FALSE),"-")</f>
        <v>35</v>
      </c>
      <c r="CC437" s="50">
        <f t="shared" si="183"/>
        <v>40</v>
      </c>
      <c r="CE437" s="342" t="s">
        <v>672</v>
      </c>
      <c r="CF437" s="341">
        <f>IFERROR(VLOOKUP(CE437,'RawPL+D'!$O$8:$AB$503,12,FALSE),"-")</f>
        <v>0</v>
      </c>
      <c r="CG437" s="338">
        <f t="shared" si="185"/>
        <v>0</v>
      </c>
      <c r="CH437" s="341">
        <f>IFERROR(VLOOKUP(CE437,'RawPL+D'!$O$8:$AB$503,13,FALSE),"-")</f>
        <v>0</v>
      </c>
      <c r="CI437" s="338">
        <f t="shared" si="186"/>
        <v>0</v>
      </c>
    </row>
    <row r="438" spans="1:87" ht="12.75" hidden="1" customHeight="1" x14ac:dyDescent="0.2">
      <c r="A438" s="29">
        <v>3</v>
      </c>
      <c r="B438" s="29">
        <v>4</v>
      </c>
      <c r="C438" s="13">
        <v>23</v>
      </c>
      <c r="D438" s="13" t="s">
        <v>295</v>
      </c>
      <c r="E438" s="10" t="s">
        <v>288</v>
      </c>
      <c r="F438" s="10" t="s">
        <v>209</v>
      </c>
      <c r="G438" s="10"/>
      <c r="H438" s="10"/>
      <c r="I438" s="10"/>
      <c r="J438" s="10"/>
      <c r="K438" s="575"/>
      <c r="L438" s="152"/>
      <c r="M438" s="422"/>
      <c r="N438" s="339"/>
      <c r="O438" s="642">
        <v>37</v>
      </c>
      <c r="P438" s="177"/>
      <c r="Q438" s="685">
        <f>1303+7</f>
        <v>1310</v>
      </c>
      <c r="R438" s="554"/>
      <c r="S438" s="428"/>
      <c r="T438" s="768">
        <f>8048+1380</f>
        <v>9428</v>
      </c>
      <c r="U438" s="435"/>
      <c r="V438" s="641">
        <v>0</v>
      </c>
      <c r="W438" s="62"/>
      <c r="X438" s="484"/>
      <c r="Y438" s="62"/>
      <c r="Z438" s="64"/>
      <c r="AA438" s="164"/>
      <c r="AB438" s="64"/>
      <c r="AC438" s="62"/>
      <c r="AD438" s="64"/>
      <c r="AE438" s="164"/>
      <c r="AF438" s="62"/>
      <c r="AG438" s="62"/>
      <c r="AH438" s="337">
        <v>10497</v>
      </c>
      <c r="AI438" s="337">
        <v>0</v>
      </c>
      <c r="AJ438" s="337">
        <v>0</v>
      </c>
      <c r="AK438" s="337">
        <v>0</v>
      </c>
      <c r="AL438" s="552">
        <v>10497</v>
      </c>
      <c r="AM438" s="552">
        <v>10497</v>
      </c>
      <c r="AN438" s="552" t="s">
        <v>765</v>
      </c>
      <c r="AO438" s="552" t="s">
        <v>773</v>
      </c>
      <c r="AP438" s="44"/>
      <c r="AQ438" s="485">
        <f>AL438/BI438</f>
        <v>4.1820717131474101</v>
      </c>
      <c r="AR438" s="100">
        <f>BL438/BH438</f>
        <v>2.8227544910179643</v>
      </c>
      <c r="AS438" s="485">
        <f>BL438/BI438</f>
        <v>3.7561752988047807</v>
      </c>
      <c r="AT438" s="123"/>
      <c r="AU438" s="123"/>
      <c r="AV438" s="123"/>
      <c r="AW438" s="69">
        <v>23</v>
      </c>
      <c r="AX438" s="69" t="s">
        <v>295</v>
      </c>
      <c r="AY438" s="243" t="s">
        <v>288</v>
      </c>
      <c r="AZ438" s="243" t="str">
        <f t="shared" si="168"/>
        <v>Chum</v>
      </c>
      <c r="BA438" s="243" t="s">
        <v>419</v>
      </c>
      <c r="BB438" s="244" t="s">
        <v>289</v>
      </c>
      <c r="BC438" s="43" t="str">
        <f t="shared" si="169"/>
        <v>Nov 5-11</v>
      </c>
      <c r="BD438" s="43">
        <f t="shared" si="191"/>
        <v>4</v>
      </c>
      <c r="BE438" s="193">
        <f t="shared" si="188"/>
        <v>9428</v>
      </c>
      <c r="BF438" s="193">
        <f t="shared" si="170"/>
        <v>10497</v>
      </c>
      <c r="BG438" s="193">
        <f t="shared" si="171"/>
        <v>10497</v>
      </c>
      <c r="BH438" s="307">
        <f t="shared" si="189"/>
        <v>3340</v>
      </c>
      <c r="BI438" s="265">
        <f t="shared" si="194"/>
        <v>2510</v>
      </c>
      <c r="BJ438" s="26" t="str">
        <f t="shared" si="172"/>
        <v>TOQUAHT RIVERChum</v>
      </c>
      <c r="BK438" s="26">
        <f t="shared" si="173"/>
        <v>4</v>
      </c>
      <c r="BL438" s="33">
        <f t="shared" si="192"/>
        <v>9428</v>
      </c>
      <c r="BP438" s="34"/>
      <c r="BQ438" s="47" t="str">
        <f t="shared" si="174"/>
        <v>TOQUAHT RIVERChum</v>
      </c>
      <c r="BR438" s="49">
        <f t="shared" si="175"/>
        <v>0</v>
      </c>
      <c r="BS438" s="49">
        <f t="shared" si="176"/>
        <v>10497</v>
      </c>
      <c r="BT438" s="31">
        <v>2016</v>
      </c>
      <c r="BU438" s="188" t="str">
        <f t="shared" si="177"/>
        <v>TCES</v>
      </c>
      <c r="BV438" s="188" t="str">
        <f t="shared" si="178"/>
        <v>Oct 1-7</v>
      </c>
      <c r="BW438" s="188" t="str">
        <f t="shared" si="179"/>
        <v>Nov 5-11</v>
      </c>
      <c r="BX438" s="188" t="str">
        <f t="shared" si="180"/>
        <v xml:space="preserve"> </v>
      </c>
      <c r="BY438" s="50" t="str">
        <f t="shared" si="195"/>
        <v>Toquart River_Chum</v>
      </c>
      <c r="BZ438" s="50">
        <f>IFERROR(VLOOKUP(BY438,'[1]WCVI Esc'!$C$5:$W$555,18,FALSE),"-")</f>
        <v>3706.75</v>
      </c>
      <c r="CA438" s="50">
        <f t="shared" si="182"/>
        <v>3710</v>
      </c>
      <c r="CB438" s="50">
        <f>IFERROR(VLOOKUP(BY438,'[1]WCVI Esc'!$C$5:$W$555,19,FALSE),"-")</f>
        <v>2514.818181818182</v>
      </c>
      <c r="CC438" s="50">
        <f t="shared" si="183"/>
        <v>2510</v>
      </c>
      <c r="CE438" s="342" t="s">
        <v>673</v>
      </c>
      <c r="CF438" s="341">
        <f>IFERROR(VLOOKUP(CE438,'RawPL+D'!$O$8:$AB$503,12,FALSE),"-")</f>
        <v>5267</v>
      </c>
      <c r="CG438" s="338">
        <f t="shared" si="185"/>
        <v>5270</v>
      </c>
      <c r="CH438" s="341">
        <f>IFERROR(VLOOKUP(CE438,'RawPL+D'!$O$8:$AB$503,13,FALSE),"-")</f>
        <v>3336.25</v>
      </c>
      <c r="CI438" s="338">
        <f t="shared" si="186"/>
        <v>3340</v>
      </c>
    </row>
    <row r="439" spans="1:87" ht="12.75" hidden="1" customHeight="1" x14ac:dyDescent="0.2">
      <c r="A439" s="29">
        <v>3</v>
      </c>
      <c r="B439" s="29">
        <v>5</v>
      </c>
      <c r="C439" s="13">
        <v>23</v>
      </c>
      <c r="D439" s="13" t="s">
        <v>295</v>
      </c>
      <c r="E439" s="10" t="s">
        <v>288</v>
      </c>
      <c r="F439" s="10" t="s">
        <v>210</v>
      </c>
      <c r="G439" s="10"/>
      <c r="H439" s="10"/>
      <c r="I439" s="10"/>
      <c r="J439" s="10"/>
      <c r="K439" s="575"/>
      <c r="L439" s="152"/>
      <c r="M439" s="422"/>
      <c r="N439" s="339"/>
      <c r="O439" s="642">
        <v>72</v>
      </c>
      <c r="P439" s="177"/>
      <c r="Q439" s="684">
        <v>103</v>
      </c>
      <c r="R439" s="554"/>
      <c r="S439" s="339"/>
      <c r="T439" s="767">
        <f>6+3</f>
        <v>9</v>
      </c>
      <c r="U439" s="435"/>
      <c r="V439" s="641">
        <v>0</v>
      </c>
      <c r="W439" s="62"/>
      <c r="X439" s="444"/>
      <c r="Y439" s="62"/>
      <c r="Z439" s="64"/>
      <c r="AA439" s="164"/>
      <c r="AB439" s="64"/>
      <c r="AC439" s="62"/>
      <c r="AD439" s="64"/>
      <c r="AE439" s="164"/>
      <c r="AF439" s="62"/>
      <c r="AG439" s="62"/>
      <c r="AH439" s="337">
        <v>103</v>
      </c>
      <c r="AI439" s="337">
        <v>1</v>
      </c>
      <c r="AJ439" s="337">
        <v>15</v>
      </c>
      <c r="AK439" s="337">
        <v>0</v>
      </c>
      <c r="AL439" s="552">
        <v>118</v>
      </c>
      <c r="AM439" s="552">
        <v>119</v>
      </c>
      <c r="AN439" s="552" t="s">
        <v>765</v>
      </c>
      <c r="AO439" s="552" t="s">
        <v>775</v>
      </c>
      <c r="AP439" s="44"/>
      <c r="AQ439" s="485">
        <f>AL439/BI439</f>
        <v>0.73750000000000004</v>
      </c>
      <c r="AR439" s="100">
        <f>BL439/BH439</f>
        <v>2.5750000000000002</v>
      </c>
      <c r="AS439" s="485">
        <f>BL439/BI439</f>
        <v>0.64375000000000004</v>
      </c>
      <c r="AT439" s="123"/>
      <c r="AU439" s="123"/>
      <c r="AV439" s="123">
        <f>AL439</f>
        <v>118</v>
      </c>
      <c r="AW439" s="69">
        <v>23</v>
      </c>
      <c r="AX439" s="69" t="s">
        <v>295</v>
      </c>
      <c r="AY439" s="243" t="s">
        <v>288</v>
      </c>
      <c r="AZ439" s="243" t="str">
        <f t="shared" si="168"/>
        <v>Chinook</v>
      </c>
      <c r="BA439" s="243" t="s">
        <v>419</v>
      </c>
      <c r="BB439" s="244" t="s">
        <v>289</v>
      </c>
      <c r="BC439" s="43" t="str">
        <f t="shared" si="169"/>
        <v>Nov 5-11</v>
      </c>
      <c r="BD439" s="43">
        <f t="shared" si="191"/>
        <v>4</v>
      </c>
      <c r="BE439" s="193">
        <f t="shared" si="188"/>
        <v>103</v>
      </c>
      <c r="BF439" s="193">
        <f t="shared" si="170"/>
        <v>118</v>
      </c>
      <c r="BG439" s="193">
        <f t="shared" si="171"/>
        <v>103</v>
      </c>
      <c r="BH439" s="307">
        <f t="shared" si="189"/>
        <v>40</v>
      </c>
      <c r="BI439" s="265">
        <f t="shared" si="194"/>
        <v>160</v>
      </c>
      <c r="BJ439" s="26" t="str">
        <f t="shared" si="172"/>
        <v>TOQUAHT RIVERChinook</v>
      </c>
      <c r="BK439" s="26">
        <f t="shared" si="173"/>
        <v>4</v>
      </c>
      <c r="BL439" s="33">
        <f t="shared" si="192"/>
        <v>103</v>
      </c>
      <c r="BM439" s="34">
        <f>BL439*1.14</f>
        <v>117.41999999999999</v>
      </c>
      <c r="BN439" s="34">
        <f>BL439*2.88</f>
        <v>296.64</v>
      </c>
      <c r="BP439" s="34">
        <f>SUM(BM439:BN439)/2</f>
        <v>207.02999999999997</v>
      </c>
      <c r="BQ439" s="47" t="str">
        <f t="shared" si="174"/>
        <v>TOQUAHT RIVERChinook</v>
      </c>
      <c r="BR439" s="49">
        <f t="shared" si="175"/>
        <v>0</v>
      </c>
      <c r="BS439" s="49">
        <f t="shared" si="176"/>
        <v>118</v>
      </c>
      <c r="BT439" s="31">
        <v>2016</v>
      </c>
      <c r="BU439" s="188" t="str">
        <f t="shared" si="177"/>
        <v>TCES</v>
      </c>
      <c r="BV439" s="188" t="str">
        <f t="shared" si="178"/>
        <v>Oct 1-7</v>
      </c>
      <c r="BW439" s="188" t="str">
        <f t="shared" si="179"/>
        <v>Nov 5-11</v>
      </c>
      <c r="BX439" s="188" t="str">
        <f t="shared" si="180"/>
        <v xml:space="preserve"> </v>
      </c>
      <c r="BY439" s="50" t="str">
        <f t="shared" si="195"/>
        <v>Toquart River_Chinook</v>
      </c>
      <c r="BZ439" s="50">
        <f>IFERROR(VLOOKUP(BY439,'[1]WCVI Esc'!$C$5:$W$555,18,FALSE),"-")</f>
        <v>53.75</v>
      </c>
      <c r="CA439" s="50">
        <f t="shared" si="182"/>
        <v>50</v>
      </c>
      <c r="CB439" s="50">
        <f>IFERROR(VLOOKUP(BY439,'[1]WCVI Esc'!$C$5:$W$555,19,FALSE),"-")</f>
        <v>158.45454545454547</v>
      </c>
      <c r="CC439" s="50">
        <f t="shared" si="183"/>
        <v>160</v>
      </c>
      <c r="CE439" s="342" t="s">
        <v>674</v>
      </c>
      <c r="CF439" s="341">
        <f>IFERROR(VLOOKUP(CE439,'RawPL+D'!$O$8:$AB$503,12,FALSE),"-")</f>
        <v>19</v>
      </c>
      <c r="CG439" s="338">
        <f t="shared" si="185"/>
        <v>20</v>
      </c>
      <c r="CH439" s="341">
        <f>IFERROR(VLOOKUP(CE439,'RawPL+D'!$O$8:$AB$503,13,FALSE),"-")</f>
        <v>42.5</v>
      </c>
      <c r="CI439" s="338">
        <f t="shared" si="186"/>
        <v>40</v>
      </c>
    </row>
    <row r="440" spans="1:87" ht="12.75" hidden="1" customHeight="1" x14ac:dyDescent="0.2">
      <c r="A440" s="29">
        <v>3</v>
      </c>
      <c r="B440" s="29">
        <v>6</v>
      </c>
      <c r="C440" s="13">
        <v>23</v>
      </c>
      <c r="D440" s="13" t="s">
        <v>295</v>
      </c>
      <c r="E440" s="10" t="s">
        <v>288</v>
      </c>
      <c r="F440" s="10" t="s">
        <v>211</v>
      </c>
      <c r="G440" s="10"/>
      <c r="H440" s="10"/>
      <c r="I440" s="10"/>
      <c r="J440" s="10"/>
      <c r="K440" s="575"/>
      <c r="L440" s="152"/>
      <c r="M440" s="422"/>
      <c r="N440" s="339"/>
      <c r="O440" s="642">
        <v>1</v>
      </c>
      <c r="P440" s="177"/>
      <c r="Q440" s="683">
        <v>2</v>
      </c>
      <c r="R440" s="339"/>
      <c r="S440" s="339"/>
      <c r="T440" s="767">
        <v>0</v>
      </c>
      <c r="U440" s="162"/>
      <c r="V440" s="641">
        <v>24</v>
      </c>
      <c r="W440" s="62"/>
      <c r="X440" s="444"/>
      <c r="Y440" s="62"/>
      <c r="Z440" s="64"/>
      <c r="AA440" s="164"/>
      <c r="AB440" s="64"/>
      <c r="AC440" s="62"/>
      <c r="AD440" s="64"/>
      <c r="AE440" s="164"/>
      <c r="AF440" s="62"/>
      <c r="AG440" s="62"/>
      <c r="AH440" s="337"/>
      <c r="AI440" s="337"/>
      <c r="AJ440" s="337"/>
      <c r="AK440" s="337"/>
      <c r="AL440" s="552"/>
      <c r="AM440" s="552"/>
      <c r="AN440" s="45"/>
      <c r="AO440" s="45"/>
      <c r="AP440" s="44"/>
      <c r="AQ440" s="485"/>
      <c r="AR440" s="100"/>
      <c r="AS440" s="485"/>
      <c r="AT440" s="123"/>
      <c r="AU440" s="123"/>
      <c r="AV440" s="123"/>
      <c r="AW440" s="69">
        <v>23</v>
      </c>
      <c r="AX440" s="69" t="s">
        <v>295</v>
      </c>
      <c r="AY440" s="243" t="s">
        <v>288</v>
      </c>
      <c r="AZ440" s="243" t="str">
        <f t="shared" si="168"/>
        <v>Steelhead</v>
      </c>
      <c r="BA440" s="243" t="s">
        <v>419</v>
      </c>
      <c r="BB440" s="244" t="s">
        <v>289</v>
      </c>
      <c r="BC440" s="43" t="str">
        <f t="shared" si="169"/>
        <v>Nov 5-11</v>
      </c>
      <c r="BD440" s="43">
        <f t="shared" si="191"/>
        <v>4</v>
      </c>
      <c r="BE440" s="193">
        <f t="shared" si="188"/>
        <v>24</v>
      </c>
      <c r="BF440" s="193">
        <f t="shared" si="170"/>
        <v>0</v>
      </c>
      <c r="BG440" s="193">
        <f t="shared" si="171"/>
        <v>0</v>
      </c>
      <c r="BH440" s="307" t="str">
        <f t="shared" si="189"/>
        <v>-</v>
      </c>
      <c r="BI440" s="265" t="str">
        <f t="shared" si="194"/>
        <v>-</v>
      </c>
      <c r="BJ440" s="26" t="str">
        <f t="shared" si="172"/>
        <v>TOQUAHT RIVERSteelhead</v>
      </c>
      <c r="BK440" s="26">
        <f t="shared" si="173"/>
        <v>4</v>
      </c>
      <c r="BL440" s="33">
        <f t="shared" si="192"/>
        <v>24</v>
      </c>
      <c r="BP440" s="34"/>
      <c r="BQ440" s="47" t="str">
        <f t="shared" si="174"/>
        <v>TOQUAHT RIVERSteelhead</v>
      </c>
      <c r="BR440" s="49">
        <f t="shared" si="175"/>
        <v>0</v>
      </c>
      <c r="BS440" s="49">
        <f t="shared" si="176"/>
        <v>0</v>
      </c>
      <c r="BT440" s="31">
        <v>0</v>
      </c>
      <c r="BU440" s="188" t="str">
        <f t="shared" si="177"/>
        <v>TCES</v>
      </c>
      <c r="BV440" s="188" t="str">
        <f t="shared" si="178"/>
        <v>Oct 1-7</v>
      </c>
      <c r="BW440" s="188" t="str">
        <f t="shared" si="179"/>
        <v>Nov 5-11</v>
      </c>
      <c r="BX440" s="188" t="str">
        <f t="shared" si="180"/>
        <v xml:space="preserve"> </v>
      </c>
      <c r="BY440" s="50" t="str">
        <f t="shared" si="195"/>
        <v>Toquart River_Steelhead</v>
      </c>
      <c r="BZ440" s="50" t="str">
        <f>IFERROR(VLOOKUP(BY440,'[1]WCVI Esc'!$C$5:$W$555,18,FALSE),"-")</f>
        <v>-</v>
      </c>
      <c r="CA440" s="50" t="str">
        <f t="shared" si="182"/>
        <v>-</v>
      </c>
      <c r="CB440" s="50" t="str">
        <f>IFERROR(VLOOKUP(BY440,'[1]WCVI Esc'!$C$5:$W$555,19,FALSE),"-")</f>
        <v>-</v>
      </c>
      <c r="CC440" s="50" t="str">
        <f t="shared" si="183"/>
        <v>-</v>
      </c>
      <c r="CE440" s="342" t="str">
        <f t="shared" ref="CE440:CE503" si="196">CONCATENATE(E440,"_",F440)</f>
        <v>TOQUAHT RIVER_Steelhead</v>
      </c>
      <c r="CF440" s="341" t="str">
        <f>IFERROR(VLOOKUP(BY440,'RawPL+D'!$O$8:$AB$503,12,FALSE),"-")</f>
        <v>-</v>
      </c>
      <c r="CG440" s="338" t="str">
        <f t="shared" si="185"/>
        <v>-</v>
      </c>
      <c r="CH440" s="341" t="str">
        <f>IFERROR(VLOOKUP(BY440,'RawPL+D'!$O$8:$AB$503,13,FALSE),"-")</f>
        <v>-</v>
      </c>
      <c r="CI440" s="338" t="str">
        <f t="shared" si="186"/>
        <v>-</v>
      </c>
    </row>
    <row r="441" spans="1:87" ht="12.75" hidden="1" customHeight="1" x14ac:dyDescent="0.2">
      <c r="A441" s="28">
        <v>4</v>
      </c>
      <c r="B441" s="28">
        <v>1</v>
      </c>
      <c r="C441" s="11">
        <v>23</v>
      </c>
      <c r="D441" s="148" t="s">
        <v>295</v>
      </c>
      <c r="E441" s="10" t="s">
        <v>168</v>
      </c>
      <c r="F441" s="10" t="s">
        <v>207</v>
      </c>
      <c r="G441" s="10"/>
      <c r="H441" s="10"/>
      <c r="I441" s="10"/>
      <c r="J441" s="10"/>
      <c r="K441" s="575"/>
      <c r="L441" s="152"/>
      <c r="M441" s="164"/>
      <c r="N441" s="62"/>
      <c r="O441" s="62"/>
      <c r="P441" s="177"/>
      <c r="Q441" s="171"/>
      <c r="R441" s="62"/>
      <c r="S441" s="62"/>
      <c r="T441" s="724">
        <v>0</v>
      </c>
      <c r="U441" s="64"/>
      <c r="V441" s="794">
        <v>0</v>
      </c>
      <c r="W441" s="62"/>
      <c r="X441" s="62"/>
      <c r="Y441" s="62"/>
      <c r="Z441" s="64"/>
      <c r="AA441" s="164"/>
      <c r="AB441" s="62"/>
      <c r="AC441" s="62"/>
      <c r="AD441" s="64"/>
      <c r="AE441" s="164"/>
      <c r="AF441" s="62"/>
      <c r="AG441" s="62"/>
      <c r="AH441" s="337"/>
      <c r="AI441" s="337"/>
      <c r="AJ441" s="337"/>
      <c r="AK441" s="337"/>
      <c r="AL441" s="414"/>
      <c r="AM441" s="414"/>
      <c r="AN441" s="45"/>
      <c r="AO441" s="45"/>
      <c r="AP441" s="45"/>
      <c r="AQ441" s="485"/>
      <c r="AR441" s="100"/>
      <c r="AS441" s="485"/>
      <c r="AT441" s="100"/>
      <c r="AU441" s="100"/>
      <c r="AV441" s="100"/>
      <c r="AW441" s="18">
        <v>23</v>
      </c>
      <c r="AX441" s="69" t="s">
        <v>295</v>
      </c>
      <c r="AY441" s="243" t="s">
        <v>168</v>
      </c>
      <c r="AZ441" s="243" t="str">
        <f t="shared" si="168"/>
        <v>Sockeye</v>
      </c>
      <c r="BA441" s="243" t="s">
        <v>419</v>
      </c>
      <c r="BB441" s="244" t="s">
        <v>289</v>
      </c>
      <c r="BC441" s="43" t="str">
        <f t="shared" si="169"/>
        <v>Nov 5-11</v>
      </c>
      <c r="BD441" s="43">
        <f t="shared" si="191"/>
        <v>2</v>
      </c>
      <c r="BE441" s="193">
        <f t="shared" si="188"/>
        <v>0</v>
      </c>
      <c r="BF441" s="193">
        <f t="shared" si="170"/>
        <v>0</v>
      </c>
      <c r="BG441" s="193">
        <f t="shared" si="171"/>
        <v>0</v>
      </c>
      <c r="BH441" s="307" t="str">
        <f t="shared" si="189"/>
        <v>-</v>
      </c>
      <c r="BI441" s="265"/>
      <c r="BJ441" s="26" t="str">
        <f t="shared" si="172"/>
        <v>CAMPSITE CREEKSockeye</v>
      </c>
      <c r="BK441" s="26">
        <f t="shared" si="173"/>
        <v>2</v>
      </c>
      <c r="BL441" s="33">
        <f t="shared" si="192"/>
        <v>0</v>
      </c>
      <c r="BQ441" s="47" t="str">
        <f t="shared" si="174"/>
        <v>CAMPSITE CREEKSockeye</v>
      </c>
      <c r="BR441" s="49">
        <f t="shared" si="175"/>
        <v>0</v>
      </c>
      <c r="BS441" s="49">
        <f t="shared" si="176"/>
        <v>0</v>
      </c>
      <c r="BT441" s="31">
        <v>0</v>
      </c>
      <c r="BU441" s="188" t="str">
        <f t="shared" si="177"/>
        <v>TCES</v>
      </c>
      <c r="BV441" s="188" t="str">
        <f t="shared" si="178"/>
        <v xml:space="preserve"> </v>
      </c>
      <c r="BW441" s="188" t="str">
        <f t="shared" si="179"/>
        <v>Nov 5-11</v>
      </c>
      <c r="BX441" s="188" t="str">
        <f t="shared" si="180"/>
        <v xml:space="preserve"> </v>
      </c>
      <c r="BY441" s="50" t="str">
        <f t="shared" ref="BY441:BY482" si="197">CONCATENATE(E441,"_",F441)</f>
        <v>CAMPSITE CREEK_Sockeye</v>
      </c>
      <c r="BZ441" s="50" t="str">
        <f>IFERROR(VLOOKUP(BY441,'[1]WCVI Esc'!$C$5:$W$555,18,FALSE),"-")</f>
        <v>-</v>
      </c>
      <c r="CA441" s="50" t="str">
        <f t="shared" si="182"/>
        <v>-</v>
      </c>
      <c r="CB441" s="50" t="str">
        <f>IFERROR(VLOOKUP(BY441,'[1]WCVI Esc'!$C$5:$W$555,19,FALSE),"-")</f>
        <v>-</v>
      </c>
      <c r="CC441" s="50" t="str">
        <f t="shared" si="183"/>
        <v>-</v>
      </c>
      <c r="CE441" s="342" t="str">
        <f t="shared" si="196"/>
        <v>CAMPSITE CREEK_Sockeye</v>
      </c>
      <c r="CF441" s="341" t="str">
        <f>IFERROR(VLOOKUP(BY441,'RawPL+D'!$O$8:$AB$503,12,FALSE),"-")</f>
        <v>-</v>
      </c>
      <c r="CG441" s="338" t="str">
        <f t="shared" si="185"/>
        <v>-</v>
      </c>
      <c r="CH441" s="341" t="str">
        <f>IFERROR(VLOOKUP(BY441,'RawPL+D'!$O$8:$AB$503,13,FALSE),"-")</f>
        <v>-</v>
      </c>
      <c r="CI441" s="338" t="str">
        <f t="shared" si="186"/>
        <v>-</v>
      </c>
    </row>
    <row r="442" spans="1:87" ht="12.75" hidden="1" customHeight="1" x14ac:dyDescent="0.2">
      <c r="A442" s="28">
        <v>4</v>
      </c>
      <c r="B442" s="28">
        <v>2</v>
      </c>
      <c r="C442" s="11">
        <v>23</v>
      </c>
      <c r="D442" s="148" t="s">
        <v>295</v>
      </c>
      <c r="E442" s="10" t="s">
        <v>168</v>
      </c>
      <c r="F442" s="10" t="s">
        <v>219</v>
      </c>
      <c r="G442" s="10"/>
      <c r="H442" s="10"/>
      <c r="I442" s="10"/>
      <c r="J442" s="10"/>
      <c r="K442" s="575"/>
      <c r="L442" s="152"/>
      <c r="M442" s="164"/>
      <c r="N442" s="62"/>
      <c r="O442" s="62"/>
      <c r="P442" s="177"/>
      <c r="Q442" s="171"/>
      <c r="R442" s="62"/>
      <c r="S442" s="62"/>
      <c r="T442" s="726">
        <v>6</v>
      </c>
      <c r="U442" s="64"/>
      <c r="V442" s="794">
        <v>3</v>
      </c>
      <c r="W442" s="62"/>
      <c r="X442" s="62"/>
      <c r="Y442" s="62"/>
      <c r="Z442" s="64"/>
      <c r="AA442" s="164"/>
      <c r="AB442" s="62"/>
      <c r="AC442" s="62"/>
      <c r="AD442" s="64"/>
      <c r="AE442" s="164"/>
      <c r="AF442" s="62"/>
      <c r="AG442" s="62"/>
      <c r="AH442" s="337"/>
      <c r="AI442" s="337"/>
      <c r="AJ442" s="337"/>
      <c r="AK442" s="337"/>
      <c r="AL442" s="414"/>
      <c r="AM442" s="414"/>
      <c r="AN442" s="841"/>
      <c r="AO442" s="45"/>
      <c r="AP442" s="45"/>
      <c r="AQ442" s="485"/>
      <c r="AR442" s="100"/>
      <c r="AS442" s="485"/>
      <c r="AT442" s="100"/>
      <c r="AU442" s="100"/>
      <c r="AV442" s="100"/>
      <c r="AW442" s="18">
        <v>23</v>
      </c>
      <c r="AX442" s="69" t="s">
        <v>295</v>
      </c>
      <c r="AY442" s="243" t="s">
        <v>168</v>
      </c>
      <c r="AZ442" s="243" t="str">
        <f t="shared" si="168"/>
        <v>Coho</v>
      </c>
      <c r="BA442" s="243" t="s">
        <v>419</v>
      </c>
      <c r="BB442" s="244" t="s">
        <v>289</v>
      </c>
      <c r="BC442" s="43" t="str">
        <f t="shared" si="169"/>
        <v>Nov 5-11</v>
      </c>
      <c r="BD442" s="43">
        <f t="shared" si="191"/>
        <v>2</v>
      </c>
      <c r="BE442" s="193">
        <f t="shared" si="188"/>
        <v>6</v>
      </c>
      <c r="BF442" s="193">
        <f t="shared" si="170"/>
        <v>0</v>
      </c>
      <c r="BG442" s="193">
        <f t="shared" si="171"/>
        <v>0</v>
      </c>
      <c r="BH442" s="307" t="str">
        <f t="shared" si="189"/>
        <v>-</v>
      </c>
      <c r="BI442" s="311" t="s">
        <v>242</v>
      </c>
      <c r="BJ442" s="26" t="str">
        <f t="shared" si="172"/>
        <v>CAMPSITE CREEKCoho</v>
      </c>
      <c r="BK442" s="26">
        <f t="shared" si="173"/>
        <v>2</v>
      </c>
      <c r="BL442" s="33">
        <f t="shared" si="192"/>
        <v>6</v>
      </c>
      <c r="BQ442" s="47" t="str">
        <f t="shared" si="174"/>
        <v>CAMPSITE CREEKCoho</v>
      </c>
      <c r="BR442" s="49">
        <f t="shared" si="175"/>
        <v>0</v>
      </c>
      <c r="BS442" s="49">
        <f t="shared" si="176"/>
        <v>0</v>
      </c>
      <c r="BT442" s="31">
        <v>2013</v>
      </c>
      <c r="BU442" s="188" t="str">
        <f t="shared" si="177"/>
        <v>TCES</v>
      </c>
      <c r="BV442" s="188" t="str">
        <f t="shared" si="178"/>
        <v xml:space="preserve"> </v>
      </c>
      <c r="BW442" s="188" t="str">
        <f t="shared" si="179"/>
        <v>Nov 5-11</v>
      </c>
      <c r="BX442" s="188" t="str">
        <f t="shared" si="180"/>
        <v xml:space="preserve"> </v>
      </c>
      <c r="BY442" s="50" t="str">
        <f t="shared" si="197"/>
        <v>CAMPSITE CREEK_Coho</v>
      </c>
      <c r="BZ442" s="50" t="str">
        <f>IFERROR(VLOOKUP(BY442,'[1]WCVI Esc'!$C$5:$W$555,18,FALSE),"-")</f>
        <v>-</v>
      </c>
      <c r="CA442" s="50" t="str">
        <f t="shared" si="182"/>
        <v>-</v>
      </c>
      <c r="CB442" s="50" t="str">
        <f>IFERROR(VLOOKUP(BY442,'[1]WCVI Esc'!$C$5:$W$555,19,FALSE),"-")</f>
        <v>-</v>
      </c>
      <c r="CC442" s="50" t="str">
        <f t="shared" si="183"/>
        <v>-</v>
      </c>
      <c r="CE442" s="342" t="str">
        <f t="shared" si="196"/>
        <v>CAMPSITE CREEK_Coho</v>
      </c>
      <c r="CF442" s="341" t="str">
        <f>IFERROR(VLOOKUP(BY442,'RawPL+D'!$O$8:$AB$503,12,FALSE),"-")</f>
        <v>-</v>
      </c>
      <c r="CG442" s="338" t="str">
        <f t="shared" si="185"/>
        <v>-</v>
      </c>
      <c r="CH442" s="341" t="str">
        <f>IFERROR(VLOOKUP(BY442,'RawPL+D'!$O$8:$AB$503,13,FALSE),"-")</f>
        <v>-</v>
      </c>
      <c r="CI442" s="338" t="str">
        <f t="shared" si="186"/>
        <v>-</v>
      </c>
    </row>
    <row r="443" spans="1:87" ht="12.75" hidden="1" customHeight="1" x14ac:dyDescent="0.2">
      <c r="A443" s="28">
        <v>4</v>
      </c>
      <c r="B443" s="28">
        <v>3</v>
      </c>
      <c r="C443" s="11">
        <v>23</v>
      </c>
      <c r="D443" s="148" t="s">
        <v>295</v>
      </c>
      <c r="E443" s="10" t="s">
        <v>168</v>
      </c>
      <c r="F443" s="10" t="s">
        <v>208</v>
      </c>
      <c r="G443" s="10"/>
      <c r="H443" s="10"/>
      <c r="I443" s="10"/>
      <c r="J443" s="10"/>
      <c r="K443" s="575"/>
      <c r="L443" s="152"/>
      <c r="M443" s="164"/>
      <c r="N443" s="62"/>
      <c r="O443" s="62"/>
      <c r="P443" s="177"/>
      <c r="Q443" s="171"/>
      <c r="R443" s="62"/>
      <c r="S443" s="62"/>
      <c r="T443" s="724">
        <v>0</v>
      </c>
      <c r="U443" s="64"/>
      <c r="V443" s="794">
        <v>0</v>
      </c>
      <c r="W443" s="62"/>
      <c r="X443" s="62"/>
      <c r="Y443" s="62"/>
      <c r="Z443" s="64"/>
      <c r="AA443" s="164"/>
      <c r="AB443" s="62"/>
      <c r="AC443" s="62"/>
      <c r="AD443" s="64"/>
      <c r="AE443" s="164"/>
      <c r="AF443" s="62"/>
      <c r="AG443" s="62"/>
      <c r="AH443" s="337"/>
      <c r="AI443" s="337"/>
      <c r="AJ443" s="337"/>
      <c r="AK443" s="337"/>
      <c r="AL443" s="414"/>
      <c r="AM443" s="414"/>
      <c r="AN443" s="45"/>
      <c r="AO443" s="45"/>
      <c r="AP443" s="45"/>
      <c r="AQ443" s="485"/>
      <c r="AR443" s="100"/>
      <c r="AS443" s="485"/>
      <c r="AT443" s="100"/>
      <c r="AU443" s="100"/>
      <c r="AV443" s="100"/>
      <c r="AW443" s="18">
        <v>23</v>
      </c>
      <c r="AX443" s="69" t="s">
        <v>295</v>
      </c>
      <c r="AY443" s="243" t="s">
        <v>168</v>
      </c>
      <c r="AZ443" s="243" t="str">
        <f t="shared" si="168"/>
        <v>Pink</v>
      </c>
      <c r="BA443" s="243" t="s">
        <v>419</v>
      </c>
      <c r="BB443" s="244" t="s">
        <v>289</v>
      </c>
      <c r="BC443" s="43" t="str">
        <f t="shared" si="169"/>
        <v>Nov 5-11</v>
      </c>
      <c r="BD443" s="43">
        <f t="shared" si="191"/>
        <v>2</v>
      </c>
      <c r="BE443" s="193">
        <f t="shared" si="188"/>
        <v>0</v>
      </c>
      <c r="BF443" s="193">
        <f t="shared" si="170"/>
        <v>0</v>
      </c>
      <c r="BG443" s="193">
        <f t="shared" si="171"/>
        <v>0</v>
      </c>
      <c r="BH443" s="307" t="str">
        <f t="shared" si="189"/>
        <v>-</v>
      </c>
      <c r="BI443" s="265"/>
      <c r="BJ443" s="26" t="str">
        <f t="shared" si="172"/>
        <v>CAMPSITE CREEKPink</v>
      </c>
      <c r="BK443" s="26">
        <f t="shared" si="173"/>
        <v>2</v>
      </c>
      <c r="BL443" s="33">
        <f t="shared" si="192"/>
        <v>0</v>
      </c>
      <c r="BQ443" s="47" t="str">
        <f t="shared" si="174"/>
        <v>CAMPSITE CREEKPink</v>
      </c>
      <c r="BR443" s="49">
        <f t="shared" si="175"/>
        <v>0</v>
      </c>
      <c r="BS443" s="49">
        <f t="shared" si="176"/>
        <v>0</v>
      </c>
      <c r="BT443" s="31">
        <v>0</v>
      </c>
      <c r="BU443" s="188" t="str">
        <f t="shared" si="177"/>
        <v>TCES</v>
      </c>
      <c r="BV443" s="188" t="str">
        <f t="shared" si="178"/>
        <v xml:space="preserve"> </v>
      </c>
      <c r="BW443" s="188" t="str">
        <f t="shared" si="179"/>
        <v>Nov 5-11</v>
      </c>
      <c r="BX443" s="188" t="str">
        <f t="shared" si="180"/>
        <v xml:space="preserve"> </v>
      </c>
      <c r="BY443" s="50" t="str">
        <f t="shared" si="197"/>
        <v>CAMPSITE CREEK_Pink</v>
      </c>
      <c r="BZ443" s="50" t="str">
        <f>IFERROR(VLOOKUP(BY443,'[1]WCVI Esc'!$C$5:$W$555,18,FALSE),"-")</f>
        <v>-</v>
      </c>
      <c r="CA443" s="50" t="str">
        <f t="shared" si="182"/>
        <v>-</v>
      </c>
      <c r="CB443" s="50" t="str">
        <f>IFERROR(VLOOKUP(BY443,'[1]WCVI Esc'!$C$5:$W$555,19,FALSE),"-")</f>
        <v>-</v>
      </c>
      <c r="CC443" s="50" t="str">
        <f t="shared" si="183"/>
        <v>-</v>
      </c>
      <c r="CE443" s="342" t="str">
        <f t="shared" si="196"/>
        <v>CAMPSITE CREEK_Pink</v>
      </c>
      <c r="CF443" s="341" t="str">
        <f>IFERROR(VLOOKUP(BY443,'RawPL+D'!$O$8:$AB$503,12,FALSE),"-")</f>
        <v>-</v>
      </c>
      <c r="CG443" s="338" t="str">
        <f t="shared" si="185"/>
        <v>-</v>
      </c>
      <c r="CH443" s="341" t="str">
        <f>IFERROR(VLOOKUP(BY443,'RawPL+D'!$O$8:$AB$503,13,FALSE),"-")</f>
        <v>-</v>
      </c>
      <c r="CI443" s="338" t="str">
        <f t="shared" si="186"/>
        <v>-</v>
      </c>
    </row>
    <row r="444" spans="1:87" ht="12.75" hidden="1" customHeight="1" x14ac:dyDescent="0.2">
      <c r="A444" s="28">
        <v>4</v>
      </c>
      <c r="B444" s="28">
        <v>4</v>
      </c>
      <c r="C444" s="11">
        <v>23</v>
      </c>
      <c r="D444" s="148" t="s">
        <v>295</v>
      </c>
      <c r="E444" s="10" t="s">
        <v>168</v>
      </c>
      <c r="F444" s="10" t="s">
        <v>209</v>
      </c>
      <c r="G444" s="10"/>
      <c r="H444" s="10"/>
      <c r="I444" s="10"/>
      <c r="J444" s="10"/>
      <c r="K444" s="575"/>
      <c r="L444" s="152"/>
      <c r="M444" s="164"/>
      <c r="N444" s="62"/>
      <c r="O444" s="62"/>
      <c r="P444" s="177"/>
      <c r="Q444" s="171"/>
      <c r="R444" s="62"/>
      <c r="S444" s="62"/>
      <c r="T444" s="725">
        <f>23+1</f>
        <v>24</v>
      </c>
      <c r="U444" s="64"/>
      <c r="V444" s="794">
        <f>6+1</f>
        <v>7</v>
      </c>
      <c r="W444" s="62"/>
      <c r="X444" s="62"/>
      <c r="Y444" s="62"/>
      <c r="Z444" s="64"/>
      <c r="AA444" s="164"/>
      <c r="AB444" s="62"/>
      <c r="AC444" s="62"/>
      <c r="AD444" s="64"/>
      <c r="AE444" s="164"/>
      <c r="AF444" s="62"/>
      <c r="AG444" s="62"/>
      <c r="AH444" s="337"/>
      <c r="AI444" s="337"/>
      <c r="AJ444" s="337"/>
      <c r="AK444" s="337"/>
      <c r="AL444" s="414"/>
      <c r="AM444" s="414"/>
      <c r="AN444" s="841"/>
      <c r="AO444" s="45"/>
      <c r="AP444" s="45"/>
      <c r="AQ444" s="485"/>
      <c r="AR444" s="100"/>
      <c r="AS444" s="485"/>
      <c r="AT444" s="100"/>
      <c r="AU444" s="100"/>
      <c r="AV444" s="100"/>
      <c r="AW444" s="18">
        <v>23</v>
      </c>
      <c r="AX444" s="69" t="s">
        <v>295</v>
      </c>
      <c r="AY444" s="243" t="s">
        <v>168</v>
      </c>
      <c r="AZ444" s="243" t="str">
        <f t="shared" si="168"/>
        <v>Chum</v>
      </c>
      <c r="BA444" s="243" t="s">
        <v>419</v>
      </c>
      <c r="BB444" s="244" t="s">
        <v>289</v>
      </c>
      <c r="BC444" s="43" t="str">
        <f t="shared" si="169"/>
        <v>Nov 5-11</v>
      </c>
      <c r="BD444" s="43">
        <f t="shared" si="191"/>
        <v>2</v>
      </c>
      <c r="BE444" s="193">
        <f t="shared" si="188"/>
        <v>24</v>
      </c>
      <c r="BF444" s="193">
        <f t="shared" si="170"/>
        <v>0</v>
      </c>
      <c r="BG444" s="193">
        <f t="shared" si="171"/>
        <v>0</v>
      </c>
      <c r="BH444" s="307" t="str">
        <f t="shared" si="189"/>
        <v>-</v>
      </c>
      <c r="BI444" s="265" t="str">
        <f>CC444</f>
        <v>-</v>
      </c>
      <c r="BJ444" s="26" t="str">
        <f t="shared" si="172"/>
        <v>CAMPSITE CREEKChum</v>
      </c>
      <c r="BK444" s="26">
        <f t="shared" si="173"/>
        <v>2</v>
      </c>
      <c r="BL444" s="33">
        <f t="shared" si="192"/>
        <v>24</v>
      </c>
      <c r="BQ444" s="47" t="str">
        <f t="shared" si="174"/>
        <v>CAMPSITE CREEKChum</v>
      </c>
      <c r="BR444" s="49">
        <f t="shared" si="175"/>
        <v>0</v>
      </c>
      <c r="BS444" s="49">
        <f t="shared" si="176"/>
        <v>0</v>
      </c>
      <c r="BT444" s="31">
        <v>2013</v>
      </c>
      <c r="BU444" s="188" t="str">
        <f t="shared" si="177"/>
        <v>TCES</v>
      </c>
      <c r="BV444" s="188" t="str">
        <f t="shared" si="178"/>
        <v xml:space="preserve"> </v>
      </c>
      <c r="BW444" s="188" t="str">
        <f t="shared" si="179"/>
        <v>Nov 5-11</v>
      </c>
      <c r="BX444" s="188" t="str">
        <f t="shared" si="180"/>
        <v xml:space="preserve"> </v>
      </c>
      <c r="BY444" s="50" t="str">
        <f t="shared" si="197"/>
        <v>CAMPSITE CREEK_Chum</v>
      </c>
      <c r="BZ444" s="50" t="str">
        <f>IFERROR(VLOOKUP(BY444,'[1]WCVI Esc'!$C$5:$W$555,18,FALSE),"-")</f>
        <v>-</v>
      </c>
      <c r="CA444" s="50" t="str">
        <f t="shared" si="182"/>
        <v>-</v>
      </c>
      <c r="CB444" s="50" t="str">
        <f>IFERROR(VLOOKUP(BY444,'[1]WCVI Esc'!$C$5:$W$555,19,FALSE),"-")</f>
        <v>-</v>
      </c>
      <c r="CC444" s="50" t="str">
        <f t="shared" si="183"/>
        <v>-</v>
      </c>
      <c r="CE444" s="342" t="str">
        <f t="shared" si="196"/>
        <v>CAMPSITE CREEK_Chum</v>
      </c>
      <c r="CF444" s="341" t="str">
        <f>IFERROR(VLOOKUP(BY444,'RawPL+D'!$O$8:$AB$503,12,FALSE),"-")</f>
        <v>-</v>
      </c>
      <c r="CG444" s="338" t="str">
        <f t="shared" si="185"/>
        <v>-</v>
      </c>
      <c r="CH444" s="341" t="str">
        <f>IFERROR(VLOOKUP(BY444,'RawPL+D'!$O$8:$AB$503,13,FALSE),"-")</f>
        <v>-</v>
      </c>
      <c r="CI444" s="338" t="str">
        <f t="shared" si="186"/>
        <v>-</v>
      </c>
    </row>
    <row r="445" spans="1:87" ht="12.75" hidden="1" customHeight="1" x14ac:dyDescent="0.2">
      <c r="A445" s="28">
        <v>4</v>
      </c>
      <c r="B445" s="28">
        <v>5</v>
      </c>
      <c r="C445" s="11">
        <v>23</v>
      </c>
      <c r="D445" s="148" t="s">
        <v>295</v>
      </c>
      <c r="E445" s="10" t="s">
        <v>168</v>
      </c>
      <c r="F445" s="10" t="s">
        <v>210</v>
      </c>
      <c r="G445" s="10"/>
      <c r="H445" s="10"/>
      <c r="I445" s="10"/>
      <c r="J445" s="10"/>
      <c r="K445" s="575"/>
      <c r="L445" s="152"/>
      <c r="M445" s="164"/>
      <c r="N445" s="62"/>
      <c r="O445" s="62"/>
      <c r="P445" s="177"/>
      <c r="Q445" s="171"/>
      <c r="R445" s="62"/>
      <c r="S445" s="62"/>
      <c r="T445" s="724">
        <v>0</v>
      </c>
      <c r="U445" s="64"/>
      <c r="V445" s="794">
        <v>0</v>
      </c>
      <c r="W445" s="62"/>
      <c r="X445" s="62"/>
      <c r="Y445" s="62"/>
      <c r="Z445" s="64"/>
      <c r="AA445" s="164"/>
      <c r="AB445" s="62"/>
      <c r="AC445" s="62"/>
      <c r="AD445" s="64"/>
      <c r="AE445" s="164"/>
      <c r="AF445" s="62"/>
      <c r="AG445" s="62"/>
      <c r="AH445" s="337"/>
      <c r="AI445" s="337"/>
      <c r="AJ445" s="337"/>
      <c r="AK445" s="337"/>
      <c r="AL445" s="414"/>
      <c r="AM445" s="414"/>
      <c r="AN445" s="45"/>
      <c r="AO445" s="45"/>
      <c r="AP445" s="45"/>
      <c r="AQ445" s="485"/>
      <c r="AR445" s="100"/>
      <c r="AS445" s="485"/>
      <c r="AT445" s="100"/>
      <c r="AU445" s="100"/>
      <c r="AV445" s="100"/>
      <c r="AW445" s="18">
        <v>23</v>
      </c>
      <c r="AX445" s="69" t="s">
        <v>295</v>
      </c>
      <c r="AY445" s="243" t="s">
        <v>168</v>
      </c>
      <c r="AZ445" s="243" t="str">
        <f t="shared" si="168"/>
        <v>Chinook</v>
      </c>
      <c r="BA445" s="243" t="s">
        <v>419</v>
      </c>
      <c r="BB445" s="244" t="s">
        <v>289</v>
      </c>
      <c r="BC445" s="43" t="str">
        <f t="shared" si="169"/>
        <v>Nov 5-11</v>
      </c>
      <c r="BD445" s="43">
        <f t="shared" si="191"/>
        <v>2</v>
      </c>
      <c r="BE445" s="193">
        <f t="shared" si="188"/>
        <v>0</v>
      </c>
      <c r="BF445" s="193">
        <f t="shared" si="170"/>
        <v>0</v>
      </c>
      <c r="BG445" s="193">
        <f t="shared" si="171"/>
        <v>0</v>
      </c>
      <c r="BH445" s="307" t="str">
        <f t="shared" si="189"/>
        <v>-</v>
      </c>
      <c r="BI445" s="265"/>
      <c r="BJ445" s="26" t="str">
        <f t="shared" si="172"/>
        <v>CAMPSITE CREEKChinook</v>
      </c>
      <c r="BK445" s="26">
        <f t="shared" si="173"/>
        <v>2</v>
      </c>
      <c r="BL445" s="33">
        <f t="shared" si="192"/>
        <v>0</v>
      </c>
      <c r="BQ445" s="47" t="str">
        <f t="shared" si="174"/>
        <v>CAMPSITE CREEKChinook</v>
      </c>
      <c r="BR445" s="49">
        <f t="shared" si="175"/>
        <v>0</v>
      </c>
      <c r="BS445" s="49">
        <f t="shared" si="176"/>
        <v>0</v>
      </c>
      <c r="BT445" s="31">
        <v>0</v>
      </c>
      <c r="BU445" s="188" t="str">
        <f t="shared" si="177"/>
        <v>TCES</v>
      </c>
      <c r="BV445" s="188" t="str">
        <f t="shared" si="178"/>
        <v xml:space="preserve"> </v>
      </c>
      <c r="BW445" s="188" t="str">
        <f t="shared" si="179"/>
        <v>Nov 5-11</v>
      </c>
      <c r="BX445" s="188" t="str">
        <f t="shared" si="180"/>
        <v xml:space="preserve"> </v>
      </c>
      <c r="BY445" s="50" t="str">
        <f t="shared" si="197"/>
        <v>CAMPSITE CREEK_Chinook</v>
      </c>
      <c r="BZ445" s="50" t="str">
        <f>IFERROR(VLOOKUP(BY445,'[1]WCVI Esc'!$C$5:$W$555,18,FALSE),"-")</f>
        <v>-</v>
      </c>
      <c r="CA445" s="50" t="str">
        <f t="shared" si="182"/>
        <v>-</v>
      </c>
      <c r="CB445" s="50" t="str">
        <f>IFERROR(VLOOKUP(BY445,'[1]WCVI Esc'!$C$5:$W$555,19,FALSE),"-")</f>
        <v>-</v>
      </c>
      <c r="CC445" s="50" t="str">
        <f t="shared" si="183"/>
        <v>-</v>
      </c>
      <c r="CE445" s="342" t="str">
        <f t="shared" si="196"/>
        <v>CAMPSITE CREEK_Chinook</v>
      </c>
      <c r="CF445" s="341" t="str">
        <f>IFERROR(VLOOKUP(BY445,'RawPL+D'!$O$8:$AB$503,12,FALSE),"-")</f>
        <v>-</v>
      </c>
      <c r="CG445" s="338" t="str">
        <f t="shared" si="185"/>
        <v>-</v>
      </c>
      <c r="CH445" s="341" t="str">
        <f>IFERROR(VLOOKUP(BY445,'RawPL+D'!$O$8:$AB$503,13,FALSE),"-")</f>
        <v>-</v>
      </c>
      <c r="CI445" s="338" t="str">
        <f t="shared" si="186"/>
        <v>-</v>
      </c>
    </row>
    <row r="446" spans="1:87" ht="12.75" hidden="1" customHeight="1" x14ac:dyDescent="0.2">
      <c r="A446" s="28">
        <v>4</v>
      </c>
      <c r="B446" s="28">
        <v>6</v>
      </c>
      <c r="C446" s="11">
        <v>23</v>
      </c>
      <c r="D446" s="148" t="s">
        <v>295</v>
      </c>
      <c r="E446" s="10" t="s">
        <v>168</v>
      </c>
      <c r="F446" s="10" t="s">
        <v>211</v>
      </c>
      <c r="G446" s="10"/>
      <c r="H446" s="10"/>
      <c r="I446" s="10"/>
      <c r="J446" s="10"/>
      <c r="K446" s="575"/>
      <c r="L446" s="152"/>
      <c r="M446" s="164"/>
      <c r="N446" s="62"/>
      <c r="O446" s="62"/>
      <c r="P446" s="177"/>
      <c r="Q446" s="171"/>
      <c r="R446" s="62"/>
      <c r="S446" s="62"/>
      <c r="T446" s="724">
        <v>0</v>
      </c>
      <c r="U446" s="64"/>
      <c r="V446" s="794">
        <v>0</v>
      </c>
      <c r="W446" s="62"/>
      <c r="X446" s="62"/>
      <c r="Y446" s="62"/>
      <c r="Z446" s="64"/>
      <c r="AA446" s="164"/>
      <c r="AB446" s="62"/>
      <c r="AC446" s="62"/>
      <c r="AD446" s="64"/>
      <c r="AE446" s="164"/>
      <c r="AF446" s="62"/>
      <c r="AG446" s="62"/>
      <c r="AH446" s="337"/>
      <c r="AI446" s="337"/>
      <c r="AJ446" s="337"/>
      <c r="AK446" s="337"/>
      <c r="AL446" s="414"/>
      <c r="AM446" s="414"/>
      <c r="AN446" s="45"/>
      <c r="AO446" s="45"/>
      <c r="AP446" s="45"/>
      <c r="AQ446" s="485"/>
      <c r="AR446" s="100"/>
      <c r="AS446" s="485"/>
      <c r="AT446" s="100"/>
      <c r="AU446" s="100"/>
      <c r="AV446" s="100"/>
      <c r="AW446" s="18">
        <v>23</v>
      </c>
      <c r="AX446" s="69" t="s">
        <v>295</v>
      </c>
      <c r="AY446" s="243" t="s">
        <v>168</v>
      </c>
      <c r="AZ446" s="243" t="str">
        <f t="shared" si="168"/>
        <v>Steelhead</v>
      </c>
      <c r="BA446" s="243" t="s">
        <v>419</v>
      </c>
      <c r="BB446" s="244" t="s">
        <v>289</v>
      </c>
      <c r="BC446" s="43" t="str">
        <f t="shared" si="169"/>
        <v>Nov 5-11</v>
      </c>
      <c r="BD446" s="43">
        <f t="shared" si="191"/>
        <v>2</v>
      </c>
      <c r="BE446" s="193">
        <f t="shared" si="188"/>
        <v>0</v>
      </c>
      <c r="BF446" s="193">
        <f t="shared" si="170"/>
        <v>0</v>
      </c>
      <c r="BG446" s="193">
        <f t="shared" si="171"/>
        <v>0</v>
      </c>
      <c r="BH446" s="307" t="str">
        <f t="shared" si="189"/>
        <v>-</v>
      </c>
      <c r="BI446" s="265" t="str">
        <f t="shared" ref="BI446:BI458" si="198">CC446</f>
        <v>-</v>
      </c>
      <c r="BJ446" s="26" t="str">
        <f t="shared" si="172"/>
        <v>CAMPSITE CREEKSteelhead</v>
      </c>
      <c r="BK446" s="26">
        <f t="shared" si="173"/>
        <v>2</v>
      </c>
      <c r="BL446" s="33">
        <f t="shared" si="192"/>
        <v>0</v>
      </c>
      <c r="BQ446" s="47" t="str">
        <f t="shared" si="174"/>
        <v>CAMPSITE CREEKSteelhead</v>
      </c>
      <c r="BR446" s="49">
        <f t="shared" si="175"/>
        <v>0</v>
      </c>
      <c r="BS446" s="49">
        <f t="shared" si="176"/>
        <v>0</v>
      </c>
      <c r="BT446" s="31">
        <v>0</v>
      </c>
      <c r="BU446" s="188" t="str">
        <f t="shared" si="177"/>
        <v>TCES</v>
      </c>
      <c r="BV446" s="188" t="str">
        <f t="shared" si="178"/>
        <v xml:space="preserve"> </v>
      </c>
      <c r="BW446" s="188" t="str">
        <f t="shared" si="179"/>
        <v>Nov 5-11</v>
      </c>
      <c r="BX446" s="188" t="str">
        <f t="shared" si="180"/>
        <v xml:space="preserve"> </v>
      </c>
      <c r="BY446" s="50" t="str">
        <f t="shared" si="197"/>
        <v>CAMPSITE CREEK_Steelhead</v>
      </c>
      <c r="BZ446" s="50" t="str">
        <f>IFERROR(VLOOKUP(BY446,'[1]WCVI Esc'!$C$5:$W$555,18,FALSE),"-")</f>
        <v>-</v>
      </c>
      <c r="CA446" s="50" t="str">
        <f t="shared" si="182"/>
        <v>-</v>
      </c>
      <c r="CB446" s="50" t="str">
        <f>IFERROR(VLOOKUP(BY446,'[1]WCVI Esc'!$C$5:$W$555,19,FALSE),"-")</f>
        <v>-</v>
      </c>
      <c r="CC446" s="50" t="str">
        <f t="shared" si="183"/>
        <v>-</v>
      </c>
      <c r="CE446" s="342" t="str">
        <f t="shared" si="196"/>
        <v>CAMPSITE CREEK_Steelhead</v>
      </c>
      <c r="CF446" s="341" t="str">
        <f>IFERROR(VLOOKUP(BY446,'RawPL+D'!$O$8:$AB$503,12,FALSE),"-")</f>
        <v>-</v>
      </c>
      <c r="CG446" s="338" t="str">
        <f t="shared" si="185"/>
        <v>-</v>
      </c>
      <c r="CH446" s="341" t="str">
        <f>IFERROR(VLOOKUP(BY446,'RawPL+D'!$O$8:$AB$503,13,FALSE),"-")</f>
        <v>-</v>
      </c>
      <c r="CI446" s="338" t="str">
        <f t="shared" si="186"/>
        <v>-</v>
      </c>
    </row>
    <row r="447" spans="1:87" ht="12.75" hidden="1" customHeight="1" x14ac:dyDescent="0.2">
      <c r="A447" s="28">
        <v>4</v>
      </c>
      <c r="B447" s="28">
        <v>1</v>
      </c>
      <c r="C447" s="11">
        <v>23</v>
      </c>
      <c r="D447" s="148" t="s">
        <v>295</v>
      </c>
      <c r="E447" s="10" t="s">
        <v>169</v>
      </c>
      <c r="F447" s="10" t="s">
        <v>207</v>
      </c>
      <c r="G447" s="10"/>
      <c r="H447" s="10"/>
      <c r="I447" s="10"/>
      <c r="J447" s="10"/>
      <c r="K447" s="575"/>
      <c r="L447" s="152"/>
      <c r="M447" s="164"/>
      <c r="N447" s="62"/>
      <c r="O447" s="62"/>
      <c r="P447" s="177"/>
      <c r="Q447" s="171"/>
      <c r="R447" s="62"/>
      <c r="S447" s="62"/>
      <c r="T447" s="62"/>
      <c r="U447" s="64"/>
      <c r="V447" s="164"/>
      <c r="W447" s="62"/>
      <c r="X447" s="62"/>
      <c r="Y447" s="62"/>
      <c r="Z447" s="64"/>
      <c r="AA447" s="164"/>
      <c r="AB447" s="62"/>
      <c r="AC447" s="62"/>
      <c r="AD447" s="64"/>
      <c r="AE447" s="164"/>
      <c r="AF447" s="62"/>
      <c r="AG447" s="62"/>
      <c r="AH447" s="337"/>
      <c r="AI447" s="337"/>
      <c r="AJ447" s="337"/>
      <c r="AK447" s="337"/>
      <c r="AL447" s="414"/>
      <c r="AM447" s="414"/>
      <c r="AN447" s="45"/>
      <c r="AO447" s="45"/>
      <c r="AP447" s="45"/>
      <c r="AQ447" s="485"/>
      <c r="AR447" s="100"/>
      <c r="AS447" s="485"/>
      <c r="AT447" s="100"/>
      <c r="AU447" s="100"/>
      <c r="AV447" s="100"/>
      <c r="AW447" s="18">
        <v>23</v>
      </c>
      <c r="AX447" s="69" t="s">
        <v>295</v>
      </c>
      <c r="AY447" s="243" t="s">
        <v>169</v>
      </c>
      <c r="AZ447" s="243" t="str">
        <f t="shared" si="168"/>
        <v>Sockeye</v>
      </c>
      <c r="BA447" s="243" t="s">
        <v>419</v>
      </c>
      <c r="BB447" s="246"/>
      <c r="BC447" s="43" t="str">
        <f t="shared" si="169"/>
        <v>-</v>
      </c>
      <c r="BD447" s="43">
        <f t="shared" si="191"/>
        <v>0</v>
      </c>
      <c r="BE447" s="193">
        <f t="shared" si="188"/>
        <v>0</v>
      </c>
      <c r="BF447" s="193">
        <f t="shared" si="170"/>
        <v>0</v>
      </c>
      <c r="BG447" s="193">
        <f t="shared" si="171"/>
        <v>0</v>
      </c>
      <c r="BH447" s="307" t="str">
        <f t="shared" si="189"/>
        <v>-</v>
      </c>
      <c r="BI447" s="265" t="str">
        <f t="shared" si="198"/>
        <v>-</v>
      </c>
      <c r="BJ447" s="26" t="str">
        <f t="shared" si="172"/>
        <v>CANOE PASS CREEKSockeye</v>
      </c>
      <c r="BK447" s="26">
        <f t="shared" si="173"/>
        <v>0</v>
      </c>
      <c r="BL447" s="33">
        <f t="shared" si="192"/>
        <v>0</v>
      </c>
      <c r="BQ447" s="47" t="str">
        <f t="shared" si="174"/>
        <v>CANOE PASS CREEKSockeye</v>
      </c>
      <c r="BR447" s="49">
        <f t="shared" si="175"/>
        <v>0</v>
      </c>
      <c r="BS447" s="49">
        <f t="shared" si="176"/>
        <v>0</v>
      </c>
      <c r="BT447" s="31">
        <v>0</v>
      </c>
      <c r="BU447" s="188">
        <f t="shared" si="177"/>
        <v>0</v>
      </c>
      <c r="BV447" s="188" t="str">
        <f t="shared" si="178"/>
        <v xml:space="preserve"> </v>
      </c>
      <c r="BW447" s="188" t="str">
        <f t="shared" si="179"/>
        <v xml:space="preserve"> </v>
      </c>
      <c r="BX447" s="188" t="str">
        <f t="shared" si="180"/>
        <v xml:space="preserve"> </v>
      </c>
      <c r="BY447" s="50" t="str">
        <f t="shared" si="197"/>
        <v>CANOE PASS CREEK_Sockeye</v>
      </c>
      <c r="BZ447" s="50" t="str">
        <f>IFERROR(VLOOKUP(BY447,'[1]WCVI Esc'!$C$5:$W$555,18,FALSE),"-")</f>
        <v>-</v>
      </c>
      <c r="CA447" s="50" t="str">
        <f t="shared" si="182"/>
        <v>-</v>
      </c>
      <c r="CB447" s="50" t="str">
        <f>IFERROR(VLOOKUP(BY447,'[1]WCVI Esc'!$C$5:$W$555,19,FALSE),"-")</f>
        <v>-</v>
      </c>
      <c r="CC447" s="50" t="str">
        <f t="shared" si="183"/>
        <v>-</v>
      </c>
      <c r="CE447" s="342" t="str">
        <f t="shared" si="196"/>
        <v>CANOE PASS CREEK_Sockeye</v>
      </c>
      <c r="CF447" s="341" t="str">
        <f>IFERROR(VLOOKUP(BY447,'RawPL+D'!$O$8:$AB$503,12,FALSE),"-")</f>
        <v>-</v>
      </c>
      <c r="CG447" s="338" t="str">
        <f t="shared" si="185"/>
        <v>-</v>
      </c>
      <c r="CH447" s="341" t="str">
        <f>IFERROR(VLOOKUP(BY447,'RawPL+D'!$O$8:$AB$503,13,FALSE),"-")</f>
        <v>-</v>
      </c>
      <c r="CI447" s="338" t="str">
        <f t="shared" si="186"/>
        <v>-</v>
      </c>
    </row>
    <row r="448" spans="1:87" ht="12.75" hidden="1" customHeight="1" x14ac:dyDescent="0.2">
      <c r="A448" s="28">
        <v>4</v>
      </c>
      <c r="B448" s="28">
        <v>2</v>
      </c>
      <c r="C448" s="11">
        <v>23</v>
      </c>
      <c r="D448" s="148" t="s">
        <v>295</v>
      </c>
      <c r="E448" s="10" t="s">
        <v>169</v>
      </c>
      <c r="F448" s="10" t="s">
        <v>219</v>
      </c>
      <c r="G448" s="10"/>
      <c r="H448" s="10"/>
      <c r="I448" s="10"/>
      <c r="J448" s="10"/>
      <c r="K448" s="575"/>
      <c r="L448" s="152"/>
      <c r="M448" s="164"/>
      <c r="N448" s="62"/>
      <c r="O448" s="62"/>
      <c r="P448" s="177"/>
      <c r="Q448" s="171"/>
      <c r="R448" s="62"/>
      <c r="S448" s="62"/>
      <c r="T448" s="62"/>
      <c r="U448" s="62"/>
      <c r="V448" s="164"/>
      <c r="W448" s="62"/>
      <c r="X448" s="62"/>
      <c r="Y448" s="62"/>
      <c r="Z448" s="64"/>
      <c r="AA448" s="164"/>
      <c r="AB448" s="62"/>
      <c r="AC448" s="62"/>
      <c r="AD448" s="64"/>
      <c r="AE448" s="164"/>
      <c r="AF448" s="62"/>
      <c r="AG448" s="62"/>
      <c r="AH448" s="337"/>
      <c r="AI448" s="337"/>
      <c r="AJ448" s="337"/>
      <c r="AK448" s="337"/>
      <c r="AL448" s="414"/>
      <c r="AM448" s="414"/>
      <c r="AN448" s="45"/>
      <c r="AO448" s="45"/>
      <c r="AP448" s="45"/>
      <c r="AQ448" s="485"/>
      <c r="AR448" s="100"/>
      <c r="AS448" s="485"/>
      <c r="AT448" s="100"/>
      <c r="AU448" s="100"/>
      <c r="AV448" s="100"/>
      <c r="AW448" s="18">
        <v>23</v>
      </c>
      <c r="AX448" s="69" t="s">
        <v>295</v>
      </c>
      <c r="AY448" s="243" t="s">
        <v>169</v>
      </c>
      <c r="AZ448" s="243" t="str">
        <f t="shared" si="168"/>
        <v>Coho</v>
      </c>
      <c r="BA448" s="243" t="s">
        <v>419</v>
      </c>
      <c r="BB448" s="246"/>
      <c r="BC448" s="43" t="str">
        <f t="shared" si="169"/>
        <v>-</v>
      </c>
      <c r="BD448" s="43">
        <f t="shared" si="191"/>
        <v>0</v>
      </c>
      <c r="BE448" s="193">
        <f t="shared" si="188"/>
        <v>0</v>
      </c>
      <c r="BF448" s="193">
        <f t="shared" si="170"/>
        <v>0</v>
      </c>
      <c r="BG448" s="193">
        <f t="shared" si="171"/>
        <v>0</v>
      </c>
      <c r="BH448" s="307" t="str">
        <f t="shared" si="189"/>
        <v>-</v>
      </c>
      <c r="BI448" s="265" t="str">
        <f t="shared" si="198"/>
        <v>-</v>
      </c>
      <c r="BJ448" s="26" t="str">
        <f t="shared" si="172"/>
        <v>CANOE PASS CREEKCoho</v>
      </c>
      <c r="BK448" s="26">
        <f t="shared" si="173"/>
        <v>0</v>
      </c>
      <c r="BL448" s="33">
        <f t="shared" si="192"/>
        <v>0</v>
      </c>
      <c r="BQ448" s="47" t="str">
        <f t="shared" si="174"/>
        <v>CANOE PASS CREEKCoho</v>
      </c>
      <c r="BR448" s="49">
        <f t="shared" si="175"/>
        <v>0</v>
      </c>
      <c r="BS448" s="49">
        <f t="shared" si="176"/>
        <v>0</v>
      </c>
      <c r="BT448" s="31">
        <v>2000</v>
      </c>
      <c r="BU448" s="188">
        <f t="shared" si="177"/>
        <v>0</v>
      </c>
      <c r="BV448" s="188" t="str">
        <f t="shared" si="178"/>
        <v xml:space="preserve"> </v>
      </c>
      <c r="BW448" s="188" t="str">
        <f t="shared" si="179"/>
        <v xml:space="preserve"> </v>
      </c>
      <c r="BX448" s="188" t="str">
        <f t="shared" si="180"/>
        <v xml:space="preserve"> </v>
      </c>
      <c r="BY448" s="50" t="str">
        <f t="shared" si="197"/>
        <v>CANOE PASS CREEK_Coho</v>
      </c>
      <c r="BZ448" s="50" t="str">
        <f>IFERROR(VLOOKUP(BY448,'[1]WCVI Esc'!$C$5:$W$555,18,FALSE),"-")</f>
        <v>-</v>
      </c>
      <c r="CA448" s="50" t="str">
        <f t="shared" si="182"/>
        <v>-</v>
      </c>
      <c r="CB448" s="50" t="str">
        <f>IFERROR(VLOOKUP(BY448,'[1]WCVI Esc'!$C$5:$W$555,19,FALSE),"-")</f>
        <v>-</v>
      </c>
      <c r="CC448" s="50" t="str">
        <f t="shared" si="183"/>
        <v>-</v>
      </c>
      <c r="CE448" s="342" t="str">
        <f t="shared" si="196"/>
        <v>CANOE PASS CREEK_Coho</v>
      </c>
      <c r="CF448" s="341" t="str">
        <f>IFERROR(VLOOKUP(BY448,'RawPL+D'!$O$8:$AB$503,12,FALSE),"-")</f>
        <v>-</v>
      </c>
      <c r="CG448" s="338" t="str">
        <f t="shared" si="185"/>
        <v>-</v>
      </c>
      <c r="CH448" s="341" t="str">
        <f>IFERROR(VLOOKUP(BY448,'RawPL+D'!$O$8:$AB$503,13,FALSE),"-")</f>
        <v>-</v>
      </c>
      <c r="CI448" s="338" t="str">
        <f t="shared" si="186"/>
        <v>-</v>
      </c>
    </row>
    <row r="449" spans="1:87" ht="12.75" hidden="1" customHeight="1" x14ac:dyDescent="0.2">
      <c r="A449" s="28">
        <v>4</v>
      </c>
      <c r="B449" s="28">
        <v>3</v>
      </c>
      <c r="C449" s="11">
        <v>23</v>
      </c>
      <c r="D449" s="148" t="s">
        <v>295</v>
      </c>
      <c r="E449" s="10" t="s">
        <v>169</v>
      </c>
      <c r="F449" s="10" t="s">
        <v>208</v>
      </c>
      <c r="G449" s="10"/>
      <c r="H449" s="10"/>
      <c r="I449" s="10"/>
      <c r="J449" s="10"/>
      <c r="K449" s="575"/>
      <c r="L449" s="152"/>
      <c r="M449" s="164"/>
      <c r="N449" s="62"/>
      <c r="O449" s="62"/>
      <c r="P449" s="177"/>
      <c r="Q449" s="171"/>
      <c r="R449" s="62"/>
      <c r="S449" s="62"/>
      <c r="T449" s="62"/>
      <c r="U449" s="64"/>
      <c r="V449" s="164"/>
      <c r="W449" s="62"/>
      <c r="X449" s="62"/>
      <c r="Y449" s="62"/>
      <c r="Z449" s="64"/>
      <c r="AA449" s="164"/>
      <c r="AB449" s="62"/>
      <c r="AC449" s="62"/>
      <c r="AD449" s="64"/>
      <c r="AE449" s="164"/>
      <c r="AF449" s="62"/>
      <c r="AG449" s="62"/>
      <c r="AH449" s="337"/>
      <c r="AI449" s="337"/>
      <c r="AJ449" s="337"/>
      <c r="AK449" s="337"/>
      <c r="AL449" s="414"/>
      <c r="AM449" s="414"/>
      <c r="AN449" s="45"/>
      <c r="AO449" s="45"/>
      <c r="AP449" s="45"/>
      <c r="AQ449" s="485"/>
      <c r="AR449" s="100"/>
      <c r="AS449" s="485"/>
      <c r="AT449" s="100"/>
      <c r="AU449" s="100"/>
      <c r="AV449" s="100"/>
      <c r="AW449" s="18">
        <v>23</v>
      </c>
      <c r="AX449" s="69" t="s">
        <v>295</v>
      </c>
      <c r="AY449" s="243" t="s">
        <v>169</v>
      </c>
      <c r="AZ449" s="243" t="str">
        <f t="shared" si="168"/>
        <v>Pink</v>
      </c>
      <c r="BA449" s="243" t="s">
        <v>419</v>
      </c>
      <c r="BB449" s="246"/>
      <c r="BC449" s="43" t="str">
        <f t="shared" si="169"/>
        <v>-</v>
      </c>
      <c r="BD449" s="43">
        <f t="shared" si="191"/>
        <v>0</v>
      </c>
      <c r="BE449" s="193">
        <f t="shared" si="188"/>
        <v>0</v>
      </c>
      <c r="BF449" s="193">
        <f t="shared" si="170"/>
        <v>0</v>
      </c>
      <c r="BG449" s="193">
        <f t="shared" si="171"/>
        <v>0</v>
      </c>
      <c r="BH449" s="307" t="str">
        <f t="shared" si="189"/>
        <v>-</v>
      </c>
      <c r="BI449" s="265" t="str">
        <f t="shared" si="198"/>
        <v>-</v>
      </c>
      <c r="BJ449" s="26" t="str">
        <f t="shared" si="172"/>
        <v>CANOE PASS CREEKPink</v>
      </c>
      <c r="BK449" s="26">
        <f t="shared" si="173"/>
        <v>0</v>
      </c>
      <c r="BL449" s="33">
        <f t="shared" si="192"/>
        <v>0</v>
      </c>
      <c r="BQ449" s="47" t="str">
        <f t="shared" si="174"/>
        <v>CANOE PASS CREEKPink</v>
      </c>
      <c r="BR449" s="49">
        <f t="shared" si="175"/>
        <v>0</v>
      </c>
      <c r="BS449" s="49">
        <f t="shared" si="176"/>
        <v>0</v>
      </c>
      <c r="BT449" s="31">
        <v>0</v>
      </c>
      <c r="BU449" s="188">
        <f t="shared" si="177"/>
        <v>0</v>
      </c>
      <c r="BV449" s="188" t="str">
        <f t="shared" si="178"/>
        <v xml:space="preserve"> </v>
      </c>
      <c r="BW449" s="188" t="str">
        <f t="shared" si="179"/>
        <v xml:space="preserve"> </v>
      </c>
      <c r="BX449" s="188" t="str">
        <f t="shared" si="180"/>
        <v xml:space="preserve"> </v>
      </c>
      <c r="BY449" s="50" t="str">
        <f t="shared" si="197"/>
        <v>CANOE PASS CREEK_Pink</v>
      </c>
      <c r="BZ449" s="50" t="str">
        <f>IFERROR(VLOOKUP(BY449,'[1]WCVI Esc'!$C$5:$W$555,18,FALSE),"-")</f>
        <v>-</v>
      </c>
      <c r="CA449" s="50" t="str">
        <f t="shared" si="182"/>
        <v>-</v>
      </c>
      <c r="CB449" s="50" t="str">
        <f>IFERROR(VLOOKUP(BY449,'[1]WCVI Esc'!$C$5:$W$555,19,FALSE),"-")</f>
        <v>-</v>
      </c>
      <c r="CC449" s="50" t="str">
        <f t="shared" si="183"/>
        <v>-</v>
      </c>
      <c r="CE449" s="342" t="str">
        <f t="shared" si="196"/>
        <v>CANOE PASS CREEK_Pink</v>
      </c>
      <c r="CF449" s="341" t="str">
        <f>IFERROR(VLOOKUP(BY449,'RawPL+D'!$O$8:$AB$503,12,FALSE),"-")</f>
        <v>-</v>
      </c>
      <c r="CG449" s="338" t="str">
        <f t="shared" si="185"/>
        <v>-</v>
      </c>
      <c r="CH449" s="341" t="str">
        <f>IFERROR(VLOOKUP(BY449,'RawPL+D'!$O$8:$AB$503,13,FALSE),"-")</f>
        <v>-</v>
      </c>
      <c r="CI449" s="338" t="str">
        <f t="shared" si="186"/>
        <v>-</v>
      </c>
    </row>
    <row r="450" spans="1:87" ht="12.75" hidden="1" customHeight="1" x14ac:dyDescent="0.2">
      <c r="A450" s="28">
        <v>4</v>
      </c>
      <c r="B450" s="28">
        <v>4</v>
      </c>
      <c r="C450" s="11">
        <v>23</v>
      </c>
      <c r="D450" s="148" t="s">
        <v>295</v>
      </c>
      <c r="E450" s="10" t="s">
        <v>169</v>
      </c>
      <c r="F450" s="10" t="s">
        <v>209</v>
      </c>
      <c r="G450" s="10"/>
      <c r="H450" s="10"/>
      <c r="I450" s="10"/>
      <c r="J450" s="10"/>
      <c r="K450" s="575"/>
      <c r="L450" s="152"/>
      <c r="M450" s="164"/>
      <c r="N450" s="62"/>
      <c r="O450" s="62"/>
      <c r="P450" s="177"/>
      <c r="Q450" s="171"/>
      <c r="R450" s="62"/>
      <c r="S450" s="62"/>
      <c r="T450" s="62"/>
      <c r="U450" s="62"/>
      <c r="V450" s="164"/>
      <c r="W450" s="62"/>
      <c r="X450" s="62"/>
      <c r="Y450" s="62"/>
      <c r="Z450" s="64"/>
      <c r="AA450" s="164"/>
      <c r="AB450" s="62"/>
      <c r="AC450" s="62"/>
      <c r="AD450" s="64"/>
      <c r="AE450" s="164"/>
      <c r="AF450" s="62"/>
      <c r="AG450" s="62"/>
      <c r="AH450" s="337"/>
      <c r="AI450" s="337"/>
      <c r="AJ450" s="337"/>
      <c r="AK450" s="337"/>
      <c r="AL450" s="414"/>
      <c r="AM450" s="414"/>
      <c r="AN450" s="45"/>
      <c r="AO450" s="45"/>
      <c r="AP450" s="45"/>
      <c r="AQ450" s="485"/>
      <c r="AR450" s="100"/>
      <c r="AS450" s="485"/>
      <c r="AT450" s="100"/>
      <c r="AU450" s="100"/>
      <c r="AV450" s="100"/>
      <c r="AW450" s="18">
        <v>23</v>
      </c>
      <c r="AX450" s="69" t="s">
        <v>295</v>
      </c>
      <c r="AY450" s="243" t="s">
        <v>169</v>
      </c>
      <c r="AZ450" s="243" t="str">
        <f t="shared" si="168"/>
        <v>Chum</v>
      </c>
      <c r="BA450" s="243" t="s">
        <v>419</v>
      </c>
      <c r="BB450" s="246"/>
      <c r="BC450" s="43" t="str">
        <f t="shared" si="169"/>
        <v>-</v>
      </c>
      <c r="BD450" s="43">
        <f t="shared" si="191"/>
        <v>0</v>
      </c>
      <c r="BE450" s="193">
        <f t="shared" si="188"/>
        <v>0</v>
      </c>
      <c r="BF450" s="193">
        <f t="shared" si="170"/>
        <v>0</v>
      </c>
      <c r="BG450" s="193">
        <f t="shared" si="171"/>
        <v>0</v>
      </c>
      <c r="BH450" s="307" t="str">
        <f t="shared" si="189"/>
        <v>-</v>
      </c>
      <c r="BI450" s="265" t="str">
        <f t="shared" si="198"/>
        <v>-</v>
      </c>
      <c r="BJ450" s="26" t="str">
        <f t="shared" si="172"/>
        <v>CANOE PASS CREEKChum</v>
      </c>
      <c r="BK450" s="26">
        <f t="shared" si="173"/>
        <v>0</v>
      </c>
      <c r="BL450" s="33">
        <f t="shared" si="192"/>
        <v>0</v>
      </c>
      <c r="BQ450" s="47" t="str">
        <f t="shared" si="174"/>
        <v>CANOE PASS CREEKChum</v>
      </c>
      <c r="BR450" s="49">
        <f t="shared" si="175"/>
        <v>0</v>
      </c>
      <c r="BS450" s="49">
        <f t="shared" si="176"/>
        <v>0</v>
      </c>
      <c r="BT450" s="31">
        <v>2000</v>
      </c>
      <c r="BU450" s="188">
        <f t="shared" si="177"/>
        <v>0</v>
      </c>
      <c r="BV450" s="188" t="str">
        <f t="shared" si="178"/>
        <v xml:space="preserve"> </v>
      </c>
      <c r="BW450" s="188" t="str">
        <f t="shared" si="179"/>
        <v xml:space="preserve"> </v>
      </c>
      <c r="BX450" s="188" t="str">
        <f t="shared" si="180"/>
        <v xml:space="preserve"> </v>
      </c>
      <c r="BY450" s="50" t="str">
        <f t="shared" si="197"/>
        <v>CANOE PASS CREEK_Chum</v>
      </c>
      <c r="BZ450" s="50" t="str">
        <f>IFERROR(VLOOKUP(BY450,'[1]WCVI Esc'!$C$5:$W$555,18,FALSE),"-")</f>
        <v>-</v>
      </c>
      <c r="CA450" s="50" t="str">
        <f t="shared" si="182"/>
        <v>-</v>
      </c>
      <c r="CB450" s="50" t="str">
        <f>IFERROR(VLOOKUP(BY450,'[1]WCVI Esc'!$C$5:$W$555,19,FALSE),"-")</f>
        <v>-</v>
      </c>
      <c r="CC450" s="50" t="str">
        <f t="shared" si="183"/>
        <v>-</v>
      </c>
      <c r="CE450" s="342" t="str">
        <f t="shared" si="196"/>
        <v>CANOE PASS CREEK_Chum</v>
      </c>
      <c r="CF450" s="341" t="str">
        <f>IFERROR(VLOOKUP(BY450,'RawPL+D'!$O$8:$AB$503,12,FALSE),"-")</f>
        <v>-</v>
      </c>
      <c r="CG450" s="338" t="str">
        <f t="shared" si="185"/>
        <v>-</v>
      </c>
      <c r="CH450" s="341" t="str">
        <f>IFERROR(VLOOKUP(BY450,'RawPL+D'!$O$8:$AB$503,13,FALSE),"-")</f>
        <v>-</v>
      </c>
      <c r="CI450" s="338" t="str">
        <f t="shared" si="186"/>
        <v>-</v>
      </c>
    </row>
    <row r="451" spans="1:87" ht="12.75" hidden="1" customHeight="1" x14ac:dyDescent="0.2">
      <c r="A451" s="28">
        <v>4</v>
      </c>
      <c r="B451" s="28">
        <v>5</v>
      </c>
      <c r="C451" s="11">
        <v>23</v>
      </c>
      <c r="D451" s="148" t="s">
        <v>295</v>
      </c>
      <c r="E451" s="10" t="s">
        <v>169</v>
      </c>
      <c r="F451" s="10" t="s">
        <v>210</v>
      </c>
      <c r="G451" s="10"/>
      <c r="H451" s="10"/>
      <c r="I451" s="10"/>
      <c r="J451" s="10"/>
      <c r="K451" s="575"/>
      <c r="L451" s="152"/>
      <c r="M451" s="164"/>
      <c r="N451" s="62"/>
      <c r="O451" s="62"/>
      <c r="P451" s="177"/>
      <c r="Q451" s="171"/>
      <c r="R451" s="62"/>
      <c r="S451" s="62"/>
      <c r="T451" s="62"/>
      <c r="U451" s="64"/>
      <c r="V451" s="164"/>
      <c r="W451" s="62"/>
      <c r="X451" s="62"/>
      <c r="Y451" s="62"/>
      <c r="Z451" s="64"/>
      <c r="AA451" s="164"/>
      <c r="AB451" s="62"/>
      <c r="AC451" s="62"/>
      <c r="AD451" s="64"/>
      <c r="AE451" s="164"/>
      <c r="AF451" s="62"/>
      <c r="AG451" s="62"/>
      <c r="AH451" s="337"/>
      <c r="AI451" s="337"/>
      <c r="AJ451" s="337"/>
      <c r="AK451" s="337"/>
      <c r="AL451" s="414"/>
      <c r="AM451" s="414"/>
      <c r="AN451" s="45"/>
      <c r="AO451" s="45"/>
      <c r="AP451" s="45"/>
      <c r="AQ451" s="485"/>
      <c r="AR451" s="100"/>
      <c r="AS451" s="485"/>
      <c r="AT451" s="100"/>
      <c r="AU451" s="100"/>
      <c r="AV451" s="100"/>
      <c r="AW451" s="18">
        <v>23</v>
      </c>
      <c r="AX451" s="69" t="s">
        <v>295</v>
      </c>
      <c r="AY451" s="243" t="s">
        <v>169</v>
      </c>
      <c r="AZ451" s="243" t="str">
        <f t="shared" si="168"/>
        <v>Chinook</v>
      </c>
      <c r="BA451" s="243" t="s">
        <v>419</v>
      </c>
      <c r="BB451" s="246"/>
      <c r="BC451" s="43" t="str">
        <f t="shared" si="169"/>
        <v>-</v>
      </c>
      <c r="BD451" s="43">
        <f t="shared" si="191"/>
        <v>0</v>
      </c>
      <c r="BE451" s="193">
        <f t="shared" si="188"/>
        <v>0</v>
      </c>
      <c r="BF451" s="193">
        <f t="shared" si="170"/>
        <v>0</v>
      </c>
      <c r="BG451" s="193">
        <f t="shared" si="171"/>
        <v>0</v>
      </c>
      <c r="BH451" s="307" t="str">
        <f t="shared" si="189"/>
        <v>-</v>
      </c>
      <c r="BI451" s="265" t="str">
        <f t="shared" si="198"/>
        <v>-</v>
      </c>
      <c r="BJ451" s="26" t="str">
        <f t="shared" si="172"/>
        <v>CANOE PASS CREEKChinook</v>
      </c>
      <c r="BK451" s="26">
        <f t="shared" si="173"/>
        <v>0</v>
      </c>
      <c r="BL451" s="33">
        <f t="shared" si="192"/>
        <v>0</v>
      </c>
      <c r="BQ451" s="47" t="str">
        <f t="shared" si="174"/>
        <v>CANOE PASS CREEKChinook</v>
      </c>
      <c r="BR451" s="49">
        <f t="shared" si="175"/>
        <v>0</v>
      </c>
      <c r="BS451" s="49">
        <f t="shared" si="176"/>
        <v>0</v>
      </c>
      <c r="BT451" s="31">
        <v>0</v>
      </c>
      <c r="BU451" s="188">
        <f t="shared" si="177"/>
        <v>0</v>
      </c>
      <c r="BV451" s="188" t="str">
        <f t="shared" si="178"/>
        <v xml:space="preserve"> </v>
      </c>
      <c r="BW451" s="188" t="str">
        <f t="shared" si="179"/>
        <v xml:space="preserve"> </v>
      </c>
      <c r="BX451" s="188" t="str">
        <f t="shared" si="180"/>
        <v xml:space="preserve"> </v>
      </c>
      <c r="BY451" s="50" t="str">
        <f t="shared" si="197"/>
        <v>CANOE PASS CREEK_Chinook</v>
      </c>
      <c r="BZ451" s="50" t="str">
        <f>IFERROR(VLOOKUP(BY451,'[1]WCVI Esc'!$C$5:$W$555,18,FALSE),"-")</f>
        <v>-</v>
      </c>
      <c r="CA451" s="50" t="str">
        <f t="shared" si="182"/>
        <v>-</v>
      </c>
      <c r="CB451" s="50" t="str">
        <f>IFERROR(VLOOKUP(BY451,'[1]WCVI Esc'!$C$5:$W$555,19,FALSE),"-")</f>
        <v>-</v>
      </c>
      <c r="CC451" s="50" t="str">
        <f t="shared" si="183"/>
        <v>-</v>
      </c>
      <c r="CE451" s="342" t="str">
        <f t="shared" si="196"/>
        <v>CANOE PASS CREEK_Chinook</v>
      </c>
      <c r="CF451" s="341" t="str">
        <f>IFERROR(VLOOKUP(BY451,'RawPL+D'!$O$8:$AB$503,12,FALSE),"-")</f>
        <v>-</v>
      </c>
      <c r="CG451" s="338" t="str">
        <f t="shared" si="185"/>
        <v>-</v>
      </c>
      <c r="CH451" s="341" t="str">
        <f>IFERROR(VLOOKUP(BY451,'RawPL+D'!$O$8:$AB$503,13,FALSE),"-")</f>
        <v>-</v>
      </c>
      <c r="CI451" s="338" t="str">
        <f t="shared" si="186"/>
        <v>-</v>
      </c>
    </row>
    <row r="452" spans="1:87" ht="12.75" hidden="1" customHeight="1" x14ac:dyDescent="0.2">
      <c r="A452" s="28">
        <v>4</v>
      </c>
      <c r="B452" s="28">
        <v>6</v>
      </c>
      <c r="C452" s="11">
        <v>23</v>
      </c>
      <c r="D452" s="148" t="s">
        <v>295</v>
      </c>
      <c r="E452" s="10" t="s">
        <v>169</v>
      </c>
      <c r="F452" s="10" t="s">
        <v>211</v>
      </c>
      <c r="G452" s="10"/>
      <c r="H452" s="10"/>
      <c r="I452" s="10"/>
      <c r="J452" s="10"/>
      <c r="K452" s="575"/>
      <c r="L452" s="152"/>
      <c r="M452" s="164"/>
      <c r="N452" s="62"/>
      <c r="O452" s="62"/>
      <c r="P452" s="177"/>
      <c r="Q452" s="171"/>
      <c r="R452" s="62"/>
      <c r="S452" s="62"/>
      <c r="T452" s="62"/>
      <c r="U452" s="64"/>
      <c r="V452" s="164"/>
      <c r="W452" s="62"/>
      <c r="X452" s="62"/>
      <c r="Y452" s="62"/>
      <c r="Z452" s="64"/>
      <c r="AA452" s="164"/>
      <c r="AB452" s="62"/>
      <c r="AC452" s="62"/>
      <c r="AD452" s="64"/>
      <c r="AE452" s="164"/>
      <c r="AF452" s="62"/>
      <c r="AG452" s="62"/>
      <c r="AH452" s="337"/>
      <c r="AI452" s="337"/>
      <c r="AJ452" s="337"/>
      <c r="AK452" s="337"/>
      <c r="AL452" s="414"/>
      <c r="AM452" s="414"/>
      <c r="AN452" s="45"/>
      <c r="AO452" s="45"/>
      <c r="AP452" s="45"/>
      <c r="AQ452" s="485"/>
      <c r="AR452" s="100"/>
      <c r="AS452" s="485"/>
      <c r="AT452" s="100"/>
      <c r="AU452" s="100"/>
      <c r="AV452" s="100"/>
      <c r="AW452" s="18">
        <v>23</v>
      </c>
      <c r="AX452" s="69" t="s">
        <v>295</v>
      </c>
      <c r="AY452" s="243" t="s">
        <v>169</v>
      </c>
      <c r="AZ452" s="243" t="str">
        <f t="shared" si="168"/>
        <v>Steelhead</v>
      </c>
      <c r="BA452" s="243" t="s">
        <v>419</v>
      </c>
      <c r="BB452" s="246"/>
      <c r="BC452" s="43" t="str">
        <f t="shared" si="169"/>
        <v>-</v>
      </c>
      <c r="BD452" s="43">
        <f t="shared" si="191"/>
        <v>0</v>
      </c>
      <c r="BE452" s="193">
        <f t="shared" si="188"/>
        <v>0</v>
      </c>
      <c r="BF452" s="193">
        <f t="shared" si="170"/>
        <v>0</v>
      </c>
      <c r="BG452" s="193">
        <f t="shared" si="171"/>
        <v>0</v>
      </c>
      <c r="BH452" s="307" t="str">
        <f t="shared" si="189"/>
        <v>-</v>
      </c>
      <c r="BI452" s="265" t="str">
        <f t="shared" si="198"/>
        <v>-</v>
      </c>
      <c r="BJ452" s="26" t="str">
        <f t="shared" si="172"/>
        <v>CANOE PASS CREEKSteelhead</v>
      </c>
      <c r="BK452" s="26">
        <f t="shared" si="173"/>
        <v>0</v>
      </c>
      <c r="BL452" s="33">
        <f t="shared" si="192"/>
        <v>0</v>
      </c>
      <c r="BQ452" s="47" t="str">
        <f t="shared" si="174"/>
        <v>CANOE PASS CREEKSteelhead</v>
      </c>
      <c r="BR452" s="49">
        <f t="shared" si="175"/>
        <v>0</v>
      </c>
      <c r="BS452" s="49">
        <f t="shared" si="176"/>
        <v>0</v>
      </c>
      <c r="BT452" s="31">
        <v>0</v>
      </c>
      <c r="BU452" s="188">
        <f t="shared" si="177"/>
        <v>0</v>
      </c>
      <c r="BV452" s="188" t="str">
        <f t="shared" si="178"/>
        <v xml:space="preserve"> </v>
      </c>
      <c r="BW452" s="188" t="str">
        <f t="shared" si="179"/>
        <v xml:space="preserve"> </v>
      </c>
      <c r="BX452" s="188" t="str">
        <f t="shared" si="180"/>
        <v xml:space="preserve"> </v>
      </c>
      <c r="BY452" s="50" t="str">
        <f t="shared" si="197"/>
        <v>CANOE PASS CREEK_Steelhead</v>
      </c>
      <c r="BZ452" s="50" t="str">
        <f>IFERROR(VLOOKUP(BY452,'[1]WCVI Esc'!$C$5:$W$555,18,FALSE),"-")</f>
        <v>-</v>
      </c>
      <c r="CA452" s="50" t="str">
        <f t="shared" si="182"/>
        <v>-</v>
      </c>
      <c r="CB452" s="50" t="str">
        <f>IFERROR(VLOOKUP(BY452,'[1]WCVI Esc'!$C$5:$W$555,19,FALSE),"-")</f>
        <v>-</v>
      </c>
      <c r="CC452" s="50" t="str">
        <f t="shared" si="183"/>
        <v>-</v>
      </c>
      <c r="CE452" s="342" t="str">
        <f t="shared" si="196"/>
        <v>CANOE PASS CREEK_Steelhead</v>
      </c>
      <c r="CF452" s="341" t="str">
        <f>IFERROR(VLOOKUP(BY452,'RawPL+D'!$O$8:$AB$503,12,FALSE),"-")</f>
        <v>-</v>
      </c>
      <c r="CG452" s="338" t="str">
        <f t="shared" si="185"/>
        <v>-</v>
      </c>
      <c r="CH452" s="341" t="str">
        <f>IFERROR(VLOOKUP(BY452,'RawPL+D'!$O$8:$AB$503,13,FALSE),"-")</f>
        <v>-</v>
      </c>
      <c r="CI452" s="338" t="str">
        <f t="shared" si="186"/>
        <v>-</v>
      </c>
    </row>
    <row r="453" spans="1:87" ht="12.75" hidden="1" customHeight="1" x14ac:dyDescent="0.2">
      <c r="A453" s="28">
        <v>4</v>
      </c>
      <c r="B453" s="28">
        <v>1</v>
      </c>
      <c r="C453" s="11">
        <v>23</v>
      </c>
      <c r="D453" s="148" t="s">
        <v>295</v>
      </c>
      <c r="E453" s="10" t="s">
        <v>171</v>
      </c>
      <c r="F453" s="10" t="s">
        <v>207</v>
      </c>
      <c r="G453" s="10"/>
      <c r="H453" s="10"/>
      <c r="I453" s="10"/>
      <c r="J453" s="10"/>
      <c r="K453" s="575"/>
      <c r="L453" s="152"/>
      <c r="M453" s="164"/>
      <c r="N453" s="62"/>
      <c r="O453" s="64"/>
      <c r="P453" s="177"/>
      <c r="Q453" s="171"/>
      <c r="R453" s="62"/>
      <c r="S453" s="62"/>
      <c r="T453" s="62"/>
      <c r="U453" s="177"/>
      <c r="V453" s="164"/>
      <c r="W453" s="62"/>
      <c r="X453" s="62"/>
      <c r="Y453" s="62"/>
      <c r="Z453" s="64"/>
      <c r="AA453" s="164"/>
      <c r="AB453" s="62"/>
      <c r="AC453" s="62"/>
      <c r="AD453" s="64"/>
      <c r="AE453" s="164"/>
      <c r="AF453" s="62"/>
      <c r="AG453" s="62"/>
      <c r="AH453" s="337"/>
      <c r="AI453" s="337"/>
      <c r="AJ453" s="337"/>
      <c r="AK453" s="337"/>
      <c r="AL453" s="414"/>
      <c r="AM453" s="414"/>
      <c r="AN453" s="45"/>
      <c r="AO453" s="45"/>
      <c r="AP453" s="45"/>
      <c r="AQ453" s="485"/>
      <c r="AR453" s="100"/>
      <c r="AS453" s="485"/>
      <c r="AT453" s="100"/>
      <c r="AU453" s="100"/>
      <c r="AV453" s="100"/>
      <c r="AW453" s="18">
        <v>23</v>
      </c>
      <c r="AX453" s="69" t="s">
        <v>295</v>
      </c>
      <c r="AY453" s="243" t="s">
        <v>171</v>
      </c>
      <c r="AZ453" s="243" t="str">
        <f t="shared" si="168"/>
        <v>Sockeye</v>
      </c>
      <c r="BA453" s="243" t="s">
        <v>419</v>
      </c>
      <c r="BB453" s="246"/>
      <c r="BC453" s="43" t="str">
        <f t="shared" si="169"/>
        <v>-</v>
      </c>
      <c r="BD453" s="43">
        <f t="shared" si="191"/>
        <v>0</v>
      </c>
      <c r="BE453" s="193">
        <f t="shared" si="188"/>
        <v>0</v>
      </c>
      <c r="BF453" s="193">
        <f t="shared" si="170"/>
        <v>0</v>
      </c>
      <c r="BG453" s="193">
        <f t="shared" si="171"/>
        <v>0</v>
      </c>
      <c r="BH453" s="307" t="str">
        <f t="shared" si="189"/>
        <v>-</v>
      </c>
      <c r="BI453" s="265" t="str">
        <f t="shared" si="198"/>
        <v>-</v>
      </c>
      <c r="BJ453" s="26" t="str">
        <f t="shared" si="172"/>
        <v>CATARACT CREEKSockeye</v>
      </c>
      <c r="BK453" s="26">
        <f t="shared" si="173"/>
        <v>0</v>
      </c>
      <c r="BL453" s="33">
        <f t="shared" si="192"/>
        <v>0</v>
      </c>
      <c r="BN453" s="34"/>
      <c r="BQ453" s="47" t="str">
        <f t="shared" si="174"/>
        <v>CATARACT CREEKSockeye</v>
      </c>
      <c r="BR453" s="49">
        <f t="shared" si="175"/>
        <v>0</v>
      </c>
      <c r="BS453" s="49">
        <f t="shared" si="176"/>
        <v>0</v>
      </c>
      <c r="BT453" s="31">
        <v>0</v>
      </c>
      <c r="BU453" s="188">
        <f t="shared" si="177"/>
        <v>0</v>
      </c>
      <c r="BV453" s="188" t="str">
        <f t="shared" si="178"/>
        <v xml:space="preserve"> </v>
      </c>
      <c r="BW453" s="188" t="str">
        <f t="shared" si="179"/>
        <v xml:space="preserve"> </v>
      </c>
      <c r="BX453" s="188" t="str">
        <f t="shared" si="180"/>
        <v xml:space="preserve"> </v>
      </c>
      <c r="BY453" s="50" t="str">
        <f t="shared" si="197"/>
        <v>CATARACT CREEK_Sockeye</v>
      </c>
      <c r="BZ453" s="50" t="str">
        <f>IFERROR(VLOOKUP(BY453,'[1]WCVI Esc'!$C$5:$W$555,18,FALSE),"-")</f>
        <v>-</v>
      </c>
      <c r="CA453" s="50" t="str">
        <f t="shared" si="182"/>
        <v>-</v>
      </c>
      <c r="CB453" s="50" t="str">
        <f>IFERROR(VLOOKUP(BY453,'[1]WCVI Esc'!$C$5:$W$555,19,FALSE),"-")</f>
        <v>-</v>
      </c>
      <c r="CC453" s="50" t="str">
        <f t="shared" si="183"/>
        <v>-</v>
      </c>
      <c r="CE453" s="342" t="str">
        <f t="shared" si="196"/>
        <v>CATARACT CREEK_Sockeye</v>
      </c>
      <c r="CF453" s="341" t="str">
        <f>IFERROR(VLOOKUP(BY453,'RawPL+D'!$O$8:$AB$503,12,FALSE),"-")</f>
        <v>-</v>
      </c>
      <c r="CG453" s="338" t="str">
        <f t="shared" si="185"/>
        <v>-</v>
      </c>
      <c r="CH453" s="341" t="str">
        <f>IFERROR(VLOOKUP(BY453,'RawPL+D'!$O$8:$AB$503,13,FALSE),"-")</f>
        <v>-</v>
      </c>
      <c r="CI453" s="338" t="str">
        <f t="shared" si="186"/>
        <v>-</v>
      </c>
    </row>
    <row r="454" spans="1:87" ht="12.75" hidden="1" customHeight="1" x14ac:dyDescent="0.2">
      <c r="A454" s="28">
        <v>4</v>
      </c>
      <c r="B454" s="28">
        <v>2</v>
      </c>
      <c r="C454" s="11">
        <v>23</v>
      </c>
      <c r="D454" s="148" t="s">
        <v>295</v>
      </c>
      <c r="E454" s="10" t="s">
        <v>171</v>
      </c>
      <c r="F454" s="10" t="s">
        <v>219</v>
      </c>
      <c r="G454" s="10"/>
      <c r="H454" s="10"/>
      <c r="I454" s="10"/>
      <c r="J454" s="10"/>
      <c r="K454" s="575"/>
      <c r="L454" s="152"/>
      <c r="M454" s="164"/>
      <c r="N454" s="62"/>
      <c r="O454" s="64"/>
      <c r="P454" s="177"/>
      <c r="Q454" s="171"/>
      <c r="R454" s="62"/>
      <c r="S454" s="62"/>
      <c r="T454" s="62"/>
      <c r="U454" s="177"/>
      <c r="V454" s="164"/>
      <c r="W454" s="62"/>
      <c r="X454" s="62"/>
      <c r="Y454" s="62"/>
      <c r="Z454" s="64"/>
      <c r="AA454" s="164"/>
      <c r="AB454" s="62"/>
      <c r="AC454" s="62"/>
      <c r="AD454" s="64"/>
      <c r="AE454" s="164"/>
      <c r="AF454" s="62"/>
      <c r="AG454" s="62"/>
      <c r="AH454" s="337"/>
      <c r="AI454" s="337"/>
      <c r="AJ454" s="337"/>
      <c r="AK454" s="337"/>
      <c r="AL454" s="414"/>
      <c r="AM454" s="414"/>
      <c r="AN454" s="45"/>
      <c r="AO454" s="45"/>
      <c r="AP454" s="45"/>
      <c r="AQ454" s="485"/>
      <c r="AR454" s="100"/>
      <c r="AS454" s="485"/>
      <c r="AT454" s="100"/>
      <c r="AU454" s="100"/>
      <c r="AV454" s="100"/>
      <c r="AW454" s="18">
        <v>23</v>
      </c>
      <c r="AX454" s="69" t="s">
        <v>295</v>
      </c>
      <c r="AY454" s="243" t="s">
        <v>171</v>
      </c>
      <c r="AZ454" s="243" t="str">
        <f t="shared" si="168"/>
        <v>Coho</v>
      </c>
      <c r="BA454" s="243" t="s">
        <v>419</v>
      </c>
      <c r="BB454" s="246"/>
      <c r="BC454" s="43" t="str">
        <f t="shared" si="169"/>
        <v>-</v>
      </c>
      <c r="BD454" s="43">
        <f t="shared" si="191"/>
        <v>0</v>
      </c>
      <c r="BE454" s="193">
        <f t="shared" si="188"/>
        <v>0</v>
      </c>
      <c r="BF454" s="193">
        <f t="shared" si="170"/>
        <v>0</v>
      </c>
      <c r="BG454" s="193">
        <f t="shared" si="171"/>
        <v>0</v>
      </c>
      <c r="BH454" s="307" t="str">
        <f t="shared" si="189"/>
        <v>-</v>
      </c>
      <c r="BI454" s="265" t="str">
        <f t="shared" si="198"/>
        <v>-</v>
      </c>
      <c r="BJ454" s="26" t="str">
        <f t="shared" si="172"/>
        <v>CATARACT CREEKCoho</v>
      </c>
      <c r="BK454" s="26">
        <f t="shared" si="173"/>
        <v>0</v>
      </c>
      <c r="BL454" s="33">
        <f t="shared" si="192"/>
        <v>0</v>
      </c>
      <c r="BN454" s="34"/>
      <c r="BQ454" s="47" t="str">
        <f t="shared" si="174"/>
        <v>CATARACT CREEKCoho</v>
      </c>
      <c r="BR454" s="49">
        <f t="shared" si="175"/>
        <v>0</v>
      </c>
      <c r="BS454" s="49">
        <f t="shared" si="176"/>
        <v>0</v>
      </c>
      <c r="BT454" s="31">
        <v>0</v>
      </c>
      <c r="BU454" s="188">
        <f t="shared" si="177"/>
        <v>0</v>
      </c>
      <c r="BV454" s="188" t="str">
        <f t="shared" si="178"/>
        <v xml:space="preserve"> </v>
      </c>
      <c r="BW454" s="188" t="str">
        <f t="shared" si="179"/>
        <v xml:space="preserve"> </v>
      </c>
      <c r="BX454" s="188" t="str">
        <f t="shared" si="180"/>
        <v xml:space="preserve"> </v>
      </c>
      <c r="BY454" s="50" t="str">
        <f t="shared" si="197"/>
        <v>CATARACT CREEK_Coho</v>
      </c>
      <c r="BZ454" s="50" t="str">
        <f>IFERROR(VLOOKUP(BY454,'[1]WCVI Esc'!$C$5:$W$555,18,FALSE),"-")</f>
        <v>-</v>
      </c>
      <c r="CA454" s="50" t="str">
        <f t="shared" si="182"/>
        <v>-</v>
      </c>
      <c r="CB454" s="50" t="str">
        <f>IFERROR(VLOOKUP(BY454,'[1]WCVI Esc'!$C$5:$W$555,19,FALSE),"-")</f>
        <v>-</v>
      </c>
      <c r="CC454" s="50" t="str">
        <f t="shared" si="183"/>
        <v>-</v>
      </c>
      <c r="CE454" s="342" t="str">
        <f t="shared" si="196"/>
        <v>CATARACT CREEK_Coho</v>
      </c>
      <c r="CF454" s="341" t="str">
        <f>IFERROR(VLOOKUP(BY454,'RawPL+D'!$O$8:$AB$503,12,FALSE),"-")</f>
        <v>-</v>
      </c>
      <c r="CG454" s="338" t="str">
        <f t="shared" si="185"/>
        <v>-</v>
      </c>
      <c r="CH454" s="341" t="str">
        <f>IFERROR(VLOOKUP(BY454,'RawPL+D'!$O$8:$AB$503,13,FALSE),"-")</f>
        <v>-</v>
      </c>
      <c r="CI454" s="338" t="str">
        <f t="shared" si="186"/>
        <v>-</v>
      </c>
    </row>
    <row r="455" spans="1:87" ht="12.75" hidden="1" customHeight="1" x14ac:dyDescent="0.2">
      <c r="A455" s="28">
        <v>4</v>
      </c>
      <c r="B455" s="28">
        <v>3</v>
      </c>
      <c r="C455" s="11">
        <v>23</v>
      </c>
      <c r="D455" s="148" t="s">
        <v>295</v>
      </c>
      <c r="E455" s="10" t="s">
        <v>171</v>
      </c>
      <c r="F455" s="10" t="s">
        <v>208</v>
      </c>
      <c r="G455" s="10"/>
      <c r="H455" s="10"/>
      <c r="I455" s="10"/>
      <c r="J455" s="10"/>
      <c r="K455" s="575"/>
      <c r="L455" s="152"/>
      <c r="M455" s="164"/>
      <c r="N455" s="62"/>
      <c r="O455" s="64"/>
      <c r="P455" s="177"/>
      <c r="Q455" s="171"/>
      <c r="R455" s="62"/>
      <c r="S455" s="62"/>
      <c r="T455" s="62"/>
      <c r="U455" s="177"/>
      <c r="V455" s="164"/>
      <c r="W455" s="62"/>
      <c r="X455" s="62"/>
      <c r="Y455" s="62"/>
      <c r="Z455" s="64"/>
      <c r="AA455" s="164"/>
      <c r="AB455" s="62"/>
      <c r="AC455" s="62"/>
      <c r="AD455" s="64"/>
      <c r="AE455" s="164"/>
      <c r="AF455" s="62"/>
      <c r="AG455" s="62"/>
      <c r="AH455" s="337"/>
      <c r="AI455" s="337"/>
      <c r="AJ455" s="337"/>
      <c r="AK455" s="337"/>
      <c r="AL455" s="414"/>
      <c r="AM455" s="414"/>
      <c r="AN455" s="45"/>
      <c r="AO455" s="45"/>
      <c r="AP455" s="45"/>
      <c r="AQ455" s="485"/>
      <c r="AR455" s="100"/>
      <c r="AS455" s="485"/>
      <c r="AT455" s="100"/>
      <c r="AU455" s="100"/>
      <c r="AV455" s="100"/>
      <c r="AW455" s="18">
        <v>23</v>
      </c>
      <c r="AX455" s="69" t="s">
        <v>295</v>
      </c>
      <c r="AY455" s="243" t="s">
        <v>171</v>
      </c>
      <c r="AZ455" s="243" t="str">
        <f t="shared" si="168"/>
        <v>Pink</v>
      </c>
      <c r="BA455" s="243" t="s">
        <v>419</v>
      </c>
      <c r="BB455" s="246"/>
      <c r="BC455" s="43" t="str">
        <f t="shared" si="169"/>
        <v>-</v>
      </c>
      <c r="BD455" s="43">
        <f t="shared" si="191"/>
        <v>0</v>
      </c>
      <c r="BE455" s="193">
        <f t="shared" si="188"/>
        <v>0</v>
      </c>
      <c r="BF455" s="193">
        <f t="shared" si="170"/>
        <v>0</v>
      </c>
      <c r="BG455" s="193">
        <f t="shared" si="171"/>
        <v>0</v>
      </c>
      <c r="BH455" s="307" t="str">
        <f t="shared" si="189"/>
        <v>-</v>
      </c>
      <c r="BI455" s="265" t="str">
        <f t="shared" si="198"/>
        <v>-</v>
      </c>
      <c r="BJ455" s="26" t="str">
        <f t="shared" si="172"/>
        <v>CATARACT CREEKPink</v>
      </c>
      <c r="BK455" s="26">
        <f t="shared" si="173"/>
        <v>0</v>
      </c>
      <c r="BL455" s="33">
        <f t="shared" si="192"/>
        <v>0</v>
      </c>
      <c r="BN455" s="34"/>
      <c r="BQ455" s="47" t="str">
        <f t="shared" si="174"/>
        <v>CATARACT CREEKPink</v>
      </c>
      <c r="BR455" s="49">
        <f t="shared" si="175"/>
        <v>0</v>
      </c>
      <c r="BS455" s="49">
        <f t="shared" si="176"/>
        <v>0</v>
      </c>
      <c r="BT455" s="31">
        <v>0</v>
      </c>
      <c r="BU455" s="188">
        <f t="shared" si="177"/>
        <v>0</v>
      </c>
      <c r="BV455" s="188" t="str">
        <f t="shared" si="178"/>
        <v xml:space="preserve"> </v>
      </c>
      <c r="BW455" s="188" t="str">
        <f t="shared" si="179"/>
        <v xml:space="preserve"> </v>
      </c>
      <c r="BX455" s="188" t="str">
        <f t="shared" si="180"/>
        <v xml:space="preserve"> </v>
      </c>
      <c r="BY455" s="50" t="str">
        <f t="shared" si="197"/>
        <v>CATARACT CREEK_Pink</v>
      </c>
      <c r="BZ455" s="50" t="str">
        <f>IFERROR(VLOOKUP(BY455,'[1]WCVI Esc'!$C$5:$W$555,18,FALSE),"-")</f>
        <v>-</v>
      </c>
      <c r="CA455" s="50" t="str">
        <f t="shared" si="182"/>
        <v>-</v>
      </c>
      <c r="CB455" s="50" t="str">
        <f>IFERROR(VLOOKUP(BY455,'[1]WCVI Esc'!$C$5:$W$555,19,FALSE),"-")</f>
        <v>-</v>
      </c>
      <c r="CC455" s="50" t="str">
        <f t="shared" si="183"/>
        <v>-</v>
      </c>
      <c r="CE455" s="342" t="str">
        <f t="shared" si="196"/>
        <v>CATARACT CREEK_Pink</v>
      </c>
      <c r="CF455" s="341" t="str">
        <f>IFERROR(VLOOKUP(BY455,'RawPL+D'!$O$8:$AB$503,12,FALSE),"-")</f>
        <v>-</v>
      </c>
      <c r="CG455" s="338" t="str">
        <f t="shared" si="185"/>
        <v>-</v>
      </c>
      <c r="CH455" s="341" t="str">
        <f>IFERROR(VLOOKUP(BY455,'RawPL+D'!$O$8:$AB$503,13,FALSE),"-")</f>
        <v>-</v>
      </c>
      <c r="CI455" s="338" t="str">
        <f t="shared" si="186"/>
        <v>-</v>
      </c>
    </row>
    <row r="456" spans="1:87" ht="12.75" hidden="1" customHeight="1" x14ac:dyDescent="0.2">
      <c r="A456" s="28">
        <v>4</v>
      </c>
      <c r="B456" s="28">
        <v>4</v>
      </c>
      <c r="C456" s="11">
        <v>23</v>
      </c>
      <c r="D456" s="148" t="s">
        <v>295</v>
      </c>
      <c r="E456" s="10" t="s">
        <v>171</v>
      </c>
      <c r="F456" s="10" t="s">
        <v>209</v>
      </c>
      <c r="G456" s="10"/>
      <c r="H456" s="10"/>
      <c r="I456" s="10"/>
      <c r="J456" s="10"/>
      <c r="K456" s="575"/>
      <c r="L456" s="152"/>
      <c r="M456" s="164"/>
      <c r="N456" s="62"/>
      <c r="O456" s="64"/>
      <c r="P456" s="177"/>
      <c r="Q456" s="171"/>
      <c r="R456" s="62"/>
      <c r="S456" s="62"/>
      <c r="T456" s="62"/>
      <c r="U456" s="177"/>
      <c r="V456" s="164"/>
      <c r="W456" s="62"/>
      <c r="X456" s="62"/>
      <c r="Y456" s="62"/>
      <c r="Z456" s="64"/>
      <c r="AA456" s="164"/>
      <c r="AB456" s="62"/>
      <c r="AC456" s="62"/>
      <c r="AD456" s="64"/>
      <c r="AE456" s="164"/>
      <c r="AF456" s="62"/>
      <c r="AG456" s="62"/>
      <c r="AH456" s="337"/>
      <c r="AI456" s="337"/>
      <c r="AJ456" s="337"/>
      <c r="AK456" s="337"/>
      <c r="AL456" s="414"/>
      <c r="AM456" s="414"/>
      <c r="AN456" s="45"/>
      <c r="AO456" s="45"/>
      <c r="AP456" s="45"/>
      <c r="AQ456" s="485"/>
      <c r="AR456" s="100"/>
      <c r="AS456" s="485"/>
      <c r="AT456" s="100"/>
      <c r="AU456" s="100"/>
      <c r="AV456" s="100"/>
      <c r="AW456" s="18">
        <v>23</v>
      </c>
      <c r="AX456" s="69" t="s">
        <v>295</v>
      </c>
      <c r="AY456" s="243" t="s">
        <v>171</v>
      </c>
      <c r="AZ456" s="243" t="str">
        <f t="shared" si="168"/>
        <v>Chum</v>
      </c>
      <c r="BA456" s="243" t="s">
        <v>419</v>
      </c>
      <c r="BB456" s="246"/>
      <c r="BC456" s="43" t="str">
        <f t="shared" si="169"/>
        <v>-</v>
      </c>
      <c r="BD456" s="43">
        <f t="shared" si="191"/>
        <v>0</v>
      </c>
      <c r="BE456" s="193">
        <f t="shared" si="188"/>
        <v>0</v>
      </c>
      <c r="BF456" s="193">
        <f t="shared" si="170"/>
        <v>0</v>
      </c>
      <c r="BG456" s="193">
        <f t="shared" si="171"/>
        <v>0</v>
      </c>
      <c r="BH456" s="307" t="str">
        <f t="shared" si="189"/>
        <v>-</v>
      </c>
      <c r="BI456" s="265" t="str">
        <f t="shared" si="198"/>
        <v>-</v>
      </c>
      <c r="BJ456" s="26" t="str">
        <f t="shared" si="172"/>
        <v>CATARACT CREEKChum</v>
      </c>
      <c r="BK456" s="26">
        <f t="shared" si="173"/>
        <v>0</v>
      </c>
      <c r="BL456" s="33">
        <f t="shared" si="192"/>
        <v>0</v>
      </c>
      <c r="BQ456" s="47" t="str">
        <f t="shared" si="174"/>
        <v>CATARACT CREEKChum</v>
      </c>
      <c r="BR456" s="49">
        <f t="shared" si="175"/>
        <v>0</v>
      </c>
      <c r="BS456" s="49">
        <f t="shared" si="176"/>
        <v>0</v>
      </c>
      <c r="BT456" s="31">
        <v>1999</v>
      </c>
      <c r="BU456" s="188">
        <f t="shared" si="177"/>
        <v>0</v>
      </c>
      <c r="BV456" s="188" t="str">
        <f t="shared" si="178"/>
        <v xml:space="preserve"> </v>
      </c>
      <c r="BW456" s="188" t="str">
        <f t="shared" si="179"/>
        <v xml:space="preserve"> </v>
      </c>
      <c r="BX456" s="188" t="str">
        <f t="shared" si="180"/>
        <v xml:space="preserve"> </v>
      </c>
      <c r="BY456" s="50" t="str">
        <f t="shared" si="197"/>
        <v>CATARACT CREEK_Chum</v>
      </c>
      <c r="BZ456" s="50" t="str">
        <f>IFERROR(VLOOKUP(BY456,'[1]WCVI Esc'!$C$5:$W$555,18,FALSE),"-")</f>
        <v>-</v>
      </c>
      <c r="CA456" s="50" t="str">
        <f t="shared" si="182"/>
        <v>-</v>
      </c>
      <c r="CB456" s="50" t="str">
        <f>IFERROR(VLOOKUP(BY456,'[1]WCVI Esc'!$C$5:$W$555,19,FALSE),"-")</f>
        <v>-</v>
      </c>
      <c r="CC456" s="50" t="str">
        <f t="shared" si="183"/>
        <v>-</v>
      </c>
      <c r="CE456" s="342" t="str">
        <f t="shared" si="196"/>
        <v>CATARACT CREEK_Chum</v>
      </c>
      <c r="CF456" s="341" t="str">
        <f>IFERROR(VLOOKUP(BY456,'RawPL+D'!$O$8:$AB$503,12,FALSE),"-")</f>
        <v>-</v>
      </c>
      <c r="CG456" s="338" t="str">
        <f t="shared" si="185"/>
        <v>-</v>
      </c>
      <c r="CH456" s="341" t="str">
        <f>IFERROR(VLOOKUP(BY456,'RawPL+D'!$O$8:$AB$503,13,FALSE),"-")</f>
        <v>-</v>
      </c>
      <c r="CI456" s="338" t="str">
        <f t="shared" si="186"/>
        <v>-</v>
      </c>
    </row>
    <row r="457" spans="1:87" ht="12.75" hidden="1" customHeight="1" x14ac:dyDescent="0.2">
      <c r="A457" s="28">
        <v>4</v>
      </c>
      <c r="B457" s="28">
        <v>5</v>
      </c>
      <c r="C457" s="11">
        <v>23</v>
      </c>
      <c r="D457" s="148" t="s">
        <v>295</v>
      </c>
      <c r="E457" s="10" t="s">
        <v>171</v>
      </c>
      <c r="F457" s="10" t="s">
        <v>210</v>
      </c>
      <c r="G457" s="10"/>
      <c r="H457" s="10"/>
      <c r="I457" s="10"/>
      <c r="J457" s="10"/>
      <c r="K457" s="575"/>
      <c r="L457" s="152"/>
      <c r="M457" s="164"/>
      <c r="N457" s="62"/>
      <c r="O457" s="64"/>
      <c r="P457" s="177"/>
      <c r="Q457" s="171"/>
      <c r="R457" s="62"/>
      <c r="S457" s="62"/>
      <c r="T457" s="62"/>
      <c r="U457" s="177"/>
      <c r="V457" s="164"/>
      <c r="W457" s="62"/>
      <c r="X457" s="62"/>
      <c r="Y457" s="62"/>
      <c r="Z457" s="64"/>
      <c r="AA457" s="164"/>
      <c r="AB457" s="62"/>
      <c r="AC457" s="62"/>
      <c r="AD457" s="64"/>
      <c r="AE457" s="164"/>
      <c r="AF457" s="62"/>
      <c r="AG457" s="62"/>
      <c r="AH457" s="337"/>
      <c r="AI457" s="337"/>
      <c r="AJ457" s="337"/>
      <c r="AK457" s="337"/>
      <c r="AL457" s="414"/>
      <c r="AM457" s="414"/>
      <c r="AN457" s="45"/>
      <c r="AO457" s="45"/>
      <c r="AP457" s="45"/>
      <c r="AQ457" s="485"/>
      <c r="AR457" s="100"/>
      <c r="AS457" s="485"/>
      <c r="AT457" s="100"/>
      <c r="AU457" s="100"/>
      <c r="AV457" s="100"/>
      <c r="AW457" s="18">
        <v>23</v>
      </c>
      <c r="AX457" s="69" t="s">
        <v>295</v>
      </c>
      <c r="AY457" s="243" t="s">
        <v>171</v>
      </c>
      <c r="AZ457" s="243" t="str">
        <f t="shared" ref="AZ457:AZ520" si="199">F457</f>
        <v>Chinook</v>
      </c>
      <c r="BA457" s="243" t="s">
        <v>419</v>
      </c>
      <c r="BB457" s="246"/>
      <c r="BC457" s="43" t="str">
        <f t="shared" ref="BC457:BC520" si="200">IF(BX457=" ",IF(BW457=" ", IF(BV457=" ","-",BV457),BW457), BX457)</f>
        <v>-</v>
      </c>
      <c r="BD457" s="43">
        <f t="shared" si="191"/>
        <v>0</v>
      </c>
      <c r="BE457" s="193">
        <f t="shared" si="188"/>
        <v>0</v>
      </c>
      <c r="BF457" s="193">
        <f t="shared" ref="BF457:BF520" si="201">AL457</f>
        <v>0</v>
      </c>
      <c r="BG457" s="193">
        <f t="shared" ref="BG457:BG520" si="202">AH457</f>
        <v>0</v>
      </c>
      <c r="BH457" s="307" t="str">
        <f t="shared" si="189"/>
        <v>-</v>
      </c>
      <c r="BI457" s="265" t="str">
        <f t="shared" si="198"/>
        <v>-</v>
      </c>
      <c r="BJ457" s="26" t="str">
        <f t="shared" ref="BJ457:BJ520" si="203">CONCATENATE(E457,F457)</f>
        <v>CATARACT CREEKChinook</v>
      </c>
      <c r="BK457" s="26">
        <f t="shared" ref="BK457:BK520" si="204">COUNT(K457:AB457)</f>
        <v>0</v>
      </c>
      <c r="BL457" s="33">
        <f t="shared" si="192"/>
        <v>0</v>
      </c>
      <c r="BQ457" s="47" t="str">
        <f t="shared" ref="BQ457:BQ520" si="205">CONCATENATE(E457,F457)</f>
        <v>CATARACT CREEKChinook</v>
      </c>
      <c r="BR457" s="49">
        <f t="shared" ref="BR457:BR520" si="206">AP457</f>
        <v>0</v>
      </c>
      <c r="BS457" s="49">
        <f t="shared" ref="BS457:BS520" si="207">AL457</f>
        <v>0</v>
      </c>
      <c r="BT457" s="31">
        <v>0</v>
      </c>
      <c r="BU457" s="188">
        <f t="shared" ref="BU457:BU520" si="208">BB457</f>
        <v>0</v>
      </c>
      <c r="BV457" s="188" t="str">
        <f t="shared" ref="BV457:BV520" si="209">IF(ISNUMBER(Q457),Q$8,IF(ISNUMBER(P457),P$8,IF(ISNUMBER(O457),O$8,IF(ISNUMBER(N457),N$8,IF(ISNUMBER(M457),M$8,IF(ISNUMBER(L457),L$8, IF(ISNUMBER(K457),K$8," ")))))))</f>
        <v xml:space="preserve"> </v>
      </c>
      <c r="BW457" s="188" t="str">
        <f t="shared" ref="BW457:BW520" si="210">IF(ISNUMBER(W457),W$8,IF(ISNUMBER(V457),V$8,IF(ISNUMBER(U457),U$8,IF(ISNUMBER(T457),T$8,IF(ISNUMBER(S457),S$8,IF(ISNUMBER(R457),R$8," "))))))</f>
        <v xml:space="preserve"> </v>
      </c>
      <c r="BX457" s="188" t="str">
        <f t="shared" ref="BX457:BX520" si="211">IF(ISNUMBER(AB457),AB$8,IF(ISNUMBER(AA457),AA$8,IF(ISNUMBER(Z457),Z$8,IF(ISNUMBER(Y457),Y$8,IF(ISNUMBER(X457),X$8," ")))))</f>
        <v xml:space="preserve"> </v>
      </c>
      <c r="BY457" s="50" t="str">
        <f t="shared" si="197"/>
        <v>CATARACT CREEK_Chinook</v>
      </c>
      <c r="BZ457" s="50" t="str">
        <f>IFERROR(VLOOKUP(BY457,'[1]WCVI Esc'!$C$5:$W$555,18,FALSE),"-")</f>
        <v>-</v>
      </c>
      <c r="CA457" s="50" t="str">
        <f t="shared" ref="CA457:CA520" si="212">IFERROR(ROUND(BZ457,-1),"-")</f>
        <v>-</v>
      </c>
      <c r="CB457" s="50" t="str">
        <f>IFERROR(VLOOKUP(BY457,'[1]WCVI Esc'!$C$5:$W$555,19,FALSE),"-")</f>
        <v>-</v>
      </c>
      <c r="CC457" s="50" t="str">
        <f t="shared" ref="CC457:CC520" si="213">IFERROR(ROUND(CB457,-1),"-")</f>
        <v>-</v>
      </c>
      <c r="CE457" s="342" t="str">
        <f t="shared" si="196"/>
        <v>CATARACT CREEK_Chinook</v>
      </c>
      <c r="CF457" s="341" t="str">
        <f>IFERROR(VLOOKUP(BY457,'RawPL+D'!$O$8:$AB$503,12,FALSE),"-")</f>
        <v>-</v>
      </c>
      <c r="CG457" s="338" t="str">
        <f t="shared" ref="CG457:CG520" si="214">IFERROR(ROUND(CF457,-1),"-")</f>
        <v>-</v>
      </c>
      <c r="CH457" s="341" t="str">
        <f>IFERROR(VLOOKUP(BY457,'RawPL+D'!$O$8:$AB$503,13,FALSE),"-")</f>
        <v>-</v>
      </c>
      <c r="CI457" s="338" t="str">
        <f t="shared" ref="CI457:CI520" si="215">IFERROR(ROUND(CH457,-1),"-")</f>
        <v>-</v>
      </c>
    </row>
    <row r="458" spans="1:87" ht="12.75" hidden="1" customHeight="1" x14ac:dyDescent="0.2">
      <c r="A458" s="28">
        <v>4</v>
      </c>
      <c r="B458" s="28">
        <v>6</v>
      </c>
      <c r="C458" s="11">
        <v>23</v>
      </c>
      <c r="D458" s="148" t="s">
        <v>295</v>
      </c>
      <c r="E458" s="10" t="s">
        <v>171</v>
      </c>
      <c r="F458" s="10" t="s">
        <v>211</v>
      </c>
      <c r="G458" s="10"/>
      <c r="H458" s="10"/>
      <c r="I458" s="10"/>
      <c r="J458" s="10"/>
      <c r="K458" s="575"/>
      <c r="L458" s="152"/>
      <c r="M458" s="164"/>
      <c r="N458" s="62"/>
      <c r="O458" s="64"/>
      <c r="P458" s="177"/>
      <c r="Q458" s="171"/>
      <c r="R458" s="62"/>
      <c r="S458" s="62"/>
      <c r="T458" s="62"/>
      <c r="U458" s="177"/>
      <c r="V458" s="164"/>
      <c r="W458" s="62"/>
      <c r="X458" s="62"/>
      <c r="Y458" s="62"/>
      <c r="Z458" s="64"/>
      <c r="AA458" s="164"/>
      <c r="AB458" s="62"/>
      <c r="AC458" s="62"/>
      <c r="AD458" s="64"/>
      <c r="AE458" s="164"/>
      <c r="AF458" s="62"/>
      <c r="AG458" s="62"/>
      <c r="AH458" s="337"/>
      <c r="AI458" s="337"/>
      <c r="AJ458" s="337"/>
      <c r="AK458" s="337"/>
      <c r="AL458" s="414"/>
      <c r="AM458" s="414"/>
      <c r="AN458" s="45"/>
      <c r="AO458" s="45"/>
      <c r="AP458" s="45"/>
      <c r="AQ458" s="485"/>
      <c r="AR458" s="100"/>
      <c r="AS458" s="485"/>
      <c r="AT458" s="100"/>
      <c r="AU458" s="100"/>
      <c r="AV458" s="100"/>
      <c r="AW458" s="18">
        <v>23</v>
      </c>
      <c r="AX458" s="69" t="s">
        <v>295</v>
      </c>
      <c r="AY458" s="243" t="s">
        <v>171</v>
      </c>
      <c r="AZ458" s="243" t="str">
        <f t="shared" si="199"/>
        <v>Steelhead</v>
      </c>
      <c r="BA458" s="243" t="s">
        <v>419</v>
      </c>
      <c r="BB458" s="246"/>
      <c r="BC458" s="43" t="str">
        <f t="shared" si="200"/>
        <v>-</v>
      </c>
      <c r="BD458" s="43">
        <f t="shared" si="191"/>
        <v>0</v>
      </c>
      <c r="BE458" s="193">
        <f t="shared" si="188"/>
        <v>0</v>
      </c>
      <c r="BF458" s="193">
        <f t="shared" si="201"/>
        <v>0</v>
      </c>
      <c r="BG458" s="193">
        <f t="shared" si="202"/>
        <v>0</v>
      </c>
      <c r="BH458" s="307" t="str">
        <f t="shared" si="189"/>
        <v>-</v>
      </c>
      <c r="BI458" s="265" t="str">
        <f t="shared" si="198"/>
        <v>-</v>
      </c>
      <c r="BJ458" s="26" t="str">
        <f t="shared" si="203"/>
        <v>CATARACT CREEKSteelhead</v>
      </c>
      <c r="BK458" s="26">
        <f t="shared" si="204"/>
        <v>0</v>
      </c>
      <c r="BL458" s="33">
        <f t="shared" si="192"/>
        <v>0</v>
      </c>
      <c r="BQ458" s="47" t="str">
        <f t="shared" si="205"/>
        <v>CATARACT CREEKSteelhead</v>
      </c>
      <c r="BR458" s="49">
        <f t="shared" si="206"/>
        <v>0</v>
      </c>
      <c r="BS458" s="49">
        <f t="shared" si="207"/>
        <v>0</v>
      </c>
      <c r="BT458" s="31">
        <v>0</v>
      </c>
      <c r="BU458" s="188">
        <f t="shared" si="208"/>
        <v>0</v>
      </c>
      <c r="BV458" s="188" t="str">
        <f t="shared" si="209"/>
        <v xml:space="preserve"> </v>
      </c>
      <c r="BW458" s="188" t="str">
        <f t="shared" si="210"/>
        <v xml:space="preserve"> </v>
      </c>
      <c r="BX458" s="188" t="str">
        <f t="shared" si="211"/>
        <v xml:space="preserve"> </v>
      </c>
      <c r="BY458" s="50" t="str">
        <f t="shared" si="197"/>
        <v>CATARACT CREEK_Steelhead</v>
      </c>
      <c r="BZ458" s="50" t="str">
        <f>IFERROR(VLOOKUP(BY458,'[1]WCVI Esc'!$C$5:$W$555,18,FALSE),"-")</f>
        <v>-</v>
      </c>
      <c r="CA458" s="50" t="str">
        <f t="shared" si="212"/>
        <v>-</v>
      </c>
      <c r="CB458" s="50" t="str">
        <f>IFERROR(VLOOKUP(BY458,'[1]WCVI Esc'!$C$5:$W$555,19,FALSE),"-")</f>
        <v>-</v>
      </c>
      <c r="CC458" s="50" t="str">
        <f t="shared" si="213"/>
        <v>-</v>
      </c>
      <c r="CE458" s="342" t="str">
        <f t="shared" si="196"/>
        <v>CATARACT CREEK_Steelhead</v>
      </c>
      <c r="CF458" s="341" t="str">
        <f>IFERROR(VLOOKUP(BY458,'RawPL+D'!$O$8:$AB$503,12,FALSE),"-")</f>
        <v>-</v>
      </c>
      <c r="CG458" s="338" t="str">
        <f t="shared" si="214"/>
        <v>-</v>
      </c>
      <c r="CH458" s="341" t="str">
        <f>IFERROR(VLOOKUP(BY458,'RawPL+D'!$O$8:$AB$503,13,FALSE),"-")</f>
        <v>-</v>
      </c>
      <c r="CI458" s="338" t="str">
        <f t="shared" si="215"/>
        <v>-</v>
      </c>
    </row>
    <row r="459" spans="1:87" ht="12.75" hidden="1" customHeight="1" x14ac:dyDescent="0.2">
      <c r="A459" s="28">
        <v>4</v>
      </c>
      <c r="B459" s="28">
        <v>1</v>
      </c>
      <c r="C459" s="11">
        <v>23</v>
      </c>
      <c r="D459" s="13" t="s">
        <v>295</v>
      </c>
      <c r="E459" s="10" t="s">
        <v>173</v>
      </c>
      <c r="F459" s="10" t="s">
        <v>207</v>
      </c>
      <c r="G459" s="10"/>
      <c r="H459" s="10"/>
      <c r="I459" s="10"/>
      <c r="J459" s="10"/>
      <c r="K459" s="575"/>
      <c r="L459" s="152"/>
      <c r="M459" s="164"/>
      <c r="N459" s="62"/>
      <c r="O459" s="62"/>
      <c r="P459" s="177"/>
      <c r="Q459" s="683">
        <v>0</v>
      </c>
      <c r="R459" s="94"/>
      <c r="S459" s="62"/>
      <c r="T459" s="62"/>
      <c r="U459" s="177"/>
      <c r="V459" s="641">
        <v>0</v>
      </c>
      <c r="W459" s="642">
        <v>0</v>
      </c>
      <c r="X459" s="94"/>
      <c r="Y459" s="62"/>
      <c r="Z459" s="64"/>
      <c r="AA459" s="164"/>
      <c r="AB459" s="64"/>
      <c r="AC459" s="62"/>
      <c r="AD459" s="64"/>
      <c r="AE459" s="164"/>
      <c r="AF459" s="62"/>
      <c r="AG459" s="62"/>
      <c r="AH459" s="337">
        <v>0</v>
      </c>
      <c r="AI459" s="337">
        <v>0</v>
      </c>
      <c r="AJ459" s="337">
        <v>0</v>
      </c>
      <c r="AK459" s="337">
        <v>0</v>
      </c>
      <c r="AL459" s="552">
        <v>0</v>
      </c>
      <c r="AM459" s="552">
        <v>0</v>
      </c>
      <c r="AN459" s="552" t="s">
        <v>765</v>
      </c>
      <c r="AO459" s="552" t="s">
        <v>773</v>
      </c>
      <c r="AP459" s="45"/>
      <c r="AQ459" s="485"/>
      <c r="AR459" s="100"/>
      <c r="AS459" s="485"/>
      <c r="AT459" s="24"/>
      <c r="AU459" s="24"/>
      <c r="AV459" s="24"/>
      <c r="AW459" s="18">
        <v>23</v>
      </c>
      <c r="AX459" s="69" t="s">
        <v>295</v>
      </c>
      <c r="AY459" s="243" t="s">
        <v>173</v>
      </c>
      <c r="AZ459" s="243" t="str">
        <f t="shared" si="199"/>
        <v>Sockeye</v>
      </c>
      <c r="BA459" s="243" t="s">
        <v>419</v>
      </c>
      <c r="BB459" s="244" t="s">
        <v>289</v>
      </c>
      <c r="BC459" s="43" t="str">
        <f t="shared" si="200"/>
        <v>Nov 12-18</v>
      </c>
      <c r="BD459" s="43">
        <f t="shared" si="191"/>
        <v>3</v>
      </c>
      <c r="BE459" s="193">
        <f t="shared" si="188"/>
        <v>0</v>
      </c>
      <c r="BF459" s="193">
        <f t="shared" si="201"/>
        <v>0</v>
      </c>
      <c r="BG459" s="193">
        <f t="shared" si="202"/>
        <v>0</v>
      </c>
      <c r="BH459" s="307" t="str">
        <f t="shared" si="189"/>
        <v>-</v>
      </c>
      <c r="BI459" s="265"/>
      <c r="BJ459" s="26" t="str">
        <f t="shared" si="203"/>
        <v>DRAW CREEKSockeye</v>
      </c>
      <c r="BK459" s="26">
        <f t="shared" si="204"/>
        <v>3</v>
      </c>
      <c r="BL459" s="33">
        <f t="shared" si="192"/>
        <v>0</v>
      </c>
      <c r="BQ459" s="47" t="str">
        <f t="shared" si="205"/>
        <v>DRAW CREEKSockeye</v>
      </c>
      <c r="BR459" s="49">
        <f t="shared" si="206"/>
        <v>0</v>
      </c>
      <c r="BS459" s="49">
        <f t="shared" si="207"/>
        <v>0</v>
      </c>
      <c r="BT459" s="31">
        <v>0</v>
      </c>
      <c r="BU459" s="188" t="str">
        <f t="shared" si="208"/>
        <v>TCES</v>
      </c>
      <c r="BV459" s="188" t="str">
        <f t="shared" si="209"/>
        <v>Oct 1-7</v>
      </c>
      <c r="BW459" s="188" t="str">
        <f t="shared" si="210"/>
        <v>Nov 12-18</v>
      </c>
      <c r="BX459" s="188" t="str">
        <f t="shared" si="211"/>
        <v xml:space="preserve"> </v>
      </c>
      <c r="BY459" s="50" t="str">
        <f t="shared" si="197"/>
        <v>DRAW CREEK_Sockeye</v>
      </c>
      <c r="BZ459" s="50" t="str">
        <f>IFERROR(VLOOKUP(BY459,'[1]WCVI Esc'!$C$5:$W$555,18,FALSE),"-")</f>
        <v>-</v>
      </c>
      <c r="CA459" s="50" t="str">
        <f t="shared" si="212"/>
        <v>-</v>
      </c>
      <c r="CB459" s="50" t="str">
        <f>IFERROR(VLOOKUP(BY459,'[1]WCVI Esc'!$C$5:$W$555,19,FALSE),"-")</f>
        <v>-</v>
      </c>
      <c r="CC459" s="50" t="str">
        <f t="shared" si="213"/>
        <v>-</v>
      </c>
      <c r="CE459" s="342" t="str">
        <f t="shared" si="196"/>
        <v>DRAW CREEK_Sockeye</v>
      </c>
      <c r="CF459" s="341" t="str">
        <f>IFERROR(VLOOKUP(BY459,'RawPL+D'!$O$8:$AB$503,12,FALSE),"-")</f>
        <v>-</v>
      </c>
      <c r="CG459" s="338" t="str">
        <f t="shared" si="214"/>
        <v>-</v>
      </c>
      <c r="CH459" s="341" t="str">
        <f>IFERROR(VLOOKUP(BY459,'RawPL+D'!$O$8:$AB$503,13,FALSE),"-")</f>
        <v>-</v>
      </c>
      <c r="CI459" s="338" t="str">
        <f t="shared" si="215"/>
        <v>-</v>
      </c>
    </row>
    <row r="460" spans="1:87" ht="12.75" hidden="1" customHeight="1" x14ac:dyDescent="0.2">
      <c r="A460" s="28">
        <v>4</v>
      </c>
      <c r="B460" s="28">
        <v>2</v>
      </c>
      <c r="C460" s="11">
        <v>23</v>
      </c>
      <c r="D460" s="13" t="s">
        <v>295</v>
      </c>
      <c r="E460" s="10" t="s">
        <v>173</v>
      </c>
      <c r="F460" s="10" t="s">
        <v>219</v>
      </c>
      <c r="G460" s="10"/>
      <c r="H460" s="10"/>
      <c r="I460" s="10"/>
      <c r="J460" s="10"/>
      <c r="K460" s="575"/>
      <c r="L460" s="152"/>
      <c r="M460" s="164"/>
      <c r="N460" s="62"/>
      <c r="O460" s="62"/>
      <c r="P460" s="177"/>
      <c r="Q460" s="683">
        <v>11</v>
      </c>
      <c r="R460" s="94"/>
      <c r="S460" s="62"/>
      <c r="T460" s="62"/>
      <c r="U460" s="496"/>
      <c r="V460" s="648">
        <v>54</v>
      </c>
      <c r="W460" s="675">
        <v>143</v>
      </c>
      <c r="X460" s="94"/>
      <c r="Y460" s="62"/>
      <c r="Z460" s="427"/>
      <c r="AA460" s="164"/>
      <c r="AB460" s="391"/>
      <c r="AC460" s="62"/>
      <c r="AD460" s="64"/>
      <c r="AE460" s="164"/>
      <c r="AF460" s="62"/>
      <c r="AG460" s="62"/>
      <c r="AH460" s="337">
        <v>159</v>
      </c>
      <c r="AI460" s="337">
        <v>20</v>
      </c>
      <c r="AJ460" s="337">
        <v>0</v>
      </c>
      <c r="AK460" s="337">
        <v>0</v>
      </c>
      <c r="AL460" s="552">
        <v>159</v>
      </c>
      <c r="AM460" s="552">
        <v>179</v>
      </c>
      <c r="AN460" s="841" t="s">
        <v>765</v>
      </c>
      <c r="AO460" s="45" t="s">
        <v>773</v>
      </c>
      <c r="AP460" s="45"/>
      <c r="AQ460" s="485"/>
      <c r="AR460" s="12"/>
      <c r="AS460" s="485"/>
      <c r="AT460" s="24"/>
      <c r="AU460" s="24"/>
      <c r="AV460" s="24"/>
      <c r="AW460" s="18">
        <v>23</v>
      </c>
      <c r="AX460" s="69" t="s">
        <v>295</v>
      </c>
      <c r="AY460" s="243" t="s">
        <v>173</v>
      </c>
      <c r="AZ460" s="243" t="str">
        <f t="shared" si="199"/>
        <v>Coho</v>
      </c>
      <c r="BA460" s="243" t="s">
        <v>419</v>
      </c>
      <c r="BB460" s="244" t="s">
        <v>289</v>
      </c>
      <c r="BC460" s="43" t="str">
        <f t="shared" si="200"/>
        <v>Nov 12-18</v>
      </c>
      <c r="BD460" s="43">
        <f t="shared" si="191"/>
        <v>3</v>
      </c>
      <c r="BE460" s="193">
        <f t="shared" si="188"/>
        <v>143</v>
      </c>
      <c r="BF460" s="193">
        <f t="shared" si="201"/>
        <v>159</v>
      </c>
      <c r="BG460" s="193">
        <f t="shared" si="202"/>
        <v>159</v>
      </c>
      <c r="BH460" s="307">
        <f t="shared" si="189"/>
        <v>290</v>
      </c>
      <c r="BI460" s="265" t="str">
        <f>CC460</f>
        <v>-</v>
      </c>
      <c r="BJ460" s="26" t="str">
        <f t="shared" si="203"/>
        <v>DRAW CREEKCoho</v>
      </c>
      <c r="BK460" s="26">
        <f t="shared" si="204"/>
        <v>3</v>
      </c>
      <c r="BL460" s="33">
        <f t="shared" si="192"/>
        <v>143</v>
      </c>
      <c r="BQ460" s="47" t="str">
        <f t="shared" si="205"/>
        <v>DRAW CREEKCoho</v>
      </c>
      <c r="BR460" s="49">
        <f t="shared" si="206"/>
        <v>0</v>
      </c>
      <c r="BS460" s="49">
        <f t="shared" si="207"/>
        <v>159</v>
      </c>
      <c r="BT460" s="31">
        <v>0</v>
      </c>
      <c r="BU460" s="188" t="str">
        <f t="shared" si="208"/>
        <v>TCES</v>
      </c>
      <c r="BV460" s="188" t="str">
        <f t="shared" si="209"/>
        <v>Oct 1-7</v>
      </c>
      <c r="BW460" s="188" t="str">
        <f t="shared" si="210"/>
        <v>Nov 12-18</v>
      </c>
      <c r="BX460" s="188" t="str">
        <f t="shared" si="211"/>
        <v xml:space="preserve"> </v>
      </c>
      <c r="BY460" s="50" t="str">
        <f t="shared" si="197"/>
        <v>DRAW CREEK_Coho</v>
      </c>
      <c r="BZ460" s="50" t="str">
        <f>IFERROR(VLOOKUP(BY460,'[1]WCVI Esc'!$C$5:$W$555,18,FALSE),"-")</f>
        <v>-</v>
      </c>
      <c r="CA460" s="50" t="str">
        <f t="shared" si="212"/>
        <v>-</v>
      </c>
      <c r="CB460" s="50" t="str">
        <f>IFERROR(VLOOKUP(BY460,'[1]WCVI Esc'!$C$5:$W$555,19,FALSE),"-")</f>
        <v>-</v>
      </c>
      <c r="CC460" s="50" t="str">
        <f t="shared" si="213"/>
        <v>-</v>
      </c>
      <c r="CE460" s="342" t="str">
        <f t="shared" si="196"/>
        <v>DRAW CREEK_Coho</v>
      </c>
      <c r="CF460" s="341">
        <f>IFERROR(VLOOKUP(BY460,'RawPL+D'!$O$8:$AB$503,12,FALSE),"-")</f>
        <v>417</v>
      </c>
      <c r="CG460" s="338">
        <f t="shared" si="214"/>
        <v>420</v>
      </c>
      <c r="CH460" s="341">
        <f>IFERROR(VLOOKUP(BY460,'RawPL+D'!$O$8:$AB$503,13,FALSE),"-")</f>
        <v>293</v>
      </c>
      <c r="CI460" s="338">
        <f t="shared" si="215"/>
        <v>290</v>
      </c>
    </row>
    <row r="461" spans="1:87" ht="12.75" hidden="1" customHeight="1" x14ac:dyDescent="0.2">
      <c r="A461" s="28">
        <v>4</v>
      </c>
      <c r="B461" s="28">
        <v>3</v>
      </c>
      <c r="C461" s="11">
        <v>23</v>
      </c>
      <c r="D461" s="13" t="s">
        <v>295</v>
      </c>
      <c r="E461" s="10" t="s">
        <v>173</v>
      </c>
      <c r="F461" s="10" t="s">
        <v>208</v>
      </c>
      <c r="G461" s="10"/>
      <c r="H461" s="10"/>
      <c r="I461" s="10"/>
      <c r="J461" s="10"/>
      <c r="K461" s="575"/>
      <c r="L461" s="152"/>
      <c r="M461" s="164"/>
      <c r="N461" s="62"/>
      <c r="O461" s="62"/>
      <c r="P461" s="177"/>
      <c r="Q461" s="683">
        <v>0</v>
      </c>
      <c r="R461" s="94"/>
      <c r="S461" s="62"/>
      <c r="T461" s="62"/>
      <c r="U461" s="177"/>
      <c r="V461" s="641">
        <v>0</v>
      </c>
      <c r="W461" s="642">
        <v>0</v>
      </c>
      <c r="X461" s="94"/>
      <c r="Y461" s="62"/>
      <c r="Z461" s="64"/>
      <c r="AA461" s="164"/>
      <c r="AB461" s="64"/>
      <c r="AC461" s="62"/>
      <c r="AD461" s="64"/>
      <c r="AE461" s="164"/>
      <c r="AF461" s="62"/>
      <c r="AG461" s="62"/>
      <c r="AH461" s="337">
        <v>0</v>
      </c>
      <c r="AI461" s="337">
        <v>0</v>
      </c>
      <c r="AJ461" s="337">
        <v>0</v>
      </c>
      <c r="AK461" s="337">
        <v>0</v>
      </c>
      <c r="AL461" s="552">
        <v>0</v>
      </c>
      <c r="AM461" s="552">
        <v>0</v>
      </c>
      <c r="AN461" s="552" t="s">
        <v>765</v>
      </c>
      <c r="AO461" s="552" t="s">
        <v>773</v>
      </c>
      <c r="AP461" s="45"/>
      <c r="AQ461" s="485"/>
      <c r="AR461" s="100"/>
      <c r="AS461" s="485"/>
      <c r="AT461" s="24"/>
      <c r="AU461" s="24"/>
      <c r="AV461" s="24"/>
      <c r="AW461" s="18">
        <v>23</v>
      </c>
      <c r="AX461" s="69" t="s">
        <v>295</v>
      </c>
      <c r="AY461" s="243" t="s">
        <v>173</v>
      </c>
      <c r="AZ461" s="243" t="str">
        <f t="shared" si="199"/>
        <v>Pink</v>
      </c>
      <c r="BA461" s="243" t="s">
        <v>419</v>
      </c>
      <c r="BB461" s="244" t="s">
        <v>289</v>
      </c>
      <c r="BC461" s="43" t="str">
        <f t="shared" si="200"/>
        <v>Nov 12-18</v>
      </c>
      <c r="BD461" s="43">
        <f t="shared" si="191"/>
        <v>3</v>
      </c>
      <c r="BE461" s="193">
        <f t="shared" si="188"/>
        <v>0</v>
      </c>
      <c r="BF461" s="193">
        <f t="shared" si="201"/>
        <v>0</v>
      </c>
      <c r="BG461" s="193">
        <f t="shared" si="202"/>
        <v>0</v>
      </c>
      <c r="BH461" s="307" t="str">
        <f t="shared" si="189"/>
        <v>-</v>
      </c>
      <c r="BI461" s="265"/>
      <c r="BJ461" s="26" t="str">
        <f t="shared" si="203"/>
        <v>DRAW CREEKPink</v>
      </c>
      <c r="BK461" s="26">
        <f t="shared" si="204"/>
        <v>3</v>
      </c>
      <c r="BL461" s="33">
        <f t="shared" si="192"/>
        <v>0</v>
      </c>
      <c r="BQ461" s="47" t="str">
        <f t="shared" si="205"/>
        <v>DRAW CREEKPink</v>
      </c>
      <c r="BR461" s="49">
        <f t="shared" si="206"/>
        <v>0</v>
      </c>
      <c r="BS461" s="49">
        <f t="shared" si="207"/>
        <v>0</v>
      </c>
      <c r="BT461" s="31">
        <v>0</v>
      </c>
      <c r="BU461" s="188" t="str">
        <f t="shared" si="208"/>
        <v>TCES</v>
      </c>
      <c r="BV461" s="188" t="str">
        <f t="shared" si="209"/>
        <v>Oct 1-7</v>
      </c>
      <c r="BW461" s="188" t="str">
        <f t="shared" si="210"/>
        <v>Nov 12-18</v>
      </c>
      <c r="BX461" s="188" t="str">
        <f t="shared" si="211"/>
        <v xml:space="preserve"> </v>
      </c>
      <c r="BY461" s="50" t="str">
        <f t="shared" si="197"/>
        <v>DRAW CREEK_Pink</v>
      </c>
      <c r="BZ461" s="50" t="str">
        <f>IFERROR(VLOOKUP(BY461,'[1]WCVI Esc'!$C$5:$W$555,18,FALSE),"-")</f>
        <v>-</v>
      </c>
      <c r="CA461" s="50" t="str">
        <f t="shared" si="212"/>
        <v>-</v>
      </c>
      <c r="CB461" s="50" t="str">
        <f>IFERROR(VLOOKUP(BY461,'[1]WCVI Esc'!$C$5:$W$555,19,FALSE),"-")</f>
        <v>-</v>
      </c>
      <c r="CC461" s="50" t="str">
        <f t="shared" si="213"/>
        <v>-</v>
      </c>
      <c r="CE461" s="342" t="str">
        <f t="shared" si="196"/>
        <v>DRAW CREEK_Pink</v>
      </c>
      <c r="CF461" s="341" t="str">
        <f>IFERROR(VLOOKUP(BY461,'RawPL+D'!$O$8:$AB$503,12,FALSE),"-")</f>
        <v>-</v>
      </c>
      <c r="CG461" s="338" t="str">
        <f t="shared" si="214"/>
        <v>-</v>
      </c>
      <c r="CH461" s="341" t="str">
        <f>IFERROR(VLOOKUP(BY461,'RawPL+D'!$O$8:$AB$503,13,FALSE),"-")</f>
        <v>-</v>
      </c>
      <c r="CI461" s="338" t="str">
        <f t="shared" si="215"/>
        <v>-</v>
      </c>
    </row>
    <row r="462" spans="1:87" ht="12.75" hidden="1" customHeight="1" x14ac:dyDescent="0.2">
      <c r="A462" s="28">
        <v>4</v>
      </c>
      <c r="B462" s="28">
        <v>4</v>
      </c>
      <c r="C462" s="11">
        <v>23</v>
      </c>
      <c r="D462" s="13" t="s">
        <v>295</v>
      </c>
      <c r="E462" s="10" t="s">
        <v>173</v>
      </c>
      <c r="F462" s="10" t="s">
        <v>209</v>
      </c>
      <c r="G462" s="10"/>
      <c r="H462" s="10"/>
      <c r="I462" s="10"/>
      <c r="J462" s="10"/>
      <c r="K462" s="575"/>
      <c r="L462" s="152"/>
      <c r="M462" s="164"/>
      <c r="N462" s="62"/>
      <c r="O462" s="62"/>
      <c r="P462" s="177"/>
      <c r="Q462" s="683">
        <v>0</v>
      </c>
      <c r="R462" s="94"/>
      <c r="S462" s="62"/>
      <c r="T462" s="62"/>
      <c r="U462" s="177"/>
      <c r="V462" s="641">
        <v>0</v>
      </c>
      <c r="W462" s="642">
        <v>0</v>
      </c>
      <c r="X462" s="94"/>
      <c r="Y462" s="62"/>
      <c r="Z462" s="64"/>
      <c r="AA462" s="164"/>
      <c r="AB462" s="64"/>
      <c r="AC462" s="62"/>
      <c r="AD462" s="64"/>
      <c r="AE462" s="164"/>
      <c r="AF462" s="62"/>
      <c r="AG462" s="62"/>
      <c r="AH462" s="337">
        <v>0</v>
      </c>
      <c r="AI462" s="337">
        <v>0</v>
      </c>
      <c r="AJ462" s="337">
        <v>0</v>
      </c>
      <c r="AK462" s="337">
        <v>0</v>
      </c>
      <c r="AL462" s="552">
        <v>0</v>
      </c>
      <c r="AM462" s="552">
        <v>0</v>
      </c>
      <c r="AN462" s="552" t="s">
        <v>765</v>
      </c>
      <c r="AO462" s="552" t="s">
        <v>773</v>
      </c>
      <c r="AP462" s="45"/>
      <c r="AQ462" s="485"/>
      <c r="AR462" s="100"/>
      <c r="AS462" s="485"/>
      <c r="AT462" s="24"/>
      <c r="AU462" s="24"/>
      <c r="AV462" s="24"/>
      <c r="AW462" s="18">
        <v>23</v>
      </c>
      <c r="AX462" s="69" t="s">
        <v>295</v>
      </c>
      <c r="AY462" s="243" t="s">
        <v>173</v>
      </c>
      <c r="AZ462" s="243" t="str">
        <f t="shared" si="199"/>
        <v>Chum</v>
      </c>
      <c r="BA462" s="243" t="s">
        <v>419</v>
      </c>
      <c r="BB462" s="244" t="s">
        <v>289</v>
      </c>
      <c r="BC462" s="43" t="str">
        <f t="shared" si="200"/>
        <v>Nov 12-18</v>
      </c>
      <c r="BD462" s="43">
        <f t="shared" si="191"/>
        <v>3</v>
      </c>
      <c r="BE462" s="193">
        <f t="shared" si="188"/>
        <v>0</v>
      </c>
      <c r="BF462" s="193">
        <f t="shared" si="201"/>
        <v>0</v>
      </c>
      <c r="BG462" s="193">
        <f t="shared" si="202"/>
        <v>0</v>
      </c>
      <c r="BH462" s="307" t="str">
        <f t="shared" si="189"/>
        <v>-</v>
      </c>
      <c r="BI462" s="265" t="str">
        <f>CC462</f>
        <v>-</v>
      </c>
      <c r="BJ462" s="26" t="str">
        <f t="shared" si="203"/>
        <v>DRAW CREEKChum</v>
      </c>
      <c r="BK462" s="26">
        <f t="shared" si="204"/>
        <v>3</v>
      </c>
      <c r="BL462" s="33">
        <f t="shared" si="192"/>
        <v>0</v>
      </c>
      <c r="BQ462" s="47" t="str">
        <f t="shared" si="205"/>
        <v>DRAW CREEKChum</v>
      </c>
      <c r="BR462" s="49">
        <f t="shared" si="206"/>
        <v>0</v>
      </c>
      <c r="BS462" s="49">
        <f t="shared" si="207"/>
        <v>0</v>
      </c>
      <c r="BT462" s="31">
        <v>0</v>
      </c>
      <c r="BU462" s="188" t="str">
        <f t="shared" si="208"/>
        <v>TCES</v>
      </c>
      <c r="BV462" s="188" t="str">
        <f t="shared" si="209"/>
        <v>Oct 1-7</v>
      </c>
      <c r="BW462" s="188" t="str">
        <f t="shared" si="210"/>
        <v>Nov 12-18</v>
      </c>
      <c r="BX462" s="188" t="str">
        <f t="shared" si="211"/>
        <v xml:space="preserve"> </v>
      </c>
      <c r="BY462" s="50" t="str">
        <f t="shared" si="197"/>
        <v>DRAW CREEK_Chum</v>
      </c>
      <c r="BZ462" s="50" t="str">
        <f>IFERROR(VLOOKUP(BY462,'[1]WCVI Esc'!$C$5:$W$555,18,FALSE),"-")</f>
        <v>-</v>
      </c>
      <c r="CA462" s="50" t="str">
        <f t="shared" si="212"/>
        <v>-</v>
      </c>
      <c r="CB462" s="50" t="str">
        <f>IFERROR(VLOOKUP(BY462,'[1]WCVI Esc'!$C$5:$W$555,19,FALSE),"-")</f>
        <v>-</v>
      </c>
      <c r="CC462" s="50" t="str">
        <f t="shared" si="213"/>
        <v>-</v>
      </c>
      <c r="CE462" s="342" t="str">
        <f t="shared" si="196"/>
        <v>DRAW CREEK_Chum</v>
      </c>
      <c r="CF462" s="341" t="str">
        <f>IFERROR(VLOOKUP(BY462,'RawPL+D'!$O$8:$AB$503,12,FALSE),"-")</f>
        <v>-</v>
      </c>
      <c r="CG462" s="338" t="str">
        <f t="shared" si="214"/>
        <v>-</v>
      </c>
      <c r="CH462" s="341" t="str">
        <f>IFERROR(VLOOKUP(BY462,'RawPL+D'!$O$8:$AB$503,13,FALSE),"-")</f>
        <v>-</v>
      </c>
      <c r="CI462" s="338" t="str">
        <f t="shared" si="215"/>
        <v>-</v>
      </c>
    </row>
    <row r="463" spans="1:87" ht="12.75" hidden="1" customHeight="1" x14ac:dyDescent="0.2">
      <c r="A463" s="28">
        <v>4</v>
      </c>
      <c r="B463" s="28">
        <v>5</v>
      </c>
      <c r="C463" s="11">
        <v>23</v>
      </c>
      <c r="D463" s="13" t="s">
        <v>295</v>
      </c>
      <c r="E463" s="10" t="s">
        <v>173</v>
      </c>
      <c r="F463" s="10" t="s">
        <v>210</v>
      </c>
      <c r="G463" s="10"/>
      <c r="H463" s="10"/>
      <c r="I463" s="10"/>
      <c r="J463" s="10"/>
      <c r="K463" s="575"/>
      <c r="L463" s="152"/>
      <c r="M463" s="164"/>
      <c r="N463" s="62"/>
      <c r="O463" s="62"/>
      <c r="P463" s="177"/>
      <c r="Q463" s="683">
        <v>0</v>
      </c>
      <c r="R463" s="94"/>
      <c r="S463" s="62"/>
      <c r="T463" s="62"/>
      <c r="U463" s="177"/>
      <c r="V463" s="641">
        <v>0</v>
      </c>
      <c r="W463" s="642">
        <v>0</v>
      </c>
      <c r="X463" s="94"/>
      <c r="Y463" s="62"/>
      <c r="Z463" s="64"/>
      <c r="AA463" s="164"/>
      <c r="AB463" s="64"/>
      <c r="AC463" s="62"/>
      <c r="AD463" s="64"/>
      <c r="AE463" s="164"/>
      <c r="AF463" s="62"/>
      <c r="AG463" s="62"/>
      <c r="AH463" s="337">
        <v>0</v>
      </c>
      <c r="AI463" s="337">
        <v>0</v>
      </c>
      <c r="AJ463" s="337">
        <v>0</v>
      </c>
      <c r="AK463" s="337">
        <v>0</v>
      </c>
      <c r="AL463" s="552">
        <v>0</v>
      </c>
      <c r="AM463" s="552">
        <v>0</v>
      </c>
      <c r="AN463" s="552" t="s">
        <v>765</v>
      </c>
      <c r="AO463" s="552" t="s">
        <v>773</v>
      </c>
      <c r="AP463" s="45"/>
      <c r="AQ463" s="485"/>
      <c r="AR463" s="100"/>
      <c r="AS463" s="485"/>
      <c r="AT463" s="24"/>
      <c r="AU463" s="24"/>
      <c r="AV463" s="24"/>
      <c r="AW463" s="18">
        <v>23</v>
      </c>
      <c r="AX463" s="69" t="s">
        <v>295</v>
      </c>
      <c r="AY463" s="243" t="s">
        <v>173</v>
      </c>
      <c r="AZ463" s="243" t="str">
        <f t="shared" si="199"/>
        <v>Chinook</v>
      </c>
      <c r="BA463" s="243" t="s">
        <v>419</v>
      </c>
      <c r="BB463" s="244" t="s">
        <v>289</v>
      </c>
      <c r="BC463" s="43" t="str">
        <f t="shared" si="200"/>
        <v>Nov 12-18</v>
      </c>
      <c r="BD463" s="43">
        <f t="shared" si="191"/>
        <v>3</v>
      </c>
      <c r="BE463" s="193">
        <f t="shared" si="188"/>
        <v>0</v>
      </c>
      <c r="BF463" s="193">
        <f t="shared" si="201"/>
        <v>0</v>
      </c>
      <c r="BG463" s="193">
        <f t="shared" si="202"/>
        <v>0</v>
      </c>
      <c r="BH463" s="307" t="str">
        <f t="shared" si="189"/>
        <v>-</v>
      </c>
      <c r="BI463" s="265"/>
      <c r="BJ463" s="26" t="str">
        <f t="shared" si="203"/>
        <v>DRAW CREEKChinook</v>
      </c>
      <c r="BK463" s="26">
        <f t="shared" si="204"/>
        <v>3</v>
      </c>
      <c r="BL463" s="33">
        <f t="shared" si="192"/>
        <v>0</v>
      </c>
      <c r="BQ463" s="47" t="str">
        <f t="shared" si="205"/>
        <v>DRAW CREEKChinook</v>
      </c>
      <c r="BR463" s="49">
        <f t="shared" si="206"/>
        <v>0</v>
      </c>
      <c r="BS463" s="49">
        <f t="shared" si="207"/>
        <v>0</v>
      </c>
      <c r="BT463" s="31">
        <v>0</v>
      </c>
      <c r="BU463" s="188" t="str">
        <f t="shared" si="208"/>
        <v>TCES</v>
      </c>
      <c r="BV463" s="188" t="str">
        <f t="shared" si="209"/>
        <v>Oct 1-7</v>
      </c>
      <c r="BW463" s="188" t="str">
        <f t="shared" si="210"/>
        <v>Nov 12-18</v>
      </c>
      <c r="BX463" s="188" t="str">
        <f t="shared" si="211"/>
        <v xml:space="preserve"> </v>
      </c>
      <c r="BY463" s="50" t="str">
        <f t="shared" si="197"/>
        <v>DRAW CREEK_Chinook</v>
      </c>
      <c r="BZ463" s="50" t="str">
        <f>IFERROR(VLOOKUP(BY463,'[1]WCVI Esc'!$C$5:$W$555,18,FALSE),"-")</f>
        <v>-</v>
      </c>
      <c r="CA463" s="50" t="str">
        <f t="shared" si="212"/>
        <v>-</v>
      </c>
      <c r="CB463" s="50" t="str">
        <f>IFERROR(VLOOKUP(BY463,'[1]WCVI Esc'!$C$5:$W$555,19,FALSE),"-")</f>
        <v>-</v>
      </c>
      <c r="CC463" s="50" t="str">
        <f t="shared" si="213"/>
        <v>-</v>
      </c>
      <c r="CE463" s="342" t="str">
        <f t="shared" si="196"/>
        <v>DRAW CREEK_Chinook</v>
      </c>
      <c r="CF463" s="341" t="str">
        <f>IFERROR(VLOOKUP(BY463,'RawPL+D'!$O$8:$AB$503,12,FALSE),"-")</f>
        <v>-</v>
      </c>
      <c r="CG463" s="338" t="str">
        <f t="shared" si="214"/>
        <v>-</v>
      </c>
      <c r="CH463" s="341" t="str">
        <f>IFERROR(VLOOKUP(BY463,'RawPL+D'!$O$8:$AB$503,13,FALSE),"-")</f>
        <v>-</v>
      </c>
      <c r="CI463" s="338" t="str">
        <f t="shared" si="215"/>
        <v>-</v>
      </c>
    </row>
    <row r="464" spans="1:87" ht="12.75" hidden="1" customHeight="1" x14ac:dyDescent="0.2">
      <c r="A464" s="28">
        <v>4</v>
      </c>
      <c r="B464" s="28">
        <v>6</v>
      </c>
      <c r="C464" s="11">
        <v>23</v>
      </c>
      <c r="D464" s="13" t="s">
        <v>295</v>
      </c>
      <c r="E464" s="10" t="s">
        <v>173</v>
      </c>
      <c r="F464" s="10" t="s">
        <v>211</v>
      </c>
      <c r="G464" s="10"/>
      <c r="H464" s="10"/>
      <c r="I464" s="10"/>
      <c r="J464" s="10"/>
      <c r="K464" s="575"/>
      <c r="L464" s="152"/>
      <c r="M464" s="164"/>
      <c r="N464" s="62"/>
      <c r="O464" s="62"/>
      <c r="P464" s="177"/>
      <c r="Q464" s="683">
        <v>1</v>
      </c>
      <c r="R464" s="94"/>
      <c r="S464" s="62"/>
      <c r="T464" s="62"/>
      <c r="U464" s="177"/>
      <c r="V464" s="641">
        <v>2</v>
      </c>
      <c r="W464" s="642">
        <v>1</v>
      </c>
      <c r="X464" s="94"/>
      <c r="Y464" s="62"/>
      <c r="Z464" s="64"/>
      <c r="AA464" s="164"/>
      <c r="AB464" s="64"/>
      <c r="AC464" s="62"/>
      <c r="AD464" s="64"/>
      <c r="AE464" s="164"/>
      <c r="AF464" s="62"/>
      <c r="AG464" s="62"/>
      <c r="AH464" s="337"/>
      <c r="AI464" s="337"/>
      <c r="AJ464" s="337"/>
      <c r="AK464" s="337"/>
      <c r="AL464" s="552"/>
      <c r="AM464" s="552"/>
      <c r="AN464" s="45"/>
      <c r="AO464" s="45"/>
      <c r="AP464" s="45"/>
      <c r="AQ464" s="485"/>
      <c r="AR464" s="100"/>
      <c r="AS464" s="485"/>
      <c r="AT464" s="24"/>
      <c r="AU464" s="24"/>
      <c r="AV464" s="24"/>
      <c r="AW464" s="18">
        <v>23</v>
      </c>
      <c r="AX464" s="69" t="s">
        <v>295</v>
      </c>
      <c r="AY464" s="243" t="s">
        <v>173</v>
      </c>
      <c r="AZ464" s="243" t="str">
        <f t="shared" si="199"/>
        <v>Steelhead</v>
      </c>
      <c r="BA464" s="243" t="s">
        <v>419</v>
      </c>
      <c r="BB464" s="244" t="s">
        <v>289</v>
      </c>
      <c r="BC464" s="43" t="str">
        <f t="shared" si="200"/>
        <v>Nov 12-18</v>
      </c>
      <c r="BD464" s="43">
        <f t="shared" si="191"/>
        <v>3</v>
      </c>
      <c r="BE464" s="193">
        <f t="shared" si="188"/>
        <v>2</v>
      </c>
      <c r="BF464" s="193">
        <f t="shared" si="201"/>
        <v>0</v>
      </c>
      <c r="BG464" s="193">
        <f t="shared" si="202"/>
        <v>0</v>
      </c>
      <c r="BH464" s="307" t="str">
        <f t="shared" si="189"/>
        <v>-</v>
      </c>
      <c r="BI464" s="265" t="str">
        <f t="shared" ref="BI464:BI482" si="216">CC464</f>
        <v>-</v>
      </c>
      <c r="BJ464" s="26" t="str">
        <f t="shared" si="203"/>
        <v>DRAW CREEKSteelhead</v>
      </c>
      <c r="BK464" s="26">
        <f t="shared" si="204"/>
        <v>3</v>
      </c>
      <c r="BL464" s="33">
        <f t="shared" si="192"/>
        <v>2</v>
      </c>
      <c r="BQ464" s="47" t="str">
        <f t="shared" si="205"/>
        <v>DRAW CREEKSteelhead</v>
      </c>
      <c r="BR464" s="49">
        <f t="shared" si="206"/>
        <v>0</v>
      </c>
      <c r="BS464" s="49">
        <f t="shared" si="207"/>
        <v>0</v>
      </c>
      <c r="BT464" s="31">
        <v>0</v>
      </c>
      <c r="BU464" s="188" t="str">
        <f t="shared" si="208"/>
        <v>TCES</v>
      </c>
      <c r="BV464" s="188" t="str">
        <f t="shared" si="209"/>
        <v>Oct 1-7</v>
      </c>
      <c r="BW464" s="188" t="str">
        <f t="shared" si="210"/>
        <v>Nov 12-18</v>
      </c>
      <c r="BX464" s="188" t="str">
        <f t="shared" si="211"/>
        <v xml:space="preserve"> </v>
      </c>
      <c r="BY464" s="50" t="str">
        <f t="shared" si="197"/>
        <v>DRAW CREEK_Steelhead</v>
      </c>
      <c r="BZ464" s="50" t="str">
        <f>IFERROR(VLOOKUP(BY464,'[1]WCVI Esc'!$C$5:$W$555,18,FALSE),"-")</f>
        <v>-</v>
      </c>
      <c r="CA464" s="50" t="str">
        <f t="shared" si="212"/>
        <v>-</v>
      </c>
      <c r="CB464" s="50" t="str">
        <f>IFERROR(VLOOKUP(BY464,'[1]WCVI Esc'!$C$5:$W$555,19,FALSE),"-")</f>
        <v>-</v>
      </c>
      <c r="CC464" s="50" t="str">
        <f t="shared" si="213"/>
        <v>-</v>
      </c>
      <c r="CE464" s="342" t="str">
        <f t="shared" si="196"/>
        <v>DRAW CREEK_Steelhead</v>
      </c>
      <c r="CF464" s="341" t="str">
        <f>IFERROR(VLOOKUP(BY464,'RawPL+D'!$O$8:$AB$503,12,FALSE),"-")</f>
        <v>-</v>
      </c>
      <c r="CG464" s="338" t="str">
        <f t="shared" si="214"/>
        <v>-</v>
      </c>
      <c r="CH464" s="341" t="str">
        <f>IFERROR(VLOOKUP(BY464,'RawPL+D'!$O$8:$AB$503,13,FALSE),"-")</f>
        <v>-</v>
      </c>
      <c r="CI464" s="338" t="str">
        <f t="shared" si="215"/>
        <v>-</v>
      </c>
    </row>
    <row r="465" spans="1:87" ht="12.75" hidden="1" customHeight="1" x14ac:dyDescent="0.2">
      <c r="A465" s="28">
        <v>4</v>
      </c>
      <c r="B465" s="28">
        <v>1</v>
      </c>
      <c r="C465" s="11">
        <v>23</v>
      </c>
      <c r="D465" s="148" t="s">
        <v>295</v>
      </c>
      <c r="E465" s="10" t="s">
        <v>94</v>
      </c>
      <c r="F465" s="10" t="s">
        <v>207</v>
      </c>
      <c r="G465" s="10"/>
      <c r="H465" s="10"/>
      <c r="I465" s="10"/>
      <c r="J465" s="10"/>
      <c r="K465" s="575"/>
      <c r="L465" s="152"/>
      <c r="M465" s="164"/>
      <c r="N465" s="62"/>
      <c r="O465" s="62"/>
      <c r="P465" s="177"/>
      <c r="Q465" s="171"/>
      <c r="R465" s="62"/>
      <c r="S465" s="62"/>
      <c r="T465" s="64"/>
      <c r="U465" s="177"/>
      <c r="V465" s="164"/>
      <c r="W465" s="62"/>
      <c r="X465" s="62"/>
      <c r="Y465" s="62"/>
      <c r="Z465" s="64"/>
      <c r="AA465" s="164"/>
      <c r="AB465" s="62"/>
      <c r="AC465" s="62"/>
      <c r="AD465" s="64"/>
      <c r="AE465" s="164"/>
      <c r="AF465" s="62"/>
      <c r="AG465" s="62"/>
      <c r="AH465" s="337"/>
      <c r="AI465" s="337"/>
      <c r="AJ465" s="337"/>
      <c r="AK465" s="337"/>
      <c r="AL465" s="414"/>
      <c r="AM465" s="414"/>
      <c r="AN465" s="45"/>
      <c r="AO465" s="45"/>
      <c r="AP465" s="45"/>
      <c r="AQ465" s="485"/>
      <c r="AR465" s="100"/>
      <c r="AS465" s="485"/>
      <c r="AT465" s="24"/>
      <c r="AU465" s="24"/>
      <c r="AV465" s="24"/>
      <c r="AW465" s="18">
        <v>23</v>
      </c>
      <c r="AX465" s="69" t="s">
        <v>295</v>
      </c>
      <c r="AY465" s="243" t="s">
        <v>94</v>
      </c>
      <c r="AZ465" s="243" t="str">
        <f t="shared" si="199"/>
        <v>Sockeye</v>
      </c>
      <c r="BA465" s="243" t="s">
        <v>419</v>
      </c>
      <c r="BB465" s="246"/>
      <c r="BC465" s="43" t="str">
        <f t="shared" si="200"/>
        <v>-</v>
      </c>
      <c r="BD465" s="43">
        <f t="shared" si="191"/>
        <v>0</v>
      </c>
      <c r="BE465" s="193">
        <f t="shared" ref="BE465:BE528" si="217">BL465</f>
        <v>0</v>
      </c>
      <c r="BF465" s="193">
        <f t="shared" si="201"/>
        <v>0</v>
      </c>
      <c r="BG465" s="193">
        <f t="shared" si="202"/>
        <v>0</v>
      </c>
      <c r="BH465" s="307" t="str">
        <f t="shared" si="189"/>
        <v>-</v>
      </c>
      <c r="BI465" s="265" t="str">
        <f t="shared" si="216"/>
        <v>-</v>
      </c>
      <c r="BJ465" s="26" t="str">
        <f t="shared" si="203"/>
        <v>DUTCH HARBOUR CREEK EASTSockeye</v>
      </c>
      <c r="BK465" s="26">
        <f t="shared" si="204"/>
        <v>0</v>
      </c>
      <c r="BL465" s="33">
        <f t="shared" si="192"/>
        <v>0</v>
      </c>
      <c r="BQ465" s="47" t="str">
        <f t="shared" si="205"/>
        <v>DUTCH HARBOUR CREEK EASTSockeye</v>
      </c>
      <c r="BR465" s="49">
        <f t="shared" si="206"/>
        <v>0</v>
      </c>
      <c r="BS465" s="49">
        <f t="shared" si="207"/>
        <v>0</v>
      </c>
      <c r="BT465" s="31">
        <v>0</v>
      </c>
      <c r="BU465" s="188">
        <f t="shared" si="208"/>
        <v>0</v>
      </c>
      <c r="BV465" s="188" t="str">
        <f t="shared" si="209"/>
        <v xml:space="preserve"> </v>
      </c>
      <c r="BW465" s="188" t="str">
        <f t="shared" si="210"/>
        <v xml:space="preserve"> </v>
      </c>
      <c r="BX465" s="188" t="str">
        <f t="shared" si="211"/>
        <v xml:space="preserve"> </v>
      </c>
      <c r="BY465" s="50" t="str">
        <f t="shared" si="197"/>
        <v>DUTCH HARBOUR CREEK EAST_Sockeye</v>
      </c>
      <c r="BZ465" s="50" t="str">
        <f>IFERROR(VLOOKUP(BY465,'[1]WCVI Esc'!$C$5:$W$555,18,FALSE),"-")</f>
        <v>-</v>
      </c>
      <c r="CA465" s="50" t="str">
        <f t="shared" si="212"/>
        <v>-</v>
      </c>
      <c r="CB465" s="50" t="str">
        <f>IFERROR(VLOOKUP(BY465,'[1]WCVI Esc'!$C$5:$W$555,19,FALSE),"-")</f>
        <v>-</v>
      </c>
      <c r="CC465" s="50" t="str">
        <f t="shared" si="213"/>
        <v>-</v>
      </c>
      <c r="CE465" s="342" t="str">
        <f t="shared" si="196"/>
        <v>DUTCH HARBOUR CREEK EAST_Sockeye</v>
      </c>
      <c r="CF465" s="341" t="str">
        <f>IFERROR(VLOOKUP(BY465,'RawPL+D'!$O$8:$AB$503,12,FALSE),"-")</f>
        <v>-</v>
      </c>
      <c r="CG465" s="338" t="str">
        <f t="shared" si="214"/>
        <v>-</v>
      </c>
      <c r="CH465" s="341" t="str">
        <f>IFERROR(VLOOKUP(BY465,'RawPL+D'!$O$8:$AB$503,13,FALSE),"-")</f>
        <v>-</v>
      </c>
      <c r="CI465" s="338" t="str">
        <f t="shared" si="215"/>
        <v>-</v>
      </c>
    </row>
    <row r="466" spans="1:87" ht="12.75" hidden="1" customHeight="1" x14ac:dyDescent="0.2">
      <c r="A466" s="28">
        <v>4</v>
      </c>
      <c r="B466" s="28">
        <v>2</v>
      </c>
      <c r="C466" s="11">
        <v>23</v>
      </c>
      <c r="D466" s="148" t="s">
        <v>295</v>
      </c>
      <c r="E466" s="10" t="s">
        <v>94</v>
      </c>
      <c r="F466" s="10" t="s">
        <v>219</v>
      </c>
      <c r="G466" s="10"/>
      <c r="H466" s="10"/>
      <c r="I466" s="10"/>
      <c r="J466" s="10"/>
      <c r="K466" s="575"/>
      <c r="L466" s="152"/>
      <c r="M466" s="164"/>
      <c r="N466" s="62"/>
      <c r="O466" s="62"/>
      <c r="P466" s="177"/>
      <c r="Q466" s="171"/>
      <c r="R466" s="62"/>
      <c r="S466" s="62"/>
      <c r="T466" s="64"/>
      <c r="U466" s="177"/>
      <c r="V466" s="164"/>
      <c r="W466" s="62"/>
      <c r="X466" s="62"/>
      <c r="Y466" s="62"/>
      <c r="Z466" s="64"/>
      <c r="AA466" s="164"/>
      <c r="AB466" s="62"/>
      <c r="AC466" s="62"/>
      <c r="AD466" s="64"/>
      <c r="AE466" s="164"/>
      <c r="AF466" s="62"/>
      <c r="AG466" s="62"/>
      <c r="AH466" s="337"/>
      <c r="AI466" s="337"/>
      <c r="AJ466" s="337"/>
      <c r="AK466" s="337"/>
      <c r="AL466" s="414"/>
      <c r="AM466" s="414"/>
      <c r="AN466" s="45"/>
      <c r="AO466" s="45"/>
      <c r="AP466" s="45"/>
      <c r="AQ466" s="485"/>
      <c r="AR466" s="100"/>
      <c r="AS466" s="485"/>
      <c r="AT466" s="24"/>
      <c r="AU466" s="24"/>
      <c r="AV466" s="24"/>
      <c r="AW466" s="18">
        <v>23</v>
      </c>
      <c r="AX466" s="69" t="s">
        <v>295</v>
      </c>
      <c r="AY466" s="243" t="s">
        <v>94</v>
      </c>
      <c r="AZ466" s="243" t="str">
        <f t="shared" si="199"/>
        <v>Coho</v>
      </c>
      <c r="BA466" s="243" t="s">
        <v>419</v>
      </c>
      <c r="BB466" s="246"/>
      <c r="BC466" s="43" t="str">
        <f t="shared" si="200"/>
        <v>-</v>
      </c>
      <c r="BD466" s="43">
        <f t="shared" si="191"/>
        <v>0</v>
      </c>
      <c r="BE466" s="193">
        <f t="shared" si="217"/>
        <v>0</v>
      </c>
      <c r="BF466" s="193">
        <f t="shared" si="201"/>
        <v>0</v>
      </c>
      <c r="BG466" s="193">
        <f t="shared" si="202"/>
        <v>0</v>
      </c>
      <c r="BH466" s="307" t="str">
        <f t="shared" si="189"/>
        <v>-</v>
      </c>
      <c r="BI466" s="265" t="str">
        <f t="shared" si="216"/>
        <v>-</v>
      </c>
      <c r="BJ466" s="26" t="str">
        <f t="shared" si="203"/>
        <v>DUTCH HARBOUR CREEK EASTCoho</v>
      </c>
      <c r="BK466" s="26">
        <f t="shared" si="204"/>
        <v>0</v>
      </c>
      <c r="BL466" s="33">
        <f t="shared" si="192"/>
        <v>0</v>
      </c>
      <c r="BQ466" s="47" t="str">
        <f t="shared" si="205"/>
        <v>DUTCH HARBOUR CREEK EASTCoho</v>
      </c>
      <c r="BR466" s="49">
        <f t="shared" si="206"/>
        <v>0</v>
      </c>
      <c r="BS466" s="49">
        <f t="shared" si="207"/>
        <v>0</v>
      </c>
      <c r="BT466" s="31">
        <v>2004</v>
      </c>
      <c r="BU466" s="188">
        <f t="shared" si="208"/>
        <v>0</v>
      </c>
      <c r="BV466" s="188" t="str">
        <f t="shared" si="209"/>
        <v xml:space="preserve"> </v>
      </c>
      <c r="BW466" s="188" t="str">
        <f t="shared" si="210"/>
        <v xml:space="preserve"> </v>
      </c>
      <c r="BX466" s="188" t="str">
        <f t="shared" si="211"/>
        <v xml:space="preserve"> </v>
      </c>
      <c r="BY466" s="50" t="str">
        <f t="shared" si="197"/>
        <v>DUTCH HARBOUR CREEK EAST_Coho</v>
      </c>
      <c r="BZ466" s="50" t="str">
        <f>IFERROR(VLOOKUP(BY466,'[1]WCVI Esc'!$C$5:$W$555,18,FALSE),"-")</f>
        <v>-</v>
      </c>
      <c r="CA466" s="50" t="str">
        <f t="shared" si="212"/>
        <v>-</v>
      </c>
      <c r="CB466" s="50" t="str">
        <f>IFERROR(VLOOKUP(BY466,'[1]WCVI Esc'!$C$5:$W$555,19,FALSE),"-")</f>
        <v>-</v>
      </c>
      <c r="CC466" s="50" t="str">
        <f t="shared" si="213"/>
        <v>-</v>
      </c>
      <c r="CE466" s="342" t="str">
        <f t="shared" si="196"/>
        <v>DUTCH HARBOUR CREEK EAST_Coho</v>
      </c>
      <c r="CF466" s="341" t="str">
        <f>IFERROR(VLOOKUP(BY466,'RawPL+D'!$O$8:$AB$503,12,FALSE),"-")</f>
        <v>-</v>
      </c>
      <c r="CG466" s="338" t="str">
        <f t="shared" si="214"/>
        <v>-</v>
      </c>
      <c r="CH466" s="341" t="str">
        <f>IFERROR(VLOOKUP(BY466,'RawPL+D'!$O$8:$AB$503,13,FALSE),"-")</f>
        <v>-</v>
      </c>
      <c r="CI466" s="338" t="str">
        <f t="shared" si="215"/>
        <v>-</v>
      </c>
    </row>
    <row r="467" spans="1:87" ht="12.75" hidden="1" customHeight="1" x14ac:dyDescent="0.2">
      <c r="A467" s="28">
        <v>4</v>
      </c>
      <c r="B467" s="28">
        <v>3</v>
      </c>
      <c r="C467" s="11">
        <v>23</v>
      </c>
      <c r="D467" s="148" t="s">
        <v>295</v>
      </c>
      <c r="E467" s="10" t="s">
        <v>94</v>
      </c>
      <c r="F467" s="10" t="s">
        <v>208</v>
      </c>
      <c r="G467" s="10"/>
      <c r="H467" s="10"/>
      <c r="I467" s="10"/>
      <c r="J467" s="10"/>
      <c r="K467" s="575"/>
      <c r="L467" s="152"/>
      <c r="M467" s="164"/>
      <c r="N467" s="62"/>
      <c r="O467" s="62"/>
      <c r="P467" s="177"/>
      <c r="Q467" s="171"/>
      <c r="R467" s="62"/>
      <c r="S467" s="62"/>
      <c r="T467" s="64"/>
      <c r="U467" s="177"/>
      <c r="V467" s="164"/>
      <c r="W467" s="62"/>
      <c r="X467" s="62"/>
      <c r="Y467" s="62"/>
      <c r="Z467" s="64"/>
      <c r="AA467" s="164"/>
      <c r="AB467" s="62"/>
      <c r="AC467" s="62"/>
      <c r="AD467" s="64"/>
      <c r="AE467" s="164"/>
      <c r="AF467" s="62"/>
      <c r="AG467" s="62"/>
      <c r="AH467" s="337"/>
      <c r="AI467" s="337"/>
      <c r="AJ467" s="337"/>
      <c r="AK467" s="337"/>
      <c r="AL467" s="414"/>
      <c r="AM467" s="414"/>
      <c r="AN467" s="45"/>
      <c r="AO467" s="45"/>
      <c r="AP467" s="45"/>
      <c r="AQ467" s="485"/>
      <c r="AR467" s="100"/>
      <c r="AS467" s="485"/>
      <c r="AT467" s="24"/>
      <c r="AU467" s="24"/>
      <c r="AV467" s="24"/>
      <c r="AW467" s="18">
        <v>23</v>
      </c>
      <c r="AX467" s="69" t="s">
        <v>295</v>
      </c>
      <c r="AY467" s="243" t="s">
        <v>94</v>
      </c>
      <c r="AZ467" s="243" t="str">
        <f t="shared" si="199"/>
        <v>Pink</v>
      </c>
      <c r="BA467" s="243" t="s">
        <v>419</v>
      </c>
      <c r="BB467" s="246"/>
      <c r="BC467" s="43" t="str">
        <f t="shared" si="200"/>
        <v>-</v>
      </c>
      <c r="BD467" s="43">
        <f t="shared" si="191"/>
        <v>0</v>
      </c>
      <c r="BE467" s="193">
        <f t="shared" si="217"/>
        <v>0</v>
      </c>
      <c r="BF467" s="193">
        <f t="shared" si="201"/>
        <v>0</v>
      </c>
      <c r="BG467" s="193">
        <f t="shared" si="202"/>
        <v>0</v>
      </c>
      <c r="BH467" s="307" t="str">
        <f t="shared" si="189"/>
        <v>-</v>
      </c>
      <c r="BI467" s="265" t="str">
        <f t="shared" si="216"/>
        <v>-</v>
      </c>
      <c r="BJ467" s="26" t="str">
        <f t="shared" si="203"/>
        <v>DUTCH HARBOUR CREEK EASTPink</v>
      </c>
      <c r="BK467" s="26">
        <f t="shared" si="204"/>
        <v>0</v>
      </c>
      <c r="BL467" s="33">
        <f t="shared" si="192"/>
        <v>0</v>
      </c>
      <c r="BQ467" s="47" t="str">
        <f t="shared" si="205"/>
        <v>DUTCH HARBOUR CREEK EASTPink</v>
      </c>
      <c r="BR467" s="49">
        <f t="shared" si="206"/>
        <v>0</v>
      </c>
      <c r="BS467" s="49">
        <f t="shared" si="207"/>
        <v>0</v>
      </c>
      <c r="BT467" s="31">
        <v>0</v>
      </c>
      <c r="BU467" s="188">
        <f t="shared" si="208"/>
        <v>0</v>
      </c>
      <c r="BV467" s="188" t="str">
        <f t="shared" si="209"/>
        <v xml:space="preserve"> </v>
      </c>
      <c r="BW467" s="188" t="str">
        <f t="shared" si="210"/>
        <v xml:space="preserve"> </v>
      </c>
      <c r="BX467" s="188" t="str">
        <f t="shared" si="211"/>
        <v xml:space="preserve"> </v>
      </c>
      <c r="BY467" s="50" t="str">
        <f t="shared" si="197"/>
        <v>DUTCH HARBOUR CREEK EAST_Pink</v>
      </c>
      <c r="BZ467" s="50" t="str">
        <f>IFERROR(VLOOKUP(BY467,'[1]WCVI Esc'!$C$5:$W$555,18,FALSE),"-")</f>
        <v>-</v>
      </c>
      <c r="CA467" s="50" t="str">
        <f t="shared" si="212"/>
        <v>-</v>
      </c>
      <c r="CB467" s="50" t="str">
        <f>IFERROR(VLOOKUP(BY467,'[1]WCVI Esc'!$C$5:$W$555,19,FALSE),"-")</f>
        <v>-</v>
      </c>
      <c r="CC467" s="50" t="str">
        <f t="shared" si="213"/>
        <v>-</v>
      </c>
      <c r="CE467" s="342" t="str">
        <f t="shared" si="196"/>
        <v>DUTCH HARBOUR CREEK EAST_Pink</v>
      </c>
      <c r="CF467" s="341" t="str">
        <f>IFERROR(VLOOKUP(BY467,'RawPL+D'!$O$8:$AB$503,12,FALSE),"-")</f>
        <v>-</v>
      </c>
      <c r="CG467" s="338" t="str">
        <f t="shared" si="214"/>
        <v>-</v>
      </c>
      <c r="CH467" s="341" t="str">
        <f>IFERROR(VLOOKUP(BY467,'RawPL+D'!$O$8:$AB$503,13,FALSE),"-")</f>
        <v>-</v>
      </c>
      <c r="CI467" s="338" t="str">
        <f t="shared" si="215"/>
        <v>-</v>
      </c>
    </row>
    <row r="468" spans="1:87" ht="12.75" hidden="1" customHeight="1" x14ac:dyDescent="0.2">
      <c r="A468" s="28">
        <v>4</v>
      </c>
      <c r="B468" s="28">
        <v>4</v>
      </c>
      <c r="C468" s="11">
        <v>23</v>
      </c>
      <c r="D468" s="148" t="s">
        <v>295</v>
      </c>
      <c r="E468" s="10" t="s">
        <v>94</v>
      </c>
      <c r="F468" s="10" t="s">
        <v>209</v>
      </c>
      <c r="G468" s="10"/>
      <c r="H468" s="10"/>
      <c r="I468" s="10"/>
      <c r="J468" s="10"/>
      <c r="K468" s="575"/>
      <c r="L468" s="152"/>
      <c r="M468" s="164"/>
      <c r="N468" s="62"/>
      <c r="O468" s="62"/>
      <c r="P468" s="177"/>
      <c r="Q468" s="171"/>
      <c r="R468" s="62"/>
      <c r="S468" s="62"/>
      <c r="T468" s="64"/>
      <c r="U468" s="177"/>
      <c r="V468" s="164"/>
      <c r="W468" s="62"/>
      <c r="X468" s="62"/>
      <c r="Y468" s="62"/>
      <c r="Z468" s="64"/>
      <c r="AA468" s="164"/>
      <c r="AB468" s="62"/>
      <c r="AC468" s="62"/>
      <c r="AD468" s="64"/>
      <c r="AE468" s="164"/>
      <c r="AF468" s="62"/>
      <c r="AG468" s="62"/>
      <c r="AH468" s="337"/>
      <c r="AI468" s="337"/>
      <c r="AJ468" s="337"/>
      <c r="AK468" s="337"/>
      <c r="AL468" s="414"/>
      <c r="AM468" s="414"/>
      <c r="AN468" s="45"/>
      <c r="AO468" s="45"/>
      <c r="AP468" s="45"/>
      <c r="AQ468" s="485"/>
      <c r="AR468" s="100"/>
      <c r="AS468" s="485"/>
      <c r="AT468" s="24"/>
      <c r="AU468" s="24"/>
      <c r="AV468" s="24"/>
      <c r="AW468" s="18">
        <v>23</v>
      </c>
      <c r="AX468" s="69" t="s">
        <v>295</v>
      </c>
      <c r="AY468" s="243" t="s">
        <v>94</v>
      </c>
      <c r="AZ468" s="243" t="str">
        <f t="shared" si="199"/>
        <v>Chum</v>
      </c>
      <c r="BA468" s="243" t="s">
        <v>419</v>
      </c>
      <c r="BB468" s="246"/>
      <c r="BC468" s="43" t="str">
        <f t="shared" si="200"/>
        <v>-</v>
      </c>
      <c r="BD468" s="43">
        <f t="shared" si="191"/>
        <v>0</v>
      </c>
      <c r="BE468" s="193">
        <f t="shared" si="217"/>
        <v>0</v>
      </c>
      <c r="BF468" s="193">
        <f t="shared" si="201"/>
        <v>0</v>
      </c>
      <c r="BG468" s="193">
        <f t="shared" si="202"/>
        <v>0</v>
      </c>
      <c r="BH468" s="307" t="str">
        <f t="shared" si="189"/>
        <v>-</v>
      </c>
      <c r="BI468" s="265" t="str">
        <f t="shared" si="216"/>
        <v>-</v>
      </c>
      <c r="BJ468" s="26" t="str">
        <f t="shared" si="203"/>
        <v>DUTCH HARBOUR CREEK EASTChum</v>
      </c>
      <c r="BK468" s="26">
        <f t="shared" si="204"/>
        <v>0</v>
      </c>
      <c r="BL468" s="33">
        <f t="shared" si="192"/>
        <v>0</v>
      </c>
      <c r="BQ468" s="47" t="str">
        <f t="shared" si="205"/>
        <v>DUTCH HARBOUR CREEK EASTChum</v>
      </c>
      <c r="BR468" s="49">
        <f t="shared" si="206"/>
        <v>0</v>
      </c>
      <c r="BS468" s="49">
        <f t="shared" si="207"/>
        <v>0</v>
      </c>
      <c r="BT468" s="31">
        <v>2004</v>
      </c>
      <c r="BU468" s="188">
        <f t="shared" si="208"/>
        <v>0</v>
      </c>
      <c r="BV468" s="188" t="str">
        <f t="shared" si="209"/>
        <v xml:space="preserve"> </v>
      </c>
      <c r="BW468" s="188" t="str">
        <f t="shared" si="210"/>
        <v xml:space="preserve"> </v>
      </c>
      <c r="BX468" s="188" t="str">
        <f t="shared" si="211"/>
        <v xml:space="preserve"> </v>
      </c>
      <c r="BY468" s="50" t="str">
        <f t="shared" si="197"/>
        <v>DUTCH HARBOUR CREEK EAST_Chum</v>
      </c>
      <c r="BZ468" s="50" t="str">
        <f>IFERROR(VLOOKUP(BY468,'[1]WCVI Esc'!$C$5:$W$555,18,FALSE),"-")</f>
        <v>-</v>
      </c>
      <c r="CA468" s="50" t="str">
        <f t="shared" si="212"/>
        <v>-</v>
      </c>
      <c r="CB468" s="50" t="str">
        <f>IFERROR(VLOOKUP(BY468,'[1]WCVI Esc'!$C$5:$W$555,19,FALSE),"-")</f>
        <v>-</v>
      </c>
      <c r="CC468" s="50" t="str">
        <f t="shared" si="213"/>
        <v>-</v>
      </c>
      <c r="CE468" s="342" t="str">
        <f t="shared" si="196"/>
        <v>DUTCH HARBOUR CREEK EAST_Chum</v>
      </c>
      <c r="CF468" s="341" t="str">
        <f>IFERROR(VLOOKUP(BY468,'RawPL+D'!$O$8:$AB$503,12,FALSE),"-")</f>
        <v>-</v>
      </c>
      <c r="CG468" s="338" t="str">
        <f t="shared" si="214"/>
        <v>-</v>
      </c>
      <c r="CH468" s="341" t="str">
        <f>IFERROR(VLOOKUP(BY468,'RawPL+D'!$O$8:$AB$503,13,FALSE),"-")</f>
        <v>-</v>
      </c>
      <c r="CI468" s="338" t="str">
        <f t="shared" si="215"/>
        <v>-</v>
      </c>
    </row>
    <row r="469" spans="1:87" ht="12.75" hidden="1" customHeight="1" x14ac:dyDescent="0.2">
      <c r="A469" s="28">
        <v>4</v>
      </c>
      <c r="B469" s="28">
        <v>5</v>
      </c>
      <c r="C469" s="11">
        <v>23</v>
      </c>
      <c r="D469" s="148" t="s">
        <v>295</v>
      </c>
      <c r="E469" s="10" t="s">
        <v>94</v>
      </c>
      <c r="F469" s="10" t="s">
        <v>210</v>
      </c>
      <c r="G469" s="10"/>
      <c r="H469" s="10"/>
      <c r="I469" s="10"/>
      <c r="J469" s="10"/>
      <c r="K469" s="575"/>
      <c r="L469" s="152"/>
      <c r="M469" s="164"/>
      <c r="N469" s="62"/>
      <c r="O469" s="62"/>
      <c r="P469" s="177"/>
      <c r="Q469" s="171"/>
      <c r="R469" s="62"/>
      <c r="S469" s="62"/>
      <c r="T469" s="64"/>
      <c r="U469" s="177"/>
      <c r="V469" s="164"/>
      <c r="W469" s="62"/>
      <c r="X469" s="62"/>
      <c r="Y469" s="62"/>
      <c r="Z469" s="64"/>
      <c r="AA469" s="164"/>
      <c r="AB469" s="62"/>
      <c r="AC469" s="62"/>
      <c r="AD469" s="64"/>
      <c r="AE469" s="164"/>
      <c r="AF469" s="62"/>
      <c r="AG469" s="62"/>
      <c r="AH469" s="337"/>
      <c r="AI469" s="337"/>
      <c r="AJ469" s="337"/>
      <c r="AK469" s="337"/>
      <c r="AL469" s="414"/>
      <c r="AM469" s="414"/>
      <c r="AN469" s="45"/>
      <c r="AO469" s="45"/>
      <c r="AP469" s="45"/>
      <c r="AQ469" s="485"/>
      <c r="AR469" s="100"/>
      <c r="AS469" s="485"/>
      <c r="AT469" s="24"/>
      <c r="AU469" s="24"/>
      <c r="AV469" s="24"/>
      <c r="AW469" s="18">
        <v>23</v>
      </c>
      <c r="AX469" s="69" t="s">
        <v>295</v>
      </c>
      <c r="AY469" s="243" t="s">
        <v>94</v>
      </c>
      <c r="AZ469" s="243" t="str">
        <f t="shared" si="199"/>
        <v>Chinook</v>
      </c>
      <c r="BA469" s="243" t="s">
        <v>419</v>
      </c>
      <c r="BB469" s="246"/>
      <c r="BC469" s="43" t="str">
        <f t="shared" si="200"/>
        <v>-</v>
      </c>
      <c r="BD469" s="43">
        <f t="shared" si="191"/>
        <v>0</v>
      </c>
      <c r="BE469" s="193">
        <f t="shared" si="217"/>
        <v>0</v>
      </c>
      <c r="BF469" s="193">
        <f t="shared" si="201"/>
        <v>0</v>
      </c>
      <c r="BG469" s="193">
        <f t="shared" si="202"/>
        <v>0</v>
      </c>
      <c r="BH469" s="307" t="str">
        <f t="shared" si="189"/>
        <v>-</v>
      </c>
      <c r="BI469" s="265" t="str">
        <f t="shared" si="216"/>
        <v>-</v>
      </c>
      <c r="BJ469" s="26" t="str">
        <f t="shared" si="203"/>
        <v>DUTCH HARBOUR CREEK EASTChinook</v>
      </c>
      <c r="BK469" s="26">
        <f t="shared" si="204"/>
        <v>0</v>
      </c>
      <c r="BL469" s="33">
        <f t="shared" si="192"/>
        <v>0</v>
      </c>
      <c r="BQ469" s="47" t="str">
        <f t="shared" si="205"/>
        <v>DUTCH HARBOUR CREEK EASTChinook</v>
      </c>
      <c r="BR469" s="49">
        <f t="shared" si="206"/>
        <v>0</v>
      </c>
      <c r="BS469" s="49">
        <f t="shared" si="207"/>
        <v>0</v>
      </c>
      <c r="BT469" s="31">
        <v>0</v>
      </c>
      <c r="BU469" s="188">
        <f t="shared" si="208"/>
        <v>0</v>
      </c>
      <c r="BV469" s="188" t="str">
        <f t="shared" si="209"/>
        <v xml:space="preserve"> </v>
      </c>
      <c r="BW469" s="188" t="str">
        <f t="shared" si="210"/>
        <v xml:space="preserve"> </v>
      </c>
      <c r="BX469" s="188" t="str">
        <f t="shared" si="211"/>
        <v xml:space="preserve"> </v>
      </c>
      <c r="BY469" s="50" t="str">
        <f t="shared" si="197"/>
        <v>DUTCH HARBOUR CREEK EAST_Chinook</v>
      </c>
      <c r="BZ469" s="50" t="str">
        <f>IFERROR(VLOOKUP(BY469,'[1]WCVI Esc'!$C$5:$W$555,18,FALSE),"-")</f>
        <v>-</v>
      </c>
      <c r="CA469" s="50" t="str">
        <f t="shared" si="212"/>
        <v>-</v>
      </c>
      <c r="CB469" s="50" t="str">
        <f>IFERROR(VLOOKUP(BY469,'[1]WCVI Esc'!$C$5:$W$555,19,FALSE),"-")</f>
        <v>-</v>
      </c>
      <c r="CC469" s="50" t="str">
        <f t="shared" si="213"/>
        <v>-</v>
      </c>
      <c r="CE469" s="342" t="str">
        <f t="shared" si="196"/>
        <v>DUTCH HARBOUR CREEK EAST_Chinook</v>
      </c>
      <c r="CF469" s="341" t="str">
        <f>IFERROR(VLOOKUP(BY469,'RawPL+D'!$O$8:$AB$503,12,FALSE),"-")</f>
        <v>-</v>
      </c>
      <c r="CG469" s="338" t="str">
        <f t="shared" si="214"/>
        <v>-</v>
      </c>
      <c r="CH469" s="341" t="str">
        <f>IFERROR(VLOOKUP(BY469,'RawPL+D'!$O$8:$AB$503,13,FALSE),"-")</f>
        <v>-</v>
      </c>
      <c r="CI469" s="338" t="str">
        <f t="shared" si="215"/>
        <v>-</v>
      </c>
    </row>
    <row r="470" spans="1:87" ht="12.75" hidden="1" customHeight="1" x14ac:dyDescent="0.2">
      <c r="A470" s="28">
        <v>4</v>
      </c>
      <c r="B470" s="28">
        <v>6</v>
      </c>
      <c r="C470" s="11">
        <v>23</v>
      </c>
      <c r="D470" s="148" t="s">
        <v>295</v>
      </c>
      <c r="E470" s="10" t="s">
        <v>94</v>
      </c>
      <c r="F470" s="10" t="s">
        <v>211</v>
      </c>
      <c r="G470" s="10"/>
      <c r="H470" s="10"/>
      <c r="I470" s="10"/>
      <c r="J470" s="10"/>
      <c r="K470" s="575"/>
      <c r="L470" s="152"/>
      <c r="M470" s="164"/>
      <c r="N470" s="62"/>
      <c r="O470" s="62"/>
      <c r="P470" s="177"/>
      <c r="Q470" s="171"/>
      <c r="R470" s="62"/>
      <c r="S470" s="62"/>
      <c r="T470" s="64"/>
      <c r="U470" s="177"/>
      <c r="V470" s="164"/>
      <c r="W470" s="62"/>
      <c r="X470" s="62"/>
      <c r="Y470" s="62"/>
      <c r="Z470" s="64"/>
      <c r="AA470" s="164"/>
      <c r="AB470" s="62"/>
      <c r="AC470" s="62"/>
      <c r="AD470" s="64"/>
      <c r="AE470" s="164"/>
      <c r="AF470" s="62"/>
      <c r="AG470" s="62"/>
      <c r="AH470" s="337"/>
      <c r="AI470" s="337"/>
      <c r="AJ470" s="337"/>
      <c r="AK470" s="337"/>
      <c r="AL470" s="414"/>
      <c r="AM470" s="414"/>
      <c r="AN470" s="45"/>
      <c r="AO470" s="45"/>
      <c r="AP470" s="45"/>
      <c r="AQ470" s="485"/>
      <c r="AR470" s="100"/>
      <c r="AS470" s="485"/>
      <c r="AT470" s="24"/>
      <c r="AU470" s="24"/>
      <c r="AV470" s="24"/>
      <c r="AW470" s="18">
        <v>23</v>
      </c>
      <c r="AX470" s="69" t="s">
        <v>295</v>
      </c>
      <c r="AY470" s="243" t="s">
        <v>94</v>
      </c>
      <c r="AZ470" s="243" t="str">
        <f t="shared" si="199"/>
        <v>Steelhead</v>
      </c>
      <c r="BA470" s="243" t="s">
        <v>419</v>
      </c>
      <c r="BB470" s="246"/>
      <c r="BC470" s="43" t="str">
        <f t="shared" si="200"/>
        <v>-</v>
      </c>
      <c r="BD470" s="43">
        <f t="shared" si="191"/>
        <v>0</v>
      </c>
      <c r="BE470" s="193">
        <f t="shared" si="217"/>
        <v>0</v>
      </c>
      <c r="BF470" s="193">
        <f t="shared" si="201"/>
        <v>0</v>
      </c>
      <c r="BG470" s="193">
        <f t="shared" si="202"/>
        <v>0</v>
      </c>
      <c r="BH470" s="307" t="str">
        <f t="shared" si="189"/>
        <v>-</v>
      </c>
      <c r="BI470" s="265" t="str">
        <f t="shared" si="216"/>
        <v>-</v>
      </c>
      <c r="BJ470" s="26" t="str">
        <f t="shared" si="203"/>
        <v>DUTCH HARBOUR CREEK EASTSteelhead</v>
      </c>
      <c r="BK470" s="26">
        <f t="shared" si="204"/>
        <v>0</v>
      </c>
      <c r="BL470" s="33">
        <f t="shared" si="192"/>
        <v>0</v>
      </c>
      <c r="BQ470" s="47" t="str">
        <f t="shared" si="205"/>
        <v>DUTCH HARBOUR CREEK EASTSteelhead</v>
      </c>
      <c r="BR470" s="49">
        <f t="shared" si="206"/>
        <v>0</v>
      </c>
      <c r="BS470" s="49">
        <f t="shared" si="207"/>
        <v>0</v>
      </c>
      <c r="BT470" s="31">
        <v>0</v>
      </c>
      <c r="BU470" s="188">
        <f t="shared" si="208"/>
        <v>0</v>
      </c>
      <c r="BV470" s="188" t="str">
        <f t="shared" si="209"/>
        <v xml:space="preserve"> </v>
      </c>
      <c r="BW470" s="188" t="str">
        <f t="shared" si="210"/>
        <v xml:space="preserve"> </v>
      </c>
      <c r="BX470" s="188" t="str">
        <f t="shared" si="211"/>
        <v xml:space="preserve"> </v>
      </c>
      <c r="BY470" s="50" t="str">
        <f t="shared" si="197"/>
        <v>DUTCH HARBOUR CREEK EAST_Steelhead</v>
      </c>
      <c r="BZ470" s="50" t="str">
        <f>IFERROR(VLOOKUP(BY470,'[1]WCVI Esc'!$C$5:$W$555,18,FALSE),"-")</f>
        <v>-</v>
      </c>
      <c r="CA470" s="50" t="str">
        <f t="shared" si="212"/>
        <v>-</v>
      </c>
      <c r="CB470" s="50" t="str">
        <f>IFERROR(VLOOKUP(BY470,'[1]WCVI Esc'!$C$5:$W$555,19,FALSE),"-")</f>
        <v>-</v>
      </c>
      <c r="CC470" s="50" t="str">
        <f t="shared" si="213"/>
        <v>-</v>
      </c>
      <c r="CE470" s="342" t="str">
        <f t="shared" si="196"/>
        <v>DUTCH HARBOUR CREEK EAST_Steelhead</v>
      </c>
      <c r="CF470" s="341" t="str">
        <f>IFERROR(VLOOKUP(BY470,'RawPL+D'!$O$8:$AB$503,12,FALSE),"-")</f>
        <v>-</v>
      </c>
      <c r="CG470" s="338" t="str">
        <f t="shared" si="214"/>
        <v>-</v>
      </c>
      <c r="CH470" s="341" t="str">
        <f>IFERROR(VLOOKUP(BY470,'RawPL+D'!$O$8:$AB$503,13,FALSE),"-")</f>
        <v>-</v>
      </c>
      <c r="CI470" s="338" t="str">
        <f t="shared" si="215"/>
        <v>-</v>
      </c>
    </row>
    <row r="471" spans="1:87" ht="12.75" hidden="1" customHeight="1" x14ac:dyDescent="0.2">
      <c r="A471" s="28">
        <v>4</v>
      </c>
      <c r="B471" s="28">
        <v>1</v>
      </c>
      <c r="C471" s="11">
        <v>23</v>
      </c>
      <c r="D471" s="148" t="s">
        <v>295</v>
      </c>
      <c r="E471" s="10" t="s">
        <v>95</v>
      </c>
      <c r="F471" s="10" t="s">
        <v>207</v>
      </c>
      <c r="G471" s="10"/>
      <c r="H471" s="10"/>
      <c r="I471" s="10"/>
      <c r="J471" s="10"/>
      <c r="K471" s="575"/>
      <c r="L471" s="152"/>
      <c r="M471" s="164"/>
      <c r="N471" s="62"/>
      <c r="O471" s="62"/>
      <c r="P471" s="177"/>
      <c r="Q471" s="171"/>
      <c r="R471" s="62"/>
      <c r="S471" s="62"/>
      <c r="T471" s="64"/>
      <c r="U471" s="177"/>
      <c r="V471" s="164"/>
      <c r="W471" s="62"/>
      <c r="X471" s="62"/>
      <c r="Y471" s="62"/>
      <c r="Z471" s="64"/>
      <c r="AA471" s="164"/>
      <c r="AB471" s="62"/>
      <c r="AC471" s="62"/>
      <c r="AD471" s="64"/>
      <c r="AE471" s="164"/>
      <c r="AF471" s="62"/>
      <c r="AG471" s="62"/>
      <c r="AH471" s="337"/>
      <c r="AI471" s="337"/>
      <c r="AJ471" s="337"/>
      <c r="AK471" s="337"/>
      <c r="AL471" s="414"/>
      <c r="AM471" s="414"/>
      <c r="AN471" s="45"/>
      <c r="AO471" s="45"/>
      <c r="AP471" s="45"/>
      <c r="AQ471" s="485"/>
      <c r="AR471" s="100"/>
      <c r="AS471" s="485"/>
      <c r="AT471" s="24"/>
      <c r="AU471" s="24"/>
      <c r="AV471" s="24"/>
      <c r="AW471" s="18">
        <v>23</v>
      </c>
      <c r="AX471" s="69" t="s">
        <v>295</v>
      </c>
      <c r="AY471" s="243" t="s">
        <v>95</v>
      </c>
      <c r="AZ471" s="243" t="str">
        <f t="shared" si="199"/>
        <v>Sockeye</v>
      </c>
      <c r="BA471" s="243" t="s">
        <v>419</v>
      </c>
      <c r="BB471" s="246"/>
      <c r="BC471" s="43" t="str">
        <f t="shared" si="200"/>
        <v>-</v>
      </c>
      <c r="BD471" s="43">
        <f t="shared" si="191"/>
        <v>0</v>
      </c>
      <c r="BE471" s="193">
        <f t="shared" si="217"/>
        <v>0</v>
      </c>
      <c r="BF471" s="193">
        <f t="shared" si="201"/>
        <v>0</v>
      </c>
      <c r="BG471" s="193">
        <f t="shared" si="202"/>
        <v>0</v>
      </c>
      <c r="BH471" s="307" t="str">
        <f t="shared" si="189"/>
        <v>-</v>
      </c>
      <c r="BI471" s="265" t="str">
        <f t="shared" si="216"/>
        <v>-</v>
      </c>
      <c r="BJ471" s="26" t="str">
        <f t="shared" si="203"/>
        <v>DUTCH HARBOUR CREEK WESTSockeye</v>
      </c>
      <c r="BK471" s="26">
        <f t="shared" si="204"/>
        <v>0</v>
      </c>
      <c r="BL471" s="33">
        <f t="shared" si="192"/>
        <v>0</v>
      </c>
      <c r="BQ471" s="47" t="str">
        <f t="shared" si="205"/>
        <v>DUTCH HARBOUR CREEK WESTSockeye</v>
      </c>
      <c r="BR471" s="49">
        <f t="shared" si="206"/>
        <v>0</v>
      </c>
      <c r="BS471" s="49">
        <f t="shared" si="207"/>
        <v>0</v>
      </c>
      <c r="BT471" s="31">
        <v>0</v>
      </c>
      <c r="BU471" s="188">
        <f t="shared" si="208"/>
        <v>0</v>
      </c>
      <c r="BV471" s="188" t="str">
        <f t="shared" si="209"/>
        <v xml:space="preserve"> </v>
      </c>
      <c r="BW471" s="188" t="str">
        <f t="shared" si="210"/>
        <v xml:space="preserve"> </v>
      </c>
      <c r="BX471" s="188" t="str">
        <f t="shared" si="211"/>
        <v xml:space="preserve"> </v>
      </c>
      <c r="BY471" s="50" t="str">
        <f t="shared" si="197"/>
        <v>DUTCH HARBOUR CREEK WEST_Sockeye</v>
      </c>
      <c r="BZ471" s="50" t="str">
        <f>IFERROR(VLOOKUP(BY471,'[1]WCVI Esc'!$C$5:$W$555,18,FALSE),"-")</f>
        <v>-</v>
      </c>
      <c r="CA471" s="50" t="str">
        <f t="shared" si="212"/>
        <v>-</v>
      </c>
      <c r="CB471" s="50" t="str">
        <f>IFERROR(VLOOKUP(BY471,'[1]WCVI Esc'!$C$5:$W$555,19,FALSE),"-")</f>
        <v>-</v>
      </c>
      <c r="CC471" s="50" t="str">
        <f t="shared" si="213"/>
        <v>-</v>
      </c>
      <c r="CE471" s="342" t="str">
        <f t="shared" si="196"/>
        <v>DUTCH HARBOUR CREEK WEST_Sockeye</v>
      </c>
      <c r="CF471" s="341" t="str">
        <f>IFERROR(VLOOKUP(BY471,'RawPL+D'!$O$8:$AB$503,12,FALSE),"-")</f>
        <v>-</v>
      </c>
      <c r="CG471" s="338" t="str">
        <f t="shared" si="214"/>
        <v>-</v>
      </c>
      <c r="CH471" s="341" t="str">
        <f>IFERROR(VLOOKUP(BY471,'RawPL+D'!$O$8:$AB$503,13,FALSE),"-")</f>
        <v>-</v>
      </c>
      <c r="CI471" s="338" t="str">
        <f t="shared" si="215"/>
        <v>-</v>
      </c>
    </row>
    <row r="472" spans="1:87" ht="12.75" hidden="1" customHeight="1" x14ac:dyDescent="0.2">
      <c r="A472" s="28">
        <v>4</v>
      </c>
      <c r="B472" s="28">
        <v>2</v>
      </c>
      <c r="C472" s="11">
        <v>23</v>
      </c>
      <c r="D472" s="148" t="s">
        <v>295</v>
      </c>
      <c r="E472" s="10" t="s">
        <v>95</v>
      </c>
      <c r="F472" s="10" t="s">
        <v>219</v>
      </c>
      <c r="G472" s="10"/>
      <c r="H472" s="10"/>
      <c r="I472" s="10"/>
      <c r="J472" s="10"/>
      <c r="K472" s="575"/>
      <c r="L472" s="152"/>
      <c r="M472" s="164"/>
      <c r="N472" s="62"/>
      <c r="O472" s="62"/>
      <c r="P472" s="177"/>
      <c r="Q472" s="171"/>
      <c r="R472" s="62"/>
      <c r="S472" s="62"/>
      <c r="T472" s="64"/>
      <c r="U472" s="177"/>
      <c r="V472" s="164"/>
      <c r="W472" s="62"/>
      <c r="X472" s="62"/>
      <c r="Y472" s="62"/>
      <c r="Z472" s="64"/>
      <c r="AA472" s="164"/>
      <c r="AB472" s="62"/>
      <c r="AC472" s="62"/>
      <c r="AD472" s="64"/>
      <c r="AE472" s="164"/>
      <c r="AF472" s="62"/>
      <c r="AG472" s="62"/>
      <c r="AH472" s="337"/>
      <c r="AI472" s="337"/>
      <c r="AJ472" s="337"/>
      <c r="AK472" s="337"/>
      <c r="AL472" s="414"/>
      <c r="AM472" s="414"/>
      <c r="AN472" s="45"/>
      <c r="AO472" s="45"/>
      <c r="AP472" s="45"/>
      <c r="AQ472" s="485"/>
      <c r="AR472" s="100"/>
      <c r="AS472" s="485"/>
      <c r="AT472" s="24"/>
      <c r="AU472" s="24"/>
      <c r="AV472" s="24"/>
      <c r="AW472" s="18">
        <v>23</v>
      </c>
      <c r="AX472" s="69" t="s">
        <v>295</v>
      </c>
      <c r="AY472" s="243" t="s">
        <v>95</v>
      </c>
      <c r="AZ472" s="243" t="str">
        <f t="shared" si="199"/>
        <v>Coho</v>
      </c>
      <c r="BA472" s="243" t="s">
        <v>419</v>
      </c>
      <c r="BB472" s="246"/>
      <c r="BC472" s="43" t="str">
        <f t="shared" si="200"/>
        <v>-</v>
      </c>
      <c r="BD472" s="43">
        <f t="shared" si="191"/>
        <v>0</v>
      </c>
      <c r="BE472" s="193">
        <f t="shared" si="217"/>
        <v>0</v>
      </c>
      <c r="BF472" s="193">
        <f t="shared" si="201"/>
        <v>0</v>
      </c>
      <c r="BG472" s="193">
        <f t="shared" si="202"/>
        <v>0</v>
      </c>
      <c r="BH472" s="307" t="str">
        <f t="shared" si="189"/>
        <v>-</v>
      </c>
      <c r="BI472" s="265" t="str">
        <f t="shared" si="216"/>
        <v>-</v>
      </c>
      <c r="BJ472" s="26" t="str">
        <f t="shared" si="203"/>
        <v>DUTCH HARBOUR CREEK WESTCoho</v>
      </c>
      <c r="BK472" s="26">
        <f t="shared" si="204"/>
        <v>0</v>
      </c>
      <c r="BL472" s="33">
        <f t="shared" si="192"/>
        <v>0</v>
      </c>
      <c r="BQ472" s="47" t="str">
        <f t="shared" si="205"/>
        <v>DUTCH HARBOUR CREEK WESTCoho</v>
      </c>
      <c r="BR472" s="49">
        <f t="shared" si="206"/>
        <v>0</v>
      </c>
      <c r="BS472" s="49">
        <f t="shared" si="207"/>
        <v>0</v>
      </c>
      <c r="BT472" s="31">
        <v>2004</v>
      </c>
      <c r="BU472" s="188">
        <f t="shared" si="208"/>
        <v>0</v>
      </c>
      <c r="BV472" s="188" t="str">
        <f t="shared" si="209"/>
        <v xml:space="preserve"> </v>
      </c>
      <c r="BW472" s="188" t="str">
        <f t="shared" si="210"/>
        <v xml:space="preserve"> </v>
      </c>
      <c r="BX472" s="188" t="str">
        <f t="shared" si="211"/>
        <v xml:space="preserve"> </v>
      </c>
      <c r="BY472" s="50" t="str">
        <f t="shared" si="197"/>
        <v>DUTCH HARBOUR CREEK WEST_Coho</v>
      </c>
      <c r="BZ472" s="50" t="str">
        <f>IFERROR(VLOOKUP(BY472,'[1]WCVI Esc'!$C$5:$W$555,18,FALSE),"-")</f>
        <v>-</v>
      </c>
      <c r="CA472" s="50" t="str">
        <f t="shared" si="212"/>
        <v>-</v>
      </c>
      <c r="CB472" s="50" t="str">
        <f>IFERROR(VLOOKUP(BY472,'[1]WCVI Esc'!$C$5:$W$555,19,FALSE),"-")</f>
        <v>-</v>
      </c>
      <c r="CC472" s="50" t="str">
        <f t="shared" si="213"/>
        <v>-</v>
      </c>
      <c r="CE472" s="342" t="str">
        <f t="shared" si="196"/>
        <v>DUTCH HARBOUR CREEK WEST_Coho</v>
      </c>
      <c r="CF472" s="341" t="str">
        <f>IFERROR(VLOOKUP(BY472,'RawPL+D'!$O$8:$AB$503,12,FALSE),"-")</f>
        <v>-</v>
      </c>
      <c r="CG472" s="338" t="str">
        <f t="shared" si="214"/>
        <v>-</v>
      </c>
      <c r="CH472" s="341" t="str">
        <f>IFERROR(VLOOKUP(BY472,'RawPL+D'!$O$8:$AB$503,13,FALSE),"-")</f>
        <v>-</v>
      </c>
      <c r="CI472" s="338" t="str">
        <f t="shared" si="215"/>
        <v>-</v>
      </c>
    </row>
    <row r="473" spans="1:87" ht="12.75" hidden="1" customHeight="1" x14ac:dyDescent="0.2">
      <c r="A473" s="28">
        <v>4</v>
      </c>
      <c r="B473" s="28">
        <v>3</v>
      </c>
      <c r="C473" s="11">
        <v>23</v>
      </c>
      <c r="D473" s="148" t="s">
        <v>295</v>
      </c>
      <c r="E473" s="10" t="s">
        <v>95</v>
      </c>
      <c r="F473" s="10" t="s">
        <v>208</v>
      </c>
      <c r="G473" s="10"/>
      <c r="H473" s="10"/>
      <c r="I473" s="10"/>
      <c r="J473" s="10"/>
      <c r="K473" s="575"/>
      <c r="L473" s="152"/>
      <c r="M473" s="164"/>
      <c r="N473" s="62"/>
      <c r="O473" s="62"/>
      <c r="P473" s="177"/>
      <c r="Q473" s="171"/>
      <c r="R473" s="62"/>
      <c r="S473" s="62"/>
      <c r="T473" s="64"/>
      <c r="U473" s="177"/>
      <c r="V473" s="164"/>
      <c r="W473" s="62"/>
      <c r="X473" s="62"/>
      <c r="Y473" s="62"/>
      <c r="Z473" s="64"/>
      <c r="AA473" s="164"/>
      <c r="AB473" s="62"/>
      <c r="AC473" s="62"/>
      <c r="AD473" s="64"/>
      <c r="AE473" s="164"/>
      <c r="AF473" s="62"/>
      <c r="AG473" s="62"/>
      <c r="AH473" s="337"/>
      <c r="AI473" s="337"/>
      <c r="AJ473" s="337"/>
      <c r="AK473" s="337"/>
      <c r="AL473" s="414"/>
      <c r="AM473" s="414"/>
      <c r="AN473" s="45"/>
      <c r="AO473" s="45"/>
      <c r="AP473" s="45"/>
      <c r="AQ473" s="485"/>
      <c r="AR473" s="100"/>
      <c r="AS473" s="485"/>
      <c r="AT473" s="24"/>
      <c r="AU473" s="24"/>
      <c r="AV473" s="24"/>
      <c r="AW473" s="18">
        <v>23</v>
      </c>
      <c r="AX473" s="69" t="s">
        <v>295</v>
      </c>
      <c r="AY473" s="243" t="s">
        <v>95</v>
      </c>
      <c r="AZ473" s="243" t="str">
        <f t="shared" si="199"/>
        <v>Pink</v>
      </c>
      <c r="BA473" s="243" t="s">
        <v>419</v>
      </c>
      <c r="BB473" s="246"/>
      <c r="BC473" s="43" t="str">
        <f t="shared" si="200"/>
        <v>-</v>
      </c>
      <c r="BD473" s="43">
        <f t="shared" si="191"/>
        <v>0</v>
      </c>
      <c r="BE473" s="193">
        <f t="shared" si="217"/>
        <v>0</v>
      </c>
      <c r="BF473" s="193">
        <f t="shared" si="201"/>
        <v>0</v>
      </c>
      <c r="BG473" s="193">
        <f t="shared" si="202"/>
        <v>0</v>
      </c>
      <c r="BH473" s="307" t="str">
        <f t="shared" si="189"/>
        <v>-</v>
      </c>
      <c r="BI473" s="265" t="str">
        <f t="shared" si="216"/>
        <v>-</v>
      </c>
      <c r="BJ473" s="26" t="str">
        <f t="shared" si="203"/>
        <v>DUTCH HARBOUR CREEK WESTPink</v>
      </c>
      <c r="BK473" s="26">
        <f t="shared" si="204"/>
        <v>0</v>
      </c>
      <c r="BL473" s="33">
        <f t="shared" si="192"/>
        <v>0</v>
      </c>
      <c r="BQ473" s="47" t="str">
        <f t="shared" si="205"/>
        <v>DUTCH HARBOUR CREEK WESTPink</v>
      </c>
      <c r="BR473" s="49">
        <f t="shared" si="206"/>
        <v>0</v>
      </c>
      <c r="BS473" s="49">
        <f t="shared" si="207"/>
        <v>0</v>
      </c>
      <c r="BT473" s="31">
        <v>0</v>
      </c>
      <c r="BU473" s="188">
        <f t="shared" si="208"/>
        <v>0</v>
      </c>
      <c r="BV473" s="188" t="str">
        <f t="shared" si="209"/>
        <v xml:space="preserve"> </v>
      </c>
      <c r="BW473" s="188" t="str">
        <f t="shared" si="210"/>
        <v xml:space="preserve"> </v>
      </c>
      <c r="BX473" s="188" t="str">
        <f t="shared" si="211"/>
        <v xml:space="preserve"> </v>
      </c>
      <c r="BY473" s="50" t="str">
        <f t="shared" si="197"/>
        <v>DUTCH HARBOUR CREEK WEST_Pink</v>
      </c>
      <c r="BZ473" s="50" t="str">
        <f>IFERROR(VLOOKUP(BY473,'[1]WCVI Esc'!$C$5:$W$555,18,FALSE),"-")</f>
        <v>-</v>
      </c>
      <c r="CA473" s="50" t="str">
        <f t="shared" si="212"/>
        <v>-</v>
      </c>
      <c r="CB473" s="50" t="str">
        <f>IFERROR(VLOOKUP(BY473,'[1]WCVI Esc'!$C$5:$W$555,19,FALSE),"-")</f>
        <v>-</v>
      </c>
      <c r="CC473" s="50" t="str">
        <f t="shared" si="213"/>
        <v>-</v>
      </c>
      <c r="CE473" s="342" t="str">
        <f t="shared" si="196"/>
        <v>DUTCH HARBOUR CREEK WEST_Pink</v>
      </c>
      <c r="CF473" s="341" t="str">
        <f>IFERROR(VLOOKUP(BY473,'RawPL+D'!$O$8:$AB$503,12,FALSE),"-")</f>
        <v>-</v>
      </c>
      <c r="CG473" s="338" t="str">
        <f t="shared" si="214"/>
        <v>-</v>
      </c>
      <c r="CH473" s="341" t="str">
        <f>IFERROR(VLOOKUP(BY473,'RawPL+D'!$O$8:$AB$503,13,FALSE),"-")</f>
        <v>-</v>
      </c>
      <c r="CI473" s="338" t="str">
        <f t="shared" si="215"/>
        <v>-</v>
      </c>
    </row>
    <row r="474" spans="1:87" ht="12.75" hidden="1" customHeight="1" x14ac:dyDescent="0.2">
      <c r="A474" s="28">
        <v>4</v>
      </c>
      <c r="B474" s="28">
        <v>4</v>
      </c>
      <c r="C474" s="11">
        <v>23</v>
      </c>
      <c r="D474" s="148" t="s">
        <v>295</v>
      </c>
      <c r="E474" s="10" t="s">
        <v>95</v>
      </c>
      <c r="F474" s="10" t="s">
        <v>209</v>
      </c>
      <c r="G474" s="10"/>
      <c r="H474" s="10"/>
      <c r="I474" s="10"/>
      <c r="J474" s="10"/>
      <c r="K474" s="575"/>
      <c r="L474" s="152"/>
      <c r="M474" s="164"/>
      <c r="N474" s="62"/>
      <c r="O474" s="62"/>
      <c r="P474" s="177"/>
      <c r="Q474" s="171"/>
      <c r="R474" s="62"/>
      <c r="S474" s="62"/>
      <c r="T474" s="64"/>
      <c r="U474" s="177"/>
      <c r="V474" s="164"/>
      <c r="W474" s="62"/>
      <c r="X474" s="62"/>
      <c r="Y474" s="62"/>
      <c r="Z474" s="64"/>
      <c r="AA474" s="164"/>
      <c r="AB474" s="62"/>
      <c r="AC474" s="62"/>
      <c r="AD474" s="64"/>
      <c r="AE474" s="164"/>
      <c r="AF474" s="62"/>
      <c r="AG474" s="62"/>
      <c r="AH474" s="337"/>
      <c r="AI474" s="337"/>
      <c r="AJ474" s="337"/>
      <c r="AK474" s="337"/>
      <c r="AL474" s="414"/>
      <c r="AM474" s="414"/>
      <c r="AN474" s="45"/>
      <c r="AO474" s="45"/>
      <c r="AP474" s="45"/>
      <c r="AQ474" s="485"/>
      <c r="AR474" s="100"/>
      <c r="AS474" s="485"/>
      <c r="AT474" s="24"/>
      <c r="AU474" s="24"/>
      <c r="AV474" s="24"/>
      <c r="AW474" s="18">
        <v>23</v>
      </c>
      <c r="AX474" s="69" t="s">
        <v>295</v>
      </c>
      <c r="AY474" s="243" t="s">
        <v>95</v>
      </c>
      <c r="AZ474" s="243" t="str">
        <f t="shared" si="199"/>
        <v>Chum</v>
      </c>
      <c r="BA474" s="243" t="s">
        <v>419</v>
      </c>
      <c r="BB474" s="246"/>
      <c r="BC474" s="43" t="str">
        <f t="shared" si="200"/>
        <v>-</v>
      </c>
      <c r="BD474" s="43">
        <f t="shared" si="191"/>
        <v>0</v>
      </c>
      <c r="BE474" s="193">
        <f t="shared" si="217"/>
        <v>0</v>
      </c>
      <c r="BF474" s="193">
        <f t="shared" si="201"/>
        <v>0</v>
      </c>
      <c r="BG474" s="193">
        <f t="shared" si="202"/>
        <v>0</v>
      </c>
      <c r="BH474" s="307" t="str">
        <f t="shared" si="189"/>
        <v>-</v>
      </c>
      <c r="BI474" s="265" t="str">
        <f t="shared" si="216"/>
        <v>-</v>
      </c>
      <c r="BJ474" s="26" t="str">
        <f t="shared" si="203"/>
        <v>DUTCH HARBOUR CREEK WESTChum</v>
      </c>
      <c r="BK474" s="26">
        <f t="shared" si="204"/>
        <v>0</v>
      </c>
      <c r="BL474" s="33">
        <f t="shared" si="192"/>
        <v>0</v>
      </c>
      <c r="BQ474" s="47" t="str">
        <f t="shared" si="205"/>
        <v>DUTCH HARBOUR CREEK WESTChum</v>
      </c>
      <c r="BR474" s="49">
        <f t="shared" si="206"/>
        <v>0</v>
      </c>
      <c r="BS474" s="49">
        <f t="shared" si="207"/>
        <v>0</v>
      </c>
      <c r="BT474" s="31">
        <v>2004</v>
      </c>
      <c r="BU474" s="188">
        <f t="shared" si="208"/>
        <v>0</v>
      </c>
      <c r="BV474" s="188" t="str">
        <f t="shared" si="209"/>
        <v xml:space="preserve"> </v>
      </c>
      <c r="BW474" s="188" t="str">
        <f t="shared" si="210"/>
        <v xml:space="preserve"> </v>
      </c>
      <c r="BX474" s="188" t="str">
        <f t="shared" si="211"/>
        <v xml:space="preserve"> </v>
      </c>
      <c r="BY474" s="50" t="str">
        <f t="shared" si="197"/>
        <v>DUTCH HARBOUR CREEK WEST_Chum</v>
      </c>
      <c r="BZ474" s="50" t="str">
        <f>IFERROR(VLOOKUP(BY474,'[1]WCVI Esc'!$C$5:$W$555,18,FALSE),"-")</f>
        <v>-</v>
      </c>
      <c r="CA474" s="50" t="str">
        <f t="shared" si="212"/>
        <v>-</v>
      </c>
      <c r="CB474" s="50" t="str">
        <f>IFERROR(VLOOKUP(BY474,'[1]WCVI Esc'!$C$5:$W$555,19,FALSE),"-")</f>
        <v>-</v>
      </c>
      <c r="CC474" s="50" t="str">
        <f t="shared" si="213"/>
        <v>-</v>
      </c>
      <c r="CE474" s="342" t="str">
        <f t="shared" si="196"/>
        <v>DUTCH HARBOUR CREEK WEST_Chum</v>
      </c>
      <c r="CF474" s="341" t="str">
        <f>IFERROR(VLOOKUP(BY474,'RawPL+D'!$O$8:$AB$503,12,FALSE),"-")</f>
        <v>-</v>
      </c>
      <c r="CG474" s="338" t="str">
        <f t="shared" si="214"/>
        <v>-</v>
      </c>
      <c r="CH474" s="341" t="str">
        <f>IFERROR(VLOOKUP(BY474,'RawPL+D'!$O$8:$AB$503,13,FALSE),"-")</f>
        <v>-</v>
      </c>
      <c r="CI474" s="338" t="str">
        <f t="shared" si="215"/>
        <v>-</v>
      </c>
    </row>
    <row r="475" spans="1:87" ht="12.75" hidden="1" customHeight="1" x14ac:dyDescent="0.2">
      <c r="A475" s="28">
        <v>4</v>
      </c>
      <c r="B475" s="28">
        <v>5</v>
      </c>
      <c r="C475" s="11">
        <v>23</v>
      </c>
      <c r="D475" s="148" t="s">
        <v>295</v>
      </c>
      <c r="E475" s="10" t="s">
        <v>95</v>
      </c>
      <c r="F475" s="10" t="s">
        <v>210</v>
      </c>
      <c r="G475" s="10"/>
      <c r="H475" s="10"/>
      <c r="I475" s="10"/>
      <c r="J475" s="10"/>
      <c r="K475" s="575"/>
      <c r="L475" s="152"/>
      <c r="M475" s="164"/>
      <c r="N475" s="62"/>
      <c r="O475" s="62"/>
      <c r="P475" s="177"/>
      <c r="Q475" s="171"/>
      <c r="R475" s="62"/>
      <c r="S475" s="62"/>
      <c r="T475" s="64"/>
      <c r="U475" s="177"/>
      <c r="V475" s="164"/>
      <c r="W475" s="62"/>
      <c r="X475" s="62"/>
      <c r="Y475" s="62"/>
      <c r="Z475" s="64"/>
      <c r="AA475" s="164"/>
      <c r="AB475" s="62"/>
      <c r="AC475" s="62"/>
      <c r="AD475" s="64"/>
      <c r="AE475" s="164"/>
      <c r="AF475" s="62"/>
      <c r="AG475" s="62"/>
      <c r="AH475" s="337"/>
      <c r="AI475" s="337"/>
      <c r="AJ475" s="337"/>
      <c r="AK475" s="337"/>
      <c r="AL475" s="414"/>
      <c r="AM475" s="414"/>
      <c r="AN475" s="45"/>
      <c r="AO475" s="45"/>
      <c r="AP475" s="45"/>
      <c r="AQ475" s="485"/>
      <c r="AR475" s="100"/>
      <c r="AS475" s="485"/>
      <c r="AT475" s="24"/>
      <c r="AU475" s="24"/>
      <c r="AV475" s="24"/>
      <c r="AW475" s="18">
        <v>23</v>
      </c>
      <c r="AX475" s="69" t="s">
        <v>295</v>
      </c>
      <c r="AY475" s="243" t="s">
        <v>95</v>
      </c>
      <c r="AZ475" s="243" t="str">
        <f t="shared" si="199"/>
        <v>Chinook</v>
      </c>
      <c r="BA475" s="243" t="s">
        <v>419</v>
      </c>
      <c r="BB475" s="246"/>
      <c r="BC475" s="43" t="str">
        <f t="shared" si="200"/>
        <v>-</v>
      </c>
      <c r="BD475" s="43">
        <f t="shared" si="191"/>
        <v>0</v>
      </c>
      <c r="BE475" s="193">
        <f t="shared" si="217"/>
        <v>0</v>
      </c>
      <c r="BF475" s="193">
        <f t="shared" si="201"/>
        <v>0</v>
      </c>
      <c r="BG475" s="193">
        <f t="shared" si="202"/>
        <v>0</v>
      </c>
      <c r="BH475" s="307" t="str">
        <f t="shared" si="189"/>
        <v>-</v>
      </c>
      <c r="BI475" s="265" t="str">
        <f t="shared" si="216"/>
        <v>-</v>
      </c>
      <c r="BJ475" s="26" t="str">
        <f t="shared" si="203"/>
        <v>DUTCH HARBOUR CREEK WESTChinook</v>
      </c>
      <c r="BK475" s="26">
        <f t="shared" si="204"/>
        <v>0</v>
      </c>
      <c r="BL475" s="33">
        <f t="shared" si="192"/>
        <v>0</v>
      </c>
      <c r="BQ475" s="47" t="str">
        <f t="shared" si="205"/>
        <v>DUTCH HARBOUR CREEK WESTChinook</v>
      </c>
      <c r="BR475" s="49">
        <f t="shared" si="206"/>
        <v>0</v>
      </c>
      <c r="BS475" s="49">
        <f t="shared" si="207"/>
        <v>0</v>
      </c>
      <c r="BT475" s="31">
        <v>0</v>
      </c>
      <c r="BU475" s="188">
        <f t="shared" si="208"/>
        <v>0</v>
      </c>
      <c r="BV475" s="188" t="str">
        <f t="shared" si="209"/>
        <v xml:space="preserve"> </v>
      </c>
      <c r="BW475" s="188" t="str">
        <f t="shared" si="210"/>
        <v xml:space="preserve"> </v>
      </c>
      <c r="BX475" s="188" t="str">
        <f t="shared" si="211"/>
        <v xml:space="preserve"> </v>
      </c>
      <c r="BY475" s="50" t="str">
        <f t="shared" si="197"/>
        <v>DUTCH HARBOUR CREEK WEST_Chinook</v>
      </c>
      <c r="BZ475" s="50" t="str">
        <f>IFERROR(VLOOKUP(BY475,'[1]WCVI Esc'!$C$5:$W$555,18,FALSE),"-")</f>
        <v>-</v>
      </c>
      <c r="CA475" s="50" t="str">
        <f t="shared" si="212"/>
        <v>-</v>
      </c>
      <c r="CB475" s="50" t="str">
        <f>IFERROR(VLOOKUP(BY475,'[1]WCVI Esc'!$C$5:$W$555,19,FALSE),"-")</f>
        <v>-</v>
      </c>
      <c r="CC475" s="50" t="str">
        <f t="shared" si="213"/>
        <v>-</v>
      </c>
      <c r="CE475" s="342" t="str">
        <f t="shared" si="196"/>
        <v>DUTCH HARBOUR CREEK WEST_Chinook</v>
      </c>
      <c r="CF475" s="341" t="str">
        <f>IFERROR(VLOOKUP(BY475,'RawPL+D'!$O$8:$AB$503,12,FALSE),"-")</f>
        <v>-</v>
      </c>
      <c r="CG475" s="338" t="str">
        <f t="shared" si="214"/>
        <v>-</v>
      </c>
      <c r="CH475" s="341" t="str">
        <f>IFERROR(VLOOKUP(BY475,'RawPL+D'!$O$8:$AB$503,13,FALSE),"-")</f>
        <v>-</v>
      </c>
      <c r="CI475" s="338" t="str">
        <f t="shared" si="215"/>
        <v>-</v>
      </c>
    </row>
    <row r="476" spans="1:87" ht="12.75" hidden="1" customHeight="1" x14ac:dyDescent="0.2">
      <c r="A476" s="28">
        <v>4</v>
      </c>
      <c r="B476" s="28">
        <v>6</v>
      </c>
      <c r="C476" s="11">
        <v>23</v>
      </c>
      <c r="D476" s="148" t="s">
        <v>295</v>
      </c>
      <c r="E476" s="10" t="s">
        <v>95</v>
      </c>
      <c r="F476" s="10" t="s">
        <v>211</v>
      </c>
      <c r="G476" s="10"/>
      <c r="H476" s="10"/>
      <c r="I476" s="10"/>
      <c r="J476" s="10"/>
      <c r="K476" s="575"/>
      <c r="L476" s="152"/>
      <c r="M476" s="164"/>
      <c r="N476" s="62"/>
      <c r="O476" s="62"/>
      <c r="P476" s="177"/>
      <c r="Q476" s="171"/>
      <c r="R476" s="62"/>
      <c r="S476" s="62"/>
      <c r="T476" s="64"/>
      <c r="U476" s="177"/>
      <c r="V476" s="164"/>
      <c r="W476" s="62"/>
      <c r="X476" s="62"/>
      <c r="Y476" s="62"/>
      <c r="Z476" s="64"/>
      <c r="AA476" s="164"/>
      <c r="AB476" s="62"/>
      <c r="AC476" s="62"/>
      <c r="AD476" s="64"/>
      <c r="AE476" s="164"/>
      <c r="AF476" s="62"/>
      <c r="AG476" s="62"/>
      <c r="AH476" s="337"/>
      <c r="AI476" s="337"/>
      <c r="AJ476" s="337"/>
      <c r="AK476" s="337"/>
      <c r="AL476" s="414"/>
      <c r="AM476" s="414"/>
      <c r="AN476" s="45"/>
      <c r="AO476" s="45"/>
      <c r="AP476" s="45"/>
      <c r="AQ476" s="485"/>
      <c r="AR476" s="100"/>
      <c r="AS476" s="485"/>
      <c r="AT476" s="24"/>
      <c r="AU476" s="24"/>
      <c r="AV476" s="24"/>
      <c r="AW476" s="18">
        <v>23</v>
      </c>
      <c r="AX476" s="69" t="s">
        <v>295</v>
      </c>
      <c r="AY476" s="243" t="s">
        <v>95</v>
      </c>
      <c r="AZ476" s="243" t="str">
        <f t="shared" si="199"/>
        <v>Steelhead</v>
      </c>
      <c r="BA476" s="243" t="s">
        <v>419</v>
      </c>
      <c r="BB476" s="246"/>
      <c r="BC476" s="43" t="str">
        <f t="shared" si="200"/>
        <v>-</v>
      </c>
      <c r="BD476" s="43">
        <f t="shared" si="191"/>
        <v>0</v>
      </c>
      <c r="BE476" s="193">
        <f t="shared" si="217"/>
        <v>0</v>
      </c>
      <c r="BF476" s="193">
        <f t="shared" si="201"/>
        <v>0</v>
      </c>
      <c r="BG476" s="193">
        <f t="shared" si="202"/>
        <v>0</v>
      </c>
      <c r="BH476" s="307" t="str">
        <f t="shared" ref="BH476:BH539" si="218">CI476</f>
        <v>-</v>
      </c>
      <c r="BI476" s="265" t="str">
        <f t="shared" si="216"/>
        <v>-</v>
      </c>
      <c r="BJ476" s="26" t="str">
        <f t="shared" si="203"/>
        <v>DUTCH HARBOUR CREEK WESTSteelhead</v>
      </c>
      <c r="BK476" s="26">
        <f t="shared" si="204"/>
        <v>0</v>
      </c>
      <c r="BL476" s="33">
        <f t="shared" si="192"/>
        <v>0</v>
      </c>
      <c r="BQ476" s="47" t="str">
        <f t="shared" si="205"/>
        <v>DUTCH HARBOUR CREEK WESTSteelhead</v>
      </c>
      <c r="BR476" s="49">
        <f t="shared" si="206"/>
        <v>0</v>
      </c>
      <c r="BS476" s="49">
        <f t="shared" si="207"/>
        <v>0</v>
      </c>
      <c r="BT476" s="31">
        <v>0</v>
      </c>
      <c r="BU476" s="188">
        <f t="shared" si="208"/>
        <v>0</v>
      </c>
      <c r="BV476" s="188" t="str">
        <f t="shared" si="209"/>
        <v xml:space="preserve"> </v>
      </c>
      <c r="BW476" s="188" t="str">
        <f t="shared" si="210"/>
        <v xml:space="preserve"> </v>
      </c>
      <c r="BX476" s="188" t="str">
        <f t="shared" si="211"/>
        <v xml:space="preserve"> </v>
      </c>
      <c r="BY476" s="50" t="str">
        <f t="shared" si="197"/>
        <v>DUTCH HARBOUR CREEK WEST_Steelhead</v>
      </c>
      <c r="BZ476" s="50" t="str">
        <f>IFERROR(VLOOKUP(BY476,'[1]WCVI Esc'!$C$5:$W$555,18,FALSE),"-")</f>
        <v>-</v>
      </c>
      <c r="CA476" s="50" t="str">
        <f t="shared" si="212"/>
        <v>-</v>
      </c>
      <c r="CB476" s="50" t="str">
        <f>IFERROR(VLOOKUP(BY476,'[1]WCVI Esc'!$C$5:$W$555,19,FALSE),"-")</f>
        <v>-</v>
      </c>
      <c r="CC476" s="50" t="str">
        <f t="shared" si="213"/>
        <v>-</v>
      </c>
      <c r="CE476" s="342" t="str">
        <f t="shared" si="196"/>
        <v>DUTCH HARBOUR CREEK WEST_Steelhead</v>
      </c>
      <c r="CF476" s="341" t="str">
        <f>IFERROR(VLOOKUP(BY476,'RawPL+D'!$O$8:$AB$503,12,FALSE),"-")</f>
        <v>-</v>
      </c>
      <c r="CG476" s="338" t="str">
        <f t="shared" si="214"/>
        <v>-</v>
      </c>
      <c r="CH476" s="341" t="str">
        <f>IFERROR(VLOOKUP(BY476,'RawPL+D'!$O$8:$AB$503,13,FALSE),"-")</f>
        <v>-</v>
      </c>
      <c r="CI476" s="338" t="str">
        <f t="shared" si="215"/>
        <v>-</v>
      </c>
    </row>
    <row r="477" spans="1:87" ht="12.75" hidden="1" customHeight="1" x14ac:dyDescent="0.2">
      <c r="A477" s="28">
        <v>4</v>
      </c>
      <c r="B477" s="28">
        <v>1</v>
      </c>
      <c r="C477" s="11">
        <v>23</v>
      </c>
      <c r="D477" s="148" t="s">
        <v>295</v>
      </c>
      <c r="E477" s="10" t="s">
        <v>178</v>
      </c>
      <c r="F477" s="10" t="s">
        <v>207</v>
      </c>
      <c r="G477" s="10"/>
      <c r="H477" s="10"/>
      <c r="I477" s="10"/>
      <c r="J477" s="10"/>
      <c r="K477" s="575"/>
      <c r="L477" s="152"/>
      <c r="M477" s="164"/>
      <c r="N477" s="62"/>
      <c r="O477" s="62"/>
      <c r="P477" s="177"/>
      <c r="Q477" s="171"/>
      <c r="R477" s="64"/>
      <c r="S477" s="62"/>
      <c r="T477" s="724">
        <v>0</v>
      </c>
      <c r="U477" s="64"/>
      <c r="V477" s="164"/>
      <c r="W477" s="62"/>
      <c r="X477" s="62"/>
      <c r="Y477" s="62"/>
      <c r="Z477" s="64"/>
      <c r="AA477" s="164"/>
      <c r="AB477" s="62"/>
      <c r="AC477" s="62"/>
      <c r="AD477" s="64"/>
      <c r="AE477" s="164"/>
      <c r="AF477" s="62"/>
      <c r="AG477" s="62"/>
      <c r="AH477" s="337"/>
      <c r="AI477" s="337"/>
      <c r="AJ477" s="337"/>
      <c r="AK477" s="337"/>
      <c r="AL477" s="414"/>
      <c r="AM477" s="414"/>
      <c r="AN477" s="45"/>
      <c r="AO477" s="45"/>
      <c r="AP477" s="45"/>
      <c r="AQ477" s="485"/>
      <c r="AR477" s="100"/>
      <c r="AS477" s="485"/>
      <c r="AT477" s="24"/>
      <c r="AU477" s="24"/>
      <c r="AV477" s="24"/>
      <c r="AW477" s="18">
        <v>23</v>
      </c>
      <c r="AX477" s="69" t="s">
        <v>295</v>
      </c>
      <c r="AY477" s="243" t="s">
        <v>178</v>
      </c>
      <c r="AZ477" s="243" t="str">
        <f t="shared" si="199"/>
        <v>Sockeye</v>
      </c>
      <c r="BA477" s="243" t="s">
        <v>419</v>
      </c>
      <c r="BB477" s="244" t="s">
        <v>289</v>
      </c>
      <c r="BC477" s="43" t="str">
        <f t="shared" si="200"/>
        <v>Oct 22-28</v>
      </c>
      <c r="BD477" s="43">
        <f t="shared" si="191"/>
        <v>1</v>
      </c>
      <c r="BE477" s="193">
        <f t="shared" si="217"/>
        <v>0</v>
      </c>
      <c r="BF477" s="193">
        <f t="shared" si="201"/>
        <v>0</v>
      </c>
      <c r="BG477" s="193">
        <f t="shared" si="202"/>
        <v>0</v>
      </c>
      <c r="BH477" s="307" t="str">
        <f t="shared" si="218"/>
        <v>-</v>
      </c>
      <c r="BI477" s="265" t="str">
        <f t="shared" si="216"/>
        <v>-</v>
      </c>
      <c r="BJ477" s="26" t="str">
        <f t="shared" si="203"/>
        <v>LITTLE MAGGIE RIVERSockeye</v>
      </c>
      <c r="BK477" s="26">
        <f t="shared" si="204"/>
        <v>1</v>
      </c>
      <c r="BL477" s="33">
        <f t="shared" si="192"/>
        <v>0</v>
      </c>
      <c r="BQ477" s="47" t="str">
        <f t="shared" si="205"/>
        <v>LITTLE MAGGIE RIVERSockeye</v>
      </c>
      <c r="BR477" s="49">
        <f t="shared" si="206"/>
        <v>0</v>
      </c>
      <c r="BS477" s="49">
        <f t="shared" si="207"/>
        <v>0</v>
      </c>
      <c r="BT477" s="31">
        <v>0</v>
      </c>
      <c r="BU477" s="188" t="str">
        <f t="shared" si="208"/>
        <v>TCES</v>
      </c>
      <c r="BV477" s="188" t="str">
        <f t="shared" si="209"/>
        <v xml:space="preserve"> </v>
      </c>
      <c r="BW477" s="188" t="str">
        <f t="shared" si="210"/>
        <v>Oct 22-28</v>
      </c>
      <c r="BX477" s="188" t="str">
        <f t="shared" si="211"/>
        <v xml:space="preserve"> </v>
      </c>
      <c r="BY477" s="50" t="str">
        <f t="shared" si="197"/>
        <v>LITTLE MAGGIE RIVER_Sockeye</v>
      </c>
      <c r="BZ477" s="50" t="str">
        <f>IFERROR(VLOOKUP(BY477,'[1]WCVI Esc'!$C$5:$W$555,18,FALSE),"-")</f>
        <v>-</v>
      </c>
      <c r="CA477" s="50" t="str">
        <f t="shared" si="212"/>
        <v>-</v>
      </c>
      <c r="CB477" s="50" t="str">
        <f>IFERROR(VLOOKUP(BY477,'[1]WCVI Esc'!$C$5:$W$555,19,FALSE),"-")</f>
        <v>-</v>
      </c>
      <c r="CC477" s="50" t="str">
        <f t="shared" si="213"/>
        <v>-</v>
      </c>
      <c r="CE477" s="342" t="str">
        <f t="shared" si="196"/>
        <v>LITTLE MAGGIE RIVER_Sockeye</v>
      </c>
      <c r="CF477" s="341" t="str">
        <f>IFERROR(VLOOKUP(BY477,'RawPL+D'!$O$8:$AB$503,12,FALSE),"-")</f>
        <v>-</v>
      </c>
      <c r="CG477" s="338" t="str">
        <f t="shared" si="214"/>
        <v>-</v>
      </c>
      <c r="CH477" s="341" t="str">
        <f>IFERROR(VLOOKUP(BY477,'RawPL+D'!$O$8:$AB$503,13,FALSE),"-")</f>
        <v>-</v>
      </c>
      <c r="CI477" s="338" t="str">
        <f t="shared" si="215"/>
        <v>-</v>
      </c>
    </row>
    <row r="478" spans="1:87" ht="12.75" hidden="1" customHeight="1" x14ac:dyDescent="0.2">
      <c r="A478" s="28">
        <v>4</v>
      </c>
      <c r="B478" s="28">
        <v>2</v>
      </c>
      <c r="C478" s="11">
        <v>23</v>
      </c>
      <c r="D478" s="148" t="s">
        <v>295</v>
      </c>
      <c r="E478" s="10" t="s">
        <v>178</v>
      </c>
      <c r="F478" s="10" t="s">
        <v>219</v>
      </c>
      <c r="G478" s="10"/>
      <c r="H478" s="10"/>
      <c r="I478" s="10"/>
      <c r="J478" s="10"/>
      <c r="K478" s="575"/>
      <c r="L478" s="152"/>
      <c r="M478" s="164"/>
      <c r="N478" s="62"/>
      <c r="O478" s="62"/>
      <c r="P478" s="177"/>
      <c r="Q478" s="171"/>
      <c r="R478" s="64"/>
      <c r="S478" s="62"/>
      <c r="T478" s="724">
        <v>24</v>
      </c>
      <c r="U478" s="64"/>
      <c r="V478" s="164"/>
      <c r="W478" s="62"/>
      <c r="X478" s="62"/>
      <c r="Y478" s="62"/>
      <c r="Z478" s="64"/>
      <c r="AA478" s="164"/>
      <c r="AB478" s="62"/>
      <c r="AC478" s="62"/>
      <c r="AD478" s="64"/>
      <c r="AE478" s="164"/>
      <c r="AF478" s="62"/>
      <c r="AG478" s="62"/>
      <c r="AH478" s="337"/>
      <c r="AI478" s="337"/>
      <c r="AJ478" s="337"/>
      <c r="AK478" s="337"/>
      <c r="AL478" s="414"/>
      <c r="AM478" s="414"/>
      <c r="AN478" s="841"/>
      <c r="AO478" s="45"/>
      <c r="AP478" s="45"/>
      <c r="AQ478" s="485"/>
      <c r="AR478" s="100"/>
      <c r="AS478" s="485"/>
      <c r="AT478" s="24"/>
      <c r="AU478" s="24"/>
      <c r="AV478" s="24"/>
      <c r="AW478" s="18">
        <v>23</v>
      </c>
      <c r="AX478" s="69" t="s">
        <v>295</v>
      </c>
      <c r="AY478" s="243" t="s">
        <v>178</v>
      </c>
      <c r="AZ478" s="243" t="str">
        <f t="shared" si="199"/>
        <v>Coho</v>
      </c>
      <c r="BA478" s="243" t="s">
        <v>419</v>
      </c>
      <c r="BB478" s="244" t="s">
        <v>289</v>
      </c>
      <c r="BC478" s="43" t="str">
        <f t="shared" si="200"/>
        <v>Oct 22-28</v>
      </c>
      <c r="BD478" s="43">
        <f t="shared" si="191"/>
        <v>1</v>
      </c>
      <c r="BE478" s="193">
        <f t="shared" si="217"/>
        <v>24</v>
      </c>
      <c r="BF478" s="193">
        <f t="shared" si="201"/>
        <v>0</v>
      </c>
      <c r="BG478" s="193">
        <f t="shared" si="202"/>
        <v>0</v>
      </c>
      <c r="BH478" s="307" t="str">
        <f t="shared" si="218"/>
        <v>-</v>
      </c>
      <c r="BI478" s="265" t="str">
        <f t="shared" si="216"/>
        <v>-</v>
      </c>
      <c r="BJ478" s="26" t="str">
        <f t="shared" si="203"/>
        <v>LITTLE MAGGIE RIVERCoho</v>
      </c>
      <c r="BK478" s="26">
        <f t="shared" si="204"/>
        <v>1</v>
      </c>
      <c r="BL478" s="33">
        <f t="shared" si="192"/>
        <v>24</v>
      </c>
      <c r="BQ478" s="47" t="str">
        <f t="shared" si="205"/>
        <v>LITTLE MAGGIE RIVERCoho</v>
      </c>
      <c r="BR478" s="49">
        <f t="shared" si="206"/>
        <v>0</v>
      </c>
      <c r="BS478" s="49">
        <f t="shared" si="207"/>
        <v>0</v>
      </c>
      <c r="BT478" s="31">
        <v>2000</v>
      </c>
      <c r="BU478" s="188" t="str">
        <f t="shared" si="208"/>
        <v>TCES</v>
      </c>
      <c r="BV478" s="188" t="str">
        <f t="shared" si="209"/>
        <v xml:space="preserve"> </v>
      </c>
      <c r="BW478" s="188" t="str">
        <f t="shared" si="210"/>
        <v>Oct 22-28</v>
      </c>
      <c r="BX478" s="188" t="str">
        <f t="shared" si="211"/>
        <v xml:space="preserve"> </v>
      </c>
      <c r="BY478" s="50" t="str">
        <f t="shared" si="197"/>
        <v>LITTLE MAGGIE RIVER_Coho</v>
      </c>
      <c r="BZ478" s="50" t="str">
        <f>IFERROR(VLOOKUP(BY478,'[1]WCVI Esc'!$C$5:$W$555,18,FALSE),"-")</f>
        <v>-</v>
      </c>
      <c r="CA478" s="50" t="str">
        <f t="shared" si="212"/>
        <v>-</v>
      </c>
      <c r="CB478" s="50" t="str">
        <f>IFERROR(VLOOKUP(BY478,'[1]WCVI Esc'!$C$5:$W$555,19,FALSE),"-")</f>
        <v>-</v>
      </c>
      <c r="CC478" s="50" t="str">
        <f t="shared" si="213"/>
        <v>-</v>
      </c>
      <c r="CE478" s="342" t="str">
        <f t="shared" si="196"/>
        <v>LITTLE MAGGIE RIVER_Coho</v>
      </c>
      <c r="CF478" s="341" t="str">
        <f>IFERROR(VLOOKUP(BY478,'RawPL+D'!$O$8:$AB$503,12,FALSE),"-")</f>
        <v>-</v>
      </c>
      <c r="CG478" s="338" t="str">
        <f t="shared" si="214"/>
        <v>-</v>
      </c>
      <c r="CH478" s="341" t="str">
        <f>IFERROR(VLOOKUP(BY478,'RawPL+D'!$O$8:$AB$503,13,FALSE),"-")</f>
        <v>-</v>
      </c>
      <c r="CI478" s="338" t="str">
        <f t="shared" si="215"/>
        <v>-</v>
      </c>
    </row>
    <row r="479" spans="1:87" ht="12.75" hidden="1" customHeight="1" x14ac:dyDescent="0.2">
      <c r="A479" s="28">
        <v>4</v>
      </c>
      <c r="B479" s="28">
        <v>3</v>
      </c>
      <c r="C479" s="11">
        <v>23</v>
      </c>
      <c r="D479" s="148" t="s">
        <v>295</v>
      </c>
      <c r="E479" s="10" t="s">
        <v>178</v>
      </c>
      <c r="F479" s="10" t="s">
        <v>208</v>
      </c>
      <c r="G479" s="10"/>
      <c r="H479" s="10"/>
      <c r="I479" s="10"/>
      <c r="J479" s="10"/>
      <c r="K479" s="575"/>
      <c r="L479" s="152"/>
      <c r="M479" s="164"/>
      <c r="N479" s="62"/>
      <c r="O479" s="62"/>
      <c r="P479" s="177"/>
      <c r="Q479" s="171"/>
      <c r="R479" s="64"/>
      <c r="S479" s="62"/>
      <c r="T479" s="724">
        <v>0</v>
      </c>
      <c r="U479" s="64"/>
      <c r="V479" s="164"/>
      <c r="W479" s="62"/>
      <c r="X479" s="62"/>
      <c r="Y479" s="62"/>
      <c r="Z479" s="64"/>
      <c r="AA479" s="164"/>
      <c r="AB479" s="62"/>
      <c r="AC479" s="62"/>
      <c r="AD479" s="64"/>
      <c r="AE479" s="164"/>
      <c r="AF479" s="62"/>
      <c r="AG479" s="62"/>
      <c r="AH479" s="337"/>
      <c r="AI479" s="337"/>
      <c r="AJ479" s="337"/>
      <c r="AK479" s="337"/>
      <c r="AL479" s="414"/>
      <c r="AM479" s="414"/>
      <c r="AN479" s="45"/>
      <c r="AO479" s="45"/>
      <c r="AP479" s="45"/>
      <c r="AQ479" s="485"/>
      <c r="AR479" s="100"/>
      <c r="AS479" s="485"/>
      <c r="AT479" s="24"/>
      <c r="AU479" s="24"/>
      <c r="AV479" s="24"/>
      <c r="AW479" s="18">
        <v>23</v>
      </c>
      <c r="AX479" s="69" t="s">
        <v>295</v>
      </c>
      <c r="AY479" s="243" t="s">
        <v>178</v>
      </c>
      <c r="AZ479" s="243" t="str">
        <f t="shared" si="199"/>
        <v>Pink</v>
      </c>
      <c r="BA479" s="243" t="s">
        <v>419</v>
      </c>
      <c r="BB479" s="244" t="s">
        <v>289</v>
      </c>
      <c r="BC479" s="43" t="str">
        <f t="shared" si="200"/>
        <v>Oct 22-28</v>
      </c>
      <c r="BD479" s="43">
        <f t="shared" si="191"/>
        <v>1</v>
      </c>
      <c r="BE479" s="193">
        <f t="shared" si="217"/>
        <v>0</v>
      </c>
      <c r="BF479" s="193">
        <f t="shared" si="201"/>
        <v>0</v>
      </c>
      <c r="BG479" s="193">
        <f t="shared" si="202"/>
        <v>0</v>
      </c>
      <c r="BH479" s="307" t="str">
        <f t="shared" si="218"/>
        <v>-</v>
      </c>
      <c r="BI479" s="265" t="str">
        <f t="shared" si="216"/>
        <v>-</v>
      </c>
      <c r="BJ479" s="26" t="str">
        <f t="shared" si="203"/>
        <v>LITTLE MAGGIE RIVERPink</v>
      </c>
      <c r="BK479" s="26">
        <f t="shared" si="204"/>
        <v>1</v>
      </c>
      <c r="BL479" s="33">
        <f t="shared" si="192"/>
        <v>0</v>
      </c>
      <c r="BQ479" s="47" t="str">
        <f t="shared" si="205"/>
        <v>LITTLE MAGGIE RIVERPink</v>
      </c>
      <c r="BR479" s="49">
        <f t="shared" si="206"/>
        <v>0</v>
      </c>
      <c r="BS479" s="49">
        <f t="shared" si="207"/>
        <v>0</v>
      </c>
      <c r="BT479" s="31">
        <v>0</v>
      </c>
      <c r="BU479" s="188" t="str">
        <f t="shared" si="208"/>
        <v>TCES</v>
      </c>
      <c r="BV479" s="188" t="str">
        <f t="shared" si="209"/>
        <v xml:space="preserve"> </v>
      </c>
      <c r="BW479" s="188" t="str">
        <f t="shared" si="210"/>
        <v>Oct 22-28</v>
      </c>
      <c r="BX479" s="188" t="str">
        <f t="shared" si="211"/>
        <v xml:space="preserve"> </v>
      </c>
      <c r="BY479" s="50" t="str">
        <f t="shared" si="197"/>
        <v>LITTLE MAGGIE RIVER_Pink</v>
      </c>
      <c r="BZ479" s="50" t="str">
        <f>IFERROR(VLOOKUP(BY479,'[1]WCVI Esc'!$C$5:$W$555,18,FALSE),"-")</f>
        <v>-</v>
      </c>
      <c r="CA479" s="50" t="str">
        <f t="shared" si="212"/>
        <v>-</v>
      </c>
      <c r="CB479" s="50" t="str">
        <f>IFERROR(VLOOKUP(BY479,'[1]WCVI Esc'!$C$5:$W$555,19,FALSE),"-")</f>
        <v>-</v>
      </c>
      <c r="CC479" s="50" t="str">
        <f t="shared" si="213"/>
        <v>-</v>
      </c>
      <c r="CE479" s="342" t="str">
        <f t="shared" si="196"/>
        <v>LITTLE MAGGIE RIVER_Pink</v>
      </c>
      <c r="CF479" s="341" t="str">
        <f>IFERROR(VLOOKUP(BY479,'RawPL+D'!$O$8:$AB$503,12,FALSE),"-")</f>
        <v>-</v>
      </c>
      <c r="CG479" s="338" t="str">
        <f t="shared" si="214"/>
        <v>-</v>
      </c>
      <c r="CH479" s="341" t="str">
        <f>IFERROR(VLOOKUP(BY479,'RawPL+D'!$O$8:$AB$503,13,FALSE),"-")</f>
        <v>-</v>
      </c>
      <c r="CI479" s="338" t="str">
        <f t="shared" si="215"/>
        <v>-</v>
      </c>
    </row>
    <row r="480" spans="1:87" ht="12.75" hidden="1" customHeight="1" x14ac:dyDescent="0.2">
      <c r="A480" s="28">
        <v>4</v>
      </c>
      <c r="B480" s="28">
        <v>4</v>
      </c>
      <c r="C480" s="11">
        <v>23</v>
      </c>
      <c r="D480" s="148" t="s">
        <v>295</v>
      </c>
      <c r="E480" s="10" t="s">
        <v>178</v>
      </c>
      <c r="F480" s="10" t="s">
        <v>209</v>
      </c>
      <c r="G480" s="10"/>
      <c r="H480" s="10"/>
      <c r="I480" s="10"/>
      <c r="J480" s="10"/>
      <c r="K480" s="575"/>
      <c r="L480" s="152"/>
      <c r="M480" s="164"/>
      <c r="N480" s="62"/>
      <c r="O480" s="62"/>
      <c r="P480" s="177"/>
      <c r="Q480" s="171"/>
      <c r="R480" s="64"/>
      <c r="S480" s="62"/>
      <c r="T480" s="725">
        <v>39</v>
      </c>
      <c r="U480" s="64"/>
      <c r="V480" s="164"/>
      <c r="W480" s="62"/>
      <c r="X480" s="62"/>
      <c r="Y480" s="62"/>
      <c r="Z480" s="64"/>
      <c r="AA480" s="164"/>
      <c r="AB480" s="62"/>
      <c r="AC480" s="62"/>
      <c r="AD480" s="64"/>
      <c r="AE480" s="164"/>
      <c r="AF480" s="62"/>
      <c r="AG480" s="62"/>
      <c r="AH480" s="337"/>
      <c r="AI480" s="337"/>
      <c r="AJ480" s="337"/>
      <c r="AK480" s="337"/>
      <c r="AL480" s="414"/>
      <c r="AM480" s="414"/>
      <c r="AN480" s="841"/>
      <c r="AO480" s="45"/>
      <c r="AP480" s="45"/>
      <c r="AQ480" s="485"/>
      <c r="AR480" s="100"/>
      <c r="AS480" s="485"/>
      <c r="AT480" s="24"/>
      <c r="AU480" s="24"/>
      <c r="AV480" s="24"/>
      <c r="AW480" s="18">
        <v>23</v>
      </c>
      <c r="AX480" s="69" t="s">
        <v>295</v>
      </c>
      <c r="AY480" s="243" t="s">
        <v>178</v>
      </c>
      <c r="AZ480" s="243" t="str">
        <f t="shared" si="199"/>
        <v>Chum</v>
      </c>
      <c r="BA480" s="243" t="s">
        <v>419</v>
      </c>
      <c r="BB480" s="244" t="s">
        <v>289</v>
      </c>
      <c r="BC480" s="43" t="str">
        <f t="shared" si="200"/>
        <v>Oct 22-28</v>
      </c>
      <c r="BD480" s="43">
        <f t="shared" si="191"/>
        <v>1</v>
      </c>
      <c r="BE480" s="193">
        <f t="shared" si="217"/>
        <v>39</v>
      </c>
      <c r="BF480" s="193">
        <f t="shared" si="201"/>
        <v>0</v>
      </c>
      <c r="BG480" s="193">
        <f t="shared" si="202"/>
        <v>0</v>
      </c>
      <c r="BH480" s="307" t="str">
        <f t="shared" si="218"/>
        <v>-</v>
      </c>
      <c r="BI480" s="265" t="str">
        <f t="shared" si="216"/>
        <v>-</v>
      </c>
      <c r="BJ480" s="26" t="str">
        <f t="shared" si="203"/>
        <v>LITTLE MAGGIE RIVERChum</v>
      </c>
      <c r="BK480" s="26">
        <f t="shared" si="204"/>
        <v>1</v>
      </c>
      <c r="BL480" s="33">
        <f t="shared" si="192"/>
        <v>39</v>
      </c>
      <c r="BQ480" s="47" t="str">
        <f t="shared" si="205"/>
        <v>LITTLE MAGGIE RIVERChum</v>
      </c>
      <c r="BR480" s="49">
        <f t="shared" si="206"/>
        <v>0</v>
      </c>
      <c r="BS480" s="49">
        <f t="shared" si="207"/>
        <v>0</v>
      </c>
      <c r="BT480" s="31">
        <v>2000</v>
      </c>
      <c r="BU480" s="188" t="str">
        <f t="shared" si="208"/>
        <v>TCES</v>
      </c>
      <c r="BV480" s="188" t="str">
        <f t="shared" si="209"/>
        <v xml:space="preserve"> </v>
      </c>
      <c r="BW480" s="188" t="str">
        <f t="shared" si="210"/>
        <v>Oct 22-28</v>
      </c>
      <c r="BX480" s="188" t="str">
        <f t="shared" si="211"/>
        <v xml:space="preserve"> </v>
      </c>
      <c r="BY480" s="50" t="str">
        <f t="shared" si="197"/>
        <v>LITTLE MAGGIE RIVER_Chum</v>
      </c>
      <c r="BZ480" s="50" t="str">
        <f>IFERROR(VLOOKUP(BY480,'[1]WCVI Esc'!$C$5:$W$555,18,FALSE),"-")</f>
        <v>-</v>
      </c>
      <c r="CA480" s="50" t="str">
        <f t="shared" si="212"/>
        <v>-</v>
      </c>
      <c r="CB480" s="50" t="str">
        <f>IFERROR(VLOOKUP(BY480,'[1]WCVI Esc'!$C$5:$W$555,19,FALSE),"-")</f>
        <v>-</v>
      </c>
      <c r="CC480" s="50" t="str">
        <f t="shared" si="213"/>
        <v>-</v>
      </c>
      <c r="CE480" s="342" t="str">
        <f t="shared" si="196"/>
        <v>LITTLE MAGGIE RIVER_Chum</v>
      </c>
      <c r="CF480" s="341" t="str">
        <f>IFERROR(VLOOKUP(BY480,'RawPL+D'!$O$8:$AB$503,12,FALSE),"-")</f>
        <v>-</v>
      </c>
      <c r="CG480" s="338" t="str">
        <f t="shared" si="214"/>
        <v>-</v>
      </c>
      <c r="CH480" s="341" t="str">
        <f>IFERROR(VLOOKUP(BY480,'RawPL+D'!$O$8:$AB$503,13,FALSE),"-")</f>
        <v>-</v>
      </c>
      <c r="CI480" s="338" t="str">
        <f t="shared" si="215"/>
        <v>-</v>
      </c>
    </row>
    <row r="481" spans="1:87" ht="12.75" hidden="1" customHeight="1" x14ac:dyDescent="0.2">
      <c r="A481" s="28">
        <v>4</v>
      </c>
      <c r="B481" s="28">
        <v>5</v>
      </c>
      <c r="C481" s="11">
        <v>23</v>
      </c>
      <c r="D481" s="148" t="s">
        <v>295</v>
      </c>
      <c r="E481" s="10" t="s">
        <v>178</v>
      </c>
      <c r="F481" s="10" t="s">
        <v>210</v>
      </c>
      <c r="G481" s="10"/>
      <c r="H481" s="10"/>
      <c r="I481" s="10"/>
      <c r="J481" s="10"/>
      <c r="K481" s="575"/>
      <c r="L481" s="152"/>
      <c r="M481" s="164"/>
      <c r="N481" s="62"/>
      <c r="O481" s="62"/>
      <c r="P481" s="177"/>
      <c r="Q481" s="171"/>
      <c r="R481" s="64"/>
      <c r="S481" s="62"/>
      <c r="T481" s="724">
        <v>1</v>
      </c>
      <c r="U481" s="64"/>
      <c r="V481" s="164"/>
      <c r="W481" s="62"/>
      <c r="X481" s="62"/>
      <c r="Y481" s="62"/>
      <c r="Z481" s="64"/>
      <c r="AA481" s="164"/>
      <c r="AB481" s="62"/>
      <c r="AC481" s="62"/>
      <c r="AD481" s="64"/>
      <c r="AE481" s="164"/>
      <c r="AF481" s="62"/>
      <c r="AG481" s="62"/>
      <c r="AH481" s="337"/>
      <c r="AI481" s="337"/>
      <c r="AJ481" s="337"/>
      <c r="AK481" s="337"/>
      <c r="AL481" s="414"/>
      <c r="AM481" s="414"/>
      <c r="AN481" s="45"/>
      <c r="AO481" s="45"/>
      <c r="AP481" s="45"/>
      <c r="AQ481" s="485"/>
      <c r="AR481" s="100"/>
      <c r="AS481" s="485"/>
      <c r="AT481" s="24"/>
      <c r="AU481" s="24"/>
      <c r="AV481" s="24"/>
      <c r="AW481" s="18">
        <v>23</v>
      </c>
      <c r="AX481" s="69" t="s">
        <v>295</v>
      </c>
      <c r="AY481" s="243" t="s">
        <v>178</v>
      </c>
      <c r="AZ481" s="243" t="str">
        <f t="shared" si="199"/>
        <v>Chinook</v>
      </c>
      <c r="BA481" s="243" t="s">
        <v>419</v>
      </c>
      <c r="BB481" s="244" t="s">
        <v>289</v>
      </c>
      <c r="BC481" s="43" t="str">
        <f t="shared" si="200"/>
        <v>Oct 22-28</v>
      </c>
      <c r="BD481" s="43">
        <f t="shared" ref="BD481:BD544" si="219">BK481</f>
        <v>1</v>
      </c>
      <c r="BE481" s="193">
        <f t="shared" si="217"/>
        <v>1</v>
      </c>
      <c r="BF481" s="193">
        <f t="shared" si="201"/>
        <v>0</v>
      </c>
      <c r="BG481" s="193">
        <f t="shared" si="202"/>
        <v>0</v>
      </c>
      <c r="BH481" s="307" t="str">
        <f t="shared" si="218"/>
        <v>-</v>
      </c>
      <c r="BI481" s="265" t="str">
        <f t="shared" si="216"/>
        <v>-</v>
      </c>
      <c r="BJ481" s="26" t="str">
        <f t="shared" si="203"/>
        <v>LITTLE MAGGIE RIVERChinook</v>
      </c>
      <c r="BK481" s="26">
        <f t="shared" si="204"/>
        <v>1</v>
      </c>
      <c r="BL481" s="33">
        <f t="shared" si="192"/>
        <v>1</v>
      </c>
      <c r="BQ481" s="47" t="str">
        <f t="shared" si="205"/>
        <v>LITTLE MAGGIE RIVERChinook</v>
      </c>
      <c r="BR481" s="49">
        <f t="shared" si="206"/>
        <v>0</v>
      </c>
      <c r="BS481" s="49">
        <f t="shared" si="207"/>
        <v>0</v>
      </c>
      <c r="BT481" s="31">
        <v>0</v>
      </c>
      <c r="BU481" s="188" t="str">
        <f t="shared" si="208"/>
        <v>TCES</v>
      </c>
      <c r="BV481" s="188" t="str">
        <f t="shared" si="209"/>
        <v xml:space="preserve"> </v>
      </c>
      <c r="BW481" s="188" t="str">
        <f t="shared" si="210"/>
        <v>Oct 22-28</v>
      </c>
      <c r="BX481" s="188" t="str">
        <f t="shared" si="211"/>
        <v xml:space="preserve"> </v>
      </c>
      <c r="BY481" s="50" t="str">
        <f t="shared" si="197"/>
        <v>LITTLE MAGGIE RIVER_Chinook</v>
      </c>
      <c r="BZ481" s="50" t="str">
        <f>IFERROR(VLOOKUP(BY481,'[1]WCVI Esc'!$C$5:$W$555,18,FALSE),"-")</f>
        <v>-</v>
      </c>
      <c r="CA481" s="50" t="str">
        <f t="shared" si="212"/>
        <v>-</v>
      </c>
      <c r="CB481" s="50" t="str">
        <f>IFERROR(VLOOKUP(BY481,'[1]WCVI Esc'!$C$5:$W$555,19,FALSE),"-")</f>
        <v>-</v>
      </c>
      <c r="CC481" s="50" t="str">
        <f t="shared" si="213"/>
        <v>-</v>
      </c>
      <c r="CE481" s="342" t="str">
        <f t="shared" si="196"/>
        <v>LITTLE MAGGIE RIVER_Chinook</v>
      </c>
      <c r="CF481" s="341" t="str">
        <f>IFERROR(VLOOKUP(BY481,'RawPL+D'!$O$8:$AB$503,12,FALSE),"-")</f>
        <v>-</v>
      </c>
      <c r="CG481" s="338" t="str">
        <f t="shared" si="214"/>
        <v>-</v>
      </c>
      <c r="CH481" s="341" t="str">
        <f>IFERROR(VLOOKUP(BY481,'RawPL+D'!$O$8:$AB$503,13,FALSE),"-")</f>
        <v>-</v>
      </c>
      <c r="CI481" s="338" t="str">
        <f t="shared" si="215"/>
        <v>-</v>
      </c>
    </row>
    <row r="482" spans="1:87" ht="12.75" hidden="1" customHeight="1" x14ac:dyDescent="0.2">
      <c r="A482" s="28">
        <v>4</v>
      </c>
      <c r="B482" s="28">
        <v>6</v>
      </c>
      <c r="C482" s="11">
        <v>23</v>
      </c>
      <c r="D482" s="148" t="s">
        <v>295</v>
      </c>
      <c r="E482" s="10" t="s">
        <v>178</v>
      </c>
      <c r="F482" s="10" t="s">
        <v>211</v>
      </c>
      <c r="G482" s="10"/>
      <c r="H482" s="10"/>
      <c r="I482" s="10"/>
      <c r="J482" s="10"/>
      <c r="K482" s="575"/>
      <c r="L482" s="152"/>
      <c r="M482" s="164"/>
      <c r="N482" s="62"/>
      <c r="O482" s="62"/>
      <c r="P482" s="177"/>
      <c r="Q482" s="171"/>
      <c r="R482" s="64"/>
      <c r="S482" s="62"/>
      <c r="T482" s="724">
        <v>0</v>
      </c>
      <c r="U482" s="64"/>
      <c r="V482" s="164"/>
      <c r="W482" s="62"/>
      <c r="X482" s="62"/>
      <c r="Y482" s="62"/>
      <c r="Z482" s="64"/>
      <c r="AA482" s="164"/>
      <c r="AB482" s="62"/>
      <c r="AC482" s="62"/>
      <c r="AD482" s="64"/>
      <c r="AE482" s="164"/>
      <c r="AF482" s="62"/>
      <c r="AG482" s="62"/>
      <c r="AH482" s="337"/>
      <c r="AI482" s="337"/>
      <c r="AJ482" s="337"/>
      <c r="AK482" s="337"/>
      <c r="AL482" s="414"/>
      <c r="AM482" s="414"/>
      <c r="AN482" s="45"/>
      <c r="AO482" s="45"/>
      <c r="AP482" s="45"/>
      <c r="AQ482" s="485"/>
      <c r="AR482" s="100"/>
      <c r="AS482" s="485"/>
      <c r="AT482" s="24"/>
      <c r="AU482" s="24"/>
      <c r="AV482" s="24"/>
      <c r="AW482" s="18">
        <v>23</v>
      </c>
      <c r="AX482" s="69" t="s">
        <v>295</v>
      </c>
      <c r="AY482" s="243" t="s">
        <v>178</v>
      </c>
      <c r="AZ482" s="243" t="str">
        <f t="shared" si="199"/>
        <v>Steelhead</v>
      </c>
      <c r="BA482" s="243" t="s">
        <v>419</v>
      </c>
      <c r="BB482" s="244" t="s">
        <v>289</v>
      </c>
      <c r="BC482" s="43" t="str">
        <f t="shared" si="200"/>
        <v>Oct 22-28</v>
      </c>
      <c r="BD482" s="43">
        <f t="shared" si="219"/>
        <v>1</v>
      </c>
      <c r="BE482" s="193">
        <f t="shared" si="217"/>
        <v>0</v>
      </c>
      <c r="BF482" s="193">
        <f t="shared" si="201"/>
        <v>0</v>
      </c>
      <c r="BG482" s="193">
        <f t="shared" si="202"/>
        <v>0</v>
      </c>
      <c r="BH482" s="307" t="str">
        <f t="shared" si="218"/>
        <v>-</v>
      </c>
      <c r="BI482" s="265" t="str">
        <f t="shared" si="216"/>
        <v>-</v>
      </c>
      <c r="BJ482" s="26" t="str">
        <f t="shared" si="203"/>
        <v>LITTLE MAGGIE RIVERSteelhead</v>
      </c>
      <c r="BK482" s="26">
        <f t="shared" si="204"/>
        <v>1</v>
      </c>
      <c r="BL482" s="33">
        <f t="shared" si="192"/>
        <v>0</v>
      </c>
      <c r="BQ482" s="47" t="str">
        <f t="shared" si="205"/>
        <v>LITTLE MAGGIE RIVERSteelhead</v>
      </c>
      <c r="BR482" s="49">
        <f t="shared" si="206"/>
        <v>0</v>
      </c>
      <c r="BS482" s="49">
        <f t="shared" si="207"/>
        <v>0</v>
      </c>
      <c r="BT482" s="31">
        <v>0</v>
      </c>
      <c r="BU482" s="188" t="str">
        <f t="shared" si="208"/>
        <v>TCES</v>
      </c>
      <c r="BV482" s="188" t="str">
        <f t="shared" si="209"/>
        <v xml:space="preserve"> </v>
      </c>
      <c r="BW482" s="188" t="str">
        <f t="shared" si="210"/>
        <v>Oct 22-28</v>
      </c>
      <c r="BX482" s="188" t="str">
        <f t="shared" si="211"/>
        <v xml:space="preserve"> </v>
      </c>
      <c r="BY482" s="50" t="str">
        <f t="shared" si="197"/>
        <v>LITTLE MAGGIE RIVER_Steelhead</v>
      </c>
      <c r="BZ482" s="50" t="str">
        <f>IFERROR(VLOOKUP(BY482,'[1]WCVI Esc'!$C$5:$W$555,18,FALSE),"-")</f>
        <v>-</v>
      </c>
      <c r="CA482" s="50" t="str">
        <f t="shared" si="212"/>
        <v>-</v>
      </c>
      <c r="CB482" s="50" t="str">
        <f>IFERROR(VLOOKUP(BY482,'[1]WCVI Esc'!$C$5:$W$555,19,FALSE),"-")</f>
        <v>-</v>
      </c>
      <c r="CC482" s="50" t="str">
        <f t="shared" si="213"/>
        <v>-</v>
      </c>
      <c r="CE482" s="342" t="str">
        <f t="shared" si="196"/>
        <v>LITTLE MAGGIE RIVER_Steelhead</v>
      </c>
      <c r="CF482" s="341" t="str">
        <f>IFERROR(VLOOKUP(BY482,'RawPL+D'!$O$8:$AB$503,12,FALSE),"-")</f>
        <v>-</v>
      </c>
      <c r="CG482" s="338" t="str">
        <f t="shared" si="214"/>
        <v>-</v>
      </c>
      <c r="CH482" s="341" t="str">
        <f>IFERROR(VLOOKUP(BY482,'RawPL+D'!$O$8:$AB$503,13,FALSE),"-")</f>
        <v>-</v>
      </c>
      <c r="CI482" s="338" t="str">
        <f t="shared" si="215"/>
        <v>-</v>
      </c>
    </row>
    <row r="483" spans="1:87" ht="12.75" hidden="1" customHeight="1" x14ac:dyDescent="0.2">
      <c r="A483" s="28">
        <v>4</v>
      </c>
      <c r="B483" s="28">
        <v>1</v>
      </c>
      <c r="C483" s="11">
        <v>23</v>
      </c>
      <c r="D483" s="148" t="s">
        <v>295</v>
      </c>
      <c r="E483" s="10" t="s">
        <v>565</v>
      </c>
      <c r="F483" s="10" t="s">
        <v>207</v>
      </c>
      <c r="G483" s="10"/>
      <c r="H483" s="10"/>
      <c r="I483" s="10"/>
      <c r="J483" s="10"/>
      <c r="K483" s="575"/>
      <c r="L483" s="152"/>
      <c r="M483" s="164"/>
      <c r="N483" s="62"/>
      <c r="O483" s="62"/>
      <c r="P483" s="177"/>
      <c r="Q483" s="171"/>
      <c r="R483" s="64"/>
      <c r="S483" s="62"/>
      <c r="T483" s="722">
        <v>0</v>
      </c>
      <c r="U483" s="598"/>
      <c r="V483" s="599"/>
      <c r="W483" s="62"/>
      <c r="X483" s="62"/>
      <c r="Y483" s="62"/>
      <c r="Z483" s="64"/>
      <c r="AA483" s="164"/>
      <c r="AB483" s="62"/>
      <c r="AC483" s="62"/>
      <c r="AD483" s="64"/>
      <c r="AE483" s="164"/>
      <c r="AF483" s="62"/>
      <c r="AG483" s="62"/>
      <c r="AH483" s="337">
        <v>0</v>
      </c>
      <c r="AI483" s="337">
        <v>0</v>
      </c>
      <c r="AJ483" s="337">
        <v>0</v>
      </c>
      <c r="AK483" s="337">
        <v>0</v>
      </c>
      <c r="AL483" s="552">
        <v>0</v>
      </c>
      <c r="AM483" s="552">
        <v>0</v>
      </c>
      <c r="AN483" s="552" t="s">
        <v>765</v>
      </c>
      <c r="AO483" s="552" t="s">
        <v>772</v>
      </c>
      <c r="AP483" s="45"/>
      <c r="AQ483" s="485"/>
      <c r="AR483" s="100"/>
      <c r="AS483" s="485"/>
      <c r="AT483" s="24"/>
      <c r="AU483" s="24"/>
      <c r="AV483" s="24"/>
      <c r="AW483" s="18">
        <v>23</v>
      </c>
      <c r="AX483" s="69" t="s">
        <v>295</v>
      </c>
      <c r="AY483" s="243" t="s">
        <v>565</v>
      </c>
      <c r="AZ483" s="243" t="str">
        <f t="shared" si="199"/>
        <v>Sockeye</v>
      </c>
      <c r="BA483" s="243" t="s">
        <v>419</v>
      </c>
      <c r="BB483" s="246" t="s">
        <v>289</v>
      </c>
      <c r="BC483" s="43" t="str">
        <f t="shared" si="200"/>
        <v>Oct 22-28</v>
      </c>
      <c r="BD483" s="43">
        <f t="shared" si="219"/>
        <v>1</v>
      </c>
      <c r="BE483" s="193">
        <f t="shared" si="217"/>
        <v>0</v>
      </c>
      <c r="BF483" s="193">
        <f t="shared" si="201"/>
        <v>0</v>
      </c>
      <c r="BG483" s="193">
        <f t="shared" si="202"/>
        <v>0</v>
      </c>
      <c r="BH483" s="307" t="str">
        <f t="shared" si="218"/>
        <v>-</v>
      </c>
      <c r="BI483" s="265"/>
      <c r="BJ483" s="26" t="str">
        <f t="shared" si="203"/>
        <v>LITTLE TOQUAHT CREEKSockeye</v>
      </c>
      <c r="BK483" s="26">
        <f t="shared" si="204"/>
        <v>1</v>
      </c>
      <c r="BL483" s="33">
        <f t="shared" si="192"/>
        <v>0</v>
      </c>
      <c r="BQ483" s="47" t="str">
        <f t="shared" si="205"/>
        <v>LITTLE TOQUAHT CREEKSockeye</v>
      </c>
      <c r="BR483" s="49">
        <f t="shared" si="206"/>
        <v>0</v>
      </c>
      <c r="BS483" s="49">
        <f t="shared" si="207"/>
        <v>0</v>
      </c>
      <c r="BT483" s="31">
        <v>0</v>
      </c>
      <c r="BU483" s="188" t="str">
        <f t="shared" si="208"/>
        <v>TCES</v>
      </c>
      <c r="BV483" s="188" t="str">
        <f t="shared" si="209"/>
        <v xml:space="preserve"> </v>
      </c>
      <c r="BW483" s="188" t="str">
        <f t="shared" si="210"/>
        <v>Oct 22-28</v>
      </c>
      <c r="BX483" s="188" t="str">
        <f t="shared" si="211"/>
        <v xml:space="preserve"> </v>
      </c>
      <c r="BY483" s="50" t="str">
        <f t="shared" ref="BY483:BY488" si="220">CONCATENATE("LITTLE TOQUART CREEK","_",F483)</f>
        <v>LITTLE TOQUART CREEK_Sockeye</v>
      </c>
      <c r="BZ483" s="50" t="str">
        <f>IFERROR(VLOOKUP(BY483,'[1]WCVI Esc'!$C$5:$W$555,18,FALSE),"-")</f>
        <v>-</v>
      </c>
      <c r="CA483" s="50" t="str">
        <f t="shared" si="212"/>
        <v>-</v>
      </c>
      <c r="CB483" s="50" t="str">
        <f>IFERROR(VLOOKUP(BY483,'[1]WCVI Esc'!$C$5:$W$555,19,FALSE),"-")</f>
        <v>-</v>
      </c>
      <c r="CC483" s="50" t="str">
        <f t="shared" si="213"/>
        <v>-</v>
      </c>
      <c r="CE483" s="342" t="str">
        <f t="shared" si="196"/>
        <v>LITTLE TOQUAHT CREEK_Sockeye</v>
      </c>
      <c r="CF483" s="341" t="str">
        <f>IFERROR(VLOOKUP(BY483,'RawPL+D'!$O$8:$AB$503,12,FALSE),"-")</f>
        <v>-</v>
      </c>
      <c r="CG483" s="338" t="str">
        <f t="shared" si="214"/>
        <v>-</v>
      </c>
      <c r="CH483" s="341" t="str">
        <f>IFERROR(VLOOKUP(BY483,'RawPL+D'!$O$8:$AB$503,13,FALSE),"-")</f>
        <v>-</v>
      </c>
      <c r="CI483" s="338" t="str">
        <f t="shared" si="215"/>
        <v>-</v>
      </c>
    </row>
    <row r="484" spans="1:87" ht="12.75" hidden="1" customHeight="1" x14ac:dyDescent="0.2">
      <c r="A484" s="28">
        <v>4</v>
      </c>
      <c r="B484" s="28">
        <v>2</v>
      </c>
      <c r="C484" s="11">
        <v>23</v>
      </c>
      <c r="D484" s="13" t="s">
        <v>295</v>
      </c>
      <c r="E484" s="10" t="s">
        <v>565</v>
      </c>
      <c r="F484" s="10" t="s">
        <v>219</v>
      </c>
      <c r="G484" s="10"/>
      <c r="H484" s="10"/>
      <c r="I484" s="10"/>
      <c r="J484" s="10"/>
      <c r="K484" s="575"/>
      <c r="L484" s="152"/>
      <c r="M484" s="164"/>
      <c r="N484" s="62"/>
      <c r="O484" s="62"/>
      <c r="P484" s="177"/>
      <c r="Q484" s="171"/>
      <c r="R484" s="64"/>
      <c r="S484" s="62"/>
      <c r="T484" s="722">
        <v>6</v>
      </c>
      <c r="U484" s="598"/>
      <c r="V484" s="599"/>
      <c r="W484" s="62"/>
      <c r="X484" s="62"/>
      <c r="Y484" s="62"/>
      <c r="Z484" s="64"/>
      <c r="AA484" s="164"/>
      <c r="AB484" s="62"/>
      <c r="AC484" s="62"/>
      <c r="AD484" s="64"/>
      <c r="AE484" s="164"/>
      <c r="AF484" s="62"/>
      <c r="AG484" s="62"/>
      <c r="AH484" s="337">
        <v>7</v>
      </c>
      <c r="AI484" s="337">
        <v>5</v>
      </c>
      <c r="AJ484" s="337">
        <v>0</v>
      </c>
      <c r="AK484" s="337">
        <v>0</v>
      </c>
      <c r="AL484" s="552">
        <v>7</v>
      </c>
      <c r="AM484" s="552">
        <v>12</v>
      </c>
      <c r="AN484" s="552" t="s">
        <v>765</v>
      </c>
      <c r="AO484" s="552" t="s">
        <v>772</v>
      </c>
      <c r="AP484" s="46"/>
      <c r="AQ484" s="485">
        <f>AL484/BI484</f>
        <v>0.35</v>
      </c>
      <c r="AR484" s="12"/>
      <c r="AS484" s="485"/>
      <c r="AT484" s="24"/>
      <c r="AU484" s="24"/>
      <c r="AV484" s="24"/>
      <c r="AW484" s="18">
        <v>23</v>
      </c>
      <c r="AX484" s="69" t="s">
        <v>295</v>
      </c>
      <c r="AY484" s="243" t="s">
        <v>565</v>
      </c>
      <c r="AZ484" s="243" t="str">
        <f t="shared" si="199"/>
        <v>Coho</v>
      </c>
      <c r="BA484" s="243" t="s">
        <v>419</v>
      </c>
      <c r="BB484" s="246" t="s">
        <v>289</v>
      </c>
      <c r="BC484" s="43" t="str">
        <f t="shared" si="200"/>
        <v>Oct 22-28</v>
      </c>
      <c r="BD484" s="43">
        <f t="shared" si="219"/>
        <v>1</v>
      </c>
      <c r="BE484" s="193">
        <f t="shared" si="217"/>
        <v>6</v>
      </c>
      <c r="BF484" s="193">
        <f t="shared" si="201"/>
        <v>7</v>
      </c>
      <c r="BG484" s="193">
        <f t="shared" si="202"/>
        <v>7</v>
      </c>
      <c r="BH484" s="307">
        <f t="shared" si="218"/>
        <v>20</v>
      </c>
      <c r="BI484" s="265">
        <f>CC484</f>
        <v>20</v>
      </c>
      <c r="BJ484" s="26" t="str">
        <f t="shared" si="203"/>
        <v>LITTLE TOQUAHT CREEKCoho</v>
      </c>
      <c r="BK484" s="26">
        <f t="shared" si="204"/>
        <v>1</v>
      </c>
      <c r="BL484" s="33">
        <f t="shared" si="192"/>
        <v>6</v>
      </c>
      <c r="BQ484" s="47" t="str">
        <f t="shared" si="205"/>
        <v>LITTLE TOQUAHT CREEKCoho</v>
      </c>
      <c r="BR484" s="49">
        <f t="shared" si="206"/>
        <v>0</v>
      </c>
      <c r="BS484" s="49">
        <f t="shared" si="207"/>
        <v>7</v>
      </c>
      <c r="BT484" s="31">
        <v>2013</v>
      </c>
      <c r="BU484" s="188" t="str">
        <f t="shared" si="208"/>
        <v>TCES</v>
      </c>
      <c r="BV484" s="188" t="str">
        <f t="shared" si="209"/>
        <v xml:space="preserve"> </v>
      </c>
      <c r="BW484" s="188" t="str">
        <f t="shared" si="210"/>
        <v>Oct 22-28</v>
      </c>
      <c r="BX484" s="188" t="str">
        <f t="shared" si="211"/>
        <v xml:space="preserve"> </v>
      </c>
      <c r="BY484" s="50" t="str">
        <f t="shared" si="220"/>
        <v>LITTLE TOQUART CREEK_Coho</v>
      </c>
      <c r="BZ484" s="50">
        <f>IFERROR(VLOOKUP(BY484,'[1]WCVI Esc'!$C$5:$W$555,18,FALSE),"-")</f>
        <v>20</v>
      </c>
      <c r="CA484" s="50">
        <f t="shared" si="212"/>
        <v>20</v>
      </c>
      <c r="CB484" s="50">
        <f>IFERROR(VLOOKUP(BY484,'[1]WCVI Esc'!$C$5:$W$555,19,FALSE),"-")</f>
        <v>18.75</v>
      </c>
      <c r="CC484" s="50">
        <f t="shared" si="213"/>
        <v>20</v>
      </c>
      <c r="CE484" s="342" t="str">
        <f t="shared" si="196"/>
        <v>LITTLE TOQUAHT CREEK_Coho</v>
      </c>
      <c r="CF484" s="341">
        <f>IFERROR(VLOOKUP(BY484,'RawPL+D'!$O$8:$AB$503,12,FALSE),"-")</f>
        <v>8</v>
      </c>
      <c r="CG484" s="338">
        <f t="shared" si="214"/>
        <v>10</v>
      </c>
      <c r="CH484" s="341">
        <f>IFERROR(VLOOKUP(BY484,'RawPL+D'!$O$8:$AB$503,13,FALSE),"-")</f>
        <v>16.333333333333332</v>
      </c>
      <c r="CI484" s="338">
        <f t="shared" si="215"/>
        <v>20</v>
      </c>
    </row>
    <row r="485" spans="1:87" ht="12.75" hidden="1" customHeight="1" x14ac:dyDescent="0.2">
      <c r="A485" s="28">
        <v>4</v>
      </c>
      <c r="B485" s="28">
        <v>3</v>
      </c>
      <c r="C485" s="11">
        <v>23</v>
      </c>
      <c r="D485" s="148" t="s">
        <v>295</v>
      </c>
      <c r="E485" s="10" t="s">
        <v>565</v>
      </c>
      <c r="F485" s="10" t="s">
        <v>208</v>
      </c>
      <c r="G485" s="10"/>
      <c r="H485" s="10"/>
      <c r="I485" s="10"/>
      <c r="J485" s="10"/>
      <c r="K485" s="575"/>
      <c r="L485" s="152"/>
      <c r="M485" s="164"/>
      <c r="N485" s="62"/>
      <c r="O485" s="62"/>
      <c r="P485" s="177"/>
      <c r="Q485" s="171"/>
      <c r="R485" s="64"/>
      <c r="S485" s="62"/>
      <c r="T485" s="722">
        <v>0</v>
      </c>
      <c r="U485" s="598"/>
      <c r="V485" s="599"/>
      <c r="W485" s="62"/>
      <c r="X485" s="62"/>
      <c r="Y485" s="62"/>
      <c r="Z485" s="64"/>
      <c r="AA485" s="164"/>
      <c r="AB485" s="62"/>
      <c r="AC485" s="62"/>
      <c r="AD485" s="64"/>
      <c r="AE485" s="164"/>
      <c r="AF485" s="62"/>
      <c r="AG485" s="62"/>
      <c r="AH485" s="337">
        <v>0</v>
      </c>
      <c r="AI485" s="337">
        <v>0</v>
      </c>
      <c r="AJ485" s="337">
        <v>0</v>
      </c>
      <c r="AK485" s="337">
        <v>0</v>
      </c>
      <c r="AL485" s="552">
        <v>0</v>
      </c>
      <c r="AM485" s="552">
        <v>0</v>
      </c>
      <c r="AN485" s="552" t="s">
        <v>765</v>
      </c>
      <c r="AO485" s="552" t="s">
        <v>772</v>
      </c>
      <c r="AP485" s="45"/>
      <c r="AQ485" s="485"/>
      <c r="AR485" s="100"/>
      <c r="AS485" s="485"/>
      <c r="AT485" s="24"/>
      <c r="AU485" s="24"/>
      <c r="AV485" s="24"/>
      <c r="AW485" s="18">
        <v>23</v>
      </c>
      <c r="AX485" s="69" t="s">
        <v>295</v>
      </c>
      <c r="AY485" s="243" t="s">
        <v>179</v>
      </c>
      <c r="AZ485" s="243" t="str">
        <f t="shared" si="199"/>
        <v>Pink</v>
      </c>
      <c r="BA485" s="243" t="s">
        <v>419</v>
      </c>
      <c r="BB485" s="246" t="s">
        <v>289</v>
      </c>
      <c r="BC485" s="43" t="str">
        <f t="shared" si="200"/>
        <v>Oct 22-28</v>
      </c>
      <c r="BD485" s="43">
        <f t="shared" si="219"/>
        <v>1</v>
      </c>
      <c r="BE485" s="193">
        <f t="shared" si="217"/>
        <v>0</v>
      </c>
      <c r="BF485" s="193">
        <f t="shared" si="201"/>
        <v>0</v>
      </c>
      <c r="BG485" s="193">
        <f t="shared" si="202"/>
        <v>0</v>
      </c>
      <c r="BH485" s="307" t="str">
        <f t="shared" si="218"/>
        <v>-</v>
      </c>
      <c r="BI485" s="265"/>
      <c r="BJ485" s="26" t="str">
        <f t="shared" si="203"/>
        <v>LITTLE TOQUAHT CREEKPink</v>
      </c>
      <c r="BK485" s="26">
        <f t="shared" si="204"/>
        <v>1</v>
      </c>
      <c r="BL485" s="33">
        <f t="shared" si="192"/>
        <v>0</v>
      </c>
      <c r="BQ485" s="47" t="str">
        <f t="shared" si="205"/>
        <v>LITTLE TOQUAHT CREEKPink</v>
      </c>
      <c r="BR485" s="49">
        <f t="shared" si="206"/>
        <v>0</v>
      </c>
      <c r="BS485" s="49">
        <f t="shared" si="207"/>
        <v>0</v>
      </c>
      <c r="BT485" s="31">
        <v>0</v>
      </c>
      <c r="BU485" s="188" t="str">
        <f t="shared" si="208"/>
        <v>TCES</v>
      </c>
      <c r="BV485" s="188" t="str">
        <f t="shared" si="209"/>
        <v xml:space="preserve"> </v>
      </c>
      <c r="BW485" s="188" t="str">
        <f t="shared" si="210"/>
        <v>Oct 22-28</v>
      </c>
      <c r="BX485" s="188" t="str">
        <f t="shared" si="211"/>
        <v xml:space="preserve"> </v>
      </c>
      <c r="BY485" s="50" t="str">
        <f t="shared" si="220"/>
        <v>LITTLE TOQUART CREEK_Pink</v>
      </c>
      <c r="BZ485" s="50" t="str">
        <f>IFERROR(VLOOKUP(BY485,'[1]WCVI Esc'!$C$5:$W$555,18,FALSE),"-")</f>
        <v>-</v>
      </c>
      <c r="CA485" s="50" t="str">
        <f t="shared" si="212"/>
        <v>-</v>
      </c>
      <c r="CB485" s="50" t="str">
        <f>IFERROR(VLOOKUP(BY485,'[1]WCVI Esc'!$C$5:$W$555,19,FALSE),"-")</f>
        <v>-</v>
      </c>
      <c r="CC485" s="50" t="str">
        <f t="shared" si="213"/>
        <v>-</v>
      </c>
      <c r="CE485" s="342" t="str">
        <f t="shared" si="196"/>
        <v>LITTLE TOQUAHT CREEK_Pink</v>
      </c>
      <c r="CF485" s="341" t="str">
        <f>IFERROR(VLOOKUP(BY485,'RawPL+D'!$O$8:$AB$503,12,FALSE),"-")</f>
        <v>-</v>
      </c>
      <c r="CG485" s="338" t="str">
        <f t="shared" si="214"/>
        <v>-</v>
      </c>
      <c r="CH485" s="341" t="str">
        <f>IFERROR(VLOOKUP(BY485,'RawPL+D'!$O$8:$AB$503,13,FALSE),"-")</f>
        <v>-</v>
      </c>
      <c r="CI485" s="338" t="str">
        <f t="shared" si="215"/>
        <v>-</v>
      </c>
    </row>
    <row r="486" spans="1:87" ht="12.75" hidden="1" customHeight="1" x14ac:dyDescent="0.2">
      <c r="A486" s="28">
        <v>4</v>
      </c>
      <c r="B486" s="28">
        <v>4</v>
      </c>
      <c r="C486" s="11">
        <v>23</v>
      </c>
      <c r="D486" s="13" t="s">
        <v>295</v>
      </c>
      <c r="E486" s="10" t="s">
        <v>565</v>
      </c>
      <c r="F486" s="10" t="s">
        <v>209</v>
      </c>
      <c r="G486" s="10"/>
      <c r="H486" s="10"/>
      <c r="I486" s="10"/>
      <c r="J486" s="10"/>
      <c r="K486" s="575"/>
      <c r="L486" s="152"/>
      <c r="M486" s="164"/>
      <c r="N486" s="62"/>
      <c r="O486" s="62"/>
      <c r="P486" s="177"/>
      <c r="Q486" s="171"/>
      <c r="R486" s="427"/>
      <c r="S486" s="431"/>
      <c r="T486" s="723">
        <f>4225+3111</f>
        <v>7336</v>
      </c>
      <c r="U486" s="600"/>
      <c r="V486" s="601"/>
      <c r="W486" s="62"/>
      <c r="X486" s="62"/>
      <c r="Y486" s="62"/>
      <c r="Z486" s="64"/>
      <c r="AA486" s="164"/>
      <c r="AB486" s="62"/>
      <c r="AC486" s="62"/>
      <c r="AD486" s="64"/>
      <c r="AE486" s="164"/>
      <c r="AF486" s="62"/>
      <c r="AG486" s="62"/>
      <c r="AH486" s="337">
        <v>8400</v>
      </c>
      <c r="AI486" s="337">
        <v>0</v>
      </c>
      <c r="AJ486" s="337">
        <v>0</v>
      </c>
      <c r="AK486" s="337">
        <v>0</v>
      </c>
      <c r="AL486" s="552">
        <v>0</v>
      </c>
      <c r="AM486" s="552">
        <v>8400</v>
      </c>
      <c r="AN486" s="839" t="s">
        <v>765</v>
      </c>
      <c r="AO486" s="552" t="s">
        <v>772</v>
      </c>
      <c r="AP486" s="45"/>
      <c r="AQ486" s="485">
        <f>AL486/BI486</f>
        <v>0</v>
      </c>
      <c r="AR486" s="12"/>
      <c r="AS486" s="485"/>
      <c r="AT486" s="24"/>
      <c r="AU486" s="24"/>
      <c r="AV486" s="24"/>
      <c r="AW486" s="18">
        <v>23</v>
      </c>
      <c r="AX486" s="69" t="s">
        <v>295</v>
      </c>
      <c r="AY486" s="243" t="s">
        <v>565</v>
      </c>
      <c r="AZ486" s="243" t="str">
        <f t="shared" si="199"/>
        <v>Chum</v>
      </c>
      <c r="BA486" s="243" t="s">
        <v>419</v>
      </c>
      <c r="BB486" s="244" t="s">
        <v>289</v>
      </c>
      <c r="BC486" s="43" t="str">
        <f t="shared" si="200"/>
        <v>Oct 22-28</v>
      </c>
      <c r="BD486" s="43">
        <f t="shared" si="219"/>
        <v>1</v>
      </c>
      <c r="BE486" s="193">
        <f t="shared" si="217"/>
        <v>7336</v>
      </c>
      <c r="BF486" s="193">
        <f t="shared" si="201"/>
        <v>0</v>
      </c>
      <c r="BG486" s="193">
        <f t="shared" si="202"/>
        <v>8400</v>
      </c>
      <c r="BH486" s="307">
        <f t="shared" si="218"/>
        <v>2240</v>
      </c>
      <c r="BI486" s="265">
        <f>CC486</f>
        <v>1980</v>
      </c>
      <c r="BJ486" s="26" t="str">
        <f t="shared" si="203"/>
        <v>LITTLE TOQUAHT CREEKChum</v>
      </c>
      <c r="BK486" s="26">
        <f t="shared" si="204"/>
        <v>1</v>
      </c>
      <c r="BL486" s="33">
        <f t="shared" si="192"/>
        <v>7336</v>
      </c>
      <c r="BQ486" s="47" t="str">
        <f t="shared" si="205"/>
        <v>LITTLE TOQUAHT CREEKChum</v>
      </c>
      <c r="BR486" s="49">
        <f t="shared" si="206"/>
        <v>0</v>
      </c>
      <c r="BS486" s="49">
        <f t="shared" si="207"/>
        <v>0</v>
      </c>
      <c r="BT486" s="31">
        <v>2014</v>
      </c>
      <c r="BU486" s="188" t="str">
        <f t="shared" si="208"/>
        <v>TCES</v>
      </c>
      <c r="BV486" s="188" t="str">
        <f t="shared" si="209"/>
        <v xml:space="preserve"> </v>
      </c>
      <c r="BW486" s="188" t="str">
        <f t="shared" si="210"/>
        <v>Oct 22-28</v>
      </c>
      <c r="BX486" s="188" t="str">
        <f t="shared" si="211"/>
        <v xml:space="preserve"> </v>
      </c>
      <c r="BY486" s="50" t="str">
        <f t="shared" si="220"/>
        <v>LITTLE TOQUART CREEK_Chum</v>
      </c>
      <c r="BZ486" s="50">
        <f>IFERROR(VLOOKUP(BY486,'[1]WCVI Esc'!$C$5:$W$555,18,FALSE),"-")</f>
        <v>2155.5</v>
      </c>
      <c r="CA486" s="50">
        <f t="shared" si="212"/>
        <v>2160</v>
      </c>
      <c r="CB486" s="50">
        <f>IFERROR(VLOOKUP(BY486,'[1]WCVI Esc'!$C$5:$W$555,19,FALSE),"-")</f>
        <v>1976.5</v>
      </c>
      <c r="CC486" s="50">
        <f t="shared" si="213"/>
        <v>1980</v>
      </c>
      <c r="CE486" s="342" t="str">
        <f t="shared" si="196"/>
        <v>LITTLE TOQUAHT CREEK_Chum</v>
      </c>
      <c r="CF486" s="341">
        <f>IFERROR(VLOOKUP(BY486,'RawPL+D'!$O$8:$AB$503,12,FALSE),"-")</f>
        <v>3535</v>
      </c>
      <c r="CG486" s="338">
        <f t="shared" si="214"/>
        <v>3540</v>
      </c>
      <c r="CH486" s="341">
        <f>IFERROR(VLOOKUP(BY486,'RawPL+D'!$O$8:$AB$503,13,FALSE),"-")</f>
        <v>2242.3333333333335</v>
      </c>
      <c r="CI486" s="338">
        <f t="shared" si="215"/>
        <v>2240</v>
      </c>
    </row>
    <row r="487" spans="1:87" ht="12.75" hidden="1" customHeight="1" x14ac:dyDescent="0.2">
      <c r="A487" s="28">
        <v>4</v>
      </c>
      <c r="B487" s="28">
        <v>5</v>
      </c>
      <c r="C487" s="11">
        <v>23</v>
      </c>
      <c r="D487" s="148" t="s">
        <v>295</v>
      </c>
      <c r="E487" s="10" t="s">
        <v>565</v>
      </c>
      <c r="F487" s="10" t="s">
        <v>210</v>
      </c>
      <c r="G487" s="10"/>
      <c r="H487" s="10"/>
      <c r="I487" s="10"/>
      <c r="J487" s="10"/>
      <c r="K487" s="575"/>
      <c r="L487" s="152"/>
      <c r="M487" s="164"/>
      <c r="N487" s="62"/>
      <c r="O487" s="62"/>
      <c r="P487" s="177"/>
      <c r="Q487" s="171"/>
      <c r="R487" s="64"/>
      <c r="S487" s="62"/>
      <c r="T487" s="722">
        <v>1</v>
      </c>
      <c r="U487" s="598"/>
      <c r="V487" s="599"/>
      <c r="W487" s="62"/>
      <c r="X487" s="62"/>
      <c r="Y487" s="62"/>
      <c r="Z487" s="64"/>
      <c r="AA487" s="164"/>
      <c r="AB487" s="62"/>
      <c r="AC487" s="62"/>
      <c r="AD487" s="64"/>
      <c r="AE487" s="164"/>
      <c r="AF487" s="62"/>
      <c r="AG487" s="62"/>
      <c r="AH487" s="337">
        <v>1</v>
      </c>
      <c r="AI487" s="337">
        <v>1</v>
      </c>
      <c r="AJ487" s="337">
        <v>0</v>
      </c>
      <c r="AK487" s="337">
        <v>0</v>
      </c>
      <c r="AL487" s="552">
        <v>1</v>
      </c>
      <c r="AM487" s="552">
        <v>2</v>
      </c>
      <c r="AN487" s="552" t="s">
        <v>765</v>
      </c>
      <c r="AO487" s="552" t="s">
        <v>772</v>
      </c>
      <c r="AP487" s="45"/>
      <c r="AQ487" s="485"/>
      <c r="AR487" s="100"/>
      <c r="AS487" s="485"/>
      <c r="AT487" s="24"/>
      <c r="AU487" s="24"/>
      <c r="AV487" s="24"/>
      <c r="AW487" s="18">
        <v>23</v>
      </c>
      <c r="AX487" s="69" t="s">
        <v>295</v>
      </c>
      <c r="AY487" s="243" t="s">
        <v>565</v>
      </c>
      <c r="AZ487" s="243" t="str">
        <f t="shared" si="199"/>
        <v>Chinook</v>
      </c>
      <c r="BA487" s="243" t="s">
        <v>419</v>
      </c>
      <c r="BB487" s="244" t="s">
        <v>289</v>
      </c>
      <c r="BC487" s="43" t="str">
        <f t="shared" si="200"/>
        <v>Oct 22-28</v>
      </c>
      <c r="BD487" s="43">
        <f t="shared" si="219"/>
        <v>1</v>
      </c>
      <c r="BE487" s="193">
        <f t="shared" si="217"/>
        <v>1</v>
      </c>
      <c r="BF487" s="193">
        <f t="shared" si="201"/>
        <v>1</v>
      </c>
      <c r="BG487" s="193">
        <f t="shared" si="202"/>
        <v>1</v>
      </c>
      <c r="BH487" s="307" t="str">
        <f t="shared" si="218"/>
        <v>-</v>
      </c>
      <c r="BI487" s="311" t="s">
        <v>242</v>
      </c>
      <c r="BJ487" s="26" t="str">
        <f t="shared" si="203"/>
        <v>LITTLE TOQUAHT CREEKChinook</v>
      </c>
      <c r="BK487" s="26">
        <f t="shared" si="204"/>
        <v>1</v>
      </c>
      <c r="BL487" s="33">
        <f t="shared" ref="BL487:BL550" si="221">MAX(K487:AB487)</f>
        <v>1</v>
      </c>
      <c r="BQ487" s="47" t="str">
        <f t="shared" si="205"/>
        <v>LITTLE TOQUAHT CREEKChinook</v>
      </c>
      <c r="BR487" s="49">
        <f t="shared" si="206"/>
        <v>0</v>
      </c>
      <c r="BS487" s="49">
        <f t="shared" si="207"/>
        <v>1</v>
      </c>
      <c r="BT487" s="31">
        <v>0</v>
      </c>
      <c r="BU487" s="188" t="str">
        <f t="shared" si="208"/>
        <v>TCES</v>
      </c>
      <c r="BV487" s="188" t="str">
        <f t="shared" si="209"/>
        <v xml:space="preserve"> </v>
      </c>
      <c r="BW487" s="188" t="str">
        <f t="shared" si="210"/>
        <v>Oct 22-28</v>
      </c>
      <c r="BX487" s="188" t="str">
        <f t="shared" si="211"/>
        <v xml:space="preserve"> </v>
      </c>
      <c r="BY487" s="50" t="str">
        <f t="shared" si="220"/>
        <v>LITTLE TOQUART CREEK_Chinook</v>
      </c>
      <c r="BZ487" s="50" t="str">
        <f>IFERROR(VLOOKUP(BY487,'[1]WCVI Esc'!$C$5:$W$555,18,FALSE),"-")</f>
        <v>-</v>
      </c>
      <c r="CA487" s="50" t="str">
        <f t="shared" si="212"/>
        <v>-</v>
      </c>
      <c r="CB487" s="50" t="str">
        <f>IFERROR(VLOOKUP(BY487,'[1]WCVI Esc'!$C$5:$W$555,19,FALSE),"-")</f>
        <v>-</v>
      </c>
      <c r="CC487" s="50" t="str">
        <f t="shared" si="213"/>
        <v>-</v>
      </c>
      <c r="CE487" s="342" t="str">
        <f t="shared" si="196"/>
        <v>LITTLE TOQUAHT CREEK_Chinook</v>
      </c>
      <c r="CF487" s="341" t="str">
        <f>IFERROR(VLOOKUP(BY487,'RawPL+D'!$O$8:$AB$503,12,FALSE),"-")</f>
        <v>-</v>
      </c>
      <c r="CG487" s="338" t="str">
        <f t="shared" si="214"/>
        <v>-</v>
      </c>
      <c r="CH487" s="341" t="str">
        <f>IFERROR(VLOOKUP(BY487,'RawPL+D'!$O$8:$AB$503,13,FALSE),"-")</f>
        <v>-</v>
      </c>
      <c r="CI487" s="338" t="str">
        <f t="shared" si="215"/>
        <v>-</v>
      </c>
    </row>
    <row r="488" spans="1:87" ht="12.75" hidden="1" customHeight="1" x14ac:dyDescent="0.2">
      <c r="A488" s="28">
        <v>4</v>
      </c>
      <c r="B488" s="28">
        <v>6</v>
      </c>
      <c r="C488" s="11">
        <v>23</v>
      </c>
      <c r="D488" s="148" t="s">
        <v>295</v>
      </c>
      <c r="E488" s="10" t="s">
        <v>565</v>
      </c>
      <c r="F488" s="10" t="s">
        <v>211</v>
      </c>
      <c r="G488" s="10"/>
      <c r="H488" s="10"/>
      <c r="I488" s="10"/>
      <c r="J488" s="10"/>
      <c r="K488" s="575"/>
      <c r="L488" s="152"/>
      <c r="M488" s="164"/>
      <c r="N488" s="62"/>
      <c r="O488" s="62"/>
      <c r="P488" s="177"/>
      <c r="Q488" s="171"/>
      <c r="R488" s="64"/>
      <c r="S488" s="62"/>
      <c r="T488" s="722">
        <v>0</v>
      </c>
      <c r="U488" s="598"/>
      <c r="V488" s="599"/>
      <c r="W488" s="64"/>
      <c r="X488" s="62"/>
      <c r="Y488" s="62"/>
      <c r="Z488" s="64"/>
      <c r="AA488" s="164"/>
      <c r="AB488" s="62"/>
      <c r="AC488" s="62"/>
      <c r="AD488" s="64"/>
      <c r="AE488" s="164"/>
      <c r="AF488" s="62"/>
      <c r="AG488" s="62"/>
      <c r="AH488" s="337"/>
      <c r="AI488" s="337"/>
      <c r="AJ488" s="337"/>
      <c r="AK488" s="337"/>
      <c r="AL488" s="552"/>
      <c r="AM488" s="552"/>
      <c r="AN488" s="45"/>
      <c r="AO488" s="45"/>
      <c r="AP488" s="45"/>
      <c r="AQ488" s="485"/>
      <c r="AR488" s="100"/>
      <c r="AS488" s="485"/>
      <c r="AT488" s="24"/>
      <c r="AU488" s="24"/>
      <c r="AV488" s="24"/>
      <c r="AW488" s="18">
        <v>23</v>
      </c>
      <c r="AX488" s="69" t="s">
        <v>295</v>
      </c>
      <c r="AY488" s="243" t="s">
        <v>565</v>
      </c>
      <c r="AZ488" s="243" t="str">
        <f t="shared" si="199"/>
        <v>Steelhead</v>
      </c>
      <c r="BA488" s="243" t="s">
        <v>419</v>
      </c>
      <c r="BB488" s="246" t="s">
        <v>289</v>
      </c>
      <c r="BC488" s="43" t="str">
        <f t="shared" si="200"/>
        <v>Oct 22-28</v>
      </c>
      <c r="BD488" s="43">
        <f t="shared" si="219"/>
        <v>1</v>
      </c>
      <c r="BE488" s="193">
        <f t="shared" si="217"/>
        <v>0</v>
      </c>
      <c r="BF488" s="193">
        <f t="shared" si="201"/>
        <v>0</v>
      </c>
      <c r="BG488" s="193">
        <f t="shared" si="202"/>
        <v>0</v>
      </c>
      <c r="BH488" s="307" t="str">
        <f t="shared" si="218"/>
        <v>-</v>
      </c>
      <c r="BI488" s="265" t="str">
        <f t="shared" ref="BI488:BI518" si="222">CC488</f>
        <v>-</v>
      </c>
      <c r="BJ488" s="26" t="str">
        <f t="shared" si="203"/>
        <v>LITTLE TOQUAHT CREEKSteelhead</v>
      </c>
      <c r="BK488" s="26">
        <f t="shared" si="204"/>
        <v>1</v>
      </c>
      <c r="BL488" s="33">
        <f t="shared" si="221"/>
        <v>0</v>
      </c>
      <c r="BQ488" s="47" t="str">
        <f t="shared" si="205"/>
        <v>LITTLE TOQUAHT CREEKSteelhead</v>
      </c>
      <c r="BR488" s="49">
        <f t="shared" si="206"/>
        <v>0</v>
      </c>
      <c r="BS488" s="49">
        <f t="shared" si="207"/>
        <v>0</v>
      </c>
      <c r="BT488" s="31">
        <v>0</v>
      </c>
      <c r="BU488" s="188" t="str">
        <f t="shared" si="208"/>
        <v>TCES</v>
      </c>
      <c r="BV488" s="188" t="str">
        <f t="shared" si="209"/>
        <v xml:space="preserve"> </v>
      </c>
      <c r="BW488" s="188" t="str">
        <f t="shared" si="210"/>
        <v>Oct 22-28</v>
      </c>
      <c r="BX488" s="188" t="str">
        <f t="shared" si="211"/>
        <v xml:space="preserve"> </v>
      </c>
      <c r="BY488" s="50" t="str">
        <f t="shared" si="220"/>
        <v>LITTLE TOQUART CREEK_Steelhead</v>
      </c>
      <c r="BZ488" s="50" t="str">
        <f>IFERROR(VLOOKUP(BY488,'[1]WCVI Esc'!$C$5:$W$555,18,FALSE),"-")</f>
        <v>-</v>
      </c>
      <c r="CA488" s="50" t="str">
        <f t="shared" si="212"/>
        <v>-</v>
      </c>
      <c r="CB488" s="50" t="str">
        <f>IFERROR(VLOOKUP(BY488,'[1]WCVI Esc'!$C$5:$W$555,19,FALSE),"-")</f>
        <v>-</v>
      </c>
      <c r="CC488" s="50" t="str">
        <f t="shared" si="213"/>
        <v>-</v>
      </c>
      <c r="CE488" s="342" t="str">
        <f t="shared" si="196"/>
        <v>LITTLE TOQUAHT CREEK_Steelhead</v>
      </c>
      <c r="CF488" s="341" t="str">
        <f>IFERROR(VLOOKUP(BY488,'RawPL+D'!$O$8:$AB$503,12,FALSE),"-")</f>
        <v>-</v>
      </c>
      <c r="CG488" s="338" t="str">
        <f t="shared" si="214"/>
        <v>-</v>
      </c>
      <c r="CH488" s="341" t="str">
        <f>IFERROR(VLOOKUP(BY488,'RawPL+D'!$O$8:$AB$503,13,FALSE),"-")</f>
        <v>-</v>
      </c>
      <c r="CI488" s="338" t="str">
        <f t="shared" si="215"/>
        <v>-</v>
      </c>
    </row>
    <row r="489" spans="1:87" ht="12.75" hidden="1" customHeight="1" x14ac:dyDescent="0.2">
      <c r="A489" s="28">
        <v>4</v>
      </c>
      <c r="B489" s="28">
        <v>1</v>
      </c>
      <c r="C489" s="11">
        <v>23</v>
      </c>
      <c r="D489" s="148" t="s">
        <v>295</v>
      </c>
      <c r="E489" s="10" t="s">
        <v>180</v>
      </c>
      <c r="F489" s="10" t="s">
        <v>207</v>
      </c>
      <c r="G489" s="10"/>
      <c r="H489" s="10"/>
      <c r="I489" s="10"/>
      <c r="J489" s="10"/>
      <c r="K489" s="575"/>
      <c r="L489" s="152"/>
      <c r="M489" s="164"/>
      <c r="N489" s="62"/>
      <c r="O489" s="62"/>
      <c r="P489" s="177"/>
      <c r="Q489" s="171"/>
      <c r="R489" s="64"/>
      <c r="S489" s="62"/>
      <c r="T489" s="62"/>
      <c r="U489" s="64"/>
      <c r="V489" s="164"/>
      <c r="W489" s="64"/>
      <c r="X489" s="62"/>
      <c r="Y489" s="62"/>
      <c r="Z489" s="64"/>
      <c r="AA489" s="164"/>
      <c r="AB489" s="62"/>
      <c r="AC489" s="62"/>
      <c r="AD489" s="64"/>
      <c r="AE489" s="164"/>
      <c r="AF489" s="62"/>
      <c r="AG489" s="62"/>
      <c r="AH489" s="337"/>
      <c r="AI489" s="337"/>
      <c r="AJ489" s="337"/>
      <c r="AK489" s="337"/>
      <c r="AL489" s="414"/>
      <c r="AM489" s="414"/>
      <c r="AN489" s="45"/>
      <c r="AO489" s="45"/>
      <c r="AP489" s="45"/>
      <c r="AQ489" s="485"/>
      <c r="AR489" s="100"/>
      <c r="AS489" s="485"/>
      <c r="AT489" s="24"/>
      <c r="AU489" s="24"/>
      <c r="AV489" s="24"/>
      <c r="AW489" s="18">
        <v>23</v>
      </c>
      <c r="AX489" s="69" t="s">
        <v>295</v>
      </c>
      <c r="AY489" s="243" t="s">
        <v>180</v>
      </c>
      <c r="AZ489" s="243" t="str">
        <f t="shared" si="199"/>
        <v>Sockeye</v>
      </c>
      <c r="BA489" s="243" t="s">
        <v>419</v>
      </c>
      <c r="BB489" s="246"/>
      <c r="BC489" s="43" t="str">
        <f t="shared" si="200"/>
        <v>-</v>
      </c>
      <c r="BD489" s="43">
        <f t="shared" si="219"/>
        <v>0</v>
      </c>
      <c r="BE489" s="193">
        <f t="shared" si="217"/>
        <v>0</v>
      </c>
      <c r="BF489" s="193">
        <f t="shared" si="201"/>
        <v>0</v>
      </c>
      <c r="BG489" s="193">
        <f t="shared" si="202"/>
        <v>0</v>
      </c>
      <c r="BH489" s="307" t="str">
        <f t="shared" si="218"/>
        <v>-</v>
      </c>
      <c r="BI489" s="265" t="str">
        <f t="shared" si="222"/>
        <v>-</v>
      </c>
      <c r="BJ489" s="26" t="str">
        <f t="shared" si="203"/>
        <v>LUCKY CREEKSockeye</v>
      </c>
      <c r="BK489" s="26">
        <f t="shared" si="204"/>
        <v>0</v>
      </c>
      <c r="BL489" s="33">
        <f t="shared" si="221"/>
        <v>0</v>
      </c>
      <c r="BQ489" s="47" t="str">
        <f t="shared" si="205"/>
        <v>LUCKY CREEKSockeye</v>
      </c>
      <c r="BR489" s="49">
        <f t="shared" si="206"/>
        <v>0</v>
      </c>
      <c r="BS489" s="49">
        <f t="shared" si="207"/>
        <v>0</v>
      </c>
      <c r="BT489" s="31">
        <v>0</v>
      </c>
      <c r="BU489" s="188">
        <f t="shared" si="208"/>
        <v>0</v>
      </c>
      <c r="BV489" s="188" t="str">
        <f t="shared" si="209"/>
        <v xml:space="preserve"> </v>
      </c>
      <c r="BW489" s="188" t="str">
        <f t="shared" si="210"/>
        <v xml:space="preserve"> </v>
      </c>
      <c r="BX489" s="188" t="str">
        <f t="shared" si="211"/>
        <v xml:space="preserve"> </v>
      </c>
      <c r="BY489" s="50" t="str">
        <f t="shared" ref="BY489:BY530" si="223">CONCATENATE(E489,"_",F489)</f>
        <v>LUCKY CREEK_Sockeye</v>
      </c>
      <c r="BZ489" s="50" t="str">
        <f>IFERROR(VLOOKUP(BY489,'[1]WCVI Esc'!$C$5:$W$555,18,FALSE),"-")</f>
        <v>-</v>
      </c>
      <c r="CA489" s="50" t="str">
        <f t="shared" si="212"/>
        <v>-</v>
      </c>
      <c r="CB489" s="50" t="str">
        <f>IFERROR(VLOOKUP(BY489,'[1]WCVI Esc'!$C$5:$W$555,19,FALSE),"-")</f>
        <v>-</v>
      </c>
      <c r="CC489" s="50" t="str">
        <f t="shared" si="213"/>
        <v>-</v>
      </c>
      <c r="CE489" s="342" t="str">
        <f t="shared" si="196"/>
        <v>LUCKY CREEK_Sockeye</v>
      </c>
      <c r="CF489" s="341" t="str">
        <f>IFERROR(VLOOKUP(BY489,'RawPL+D'!$O$8:$AB$503,12,FALSE),"-")</f>
        <v>-</v>
      </c>
      <c r="CG489" s="338" t="str">
        <f t="shared" si="214"/>
        <v>-</v>
      </c>
      <c r="CH489" s="341" t="str">
        <f>IFERROR(VLOOKUP(BY489,'RawPL+D'!$O$8:$AB$503,13,FALSE),"-")</f>
        <v>-</v>
      </c>
      <c r="CI489" s="338" t="str">
        <f t="shared" si="215"/>
        <v>-</v>
      </c>
    </row>
    <row r="490" spans="1:87" ht="12.75" hidden="1" customHeight="1" x14ac:dyDescent="0.2">
      <c r="A490" s="28">
        <v>4</v>
      </c>
      <c r="B490" s="28">
        <v>2</v>
      </c>
      <c r="C490" s="11">
        <v>23</v>
      </c>
      <c r="D490" s="148" t="s">
        <v>295</v>
      </c>
      <c r="E490" s="10" t="s">
        <v>180</v>
      </c>
      <c r="F490" s="10" t="s">
        <v>219</v>
      </c>
      <c r="G490" s="10"/>
      <c r="H490" s="10"/>
      <c r="I490" s="10"/>
      <c r="J490" s="10"/>
      <c r="K490" s="575"/>
      <c r="L490" s="152"/>
      <c r="M490" s="164"/>
      <c r="N490" s="62"/>
      <c r="O490" s="62"/>
      <c r="P490" s="177"/>
      <c r="Q490" s="171"/>
      <c r="R490" s="64"/>
      <c r="S490" s="62"/>
      <c r="T490" s="62"/>
      <c r="U490" s="64"/>
      <c r="V490" s="164"/>
      <c r="W490" s="64"/>
      <c r="X490" s="62"/>
      <c r="Y490" s="62"/>
      <c r="Z490" s="64"/>
      <c r="AA490" s="164"/>
      <c r="AB490" s="62"/>
      <c r="AC490" s="62"/>
      <c r="AD490" s="64"/>
      <c r="AE490" s="164"/>
      <c r="AF490" s="62"/>
      <c r="AG490" s="62"/>
      <c r="AH490" s="337"/>
      <c r="AI490" s="337"/>
      <c r="AJ490" s="337"/>
      <c r="AK490" s="337"/>
      <c r="AL490" s="414"/>
      <c r="AM490" s="414"/>
      <c r="AN490" s="45"/>
      <c r="AO490" s="45"/>
      <c r="AP490" s="45"/>
      <c r="AQ490" s="485"/>
      <c r="AR490" s="100"/>
      <c r="AS490" s="485"/>
      <c r="AT490" s="24"/>
      <c r="AU490" s="24"/>
      <c r="AV490" s="24"/>
      <c r="AW490" s="18">
        <v>23</v>
      </c>
      <c r="AX490" s="69" t="s">
        <v>295</v>
      </c>
      <c r="AY490" s="243" t="s">
        <v>180</v>
      </c>
      <c r="AZ490" s="243" t="str">
        <f t="shared" si="199"/>
        <v>Coho</v>
      </c>
      <c r="BA490" s="243" t="s">
        <v>419</v>
      </c>
      <c r="BB490" s="246"/>
      <c r="BC490" s="43" t="str">
        <f t="shared" si="200"/>
        <v>-</v>
      </c>
      <c r="BD490" s="43">
        <f t="shared" si="219"/>
        <v>0</v>
      </c>
      <c r="BE490" s="193">
        <f t="shared" si="217"/>
        <v>0</v>
      </c>
      <c r="BF490" s="193">
        <f t="shared" si="201"/>
        <v>0</v>
      </c>
      <c r="BG490" s="193">
        <f t="shared" si="202"/>
        <v>0</v>
      </c>
      <c r="BH490" s="307" t="str">
        <f t="shared" si="218"/>
        <v>-</v>
      </c>
      <c r="BI490" s="265" t="str">
        <f t="shared" si="222"/>
        <v>-</v>
      </c>
      <c r="BJ490" s="26" t="str">
        <f t="shared" si="203"/>
        <v>LUCKY CREEKCoho</v>
      </c>
      <c r="BK490" s="26">
        <f t="shared" si="204"/>
        <v>0</v>
      </c>
      <c r="BL490" s="33">
        <f t="shared" si="221"/>
        <v>0</v>
      </c>
      <c r="BQ490" s="47" t="str">
        <f t="shared" si="205"/>
        <v>LUCKY CREEKCoho</v>
      </c>
      <c r="BR490" s="49">
        <f t="shared" si="206"/>
        <v>0</v>
      </c>
      <c r="BS490" s="49">
        <f t="shared" si="207"/>
        <v>0</v>
      </c>
      <c r="BT490" s="31">
        <v>1991</v>
      </c>
      <c r="BU490" s="188">
        <f t="shared" si="208"/>
        <v>0</v>
      </c>
      <c r="BV490" s="188" t="str">
        <f t="shared" si="209"/>
        <v xml:space="preserve"> </v>
      </c>
      <c r="BW490" s="188" t="str">
        <f t="shared" si="210"/>
        <v xml:space="preserve"> </v>
      </c>
      <c r="BX490" s="188" t="str">
        <f t="shared" si="211"/>
        <v xml:space="preserve"> </v>
      </c>
      <c r="BY490" s="50" t="str">
        <f t="shared" si="223"/>
        <v>LUCKY CREEK_Coho</v>
      </c>
      <c r="BZ490" s="50" t="str">
        <f>IFERROR(VLOOKUP(BY490,'[1]WCVI Esc'!$C$5:$W$555,18,FALSE),"-")</f>
        <v>-</v>
      </c>
      <c r="CA490" s="50" t="str">
        <f t="shared" si="212"/>
        <v>-</v>
      </c>
      <c r="CB490" s="50" t="str">
        <f>IFERROR(VLOOKUP(BY490,'[1]WCVI Esc'!$C$5:$W$555,19,FALSE),"-")</f>
        <v>-</v>
      </c>
      <c r="CC490" s="50" t="str">
        <f t="shared" si="213"/>
        <v>-</v>
      </c>
      <c r="CE490" s="342" t="str">
        <f t="shared" si="196"/>
        <v>LUCKY CREEK_Coho</v>
      </c>
      <c r="CF490" s="341" t="str">
        <f>IFERROR(VLOOKUP(BY490,'RawPL+D'!$O$8:$AB$503,12,FALSE),"-")</f>
        <v>-</v>
      </c>
      <c r="CG490" s="338" t="str">
        <f t="shared" si="214"/>
        <v>-</v>
      </c>
      <c r="CH490" s="341" t="str">
        <f>IFERROR(VLOOKUP(BY490,'RawPL+D'!$O$8:$AB$503,13,FALSE),"-")</f>
        <v>-</v>
      </c>
      <c r="CI490" s="338" t="str">
        <f t="shared" si="215"/>
        <v>-</v>
      </c>
    </row>
    <row r="491" spans="1:87" ht="12.75" hidden="1" customHeight="1" x14ac:dyDescent="0.2">
      <c r="A491" s="28">
        <v>4</v>
      </c>
      <c r="B491" s="28">
        <v>3</v>
      </c>
      <c r="C491" s="11">
        <v>23</v>
      </c>
      <c r="D491" s="148" t="s">
        <v>295</v>
      </c>
      <c r="E491" s="10" t="s">
        <v>180</v>
      </c>
      <c r="F491" s="10" t="s">
        <v>208</v>
      </c>
      <c r="G491" s="10"/>
      <c r="H491" s="10"/>
      <c r="I491" s="10"/>
      <c r="J491" s="10"/>
      <c r="K491" s="575"/>
      <c r="L491" s="152"/>
      <c r="M491" s="164"/>
      <c r="N491" s="62"/>
      <c r="O491" s="62"/>
      <c r="P491" s="177"/>
      <c r="Q491" s="171"/>
      <c r="R491" s="64"/>
      <c r="S491" s="62"/>
      <c r="T491" s="62"/>
      <c r="U491" s="64"/>
      <c r="V491" s="164"/>
      <c r="W491" s="64"/>
      <c r="X491" s="62"/>
      <c r="Y491" s="62"/>
      <c r="Z491" s="64"/>
      <c r="AA491" s="164"/>
      <c r="AB491" s="62"/>
      <c r="AC491" s="62"/>
      <c r="AD491" s="64"/>
      <c r="AE491" s="164"/>
      <c r="AF491" s="62"/>
      <c r="AG491" s="62"/>
      <c r="AH491" s="337"/>
      <c r="AI491" s="337"/>
      <c r="AJ491" s="337"/>
      <c r="AK491" s="337"/>
      <c r="AL491" s="414"/>
      <c r="AM491" s="414"/>
      <c r="AN491" s="45"/>
      <c r="AO491" s="45"/>
      <c r="AP491" s="45"/>
      <c r="AQ491" s="485"/>
      <c r="AR491" s="100"/>
      <c r="AS491" s="485"/>
      <c r="AT491" s="24"/>
      <c r="AU491" s="24"/>
      <c r="AV491" s="24"/>
      <c r="AW491" s="18">
        <v>23</v>
      </c>
      <c r="AX491" s="69" t="s">
        <v>295</v>
      </c>
      <c r="AY491" s="243" t="s">
        <v>180</v>
      </c>
      <c r="AZ491" s="243" t="str">
        <f t="shared" si="199"/>
        <v>Pink</v>
      </c>
      <c r="BA491" s="243" t="s">
        <v>419</v>
      </c>
      <c r="BB491" s="246"/>
      <c r="BC491" s="43" t="str">
        <f t="shared" si="200"/>
        <v>-</v>
      </c>
      <c r="BD491" s="43">
        <f t="shared" si="219"/>
        <v>0</v>
      </c>
      <c r="BE491" s="193">
        <f t="shared" si="217"/>
        <v>0</v>
      </c>
      <c r="BF491" s="193">
        <f t="shared" si="201"/>
        <v>0</v>
      </c>
      <c r="BG491" s="193">
        <f t="shared" si="202"/>
        <v>0</v>
      </c>
      <c r="BH491" s="307" t="str">
        <f t="shared" si="218"/>
        <v>-</v>
      </c>
      <c r="BI491" s="265" t="str">
        <f t="shared" si="222"/>
        <v>-</v>
      </c>
      <c r="BJ491" s="26" t="str">
        <f t="shared" si="203"/>
        <v>LUCKY CREEKPink</v>
      </c>
      <c r="BK491" s="26">
        <f t="shared" si="204"/>
        <v>0</v>
      </c>
      <c r="BL491" s="33">
        <f t="shared" si="221"/>
        <v>0</v>
      </c>
      <c r="BQ491" s="47" t="str">
        <f t="shared" si="205"/>
        <v>LUCKY CREEKPink</v>
      </c>
      <c r="BR491" s="49">
        <f t="shared" si="206"/>
        <v>0</v>
      </c>
      <c r="BS491" s="49">
        <f t="shared" si="207"/>
        <v>0</v>
      </c>
      <c r="BT491" s="31">
        <v>0</v>
      </c>
      <c r="BU491" s="188">
        <f t="shared" si="208"/>
        <v>0</v>
      </c>
      <c r="BV491" s="188" t="str">
        <f t="shared" si="209"/>
        <v xml:space="preserve"> </v>
      </c>
      <c r="BW491" s="188" t="str">
        <f t="shared" si="210"/>
        <v xml:space="preserve"> </v>
      </c>
      <c r="BX491" s="188" t="str">
        <f t="shared" si="211"/>
        <v xml:space="preserve"> </v>
      </c>
      <c r="BY491" s="50" t="str">
        <f t="shared" si="223"/>
        <v>LUCKY CREEK_Pink</v>
      </c>
      <c r="BZ491" s="50" t="str">
        <f>IFERROR(VLOOKUP(BY491,'[1]WCVI Esc'!$C$5:$W$555,18,FALSE),"-")</f>
        <v>-</v>
      </c>
      <c r="CA491" s="50" t="str">
        <f t="shared" si="212"/>
        <v>-</v>
      </c>
      <c r="CB491" s="50" t="str">
        <f>IFERROR(VLOOKUP(BY491,'[1]WCVI Esc'!$C$5:$W$555,19,FALSE),"-")</f>
        <v>-</v>
      </c>
      <c r="CC491" s="50" t="str">
        <f t="shared" si="213"/>
        <v>-</v>
      </c>
      <c r="CE491" s="342" t="str">
        <f t="shared" si="196"/>
        <v>LUCKY CREEK_Pink</v>
      </c>
      <c r="CF491" s="341" t="str">
        <f>IFERROR(VLOOKUP(BY491,'RawPL+D'!$O$8:$AB$503,12,FALSE),"-")</f>
        <v>-</v>
      </c>
      <c r="CG491" s="338" t="str">
        <f t="shared" si="214"/>
        <v>-</v>
      </c>
      <c r="CH491" s="341" t="str">
        <f>IFERROR(VLOOKUP(BY491,'RawPL+D'!$O$8:$AB$503,13,FALSE),"-")</f>
        <v>-</v>
      </c>
      <c r="CI491" s="338" t="str">
        <f t="shared" si="215"/>
        <v>-</v>
      </c>
    </row>
    <row r="492" spans="1:87" ht="12.75" hidden="1" customHeight="1" x14ac:dyDescent="0.2">
      <c r="A492" s="28">
        <v>4</v>
      </c>
      <c r="B492" s="28">
        <v>4</v>
      </c>
      <c r="C492" s="11">
        <v>23</v>
      </c>
      <c r="D492" s="148" t="s">
        <v>295</v>
      </c>
      <c r="E492" s="10" t="s">
        <v>180</v>
      </c>
      <c r="F492" s="10" t="s">
        <v>209</v>
      </c>
      <c r="G492" s="10"/>
      <c r="H492" s="10"/>
      <c r="I492" s="10"/>
      <c r="J492" s="10"/>
      <c r="K492" s="575"/>
      <c r="L492" s="152"/>
      <c r="M492" s="164"/>
      <c r="N492" s="62"/>
      <c r="O492" s="62"/>
      <c r="P492" s="177"/>
      <c r="Q492" s="171"/>
      <c r="R492" s="64"/>
      <c r="S492" s="62"/>
      <c r="T492" s="62"/>
      <c r="U492" s="64"/>
      <c r="V492" s="164"/>
      <c r="W492" s="64"/>
      <c r="X492" s="62"/>
      <c r="Y492" s="62"/>
      <c r="Z492" s="64"/>
      <c r="AA492" s="164"/>
      <c r="AB492" s="62"/>
      <c r="AC492" s="62"/>
      <c r="AD492" s="64"/>
      <c r="AE492" s="164"/>
      <c r="AF492" s="62"/>
      <c r="AG492" s="62"/>
      <c r="AH492" s="337"/>
      <c r="AI492" s="337"/>
      <c r="AJ492" s="337"/>
      <c r="AK492" s="337"/>
      <c r="AL492" s="414"/>
      <c r="AM492" s="414"/>
      <c r="AN492" s="45"/>
      <c r="AO492" s="45"/>
      <c r="AP492" s="45"/>
      <c r="AQ492" s="485"/>
      <c r="AR492" s="100"/>
      <c r="AS492" s="485"/>
      <c r="AT492" s="24"/>
      <c r="AU492" s="24"/>
      <c r="AV492" s="24"/>
      <c r="AW492" s="18">
        <v>23</v>
      </c>
      <c r="AX492" s="69" t="s">
        <v>295</v>
      </c>
      <c r="AY492" s="243" t="s">
        <v>180</v>
      </c>
      <c r="AZ492" s="243" t="str">
        <f t="shared" si="199"/>
        <v>Chum</v>
      </c>
      <c r="BA492" s="243" t="s">
        <v>419</v>
      </c>
      <c r="BB492" s="246"/>
      <c r="BC492" s="43" t="str">
        <f t="shared" si="200"/>
        <v>-</v>
      </c>
      <c r="BD492" s="43">
        <f t="shared" si="219"/>
        <v>0</v>
      </c>
      <c r="BE492" s="193">
        <f t="shared" si="217"/>
        <v>0</v>
      </c>
      <c r="BF492" s="193">
        <f t="shared" si="201"/>
        <v>0</v>
      </c>
      <c r="BG492" s="193">
        <f t="shared" si="202"/>
        <v>0</v>
      </c>
      <c r="BH492" s="307" t="str">
        <f t="shared" si="218"/>
        <v>-</v>
      </c>
      <c r="BI492" s="265" t="str">
        <f t="shared" si="222"/>
        <v>-</v>
      </c>
      <c r="BJ492" s="26" t="str">
        <f t="shared" si="203"/>
        <v>LUCKY CREEKChum</v>
      </c>
      <c r="BK492" s="26">
        <f t="shared" si="204"/>
        <v>0</v>
      </c>
      <c r="BL492" s="33">
        <f t="shared" si="221"/>
        <v>0</v>
      </c>
      <c r="BQ492" s="47" t="str">
        <f t="shared" si="205"/>
        <v>LUCKY CREEKChum</v>
      </c>
      <c r="BR492" s="49">
        <f t="shared" si="206"/>
        <v>0</v>
      </c>
      <c r="BS492" s="49">
        <f t="shared" si="207"/>
        <v>0</v>
      </c>
      <c r="BT492" s="31">
        <v>1999</v>
      </c>
      <c r="BU492" s="188">
        <f t="shared" si="208"/>
        <v>0</v>
      </c>
      <c r="BV492" s="188" t="str">
        <f t="shared" si="209"/>
        <v xml:space="preserve"> </v>
      </c>
      <c r="BW492" s="188" t="str">
        <f t="shared" si="210"/>
        <v xml:space="preserve"> </v>
      </c>
      <c r="BX492" s="188" t="str">
        <f t="shared" si="211"/>
        <v xml:space="preserve"> </v>
      </c>
      <c r="BY492" s="50" t="str">
        <f t="shared" si="223"/>
        <v>LUCKY CREEK_Chum</v>
      </c>
      <c r="BZ492" s="50" t="str">
        <f>IFERROR(VLOOKUP(BY492,'[1]WCVI Esc'!$C$5:$W$555,18,FALSE),"-")</f>
        <v>-</v>
      </c>
      <c r="CA492" s="50" t="str">
        <f t="shared" si="212"/>
        <v>-</v>
      </c>
      <c r="CB492" s="50" t="str">
        <f>IFERROR(VLOOKUP(BY492,'[1]WCVI Esc'!$C$5:$W$555,19,FALSE),"-")</f>
        <v>-</v>
      </c>
      <c r="CC492" s="50" t="str">
        <f t="shared" si="213"/>
        <v>-</v>
      </c>
      <c r="CE492" s="342" t="str">
        <f t="shared" si="196"/>
        <v>LUCKY CREEK_Chum</v>
      </c>
      <c r="CF492" s="341" t="str">
        <f>IFERROR(VLOOKUP(BY492,'RawPL+D'!$O$8:$AB$503,12,FALSE),"-")</f>
        <v>-</v>
      </c>
      <c r="CG492" s="338" t="str">
        <f t="shared" si="214"/>
        <v>-</v>
      </c>
      <c r="CH492" s="341" t="str">
        <f>IFERROR(VLOOKUP(BY492,'RawPL+D'!$O$8:$AB$503,13,FALSE),"-")</f>
        <v>-</v>
      </c>
      <c r="CI492" s="338" t="str">
        <f t="shared" si="215"/>
        <v>-</v>
      </c>
    </row>
    <row r="493" spans="1:87" ht="12.75" hidden="1" customHeight="1" x14ac:dyDescent="0.2">
      <c r="A493" s="28">
        <v>4</v>
      </c>
      <c r="B493" s="28">
        <v>5</v>
      </c>
      <c r="C493" s="11">
        <v>23</v>
      </c>
      <c r="D493" s="148" t="s">
        <v>295</v>
      </c>
      <c r="E493" s="10" t="s">
        <v>180</v>
      </c>
      <c r="F493" s="10" t="s">
        <v>210</v>
      </c>
      <c r="G493" s="10"/>
      <c r="H493" s="10"/>
      <c r="I493" s="10"/>
      <c r="J493" s="10"/>
      <c r="K493" s="575"/>
      <c r="L493" s="152"/>
      <c r="M493" s="164"/>
      <c r="N493" s="62"/>
      <c r="O493" s="62"/>
      <c r="P493" s="177"/>
      <c r="Q493" s="171"/>
      <c r="R493" s="64"/>
      <c r="S493" s="62"/>
      <c r="T493" s="62"/>
      <c r="U493" s="64"/>
      <c r="V493" s="164"/>
      <c r="W493" s="64"/>
      <c r="X493" s="62"/>
      <c r="Y493" s="62"/>
      <c r="Z493" s="64"/>
      <c r="AA493" s="164"/>
      <c r="AB493" s="62"/>
      <c r="AC493" s="62"/>
      <c r="AD493" s="64"/>
      <c r="AE493" s="164"/>
      <c r="AF493" s="62"/>
      <c r="AG493" s="62"/>
      <c r="AH493" s="337"/>
      <c r="AI493" s="337"/>
      <c r="AJ493" s="337"/>
      <c r="AK493" s="337"/>
      <c r="AL493" s="414"/>
      <c r="AM493" s="414"/>
      <c r="AN493" s="45"/>
      <c r="AO493" s="45"/>
      <c r="AP493" s="45"/>
      <c r="AQ493" s="485"/>
      <c r="AR493" s="100"/>
      <c r="AS493" s="485"/>
      <c r="AT493" s="24"/>
      <c r="AU493" s="24"/>
      <c r="AV493" s="24"/>
      <c r="AW493" s="18">
        <v>23</v>
      </c>
      <c r="AX493" s="69" t="s">
        <v>295</v>
      </c>
      <c r="AY493" s="243" t="s">
        <v>180</v>
      </c>
      <c r="AZ493" s="243" t="str">
        <f t="shared" si="199"/>
        <v>Chinook</v>
      </c>
      <c r="BA493" s="243" t="s">
        <v>419</v>
      </c>
      <c r="BB493" s="246"/>
      <c r="BC493" s="43" t="str">
        <f t="shared" si="200"/>
        <v>-</v>
      </c>
      <c r="BD493" s="43">
        <f t="shared" si="219"/>
        <v>0</v>
      </c>
      <c r="BE493" s="193">
        <f t="shared" si="217"/>
        <v>0</v>
      </c>
      <c r="BF493" s="193">
        <f t="shared" si="201"/>
        <v>0</v>
      </c>
      <c r="BG493" s="193">
        <f t="shared" si="202"/>
        <v>0</v>
      </c>
      <c r="BH493" s="307" t="str">
        <f t="shared" si="218"/>
        <v>-</v>
      </c>
      <c r="BI493" s="265" t="str">
        <f t="shared" si="222"/>
        <v>-</v>
      </c>
      <c r="BJ493" s="26" t="str">
        <f t="shared" si="203"/>
        <v>LUCKY CREEKChinook</v>
      </c>
      <c r="BK493" s="26">
        <f t="shared" si="204"/>
        <v>0</v>
      </c>
      <c r="BL493" s="33">
        <f t="shared" si="221"/>
        <v>0</v>
      </c>
      <c r="BQ493" s="47" t="str">
        <f t="shared" si="205"/>
        <v>LUCKY CREEKChinook</v>
      </c>
      <c r="BR493" s="49">
        <f t="shared" si="206"/>
        <v>0</v>
      </c>
      <c r="BS493" s="49">
        <f t="shared" si="207"/>
        <v>0</v>
      </c>
      <c r="BT493" s="31">
        <v>0</v>
      </c>
      <c r="BU493" s="188">
        <f t="shared" si="208"/>
        <v>0</v>
      </c>
      <c r="BV493" s="188" t="str">
        <f t="shared" si="209"/>
        <v xml:space="preserve"> </v>
      </c>
      <c r="BW493" s="188" t="str">
        <f t="shared" si="210"/>
        <v xml:space="preserve"> </v>
      </c>
      <c r="BX493" s="188" t="str">
        <f t="shared" si="211"/>
        <v xml:space="preserve"> </v>
      </c>
      <c r="BY493" s="50" t="str">
        <f t="shared" si="223"/>
        <v>LUCKY CREEK_Chinook</v>
      </c>
      <c r="BZ493" s="50" t="str">
        <f>IFERROR(VLOOKUP(BY493,'[1]WCVI Esc'!$C$5:$W$555,18,FALSE),"-")</f>
        <v>-</v>
      </c>
      <c r="CA493" s="50" t="str">
        <f t="shared" si="212"/>
        <v>-</v>
      </c>
      <c r="CB493" s="50" t="str">
        <f>IFERROR(VLOOKUP(BY493,'[1]WCVI Esc'!$C$5:$W$555,19,FALSE),"-")</f>
        <v>-</v>
      </c>
      <c r="CC493" s="50" t="str">
        <f t="shared" si="213"/>
        <v>-</v>
      </c>
      <c r="CE493" s="342" t="str">
        <f t="shared" si="196"/>
        <v>LUCKY CREEK_Chinook</v>
      </c>
      <c r="CF493" s="341" t="str">
        <f>IFERROR(VLOOKUP(BY493,'RawPL+D'!$O$8:$AB$503,12,FALSE),"-")</f>
        <v>-</v>
      </c>
      <c r="CG493" s="338" t="str">
        <f t="shared" si="214"/>
        <v>-</v>
      </c>
      <c r="CH493" s="341" t="str">
        <f>IFERROR(VLOOKUP(BY493,'RawPL+D'!$O$8:$AB$503,13,FALSE),"-")</f>
        <v>-</v>
      </c>
      <c r="CI493" s="338" t="str">
        <f t="shared" si="215"/>
        <v>-</v>
      </c>
    </row>
    <row r="494" spans="1:87" ht="12.75" hidden="1" customHeight="1" x14ac:dyDescent="0.2">
      <c r="A494" s="28">
        <v>4</v>
      </c>
      <c r="B494" s="28">
        <v>6</v>
      </c>
      <c r="C494" s="11">
        <v>23</v>
      </c>
      <c r="D494" s="148" t="s">
        <v>295</v>
      </c>
      <c r="E494" s="10" t="s">
        <v>180</v>
      </c>
      <c r="F494" s="10" t="s">
        <v>211</v>
      </c>
      <c r="G494" s="10"/>
      <c r="H494" s="10"/>
      <c r="I494" s="10"/>
      <c r="J494" s="10"/>
      <c r="K494" s="575"/>
      <c r="L494" s="152"/>
      <c r="M494" s="164"/>
      <c r="N494" s="62"/>
      <c r="O494" s="62"/>
      <c r="P494" s="177"/>
      <c r="Q494" s="171"/>
      <c r="R494" s="64"/>
      <c r="S494" s="62"/>
      <c r="T494" s="62"/>
      <c r="U494" s="64"/>
      <c r="V494" s="164"/>
      <c r="W494" s="64"/>
      <c r="X494" s="62"/>
      <c r="Y494" s="62"/>
      <c r="Z494" s="64"/>
      <c r="AA494" s="164"/>
      <c r="AB494" s="62"/>
      <c r="AC494" s="62"/>
      <c r="AD494" s="64"/>
      <c r="AE494" s="164"/>
      <c r="AF494" s="62"/>
      <c r="AG494" s="62"/>
      <c r="AH494" s="337"/>
      <c r="AI494" s="337"/>
      <c r="AJ494" s="337"/>
      <c r="AK494" s="337"/>
      <c r="AL494" s="414"/>
      <c r="AM494" s="414"/>
      <c r="AN494" s="45"/>
      <c r="AO494" s="45"/>
      <c r="AP494" s="45"/>
      <c r="AQ494" s="485"/>
      <c r="AR494" s="100"/>
      <c r="AS494" s="485"/>
      <c r="AT494" s="24"/>
      <c r="AU494" s="24"/>
      <c r="AV494" s="24"/>
      <c r="AW494" s="18">
        <v>23</v>
      </c>
      <c r="AX494" s="69" t="s">
        <v>295</v>
      </c>
      <c r="AY494" s="243" t="s">
        <v>180</v>
      </c>
      <c r="AZ494" s="243" t="str">
        <f t="shared" si="199"/>
        <v>Steelhead</v>
      </c>
      <c r="BA494" s="243" t="s">
        <v>419</v>
      </c>
      <c r="BB494" s="246"/>
      <c r="BC494" s="43" t="str">
        <f t="shared" si="200"/>
        <v>-</v>
      </c>
      <c r="BD494" s="43">
        <f t="shared" si="219"/>
        <v>0</v>
      </c>
      <c r="BE494" s="193">
        <f t="shared" si="217"/>
        <v>0</v>
      </c>
      <c r="BF494" s="193">
        <f t="shared" si="201"/>
        <v>0</v>
      </c>
      <c r="BG494" s="193">
        <f t="shared" si="202"/>
        <v>0</v>
      </c>
      <c r="BH494" s="307" t="str">
        <f t="shared" si="218"/>
        <v>-</v>
      </c>
      <c r="BI494" s="265" t="str">
        <f t="shared" si="222"/>
        <v>-</v>
      </c>
      <c r="BJ494" s="26" t="str">
        <f t="shared" si="203"/>
        <v>LUCKY CREEKSteelhead</v>
      </c>
      <c r="BK494" s="26">
        <f t="shared" si="204"/>
        <v>0</v>
      </c>
      <c r="BL494" s="33">
        <f t="shared" si="221"/>
        <v>0</v>
      </c>
      <c r="BQ494" s="47" t="str">
        <f t="shared" si="205"/>
        <v>LUCKY CREEKSteelhead</v>
      </c>
      <c r="BR494" s="49">
        <f t="shared" si="206"/>
        <v>0</v>
      </c>
      <c r="BS494" s="49">
        <f t="shared" si="207"/>
        <v>0</v>
      </c>
      <c r="BT494" s="31">
        <v>0</v>
      </c>
      <c r="BU494" s="188">
        <f t="shared" si="208"/>
        <v>0</v>
      </c>
      <c r="BV494" s="188" t="str">
        <f t="shared" si="209"/>
        <v xml:space="preserve"> </v>
      </c>
      <c r="BW494" s="188" t="str">
        <f t="shared" si="210"/>
        <v xml:space="preserve"> </v>
      </c>
      <c r="BX494" s="188" t="str">
        <f t="shared" si="211"/>
        <v xml:space="preserve"> </v>
      </c>
      <c r="BY494" s="50" t="str">
        <f t="shared" si="223"/>
        <v>LUCKY CREEK_Steelhead</v>
      </c>
      <c r="BZ494" s="50" t="str">
        <f>IFERROR(VLOOKUP(BY494,'[1]WCVI Esc'!$C$5:$W$555,18,FALSE),"-")</f>
        <v>-</v>
      </c>
      <c r="CA494" s="50" t="str">
        <f t="shared" si="212"/>
        <v>-</v>
      </c>
      <c r="CB494" s="50" t="str">
        <f>IFERROR(VLOOKUP(BY494,'[1]WCVI Esc'!$C$5:$W$555,19,FALSE),"-")</f>
        <v>-</v>
      </c>
      <c r="CC494" s="50" t="str">
        <f t="shared" si="213"/>
        <v>-</v>
      </c>
      <c r="CE494" s="342" t="str">
        <f t="shared" si="196"/>
        <v>LUCKY CREEK_Steelhead</v>
      </c>
      <c r="CF494" s="341" t="str">
        <f>IFERROR(VLOOKUP(BY494,'RawPL+D'!$O$8:$AB$503,12,FALSE),"-")</f>
        <v>-</v>
      </c>
      <c r="CG494" s="338" t="str">
        <f t="shared" si="214"/>
        <v>-</v>
      </c>
      <c r="CH494" s="341" t="str">
        <f>IFERROR(VLOOKUP(BY494,'RawPL+D'!$O$8:$AB$503,13,FALSE),"-")</f>
        <v>-</v>
      </c>
      <c r="CI494" s="338" t="str">
        <f t="shared" si="215"/>
        <v>-</v>
      </c>
    </row>
    <row r="495" spans="1:87" ht="12.75" hidden="1" customHeight="1" x14ac:dyDescent="0.2">
      <c r="A495" s="28">
        <v>4</v>
      </c>
      <c r="B495" s="28">
        <v>1</v>
      </c>
      <c r="C495" s="11">
        <v>23</v>
      </c>
      <c r="D495" s="148" t="s">
        <v>295</v>
      </c>
      <c r="E495" s="10" t="s">
        <v>181</v>
      </c>
      <c r="F495" s="10" t="s">
        <v>207</v>
      </c>
      <c r="G495" s="10"/>
      <c r="H495" s="10"/>
      <c r="I495" s="10"/>
      <c r="J495" s="10"/>
      <c r="K495" s="575"/>
      <c r="L495" s="152"/>
      <c r="M495" s="181"/>
      <c r="N495" s="62"/>
      <c r="O495" s="62"/>
      <c r="P495" s="177"/>
      <c r="Q495" s="173"/>
      <c r="R495" s="62"/>
      <c r="S495" s="62"/>
      <c r="T495" s="62"/>
      <c r="U495" s="64"/>
      <c r="V495" s="161"/>
      <c r="W495" s="62"/>
      <c r="X495" s="63"/>
      <c r="Y495" s="62"/>
      <c r="Z495" s="186"/>
      <c r="AA495" s="164"/>
      <c r="AB495" s="62"/>
      <c r="AC495" s="62"/>
      <c r="AD495" s="64"/>
      <c r="AE495" s="164"/>
      <c r="AF495" s="62"/>
      <c r="AG495" s="62"/>
      <c r="AH495" s="337"/>
      <c r="AI495" s="337"/>
      <c r="AJ495" s="337"/>
      <c r="AK495" s="337"/>
      <c r="AL495" s="552"/>
      <c r="AM495" s="552"/>
      <c r="AN495" s="45"/>
      <c r="AO495" s="45"/>
      <c r="AP495" s="45"/>
      <c r="AQ495" s="485"/>
      <c r="AR495" s="12"/>
      <c r="AS495" s="485"/>
      <c r="AT495" s="24"/>
      <c r="AU495" s="24"/>
      <c r="AV495" s="24"/>
      <c r="AW495" s="18">
        <v>23</v>
      </c>
      <c r="AX495" s="69" t="s">
        <v>295</v>
      </c>
      <c r="AY495" s="243" t="s">
        <v>181</v>
      </c>
      <c r="AZ495" s="243" t="str">
        <f t="shared" si="199"/>
        <v>Sockeye</v>
      </c>
      <c r="BA495" s="243" t="s">
        <v>419</v>
      </c>
      <c r="BB495" s="244" t="s">
        <v>289</v>
      </c>
      <c r="BC495" s="43" t="str">
        <f t="shared" si="200"/>
        <v>-</v>
      </c>
      <c r="BD495" s="43">
        <f t="shared" si="219"/>
        <v>0</v>
      </c>
      <c r="BE495" s="193">
        <f t="shared" si="217"/>
        <v>0</v>
      </c>
      <c r="BF495" s="193">
        <f t="shared" si="201"/>
        <v>0</v>
      </c>
      <c r="BG495" s="193">
        <f t="shared" si="202"/>
        <v>0</v>
      </c>
      <c r="BH495" s="307">
        <f t="shared" si="218"/>
        <v>0</v>
      </c>
      <c r="BI495" s="265" t="str">
        <f t="shared" si="222"/>
        <v>-</v>
      </c>
      <c r="BJ495" s="26" t="str">
        <f t="shared" si="203"/>
        <v>MAGGIE RIVERSockeye</v>
      </c>
      <c r="BK495" s="26">
        <f t="shared" si="204"/>
        <v>0</v>
      </c>
      <c r="BL495" s="33">
        <f t="shared" si="221"/>
        <v>0</v>
      </c>
      <c r="BQ495" s="47" t="str">
        <f t="shared" si="205"/>
        <v>MAGGIE RIVERSockeye</v>
      </c>
      <c r="BR495" s="49">
        <f t="shared" si="206"/>
        <v>0</v>
      </c>
      <c r="BS495" s="49">
        <f t="shared" si="207"/>
        <v>0</v>
      </c>
      <c r="BT495" s="31">
        <v>0</v>
      </c>
      <c r="BU495" s="188" t="str">
        <f t="shared" si="208"/>
        <v>TCES</v>
      </c>
      <c r="BV495" s="188" t="str">
        <f t="shared" si="209"/>
        <v xml:space="preserve"> </v>
      </c>
      <c r="BW495" s="188" t="str">
        <f t="shared" si="210"/>
        <v xml:space="preserve"> </v>
      </c>
      <c r="BX495" s="188" t="str">
        <f t="shared" si="211"/>
        <v xml:space="preserve"> </v>
      </c>
      <c r="BY495" s="50" t="str">
        <f t="shared" si="223"/>
        <v>MAGGIE RIVER_Sockeye</v>
      </c>
      <c r="BZ495" s="50" t="str">
        <f>IFERROR(VLOOKUP(BY495,'[1]WCVI Esc'!$C$5:$W$555,18,FALSE),"-")</f>
        <v>-</v>
      </c>
      <c r="CA495" s="50" t="str">
        <f t="shared" si="212"/>
        <v>-</v>
      </c>
      <c r="CB495" s="50" t="str">
        <f>IFERROR(VLOOKUP(BY495,'[1]WCVI Esc'!$C$5:$W$555,19,FALSE),"-")</f>
        <v>-</v>
      </c>
      <c r="CC495" s="50" t="str">
        <f t="shared" si="213"/>
        <v>-</v>
      </c>
      <c r="CE495" s="342" t="str">
        <f t="shared" si="196"/>
        <v>MAGGIE RIVER_Sockeye</v>
      </c>
      <c r="CF495" s="341">
        <f>IFERROR(VLOOKUP(BY495,'RawPL+D'!$O$8:$AB$503,12,FALSE),"-")</f>
        <v>0</v>
      </c>
      <c r="CG495" s="338">
        <f t="shared" si="214"/>
        <v>0</v>
      </c>
      <c r="CH495" s="341">
        <f>IFERROR(VLOOKUP(BY495,'RawPL+D'!$O$8:$AB$503,13,FALSE),"-")</f>
        <v>0</v>
      </c>
      <c r="CI495" s="338">
        <f t="shared" si="215"/>
        <v>0</v>
      </c>
    </row>
    <row r="496" spans="1:87" ht="12.75" hidden="1" customHeight="1" x14ac:dyDescent="0.2">
      <c r="A496" s="28">
        <v>4</v>
      </c>
      <c r="B496" s="28">
        <v>2</v>
      </c>
      <c r="C496" s="11">
        <v>23</v>
      </c>
      <c r="D496" s="13" t="s">
        <v>295</v>
      </c>
      <c r="E496" s="10" t="s">
        <v>181</v>
      </c>
      <c r="F496" s="10" t="s">
        <v>219</v>
      </c>
      <c r="G496" s="10"/>
      <c r="H496" s="10"/>
      <c r="I496" s="10"/>
      <c r="J496" s="10"/>
      <c r="K496" s="575"/>
      <c r="L496" s="152"/>
      <c r="M496" s="181"/>
      <c r="N496" s="62"/>
      <c r="O496" s="62"/>
      <c r="P496" s="177"/>
      <c r="Q496" s="173"/>
      <c r="R496" s="62"/>
      <c r="S496" s="62"/>
      <c r="T496" s="62"/>
      <c r="U496" s="64"/>
      <c r="V496" s="161"/>
      <c r="W496" s="62"/>
      <c r="X496" s="63"/>
      <c r="Y496" s="62"/>
      <c r="Z496" s="186"/>
      <c r="AA496" s="164"/>
      <c r="AB496" s="62"/>
      <c r="AC496" s="62"/>
      <c r="AD496" s="64"/>
      <c r="AE496" s="164"/>
      <c r="AF496" s="62"/>
      <c r="AG496" s="62"/>
      <c r="AH496" s="337"/>
      <c r="AI496" s="337"/>
      <c r="AJ496" s="337"/>
      <c r="AK496" s="337"/>
      <c r="AL496" s="552"/>
      <c r="AM496" s="552"/>
      <c r="AN496" s="45"/>
      <c r="AO496" s="45"/>
      <c r="AP496" s="45"/>
      <c r="AQ496" s="485">
        <f>AL496/BI496</f>
        <v>0</v>
      </c>
      <c r="AR496" s="100">
        <f>BL496/BI496</f>
        <v>0</v>
      </c>
      <c r="AS496" s="485"/>
      <c r="AT496" s="24"/>
      <c r="AU496" s="24"/>
      <c r="AV496" s="24"/>
      <c r="AW496" s="18">
        <v>23</v>
      </c>
      <c r="AX496" s="69" t="s">
        <v>295</v>
      </c>
      <c r="AY496" s="243" t="s">
        <v>181</v>
      </c>
      <c r="AZ496" s="243" t="str">
        <f t="shared" si="199"/>
        <v>Coho</v>
      </c>
      <c r="BA496" s="243" t="s">
        <v>419</v>
      </c>
      <c r="BB496" s="244" t="s">
        <v>289</v>
      </c>
      <c r="BC496" s="43" t="str">
        <f t="shared" si="200"/>
        <v>-</v>
      </c>
      <c r="BD496" s="43">
        <f t="shared" si="219"/>
        <v>0</v>
      </c>
      <c r="BE496" s="193">
        <f t="shared" si="217"/>
        <v>0</v>
      </c>
      <c r="BF496" s="193">
        <f t="shared" si="201"/>
        <v>0</v>
      </c>
      <c r="BG496" s="193">
        <f t="shared" si="202"/>
        <v>0</v>
      </c>
      <c r="BH496" s="307">
        <f t="shared" si="218"/>
        <v>270</v>
      </c>
      <c r="BI496" s="265">
        <f t="shared" si="222"/>
        <v>370</v>
      </c>
      <c r="BJ496" s="26" t="str">
        <f t="shared" si="203"/>
        <v>MAGGIE RIVERCoho</v>
      </c>
      <c r="BK496" s="26">
        <f t="shared" si="204"/>
        <v>0</v>
      </c>
      <c r="BL496" s="33">
        <f t="shared" si="221"/>
        <v>0</v>
      </c>
      <c r="BQ496" s="47" t="str">
        <f t="shared" si="205"/>
        <v>MAGGIE RIVERCoho</v>
      </c>
      <c r="BR496" s="49">
        <f t="shared" si="206"/>
        <v>0</v>
      </c>
      <c r="BS496" s="49">
        <f t="shared" si="207"/>
        <v>0</v>
      </c>
      <c r="BT496" s="31">
        <v>2015</v>
      </c>
      <c r="BU496" s="188" t="str">
        <f t="shared" si="208"/>
        <v>TCES</v>
      </c>
      <c r="BV496" s="188" t="str">
        <f t="shared" si="209"/>
        <v xml:space="preserve"> </v>
      </c>
      <c r="BW496" s="188" t="str">
        <f t="shared" si="210"/>
        <v xml:space="preserve"> </v>
      </c>
      <c r="BX496" s="188" t="str">
        <f t="shared" si="211"/>
        <v xml:space="preserve"> </v>
      </c>
      <c r="BY496" s="50" t="str">
        <f t="shared" si="223"/>
        <v>MAGGIE RIVER_Coho</v>
      </c>
      <c r="BZ496" s="50">
        <f>IFERROR(VLOOKUP(BY496,'[1]WCVI Esc'!$C$5:$W$555,18,FALSE),"-")</f>
        <v>225.25</v>
      </c>
      <c r="CA496" s="50">
        <f t="shared" si="212"/>
        <v>230</v>
      </c>
      <c r="CB496" s="50">
        <f>IFERROR(VLOOKUP(BY496,'[1]WCVI Esc'!$C$5:$W$555,19,FALSE),"-")</f>
        <v>373.83333333333331</v>
      </c>
      <c r="CC496" s="50">
        <f t="shared" si="213"/>
        <v>370</v>
      </c>
      <c r="CE496" s="342" t="str">
        <f t="shared" si="196"/>
        <v>MAGGIE RIVER_Coho</v>
      </c>
      <c r="CF496" s="341">
        <f>IFERROR(VLOOKUP(BY496,'RawPL+D'!$O$8:$AB$503,12,FALSE),"-")</f>
        <v>456</v>
      </c>
      <c r="CG496" s="338">
        <f t="shared" si="214"/>
        <v>460</v>
      </c>
      <c r="CH496" s="341">
        <f>IFERROR(VLOOKUP(BY496,'RawPL+D'!$O$8:$AB$503,13,FALSE),"-")</f>
        <v>268</v>
      </c>
      <c r="CI496" s="338">
        <f t="shared" si="215"/>
        <v>270</v>
      </c>
    </row>
    <row r="497" spans="1:87" ht="12.75" hidden="1" customHeight="1" x14ac:dyDescent="0.2">
      <c r="A497" s="28">
        <v>4</v>
      </c>
      <c r="B497" s="28">
        <v>3</v>
      </c>
      <c r="C497" s="11">
        <v>23</v>
      </c>
      <c r="D497" s="148" t="s">
        <v>295</v>
      </c>
      <c r="E497" s="10" t="s">
        <v>181</v>
      </c>
      <c r="F497" s="10" t="s">
        <v>208</v>
      </c>
      <c r="G497" s="10"/>
      <c r="H497" s="10"/>
      <c r="I497" s="10"/>
      <c r="J497" s="10"/>
      <c r="K497" s="575"/>
      <c r="L497" s="152"/>
      <c r="M497" s="181"/>
      <c r="N497" s="62"/>
      <c r="O497" s="62"/>
      <c r="P497" s="177"/>
      <c r="Q497" s="173"/>
      <c r="R497" s="62"/>
      <c r="S497" s="62"/>
      <c r="T497" s="62"/>
      <c r="U497" s="64"/>
      <c r="V497" s="161"/>
      <c r="W497" s="62"/>
      <c r="X497" s="63"/>
      <c r="Y497" s="62"/>
      <c r="Z497" s="186"/>
      <c r="AA497" s="164"/>
      <c r="AB497" s="62"/>
      <c r="AC497" s="62"/>
      <c r="AD497" s="64"/>
      <c r="AE497" s="164"/>
      <c r="AF497" s="62"/>
      <c r="AG497" s="62"/>
      <c r="AH497" s="337"/>
      <c r="AI497" s="337"/>
      <c r="AJ497" s="337"/>
      <c r="AK497" s="337"/>
      <c r="AL497" s="552"/>
      <c r="AM497" s="552"/>
      <c r="AN497" s="45"/>
      <c r="AO497" s="45"/>
      <c r="AP497" s="45"/>
      <c r="AQ497" s="485"/>
      <c r="AR497" s="100"/>
      <c r="AS497" s="485"/>
      <c r="AT497" s="24"/>
      <c r="AU497" s="24"/>
      <c r="AV497" s="24"/>
      <c r="AW497" s="18">
        <v>23</v>
      </c>
      <c r="AX497" s="69" t="s">
        <v>295</v>
      </c>
      <c r="AY497" s="243" t="s">
        <v>181</v>
      </c>
      <c r="AZ497" s="243" t="str">
        <f t="shared" si="199"/>
        <v>Pink</v>
      </c>
      <c r="BA497" s="243" t="s">
        <v>419</v>
      </c>
      <c r="BB497" s="244" t="s">
        <v>289</v>
      </c>
      <c r="BC497" s="43" t="str">
        <f t="shared" si="200"/>
        <v>-</v>
      </c>
      <c r="BD497" s="43">
        <f t="shared" si="219"/>
        <v>0</v>
      </c>
      <c r="BE497" s="193">
        <f t="shared" si="217"/>
        <v>0</v>
      </c>
      <c r="BF497" s="193">
        <f t="shared" si="201"/>
        <v>0</v>
      </c>
      <c r="BG497" s="193">
        <f t="shared" si="202"/>
        <v>0</v>
      </c>
      <c r="BH497" s="307">
        <f t="shared" si="218"/>
        <v>0</v>
      </c>
      <c r="BI497" s="265" t="str">
        <f t="shared" si="222"/>
        <v>-</v>
      </c>
      <c r="BJ497" s="26" t="str">
        <f t="shared" si="203"/>
        <v>MAGGIE RIVERPink</v>
      </c>
      <c r="BK497" s="26">
        <f t="shared" si="204"/>
        <v>0</v>
      </c>
      <c r="BL497" s="33">
        <f t="shared" si="221"/>
        <v>0</v>
      </c>
      <c r="BQ497" s="47" t="str">
        <f t="shared" si="205"/>
        <v>MAGGIE RIVERPink</v>
      </c>
      <c r="BR497" s="49">
        <f t="shared" si="206"/>
        <v>0</v>
      </c>
      <c r="BS497" s="49">
        <f t="shared" si="207"/>
        <v>0</v>
      </c>
      <c r="BT497" s="31">
        <v>0</v>
      </c>
      <c r="BU497" s="188" t="str">
        <f t="shared" si="208"/>
        <v>TCES</v>
      </c>
      <c r="BV497" s="188" t="str">
        <f t="shared" si="209"/>
        <v xml:space="preserve"> </v>
      </c>
      <c r="BW497" s="188" t="str">
        <f t="shared" si="210"/>
        <v xml:space="preserve"> </v>
      </c>
      <c r="BX497" s="188" t="str">
        <f t="shared" si="211"/>
        <v xml:space="preserve"> </v>
      </c>
      <c r="BY497" s="50" t="str">
        <f t="shared" si="223"/>
        <v>MAGGIE RIVER_Pink</v>
      </c>
      <c r="BZ497" s="50" t="str">
        <f>IFERROR(VLOOKUP(BY497,'[1]WCVI Esc'!$C$5:$W$555,18,FALSE),"-")</f>
        <v>-</v>
      </c>
      <c r="CA497" s="50" t="str">
        <f t="shared" si="212"/>
        <v>-</v>
      </c>
      <c r="CB497" s="50" t="str">
        <f>IFERROR(VLOOKUP(BY497,'[1]WCVI Esc'!$C$5:$W$555,19,FALSE),"-")</f>
        <v>-</v>
      </c>
      <c r="CC497" s="50" t="str">
        <f t="shared" si="213"/>
        <v>-</v>
      </c>
      <c r="CE497" s="342" t="str">
        <f t="shared" si="196"/>
        <v>MAGGIE RIVER_Pink</v>
      </c>
      <c r="CF497" s="341">
        <f>IFERROR(VLOOKUP(BY497,'RawPL+D'!$O$8:$AB$503,12,FALSE),"-")</f>
        <v>0</v>
      </c>
      <c r="CG497" s="338">
        <f t="shared" si="214"/>
        <v>0</v>
      </c>
      <c r="CH497" s="341">
        <f>IFERROR(VLOOKUP(BY497,'RawPL+D'!$O$8:$AB$503,13,FALSE),"-")</f>
        <v>0</v>
      </c>
      <c r="CI497" s="338">
        <f t="shared" si="215"/>
        <v>0</v>
      </c>
    </row>
    <row r="498" spans="1:87" ht="12.75" hidden="1" customHeight="1" x14ac:dyDescent="0.2">
      <c r="A498" s="28">
        <v>4</v>
      </c>
      <c r="B498" s="28">
        <v>4</v>
      </c>
      <c r="C498" s="11">
        <v>23</v>
      </c>
      <c r="D498" s="13" t="s">
        <v>295</v>
      </c>
      <c r="E498" s="10" t="s">
        <v>181</v>
      </c>
      <c r="F498" s="10" t="s">
        <v>209</v>
      </c>
      <c r="G498" s="10"/>
      <c r="H498" s="10"/>
      <c r="I498" s="10"/>
      <c r="J498" s="10"/>
      <c r="K498" s="575"/>
      <c r="L498" s="152"/>
      <c r="M498" s="181"/>
      <c r="N498" s="62"/>
      <c r="O498" s="62"/>
      <c r="P498" s="177"/>
      <c r="Q498" s="173"/>
      <c r="R498" s="62"/>
      <c r="S498" s="62"/>
      <c r="T498" s="62"/>
      <c r="U498" s="64"/>
      <c r="V498" s="161"/>
      <c r="W498" s="62"/>
      <c r="X498" s="94"/>
      <c r="Y498" s="62"/>
      <c r="Z498" s="186"/>
      <c r="AA498" s="164"/>
      <c r="AB498" s="62"/>
      <c r="AC498" s="62"/>
      <c r="AD498" s="64"/>
      <c r="AE498" s="164"/>
      <c r="AF498" s="62"/>
      <c r="AG498" s="62"/>
      <c r="AH498" s="337"/>
      <c r="AI498" s="337"/>
      <c r="AJ498" s="337"/>
      <c r="AK498" s="337"/>
      <c r="AL498" s="552"/>
      <c r="AM498" s="552"/>
      <c r="AN498" s="45"/>
      <c r="AO498" s="45"/>
      <c r="AP498" s="46"/>
      <c r="AQ498" s="485"/>
      <c r="AR498" s="12"/>
      <c r="AS498" s="485"/>
      <c r="AT498" s="24"/>
      <c r="AU498" s="24"/>
      <c r="AV498" s="24"/>
      <c r="AW498" s="18">
        <v>23</v>
      </c>
      <c r="AX498" s="69" t="s">
        <v>295</v>
      </c>
      <c r="AY498" s="243" t="s">
        <v>181</v>
      </c>
      <c r="AZ498" s="243" t="str">
        <f t="shared" si="199"/>
        <v>Chum</v>
      </c>
      <c r="BA498" s="243" t="s">
        <v>419</v>
      </c>
      <c r="BB498" s="244" t="s">
        <v>289</v>
      </c>
      <c r="BC498" s="43" t="str">
        <f t="shared" si="200"/>
        <v>-</v>
      </c>
      <c r="BD498" s="43">
        <f t="shared" si="219"/>
        <v>0</v>
      </c>
      <c r="BE498" s="193">
        <f t="shared" si="217"/>
        <v>0</v>
      </c>
      <c r="BF498" s="193">
        <f t="shared" si="201"/>
        <v>0</v>
      </c>
      <c r="BG498" s="193">
        <f t="shared" si="202"/>
        <v>0</v>
      </c>
      <c r="BH498" s="307">
        <f t="shared" si="218"/>
        <v>30</v>
      </c>
      <c r="BI498" s="265">
        <f t="shared" si="222"/>
        <v>90</v>
      </c>
      <c r="BJ498" s="26" t="str">
        <f t="shared" si="203"/>
        <v>MAGGIE RIVERChum</v>
      </c>
      <c r="BK498" s="26">
        <f t="shared" si="204"/>
        <v>0</v>
      </c>
      <c r="BL498" s="33">
        <f t="shared" si="221"/>
        <v>0</v>
      </c>
      <c r="BQ498" s="47" t="str">
        <f t="shared" si="205"/>
        <v>MAGGIE RIVERChum</v>
      </c>
      <c r="BR498" s="49">
        <f t="shared" si="206"/>
        <v>0</v>
      </c>
      <c r="BS498" s="49">
        <f t="shared" si="207"/>
        <v>0</v>
      </c>
      <c r="BT498" s="31">
        <v>2007</v>
      </c>
      <c r="BU498" s="188" t="str">
        <f t="shared" si="208"/>
        <v>TCES</v>
      </c>
      <c r="BV498" s="188" t="str">
        <f t="shared" si="209"/>
        <v xml:space="preserve"> </v>
      </c>
      <c r="BW498" s="188" t="str">
        <f t="shared" si="210"/>
        <v xml:space="preserve"> </v>
      </c>
      <c r="BX498" s="188" t="str">
        <f t="shared" si="211"/>
        <v xml:space="preserve"> </v>
      </c>
      <c r="BY498" s="50" t="str">
        <f t="shared" si="223"/>
        <v>MAGGIE RIVER_Chum</v>
      </c>
      <c r="BZ498" s="50">
        <f>IFERROR(VLOOKUP(BY498,'[1]WCVI Esc'!$C$5:$W$555,18,FALSE),"-")</f>
        <v>89</v>
      </c>
      <c r="CA498" s="50">
        <f t="shared" si="212"/>
        <v>90</v>
      </c>
      <c r="CB498" s="50">
        <f>IFERROR(VLOOKUP(BY498,'[1]WCVI Esc'!$C$5:$W$555,19,FALSE),"-")</f>
        <v>89</v>
      </c>
      <c r="CC498" s="50">
        <f t="shared" si="213"/>
        <v>90</v>
      </c>
      <c r="CE498" s="342" t="str">
        <f t="shared" si="196"/>
        <v>MAGGIE RIVER_Chum</v>
      </c>
      <c r="CF498" s="341">
        <f>IFERROR(VLOOKUP(BY498,'RawPL+D'!$O$8:$AB$503,12,FALSE),"-")</f>
        <v>80</v>
      </c>
      <c r="CG498" s="338">
        <f t="shared" si="214"/>
        <v>80</v>
      </c>
      <c r="CH498" s="341">
        <f>IFERROR(VLOOKUP(BY498,'RawPL+D'!$O$8:$AB$503,13,FALSE),"-")</f>
        <v>26.666666666666668</v>
      </c>
      <c r="CI498" s="338">
        <f t="shared" si="215"/>
        <v>30</v>
      </c>
    </row>
    <row r="499" spans="1:87" ht="12.75" hidden="1" customHeight="1" x14ac:dyDescent="0.2">
      <c r="A499" s="28">
        <v>4</v>
      </c>
      <c r="B499" s="28">
        <v>5</v>
      </c>
      <c r="C499" s="11">
        <v>23</v>
      </c>
      <c r="D499" s="148" t="s">
        <v>295</v>
      </c>
      <c r="E499" s="10" t="s">
        <v>181</v>
      </c>
      <c r="F499" s="10" t="s">
        <v>210</v>
      </c>
      <c r="G499" s="10"/>
      <c r="H499" s="10"/>
      <c r="I499" s="10"/>
      <c r="J499" s="10"/>
      <c r="K499" s="575"/>
      <c r="L499" s="152"/>
      <c r="M499" s="181"/>
      <c r="N499" s="62"/>
      <c r="O499" s="62"/>
      <c r="P499" s="177"/>
      <c r="Q499" s="173"/>
      <c r="R499" s="62"/>
      <c r="S499" s="62"/>
      <c r="T499" s="62"/>
      <c r="U499" s="64"/>
      <c r="V499" s="161"/>
      <c r="W499" s="62"/>
      <c r="X499" s="94"/>
      <c r="Y499" s="62"/>
      <c r="Z499" s="186"/>
      <c r="AA499" s="164"/>
      <c r="AB499" s="62"/>
      <c r="AC499" s="62"/>
      <c r="AD499" s="64"/>
      <c r="AE499" s="164"/>
      <c r="AF499" s="62"/>
      <c r="AG499" s="62"/>
      <c r="AH499" s="337"/>
      <c r="AI499" s="337"/>
      <c r="AJ499" s="337"/>
      <c r="AK499" s="337"/>
      <c r="AL499" s="552"/>
      <c r="AM499" s="552"/>
      <c r="AN499" s="45"/>
      <c r="AO499" s="45"/>
      <c r="AP499" s="45"/>
      <c r="AQ499" s="485"/>
      <c r="AR499" s="100"/>
      <c r="AS499" s="485"/>
      <c r="AT499" s="24"/>
      <c r="AU499" s="24"/>
      <c r="AV499" s="24"/>
      <c r="AW499" s="18">
        <v>23</v>
      </c>
      <c r="AX499" s="69" t="s">
        <v>295</v>
      </c>
      <c r="AY499" s="243" t="s">
        <v>181</v>
      </c>
      <c r="AZ499" s="243" t="str">
        <f t="shared" si="199"/>
        <v>Chinook</v>
      </c>
      <c r="BA499" s="243" t="s">
        <v>419</v>
      </c>
      <c r="BB499" s="244" t="s">
        <v>289</v>
      </c>
      <c r="BC499" s="43" t="str">
        <f t="shared" si="200"/>
        <v>-</v>
      </c>
      <c r="BD499" s="43">
        <f t="shared" si="219"/>
        <v>0</v>
      </c>
      <c r="BE499" s="193">
        <f t="shared" si="217"/>
        <v>0</v>
      </c>
      <c r="BF499" s="193">
        <f t="shared" si="201"/>
        <v>0</v>
      </c>
      <c r="BG499" s="193">
        <f t="shared" si="202"/>
        <v>0</v>
      </c>
      <c r="BH499" s="307">
        <f t="shared" si="218"/>
        <v>0</v>
      </c>
      <c r="BI499" s="265" t="str">
        <f t="shared" si="222"/>
        <v>-</v>
      </c>
      <c r="BJ499" s="26" t="str">
        <f t="shared" si="203"/>
        <v>MAGGIE RIVERChinook</v>
      </c>
      <c r="BK499" s="26">
        <f t="shared" si="204"/>
        <v>0</v>
      </c>
      <c r="BL499" s="33">
        <f t="shared" si="221"/>
        <v>0</v>
      </c>
      <c r="BQ499" s="47" t="str">
        <f t="shared" si="205"/>
        <v>MAGGIE RIVERChinook</v>
      </c>
      <c r="BR499" s="49">
        <f t="shared" si="206"/>
        <v>0</v>
      </c>
      <c r="BS499" s="49">
        <f t="shared" si="207"/>
        <v>0</v>
      </c>
      <c r="BT499" s="31">
        <v>0</v>
      </c>
      <c r="BU499" s="188" t="str">
        <f t="shared" si="208"/>
        <v>TCES</v>
      </c>
      <c r="BV499" s="188" t="str">
        <f t="shared" si="209"/>
        <v xml:space="preserve"> </v>
      </c>
      <c r="BW499" s="188" t="str">
        <f t="shared" si="210"/>
        <v xml:space="preserve"> </v>
      </c>
      <c r="BX499" s="188" t="str">
        <f t="shared" si="211"/>
        <v xml:space="preserve"> </v>
      </c>
      <c r="BY499" s="50" t="str">
        <f t="shared" si="223"/>
        <v>MAGGIE RIVER_Chinook</v>
      </c>
      <c r="BZ499" s="50" t="str">
        <f>IFERROR(VLOOKUP(BY499,'[1]WCVI Esc'!$C$5:$W$555,18,FALSE),"-")</f>
        <v>-</v>
      </c>
      <c r="CA499" s="50" t="str">
        <f t="shared" si="212"/>
        <v>-</v>
      </c>
      <c r="CB499" s="50" t="str">
        <f>IFERROR(VLOOKUP(BY499,'[1]WCVI Esc'!$C$5:$W$555,19,FALSE),"-")</f>
        <v>-</v>
      </c>
      <c r="CC499" s="50" t="str">
        <f t="shared" si="213"/>
        <v>-</v>
      </c>
      <c r="CE499" s="342" t="str">
        <f t="shared" si="196"/>
        <v>MAGGIE RIVER_Chinook</v>
      </c>
      <c r="CF499" s="341">
        <f>IFERROR(VLOOKUP(BY499,'RawPL+D'!$O$8:$AB$503,12,FALSE),"-")</f>
        <v>0</v>
      </c>
      <c r="CG499" s="338">
        <f t="shared" si="214"/>
        <v>0</v>
      </c>
      <c r="CH499" s="341">
        <f>IFERROR(VLOOKUP(BY499,'RawPL+D'!$O$8:$AB$503,13,FALSE),"-")</f>
        <v>2</v>
      </c>
      <c r="CI499" s="338">
        <f t="shared" si="215"/>
        <v>0</v>
      </c>
    </row>
    <row r="500" spans="1:87" ht="12.75" hidden="1" customHeight="1" x14ac:dyDescent="0.2">
      <c r="A500" s="28">
        <v>4</v>
      </c>
      <c r="B500" s="28">
        <v>6</v>
      </c>
      <c r="C500" s="11">
        <v>23</v>
      </c>
      <c r="D500" s="148" t="s">
        <v>295</v>
      </c>
      <c r="E500" s="10" t="s">
        <v>181</v>
      </c>
      <c r="F500" s="10" t="s">
        <v>211</v>
      </c>
      <c r="G500" s="10"/>
      <c r="H500" s="10"/>
      <c r="I500" s="10"/>
      <c r="J500" s="10"/>
      <c r="K500" s="575"/>
      <c r="L500" s="152"/>
      <c r="M500" s="181"/>
      <c r="N500" s="62"/>
      <c r="O500" s="62"/>
      <c r="P500" s="177"/>
      <c r="Q500" s="173"/>
      <c r="R500" s="62"/>
      <c r="S500" s="62"/>
      <c r="T500" s="62"/>
      <c r="U500" s="64"/>
      <c r="V500" s="161"/>
      <c r="W500" s="62"/>
      <c r="X500" s="63"/>
      <c r="Y500" s="62"/>
      <c r="Z500" s="186"/>
      <c r="AA500" s="164"/>
      <c r="AB500" s="62"/>
      <c r="AC500" s="62"/>
      <c r="AD500" s="64"/>
      <c r="AE500" s="164"/>
      <c r="AF500" s="62"/>
      <c r="AG500" s="62"/>
      <c r="AH500" s="337"/>
      <c r="AI500" s="337"/>
      <c r="AJ500" s="337"/>
      <c r="AK500" s="337"/>
      <c r="AL500" s="552"/>
      <c r="AM500" s="552"/>
      <c r="AN500" s="45"/>
      <c r="AO500" s="45"/>
      <c r="AP500" s="45"/>
      <c r="AQ500" s="485"/>
      <c r="AR500" s="100"/>
      <c r="AS500" s="485"/>
      <c r="AT500" s="24"/>
      <c r="AU500" s="24"/>
      <c r="AV500" s="24"/>
      <c r="AW500" s="18">
        <v>23</v>
      </c>
      <c r="AX500" s="69" t="s">
        <v>295</v>
      </c>
      <c r="AY500" s="243" t="s">
        <v>181</v>
      </c>
      <c r="AZ500" s="243" t="str">
        <f t="shared" si="199"/>
        <v>Steelhead</v>
      </c>
      <c r="BA500" s="243" t="s">
        <v>419</v>
      </c>
      <c r="BB500" s="244" t="s">
        <v>289</v>
      </c>
      <c r="BC500" s="43" t="str">
        <f t="shared" si="200"/>
        <v>-</v>
      </c>
      <c r="BD500" s="43">
        <f t="shared" si="219"/>
        <v>0</v>
      </c>
      <c r="BE500" s="193">
        <f t="shared" si="217"/>
        <v>0</v>
      </c>
      <c r="BF500" s="193">
        <f t="shared" si="201"/>
        <v>0</v>
      </c>
      <c r="BG500" s="193">
        <f t="shared" si="202"/>
        <v>0</v>
      </c>
      <c r="BH500" s="307" t="str">
        <f t="shared" si="218"/>
        <v>-</v>
      </c>
      <c r="BI500" s="265" t="str">
        <f t="shared" si="222"/>
        <v>-</v>
      </c>
      <c r="BJ500" s="26" t="str">
        <f t="shared" si="203"/>
        <v>MAGGIE RIVERSteelhead</v>
      </c>
      <c r="BK500" s="26">
        <f t="shared" si="204"/>
        <v>0</v>
      </c>
      <c r="BL500" s="33">
        <f t="shared" si="221"/>
        <v>0</v>
      </c>
      <c r="BQ500" s="47" t="str">
        <f t="shared" si="205"/>
        <v>MAGGIE RIVERSteelhead</v>
      </c>
      <c r="BR500" s="49">
        <f t="shared" si="206"/>
        <v>0</v>
      </c>
      <c r="BS500" s="49">
        <f t="shared" si="207"/>
        <v>0</v>
      </c>
      <c r="BT500" s="31">
        <v>0</v>
      </c>
      <c r="BU500" s="188" t="str">
        <f t="shared" si="208"/>
        <v>TCES</v>
      </c>
      <c r="BV500" s="188" t="str">
        <f t="shared" si="209"/>
        <v xml:space="preserve"> </v>
      </c>
      <c r="BW500" s="188" t="str">
        <f t="shared" si="210"/>
        <v xml:space="preserve"> </v>
      </c>
      <c r="BX500" s="188" t="str">
        <f t="shared" si="211"/>
        <v xml:space="preserve"> </v>
      </c>
      <c r="BY500" s="50" t="str">
        <f t="shared" si="223"/>
        <v>MAGGIE RIVER_Steelhead</v>
      </c>
      <c r="BZ500" s="50" t="str">
        <f>IFERROR(VLOOKUP(BY500,'[1]WCVI Esc'!$C$5:$W$555,18,FALSE),"-")</f>
        <v>-</v>
      </c>
      <c r="CA500" s="50" t="str">
        <f t="shared" si="212"/>
        <v>-</v>
      </c>
      <c r="CB500" s="50" t="str">
        <f>IFERROR(VLOOKUP(BY500,'[1]WCVI Esc'!$C$5:$W$555,19,FALSE),"-")</f>
        <v>-</v>
      </c>
      <c r="CC500" s="50" t="str">
        <f t="shared" si="213"/>
        <v>-</v>
      </c>
      <c r="CE500" s="342" t="str">
        <f t="shared" si="196"/>
        <v>MAGGIE RIVER_Steelhead</v>
      </c>
      <c r="CF500" s="341" t="str">
        <f>IFERROR(VLOOKUP(BY500,'RawPL+D'!$O$8:$AB$503,12,FALSE),"-")</f>
        <v>-</v>
      </c>
      <c r="CG500" s="338" t="str">
        <f t="shared" si="214"/>
        <v>-</v>
      </c>
      <c r="CH500" s="341" t="str">
        <f>IFERROR(VLOOKUP(BY500,'RawPL+D'!$O$8:$AB$503,13,FALSE),"-")</f>
        <v>-</v>
      </c>
      <c r="CI500" s="338" t="str">
        <f t="shared" si="215"/>
        <v>-</v>
      </c>
    </row>
    <row r="501" spans="1:87" ht="12.75" hidden="1" customHeight="1" x14ac:dyDescent="0.2">
      <c r="A501" s="28">
        <v>4</v>
      </c>
      <c r="B501" s="28">
        <v>1</v>
      </c>
      <c r="C501" s="11">
        <v>23</v>
      </c>
      <c r="D501" s="148" t="s">
        <v>295</v>
      </c>
      <c r="E501" s="10" t="s">
        <v>683</v>
      </c>
      <c r="F501" s="10" t="s">
        <v>207</v>
      </c>
      <c r="G501" s="10"/>
      <c r="H501" s="10"/>
      <c r="I501" s="10"/>
      <c r="J501" s="10"/>
      <c r="K501" s="575"/>
      <c r="L501" s="152"/>
      <c r="M501" s="164"/>
      <c r="N501" s="62"/>
      <c r="O501" s="62"/>
      <c r="P501" s="177"/>
      <c r="Q501" s="171"/>
      <c r="R501" s="94"/>
      <c r="S501" s="62"/>
      <c r="T501" s="62"/>
      <c r="U501" s="64"/>
      <c r="V501" s="641">
        <v>0</v>
      </c>
      <c r="W501" s="632">
        <v>0</v>
      </c>
      <c r="X501" s="94"/>
      <c r="Y501" s="62"/>
      <c r="Z501" s="64"/>
      <c r="AA501" s="164"/>
      <c r="AB501" s="62"/>
      <c r="AC501" s="62"/>
      <c r="AD501" s="64"/>
      <c r="AE501" s="164"/>
      <c r="AF501" s="62"/>
      <c r="AG501" s="62"/>
      <c r="AH501" s="337"/>
      <c r="AI501" s="337"/>
      <c r="AJ501" s="337"/>
      <c r="AK501" s="337"/>
      <c r="AL501" s="414"/>
      <c r="AM501" s="414"/>
      <c r="AN501" s="45"/>
      <c r="AO501" s="45"/>
      <c r="AP501" s="45"/>
      <c r="AQ501" s="485"/>
      <c r="AR501" s="100"/>
      <c r="AS501" s="485"/>
      <c r="AT501" s="24"/>
      <c r="AU501" s="24"/>
      <c r="AV501" s="24"/>
      <c r="AW501" s="18">
        <v>23</v>
      </c>
      <c r="AX501" s="69"/>
      <c r="AY501" s="243" t="s">
        <v>684</v>
      </c>
      <c r="AZ501" s="243" t="str">
        <f t="shared" si="199"/>
        <v>Sockeye</v>
      </c>
      <c r="BA501" s="243" t="s">
        <v>419</v>
      </c>
      <c r="BB501" s="244" t="s">
        <v>289</v>
      </c>
      <c r="BC501" s="43" t="str">
        <f t="shared" si="200"/>
        <v>Nov 12-18</v>
      </c>
      <c r="BD501" s="43">
        <f t="shared" si="219"/>
        <v>2</v>
      </c>
      <c r="BE501" s="193">
        <f t="shared" si="217"/>
        <v>0</v>
      </c>
      <c r="BF501" s="193">
        <f t="shared" si="201"/>
        <v>0</v>
      </c>
      <c r="BG501" s="193">
        <f t="shared" si="202"/>
        <v>0</v>
      </c>
      <c r="BH501" s="307" t="str">
        <f t="shared" si="218"/>
        <v>-</v>
      </c>
      <c r="BI501" s="265" t="str">
        <f t="shared" si="222"/>
        <v>-</v>
      </c>
      <c r="BJ501" s="26" t="str">
        <f t="shared" si="203"/>
        <v>Paradise CreekSockeye</v>
      </c>
      <c r="BK501" s="26">
        <f t="shared" si="204"/>
        <v>2</v>
      </c>
      <c r="BL501" s="33">
        <f t="shared" si="221"/>
        <v>0</v>
      </c>
      <c r="BQ501" s="47" t="str">
        <f t="shared" si="205"/>
        <v>Paradise CreekSockeye</v>
      </c>
      <c r="BR501" s="49">
        <f t="shared" si="206"/>
        <v>0</v>
      </c>
      <c r="BS501" s="49">
        <f t="shared" si="207"/>
        <v>0</v>
      </c>
      <c r="BT501" s="31">
        <v>1</v>
      </c>
      <c r="BU501" s="188" t="str">
        <f t="shared" si="208"/>
        <v>TCES</v>
      </c>
      <c r="BV501" s="188" t="str">
        <f t="shared" si="209"/>
        <v xml:space="preserve"> </v>
      </c>
      <c r="BW501" s="188" t="str">
        <f t="shared" si="210"/>
        <v>Nov 12-18</v>
      </c>
      <c r="BX501" s="188" t="str">
        <f t="shared" si="211"/>
        <v xml:space="preserve"> </v>
      </c>
      <c r="BY501" s="50" t="str">
        <f t="shared" si="223"/>
        <v>Paradise Creek_Sockeye</v>
      </c>
      <c r="BZ501" s="50" t="str">
        <f>IFERROR(VLOOKUP(BY501,'[1]WCVI Esc'!$C$5:$W$555,18,FALSE),"-")</f>
        <v>-</v>
      </c>
      <c r="CA501" s="50" t="str">
        <f t="shared" si="212"/>
        <v>-</v>
      </c>
      <c r="CB501" s="50" t="str">
        <f>IFERROR(VLOOKUP(BY501,'[1]WCVI Esc'!$C$5:$W$555,19,FALSE),"-")</f>
        <v>-</v>
      </c>
      <c r="CC501" s="50" t="str">
        <f t="shared" si="213"/>
        <v>-</v>
      </c>
      <c r="CE501" s="342" t="str">
        <f t="shared" si="196"/>
        <v>Paradise Creek_Sockeye</v>
      </c>
      <c r="CF501" s="341" t="str">
        <f>IFERROR(VLOOKUP(BY501,'RawPL+D'!$O$8:$AB$503,12,FALSE),"-")</f>
        <v>-</v>
      </c>
      <c r="CG501" s="338" t="str">
        <f t="shared" si="214"/>
        <v>-</v>
      </c>
      <c r="CH501" s="341" t="str">
        <f>IFERROR(VLOOKUP(BY501,'RawPL+D'!$O$8:$AB$503,13,FALSE),"-")</f>
        <v>-</v>
      </c>
      <c r="CI501" s="338" t="str">
        <f t="shared" si="215"/>
        <v>-</v>
      </c>
    </row>
    <row r="502" spans="1:87" ht="12.75" hidden="1" customHeight="1" x14ac:dyDescent="0.2">
      <c r="A502" s="28">
        <v>4</v>
      </c>
      <c r="B502" s="28">
        <v>2</v>
      </c>
      <c r="C502" s="11">
        <v>23</v>
      </c>
      <c r="D502" s="13" t="s">
        <v>295</v>
      </c>
      <c r="E502" s="10" t="s">
        <v>683</v>
      </c>
      <c r="F502" s="10" t="s">
        <v>219</v>
      </c>
      <c r="G502" s="10"/>
      <c r="H502" s="10"/>
      <c r="I502" s="10"/>
      <c r="J502" s="10"/>
      <c r="K502" s="575"/>
      <c r="L502" s="152"/>
      <c r="M502" s="164"/>
      <c r="N502" s="62"/>
      <c r="O502" s="62"/>
      <c r="P502" s="177"/>
      <c r="Q502" s="171"/>
      <c r="R502" s="94"/>
      <c r="S502" s="62"/>
      <c r="T502" s="62"/>
      <c r="U502" s="64"/>
      <c r="V502" s="641">
        <v>17</v>
      </c>
      <c r="W502" s="805">
        <v>39</v>
      </c>
      <c r="X502" s="94"/>
      <c r="Y502" s="62"/>
      <c r="Z502" s="391"/>
      <c r="AA502" s="164"/>
      <c r="AB502" s="62"/>
      <c r="AC502" s="62"/>
      <c r="AD502" s="64"/>
      <c r="AE502" s="164"/>
      <c r="AF502" s="62"/>
      <c r="AG502" s="62"/>
      <c r="AH502" s="337"/>
      <c r="AI502" s="337"/>
      <c r="AJ502" s="337"/>
      <c r="AK502" s="337"/>
      <c r="AL502" s="552"/>
      <c r="AM502" s="552"/>
      <c r="AN502" s="45"/>
      <c r="AO502" s="45"/>
      <c r="AP502" s="45"/>
      <c r="AQ502" s="485"/>
      <c r="AR502" s="12"/>
      <c r="AS502" s="485"/>
      <c r="AT502" s="24"/>
      <c r="AU502" s="24"/>
      <c r="AV502" s="24"/>
      <c r="AW502" s="18">
        <v>23</v>
      </c>
      <c r="AX502" s="69" t="s">
        <v>295</v>
      </c>
      <c r="AY502" s="243" t="s">
        <v>684</v>
      </c>
      <c r="AZ502" s="243" t="str">
        <f t="shared" si="199"/>
        <v>Coho</v>
      </c>
      <c r="BA502" s="243" t="s">
        <v>419</v>
      </c>
      <c r="BB502" s="244" t="s">
        <v>289</v>
      </c>
      <c r="BC502" s="43" t="str">
        <f t="shared" si="200"/>
        <v>Nov 12-18</v>
      </c>
      <c r="BD502" s="43">
        <f t="shared" si="219"/>
        <v>2</v>
      </c>
      <c r="BE502" s="193">
        <f t="shared" si="217"/>
        <v>39</v>
      </c>
      <c r="BF502" s="193">
        <f t="shared" si="201"/>
        <v>0</v>
      </c>
      <c r="BG502" s="193">
        <f t="shared" si="202"/>
        <v>0</v>
      </c>
      <c r="BH502" s="307">
        <f t="shared" si="218"/>
        <v>200</v>
      </c>
      <c r="BI502" s="265" t="str">
        <f t="shared" si="222"/>
        <v>-</v>
      </c>
      <c r="BJ502" s="26" t="str">
        <f t="shared" si="203"/>
        <v>Paradise CreekCoho</v>
      </c>
      <c r="BK502" s="26">
        <f t="shared" si="204"/>
        <v>2</v>
      </c>
      <c r="BL502" s="33">
        <f t="shared" si="221"/>
        <v>39</v>
      </c>
      <c r="BQ502" s="47" t="str">
        <f t="shared" si="205"/>
        <v>Paradise CreekCoho</v>
      </c>
      <c r="BR502" s="49">
        <f t="shared" si="206"/>
        <v>0</v>
      </c>
      <c r="BS502" s="49">
        <f t="shared" si="207"/>
        <v>0</v>
      </c>
      <c r="BT502" s="31">
        <v>2</v>
      </c>
      <c r="BU502" s="188" t="str">
        <f t="shared" si="208"/>
        <v>TCES</v>
      </c>
      <c r="BV502" s="188" t="str">
        <f t="shared" si="209"/>
        <v xml:space="preserve"> </v>
      </c>
      <c r="BW502" s="188" t="str">
        <f t="shared" si="210"/>
        <v>Nov 12-18</v>
      </c>
      <c r="BX502" s="188" t="str">
        <f t="shared" si="211"/>
        <v xml:space="preserve"> </v>
      </c>
      <c r="BY502" s="50" t="str">
        <f t="shared" si="223"/>
        <v>Paradise Creek_Coho</v>
      </c>
      <c r="BZ502" s="50" t="str">
        <f>IFERROR(VLOOKUP(BY502,'[1]WCVI Esc'!$C$5:$W$555,18,FALSE),"-")</f>
        <v>-</v>
      </c>
      <c r="CA502" s="50" t="str">
        <f t="shared" si="212"/>
        <v>-</v>
      </c>
      <c r="CB502" s="50" t="str">
        <f>IFERROR(VLOOKUP(BY502,'[1]WCVI Esc'!$C$5:$W$555,19,FALSE),"-")</f>
        <v>-</v>
      </c>
      <c r="CC502" s="50" t="str">
        <f t="shared" si="213"/>
        <v>-</v>
      </c>
      <c r="CE502" s="342" t="str">
        <f t="shared" si="196"/>
        <v>Paradise Creek_Coho</v>
      </c>
      <c r="CF502" s="341">
        <f>IFERROR(VLOOKUP(BY502,'RawPL+D'!$O$8:$AB$503,12,FALSE),"-")</f>
        <v>203</v>
      </c>
      <c r="CG502" s="338">
        <f t="shared" si="214"/>
        <v>200</v>
      </c>
      <c r="CH502" s="341">
        <f>IFERROR(VLOOKUP(BY502,'RawPL+D'!$O$8:$AB$503,13,FALSE),"-")</f>
        <v>203</v>
      </c>
      <c r="CI502" s="338">
        <f t="shared" si="215"/>
        <v>200</v>
      </c>
    </row>
    <row r="503" spans="1:87" ht="12.75" hidden="1" customHeight="1" x14ac:dyDescent="0.2">
      <c r="A503" s="28">
        <v>4</v>
      </c>
      <c r="B503" s="28">
        <v>3</v>
      </c>
      <c r="C503" s="11">
        <v>23</v>
      </c>
      <c r="D503" s="148" t="s">
        <v>295</v>
      </c>
      <c r="E503" s="10" t="s">
        <v>683</v>
      </c>
      <c r="F503" s="10" t="s">
        <v>208</v>
      </c>
      <c r="G503" s="10"/>
      <c r="H503" s="10"/>
      <c r="I503" s="10"/>
      <c r="J503" s="10"/>
      <c r="K503" s="575"/>
      <c r="L503" s="152"/>
      <c r="M503" s="164"/>
      <c r="N503" s="62"/>
      <c r="O503" s="62"/>
      <c r="P503" s="177"/>
      <c r="Q503" s="171"/>
      <c r="R503" s="94"/>
      <c r="S503" s="62"/>
      <c r="T503" s="62"/>
      <c r="U503" s="64"/>
      <c r="V503" s="641">
        <v>0</v>
      </c>
      <c r="W503" s="632">
        <v>0</v>
      </c>
      <c r="X503" s="94"/>
      <c r="Y503" s="62"/>
      <c r="Z503" s="64"/>
      <c r="AA503" s="164"/>
      <c r="AB503" s="62"/>
      <c r="AC503" s="62"/>
      <c r="AD503" s="64"/>
      <c r="AE503" s="164"/>
      <c r="AF503" s="62"/>
      <c r="AG503" s="62"/>
      <c r="AH503" s="337"/>
      <c r="AI503" s="337"/>
      <c r="AJ503" s="337"/>
      <c r="AK503" s="337"/>
      <c r="AL503" s="414"/>
      <c r="AM503" s="414"/>
      <c r="AN503" s="45"/>
      <c r="AO503" s="45"/>
      <c r="AP503" s="45"/>
      <c r="AQ503" s="485"/>
      <c r="AR503" s="100"/>
      <c r="AS503" s="485"/>
      <c r="AT503" s="24"/>
      <c r="AU503" s="24"/>
      <c r="AV503" s="24"/>
      <c r="AW503" s="18">
        <v>23</v>
      </c>
      <c r="AX503" s="69"/>
      <c r="AY503" s="243" t="s">
        <v>684</v>
      </c>
      <c r="AZ503" s="243" t="str">
        <f t="shared" si="199"/>
        <v>Pink</v>
      </c>
      <c r="BA503" s="243" t="s">
        <v>419</v>
      </c>
      <c r="BB503" s="244" t="s">
        <v>289</v>
      </c>
      <c r="BC503" s="43" t="str">
        <f t="shared" si="200"/>
        <v>Nov 12-18</v>
      </c>
      <c r="BD503" s="43">
        <f t="shared" si="219"/>
        <v>2</v>
      </c>
      <c r="BE503" s="193">
        <f t="shared" si="217"/>
        <v>0</v>
      </c>
      <c r="BF503" s="193">
        <f t="shared" si="201"/>
        <v>0</v>
      </c>
      <c r="BG503" s="193">
        <f t="shared" si="202"/>
        <v>0</v>
      </c>
      <c r="BH503" s="307" t="str">
        <f t="shared" si="218"/>
        <v>-</v>
      </c>
      <c r="BI503" s="265" t="str">
        <f t="shared" si="222"/>
        <v>-</v>
      </c>
      <c r="BJ503" s="26" t="str">
        <f t="shared" si="203"/>
        <v>Paradise CreekPink</v>
      </c>
      <c r="BK503" s="26">
        <f t="shared" si="204"/>
        <v>2</v>
      </c>
      <c r="BL503" s="33">
        <f t="shared" si="221"/>
        <v>0</v>
      </c>
      <c r="BQ503" s="47" t="str">
        <f t="shared" si="205"/>
        <v>Paradise CreekPink</v>
      </c>
      <c r="BR503" s="49">
        <f t="shared" si="206"/>
        <v>0</v>
      </c>
      <c r="BS503" s="49">
        <f t="shared" si="207"/>
        <v>0</v>
      </c>
      <c r="BT503" s="31">
        <v>3</v>
      </c>
      <c r="BU503" s="188" t="str">
        <f t="shared" si="208"/>
        <v>TCES</v>
      </c>
      <c r="BV503" s="188" t="str">
        <f t="shared" si="209"/>
        <v xml:space="preserve"> </v>
      </c>
      <c r="BW503" s="188" t="str">
        <f t="shared" si="210"/>
        <v>Nov 12-18</v>
      </c>
      <c r="BX503" s="188" t="str">
        <f t="shared" si="211"/>
        <v xml:space="preserve"> </v>
      </c>
      <c r="BY503" s="50" t="str">
        <f t="shared" si="223"/>
        <v>Paradise Creek_Pink</v>
      </c>
      <c r="BZ503" s="50" t="str">
        <f>IFERROR(VLOOKUP(BY503,'[1]WCVI Esc'!$C$5:$W$555,18,FALSE),"-")</f>
        <v>-</v>
      </c>
      <c r="CA503" s="50" t="str">
        <f t="shared" si="212"/>
        <v>-</v>
      </c>
      <c r="CB503" s="50" t="str">
        <f>IFERROR(VLOOKUP(BY503,'[1]WCVI Esc'!$C$5:$W$555,19,FALSE),"-")</f>
        <v>-</v>
      </c>
      <c r="CC503" s="50" t="str">
        <f t="shared" si="213"/>
        <v>-</v>
      </c>
      <c r="CE503" s="342" t="str">
        <f t="shared" si="196"/>
        <v>Paradise Creek_Pink</v>
      </c>
      <c r="CF503" s="341" t="str">
        <f>IFERROR(VLOOKUP(BY503,'RawPL+D'!$O$8:$AB$503,12,FALSE),"-")</f>
        <v>-</v>
      </c>
      <c r="CG503" s="338" t="str">
        <f t="shared" si="214"/>
        <v>-</v>
      </c>
      <c r="CH503" s="341" t="str">
        <f>IFERROR(VLOOKUP(BY503,'RawPL+D'!$O$8:$AB$503,13,FALSE),"-")</f>
        <v>-</v>
      </c>
      <c r="CI503" s="338" t="str">
        <f t="shared" si="215"/>
        <v>-</v>
      </c>
    </row>
    <row r="504" spans="1:87" ht="12.75" hidden="1" customHeight="1" x14ac:dyDescent="0.2">
      <c r="A504" s="28">
        <v>4</v>
      </c>
      <c r="B504" s="28">
        <v>4</v>
      </c>
      <c r="C504" s="11">
        <v>23</v>
      </c>
      <c r="D504" s="148" t="s">
        <v>295</v>
      </c>
      <c r="E504" s="10" t="s">
        <v>683</v>
      </c>
      <c r="F504" s="10" t="s">
        <v>209</v>
      </c>
      <c r="G504" s="10"/>
      <c r="H504" s="10"/>
      <c r="I504" s="10"/>
      <c r="J504" s="10"/>
      <c r="K504" s="575"/>
      <c r="L504" s="152"/>
      <c r="M504" s="164"/>
      <c r="N504" s="62"/>
      <c r="O504" s="62"/>
      <c r="P504" s="177"/>
      <c r="Q504" s="171"/>
      <c r="R504" s="94"/>
      <c r="S504" s="62"/>
      <c r="T504" s="62"/>
      <c r="U504" s="64"/>
      <c r="V504" s="641">
        <v>0</v>
      </c>
      <c r="W504" s="632">
        <v>0</v>
      </c>
      <c r="X504" s="94"/>
      <c r="Y504" s="62"/>
      <c r="Z504" s="64"/>
      <c r="AA504" s="164"/>
      <c r="AB504" s="62"/>
      <c r="AC504" s="62"/>
      <c r="AD504" s="64"/>
      <c r="AE504" s="164"/>
      <c r="AF504" s="62"/>
      <c r="AG504" s="62"/>
      <c r="AH504" s="337"/>
      <c r="AI504" s="337"/>
      <c r="AJ504" s="337"/>
      <c r="AK504" s="337"/>
      <c r="AL504" s="414"/>
      <c r="AM504" s="414"/>
      <c r="AN504" s="45"/>
      <c r="AO504" s="45"/>
      <c r="AP504" s="45"/>
      <c r="AQ504" s="485"/>
      <c r="AR504" s="100"/>
      <c r="AS504" s="485"/>
      <c r="AT504" s="24"/>
      <c r="AU504" s="24"/>
      <c r="AV504" s="24"/>
      <c r="AW504" s="18">
        <v>23</v>
      </c>
      <c r="AX504" s="69"/>
      <c r="AY504" s="243" t="s">
        <v>684</v>
      </c>
      <c r="AZ504" s="243" t="str">
        <f t="shared" si="199"/>
        <v>Chum</v>
      </c>
      <c r="BA504" s="243" t="s">
        <v>419</v>
      </c>
      <c r="BB504" s="244" t="s">
        <v>289</v>
      </c>
      <c r="BC504" s="43" t="str">
        <f t="shared" si="200"/>
        <v>Nov 12-18</v>
      </c>
      <c r="BD504" s="43">
        <f t="shared" si="219"/>
        <v>2</v>
      </c>
      <c r="BE504" s="193">
        <f t="shared" si="217"/>
        <v>0</v>
      </c>
      <c r="BF504" s="193">
        <f t="shared" si="201"/>
        <v>0</v>
      </c>
      <c r="BG504" s="193">
        <f t="shared" si="202"/>
        <v>0</v>
      </c>
      <c r="BH504" s="307" t="str">
        <f t="shared" si="218"/>
        <v>-</v>
      </c>
      <c r="BI504" s="265" t="str">
        <f t="shared" si="222"/>
        <v>-</v>
      </c>
      <c r="BJ504" s="26" t="str">
        <f t="shared" si="203"/>
        <v>Paradise CreekChum</v>
      </c>
      <c r="BK504" s="26">
        <f t="shared" si="204"/>
        <v>2</v>
      </c>
      <c r="BL504" s="33">
        <f t="shared" si="221"/>
        <v>0</v>
      </c>
      <c r="BQ504" s="47" t="str">
        <f t="shared" si="205"/>
        <v>Paradise CreekChum</v>
      </c>
      <c r="BR504" s="49">
        <f t="shared" si="206"/>
        <v>0</v>
      </c>
      <c r="BS504" s="49">
        <f t="shared" si="207"/>
        <v>0</v>
      </c>
      <c r="BT504" s="31">
        <v>4</v>
      </c>
      <c r="BU504" s="188" t="str">
        <f t="shared" si="208"/>
        <v>TCES</v>
      </c>
      <c r="BV504" s="188" t="str">
        <f t="shared" si="209"/>
        <v xml:space="preserve"> </v>
      </c>
      <c r="BW504" s="188" t="str">
        <f t="shared" si="210"/>
        <v>Nov 12-18</v>
      </c>
      <c r="BX504" s="188" t="str">
        <f t="shared" si="211"/>
        <v xml:space="preserve"> </v>
      </c>
      <c r="BY504" s="50" t="str">
        <f t="shared" si="223"/>
        <v>Paradise Creek_Chum</v>
      </c>
      <c r="BZ504" s="50" t="str">
        <f>IFERROR(VLOOKUP(BY504,'[1]WCVI Esc'!$C$5:$W$555,18,FALSE),"-")</f>
        <v>-</v>
      </c>
      <c r="CA504" s="50" t="str">
        <f t="shared" si="212"/>
        <v>-</v>
      </c>
      <c r="CB504" s="50" t="str">
        <f>IFERROR(VLOOKUP(BY504,'[1]WCVI Esc'!$C$5:$W$555,19,FALSE),"-")</f>
        <v>-</v>
      </c>
      <c r="CC504" s="50" t="str">
        <f t="shared" si="213"/>
        <v>-</v>
      </c>
      <c r="CE504" s="342" t="str">
        <f t="shared" ref="CE504:CE567" si="224">CONCATENATE(E504,"_",F504)</f>
        <v>Paradise Creek_Chum</v>
      </c>
      <c r="CF504" s="341" t="str">
        <f>IFERROR(VLOOKUP(BY504,'RawPL+D'!$O$8:$AB$503,12,FALSE),"-")</f>
        <v>-</v>
      </c>
      <c r="CG504" s="338" t="str">
        <f t="shared" si="214"/>
        <v>-</v>
      </c>
      <c r="CH504" s="341" t="str">
        <f>IFERROR(VLOOKUP(BY504,'RawPL+D'!$O$8:$AB$503,13,FALSE),"-")</f>
        <v>-</v>
      </c>
      <c r="CI504" s="338" t="str">
        <f t="shared" si="215"/>
        <v>-</v>
      </c>
    </row>
    <row r="505" spans="1:87" ht="12.75" hidden="1" customHeight="1" x14ac:dyDescent="0.2">
      <c r="A505" s="28">
        <v>4</v>
      </c>
      <c r="B505" s="28">
        <v>5</v>
      </c>
      <c r="C505" s="11">
        <v>23</v>
      </c>
      <c r="D505" s="148" t="s">
        <v>295</v>
      </c>
      <c r="E505" s="10" t="s">
        <v>683</v>
      </c>
      <c r="F505" s="10" t="s">
        <v>210</v>
      </c>
      <c r="G505" s="10"/>
      <c r="H505" s="10"/>
      <c r="I505" s="10"/>
      <c r="J505" s="10"/>
      <c r="K505" s="575"/>
      <c r="L505" s="152"/>
      <c r="M505" s="164"/>
      <c r="N505" s="62"/>
      <c r="O505" s="62"/>
      <c r="P505" s="177"/>
      <c r="Q505" s="171"/>
      <c r="R505" s="94"/>
      <c r="S505" s="62"/>
      <c r="T505" s="62"/>
      <c r="U505" s="64"/>
      <c r="V505" s="641">
        <v>0</v>
      </c>
      <c r="W505" s="632">
        <v>0</v>
      </c>
      <c r="X505" s="94"/>
      <c r="Y505" s="62"/>
      <c r="Z505" s="64"/>
      <c r="AA505" s="164"/>
      <c r="AB505" s="62"/>
      <c r="AC505" s="62"/>
      <c r="AD505" s="64"/>
      <c r="AE505" s="164"/>
      <c r="AF505" s="62"/>
      <c r="AG505" s="62"/>
      <c r="AH505" s="337"/>
      <c r="AI505" s="337"/>
      <c r="AJ505" s="337"/>
      <c r="AK505" s="337"/>
      <c r="AL505" s="414"/>
      <c r="AM505" s="414"/>
      <c r="AN505" s="45"/>
      <c r="AO505" s="45"/>
      <c r="AP505" s="45"/>
      <c r="AQ505" s="485"/>
      <c r="AR505" s="100"/>
      <c r="AS505" s="485"/>
      <c r="AT505" s="24"/>
      <c r="AU505" s="24"/>
      <c r="AV505" s="24"/>
      <c r="AW505" s="18">
        <v>23</v>
      </c>
      <c r="AX505" s="69"/>
      <c r="AY505" s="243" t="s">
        <v>684</v>
      </c>
      <c r="AZ505" s="243" t="str">
        <f t="shared" si="199"/>
        <v>Chinook</v>
      </c>
      <c r="BA505" s="243" t="s">
        <v>419</v>
      </c>
      <c r="BB505" s="244" t="s">
        <v>289</v>
      </c>
      <c r="BC505" s="43" t="str">
        <f t="shared" si="200"/>
        <v>Nov 12-18</v>
      </c>
      <c r="BD505" s="43">
        <f t="shared" si="219"/>
        <v>2</v>
      </c>
      <c r="BE505" s="193">
        <f t="shared" si="217"/>
        <v>0</v>
      </c>
      <c r="BF505" s="193">
        <f t="shared" si="201"/>
        <v>0</v>
      </c>
      <c r="BG505" s="193">
        <f t="shared" si="202"/>
        <v>0</v>
      </c>
      <c r="BH505" s="307" t="str">
        <f t="shared" si="218"/>
        <v>-</v>
      </c>
      <c r="BI505" s="265" t="str">
        <f t="shared" si="222"/>
        <v>-</v>
      </c>
      <c r="BJ505" s="26" t="str">
        <f t="shared" si="203"/>
        <v>Paradise CreekChinook</v>
      </c>
      <c r="BK505" s="26">
        <f t="shared" si="204"/>
        <v>2</v>
      </c>
      <c r="BL505" s="33">
        <f t="shared" si="221"/>
        <v>0</v>
      </c>
      <c r="BQ505" s="47" t="str">
        <f t="shared" si="205"/>
        <v>Paradise CreekChinook</v>
      </c>
      <c r="BR505" s="49">
        <f t="shared" si="206"/>
        <v>0</v>
      </c>
      <c r="BS505" s="49">
        <f t="shared" si="207"/>
        <v>0</v>
      </c>
      <c r="BT505" s="31">
        <v>5</v>
      </c>
      <c r="BU505" s="188" t="str">
        <f t="shared" si="208"/>
        <v>TCES</v>
      </c>
      <c r="BV505" s="188" t="str">
        <f t="shared" si="209"/>
        <v xml:space="preserve"> </v>
      </c>
      <c r="BW505" s="188" t="str">
        <f t="shared" si="210"/>
        <v>Nov 12-18</v>
      </c>
      <c r="BX505" s="188" t="str">
        <f t="shared" si="211"/>
        <v xml:space="preserve"> </v>
      </c>
      <c r="BY505" s="50" t="str">
        <f t="shared" si="223"/>
        <v>Paradise Creek_Chinook</v>
      </c>
      <c r="BZ505" s="50" t="str">
        <f>IFERROR(VLOOKUP(BY505,'[1]WCVI Esc'!$C$5:$W$555,18,FALSE),"-")</f>
        <v>-</v>
      </c>
      <c r="CA505" s="50" t="str">
        <f t="shared" si="212"/>
        <v>-</v>
      </c>
      <c r="CB505" s="50" t="str">
        <f>IFERROR(VLOOKUP(BY505,'[1]WCVI Esc'!$C$5:$W$555,19,FALSE),"-")</f>
        <v>-</v>
      </c>
      <c r="CC505" s="50" t="str">
        <f t="shared" si="213"/>
        <v>-</v>
      </c>
      <c r="CE505" s="342" t="str">
        <f t="shared" si="224"/>
        <v>Paradise Creek_Chinook</v>
      </c>
      <c r="CF505" s="341" t="str">
        <f>IFERROR(VLOOKUP(BY505,'RawPL+D'!$O$8:$AB$503,12,FALSE),"-")</f>
        <v>-</v>
      </c>
      <c r="CG505" s="338" t="str">
        <f t="shared" si="214"/>
        <v>-</v>
      </c>
      <c r="CH505" s="341" t="str">
        <f>IFERROR(VLOOKUP(BY505,'RawPL+D'!$O$8:$AB$503,13,FALSE),"-")</f>
        <v>-</v>
      </c>
      <c r="CI505" s="338" t="str">
        <f t="shared" si="215"/>
        <v>-</v>
      </c>
    </row>
    <row r="506" spans="1:87" ht="12.75" hidden="1" customHeight="1" x14ac:dyDescent="0.2">
      <c r="A506" s="28">
        <v>4</v>
      </c>
      <c r="B506" s="28">
        <v>6</v>
      </c>
      <c r="C506" s="11">
        <v>23</v>
      </c>
      <c r="D506" s="148" t="s">
        <v>295</v>
      </c>
      <c r="E506" s="10" t="s">
        <v>683</v>
      </c>
      <c r="F506" s="10" t="s">
        <v>211</v>
      </c>
      <c r="G506" s="10"/>
      <c r="H506" s="10"/>
      <c r="I506" s="10"/>
      <c r="J506" s="10"/>
      <c r="K506" s="575"/>
      <c r="L506" s="152"/>
      <c r="M506" s="164"/>
      <c r="N506" s="62"/>
      <c r="O506" s="62"/>
      <c r="P506" s="177"/>
      <c r="Q506" s="171"/>
      <c r="R506" s="94"/>
      <c r="S506" s="62"/>
      <c r="T506" s="62"/>
      <c r="U506" s="64"/>
      <c r="V506" s="641">
        <v>0</v>
      </c>
      <c r="W506" s="632">
        <v>0</v>
      </c>
      <c r="X506" s="94"/>
      <c r="Y506" s="62"/>
      <c r="Z506" s="64"/>
      <c r="AA506" s="164"/>
      <c r="AB506" s="62"/>
      <c r="AC506" s="62"/>
      <c r="AD506" s="64"/>
      <c r="AE506" s="164"/>
      <c r="AF506" s="62"/>
      <c r="AG506" s="62"/>
      <c r="AH506" s="337"/>
      <c r="AI506" s="337"/>
      <c r="AJ506" s="337"/>
      <c r="AK506" s="337"/>
      <c r="AL506" s="414"/>
      <c r="AM506" s="414"/>
      <c r="AN506" s="45"/>
      <c r="AO506" s="45"/>
      <c r="AP506" s="45"/>
      <c r="AQ506" s="485"/>
      <c r="AR506" s="100"/>
      <c r="AS506" s="485"/>
      <c r="AT506" s="24"/>
      <c r="AU506" s="24"/>
      <c r="AV506" s="24"/>
      <c r="AW506" s="18">
        <v>23</v>
      </c>
      <c r="AX506" s="69"/>
      <c r="AY506" s="243" t="s">
        <v>684</v>
      </c>
      <c r="AZ506" s="243" t="str">
        <f t="shared" si="199"/>
        <v>Steelhead</v>
      </c>
      <c r="BA506" s="243" t="s">
        <v>419</v>
      </c>
      <c r="BB506" s="244" t="s">
        <v>289</v>
      </c>
      <c r="BC506" s="43" t="str">
        <f t="shared" si="200"/>
        <v>Nov 12-18</v>
      </c>
      <c r="BD506" s="43">
        <f t="shared" si="219"/>
        <v>2</v>
      </c>
      <c r="BE506" s="193">
        <f t="shared" si="217"/>
        <v>0</v>
      </c>
      <c r="BF506" s="193">
        <f t="shared" si="201"/>
        <v>0</v>
      </c>
      <c r="BG506" s="193">
        <f t="shared" si="202"/>
        <v>0</v>
      </c>
      <c r="BH506" s="307" t="str">
        <f t="shared" si="218"/>
        <v>-</v>
      </c>
      <c r="BI506" s="265" t="str">
        <f t="shared" si="222"/>
        <v>-</v>
      </c>
      <c r="BJ506" s="26" t="str">
        <f t="shared" si="203"/>
        <v>Paradise CreekSteelhead</v>
      </c>
      <c r="BK506" s="26">
        <f t="shared" si="204"/>
        <v>2</v>
      </c>
      <c r="BL506" s="33">
        <f t="shared" si="221"/>
        <v>0</v>
      </c>
      <c r="BQ506" s="47" t="str">
        <f t="shared" si="205"/>
        <v>Paradise CreekSteelhead</v>
      </c>
      <c r="BR506" s="49">
        <f t="shared" si="206"/>
        <v>0</v>
      </c>
      <c r="BS506" s="49">
        <f t="shared" si="207"/>
        <v>0</v>
      </c>
      <c r="BT506" s="31">
        <v>6</v>
      </c>
      <c r="BU506" s="188" t="str">
        <f t="shared" si="208"/>
        <v>TCES</v>
      </c>
      <c r="BV506" s="188" t="str">
        <f t="shared" si="209"/>
        <v xml:space="preserve"> </v>
      </c>
      <c r="BW506" s="188" t="str">
        <f t="shared" si="210"/>
        <v>Nov 12-18</v>
      </c>
      <c r="BX506" s="188" t="str">
        <f t="shared" si="211"/>
        <v xml:space="preserve"> </v>
      </c>
      <c r="BY506" s="50" t="str">
        <f t="shared" si="223"/>
        <v>Paradise Creek_Steelhead</v>
      </c>
      <c r="BZ506" s="50" t="str">
        <f>IFERROR(VLOOKUP(BY506,'[1]WCVI Esc'!$C$5:$W$555,18,FALSE),"-")</f>
        <v>-</v>
      </c>
      <c r="CA506" s="50" t="str">
        <f t="shared" si="212"/>
        <v>-</v>
      </c>
      <c r="CB506" s="50" t="str">
        <f>IFERROR(VLOOKUP(BY506,'[1]WCVI Esc'!$C$5:$W$555,19,FALSE),"-")</f>
        <v>-</v>
      </c>
      <c r="CC506" s="50" t="str">
        <f t="shared" si="213"/>
        <v>-</v>
      </c>
      <c r="CE506" s="342" t="str">
        <f t="shared" si="224"/>
        <v>Paradise Creek_Steelhead</v>
      </c>
      <c r="CF506" s="341" t="str">
        <f>IFERROR(VLOOKUP(BY506,'RawPL+D'!$O$8:$AB$503,12,FALSE),"-")</f>
        <v>-</v>
      </c>
      <c r="CG506" s="338" t="str">
        <f t="shared" si="214"/>
        <v>-</v>
      </c>
      <c r="CH506" s="341" t="str">
        <f>IFERROR(VLOOKUP(BY506,'RawPL+D'!$O$8:$AB$503,13,FALSE),"-")</f>
        <v>-</v>
      </c>
      <c r="CI506" s="338" t="str">
        <f t="shared" si="215"/>
        <v>-</v>
      </c>
    </row>
    <row r="507" spans="1:87" ht="12.75" hidden="1" customHeight="1" x14ac:dyDescent="0.2">
      <c r="A507" s="28">
        <v>4</v>
      </c>
      <c r="B507" s="28">
        <v>1</v>
      </c>
      <c r="C507" s="11">
        <v>23</v>
      </c>
      <c r="D507" s="148" t="s">
        <v>295</v>
      </c>
      <c r="E507" s="10" t="s">
        <v>184</v>
      </c>
      <c r="F507" s="10" t="s">
        <v>207</v>
      </c>
      <c r="G507" s="10"/>
      <c r="H507" s="10"/>
      <c r="I507" s="10"/>
      <c r="J507" s="10"/>
      <c r="K507" s="575"/>
      <c r="L507" s="152"/>
      <c r="M507" s="164"/>
      <c r="N507" s="62"/>
      <c r="O507" s="62"/>
      <c r="P507" s="177"/>
      <c r="Q507" s="171"/>
      <c r="R507" s="62"/>
      <c r="S507" s="62"/>
      <c r="T507" s="62"/>
      <c r="U507" s="64"/>
      <c r="V507" s="164"/>
      <c r="W507" s="62"/>
      <c r="X507" s="62"/>
      <c r="Y507" s="62"/>
      <c r="Z507" s="64"/>
      <c r="AA507" s="164"/>
      <c r="AB507" s="62"/>
      <c r="AC507" s="62"/>
      <c r="AD507" s="64"/>
      <c r="AE507" s="164"/>
      <c r="AF507" s="62"/>
      <c r="AG507" s="62"/>
      <c r="AH507" s="337"/>
      <c r="AI507" s="337"/>
      <c r="AJ507" s="337"/>
      <c r="AK507" s="337"/>
      <c r="AL507" s="414"/>
      <c r="AM507" s="414"/>
      <c r="AN507" s="45"/>
      <c r="AO507" s="45"/>
      <c r="AP507" s="45"/>
      <c r="AQ507" s="485"/>
      <c r="AR507" s="100"/>
      <c r="AS507" s="485"/>
      <c r="AT507" s="24"/>
      <c r="AU507" s="24"/>
      <c r="AV507" s="24"/>
      <c r="AW507" s="18">
        <v>23</v>
      </c>
      <c r="AX507" s="69" t="s">
        <v>295</v>
      </c>
      <c r="AY507" s="243" t="s">
        <v>184</v>
      </c>
      <c r="AZ507" s="243" t="str">
        <f t="shared" si="199"/>
        <v>Sockeye</v>
      </c>
      <c r="BA507" s="243" t="s">
        <v>419</v>
      </c>
      <c r="BB507" s="246"/>
      <c r="BC507" s="43" t="str">
        <f t="shared" si="200"/>
        <v>-</v>
      </c>
      <c r="BD507" s="43">
        <f t="shared" si="219"/>
        <v>0</v>
      </c>
      <c r="BE507" s="193">
        <f t="shared" si="217"/>
        <v>0</v>
      </c>
      <c r="BF507" s="193">
        <f t="shared" si="201"/>
        <v>0</v>
      </c>
      <c r="BG507" s="193">
        <f t="shared" si="202"/>
        <v>0</v>
      </c>
      <c r="BH507" s="307" t="str">
        <f t="shared" si="218"/>
        <v>-</v>
      </c>
      <c r="BI507" s="265" t="str">
        <f t="shared" si="222"/>
        <v>-</v>
      </c>
      <c r="BJ507" s="26" t="str">
        <f t="shared" si="203"/>
        <v>PIPESTEAM CREEKSockeye</v>
      </c>
      <c r="BK507" s="26">
        <f t="shared" si="204"/>
        <v>0</v>
      </c>
      <c r="BL507" s="33">
        <f t="shared" si="221"/>
        <v>0</v>
      </c>
      <c r="BQ507" s="47" t="str">
        <f t="shared" si="205"/>
        <v>PIPESTEAM CREEKSockeye</v>
      </c>
      <c r="BR507" s="49">
        <f t="shared" si="206"/>
        <v>0</v>
      </c>
      <c r="BS507" s="49">
        <f t="shared" si="207"/>
        <v>0</v>
      </c>
      <c r="BT507" s="31">
        <v>0</v>
      </c>
      <c r="BU507" s="188">
        <f t="shared" si="208"/>
        <v>0</v>
      </c>
      <c r="BV507" s="188" t="str">
        <f t="shared" si="209"/>
        <v xml:space="preserve"> </v>
      </c>
      <c r="BW507" s="188" t="str">
        <f t="shared" si="210"/>
        <v xml:space="preserve"> </v>
      </c>
      <c r="BX507" s="188" t="str">
        <f t="shared" si="211"/>
        <v xml:space="preserve"> </v>
      </c>
      <c r="BY507" s="50" t="str">
        <f t="shared" si="223"/>
        <v>PIPESTEAM CREEK_Sockeye</v>
      </c>
      <c r="BZ507" s="50" t="str">
        <f>IFERROR(VLOOKUP(BY507,'[1]WCVI Esc'!$C$5:$W$555,18,FALSE),"-")</f>
        <v>-</v>
      </c>
      <c r="CA507" s="50" t="str">
        <f t="shared" si="212"/>
        <v>-</v>
      </c>
      <c r="CB507" s="50" t="str">
        <f>IFERROR(VLOOKUP(BY507,'[1]WCVI Esc'!$C$5:$W$555,19,FALSE),"-")</f>
        <v>-</v>
      </c>
      <c r="CC507" s="50" t="str">
        <f t="shared" si="213"/>
        <v>-</v>
      </c>
      <c r="CE507" s="342" t="str">
        <f t="shared" si="224"/>
        <v>PIPESTEAM CREEK_Sockeye</v>
      </c>
      <c r="CF507" s="341" t="str">
        <f>IFERROR(VLOOKUP(BY507,'RawPL+D'!$O$8:$AB$503,12,FALSE),"-")</f>
        <v>-</v>
      </c>
      <c r="CG507" s="338" t="str">
        <f t="shared" si="214"/>
        <v>-</v>
      </c>
      <c r="CH507" s="341" t="str">
        <f>IFERROR(VLOOKUP(BY507,'RawPL+D'!$O$8:$AB$503,13,FALSE),"-")</f>
        <v>-</v>
      </c>
      <c r="CI507" s="338" t="str">
        <f t="shared" si="215"/>
        <v>-</v>
      </c>
    </row>
    <row r="508" spans="1:87" ht="12.75" hidden="1" customHeight="1" x14ac:dyDescent="0.2">
      <c r="A508" s="28">
        <v>4</v>
      </c>
      <c r="B508" s="28">
        <v>2</v>
      </c>
      <c r="C508" s="11">
        <v>23</v>
      </c>
      <c r="D508" s="148" t="s">
        <v>295</v>
      </c>
      <c r="E508" s="10" t="s">
        <v>184</v>
      </c>
      <c r="F508" s="10" t="s">
        <v>219</v>
      </c>
      <c r="G508" s="10"/>
      <c r="H508" s="10"/>
      <c r="I508" s="10"/>
      <c r="J508" s="10"/>
      <c r="K508" s="575"/>
      <c r="L508" s="152"/>
      <c r="M508" s="164"/>
      <c r="N508" s="62"/>
      <c r="O508" s="62"/>
      <c r="P508" s="177"/>
      <c r="Q508" s="171"/>
      <c r="R508" s="62"/>
      <c r="S508" s="62"/>
      <c r="T508" s="62"/>
      <c r="U508" s="64"/>
      <c r="V508" s="164"/>
      <c r="W508" s="62"/>
      <c r="X508" s="62"/>
      <c r="Y508" s="62"/>
      <c r="Z508" s="64"/>
      <c r="AA508" s="164"/>
      <c r="AB508" s="62"/>
      <c r="AC508" s="62"/>
      <c r="AD508" s="64"/>
      <c r="AE508" s="164"/>
      <c r="AF508" s="62"/>
      <c r="AG508" s="62"/>
      <c r="AH508" s="337"/>
      <c r="AI508" s="337"/>
      <c r="AJ508" s="337"/>
      <c r="AK508" s="337"/>
      <c r="AL508" s="414"/>
      <c r="AM508" s="414"/>
      <c r="AN508" s="45"/>
      <c r="AO508" s="45"/>
      <c r="AP508" s="45"/>
      <c r="AQ508" s="485"/>
      <c r="AR508" s="100"/>
      <c r="AS508" s="485"/>
      <c r="AT508" s="24"/>
      <c r="AU508" s="24"/>
      <c r="AV508" s="24"/>
      <c r="AW508" s="18">
        <v>23</v>
      </c>
      <c r="AX508" s="69" t="s">
        <v>295</v>
      </c>
      <c r="AY508" s="243" t="s">
        <v>184</v>
      </c>
      <c r="AZ508" s="243" t="str">
        <f t="shared" si="199"/>
        <v>Coho</v>
      </c>
      <c r="BA508" s="243" t="s">
        <v>419</v>
      </c>
      <c r="BB508" s="246"/>
      <c r="BC508" s="43" t="str">
        <f t="shared" si="200"/>
        <v>-</v>
      </c>
      <c r="BD508" s="43">
        <f t="shared" si="219"/>
        <v>0</v>
      </c>
      <c r="BE508" s="193">
        <f t="shared" si="217"/>
        <v>0</v>
      </c>
      <c r="BF508" s="193">
        <f t="shared" si="201"/>
        <v>0</v>
      </c>
      <c r="BG508" s="193">
        <f t="shared" si="202"/>
        <v>0</v>
      </c>
      <c r="BH508" s="307" t="str">
        <f t="shared" si="218"/>
        <v>-</v>
      </c>
      <c r="BI508" s="265" t="str">
        <f t="shared" si="222"/>
        <v>-</v>
      </c>
      <c r="BJ508" s="26" t="str">
        <f t="shared" si="203"/>
        <v>PIPESTEAM CREEKCoho</v>
      </c>
      <c r="BK508" s="26">
        <f t="shared" si="204"/>
        <v>0</v>
      </c>
      <c r="BL508" s="33">
        <f t="shared" si="221"/>
        <v>0</v>
      </c>
      <c r="BQ508" s="47" t="str">
        <f t="shared" si="205"/>
        <v>PIPESTEAM CREEKCoho</v>
      </c>
      <c r="BR508" s="49">
        <f t="shared" si="206"/>
        <v>0</v>
      </c>
      <c r="BS508" s="49">
        <f t="shared" si="207"/>
        <v>0</v>
      </c>
      <c r="BT508" s="31">
        <v>1998</v>
      </c>
      <c r="BU508" s="188">
        <f t="shared" si="208"/>
        <v>0</v>
      </c>
      <c r="BV508" s="188" t="str">
        <f t="shared" si="209"/>
        <v xml:space="preserve"> </v>
      </c>
      <c r="BW508" s="188" t="str">
        <f t="shared" si="210"/>
        <v xml:space="preserve"> </v>
      </c>
      <c r="BX508" s="188" t="str">
        <f t="shared" si="211"/>
        <v xml:space="preserve"> </v>
      </c>
      <c r="BY508" s="50" t="str">
        <f t="shared" si="223"/>
        <v>PIPESTEAM CREEK_Coho</v>
      </c>
      <c r="BZ508" s="50" t="str">
        <f>IFERROR(VLOOKUP(BY508,'[1]WCVI Esc'!$C$5:$W$555,18,FALSE),"-")</f>
        <v>-</v>
      </c>
      <c r="CA508" s="50" t="str">
        <f t="shared" si="212"/>
        <v>-</v>
      </c>
      <c r="CB508" s="50" t="str">
        <f>IFERROR(VLOOKUP(BY508,'[1]WCVI Esc'!$C$5:$W$555,19,FALSE),"-")</f>
        <v>-</v>
      </c>
      <c r="CC508" s="50" t="str">
        <f t="shared" si="213"/>
        <v>-</v>
      </c>
      <c r="CE508" s="342" t="str">
        <f t="shared" si="224"/>
        <v>PIPESTEAM CREEK_Coho</v>
      </c>
      <c r="CF508" s="341" t="str">
        <f>IFERROR(VLOOKUP(BY508,'RawPL+D'!$O$8:$AB$503,12,FALSE),"-")</f>
        <v>-</v>
      </c>
      <c r="CG508" s="338" t="str">
        <f t="shared" si="214"/>
        <v>-</v>
      </c>
      <c r="CH508" s="341" t="str">
        <f>IFERROR(VLOOKUP(BY508,'RawPL+D'!$O$8:$AB$503,13,FALSE),"-")</f>
        <v>-</v>
      </c>
      <c r="CI508" s="338" t="str">
        <f t="shared" si="215"/>
        <v>-</v>
      </c>
    </row>
    <row r="509" spans="1:87" ht="12.75" hidden="1" customHeight="1" x14ac:dyDescent="0.2">
      <c r="A509" s="28">
        <v>4</v>
      </c>
      <c r="B509" s="28">
        <v>3</v>
      </c>
      <c r="C509" s="11">
        <v>23</v>
      </c>
      <c r="D509" s="148" t="s">
        <v>295</v>
      </c>
      <c r="E509" s="10" t="s">
        <v>184</v>
      </c>
      <c r="F509" s="10" t="s">
        <v>208</v>
      </c>
      <c r="G509" s="10"/>
      <c r="H509" s="10"/>
      <c r="I509" s="10"/>
      <c r="J509" s="10"/>
      <c r="K509" s="575"/>
      <c r="L509" s="152"/>
      <c r="M509" s="164"/>
      <c r="N509" s="62"/>
      <c r="O509" s="62"/>
      <c r="P509" s="177"/>
      <c r="Q509" s="171"/>
      <c r="R509" s="62"/>
      <c r="S509" s="62"/>
      <c r="T509" s="62"/>
      <c r="U509" s="64"/>
      <c r="V509" s="164"/>
      <c r="W509" s="62"/>
      <c r="X509" s="62"/>
      <c r="Y509" s="62"/>
      <c r="Z509" s="64"/>
      <c r="AA509" s="164"/>
      <c r="AB509" s="62"/>
      <c r="AC509" s="62"/>
      <c r="AD509" s="64"/>
      <c r="AE509" s="164"/>
      <c r="AF509" s="62"/>
      <c r="AG509" s="62"/>
      <c r="AH509" s="337"/>
      <c r="AI509" s="337"/>
      <c r="AJ509" s="337"/>
      <c r="AK509" s="337"/>
      <c r="AL509" s="414"/>
      <c r="AM509" s="414"/>
      <c r="AN509" s="45"/>
      <c r="AO509" s="45"/>
      <c r="AP509" s="45"/>
      <c r="AQ509" s="485"/>
      <c r="AR509" s="100"/>
      <c r="AS509" s="485"/>
      <c r="AT509" s="24"/>
      <c r="AU509" s="24"/>
      <c r="AV509" s="24"/>
      <c r="AW509" s="18">
        <v>23</v>
      </c>
      <c r="AX509" s="69" t="s">
        <v>295</v>
      </c>
      <c r="AY509" s="243" t="s">
        <v>184</v>
      </c>
      <c r="AZ509" s="243" t="str">
        <f t="shared" si="199"/>
        <v>Pink</v>
      </c>
      <c r="BA509" s="243" t="s">
        <v>419</v>
      </c>
      <c r="BB509" s="246"/>
      <c r="BC509" s="43" t="str">
        <f t="shared" si="200"/>
        <v>-</v>
      </c>
      <c r="BD509" s="43">
        <f t="shared" si="219"/>
        <v>0</v>
      </c>
      <c r="BE509" s="193">
        <f t="shared" si="217"/>
        <v>0</v>
      </c>
      <c r="BF509" s="193">
        <f t="shared" si="201"/>
        <v>0</v>
      </c>
      <c r="BG509" s="193">
        <f t="shared" si="202"/>
        <v>0</v>
      </c>
      <c r="BH509" s="307" t="str">
        <f t="shared" si="218"/>
        <v>-</v>
      </c>
      <c r="BI509" s="265" t="str">
        <f t="shared" si="222"/>
        <v>-</v>
      </c>
      <c r="BJ509" s="26" t="str">
        <f t="shared" si="203"/>
        <v>PIPESTEAM CREEKPink</v>
      </c>
      <c r="BK509" s="26">
        <f t="shared" si="204"/>
        <v>0</v>
      </c>
      <c r="BL509" s="33">
        <f t="shared" si="221"/>
        <v>0</v>
      </c>
      <c r="BQ509" s="47" t="str">
        <f t="shared" si="205"/>
        <v>PIPESTEAM CREEKPink</v>
      </c>
      <c r="BR509" s="49">
        <f t="shared" si="206"/>
        <v>0</v>
      </c>
      <c r="BS509" s="49">
        <f t="shared" si="207"/>
        <v>0</v>
      </c>
      <c r="BT509" s="31">
        <v>0</v>
      </c>
      <c r="BU509" s="188">
        <f t="shared" si="208"/>
        <v>0</v>
      </c>
      <c r="BV509" s="188" t="str">
        <f t="shared" si="209"/>
        <v xml:space="preserve"> </v>
      </c>
      <c r="BW509" s="188" t="str">
        <f t="shared" si="210"/>
        <v xml:space="preserve"> </v>
      </c>
      <c r="BX509" s="188" t="str">
        <f t="shared" si="211"/>
        <v xml:space="preserve"> </v>
      </c>
      <c r="BY509" s="50" t="str">
        <f t="shared" si="223"/>
        <v>PIPESTEAM CREEK_Pink</v>
      </c>
      <c r="BZ509" s="50" t="str">
        <f>IFERROR(VLOOKUP(BY509,'[1]WCVI Esc'!$C$5:$W$555,18,FALSE),"-")</f>
        <v>-</v>
      </c>
      <c r="CA509" s="50" t="str">
        <f t="shared" si="212"/>
        <v>-</v>
      </c>
      <c r="CB509" s="50" t="str">
        <f>IFERROR(VLOOKUP(BY509,'[1]WCVI Esc'!$C$5:$W$555,19,FALSE),"-")</f>
        <v>-</v>
      </c>
      <c r="CC509" s="50" t="str">
        <f t="shared" si="213"/>
        <v>-</v>
      </c>
      <c r="CE509" s="342" t="str">
        <f t="shared" si="224"/>
        <v>PIPESTEAM CREEK_Pink</v>
      </c>
      <c r="CF509" s="341" t="str">
        <f>IFERROR(VLOOKUP(BY509,'RawPL+D'!$O$8:$AB$503,12,FALSE),"-")</f>
        <v>-</v>
      </c>
      <c r="CG509" s="338" t="str">
        <f t="shared" si="214"/>
        <v>-</v>
      </c>
      <c r="CH509" s="341" t="str">
        <f>IFERROR(VLOOKUP(BY509,'RawPL+D'!$O$8:$AB$503,13,FALSE),"-")</f>
        <v>-</v>
      </c>
      <c r="CI509" s="338" t="str">
        <f t="shared" si="215"/>
        <v>-</v>
      </c>
    </row>
    <row r="510" spans="1:87" ht="12.75" hidden="1" customHeight="1" x14ac:dyDescent="0.2">
      <c r="A510" s="28">
        <v>4</v>
      </c>
      <c r="B510" s="28">
        <v>4</v>
      </c>
      <c r="C510" s="11">
        <v>23</v>
      </c>
      <c r="D510" s="148" t="s">
        <v>295</v>
      </c>
      <c r="E510" s="10" t="s">
        <v>184</v>
      </c>
      <c r="F510" s="10" t="s">
        <v>209</v>
      </c>
      <c r="G510" s="10"/>
      <c r="H510" s="10"/>
      <c r="I510" s="10"/>
      <c r="J510" s="10"/>
      <c r="K510" s="575"/>
      <c r="L510" s="152"/>
      <c r="M510" s="164"/>
      <c r="N510" s="62"/>
      <c r="O510" s="62"/>
      <c r="P510" s="177"/>
      <c r="Q510" s="171"/>
      <c r="R510" s="62"/>
      <c r="S510" s="62"/>
      <c r="T510" s="62"/>
      <c r="U510" s="64"/>
      <c r="V510" s="164"/>
      <c r="W510" s="62"/>
      <c r="X510" s="62"/>
      <c r="Y510" s="62"/>
      <c r="Z510" s="64"/>
      <c r="AA510" s="164"/>
      <c r="AB510" s="62"/>
      <c r="AC510" s="62"/>
      <c r="AD510" s="64"/>
      <c r="AE510" s="164"/>
      <c r="AF510" s="62"/>
      <c r="AG510" s="62"/>
      <c r="AH510" s="337"/>
      <c r="AI510" s="337"/>
      <c r="AJ510" s="337"/>
      <c r="AK510" s="337"/>
      <c r="AL510" s="414"/>
      <c r="AM510" s="414"/>
      <c r="AN510" s="45"/>
      <c r="AO510" s="45"/>
      <c r="AP510" s="45"/>
      <c r="AQ510" s="485"/>
      <c r="AR510" s="100"/>
      <c r="AS510" s="485"/>
      <c r="AT510" s="24"/>
      <c r="AU510" s="24"/>
      <c r="AV510" s="24"/>
      <c r="AW510" s="18">
        <v>23</v>
      </c>
      <c r="AX510" s="69" t="s">
        <v>295</v>
      </c>
      <c r="AY510" s="243" t="s">
        <v>184</v>
      </c>
      <c r="AZ510" s="243" t="str">
        <f t="shared" si="199"/>
        <v>Chum</v>
      </c>
      <c r="BA510" s="243" t="s">
        <v>419</v>
      </c>
      <c r="BB510" s="246"/>
      <c r="BC510" s="43" t="str">
        <f t="shared" si="200"/>
        <v>-</v>
      </c>
      <c r="BD510" s="43">
        <f t="shared" si="219"/>
        <v>0</v>
      </c>
      <c r="BE510" s="193">
        <f t="shared" si="217"/>
        <v>0</v>
      </c>
      <c r="BF510" s="193">
        <f t="shared" si="201"/>
        <v>0</v>
      </c>
      <c r="BG510" s="193">
        <f t="shared" si="202"/>
        <v>0</v>
      </c>
      <c r="BH510" s="307" t="str">
        <f t="shared" si="218"/>
        <v>-</v>
      </c>
      <c r="BI510" s="265" t="str">
        <f t="shared" si="222"/>
        <v>-</v>
      </c>
      <c r="BJ510" s="26" t="str">
        <f t="shared" si="203"/>
        <v>PIPESTEAM CREEKChum</v>
      </c>
      <c r="BK510" s="26">
        <f t="shared" si="204"/>
        <v>0</v>
      </c>
      <c r="BL510" s="33">
        <f t="shared" si="221"/>
        <v>0</v>
      </c>
      <c r="BQ510" s="47" t="str">
        <f t="shared" si="205"/>
        <v>PIPESTEAM CREEKChum</v>
      </c>
      <c r="BR510" s="49">
        <f t="shared" si="206"/>
        <v>0</v>
      </c>
      <c r="BS510" s="49">
        <f t="shared" si="207"/>
        <v>0</v>
      </c>
      <c r="BT510" s="31">
        <v>1999</v>
      </c>
      <c r="BU510" s="188">
        <f t="shared" si="208"/>
        <v>0</v>
      </c>
      <c r="BV510" s="188" t="str">
        <f t="shared" si="209"/>
        <v xml:space="preserve"> </v>
      </c>
      <c r="BW510" s="188" t="str">
        <f t="shared" si="210"/>
        <v xml:space="preserve"> </v>
      </c>
      <c r="BX510" s="188" t="str">
        <f t="shared" si="211"/>
        <v xml:space="preserve"> </v>
      </c>
      <c r="BY510" s="50" t="str">
        <f t="shared" si="223"/>
        <v>PIPESTEAM CREEK_Chum</v>
      </c>
      <c r="BZ510" s="50" t="str">
        <f>IFERROR(VLOOKUP(BY510,'[1]WCVI Esc'!$C$5:$W$555,18,FALSE),"-")</f>
        <v>-</v>
      </c>
      <c r="CA510" s="50" t="str">
        <f t="shared" si="212"/>
        <v>-</v>
      </c>
      <c r="CB510" s="50" t="str">
        <f>IFERROR(VLOOKUP(BY510,'[1]WCVI Esc'!$C$5:$W$555,19,FALSE),"-")</f>
        <v>-</v>
      </c>
      <c r="CC510" s="50" t="str">
        <f t="shared" si="213"/>
        <v>-</v>
      </c>
      <c r="CE510" s="342" t="str">
        <f t="shared" si="224"/>
        <v>PIPESTEAM CREEK_Chum</v>
      </c>
      <c r="CF510" s="341" t="str">
        <f>IFERROR(VLOOKUP(BY510,'RawPL+D'!$O$8:$AB$503,12,FALSE),"-")</f>
        <v>-</v>
      </c>
      <c r="CG510" s="338" t="str">
        <f t="shared" si="214"/>
        <v>-</v>
      </c>
      <c r="CH510" s="341" t="str">
        <f>IFERROR(VLOOKUP(BY510,'RawPL+D'!$O$8:$AB$503,13,FALSE),"-")</f>
        <v>-</v>
      </c>
      <c r="CI510" s="338" t="str">
        <f t="shared" si="215"/>
        <v>-</v>
      </c>
    </row>
    <row r="511" spans="1:87" ht="12.75" hidden="1" customHeight="1" x14ac:dyDescent="0.2">
      <c r="A511" s="28">
        <v>4</v>
      </c>
      <c r="B511" s="28">
        <v>5</v>
      </c>
      <c r="C511" s="11">
        <v>23</v>
      </c>
      <c r="D511" s="148" t="s">
        <v>295</v>
      </c>
      <c r="E511" s="10" t="s">
        <v>184</v>
      </c>
      <c r="F511" s="10" t="s">
        <v>210</v>
      </c>
      <c r="G511" s="10"/>
      <c r="H511" s="10"/>
      <c r="I511" s="10"/>
      <c r="J511" s="10"/>
      <c r="K511" s="575"/>
      <c r="L511" s="152"/>
      <c r="M511" s="164"/>
      <c r="N511" s="62"/>
      <c r="O511" s="62"/>
      <c r="P511" s="177"/>
      <c r="Q511" s="171"/>
      <c r="R511" s="62"/>
      <c r="S511" s="62"/>
      <c r="T511" s="62"/>
      <c r="U511" s="64"/>
      <c r="V511" s="164"/>
      <c r="W511" s="62"/>
      <c r="X511" s="62"/>
      <c r="Y511" s="62"/>
      <c r="Z511" s="64"/>
      <c r="AA511" s="164"/>
      <c r="AB511" s="62"/>
      <c r="AC511" s="62"/>
      <c r="AD511" s="64"/>
      <c r="AE511" s="164"/>
      <c r="AF511" s="62"/>
      <c r="AG511" s="62"/>
      <c r="AH511" s="337"/>
      <c r="AI511" s="337"/>
      <c r="AJ511" s="337"/>
      <c r="AK511" s="337"/>
      <c r="AL511" s="414"/>
      <c r="AM511" s="414"/>
      <c r="AN511" s="45"/>
      <c r="AO511" s="45"/>
      <c r="AP511" s="45"/>
      <c r="AQ511" s="485"/>
      <c r="AR511" s="100"/>
      <c r="AS511" s="485"/>
      <c r="AT511" s="24"/>
      <c r="AU511" s="24"/>
      <c r="AV511" s="24"/>
      <c r="AW511" s="18">
        <v>23</v>
      </c>
      <c r="AX511" s="69" t="s">
        <v>295</v>
      </c>
      <c r="AY511" s="243" t="s">
        <v>184</v>
      </c>
      <c r="AZ511" s="243" t="str">
        <f t="shared" si="199"/>
        <v>Chinook</v>
      </c>
      <c r="BA511" s="243" t="s">
        <v>419</v>
      </c>
      <c r="BB511" s="246"/>
      <c r="BC511" s="43" t="str">
        <f t="shared" si="200"/>
        <v>-</v>
      </c>
      <c r="BD511" s="43">
        <f t="shared" si="219"/>
        <v>0</v>
      </c>
      <c r="BE511" s="193">
        <f t="shared" si="217"/>
        <v>0</v>
      </c>
      <c r="BF511" s="193">
        <f t="shared" si="201"/>
        <v>0</v>
      </c>
      <c r="BG511" s="193">
        <f t="shared" si="202"/>
        <v>0</v>
      </c>
      <c r="BH511" s="307" t="str">
        <f t="shared" si="218"/>
        <v>-</v>
      </c>
      <c r="BI511" s="265" t="str">
        <f t="shared" si="222"/>
        <v>-</v>
      </c>
      <c r="BJ511" s="26" t="str">
        <f t="shared" si="203"/>
        <v>PIPESTEAM CREEKChinook</v>
      </c>
      <c r="BK511" s="26">
        <f t="shared" si="204"/>
        <v>0</v>
      </c>
      <c r="BL511" s="33">
        <f t="shared" si="221"/>
        <v>0</v>
      </c>
      <c r="BQ511" s="47" t="str">
        <f t="shared" si="205"/>
        <v>PIPESTEAM CREEKChinook</v>
      </c>
      <c r="BR511" s="49">
        <f t="shared" si="206"/>
        <v>0</v>
      </c>
      <c r="BS511" s="49">
        <f t="shared" si="207"/>
        <v>0</v>
      </c>
      <c r="BT511" s="31">
        <v>0</v>
      </c>
      <c r="BU511" s="188">
        <f t="shared" si="208"/>
        <v>0</v>
      </c>
      <c r="BV511" s="188" t="str">
        <f t="shared" si="209"/>
        <v xml:space="preserve"> </v>
      </c>
      <c r="BW511" s="188" t="str">
        <f t="shared" si="210"/>
        <v xml:space="preserve"> </v>
      </c>
      <c r="BX511" s="188" t="str">
        <f t="shared" si="211"/>
        <v xml:space="preserve"> </v>
      </c>
      <c r="BY511" s="50" t="str">
        <f t="shared" si="223"/>
        <v>PIPESTEAM CREEK_Chinook</v>
      </c>
      <c r="BZ511" s="50" t="str">
        <f>IFERROR(VLOOKUP(BY511,'[1]WCVI Esc'!$C$5:$W$555,18,FALSE),"-")</f>
        <v>-</v>
      </c>
      <c r="CA511" s="50" t="str">
        <f t="shared" si="212"/>
        <v>-</v>
      </c>
      <c r="CB511" s="50" t="str">
        <f>IFERROR(VLOOKUP(BY511,'[1]WCVI Esc'!$C$5:$W$555,19,FALSE),"-")</f>
        <v>-</v>
      </c>
      <c r="CC511" s="50" t="str">
        <f t="shared" si="213"/>
        <v>-</v>
      </c>
      <c r="CE511" s="342" t="str">
        <f t="shared" si="224"/>
        <v>PIPESTEAM CREEK_Chinook</v>
      </c>
      <c r="CF511" s="341" t="str">
        <f>IFERROR(VLOOKUP(BY511,'RawPL+D'!$O$8:$AB$503,12,FALSE),"-")</f>
        <v>-</v>
      </c>
      <c r="CG511" s="338" t="str">
        <f t="shared" si="214"/>
        <v>-</v>
      </c>
      <c r="CH511" s="341" t="str">
        <f>IFERROR(VLOOKUP(BY511,'RawPL+D'!$O$8:$AB$503,13,FALSE),"-")</f>
        <v>-</v>
      </c>
      <c r="CI511" s="338" t="str">
        <f t="shared" si="215"/>
        <v>-</v>
      </c>
    </row>
    <row r="512" spans="1:87" ht="12.75" hidden="1" customHeight="1" x14ac:dyDescent="0.2">
      <c r="A512" s="28">
        <v>4</v>
      </c>
      <c r="B512" s="28">
        <v>6</v>
      </c>
      <c r="C512" s="11">
        <v>23</v>
      </c>
      <c r="D512" s="148" t="s">
        <v>295</v>
      </c>
      <c r="E512" s="10" t="s">
        <v>184</v>
      </c>
      <c r="F512" s="10" t="s">
        <v>211</v>
      </c>
      <c r="G512" s="10"/>
      <c r="H512" s="10"/>
      <c r="I512" s="10"/>
      <c r="J512" s="10"/>
      <c r="K512" s="575"/>
      <c r="L512" s="152"/>
      <c r="M512" s="164"/>
      <c r="N512" s="62"/>
      <c r="O512" s="62"/>
      <c r="P512" s="177"/>
      <c r="Q512" s="171"/>
      <c r="R512" s="62"/>
      <c r="S512" s="62"/>
      <c r="T512" s="62"/>
      <c r="U512" s="64"/>
      <c r="V512" s="164"/>
      <c r="W512" s="62"/>
      <c r="X512" s="62"/>
      <c r="Y512" s="62"/>
      <c r="Z512" s="64"/>
      <c r="AA512" s="164"/>
      <c r="AB512" s="62"/>
      <c r="AC512" s="62"/>
      <c r="AD512" s="64"/>
      <c r="AE512" s="164"/>
      <c r="AF512" s="62"/>
      <c r="AG512" s="62"/>
      <c r="AH512" s="337"/>
      <c r="AI512" s="337"/>
      <c r="AJ512" s="337"/>
      <c r="AK512" s="337"/>
      <c r="AL512" s="414"/>
      <c r="AM512" s="414"/>
      <c r="AN512" s="45"/>
      <c r="AO512" s="45"/>
      <c r="AP512" s="45"/>
      <c r="AQ512" s="485"/>
      <c r="AR512" s="100"/>
      <c r="AS512" s="485"/>
      <c r="AT512" s="24"/>
      <c r="AU512" s="24"/>
      <c r="AV512" s="24"/>
      <c r="AW512" s="18">
        <v>23</v>
      </c>
      <c r="AX512" s="69" t="s">
        <v>295</v>
      </c>
      <c r="AY512" s="243" t="s">
        <v>184</v>
      </c>
      <c r="AZ512" s="243" t="str">
        <f t="shared" si="199"/>
        <v>Steelhead</v>
      </c>
      <c r="BA512" s="243" t="s">
        <v>419</v>
      </c>
      <c r="BB512" s="246"/>
      <c r="BC512" s="43" t="str">
        <f t="shared" si="200"/>
        <v>-</v>
      </c>
      <c r="BD512" s="43">
        <f t="shared" si="219"/>
        <v>0</v>
      </c>
      <c r="BE512" s="193">
        <f t="shared" si="217"/>
        <v>0</v>
      </c>
      <c r="BF512" s="193">
        <f t="shared" si="201"/>
        <v>0</v>
      </c>
      <c r="BG512" s="193">
        <f t="shared" si="202"/>
        <v>0</v>
      </c>
      <c r="BH512" s="307" t="str">
        <f t="shared" si="218"/>
        <v>-</v>
      </c>
      <c r="BI512" s="265" t="str">
        <f t="shared" si="222"/>
        <v>-</v>
      </c>
      <c r="BJ512" s="26" t="str">
        <f t="shared" si="203"/>
        <v>PIPESTEAM CREEKSteelhead</v>
      </c>
      <c r="BK512" s="26">
        <f t="shared" si="204"/>
        <v>0</v>
      </c>
      <c r="BL512" s="33">
        <f t="shared" si="221"/>
        <v>0</v>
      </c>
      <c r="BQ512" s="47" t="str">
        <f t="shared" si="205"/>
        <v>PIPESTEAM CREEKSteelhead</v>
      </c>
      <c r="BR512" s="49">
        <f t="shared" si="206"/>
        <v>0</v>
      </c>
      <c r="BS512" s="49">
        <f t="shared" si="207"/>
        <v>0</v>
      </c>
      <c r="BT512" s="31">
        <v>0</v>
      </c>
      <c r="BU512" s="188">
        <f t="shared" si="208"/>
        <v>0</v>
      </c>
      <c r="BV512" s="188" t="str">
        <f t="shared" si="209"/>
        <v xml:space="preserve"> </v>
      </c>
      <c r="BW512" s="188" t="str">
        <f t="shared" si="210"/>
        <v xml:space="preserve"> </v>
      </c>
      <c r="BX512" s="188" t="str">
        <f t="shared" si="211"/>
        <v xml:space="preserve"> </v>
      </c>
      <c r="BY512" s="50" t="str">
        <f t="shared" si="223"/>
        <v>PIPESTEAM CREEK_Steelhead</v>
      </c>
      <c r="BZ512" s="50" t="str">
        <f>IFERROR(VLOOKUP(BY512,'[1]WCVI Esc'!$C$5:$W$555,18,FALSE),"-")</f>
        <v>-</v>
      </c>
      <c r="CA512" s="50" t="str">
        <f t="shared" si="212"/>
        <v>-</v>
      </c>
      <c r="CB512" s="50" t="str">
        <f>IFERROR(VLOOKUP(BY512,'[1]WCVI Esc'!$C$5:$W$555,19,FALSE),"-")</f>
        <v>-</v>
      </c>
      <c r="CC512" s="50" t="str">
        <f t="shared" si="213"/>
        <v>-</v>
      </c>
      <c r="CE512" s="342" t="str">
        <f t="shared" si="224"/>
        <v>PIPESTEAM CREEK_Steelhead</v>
      </c>
      <c r="CF512" s="341" t="str">
        <f>IFERROR(VLOOKUP(BY512,'RawPL+D'!$O$8:$AB$503,12,FALSE),"-")</f>
        <v>-</v>
      </c>
      <c r="CG512" s="338" t="str">
        <f t="shared" si="214"/>
        <v>-</v>
      </c>
      <c r="CH512" s="341" t="str">
        <f>IFERROR(VLOOKUP(BY512,'RawPL+D'!$O$8:$AB$503,13,FALSE),"-")</f>
        <v>-</v>
      </c>
      <c r="CI512" s="338" t="str">
        <f t="shared" si="215"/>
        <v>-</v>
      </c>
    </row>
    <row r="513" spans="1:87" ht="12.75" hidden="1" customHeight="1" x14ac:dyDescent="0.2">
      <c r="A513" s="28">
        <v>4</v>
      </c>
      <c r="B513" s="28">
        <v>1</v>
      </c>
      <c r="C513" s="11">
        <v>23</v>
      </c>
      <c r="D513" s="148" t="s">
        <v>295</v>
      </c>
      <c r="E513" s="10" t="s">
        <v>185</v>
      </c>
      <c r="F513" s="10" t="s">
        <v>207</v>
      </c>
      <c r="G513" s="10"/>
      <c r="H513" s="10"/>
      <c r="I513" s="10"/>
      <c r="J513" s="10"/>
      <c r="K513" s="575"/>
      <c r="L513" s="152"/>
      <c r="M513" s="164"/>
      <c r="N513" s="62"/>
      <c r="O513" s="62"/>
      <c r="P513" s="177"/>
      <c r="Q513" s="171"/>
      <c r="R513" s="62"/>
      <c r="S513" s="62"/>
      <c r="T513" s="62"/>
      <c r="U513" s="64"/>
      <c r="V513" s="164"/>
      <c r="W513" s="62"/>
      <c r="X513" s="62"/>
      <c r="Y513" s="62"/>
      <c r="Z513" s="64"/>
      <c r="AA513" s="164"/>
      <c r="AB513" s="62"/>
      <c r="AC513" s="62"/>
      <c r="AD513" s="64"/>
      <c r="AE513" s="164"/>
      <c r="AF513" s="62"/>
      <c r="AG513" s="62"/>
      <c r="AH513" s="337"/>
      <c r="AI513" s="337"/>
      <c r="AJ513" s="337"/>
      <c r="AK513" s="337"/>
      <c r="AL513" s="414"/>
      <c r="AM513" s="414"/>
      <c r="AN513" s="45"/>
      <c r="AO513" s="45"/>
      <c r="AP513" s="45"/>
      <c r="AQ513" s="485"/>
      <c r="AR513" s="100"/>
      <c r="AS513" s="485"/>
      <c r="AT513" s="24"/>
      <c r="AU513" s="24"/>
      <c r="AV513" s="24"/>
      <c r="AW513" s="18">
        <v>23</v>
      </c>
      <c r="AX513" s="69" t="s">
        <v>295</v>
      </c>
      <c r="AY513" s="243" t="s">
        <v>185</v>
      </c>
      <c r="AZ513" s="243" t="str">
        <f t="shared" si="199"/>
        <v>Sockeye</v>
      </c>
      <c r="BA513" s="243" t="s">
        <v>419</v>
      </c>
      <c r="BB513" s="246"/>
      <c r="BC513" s="43" t="str">
        <f t="shared" si="200"/>
        <v>-</v>
      </c>
      <c r="BD513" s="43">
        <f t="shared" si="219"/>
        <v>0</v>
      </c>
      <c r="BE513" s="193">
        <f t="shared" si="217"/>
        <v>0</v>
      </c>
      <c r="BF513" s="193">
        <f t="shared" si="201"/>
        <v>0</v>
      </c>
      <c r="BG513" s="193">
        <f t="shared" si="202"/>
        <v>0</v>
      </c>
      <c r="BH513" s="307" t="str">
        <f t="shared" si="218"/>
        <v>-</v>
      </c>
      <c r="BI513" s="265" t="str">
        <f t="shared" si="222"/>
        <v>-</v>
      </c>
      <c r="BJ513" s="26" t="str">
        <f t="shared" si="203"/>
        <v>SECHART CREEKSockeye</v>
      </c>
      <c r="BK513" s="26">
        <f t="shared" si="204"/>
        <v>0</v>
      </c>
      <c r="BL513" s="33">
        <f t="shared" si="221"/>
        <v>0</v>
      </c>
      <c r="BQ513" s="47" t="str">
        <f t="shared" si="205"/>
        <v>SECHART CREEKSockeye</v>
      </c>
      <c r="BR513" s="49">
        <f t="shared" si="206"/>
        <v>0</v>
      </c>
      <c r="BS513" s="49">
        <f t="shared" si="207"/>
        <v>0</v>
      </c>
      <c r="BT513" s="31">
        <v>0</v>
      </c>
      <c r="BU513" s="188">
        <f t="shared" si="208"/>
        <v>0</v>
      </c>
      <c r="BV513" s="188" t="str">
        <f t="shared" si="209"/>
        <v xml:space="preserve"> </v>
      </c>
      <c r="BW513" s="188" t="str">
        <f t="shared" si="210"/>
        <v xml:space="preserve"> </v>
      </c>
      <c r="BX513" s="188" t="str">
        <f t="shared" si="211"/>
        <v xml:space="preserve"> </v>
      </c>
      <c r="BY513" s="50" t="str">
        <f t="shared" si="223"/>
        <v>SECHART CREEK_Sockeye</v>
      </c>
      <c r="BZ513" s="50" t="str">
        <f>IFERROR(VLOOKUP(BY513,'[1]WCVI Esc'!$C$5:$W$555,18,FALSE),"-")</f>
        <v>-</v>
      </c>
      <c r="CA513" s="50" t="str">
        <f t="shared" si="212"/>
        <v>-</v>
      </c>
      <c r="CB513" s="50" t="str">
        <f>IFERROR(VLOOKUP(BY513,'[1]WCVI Esc'!$C$5:$W$555,19,FALSE),"-")</f>
        <v>-</v>
      </c>
      <c r="CC513" s="50" t="str">
        <f t="shared" si="213"/>
        <v>-</v>
      </c>
      <c r="CE513" s="342" t="str">
        <f t="shared" si="224"/>
        <v>SECHART CREEK_Sockeye</v>
      </c>
      <c r="CF513" s="341" t="str">
        <f>IFERROR(VLOOKUP(BY513,'RawPL+D'!$O$8:$AB$503,12,FALSE),"-")</f>
        <v>-</v>
      </c>
      <c r="CG513" s="338" t="str">
        <f t="shared" si="214"/>
        <v>-</v>
      </c>
      <c r="CH513" s="341" t="str">
        <f>IFERROR(VLOOKUP(BY513,'RawPL+D'!$O$8:$AB$503,13,FALSE),"-")</f>
        <v>-</v>
      </c>
      <c r="CI513" s="338" t="str">
        <f t="shared" si="215"/>
        <v>-</v>
      </c>
    </row>
    <row r="514" spans="1:87" ht="12.75" hidden="1" customHeight="1" x14ac:dyDescent="0.2">
      <c r="A514" s="28">
        <v>4</v>
      </c>
      <c r="B514" s="28">
        <v>2</v>
      </c>
      <c r="C514" s="11">
        <v>23</v>
      </c>
      <c r="D514" s="148" t="s">
        <v>295</v>
      </c>
      <c r="E514" s="10" t="s">
        <v>185</v>
      </c>
      <c r="F514" s="10" t="s">
        <v>219</v>
      </c>
      <c r="G514" s="10"/>
      <c r="H514" s="10"/>
      <c r="I514" s="10"/>
      <c r="J514" s="10"/>
      <c r="K514" s="575"/>
      <c r="L514" s="152"/>
      <c r="M514" s="164"/>
      <c r="N514" s="62"/>
      <c r="O514" s="62"/>
      <c r="P514" s="177"/>
      <c r="Q514" s="171"/>
      <c r="R514" s="62"/>
      <c r="S514" s="62"/>
      <c r="T514" s="62"/>
      <c r="U514" s="64"/>
      <c r="V514" s="164"/>
      <c r="W514" s="62"/>
      <c r="X514" s="62"/>
      <c r="Y514" s="62"/>
      <c r="Z514" s="64"/>
      <c r="AA514" s="164"/>
      <c r="AB514" s="62"/>
      <c r="AC514" s="62"/>
      <c r="AD514" s="64"/>
      <c r="AE514" s="164"/>
      <c r="AF514" s="62"/>
      <c r="AG514" s="62"/>
      <c r="AH514" s="337"/>
      <c r="AI514" s="337"/>
      <c r="AJ514" s="337"/>
      <c r="AK514" s="337"/>
      <c r="AL514" s="414"/>
      <c r="AM514" s="414"/>
      <c r="AN514" s="45"/>
      <c r="AO514" s="45"/>
      <c r="AP514" s="45"/>
      <c r="AQ514" s="485"/>
      <c r="AR514" s="100"/>
      <c r="AS514" s="485"/>
      <c r="AT514" s="24"/>
      <c r="AU514" s="24"/>
      <c r="AV514" s="24"/>
      <c r="AW514" s="18">
        <v>23</v>
      </c>
      <c r="AX514" s="69" t="s">
        <v>295</v>
      </c>
      <c r="AY514" s="243" t="s">
        <v>185</v>
      </c>
      <c r="AZ514" s="243" t="str">
        <f t="shared" si="199"/>
        <v>Coho</v>
      </c>
      <c r="BA514" s="243" t="s">
        <v>419</v>
      </c>
      <c r="BB514" s="246"/>
      <c r="BC514" s="43" t="str">
        <f t="shared" si="200"/>
        <v>-</v>
      </c>
      <c r="BD514" s="43">
        <f t="shared" si="219"/>
        <v>0</v>
      </c>
      <c r="BE514" s="193">
        <f t="shared" si="217"/>
        <v>0</v>
      </c>
      <c r="BF514" s="193">
        <f t="shared" si="201"/>
        <v>0</v>
      </c>
      <c r="BG514" s="193">
        <f t="shared" si="202"/>
        <v>0</v>
      </c>
      <c r="BH514" s="307" t="str">
        <f t="shared" si="218"/>
        <v>-</v>
      </c>
      <c r="BI514" s="265" t="str">
        <f t="shared" si="222"/>
        <v>-</v>
      </c>
      <c r="BJ514" s="26" t="str">
        <f t="shared" si="203"/>
        <v>SECHART CREEKCoho</v>
      </c>
      <c r="BK514" s="26">
        <f t="shared" si="204"/>
        <v>0</v>
      </c>
      <c r="BL514" s="33">
        <f t="shared" si="221"/>
        <v>0</v>
      </c>
      <c r="BQ514" s="47" t="str">
        <f t="shared" si="205"/>
        <v>SECHART CREEKCoho</v>
      </c>
      <c r="BR514" s="49">
        <f t="shared" si="206"/>
        <v>0</v>
      </c>
      <c r="BS514" s="49">
        <f t="shared" si="207"/>
        <v>0</v>
      </c>
      <c r="BT514" s="31">
        <v>1998</v>
      </c>
      <c r="BU514" s="188">
        <f t="shared" si="208"/>
        <v>0</v>
      </c>
      <c r="BV514" s="188" t="str">
        <f t="shared" si="209"/>
        <v xml:space="preserve"> </v>
      </c>
      <c r="BW514" s="188" t="str">
        <f t="shared" si="210"/>
        <v xml:space="preserve"> </v>
      </c>
      <c r="BX514" s="188" t="str">
        <f t="shared" si="211"/>
        <v xml:space="preserve"> </v>
      </c>
      <c r="BY514" s="50" t="str">
        <f t="shared" si="223"/>
        <v>SECHART CREEK_Coho</v>
      </c>
      <c r="BZ514" s="50" t="str">
        <f>IFERROR(VLOOKUP(BY514,'[1]WCVI Esc'!$C$5:$W$555,18,FALSE),"-")</f>
        <v>-</v>
      </c>
      <c r="CA514" s="50" t="str">
        <f t="shared" si="212"/>
        <v>-</v>
      </c>
      <c r="CB514" s="50" t="str">
        <f>IFERROR(VLOOKUP(BY514,'[1]WCVI Esc'!$C$5:$W$555,19,FALSE),"-")</f>
        <v>-</v>
      </c>
      <c r="CC514" s="50" t="str">
        <f t="shared" si="213"/>
        <v>-</v>
      </c>
      <c r="CE514" s="342" t="str">
        <f t="shared" si="224"/>
        <v>SECHART CREEK_Coho</v>
      </c>
      <c r="CF514" s="341" t="str">
        <f>IFERROR(VLOOKUP(BY514,'RawPL+D'!$O$8:$AB$503,12,FALSE),"-")</f>
        <v>-</v>
      </c>
      <c r="CG514" s="338" t="str">
        <f t="shared" si="214"/>
        <v>-</v>
      </c>
      <c r="CH514" s="341" t="str">
        <f>IFERROR(VLOOKUP(BY514,'RawPL+D'!$O$8:$AB$503,13,FALSE),"-")</f>
        <v>-</v>
      </c>
      <c r="CI514" s="338" t="str">
        <f t="shared" si="215"/>
        <v>-</v>
      </c>
    </row>
    <row r="515" spans="1:87" ht="12.75" hidden="1" customHeight="1" x14ac:dyDescent="0.2">
      <c r="A515" s="28">
        <v>4</v>
      </c>
      <c r="B515" s="28">
        <v>3</v>
      </c>
      <c r="C515" s="11">
        <v>23</v>
      </c>
      <c r="D515" s="148" t="s">
        <v>295</v>
      </c>
      <c r="E515" s="10" t="s">
        <v>185</v>
      </c>
      <c r="F515" s="10" t="s">
        <v>208</v>
      </c>
      <c r="G515" s="10"/>
      <c r="H515" s="10"/>
      <c r="I515" s="10"/>
      <c r="J515" s="10"/>
      <c r="K515" s="575"/>
      <c r="L515" s="152"/>
      <c r="M515" s="164"/>
      <c r="N515" s="62"/>
      <c r="O515" s="62"/>
      <c r="P515" s="177"/>
      <c r="Q515" s="171"/>
      <c r="R515" s="62"/>
      <c r="S515" s="62"/>
      <c r="T515" s="62"/>
      <c r="U515" s="64"/>
      <c r="V515" s="164"/>
      <c r="W515" s="62"/>
      <c r="X515" s="62"/>
      <c r="Y515" s="62"/>
      <c r="Z515" s="64"/>
      <c r="AA515" s="164"/>
      <c r="AB515" s="62"/>
      <c r="AC515" s="62"/>
      <c r="AD515" s="64"/>
      <c r="AE515" s="164"/>
      <c r="AF515" s="62"/>
      <c r="AG515" s="62"/>
      <c r="AH515" s="337"/>
      <c r="AI515" s="337"/>
      <c r="AJ515" s="337"/>
      <c r="AK515" s="337"/>
      <c r="AL515" s="414"/>
      <c r="AM515" s="414"/>
      <c r="AN515" s="45"/>
      <c r="AO515" s="45"/>
      <c r="AP515" s="45"/>
      <c r="AQ515" s="485"/>
      <c r="AR515" s="100"/>
      <c r="AS515" s="485"/>
      <c r="AT515" s="24"/>
      <c r="AU515" s="24"/>
      <c r="AV515" s="24"/>
      <c r="AW515" s="18">
        <v>23</v>
      </c>
      <c r="AX515" s="69" t="s">
        <v>295</v>
      </c>
      <c r="AY515" s="243" t="s">
        <v>185</v>
      </c>
      <c r="AZ515" s="243" t="str">
        <f t="shared" si="199"/>
        <v>Pink</v>
      </c>
      <c r="BA515" s="243" t="s">
        <v>419</v>
      </c>
      <c r="BB515" s="246"/>
      <c r="BC515" s="43" t="str">
        <f t="shared" si="200"/>
        <v>-</v>
      </c>
      <c r="BD515" s="43">
        <f t="shared" si="219"/>
        <v>0</v>
      </c>
      <c r="BE515" s="193">
        <f t="shared" si="217"/>
        <v>0</v>
      </c>
      <c r="BF515" s="193">
        <f t="shared" si="201"/>
        <v>0</v>
      </c>
      <c r="BG515" s="193">
        <f t="shared" si="202"/>
        <v>0</v>
      </c>
      <c r="BH515" s="307" t="str">
        <f t="shared" si="218"/>
        <v>-</v>
      </c>
      <c r="BI515" s="265" t="str">
        <f t="shared" si="222"/>
        <v>-</v>
      </c>
      <c r="BJ515" s="26" t="str">
        <f t="shared" si="203"/>
        <v>SECHART CREEKPink</v>
      </c>
      <c r="BK515" s="26">
        <f t="shared" si="204"/>
        <v>0</v>
      </c>
      <c r="BL515" s="33">
        <f t="shared" si="221"/>
        <v>0</v>
      </c>
      <c r="BQ515" s="47" t="str">
        <f t="shared" si="205"/>
        <v>SECHART CREEKPink</v>
      </c>
      <c r="BR515" s="49">
        <f t="shared" si="206"/>
        <v>0</v>
      </c>
      <c r="BS515" s="49">
        <f t="shared" si="207"/>
        <v>0</v>
      </c>
      <c r="BT515" s="31">
        <v>0</v>
      </c>
      <c r="BU515" s="188">
        <f t="shared" si="208"/>
        <v>0</v>
      </c>
      <c r="BV515" s="188" t="str">
        <f t="shared" si="209"/>
        <v xml:space="preserve"> </v>
      </c>
      <c r="BW515" s="188" t="str">
        <f t="shared" si="210"/>
        <v xml:space="preserve"> </v>
      </c>
      <c r="BX515" s="188" t="str">
        <f t="shared" si="211"/>
        <v xml:space="preserve"> </v>
      </c>
      <c r="BY515" s="50" t="str">
        <f t="shared" si="223"/>
        <v>SECHART CREEK_Pink</v>
      </c>
      <c r="BZ515" s="50" t="str">
        <f>IFERROR(VLOOKUP(BY515,'[1]WCVI Esc'!$C$5:$W$555,18,FALSE),"-")</f>
        <v>-</v>
      </c>
      <c r="CA515" s="50" t="str">
        <f t="shared" si="212"/>
        <v>-</v>
      </c>
      <c r="CB515" s="50" t="str">
        <f>IFERROR(VLOOKUP(BY515,'[1]WCVI Esc'!$C$5:$W$555,19,FALSE),"-")</f>
        <v>-</v>
      </c>
      <c r="CC515" s="50" t="str">
        <f t="shared" si="213"/>
        <v>-</v>
      </c>
      <c r="CE515" s="342" t="str">
        <f t="shared" si="224"/>
        <v>SECHART CREEK_Pink</v>
      </c>
      <c r="CF515" s="341" t="str">
        <f>IFERROR(VLOOKUP(BY515,'RawPL+D'!$O$8:$AB$503,12,FALSE),"-")</f>
        <v>-</v>
      </c>
      <c r="CG515" s="338" t="str">
        <f t="shared" si="214"/>
        <v>-</v>
      </c>
      <c r="CH515" s="341" t="str">
        <f>IFERROR(VLOOKUP(BY515,'RawPL+D'!$O$8:$AB$503,13,FALSE),"-")</f>
        <v>-</v>
      </c>
      <c r="CI515" s="338" t="str">
        <f t="shared" si="215"/>
        <v>-</v>
      </c>
    </row>
    <row r="516" spans="1:87" ht="12.75" hidden="1" customHeight="1" x14ac:dyDescent="0.2">
      <c r="A516" s="28">
        <v>4</v>
      </c>
      <c r="B516" s="28">
        <v>4</v>
      </c>
      <c r="C516" s="11">
        <v>23</v>
      </c>
      <c r="D516" s="148" t="s">
        <v>295</v>
      </c>
      <c r="E516" s="10" t="s">
        <v>185</v>
      </c>
      <c r="F516" s="10" t="s">
        <v>209</v>
      </c>
      <c r="G516" s="10"/>
      <c r="H516" s="10"/>
      <c r="I516" s="10"/>
      <c r="J516" s="10"/>
      <c r="K516" s="575"/>
      <c r="L516" s="152"/>
      <c r="M516" s="164"/>
      <c r="N516" s="62"/>
      <c r="O516" s="62"/>
      <c r="P516" s="177"/>
      <c r="Q516" s="171"/>
      <c r="R516" s="62"/>
      <c r="S516" s="62"/>
      <c r="T516" s="62"/>
      <c r="U516" s="64"/>
      <c r="V516" s="164"/>
      <c r="W516" s="62"/>
      <c r="X516" s="62"/>
      <c r="Y516" s="62"/>
      <c r="Z516" s="64"/>
      <c r="AA516" s="164"/>
      <c r="AB516" s="62"/>
      <c r="AC516" s="62"/>
      <c r="AD516" s="64"/>
      <c r="AE516" s="164"/>
      <c r="AF516" s="62"/>
      <c r="AG516" s="62"/>
      <c r="AH516" s="337"/>
      <c r="AI516" s="337"/>
      <c r="AJ516" s="337"/>
      <c r="AK516" s="337"/>
      <c r="AL516" s="414"/>
      <c r="AM516" s="414"/>
      <c r="AN516" s="45"/>
      <c r="AO516" s="45"/>
      <c r="AP516" s="45"/>
      <c r="AQ516" s="485"/>
      <c r="AR516" s="100"/>
      <c r="AS516" s="485"/>
      <c r="AT516" s="24"/>
      <c r="AU516" s="24"/>
      <c r="AV516" s="24"/>
      <c r="AW516" s="18">
        <v>23</v>
      </c>
      <c r="AX516" s="69" t="s">
        <v>295</v>
      </c>
      <c r="AY516" s="243" t="s">
        <v>185</v>
      </c>
      <c r="AZ516" s="243" t="str">
        <f t="shared" si="199"/>
        <v>Chum</v>
      </c>
      <c r="BA516" s="243" t="s">
        <v>419</v>
      </c>
      <c r="BB516" s="246"/>
      <c r="BC516" s="43" t="str">
        <f t="shared" si="200"/>
        <v>-</v>
      </c>
      <c r="BD516" s="43">
        <f t="shared" si="219"/>
        <v>0</v>
      </c>
      <c r="BE516" s="193">
        <f t="shared" si="217"/>
        <v>0</v>
      </c>
      <c r="BF516" s="193">
        <f t="shared" si="201"/>
        <v>0</v>
      </c>
      <c r="BG516" s="193">
        <f t="shared" si="202"/>
        <v>0</v>
      </c>
      <c r="BH516" s="307" t="str">
        <f t="shared" si="218"/>
        <v>-</v>
      </c>
      <c r="BI516" s="265" t="str">
        <f t="shared" si="222"/>
        <v>-</v>
      </c>
      <c r="BJ516" s="26" t="str">
        <f t="shared" si="203"/>
        <v>SECHART CREEKChum</v>
      </c>
      <c r="BK516" s="26">
        <f t="shared" si="204"/>
        <v>0</v>
      </c>
      <c r="BL516" s="33">
        <f t="shared" si="221"/>
        <v>0</v>
      </c>
      <c r="BQ516" s="47" t="str">
        <f t="shared" si="205"/>
        <v>SECHART CREEKChum</v>
      </c>
      <c r="BR516" s="49">
        <f t="shared" si="206"/>
        <v>0</v>
      </c>
      <c r="BS516" s="49">
        <f t="shared" si="207"/>
        <v>0</v>
      </c>
      <c r="BT516" s="31">
        <v>1998</v>
      </c>
      <c r="BU516" s="188">
        <f t="shared" si="208"/>
        <v>0</v>
      </c>
      <c r="BV516" s="188" t="str">
        <f t="shared" si="209"/>
        <v xml:space="preserve"> </v>
      </c>
      <c r="BW516" s="188" t="str">
        <f t="shared" si="210"/>
        <v xml:space="preserve"> </v>
      </c>
      <c r="BX516" s="188" t="str">
        <f t="shared" si="211"/>
        <v xml:space="preserve"> </v>
      </c>
      <c r="BY516" s="50" t="str">
        <f t="shared" si="223"/>
        <v>SECHART CREEK_Chum</v>
      </c>
      <c r="BZ516" s="50" t="str">
        <f>IFERROR(VLOOKUP(BY516,'[1]WCVI Esc'!$C$5:$W$555,18,FALSE),"-")</f>
        <v>-</v>
      </c>
      <c r="CA516" s="50" t="str">
        <f t="shared" si="212"/>
        <v>-</v>
      </c>
      <c r="CB516" s="50" t="str">
        <f>IFERROR(VLOOKUP(BY516,'[1]WCVI Esc'!$C$5:$W$555,19,FALSE),"-")</f>
        <v>-</v>
      </c>
      <c r="CC516" s="50" t="str">
        <f t="shared" si="213"/>
        <v>-</v>
      </c>
      <c r="CE516" s="342" t="str">
        <f t="shared" si="224"/>
        <v>SECHART CREEK_Chum</v>
      </c>
      <c r="CF516" s="341" t="str">
        <f>IFERROR(VLOOKUP(BY516,'RawPL+D'!$O$8:$AB$503,12,FALSE),"-")</f>
        <v>-</v>
      </c>
      <c r="CG516" s="338" t="str">
        <f t="shared" si="214"/>
        <v>-</v>
      </c>
      <c r="CH516" s="341" t="str">
        <f>IFERROR(VLOOKUP(BY516,'RawPL+D'!$O$8:$AB$503,13,FALSE),"-")</f>
        <v>-</v>
      </c>
      <c r="CI516" s="338" t="str">
        <f t="shared" si="215"/>
        <v>-</v>
      </c>
    </row>
    <row r="517" spans="1:87" ht="12.75" hidden="1" customHeight="1" x14ac:dyDescent="0.2">
      <c r="A517" s="28">
        <v>4</v>
      </c>
      <c r="B517" s="28">
        <v>5</v>
      </c>
      <c r="C517" s="11">
        <v>23</v>
      </c>
      <c r="D517" s="148" t="s">
        <v>295</v>
      </c>
      <c r="E517" s="10" t="s">
        <v>185</v>
      </c>
      <c r="F517" s="10" t="s">
        <v>210</v>
      </c>
      <c r="G517" s="10"/>
      <c r="H517" s="10"/>
      <c r="I517" s="10"/>
      <c r="J517" s="10"/>
      <c r="K517" s="575"/>
      <c r="L517" s="152"/>
      <c r="M517" s="164"/>
      <c r="N517" s="62"/>
      <c r="O517" s="62"/>
      <c r="P517" s="177"/>
      <c r="Q517" s="171"/>
      <c r="R517" s="62"/>
      <c r="S517" s="62"/>
      <c r="T517" s="62"/>
      <c r="U517" s="64"/>
      <c r="V517" s="164"/>
      <c r="W517" s="62"/>
      <c r="X517" s="62"/>
      <c r="Y517" s="62"/>
      <c r="Z517" s="64"/>
      <c r="AA517" s="164"/>
      <c r="AB517" s="62"/>
      <c r="AC517" s="62"/>
      <c r="AD517" s="64"/>
      <c r="AE517" s="164"/>
      <c r="AF517" s="62"/>
      <c r="AG517" s="62"/>
      <c r="AH517" s="337"/>
      <c r="AI517" s="337"/>
      <c r="AJ517" s="337"/>
      <c r="AK517" s="337"/>
      <c r="AL517" s="414"/>
      <c r="AM517" s="414"/>
      <c r="AN517" s="45"/>
      <c r="AO517" s="45"/>
      <c r="AP517" s="45"/>
      <c r="AQ517" s="485"/>
      <c r="AR517" s="100"/>
      <c r="AS517" s="485"/>
      <c r="AT517" s="24"/>
      <c r="AU517" s="24"/>
      <c r="AV517" s="24"/>
      <c r="AW517" s="18">
        <v>23</v>
      </c>
      <c r="AX517" s="69" t="s">
        <v>295</v>
      </c>
      <c r="AY517" s="243" t="s">
        <v>185</v>
      </c>
      <c r="AZ517" s="243" t="str">
        <f t="shared" si="199"/>
        <v>Chinook</v>
      </c>
      <c r="BA517" s="243" t="s">
        <v>419</v>
      </c>
      <c r="BB517" s="246"/>
      <c r="BC517" s="43" t="str">
        <f t="shared" si="200"/>
        <v>-</v>
      </c>
      <c r="BD517" s="43">
        <f t="shared" si="219"/>
        <v>0</v>
      </c>
      <c r="BE517" s="193">
        <f t="shared" si="217"/>
        <v>0</v>
      </c>
      <c r="BF517" s="193">
        <f t="shared" si="201"/>
        <v>0</v>
      </c>
      <c r="BG517" s="193">
        <f t="shared" si="202"/>
        <v>0</v>
      </c>
      <c r="BH517" s="307" t="str">
        <f t="shared" si="218"/>
        <v>-</v>
      </c>
      <c r="BI517" s="265" t="str">
        <f t="shared" si="222"/>
        <v>-</v>
      </c>
      <c r="BJ517" s="26" t="str">
        <f t="shared" si="203"/>
        <v>SECHART CREEKChinook</v>
      </c>
      <c r="BK517" s="26">
        <f t="shared" si="204"/>
        <v>0</v>
      </c>
      <c r="BL517" s="33">
        <f t="shared" si="221"/>
        <v>0</v>
      </c>
      <c r="BQ517" s="47" t="str">
        <f t="shared" si="205"/>
        <v>SECHART CREEKChinook</v>
      </c>
      <c r="BR517" s="49">
        <f t="shared" si="206"/>
        <v>0</v>
      </c>
      <c r="BS517" s="49">
        <f t="shared" si="207"/>
        <v>0</v>
      </c>
      <c r="BT517" s="31">
        <v>0</v>
      </c>
      <c r="BU517" s="188">
        <f t="shared" si="208"/>
        <v>0</v>
      </c>
      <c r="BV517" s="188" t="str">
        <f t="shared" si="209"/>
        <v xml:space="preserve"> </v>
      </c>
      <c r="BW517" s="188" t="str">
        <f t="shared" si="210"/>
        <v xml:space="preserve"> </v>
      </c>
      <c r="BX517" s="188" t="str">
        <f t="shared" si="211"/>
        <v xml:space="preserve"> </v>
      </c>
      <c r="BY517" s="50" t="str">
        <f t="shared" si="223"/>
        <v>SECHART CREEK_Chinook</v>
      </c>
      <c r="BZ517" s="50" t="str">
        <f>IFERROR(VLOOKUP(BY517,'[1]WCVI Esc'!$C$5:$W$555,18,FALSE),"-")</f>
        <v>-</v>
      </c>
      <c r="CA517" s="50" t="str">
        <f t="shared" si="212"/>
        <v>-</v>
      </c>
      <c r="CB517" s="50" t="str">
        <f>IFERROR(VLOOKUP(BY517,'[1]WCVI Esc'!$C$5:$W$555,19,FALSE),"-")</f>
        <v>-</v>
      </c>
      <c r="CC517" s="50" t="str">
        <f t="shared" si="213"/>
        <v>-</v>
      </c>
      <c r="CE517" s="342" t="str">
        <f t="shared" si="224"/>
        <v>SECHART CREEK_Chinook</v>
      </c>
      <c r="CF517" s="341" t="str">
        <f>IFERROR(VLOOKUP(BY517,'RawPL+D'!$O$8:$AB$503,12,FALSE),"-")</f>
        <v>-</v>
      </c>
      <c r="CG517" s="338" t="str">
        <f t="shared" si="214"/>
        <v>-</v>
      </c>
      <c r="CH517" s="341" t="str">
        <f>IFERROR(VLOOKUP(BY517,'RawPL+D'!$O$8:$AB$503,13,FALSE),"-")</f>
        <v>-</v>
      </c>
      <c r="CI517" s="338" t="str">
        <f t="shared" si="215"/>
        <v>-</v>
      </c>
    </row>
    <row r="518" spans="1:87" ht="12.75" hidden="1" customHeight="1" x14ac:dyDescent="0.2">
      <c r="A518" s="28">
        <v>4</v>
      </c>
      <c r="B518" s="28">
        <v>6</v>
      </c>
      <c r="C518" s="11">
        <v>23</v>
      </c>
      <c r="D518" s="148" t="s">
        <v>295</v>
      </c>
      <c r="E518" s="10" t="s">
        <v>185</v>
      </c>
      <c r="F518" s="10" t="s">
        <v>211</v>
      </c>
      <c r="G518" s="10"/>
      <c r="H518" s="10"/>
      <c r="I518" s="10"/>
      <c r="J518" s="10"/>
      <c r="K518" s="575"/>
      <c r="L518" s="152"/>
      <c r="M518" s="164"/>
      <c r="N518" s="62"/>
      <c r="O518" s="62"/>
      <c r="P518" s="177"/>
      <c r="Q518" s="171"/>
      <c r="R518" s="62"/>
      <c r="S518" s="62"/>
      <c r="T518" s="62"/>
      <c r="U518" s="64"/>
      <c r="V518" s="164"/>
      <c r="W518" s="62"/>
      <c r="X518" s="62"/>
      <c r="Y518" s="62"/>
      <c r="Z518" s="64"/>
      <c r="AA518" s="164"/>
      <c r="AB518" s="62"/>
      <c r="AC518" s="62"/>
      <c r="AD518" s="64"/>
      <c r="AE518" s="164"/>
      <c r="AF518" s="62"/>
      <c r="AG518" s="62"/>
      <c r="AH518" s="337"/>
      <c r="AI518" s="337"/>
      <c r="AJ518" s="337"/>
      <c r="AK518" s="337"/>
      <c r="AL518" s="414"/>
      <c r="AM518" s="414"/>
      <c r="AN518" s="45"/>
      <c r="AO518" s="45"/>
      <c r="AP518" s="45"/>
      <c r="AQ518" s="485"/>
      <c r="AR518" s="100"/>
      <c r="AS518" s="485"/>
      <c r="AT518" s="24"/>
      <c r="AU518" s="24"/>
      <c r="AV518" s="24"/>
      <c r="AW518" s="18">
        <v>23</v>
      </c>
      <c r="AX518" s="69" t="s">
        <v>295</v>
      </c>
      <c r="AY518" s="243" t="s">
        <v>185</v>
      </c>
      <c r="AZ518" s="243" t="str">
        <f t="shared" si="199"/>
        <v>Steelhead</v>
      </c>
      <c r="BA518" s="243" t="s">
        <v>419</v>
      </c>
      <c r="BB518" s="246"/>
      <c r="BC518" s="43" t="str">
        <f t="shared" si="200"/>
        <v>-</v>
      </c>
      <c r="BD518" s="43">
        <f t="shared" si="219"/>
        <v>0</v>
      </c>
      <c r="BE518" s="193">
        <f t="shared" si="217"/>
        <v>0</v>
      </c>
      <c r="BF518" s="193">
        <f t="shared" si="201"/>
        <v>0</v>
      </c>
      <c r="BG518" s="193">
        <f t="shared" si="202"/>
        <v>0</v>
      </c>
      <c r="BH518" s="307" t="str">
        <f t="shared" si="218"/>
        <v>-</v>
      </c>
      <c r="BI518" s="265" t="str">
        <f t="shared" si="222"/>
        <v>-</v>
      </c>
      <c r="BJ518" s="26" t="str">
        <f t="shared" si="203"/>
        <v>SECHART CREEKSteelhead</v>
      </c>
      <c r="BK518" s="26">
        <f t="shared" si="204"/>
        <v>0</v>
      </c>
      <c r="BL518" s="33">
        <f t="shared" si="221"/>
        <v>0</v>
      </c>
      <c r="BQ518" s="47" t="str">
        <f t="shared" si="205"/>
        <v>SECHART CREEKSteelhead</v>
      </c>
      <c r="BR518" s="49">
        <f t="shared" si="206"/>
        <v>0</v>
      </c>
      <c r="BS518" s="49">
        <f t="shared" si="207"/>
        <v>0</v>
      </c>
      <c r="BT518" s="31">
        <v>0</v>
      </c>
      <c r="BU518" s="188">
        <f t="shared" si="208"/>
        <v>0</v>
      </c>
      <c r="BV518" s="188" t="str">
        <f t="shared" si="209"/>
        <v xml:space="preserve"> </v>
      </c>
      <c r="BW518" s="188" t="str">
        <f t="shared" si="210"/>
        <v xml:space="preserve"> </v>
      </c>
      <c r="BX518" s="188" t="str">
        <f t="shared" si="211"/>
        <v xml:space="preserve"> </v>
      </c>
      <c r="BY518" s="50" t="str">
        <f t="shared" si="223"/>
        <v>SECHART CREEK_Steelhead</v>
      </c>
      <c r="BZ518" s="50" t="str">
        <f>IFERROR(VLOOKUP(BY518,'[1]WCVI Esc'!$C$5:$W$555,18,FALSE),"-")</f>
        <v>-</v>
      </c>
      <c r="CA518" s="50" t="str">
        <f t="shared" si="212"/>
        <v>-</v>
      </c>
      <c r="CB518" s="50" t="str">
        <f>IFERROR(VLOOKUP(BY518,'[1]WCVI Esc'!$C$5:$W$555,19,FALSE),"-")</f>
        <v>-</v>
      </c>
      <c r="CC518" s="50" t="str">
        <f t="shared" si="213"/>
        <v>-</v>
      </c>
      <c r="CE518" s="342" t="str">
        <f t="shared" si="224"/>
        <v>SECHART CREEK_Steelhead</v>
      </c>
      <c r="CF518" s="341" t="str">
        <f>IFERROR(VLOOKUP(BY518,'RawPL+D'!$O$8:$AB$503,12,FALSE),"-")</f>
        <v>-</v>
      </c>
      <c r="CG518" s="338" t="str">
        <f t="shared" si="214"/>
        <v>-</v>
      </c>
      <c r="CH518" s="341" t="str">
        <f>IFERROR(VLOOKUP(BY518,'RawPL+D'!$O$8:$AB$503,13,FALSE),"-")</f>
        <v>-</v>
      </c>
      <c r="CI518" s="338" t="str">
        <f t="shared" si="215"/>
        <v>-</v>
      </c>
    </row>
    <row r="519" spans="1:87" ht="12.75" hidden="1" customHeight="1" x14ac:dyDescent="0.2">
      <c r="A519" s="28">
        <v>4</v>
      </c>
      <c r="B519" s="28">
        <v>1</v>
      </c>
      <c r="C519" s="11">
        <v>23</v>
      </c>
      <c r="D519" s="148" t="s">
        <v>295</v>
      </c>
      <c r="E519" s="10" t="s">
        <v>108</v>
      </c>
      <c r="F519" s="10" t="s">
        <v>207</v>
      </c>
      <c r="G519" s="10"/>
      <c r="H519" s="10"/>
      <c r="I519" s="10"/>
      <c r="J519" s="10"/>
      <c r="K519" s="575"/>
      <c r="L519" s="152"/>
      <c r="M519" s="164"/>
      <c r="N519" s="62"/>
      <c r="O519" s="444"/>
      <c r="P519" s="177"/>
      <c r="Q519" s="602"/>
      <c r="R519" s="62"/>
      <c r="S519" s="62"/>
      <c r="T519" s="724">
        <v>0</v>
      </c>
      <c r="U519" s="781">
        <v>0</v>
      </c>
      <c r="V519" s="796">
        <v>0</v>
      </c>
      <c r="W519" s="62"/>
      <c r="X519" s="62"/>
      <c r="Y519" s="62"/>
      <c r="Z519" s="64"/>
      <c r="AA519" s="164"/>
      <c r="AB519" s="62"/>
      <c r="AC519" s="62"/>
      <c r="AD519" s="64"/>
      <c r="AE519" s="164"/>
      <c r="AF519" s="62"/>
      <c r="AG519" s="62"/>
      <c r="AH519" s="337">
        <v>0</v>
      </c>
      <c r="AI519" s="337">
        <v>0</v>
      </c>
      <c r="AJ519" s="337">
        <v>0</v>
      </c>
      <c r="AK519" s="337">
        <v>0</v>
      </c>
      <c r="AL519" s="552">
        <v>0</v>
      </c>
      <c r="AM519" s="552">
        <v>0</v>
      </c>
      <c r="AN519" s="552" t="s">
        <v>765</v>
      </c>
      <c r="AO519" s="552" t="s">
        <v>773</v>
      </c>
      <c r="AP519" s="45"/>
      <c r="AQ519" s="485"/>
      <c r="AR519" s="100"/>
      <c r="AS519" s="485"/>
      <c r="AT519" s="24"/>
      <c r="AU519" s="24"/>
      <c r="AV519" s="24"/>
      <c r="AW519" s="18">
        <v>23</v>
      </c>
      <c r="AX519" s="69" t="s">
        <v>295</v>
      </c>
      <c r="AY519" s="243" t="s">
        <v>108</v>
      </c>
      <c r="AZ519" s="243" t="str">
        <f t="shared" si="199"/>
        <v>Sockeye</v>
      </c>
      <c r="BA519" s="243" t="s">
        <v>419</v>
      </c>
      <c r="BB519" s="244" t="s">
        <v>289</v>
      </c>
      <c r="BC519" s="43" t="str">
        <f t="shared" si="200"/>
        <v>Nov 5-11</v>
      </c>
      <c r="BD519" s="43">
        <f t="shared" si="219"/>
        <v>3</v>
      </c>
      <c r="BE519" s="193">
        <f t="shared" si="217"/>
        <v>0</v>
      </c>
      <c r="BF519" s="193">
        <f t="shared" si="201"/>
        <v>0</v>
      </c>
      <c r="BG519" s="193">
        <f t="shared" si="202"/>
        <v>0</v>
      </c>
      <c r="BH519" s="307">
        <f t="shared" si="218"/>
        <v>0</v>
      </c>
      <c r="BI519" s="265"/>
      <c r="BJ519" s="26" t="str">
        <f t="shared" si="203"/>
        <v>TWIN RIVERS EAST CREEKSockeye</v>
      </c>
      <c r="BK519" s="26">
        <f t="shared" si="204"/>
        <v>3</v>
      </c>
      <c r="BL519" s="33">
        <f t="shared" si="221"/>
        <v>0</v>
      </c>
      <c r="BQ519" s="47" t="str">
        <f t="shared" si="205"/>
        <v>TWIN RIVERS EAST CREEKSockeye</v>
      </c>
      <c r="BR519" s="49">
        <f t="shared" si="206"/>
        <v>0</v>
      </c>
      <c r="BS519" s="49">
        <f t="shared" si="207"/>
        <v>0</v>
      </c>
      <c r="BT519" s="31">
        <v>0</v>
      </c>
      <c r="BU519" s="188" t="str">
        <f t="shared" si="208"/>
        <v>TCES</v>
      </c>
      <c r="BV519" s="188" t="str">
        <f t="shared" si="209"/>
        <v xml:space="preserve"> </v>
      </c>
      <c r="BW519" s="188" t="str">
        <f t="shared" si="210"/>
        <v>Nov 5-11</v>
      </c>
      <c r="BX519" s="188" t="str">
        <f t="shared" si="211"/>
        <v xml:space="preserve"> </v>
      </c>
      <c r="BY519" s="50" t="str">
        <f t="shared" si="223"/>
        <v>TWIN RIVERS EAST CREEK_Sockeye</v>
      </c>
      <c r="BZ519" s="50" t="str">
        <f>IFERROR(VLOOKUP(BY519,'[1]WCVI Esc'!$C$5:$W$555,18,FALSE),"-")</f>
        <v>-</v>
      </c>
      <c r="CA519" s="50" t="str">
        <f t="shared" si="212"/>
        <v>-</v>
      </c>
      <c r="CB519" s="50" t="str">
        <f>IFERROR(VLOOKUP(BY519,'[1]WCVI Esc'!$C$5:$W$555,19,FALSE),"-")</f>
        <v>-</v>
      </c>
      <c r="CC519" s="50" t="str">
        <f t="shared" si="213"/>
        <v>-</v>
      </c>
      <c r="CE519" s="342" t="str">
        <f t="shared" si="224"/>
        <v>TWIN RIVERS EAST CREEK_Sockeye</v>
      </c>
      <c r="CF519" s="341">
        <f>IFERROR(VLOOKUP(BY519,'RawPL+D'!$O$8:$AB$503,12,FALSE),"-")</f>
        <v>0</v>
      </c>
      <c r="CG519" s="338">
        <f t="shared" si="214"/>
        <v>0</v>
      </c>
      <c r="CH519" s="341">
        <f>IFERROR(VLOOKUP(BY519,'RawPL+D'!$O$8:$AB$503,13,FALSE),"-")</f>
        <v>0</v>
      </c>
      <c r="CI519" s="338">
        <f t="shared" si="215"/>
        <v>0</v>
      </c>
    </row>
    <row r="520" spans="1:87" ht="12.75" hidden="1" customHeight="1" x14ac:dyDescent="0.2">
      <c r="A520" s="28">
        <v>4</v>
      </c>
      <c r="B520" s="28">
        <v>2</v>
      </c>
      <c r="C520" s="11">
        <v>23</v>
      </c>
      <c r="D520" s="13" t="s">
        <v>295</v>
      </c>
      <c r="E520" s="10" t="s">
        <v>108</v>
      </c>
      <c r="F520" s="10" t="s">
        <v>219</v>
      </c>
      <c r="G520" s="10"/>
      <c r="H520" s="10"/>
      <c r="I520" s="10"/>
      <c r="J520" s="10"/>
      <c r="K520" s="575"/>
      <c r="L520" s="152"/>
      <c r="M520" s="164"/>
      <c r="N520" s="62"/>
      <c r="O520" s="444"/>
      <c r="P520" s="177"/>
      <c r="Q520" s="602"/>
      <c r="R520" s="62"/>
      <c r="S520" s="62"/>
      <c r="T520" s="724">
        <v>7</v>
      </c>
      <c r="U520" s="781">
        <v>0</v>
      </c>
      <c r="V520" s="796">
        <v>5</v>
      </c>
      <c r="W520" s="62"/>
      <c r="X520" s="62"/>
      <c r="Y520" s="62"/>
      <c r="Z520" s="64"/>
      <c r="AA520" s="164"/>
      <c r="AB520" s="62"/>
      <c r="AC520" s="62"/>
      <c r="AD520" s="64"/>
      <c r="AE520" s="164"/>
      <c r="AF520" s="62"/>
      <c r="AG520" s="62"/>
      <c r="AH520" s="337">
        <v>9</v>
      </c>
      <c r="AI520" s="337">
        <v>2</v>
      </c>
      <c r="AJ520" s="337">
        <v>0</v>
      </c>
      <c r="AK520" s="337">
        <v>0</v>
      </c>
      <c r="AL520" s="555">
        <v>9</v>
      </c>
      <c r="AM520" s="552">
        <v>11</v>
      </c>
      <c r="AN520" s="552" t="s">
        <v>765</v>
      </c>
      <c r="AO520" s="552" t="s">
        <v>773</v>
      </c>
      <c r="AP520" s="46"/>
      <c r="AQ520" s="485">
        <f>AL520/BI520</f>
        <v>0.22500000000000001</v>
      </c>
      <c r="AR520" s="100">
        <f>BL520/BH520</f>
        <v>0.35</v>
      </c>
      <c r="AS520" s="485">
        <f>BL520/BI520</f>
        <v>0.17499999999999999</v>
      </c>
      <c r="AT520" s="24"/>
      <c r="AU520" s="24"/>
      <c r="AV520" s="24"/>
      <c r="AW520" s="18">
        <v>23</v>
      </c>
      <c r="AX520" s="69" t="s">
        <v>295</v>
      </c>
      <c r="AY520" s="243" t="s">
        <v>108</v>
      </c>
      <c r="AZ520" s="243" t="str">
        <f t="shared" si="199"/>
        <v>Coho</v>
      </c>
      <c r="BA520" s="243" t="s">
        <v>419</v>
      </c>
      <c r="BB520" s="244" t="s">
        <v>289</v>
      </c>
      <c r="BC520" s="43" t="str">
        <f t="shared" si="200"/>
        <v>Nov 5-11</v>
      </c>
      <c r="BD520" s="43">
        <f t="shared" si="219"/>
        <v>3</v>
      </c>
      <c r="BE520" s="193">
        <f t="shared" si="217"/>
        <v>7</v>
      </c>
      <c r="BF520" s="193">
        <f t="shared" si="201"/>
        <v>9</v>
      </c>
      <c r="BG520" s="193">
        <f t="shared" si="202"/>
        <v>9</v>
      </c>
      <c r="BH520" s="307">
        <f t="shared" si="218"/>
        <v>20</v>
      </c>
      <c r="BI520" s="265">
        <f>CC520</f>
        <v>40</v>
      </c>
      <c r="BJ520" s="26" t="str">
        <f t="shared" si="203"/>
        <v>TWIN RIVERS EAST CREEKCoho</v>
      </c>
      <c r="BK520" s="26">
        <f t="shared" si="204"/>
        <v>3</v>
      </c>
      <c r="BL520" s="33">
        <f t="shared" si="221"/>
        <v>7</v>
      </c>
      <c r="BQ520" s="47" t="str">
        <f t="shared" si="205"/>
        <v>TWIN RIVERS EAST CREEKCoho</v>
      </c>
      <c r="BR520" s="49">
        <f t="shared" si="206"/>
        <v>0</v>
      </c>
      <c r="BS520" s="49">
        <f t="shared" si="207"/>
        <v>9</v>
      </c>
      <c r="BT520" s="31">
        <v>2006</v>
      </c>
      <c r="BU520" s="188" t="str">
        <f t="shared" si="208"/>
        <v>TCES</v>
      </c>
      <c r="BV520" s="188" t="str">
        <f t="shared" si="209"/>
        <v xml:space="preserve"> </v>
      </c>
      <c r="BW520" s="188" t="str">
        <f t="shared" si="210"/>
        <v>Nov 5-11</v>
      </c>
      <c r="BX520" s="188" t="str">
        <f t="shared" si="211"/>
        <v xml:space="preserve"> </v>
      </c>
      <c r="BY520" s="50" t="str">
        <f t="shared" si="223"/>
        <v>TWIN RIVERS EAST CREEK_Coho</v>
      </c>
      <c r="BZ520" s="50">
        <f>IFERROR(VLOOKUP(BY520,'[1]WCVI Esc'!$C$5:$W$555,18,FALSE),"-")</f>
        <v>30.666666666666668</v>
      </c>
      <c r="CA520" s="50">
        <f t="shared" si="212"/>
        <v>30</v>
      </c>
      <c r="CB520" s="50">
        <f>IFERROR(VLOOKUP(BY520,'[1]WCVI Esc'!$C$5:$W$555,19,FALSE),"-")</f>
        <v>40.4</v>
      </c>
      <c r="CC520" s="50">
        <f t="shared" si="213"/>
        <v>40</v>
      </c>
      <c r="CE520" s="342" t="str">
        <f t="shared" si="224"/>
        <v>TWIN RIVERS EAST CREEK_Coho</v>
      </c>
      <c r="CF520" s="341">
        <f>IFERROR(VLOOKUP(CE520,'RawPL+D'!$O$8:$AB$503,12,FALSE),"-")</f>
        <v>0</v>
      </c>
      <c r="CG520" s="338">
        <f t="shared" si="214"/>
        <v>0</v>
      </c>
      <c r="CH520" s="341">
        <f>IFERROR(VLOOKUP(CE520,'RawPL+D'!$O$8:$AB$503,13,FALSE),"-")</f>
        <v>18.5</v>
      </c>
      <c r="CI520" s="338">
        <f t="shared" si="215"/>
        <v>20</v>
      </c>
    </row>
    <row r="521" spans="1:87" ht="12.75" hidden="1" customHeight="1" x14ac:dyDescent="0.2">
      <c r="A521" s="28">
        <v>4</v>
      </c>
      <c r="B521" s="28">
        <v>3</v>
      </c>
      <c r="C521" s="11">
        <v>23</v>
      </c>
      <c r="D521" s="148" t="s">
        <v>295</v>
      </c>
      <c r="E521" s="10" t="s">
        <v>108</v>
      </c>
      <c r="F521" s="10" t="s">
        <v>208</v>
      </c>
      <c r="G521" s="10"/>
      <c r="H521" s="10"/>
      <c r="I521" s="10"/>
      <c r="J521" s="10"/>
      <c r="K521" s="575"/>
      <c r="L521" s="152"/>
      <c r="M521" s="164"/>
      <c r="N521" s="62"/>
      <c r="O521" s="444"/>
      <c r="P521" s="177"/>
      <c r="Q521" s="602"/>
      <c r="R521" s="62"/>
      <c r="S521" s="62"/>
      <c r="T521" s="724">
        <v>0</v>
      </c>
      <c r="U521" s="781">
        <v>0</v>
      </c>
      <c r="V521" s="796">
        <v>0</v>
      </c>
      <c r="W521" s="62"/>
      <c r="X521" s="62"/>
      <c r="Y521" s="62"/>
      <c r="Z521" s="64"/>
      <c r="AA521" s="164"/>
      <c r="AB521" s="62"/>
      <c r="AC521" s="62"/>
      <c r="AD521" s="64"/>
      <c r="AE521" s="164"/>
      <c r="AF521" s="62"/>
      <c r="AG521" s="62"/>
      <c r="AH521" s="337">
        <v>0</v>
      </c>
      <c r="AI521" s="337">
        <v>0</v>
      </c>
      <c r="AJ521" s="337">
        <v>0</v>
      </c>
      <c r="AK521" s="337">
        <v>0</v>
      </c>
      <c r="AL521" s="552">
        <v>0</v>
      </c>
      <c r="AM521" s="552">
        <v>0</v>
      </c>
      <c r="AN521" s="552" t="s">
        <v>765</v>
      </c>
      <c r="AO521" s="552" t="s">
        <v>773</v>
      </c>
      <c r="AP521" s="45"/>
      <c r="AQ521" s="485"/>
      <c r="AR521" s="100"/>
      <c r="AS521" s="485"/>
      <c r="AT521" s="24"/>
      <c r="AU521" s="24"/>
      <c r="AV521" s="24"/>
      <c r="AW521" s="18">
        <v>23</v>
      </c>
      <c r="AX521" s="69" t="s">
        <v>295</v>
      </c>
      <c r="AY521" s="243" t="s">
        <v>108</v>
      </c>
      <c r="AZ521" s="243" t="str">
        <f t="shared" ref="AZ521:AZ584" si="225">F521</f>
        <v>Pink</v>
      </c>
      <c r="BA521" s="243" t="s">
        <v>419</v>
      </c>
      <c r="BB521" s="244" t="s">
        <v>289</v>
      </c>
      <c r="BC521" s="43" t="str">
        <f t="shared" ref="BC521:BC584" si="226">IF(BX521=" ",IF(BW521=" ", IF(BV521=" ","-",BV521),BW521), BX521)</f>
        <v>Nov 5-11</v>
      </c>
      <c r="BD521" s="43">
        <f t="shared" si="219"/>
        <v>3</v>
      </c>
      <c r="BE521" s="193">
        <f t="shared" si="217"/>
        <v>0</v>
      </c>
      <c r="BF521" s="193">
        <f t="shared" ref="BF521:BF584" si="227">AL521</f>
        <v>0</v>
      </c>
      <c r="BG521" s="193">
        <f t="shared" ref="BG521:BG584" si="228">AH521</f>
        <v>0</v>
      </c>
      <c r="BH521" s="307">
        <f t="shared" si="218"/>
        <v>0</v>
      </c>
      <c r="BI521" s="265"/>
      <c r="BJ521" s="26" t="str">
        <f t="shared" ref="BJ521:BJ584" si="229">CONCATENATE(E521,F521)</f>
        <v>TWIN RIVERS EAST CREEKPink</v>
      </c>
      <c r="BK521" s="26">
        <f t="shared" ref="BK521:BK584" si="230">COUNT(K521:AB521)</f>
        <v>3</v>
      </c>
      <c r="BL521" s="33">
        <f t="shared" si="221"/>
        <v>0</v>
      </c>
      <c r="BQ521" s="47" t="str">
        <f t="shared" ref="BQ521:BQ584" si="231">CONCATENATE(E521,F521)</f>
        <v>TWIN RIVERS EAST CREEKPink</v>
      </c>
      <c r="BR521" s="49">
        <f t="shared" ref="BR521:BR584" si="232">AP521</f>
        <v>0</v>
      </c>
      <c r="BS521" s="49">
        <f t="shared" ref="BS521:BS584" si="233">AL521</f>
        <v>0</v>
      </c>
      <c r="BT521" s="31">
        <v>0</v>
      </c>
      <c r="BU521" s="188" t="str">
        <f t="shared" ref="BU521:BU584" si="234">BB521</f>
        <v>TCES</v>
      </c>
      <c r="BV521" s="188" t="str">
        <f t="shared" ref="BV521:BV584" si="235">IF(ISNUMBER(Q521),Q$8,IF(ISNUMBER(P521),P$8,IF(ISNUMBER(O521),O$8,IF(ISNUMBER(N521),N$8,IF(ISNUMBER(M521),M$8,IF(ISNUMBER(L521),L$8, IF(ISNUMBER(K521),K$8," ")))))))</f>
        <v xml:space="preserve"> </v>
      </c>
      <c r="BW521" s="188" t="str">
        <f t="shared" ref="BW521:BW584" si="236">IF(ISNUMBER(W521),W$8,IF(ISNUMBER(V521),V$8,IF(ISNUMBER(U521),U$8,IF(ISNUMBER(T521),T$8,IF(ISNUMBER(S521),S$8,IF(ISNUMBER(R521),R$8," "))))))</f>
        <v>Nov 5-11</v>
      </c>
      <c r="BX521" s="188" t="str">
        <f t="shared" ref="BX521:BX584" si="237">IF(ISNUMBER(AB521),AB$8,IF(ISNUMBER(AA521),AA$8,IF(ISNUMBER(Z521),Z$8,IF(ISNUMBER(Y521),Y$8,IF(ISNUMBER(X521),X$8," ")))))</f>
        <v xml:space="preserve"> </v>
      </c>
      <c r="BY521" s="50" t="str">
        <f t="shared" si="223"/>
        <v>TWIN RIVERS EAST CREEK_Pink</v>
      </c>
      <c r="BZ521" s="50" t="str">
        <f>IFERROR(VLOOKUP(BY521,'[1]WCVI Esc'!$C$5:$W$555,18,FALSE),"-")</f>
        <v>-</v>
      </c>
      <c r="CA521" s="50" t="str">
        <f t="shared" ref="CA521:CA584" si="238">IFERROR(ROUND(BZ521,-1),"-")</f>
        <v>-</v>
      </c>
      <c r="CB521" s="50" t="str">
        <f>IFERROR(VLOOKUP(BY521,'[1]WCVI Esc'!$C$5:$W$555,19,FALSE),"-")</f>
        <v>-</v>
      </c>
      <c r="CC521" s="50" t="str">
        <f t="shared" ref="CC521:CC584" si="239">IFERROR(ROUND(CB521,-1),"-")</f>
        <v>-</v>
      </c>
      <c r="CE521" s="342" t="str">
        <f t="shared" si="224"/>
        <v>TWIN RIVERS EAST CREEK_Pink</v>
      </c>
      <c r="CF521" s="341">
        <f>IFERROR(VLOOKUP(BY521,'RawPL+D'!$O$8:$AB$503,12,FALSE),"-")</f>
        <v>0</v>
      </c>
      <c r="CG521" s="338">
        <f t="shared" ref="CG521:CG584" si="240">IFERROR(ROUND(CF521,-1),"-")</f>
        <v>0</v>
      </c>
      <c r="CH521" s="341">
        <f>IFERROR(VLOOKUP(BY521,'RawPL+D'!$O$8:$AB$503,13,FALSE),"-")</f>
        <v>0</v>
      </c>
      <c r="CI521" s="338">
        <f t="shared" ref="CI521:CI584" si="241">IFERROR(ROUND(CH521,-1),"-")</f>
        <v>0</v>
      </c>
    </row>
    <row r="522" spans="1:87" ht="12.75" hidden="1" customHeight="1" x14ac:dyDescent="0.2">
      <c r="A522" s="28">
        <v>4</v>
      </c>
      <c r="B522" s="28">
        <v>4</v>
      </c>
      <c r="C522" s="11">
        <v>23</v>
      </c>
      <c r="D522" s="13" t="s">
        <v>295</v>
      </c>
      <c r="E522" s="10" t="s">
        <v>108</v>
      </c>
      <c r="F522" s="10" t="s">
        <v>209</v>
      </c>
      <c r="G522" s="10"/>
      <c r="H522" s="10"/>
      <c r="I522" s="10"/>
      <c r="J522" s="10"/>
      <c r="K522" s="575"/>
      <c r="L522" s="152"/>
      <c r="M522" s="164"/>
      <c r="N522" s="62"/>
      <c r="O522" s="444"/>
      <c r="P522" s="177"/>
      <c r="Q522" s="602"/>
      <c r="R522" s="62"/>
      <c r="S522" s="62"/>
      <c r="T522" s="726">
        <f>1049+113</f>
        <v>1162</v>
      </c>
      <c r="U522" s="782">
        <f>380+286</f>
        <v>666</v>
      </c>
      <c r="V522" s="797">
        <f>207+315</f>
        <v>522</v>
      </c>
      <c r="W522" s="62"/>
      <c r="X522" s="62"/>
      <c r="Y522" s="62"/>
      <c r="Z522" s="64"/>
      <c r="AA522" s="164"/>
      <c r="AB522" s="62"/>
      <c r="AC522" s="62"/>
      <c r="AD522" s="64"/>
      <c r="AE522" s="164"/>
      <c r="AF522" s="62"/>
      <c r="AG522" s="62"/>
      <c r="AH522" s="337">
        <v>1291</v>
      </c>
      <c r="AI522" s="337">
        <v>0</v>
      </c>
      <c r="AJ522" s="337">
        <v>0</v>
      </c>
      <c r="AK522" s="337">
        <v>0</v>
      </c>
      <c r="AL522" s="555">
        <v>1291</v>
      </c>
      <c r="AM522" s="552">
        <v>1291</v>
      </c>
      <c r="AN522" s="552" t="s">
        <v>765</v>
      </c>
      <c r="AO522" s="552" t="s">
        <v>773</v>
      </c>
      <c r="AP522" s="45"/>
      <c r="AQ522" s="485">
        <f>AL522/BI522</f>
        <v>7.5941176470588232</v>
      </c>
      <c r="AR522" s="100">
        <f>BL522/BH522</f>
        <v>6.4555555555555557</v>
      </c>
      <c r="AS522" s="485">
        <f>BL522/BI522</f>
        <v>6.8352941176470585</v>
      </c>
      <c r="AT522" s="24"/>
      <c r="AU522" s="24"/>
      <c r="AV522" s="24"/>
      <c r="AW522" s="18">
        <v>23</v>
      </c>
      <c r="AX522" s="69" t="s">
        <v>295</v>
      </c>
      <c r="AY522" s="243" t="s">
        <v>108</v>
      </c>
      <c r="AZ522" s="243" t="str">
        <f t="shared" si="225"/>
        <v>Chum</v>
      </c>
      <c r="BA522" s="243" t="s">
        <v>419</v>
      </c>
      <c r="BB522" s="244" t="s">
        <v>289</v>
      </c>
      <c r="BC522" s="43" t="str">
        <f t="shared" si="226"/>
        <v>Nov 5-11</v>
      </c>
      <c r="BD522" s="43">
        <f t="shared" si="219"/>
        <v>3</v>
      </c>
      <c r="BE522" s="193">
        <f t="shared" si="217"/>
        <v>1162</v>
      </c>
      <c r="BF522" s="193">
        <f t="shared" si="227"/>
        <v>1291</v>
      </c>
      <c r="BG522" s="193">
        <f t="shared" si="228"/>
        <v>1291</v>
      </c>
      <c r="BH522" s="307">
        <f t="shared" si="218"/>
        <v>180</v>
      </c>
      <c r="BI522" s="265">
        <f>CC522</f>
        <v>170</v>
      </c>
      <c r="BJ522" s="26" t="str">
        <f t="shared" si="229"/>
        <v>TWIN RIVERS EAST CREEKChum</v>
      </c>
      <c r="BK522" s="26">
        <f t="shared" si="230"/>
        <v>3</v>
      </c>
      <c r="BL522" s="33">
        <f t="shared" si="221"/>
        <v>1162</v>
      </c>
      <c r="BQ522" s="47" t="str">
        <f t="shared" si="231"/>
        <v>TWIN RIVERS EAST CREEKChum</v>
      </c>
      <c r="BR522" s="49">
        <f t="shared" si="232"/>
        <v>0</v>
      </c>
      <c r="BS522" s="49">
        <f t="shared" si="233"/>
        <v>1291</v>
      </c>
      <c r="BT522" s="31">
        <v>2014</v>
      </c>
      <c r="BU522" s="188" t="str">
        <f t="shared" si="234"/>
        <v>TCES</v>
      </c>
      <c r="BV522" s="188" t="str">
        <f t="shared" si="235"/>
        <v xml:space="preserve"> </v>
      </c>
      <c r="BW522" s="188" t="str">
        <f t="shared" si="236"/>
        <v>Nov 5-11</v>
      </c>
      <c r="BX522" s="188" t="str">
        <f t="shared" si="237"/>
        <v xml:space="preserve"> </v>
      </c>
      <c r="BY522" s="50" t="str">
        <f t="shared" si="223"/>
        <v>TWIN RIVERS EAST CREEK_Chum</v>
      </c>
      <c r="BZ522" s="50">
        <f>IFERROR(VLOOKUP(BY522,'[1]WCVI Esc'!$C$5:$W$555,18,FALSE),"-")</f>
        <v>215.5</v>
      </c>
      <c r="CA522" s="50">
        <f t="shared" si="238"/>
        <v>220</v>
      </c>
      <c r="CB522" s="50">
        <f>IFERROR(VLOOKUP(BY522,'[1]WCVI Esc'!$C$5:$W$555,19,FALSE),"-")</f>
        <v>173.71428571428572</v>
      </c>
      <c r="CC522" s="50">
        <f t="shared" si="239"/>
        <v>170</v>
      </c>
      <c r="CE522" s="342" t="str">
        <f t="shared" si="224"/>
        <v>TWIN RIVERS EAST CREEK_Chum</v>
      </c>
      <c r="CF522" s="341">
        <f>IFERROR(VLOOKUP(CE522,'RawPL+D'!$O$8:$AB$503,12,FALSE),"-")</f>
        <v>332</v>
      </c>
      <c r="CG522" s="338">
        <f t="shared" si="240"/>
        <v>330</v>
      </c>
      <c r="CH522" s="341">
        <f>IFERROR(VLOOKUP(CE522,'RawPL+D'!$O$8:$AB$503,13,FALSE),"-")</f>
        <v>178</v>
      </c>
      <c r="CI522" s="338">
        <f t="shared" si="241"/>
        <v>180</v>
      </c>
    </row>
    <row r="523" spans="1:87" ht="12.75" hidden="1" customHeight="1" x14ac:dyDescent="0.2">
      <c r="A523" s="28">
        <v>4</v>
      </c>
      <c r="B523" s="28">
        <v>5</v>
      </c>
      <c r="C523" s="11">
        <v>23</v>
      </c>
      <c r="D523" s="148" t="s">
        <v>295</v>
      </c>
      <c r="E523" s="10" t="s">
        <v>108</v>
      </c>
      <c r="F523" s="10" t="s">
        <v>210</v>
      </c>
      <c r="G523" s="10"/>
      <c r="H523" s="10"/>
      <c r="I523" s="10"/>
      <c r="J523" s="10"/>
      <c r="K523" s="575"/>
      <c r="L523" s="152"/>
      <c r="M523" s="164"/>
      <c r="N523" s="62"/>
      <c r="O523" s="444"/>
      <c r="P523" s="177"/>
      <c r="Q523" s="602"/>
      <c r="R523" s="62"/>
      <c r="S523" s="62"/>
      <c r="T523" s="724">
        <v>0</v>
      </c>
      <c r="U523" s="781">
        <v>0</v>
      </c>
      <c r="V523" s="796">
        <v>0</v>
      </c>
      <c r="W523" s="62"/>
      <c r="X523" s="62"/>
      <c r="Y523" s="62"/>
      <c r="Z523" s="64"/>
      <c r="AA523" s="164"/>
      <c r="AB523" s="62"/>
      <c r="AC523" s="62"/>
      <c r="AD523" s="64"/>
      <c r="AE523" s="164"/>
      <c r="AF523" s="62"/>
      <c r="AG523" s="62"/>
      <c r="AH523" s="337">
        <v>0</v>
      </c>
      <c r="AI523" s="337">
        <v>0</v>
      </c>
      <c r="AJ523" s="337">
        <v>0</v>
      </c>
      <c r="AK523" s="337">
        <v>0</v>
      </c>
      <c r="AL523" s="552">
        <v>0</v>
      </c>
      <c r="AM523" s="552">
        <v>0</v>
      </c>
      <c r="AN523" s="552" t="s">
        <v>765</v>
      </c>
      <c r="AO523" s="552" t="s">
        <v>773</v>
      </c>
      <c r="AP523" s="45"/>
      <c r="AQ523" s="485"/>
      <c r="AR523" s="100"/>
      <c r="AS523" s="485"/>
      <c r="AT523" s="24"/>
      <c r="AU523" s="24"/>
      <c r="AV523" s="24"/>
      <c r="AW523" s="18">
        <v>23</v>
      </c>
      <c r="AX523" s="69" t="s">
        <v>295</v>
      </c>
      <c r="AY523" s="243" t="s">
        <v>108</v>
      </c>
      <c r="AZ523" s="243" t="str">
        <f t="shared" si="225"/>
        <v>Chinook</v>
      </c>
      <c r="BA523" s="243" t="s">
        <v>419</v>
      </c>
      <c r="BB523" s="244" t="s">
        <v>289</v>
      </c>
      <c r="BC523" s="43" t="str">
        <f t="shared" si="226"/>
        <v>Nov 5-11</v>
      </c>
      <c r="BD523" s="43">
        <f t="shared" si="219"/>
        <v>3</v>
      </c>
      <c r="BE523" s="193">
        <f t="shared" si="217"/>
        <v>0</v>
      </c>
      <c r="BF523" s="193">
        <f t="shared" si="227"/>
        <v>0</v>
      </c>
      <c r="BG523" s="193">
        <f t="shared" si="228"/>
        <v>0</v>
      </c>
      <c r="BH523" s="307">
        <f t="shared" si="218"/>
        <v>0</v>
      </c>
      <c r="BI523" s="265"/>
      <c r="BJ523" s="26" t="str">
        <f t="shared" si="229"/>
        <v>TWIN RIVERS EAST CREEKChinook</v>
      </c>
      <c r="BK523" s="26">
        <f t="shared" si="230"/>
        <v>3</v>
      </c>
      <c r="BL523" s="33">
        <f t="shared" si="221"/>
        <v>0</v>
      </c>
      <c r="BQ523" s="47" t="str">
        <f t="shared" si="231"/>
        <v>TWIN RIVERS EAST CREEKChinook</v>
      </c>
      <c r="BR523" s="49">
        <f t="shared" si="232"/>
        <v>0</v>
      </c>
      <c r="BS523" s="49">
        <f t="shared" si="233"/>
        <v>0</v>
      </c>
      <c r="BT523" s="31">
        <v>0</v>
      </c>
      <c r="BU523" s="188" t="str">
        <f t="shared" si="234"/>
        <v>TCES</v>
      </c>
      <c r="BV523" s="188" t="str">
        <f t="shared" si="235"/>
        <v xml:space="preserve"> </v>
      </c>
      <c r="BW523" s="188" t="str">
        <f t="shared" si="236"/>
        <v>Nov 5-11</v>
      </c>
      <c r="BX523" s="188" t="str">
        <f t="shared" si="237"/>
        <v xml:space="preserve"> </v>
      </c>
      <c r="BY523" s="50" t="str">
        <f t="shared" si="223"/>
        <v>TWIN RIVERS EAST CREEK_Chinook</v>
      </c>
      <c r="BZ523" s="50" t="str">
        <f>IFERROR(VLOOKUP(BY523,'[1]WCVI Esc'!$C$5:$W$555,18,FALSE),"-")</f>
        <v>-</v>
      </c>
      <c r="CA523" s="50" t="str">
        <f t="shared" si="238"/>
        <v>-</v>
      </c>
      <c r="CB523" s="50" t="str">
        <f>IFERROR(VLOOKUP(BY523,'[1]WCVI Esc'!$C$5:$W$555,19,FALSE),"-")</f>
        <v>-</v>
      </c>
      <c r="CC523" s="50" t="str">
        <f t="shared" si="239"/>
        <v>-</v>
      </c>
      <c r="CE523" s="342" t="str">
        <f t="shared" si="224"/>
        <v>TWIN RIVERS EAST CREEK_Chinook</v>
      </c>
      <c r="CF523" s="341">
        <f>IFERROR(VLOOKUP(BY523,'RawPL+D'!$O$8:$AB$503,12,FALSE),"-")</f>
        <v>0</v>
      </c>
      <c r="CG523" s="338">
        <f t="shared" si="240"/>
        <v>0</v>
      </c>
      <c r="CH523" s="341">
        <f>IFERROR(VLOOKUP(BY523,'RawPL+D'!$O$8:$AB$503,13,FALSE),"-")</f>
        <v>0</v>
      </c>
      <c r="CI523" s="338">
        <f t="shared" si="241"/>
        <v>0</v>
      </c>
    </row>
    <row r="524" spans="1:87" ht="12.75" hidden="1" customHeight="1" x14ac:dyDescent="0.2">
      <c r="A524" s="28">
        <v>4</v>
      </c>
      <c r="B524" s="28">
        <v>6</v>
      </c>
      <c r="C524" s="11">
        <v>23</v>
      </c>
      <c r="D524" s="148" t="s">
        <v>295</v>
      </c>
      <c r="E524" s="10" t="s">
        <v>108</v>
      </c>
      <c r="F524" s="10" t="s">
        <v>211</v>
      </c>
      <c r="G524" s="10"/>
      <c r="H524" s="10"/>
      <c r="I524" s="10"/>
      <c r="J524" s="10"/>
      <c r="K524" s="575"/>
      <c r="L524" s="152"/>
      <c r="M524" s="164"/>
      <c r="N524" s="62"/>
      <c r="O524" s="444"/>
      <c r="P524" s="177"/>
      <c r="Q524" s="602"/>
      <c r="R524" s="62"/>
      <c r="S524" s="62"/>
      <c r="T524" s="724">
        <v>0</v>
      </c>
      <c r="U524" s="781">
        <v>0</v>
      </c>
      <c r="V524" s="796">
        <v>0</v>
      </c>
      <c r="W524" s="62"/>
      <c r="X524" s="62"/>
      <c r="Y524" s="62"/>
      <c r="Z524" s="64"/>
      <c r="AA524" s="164"/>
      <c r="AB524" s="62"/>
      <c r="AC524" s="62"/>
      <c r="AD524" s="64"/>
      <c r="AE524" s="164"/>
      <c r="AF524" s="62"/>
      <c r="AG524" s="62"/>
      <c r="AH524" s="337"/>
      <c r="AI524" s="337"/>
      <c r="AJ524" s="337"/>
      <c r="AK524" s="337"/>
      <c r="AL524" s="555"/>
      <c r="AM524" s="552"/>
      <c r="AN524" s="45"/>
      <c r="AO524" s="45"/>
      <c r="AP524" s="45"/>
      <c r="AQ524" s="485"/>
      <c r="AR524" s="100"/>
      <c r="AS524" s="485"/>
      <c r="AT524" s="24"/>
      <c r="AU524" s="24"/>
      <c r="AV524" s="24"/>
      <c r="AW524" s="18">
        <v>23</v>
      </c>
      <c r="AX524" s="69" t="s">
        <v>295</v>
      </c>
      <c r="AY524" s="243" t="s">
        <v>108</v>
      </c>
      <c r="AZ524" s="243" t="str">
        <f t="shared" si="225"/>
        <v>Steelhead</v>
      </c>
      <c r="BA524" s="243" t="s">
        <v>419</v>
      </c>
      <c r="BB524" s="244" t="s">
        <v>289</v>
      </c>
      <c r="BC524" s="43" t="str">
        <f t="shared" si="226"/>
        <v>Nov 5-11</v>
      </c>
      <c r="BD524" s="43">
        <f t="shared" si="219"/>
        <v>3</v>
      </c>
      <c r="BE524" s="193">
        <f t="shared" si="217"/>
        <v>0</v>
      </c>
      <c r="BF524" s="193">
        <f t="shared" si="227"/>
        <v>0</v>
      </c>
      <c r="BG524" s="193">
        <f t="shared" si="228"/>
        <v>0</v>
      </c>
      <c r="BH524" s="307" t="str">
        <f t="shared" si="218"/>
        <v>-</v>
      </c>
      <c r="BI524" s="265" t="str">
        <f t="shared" ref="BI524:BI532" si="242">CC524</f>
        <v>-</v>
      </c>
      <c r="BJ524" s="26" t="str">
        <f t="shared" si="229"/>
        <v>TWIN RIVERS EAST CREEKSteelhead</v>
      </c>
      <c r="BK524" s="26">
        <f t="shared" si="230"/>
        <v>3</v>
      </c>
      <c r="BL524" s="33">
        <f t="shared" si="221"/>
        <v>0</v>
      </c>
      <c r="BQ524" s="47" t="str">
        <f t="shared" si="231"/>
        <v>TWIN RIVERS EAST CREEKSteelhead</v>
      </c>
      <c r="BR524" s="49">
        <f t="shared" si="232"/>
        <v>0</v>
      </c>
      <c r="BS524" s="49">
        <f t="shared" si="233"/>
        <v>0</v>
      </c>
      <c r="BT524" s="31">
        <v>0</v>
      </c>
      <c r="BU524" s="188" t="str">
        <f t="shared" si="234"/>
        <v>TCES</v>
      </c>
      <c r="BV524" s="188" t="str">
        <f t="shared" si="235"/>
        <v xml:space="preserve"> </v>
      </c>
      <c r="BW524" s="188" t="str">
        <f t="shared" si="236"/>
        <v>Nov 5-11</v>
      </c>
      <c r="BX524" s="188" t="str">
        <f t="shared" si="237"/>
        <v xml:space="preserve"> </v>
      </c>
      <c r="BY524" s="50" t="str">
        <f t="shared" si="223"/>
        <v>TWIN RIVERS EAST CREEK_Steelhead</v>
      </c>
      <c r="BZ524" s="50" t="str">
        <f>IFERROR(VLOOKUP(BY524,'[1]WCVI Esc'!$C$5:$W$555,18,FALSE),"-")</f>
        <v>-</v>
      </c>
      <c r="CA524" s="50" t="str">
        <f t="shared" si="238"/>
        <v>-</v>
      </c>
      <c r="CB524" s="50" t="str">
        <f>IFERROR(VLOOKUP(BY524,'[1]WCVI Esc'!$C$5:$W$555,19,FALSE),"-")</f>
        <v>-</v>
      </c>
      <c r="CC524" s="50" t="str">
        <f t="shared" si="239"/>
        <v>-</v>
      </c>
      <c r="CE524" s="342" t="str">
        <f t="shared" si="224"/>
        <v>TWIN RIVERS EAST CREEK_Steelhead</v>
      </c>
      <c r="CF524" s="341" t="str">
        <f>IFERROR(VLOOKUP(BY524,'RawPL+D'!$O$8:$AB$503,12,FALSE),"-")</f>
        <v>-</v>
      </c>
      <c r="CG524" s="338" t="str">
        <f t="shared" si="240"/>
        <v>-</v>
      </c>
      <c r="CH524" s="341" t="str">
        <f>IFERROR(VLOOKUP(BY524,'RawPL+D'!$O$8:$AB$503,13,FALSE),"-")</f>
        <v>-</v>
      </c>
      <c r="CI524" s="338" t="str">
        <f t="shared" si="241"/>
        <v>-</v>
      </c>
    </row>
    <row r="525" spans="1:87" ht="12.75" hidden="1" customHeight="1" x14ac:dyDescent="0.2">
      <c r="A525" s="28">
        <v>4</v>
      </c>
      <c r="B525" s="28">
        <v>1</v>
      </c>
      <c r="C525" s="11">
        <v>23</v>
      </c>
      <c r="D525" s="148" t="s">
        <v>295</v>
      </c>
      <c r="E525" s="10" t="s">
        <v>109</v>
      </c>
      <c r="F525" s="10" t="s">
        <v>207</v>
      </c>
      <c r="G525" s="10"/>
      <c r="H525" s="10"/>
      <c r="I525" s="10"/>
      <c r="J525" s="10"/>
      <c r="K525" s="575"/>
      <c r="L525" s="152"/>
      <c r="M525" s="164"/>
      <c r="N525" s="62"/>
      <c r="O525" s="62"/>
      <c r="P525" s="177"/>
      <c r="Q525" s="171"/>
      <c r="R525" s="62"/>
      <c r="S525" s="62"/>
      <c r="T525" s="62"/>
      <c r="U525" s="64"/>
      <c r="V525" s="169"/>
      <c r="W525" s="62"/>
      <c r="X525" s="62"/>
      <c r="Y525" s="62"/>
      <c r="Z525" s="64"/>
      <c r="AA525" s="164"/>
      <c r="AB525" s="62"/>
      <c r="AC525" s="62"/>
      <c r="AD525" s="64"/>
      <c r="AE525" s="164"/>
      <c r="AF525" s="62"/>
      <c r="AG525" s="62"/>
      <c r="AH525" s="337"/>
      <c r="AI525" s="337"/>
      <c r="AJ525" s="337"/>
      <c r="AK525" s="337"/>
      <c r="AL525" s="414"/>
      <c r="AM525" s="414"/>
      <c r="AN525" s="45"/>
      <c r="AO525" s="45"/>
      <c r="AP525" s="45"/>
      <c r="AQ525" s="485"/>
      <c r="AR525" s="100"/>
      <c r="AS525" s="485"/>
      <c r="AT525" s="24"/>
      <c r="AU525" s="24"/>
      <c r="AV525" s="24"/>
      <c r="AW525" s="18">
        <v>23</v>
      </c>
      <c r="AX525" s="69" t="s">
        <v>295</v>
      </c>
      <c r="AY525" s="243" t="s">
        <v>109</v>
      </c>
      <c r="AZ525" s="243" t="str">
        <f t="shared" si="225"/>
        <v>Sockeye</v>
      </c>
      <c r="BA525" s="243" t="s">
        <v>419</v>
      </c>
      <c r="BB525" s="246"/>
      <c r="BC525" s="43" t="str">
        <f t="shared" si="226"/>
        <v>-</v>
      </c>
      <c r="BD525" s="43">
        <f t="shared" si="219"/>
        <v>0</v>
      </c>
      <c r="BE525" s="193">
        <f t="shared" si="217"/>
        <v>0</v>
      </c>
      <c r="BF525" s="193">
        <f t="shared" si="227"/>
        <v>0</v>
      </c>
      <c r="BG525" s="193">
        <f t="shared" si="228"/>
        <v>0</v>
      </c>
      <c r="BH525" s="307" t="str">
        <f t="shared" si="218"/>
        <v>-</v>
      </c>
      <c r="BI525" s="265" t="str">
        <f t="shared" si="242"/>
        <v>-</v>
      </c>
      <c r="BJ525" s="26" t="str">
        <f t="shared" si="229"/>
        <v>TWIN RIVERS WEST CREEKSockeye</v>
      </c>
      <c r="BK525" s="26">
        <f t="shared" si="230"/>
        <v>0</v>
      </c>
      <c r="BL525" s="33">
        <f t="shared" si="221"/>
        <v>0</v>
      </c>
      <c r="BQ525" s="47" t="str">
        <f t="shared" si="231"/>
        <v>TWIN RIVERS WEST CREEKSockeye</v>
      </c>
      <c r="BR525" s="49">
        <f t="shared" si="232"/>
        <v>0</v>
      </c>
      <c r="BS525" s="49">
        <f t="shared" si="233"/>
        <v>0</v>
      </c>
      <c r="BT525" s="31">
        <v>0</v>
      </c>
      <c r="BU525" s="188">
        <f t="shared" si="234"/>
        <v>0</v>
      </c>
      <c r="BV525" s="188" t="str">
        <f t="shared" si="235"/>
        <v xml:space="preserve"> </v>
      </c>
      <c r="BW525" s="188" t="str">
        <f t="shared" si="236"/>
        <v xml:space="preserve"> </v>
      </c>
      <c r="BX525" s="188" t="str">
        <f t="shared" si="237"/>
        <v xml:space="preserve"> </v>
      </c>
      <c r="BY525" s="50" t="str">
        <f t="shared" si="223"/>
        <v>TWIN RIVERS WEST CREEK_Sockeye</v>
      </c>
      <c r="BZ525" s="50" t="str">
        <f>IFERROR(VLOOKUP(BY525,'[1]WCVI Esc'!$C$5:$W$555,18,FALSE),"-")</f>
        <v>-</v>
      </c>
      <c r="CA525" s="50" t="str">
        <f t="shared" si="238"/>
        <v>-</v>
      </c>
      <c r="CB525" s="50" t="str">
        <f>IFERROR(VLOOKUP(BY525,'[1]WCVI Esc'!$C$5:$W$555,19,FALSE),"-")</f>
        <v>-</v>
      </c>
      <c r="CC525" s="50" t="str">
        <f t="shared" si="239"/>
        <v>-</v>
      </c>
      <c r="CE525" s="342" t="str">
        <f t="shared" si="224"/>
        <v>TWIN RIVERS WEST CREEK_Sockeye</v>
      </c>
      <c r="CF525" s="341" t="str">
        <f>IFERROR(VLOOKUP(BY525,'RawPL+D'!$O$8:$AB$503,12,FALSE),"-")</f>
        <v>-</v>
      </c>
      <c r="CG525" s="338" t="str">
        <f t="shared" si="240"/>
        <v>-</v>
      </c>
      <c r="CH525" s="341" t="str">
        <f>IFERROR(VLOOKUP(BY525,'RawPL+D'!$O$8:$AB$503,13,FALSE),"-")</f>
        <v>-</v>
      </c>
      <c r="CI525" s="338" t="str">
        <f t="shared" si="241"/>
        <v>-</v>
      </c>
    </row>
    <row r="526" spans="1:87" ht="12.75" hidden="1" customHeight="1" x14ac:dyDescent="0.2">
      <c r="A526" s="28">
        <v>4</v>
      </c>
      <c r="B526" s="28">
        <v>2</v>
      </c>
      <c r="C526" s="11">
        <v>23</v>
      </c>
      <c r="D526" s="148" t="s">
        <v>295</v>
      </c>
      <c r="E526" s="10" t="s">
        <v>109</v>
      </c>
      <c r="F526" s="10" t="s">
        <v>219</v>
      </c>
      <c r="G526" s="10"/>
      <c r="H526" s="10"/>
      <c r="I526" s="10"/>
      <c r="J526" s="10"/>
      <c r="K526" s="575"/>
      <c r="L526" s="152"/>
      <c r="M526" s="164"/>
      <c r="N526" s="62"/>
      <c r="O526" s="62"/>
      <c r="P526" s="177"/>
      <c r="Q526" s="171"/>
      <c r="R526" s="62"/>
      <c r="S526" s="62"/>
      <c r="T526" s="62"/>
      <c r="U526" s="64"/>
      <c r="V526" s="169"/>
      <c r="W526" s="62"/>
      <c r="X526" s="62"/>
      <c r="Y526" s="62"/>
      <c r="Z526" s="64"/>
      <c r="AA526" s="164"/>
      <c r="AB526" s="62"/>
      <c r="AC526" s="62"/>
      <c r="AD526" s="64"/>
      <c r="AE526" s="164"/>
      <c r="AF526" s="62"/>
      <c r="AG526" s="62"/>
      <c r="AH526" s="337"/>
      <c r="AI526" s="337"/>
      <c r="AJ526" s="337"/>
      <c r="AK526" s="337"/>
      <c r="AL526" s="414"/>
      <c r="AM526" s="414"/>
      <c r="AN526" s="45"/>
      <c r="AO526" s="45"/>
      <c r="AP526" s="45"/>
      <c r="AQ526" s="485"/>
      <c r="AR526" s="100"/>
      <c r="AS526" s="485"/>
      <c r="AT526" s="24"/>
      <c r="AU526" s="24"/>
      <c r="AV526" s="24"/>
      <c r="AW526" s="18">
        <v>23</v>
      </c>
      <c r="AX526" s="69" t="s">
        <v>295</v>
      </c>
      <c r="AY526" s="243" t="s">
        <v>109</v>
      </c>
      <c r="AZ526" s="243" t="str">
        <f t="shared" si="225"/>
        <v>Coho</v>
      </c>
      <c r="BA526" s="243" t="s">
        <v>419</v>
      </c>
      <c r="BB526" s="246"/>
      <c r="BC526" s="43" t="str">
        <f t="shared" si="226"/>
        <v>-</v>
      </c>
      <c r="BD526" s="43">
        <f t="shared" si="219"/>
        <v>0</v>
      </c>
      <c r="BE526" s="193">
        <f t="shared" si="217"/>
        <v>0</v>
      </c>
      <c r="BF526" s="193">
        <f t="shared" si="227"/>
        <v>0</v>
      </c>
      <c r="BG526" s="193">
        <f t="shared" si="228"/>
        <v>0</v>
      </c>
      <c r="BH526" s="307">
        <f t="shared" si="218"/>
        <v>0</v>
      </c>
      <c r="BI526" s="265" t="str">
        <f t="shared" si="242"/>
        <v>-</v>
      </c>
      <c r="BJ526" s="26" t="str">
        <f t="shared" si="229"/>
        <v>TWIN RIVERS WEST CREEKCoho</v>
      </c>
      <c r="BK526" s="26">
        <f t="shared" si="230"/>
        <v>0</v>
      </c>
      <c r="BL526" s="33">
        <f t="shared" si="221"/>
        <v>0</v>
      </c>
      <c r="BQ526" s="47" t="str">
        <f t="shared" si="231"/>
        <v>TWIN RIVERS WEST CREEKCoho</v>
      </c>
      <c r="BR526" s="49">
        <f t="shared" si="232"/>
        <v>0</v>
      </c>
      <c r="BS526" s="49">
        <f t="shared" si="233"/>
        <v>0</v>
      </c>
      <c r="BT526" s="31">
        <v>1999</v>
      </c>
      <c r="BU526" s="188">
        <f t="shared" si="234"/>
        <v>0</v>
      </c>
      <c r="BV526" s="188" t="str">
        <f t="shared" si="235"/>
        <v xml:space="preserve"> </v>
      </c>
      <c r="BW526" s="188" t="str">
        <f t="shared" si="236"/>
        <v xml:space="preserve"> </v>
      </c>
      <c r="BX526" s="188" t="str">
        <f t="shared" si="237"/>
        <v xml:space="preserve"> </v>
      </c>
      <c r="BY526" s="50" t="str">
        <f t="shared" si="223"/>
        <v>TWIN RIVERS WEST CREEK_Coho</v>
      </c>
      <c r="BZ526" s="50" t="str">
        <f>IFERROR(VLOOKUP(BY526,'[1]WCVI Esc'!$C$5:$W$555,18,FALSE),"-")</f>
        <v>-</v>
      </c>
      <c r="CA526" s="50" t="str">
        <f t="shared" si="238"/>
        <v>-</v>
      </c>
      <c r="CB526" s="50" t="str">
        <f>IFERROR(VLOOKUP(BY526,'[1]WCVI Esc'!$C$5:$W$555,19,FALSE),"-")</f>
        <v>-</v>
      </c>
      <c r="CC526" s="50" t="str">
        <f t="shared" si="239"/>
        <v>-</v>
      </c>
      <c r="CE526" s="342" t="str">
        <f t="shared" si="224"/>
        <v>TWIN RIVERS WEST CREEK_Coho</v>
      </c>
      <c r="CF526" s="341">
        <f>IFERROR(VLOOKUP(BY526,'RawPL+D'!$O$8:$AB$503,12,FALSE),"-")</f>
        <v>0</v>
      </c>
      <c r="CG526" s="338">
        <f t="shared" si="240"/>
        <v>0</v>
      </c>
      <c r="CH526" s="341">
        <f>IFERROR(VLOOKUP(BY526,'RawPL+D'!$O$8:$AB$503,13,FALSE),"-")</f>
        <v>0</v>
      </c>
      <c r="CI526" s="338">
        <f t="shared" si="241"/>
        <v>0</v>
      </c>
    </row>
    <row r="527" spans="1:87" ht="12.75" hidden="1" customHeight="1" x14ac:dyDescent="0.2">
      <c r="A527" s="28">
        <v>4</v>
      </c>
      <c r="B527" s="28">
        <v>3</v>
      </c>
      <c r="C527" s="11">
        <v>23</v>
      </c>
      <c r="D527" s="148" t="s">
        <v>295</v>
      </c>
      <c r="E527" s="10" t="s">
        <v>109</v>
      </c>
      <c r="F527" s="10" t="s">
        <v>208</v>
      </c>
      <c r="G527" s="10"/>
      <c r="H527" s="10"/>
      <c r="I527" s="10"/>
      <c r="J527" s="10"/>
      <c r="K527" s="575"/>
      <c r="L527" s="152"/>
      <c r="M527" s="164"/>
      <c r="N527" s="62"/>
      <c r="O527" s="62"/>
      <c r="P527" s="177"/>
      <c r="Q527" s="171"/>
      <c r="R527" s="62"/>
      <c r="S527" s="62"/>
      <c r="T527" s="62"/>
      <c r="U527" s="64"/>
      <c r="V527" s="169"/>
      <c r="W527" s="62"/>
      <c r="X527" s="62"/>
      <c r="Y527" s="62"/>
      <c r="Z527" s="64"/>
      <c r="AA527" s="164"/>
      <c r="AB527" s="62"/>
      <c r="AC527" s="62"/>
      <c r="AD527" s="64"/>
      <c r="AE527" s="164"/>
      <c r="AF527" s="62"/>
      <c r="AG527" s="62"/>
      <c r="AH527" s="337"/>
      <c r="AI527" s="337"/>
      <c r="AJ527" s="337"/>
      <c r="AK527" s="337"/>
      <c r="AL527" s="414"/>
      <c r="AM527" s="414"/>
      <c r="AN527" s="45"/>
      <c r="AO527" s="45"/>
      <c r="AP527" s="45"/>
      <c r="AQ527" s="485"/>
      <c r="AR527" s="100"/>
      <c r="AS527" s="485"/>
      <c r="AT527" s="24"/>
      <c r="AU527" s="24"/>
      <c r="AV527" s="24"/>
      <c r="AW527" s="18">
        <v>23</v>
      </c>
      <c r="AX527" s="69" t="s">
        <v>295</v>
      </c>
      <c r="AY527" s="243" t="s">
        <v>109</v>
      </c>
      <c r="AZ527" s="243" t="str">
        <f t="shared" si="225"/>
        <v>Pink</v>
      </c>
      <c r="BA527" s="243" t="s">
        <v>419</v>
      </c>
      <c r="BB527" s="246"/>
      <c r="BC527" s="43" t="str">
        <f t="shared" si="226"/>
        <v>-</v>
      </c>
      <c r="BD527" s="43">
        <f t="shared" si="219"/>
        <v>0</v>
      </c>
      <c r="BE527" s="193">
        <f t="shared" si="217"/>
        <v>0</v>
      </c>
      <c r="BF527" s="193">
        <f t="shared" si="227"/>
        <v>0</v>
      </c>
      <c r="BG527" s="193">
        <f t="shared" si="228"/>
        <v>0</v>
      </c>
      <c r="BH527" s="307" t="str">
        <f t="shared" si="218"/>
        <v>-</v>
      </c>
      <c r="BI527" s="265" t="str">
        <f t="shared" si="242"/>
        <v>-</v>
      </c>
      <c r="BJ527" s="26" t="str">
        <f t="shared" si="229"/>
        <v>TWIN RIVERS WEST CREEKPink</v>
      </c>
      <c r="BK527" s="26">
        <f t="shared" si="230"/>
        <v>0</v>
      </c>
      <c r="BL527" s="33">
        <f t="shared" si="221"/>
        <v>0</v>
      </c>
      <c r="BQ527" s="47" t="str">
        <f t="shared" si="231"/>
        <v>TWIN RIVERS WEST CREEKPink</v>
      </c>
      <c r="BR527" s="49">
        <f t="shared" si="232"/>
        <v>0</v>
      </c>
      <c r="BS527" s="49">
        <f t="shared" si="233"/>
        <v>0</v>
      </c>
      <c r="BT527" s="31">
        <v>0</v>
      </c>
      <c r="BU527" s="188">
        <f t="shared" si="234"/>
        <v>0</v>
      </c>
      <c r="BV527" s="188" t="str">
        <f t="shared" si="235"/>
        <v xml:space="preserve"> </v>
      </c>
      <c r="BW527" s="188" t="str">
        <f t="shared" si="236"/>
        <v xml:space="preserve"> </v>
      </c>
      <c r="BX527" s="188" t="str">
        <f t="shared" si="237"/>
        <v xml:space="preserve"> </v>
      </c>
      <c r="BY527" s="50" t="str">
        <f t="shared" si="223"/>
        <v>TWIN RIVERS WEST CREEK_Pink</v>
      </c>
      <c r="BZ527" s="50" t="str">
        <f>IFERROR(VLOOKUP(BY527,'[1]WCVI Esc'!$C$5:$W$555,18,FALSE),"-")</f>
        <v>-</v>
      </c>
      <c r="CA527" s="50" t="str">
        <f t="shared" si="238"/>
        <v>-</v>
      </c>
      <c r="CB527" s="50" t="str">
        <f>IFERROR(VLOOKUP(BY527,'[1]WCVI Esc'!$C$5:$W$555,19,FALSE),"-")</f>
        <v>-</v>
      </c>
      <c r="CC527" s="50" t="str">
        <f t="shared" si="239"/>
        <v>-</v>
      </c>
      <c r="CE527" s="342" t="str">
        <f t="shared" si="224"/>
        <v>TWIN RIVERS WEST CREEK_Pink</v>
      </c>
      <c r="CF527" s="341" t="str">
        <f>IFERROR(VLOOKUP(BY527,'RawPL+D'!$O$8:$AB$503,12,FALSE),"-")</f>
        <v>-</v>
      </c>
      <c r="CG527" s="338" t="str">
        <f t="shared" si="240"/>
        <v>-</v>
      </c>
      <c r="CH527" s="341" t="str">
        <f>IFERROR(VLOOKUP(BY527,'RawPL+D'!$O$8:$AB$503,13,FALSE),"-")</f>
        <v>-</v>
      </c>
      <c r="CI527" s="338" t="str">
        <f t="shared" si="241"/>
        <v>-</v>
      </c>
    </row>
    <row r="528" spans="1:87" ht="12.75" hidden="1" customHeight="1" x14ac:dyDescent="0.2">
      <c r="A528" s="28">
        <v>4</v>
      </c>
      <c r="B528" s="28">
        <v>4</v>
      </c>
      <c r="C528" s="11">
        <v>23</v>
      </c>
      <c r="D528" s="148" t="s">
        <v>295</v>
      </c>
      <c r="E528" s="10" t="s">
        <v>109</v>
      </c>
      <c r="F528" s="10" t="s">
        <v>209</v>
      </c>
      <c r="G528" s="10"/>
      <c r="H528" s="10"/>
      <c r="I528" s="10"/>
      <c r="J528" s="10"/>
      <c r="K528" s="575"/>
      <c r="L528" s="152"/>
      <c r="M528" s="164"/>
      <c r="N528" s="62"/>
      <c r="O528" s="62"/>
      <c r="P528" s="177"/>
      <c r="Q528" s="171"/>
      <c r="R528" s="62"/>
      <c r="S528" s="62"/>
      <c r="T528" s="62"/>
      <c r="U528" s="64"/>
      <c r="V528" s="169"/>
      <c r="W528" s="62"/>
      <c r="X528" s="62"/>
      <c r="Y528" s="62"/>
      <c r="Z528" s="64"/>
      <c r="AA528" s="164"/>
      <c r="AB528" s="62"/>
      <c r="AC528" s="62"/>
      <c r="AD528" s="64"/>
      <c r="AE528" s="164"/>
      <c r="AF528" s="62"/>
      <c r="AG528" s="62"/>
      <c r="AH528" s="337"/>
      <c r="AI528" s="337"/>
      <c r="AJ528" s="337"/>
      <c r="AK528" s="337"/>
      <c r="AL528" s="414"/>
      <c r="AM528" s="414"/>
      <c r="AN528" s="45"/>
      <c r="AO528" s="45"/>
      <c r="AP528" s="45"/>
      <c r="AQ528" s="485">
        <f>AL528/BI528</f>
        <v>0</v>
      </c>
      <c r="AR528" s="100">
        <f>BL528/BI528</f>
        <v>0</v>
      </c>
      <c r="AS528" s="485"/>
      <c r="AT528" s="24"/>
      <c r="AU528" s="24"/>
      <c r="AV528" s="24"/>
      <c r="AW528" s="18">
        <v>23</v>
      </c>
      <c r="AX528" s="69" t="s">
        <v>295</v>
      </c>
      <c r="AY528" s="243" t="s">
        <v>109</v>
      </c>
      <c r="AZ528" s="243" t="str">
        <f t="shared" si="225"/>
        <v>Chum</v>
      </c>
      <c r="BA528" s="243" t="s">
        <v>419</v>
      </c>
      <c r="BB528" s="246"/>
      <c r="BC528" s="43" t="str">
        <f t="shared" si="226"/>
        <v>-</v>
      </c>
      <c r="BD528" s="43">
        <f t="shared" si="219"/>
        <v>0</v>
      </c>
      <c r="BE528" s="193">
        <f t="shared" si="217"/>
        <v>0</v>
      </c>
      <c r="BF528" s="193">
        <f t="shared" si="227"/>
        <v>0</v>
      </c>
      <c r="BG528" s="193">
        <f t="shared" si="228"/>
        <v>0</v>
      </c>
      <c r="BH528" s="307">
        <f t="shared" si="218"/>
        <v>0</v>
      </c>
      <c r="BI528" s="265">
        <f t="shared" si="242"/>
        <v>110</v>
      </c>
      <c r="BJ528" s="26" t="str">
        <f t="shared" si="229"/>
        <v>TWIN RIVERS WEST CREEKChum</v>
      </c>
      <c r="BK528" s="26">
        <f t="shared" si="230"/>
        <v>0</v>
      </c>
      <c r="BL528" s="33">
        <f t="shared" si="221"/>
        <v>0</v>
      </c>
      <c r="BQ528" s="47" t="str">
        <f t="shared" si="231"/>
        <v>TWIN RIVERS WEST CREEKChum</v>
      </c>
      <c r="BR528" s="49">
        <f t="shared" si="232"/>
        <v>0</v>
      </c>
      <c r="BS528" s="49">
        <f t="shared" si="233"/>
        <v>0</v>
      </c>
      <c r="BT528" s="31">
        <v>2007</v>
      </c>
      <c r="BU528" s="188">
        <f t="shared" si="234"/>
        <v>0</v>
      </c>
      <c r="BV528" s="188" t="str">
        <f t="shared" si="235"/>
        <v xml:space="preserve"> </v>
      </c>
      <c r="BW528" s="188" t="str">
        <f t="shared" si="236"/>
        <v xml:space="preserve"> </v>
      </c>
      <c r="BX528" s="188" t="str">
        <f t="shared" si="237"/>
        <v xml:space="preserve"> </v>
      </c>
      <c r="BY528" s="50" t="str">
        <f t="shared" si="223"/>
        <v>TWIN RIVERS WEST CREEK_Chum</v>
      </c>
      <c r="BZ528" s="50" t="str">
        <f>IFERROR(VLOOKUP(BY528,'[1]WCVI Esc'!$C$5:$W$555,18,FALSE),"-")</f>
        <v>-</v>
      </c>
      <c r="CA528" s="50" t="str">
        <f t="shared" si="238"/>
        <v>-</v>
      </c>
      <c r="CB528" s="50">
        <f>IFERROR(VLOOKUP(BY528,'[1]WCVI Esc'!$C$5:$W$555,19,FALSE),"-")</f>
        <v>109</v>
      </c>
      <c r="CC528" s="50">
        <f t="shared" si="239"/>
        <v>110</v>
      </c>
      <c r="CE528" s="342" t="str">
        <f t="shared" si="224"/>
        <v>TWIN RIVERS WEST CREEK_Chum</v>
      </c>
      <c r="CF528" s="341">
        <f>IFERROR(VLOOKUP(BY528,'RawPL+D'!$O$8:$AB$503,12,FALSE),"-")</f>
        <v>0</v>
      </c>
      <c r="CG528" s="338">
        <f t="shared" si="240"/>
        <v>0</v>
      </c>
      <c r="CH528" s="341">
        <f>IFERROR(VLOOKUP(BY528,'RawPL+D'!$O$8:$AB$503,13,FALSE),"-")</f>
        <v>0</v>
      </c>
      <c r="CI528" s="338">
        <f t="shared" si="241"/>
        <v>0</v>
      </c>
    </row>
    <row r="529" spans="1:87" ht="12.75" hidden="1" customHeight="1" x14ac:dyDescent="0.2">
      <c r="A529" s="28">
        <v>4</v>
      </c>
      <c r="B529" s="28">
        <v>5</v>
      </c>
      <c r="C529" s="11">
        <v>23</v>
      </c>
      <c r="D529" s="148" t="s">
        <v>295</v>
      </c>
      <c r="E529" s="10" t="s">
        <v>109</v>
      </c>
      <c r="F529" s="10" t="s">
        <v>210</v>
      </c>
      <c r="G529" s="10"/>
      <c r="H529" s="10"/>
      <c r="I529" s="10"/>
      <c r="J529" s="10"/>
      <c r="K529" s="575"/>
      <c r="L529" s="152"/>
      <c r="M529" s="164"/>
      <c r="N529" s="62"/>
      <c r="O529" s="62"/>
      <c r="P529" s="177"/>
      <c r="Q529" s="171"/>
      <c r="R529" s="62"/>
      <c r="S529" s="62"/>
      <c r="T529" s="62"/>
      <c r="U529" s="64"/>
      <c r="V529" s="169"/>
      <c r="W529" s="62"/>
      <c r="X529" s="62"/>
      <c r="Y529" s="62"/>
      <c r="Z529" s="64"/>
      <c r="AA529" s="164"/>
      <c r="AB529" s="62"/>
      <c r="AC529" s="62"/>
      <c r="AD529" s="64"/>
      <c r="AE529" s="164"/>
      <c r="AF529" s="62"/>
      <c r="AG529" s="62"/>
      <c r="AH529" s="337"/>
      <c r="AI529" s="337"/>
      <c r="AJ529" s="337"/>
      <c r="AK529" s="337"/>
      <c r="AL529" s="414"/>
      <c r="AM529" s="414"/>
      <c r="AN529" s="45"/>
      <c r="AO529" s="45"/>
      <c r="AP529" s="45"/>
      <c r="AQ529" s="485"/>
      <c r="AR529" s="100"/>
      <c r="AS529" s="485"/>
      <c r="AT529" s="24"/>
      <c r="AU529" s="24"/>
      <c r="AV529" s="24"/>
      <c r="AW529" s="18">
        <v>23</v>
      </c>
      <c r="AX529" s="69" t="s">
        <v>295</v>
      </c>
      <c r="AY529" s="243" t="s">
        <v>109</v>
      </c>
      <c r="AZ529" s="243" t="str">
        <f t="shared" si="225"/>
        <v>Chinook</v>
      </c>
      <c r="BA529" s="243" t="s">
        <v>419</v>
      </c>
      <c r="BB529" s="246"/>
      <c r="BC529" s="43" t="str">
        <f t="shared" si="226"/>
        <v>-</v>
      </c>
      <c r="BD529" s="43">
        <f t="shared" si="219"/>
        <v>0</v>
      </c>
      <c r="BE529" s="193">
        <f t="shared" ref="BE529:BE592" si="243">BL529</f>
        <v>0</v>
      </c>
      <c r="BF529" s="193">
        <f t="shared" si="227"/>
        <v>0</v>
      </c>
      <c r="BG529" s="193">
        <f t="shared" si="228"/>
        <v>0</v>
      </c>
      <c r="BH529" s="307" t="str">
        <f t="shared" si="218"/>
        <v>-</v>
      </c>
      <c r="BI529" s="265" t="str">
        <f t="shared" si="242"/>
        <v>-</v>
      </c>
      <c r="BJ529" s="26" t="str">
        <f t="shared" si="229"/>
        <v>TWIN RIVERS WEST CREEKChinook</v>
      </c>
      <c r="BK529" s="26">
        <f t="shared" si="230"/>
        <v>0</v>
      </c>
      <c r="BL529" s="33">
        <f t="shared" si="221"/>
        <v>0</v>
      </c>
      <c r="BQ529" s="47" t="str">
        <f t="shared" si="231"/>
        <v>TWIN RIVERS WEST CREEKChinook</v>
      </c>
      <c r="BR529" s="49">
        <f t="shared" si="232"/>
        <v>0</v>
      </c>
      <c r="BS529" s="49">
        <f t="shared" si="233"/>
        <v>0</v>
      </c>
      <c r="BT529" s="31">
        <v>0</v>
      </c>
      <c r="BU529" s="188">
        <f t="shared" si="234"/>
        <v>0</v>
      </c>
      <c r="BV529" s="188" t="str">
        <f t="shared" si="235"/>
        <v xml:space="preserve"> </v>
      </c>
      <c r="BW529" s="188" t="str">
        <f t="shared" si="236"/>
        <v xml:space="preserve"> </v>
      </c>
      <c r="BX529" s="188" t="str">
        <f t="shared" si="237"/>
        <v xml:space="preserve"> </v>
      </c>
      <c r="BY529" s="50" t="str">
        <f t="shared" si="223"/>
        <v>TWIN RIVERS WEST CREEK_Chinook</v>
      </c>
      <c r="BZ529" s="50" t="str">
        <f>IFERROR(VLOOKUP(BY529,'[1]WCVI Esc'!$C$5:$W$555,18,FALSE),"-")</f>
        <v>-</v>
      </c>
      <c r="CA529" s="50" t="str">
        <f t="shared" si="238"/>
        <v>-</v>
      </c>
      <c r="CB529" s="50" t="str">
        <f>IFERROR(VLOOKUP(BY529,'[1]WCVI Esc'!$C$5:$W$555,19,FALSE),"-")</f>
        <v>-</v>
      </c>
      <c r="CC529" s="50" t="str">
        <f t="shared" si="239"/>
        <v>-</v>
      </c>
      <c r="CE529" s="342" t="str">
        <f t="shared" si="224"/>
        <v>TWIN RIVERS WEST CREEK_Chinook</v>
      </c>
      <c r="CF529" s="341" t="str">
        <f>IFERROR(VLOOKUP(BY529,'RawPL+D'!$O$8:$AB$503,12,FALSE),"-")</f>
        <v>-</v>
      </c>
      <c r="CG529" s="338" t="str">
        <f t="shared" si="240"/>
        <v>-</v>
      </c>
      <c r="CH529" s="341" t="str">
        <f>IFERROR(VLOOKUP(BY529,'RawPL+D'!$O$8:$AB$503,13,FALSE),"-")</f>
        <v>-</v>
      </c>
      <c r="CI529" s="338" t="str">
        <f t="shared" si="241"/>
        <v>-</v>
      </c>
    </row>
    <row r="530" spans="1:87" ht="12.75" hidden="1" customHeight="1" x14ac:dyDescent="0.2">
      <c r="A530" s="28">
        <v>4</v>
      </c>
      <c r="B530" s="28">
        <v>6</v>
      </c>
      <c r="C530" s="11">
        <v>23</v>
      </c>
      <c r="D530" s="148" t="s">
        <v>295</v>
      </c>
      <c r="E530" s="10" t="s">
        <v>109</v>
      </c>
      <c r="F530" s="10" t="s">
        <v>211</v>
      </c>
      <c r="G530" s="10"/>
      <c r="H530" s="10"/>
      <c r="I530" s="10"/>
      <c r="J530" s="10"/>
      <c r="K530" s="575"/>
      <c r="L530" s="152"/>
      <c r="M530" s="164"/>
      <c r="N530" s="62"/>
      <c r="O530" s="62"/>
      <c r="P530" s="177"/>
      <c r="Q530" s="171"/>
      <c r="R530" s="62"/>
      <c r="S530" s="62"/>
      <c r="T530" s="62"/>
      <c r="U530" s="64"/>
      <c r="V530" s="169"/>
      <c r="W530" s="62"/>
      <c r="X530" s="62"/>
      <c r="Y530" s="62"/>
      <c r="Z530" s="64"/>
      <c r="AA530" s="164"/>
      <c r="AB530" s="62"/>
      <c r="AC530" s="62"/>
      <c r="AD530" s="64"/>
      <c r="AE530" s="164"/>
      <c r="AF530" s="62"/>
      <c r="AG530" s="62"/>
      <c r="AH530" s="337"/>
      <c r="AI530" s="337"/>
      <c r="AJ530" s="337"/>
      <c r="AK530" s="337"/>
      <c r="AL530" s="414"/>
      <c r="AM530" s="414"/>
      <c r="AN530" s="45"/>
      <c r="AO530" s="45"/>
      <c r="AP530" s="45"/>
      <c r="AQ530" s="485"/>
      <c r="AR530" s="100"/>
      <c r="AS530" s="485"/>
      <c r="AT530" s="24"/>
      <c r="AU530" s="24"/>
      <c r="AV530" s="24"/>
      <c r="AW530" s="18">
        <v>23</v>
      </c>
      <c r="AX530" s="69" t="s">
        <v>295</v>
      </c>
      <c r="AY530" s="243" t="s">
        <v>109</v>
      </c>
      <c r="AZ530" s="243" t="str">
        <f t="shared" si="225"/>
        <v>Steelhead</v>
      </c>
      <c r="BA530" s="243" t="s">
        <v>419</v>
      </c>
      <c r="BB530" s="246"/>
      <c r="BC530" s="43" t="str">
        <f t="shared" si="226"/>
        <v>-</v>
      </c>
      <c r="BD530" s="43">
        <f t="shared" si="219"/>
        <v>0</v>
      </c>
      <c r="BE530" s="193">
        <f t="shared" si="243"/>
        <v>0</v>
      </c>
      <c r="BF530" s="193">
        <f t="shared" si="227"/>
        <v>0</v>
      </c>
      <c r="BG530" s="193">
        <f t="shared" si="228"/>
        <v>0</v>
      </c>
      <c r="BH530" s="307" t="str">
        <f t="shared" si="218"/>
        <v>-</v>
      </c>
      <c r="BI530" s="265" t="str">
        <f t="shared" si="242"/>
        <v>-</v>
      </c>
      <c r="BJ530" s="26" t="str">
        <f t="shared" si="229"/>
        <v>TWIN RIVERS WEST CREEKSteelhead</v>
      </c>
      <c r="BK530" s="26">
        <f t="shared" si="230"/>
        <v>0</v>
      </c>
      <c r="BL530" s="33">
        <f t="shared" si="221"/>
        <v>0</v>
      </c>
      <c r="BQ530" s="47" t="str">
        <f t="shared" si="231"/>
        <v>TWIN RIVERS WEST CREEKSteelhead</v>
      </c>
      <c r="BR530" s="49">
        <f t="shared" si="232"/>
        <v>0</v>
      </c>
      <c r="BS530" s="49">
        <f t="shared" si="233"/>
        <v>0</v>
      </c>
      <c r="BT530" s="31">
        <v>0</v>
      </c>
      <c r="BU530" s="188">
        <f t="shared" si="234"/>
        <v>0</v>
      </c>
      <c r="BV530" s="188" t="str">
        <f t="shared" si="235"/>
        <v xml:space="preserve"> </v>
      </c>
      <c r="BW530" s="188" t="str">
        <f t="shared" si="236"/>
        <v xml:space="preserve"> </v>
      </c>
      <c r="BX530" s="188" t="str">
        <f t="shared" si="237"/>
        <v xml:space="preserve"> </v>
      </c>
      <c r="BY530" s="50" t="str">
        <f t="shared" si="223"/>
        <v>TWIN RIVERS WEST CREEK_Steelhead</v>
      </c>
      <c r="BZ530" s="50" t="str">
        <f>IFERROR(VLOOKUP(BY530,'[1]WCVI Esc'!$C$5:$W$555,18,FALSE),"-")</f>
        <v>-</v>
      </c>
      <c r="CA530" s="50" t="str">
        <f t="shared" si="238"/>
        <v>-</v>
      </c>
      <c r="CB530" s="50" t="str">
        <f>IFERROR(VLOOKUP(BY530,'[1]WCVI Esc'!$C$5:$W$555,19,FALSE),"-")</f>
        <v>-</v>
      </c>
      <c r="CC530" s="50" t="str">
        <f t="shared" si="239"/>
        <v>-</v>
      </c>
      <c r="CE530" s="342" t="str">
        <f t="shared" si="224"/>
        <v>TWIN RIVERS WEST CREEK_Steelhead</v>
      </c>
      <c r="CF530" s="341" t="str">
        <f>IFERROR(VLOOKUP(BY530,'RawPL+D'!$O$8:$AB$503,12,FALSE),"-")</f>
        <v>-</v>
      </c>
      <c r="CG530" s="338" t="str">
        <f t="shared" si="240"/>
        <v>-</v>
      </c>
      <c r="CH530" s="341" t="str">
        <f>IFERROR(VLOOKUP(BY530,'RawPL+D'!$O$8:$AB$503,13,FALSE),"-")</f>
        <v>-</v>
      </c>
      <c r="CI530" s="338" t="str">
        <f t="shared" si="241"/>
        <v>-</v>
      </c>
    </row>
    <row r="531" spans="1:87" ht="12.75" hidden="1" customHeight="1" x14ac:dyDescent="0.2">
      <c r="A531" s="29">
        <v>2</v>
      </c>
      <c r="B531" s="29">
        <v>1</v>
      </c>
      <c r="C531" s="13">
        <v>23</v>
      </c>
      <c r="D531" s="13" t="s">
        <v>294</v>
      </c>
      <c r="E531" s="10" t="s">
        <v>29</v>
      </c>
      <c r="F531" s="10" t="s">
        <v>207</v>
      </c>
      <c r="G531" s="10"/>
      <c r="H531" s="10"/>
      <c r="I531" s="10"/>
      <c r="J531" s="10"/>
      <c r="K531" s="575"/>
      <c r="L531" s="423"/>
      <c r="M531" s="164"/>
      <c r="N531" s="642">
        <v>575</v>
      </c>
      <c r="O531" s="642">
        <v>600</v>
      </c>
      <c r="P531" s="702">
        <f>7675+5</f>
        <v>7680</v>
      </c>
      <c r="Q531" s="701">
        <f>6794+8</f>
        <v>6802</v>
      </c>
      <c r="R531" s="431"/>
      <c r="S531" s="675">
        <f>4461+42</f>
        <v>4503</v>
      </c>
      <c r="T531" s="675">
        <f>5018+480</f>
        <v>5498</v>
      </c>
      <c r="U531" s="776">
        <f>2150+918</f>
        <v>3068</v>
      </c>
      <c r="V531" s="421"/>
      <c r="W531" s="676">
        <f>13+37</f>
        <v>50</v>
      </c>
      <c r="X531" s="62"/>
      <c r="Y531" s="62"/>
      <c r="Z531" s="64"/>
      <c r="AA531" s="164"/>
      <c r="AB531" s="62"/>
      <c r="AC531" s="62"/>
      <c r="AD531" s="64"/>
      <c r="AE531" s="164"/>
      <c r="AF531" s="62"/>
      <c r="AG531" s="62"/>
      <c r="AH531" s="337">
        <v>13066</v>
      </c>
      <c r="AI531" s="337">
        <v>47</v>
      </c>
      <c r="AJ531" s="337">
        <v>0</v>
      </c>
      <c r="AK531" s="337">
        <v>0</v>
      </c>
      <c r="AL531" s="552">
        <v>13066</v>
      </c>
      <c r="AM531" s="552">
        <v>13113</v>
      </c>
      <c r="AN531" s="552" t="s">
        <v>768</v>
      </c>
      <c r="AO531" s="552" t="s">
        <v>773</v>
      </c>
      <c r="AP531" s="44"/>
      <c r="AQ531" s="485">
        <f>AL531/BI531</f>
        <v>1.02078125</v>
      </c>
      <c r="AR531" s="485">
        <f>BL531/BH531</f>
        <v>1.1260997067448681</v>
      </c>
      <c r="AS531" s="485">
        <f>BL531/BI531</f>
        <v>0.6</v>
      </c>
      <c r="AT531" s="123"/>
      <c r="AU531" s="123"/>
      <c r="AV531" s="123"/>
      <c r="AW531" s="69">
        <v>23</v>
      </c>
      <c r="AX531" s="69" t="s">
        <v>294</v>
      </c>
      <c r="AY531" s="243" t="s">
        <v>29</v>
      </c>
      <c r="AZ531" s="243" t="str">
        <f t="shared" si="225"/>
        <v>Sockeye</v>
      </c>
      <c r="BA531" s="243" t="s">
        <v>419</v>
      </c>
      <c r="BB531" s="244" t="s">
        <v>626</v>
      </c>
      <c r="BC531" s="43" t="str">
        <f t="shared" si="226"/>
        <v>Nov 12-18</v>
      </c>
      <c r="BD531" s="43">
        <f t="shared" si="219"/>
        <v>8</v>
      </c>
      <c r="BE531" s="193">
        <f t="shared" si="243"/>
        <v>7680</v>
      </c>
      <c r="BF531" s="193">
        <f t="shared" si="227"/>
        <v>13066</v>
      </c>
      <c r="BG531" s="193">
        <f t="shared" si="228"/>
        <v>13066</v>
      </c>
      <c r="BH531" s="307">
        <f t="shared" si="218"/>
        <v>6820</v>
      </c>
      <c r="BI531" s="265">
        <f t="shared" si="242"/>
        <v>12800</v>
      </c>
      <c r="BJ531" s="26" t="str">
        <f t="shared" si="229"/>
        <v>CLEMENS CREEKSockeye</v>
      </c>
      <c r="BK531" s="26">
        <f t="shared" si="230"/>
        <v>8</v>
      </c>
      <c r="BL531" s="33">
        <f t="shared" si="221"/>
        <v>7680</v>
      </c>
      <c r="BP531" s="34"/>
      <c r="BQ531" s="47" t="str">
        <f t="shared" si="231"/>
        <v>CLEMENS CREEKSockeye</v>
      </c>
      <c r="BR531" s="49">
        <f t="shared" si="232"/>
        <v>0</v>
      </c>
      <c r="BS531" s="49">
        <f t="shared" si="233"/>
        <v>13066</v>
      </c>
      <c r="BT531" s="31">
        <v>2016</v>
      </c>
      <c r="BU531" s="188" t="str">
        <f t="shared" si="234"/>
        <v>Redd</v>
      </c>
      <c r="BV531" s="188" t="str">
        <f t="shared" si="235"/>
        <v>Oct 1-7</v>
      </c>
      <c r="BW531" s="188" t="str">
        <f t="shared" si="236"/>
        <v>Nov 12-18</v>
      </c>
      <c r="BX531" s="188" t="str">
        <f t="shared" si="237"/>
        <v xml:space="preserve"> </v>
      </c>
      <c r="BY531" s="50" t="s">
        <v>570</v>
      </c>
      <c r="BZ531" s="50">
        <f>IFERROR(VLOOKUP(BY531,'[1]WCVI Esc'!$C$5:$W$555,18,FALSE),"-")</f>
        <v>10461.75</v>
      </c>
      <c r="CA531" s="50">
        <f t="shared" si="238"/>
        <v>10460</v>
      </c>
      <c r="CB531" s="50">
        <f>IFERROR(VLOOKUP(BY531,'[1]WCVI Esc'!$C$5:$W$555,19,FALSE),"-")</f>
        <v>12800</v>
      </c>
      <c r="CC531" s="50">
        <f t="shared" si="239"/>
        <v>12800</v>
      </c>
      <c r="CE531" s="342" t="str">
        <f t="shared" si="224"/>
        <v>CLEMENS CREEK_Sockeye</v>
      </c>
      <c r="CF531" s="341">
        <f>IFERROR(VLOOKUP(CE531,'RawPL+D'!$O$8:$AB$503,12,FALSE),"-")</f>
        <v>14983</v>
      </c>
      <c r="CG531" s="338">
        <f t="shared" si="240"/>
        <v>14980</v>
      </c>
      <c r="CH531" s="341">
        <f>IFERROR(VLOOKUP(CE531,'RawPL+D'!$O$8:$AB$503,13,FALSE),"-")</f>
        <v>6816.5</v>
      </c>
      <c r="CI531" s="338">
        <f t="shared" si="241"/>
        <v>6820</v>
      </c>
    </row>
    <row r="532" spans="1:87" ht="12.75" hidden="1" customHeight="1" x14ac:dyDescent="0.2">
      <c r="A532" s="29">
        <v>2</v>
      </c>
      <c r="B532" s="29">
        <v>2</v>
      </c>
      <c r="C532" s="13">
        <v>23</v>
      </c>
      <c r="D532" s="13" t="s">
        <v>294</v>
      </c>
      <c r="E532" s="10" t="s">
        <v>29</v>
      </c>
      <c r="F532" s="10" t="s">
        <v>219</v>
      </c>
      <c r="G532" s="10"/>
      <c r="H532" s="10"/>
      <c r="I532" s="10"/>
      <c r="J532" s="10"/>
      <c r="K532" s="575"/>
      <c r="L532" s="423"/>
      <c r="M532" s="164"/>
      <c r="N532" s="642">
        <v>0</v>
      </c>
      <c r="O532" s="642">
        <v>2</v>
      </c>
      <c r="P532" s="702">
        <v>536</v>
      </c>
      <c r="Q532" s="701">
        <v>378</v>
      </c>
      <c r="R532" s="62"/>
      <c r="S532" s="642">
        <v>223</v>
      </c>
      <c r="T532" s="642">
        <v>426</v>
      </c>
      <c r="U532" s="632">
        <v>513</v>
      </c>
      <c r="V532" s="164"/>
      <c r="W532" s="642">
        <v>242</v>
      </c>
      <c r="X532" s="63"/>
      <c r="Y532" s="62"/>
      <c r="Z532" s="64"/>
      <c r="AA532" s="164"/>
      <c r="AB532" s="62"/>
      <c r="AC532" s="62"/>
      <c r="AD532" s="64"/>
      <c r="AE532" s="164"/>
      <c r="AF532" s="62"/>
      <c r="AG532" s="62"/>
      <c r="AH532" s="337">
        <v>1005</v>
      </c>
      <c r="AI532" s="337">
        <v>281</v>
      </c>
      <c r="AJ532" s="337">
        <v>0</v>
      </c>
      <c r="AK532" s="337">
        <v>0</v>
      </c>
      <c r="AL532" s="552">
        <v>1005</v>
      </c>
      <c r="AM532" s="552">
        <v>1286</v>
      </c>
      <c r="AN532" s="552" t="s">
        <v>768</v>
      </c>
      <c r="AO532" s="552" t="s">
        <v>775</v>
      </c>
      <c r="AP532" s="44"/>
      <c r="AQ532" s="485">
        <f>AL532/BI532</f>
        <v>0.66118421052631582</v>
      </c>
      <c r="AR532" s="100">
        <f>BL532/BH532</f>
        <v>1.191111111111111</v>
      </c>
      <c r="AS532" s="485">
        <f>BL532/BI532</f>
        <v>0.35263157894736841</v>
      </c>
      <c r="AT532" s="123"/>
      <c r="AU532" s="123"/>
      <c r="AV532" s="123"/>
      <c r="AW532" s="69">
        <v>23</v>
      </c>
      <c r="AX532" s="69" t="s">
        <v>294</v>
      </c>
      <c r="AY532" s="243" t="s">
        <v>29</v>
      </c>
      <c r="AZ532" s="243" t="str">
        <f t="shared" si="225"/>
        <v>Coho</v>
      </c>
      <c r="BA532" s="243" t="s">
        <v>419</v>
      </c>
      <c r="BB532" s="244" t="s">
        <v>626</v>
      </c>
      <c r="BC532" s="43" t="str">
        <f t="shared" si="226"/>
        <v>Nov 12-18</v>
      </c>
      <c r="BD532" s="43">
        <f t="shared" si="219"/>
        <v>8</v>
      </c>
      <c r="BE532" s="193">
        <f t="shared" si="243"/>
        <v>536</v>
      </c>
      <c r="BF532" s="193">
        <f t="shared" si="227"/>
        <v>1005</v>
      </c>
      <c r="BG532" s="193">
        <f t="shared" si="228"/>
        <v>1005</v>
      </c>
      <c r="BH532" s="307">
        <f t="shared" si="218"/>
        <v>450</v>
      </c>
      <c r="BI532" s="265">
        <f t="shared" si="242"/>
        <v>1520</v>
      </c>
      <c r="BJ532" s="26" t="str">
        <f t="shared" si="229"/>
        <v>CLEMENS CREEKCoho</v>
      </c>
      <c r="BK532" s="26">
        <f t="shared" si="230"/>
        <v>8</v>
      </c>
      <c r="BL532" s="33">
        <f t="shared" si="221"/>
        <v>536</v>
      </c>
      <c r="BP532" s="34"/>
      <c r="BQ532" s="47" t="str">
        <f t="shared" si="231"/>
        <v>CLEMENS CREEKCoho</v>
      </c>
      <c r="BR532" s="49">
        <f t="shared" si="232"/>
        <v>0</v>
      </c>
      <c r="BS532" s="49">
        <f t="shared" si="233"/>
        <v>1005</v>
      </c>
      <c r="BT532" s="31">
        <v>2016</v>
      </c>
      <c r="BU532" s="188" t="str">
        <f t="shared" si="234"/>
        <v>Redd</v>
      </c>
      <c r="BV532" s="188" t="str">
        <f t="shared" si="235"/>
        <v>Oct 1-7</v>
      </c>
      <c r="BW532" s="188" t="str">
        <f t="shared" si="236"/>
        <v>Nov 12-18</v>
      </c>
      <c r="BX532" s="188" t="str">
        <f t="shared" si="237"/>
        <v xml:space="preserve"> </v>
      </c>
      <c r="BY532" s="50" t="str">
        <f t="shared" ref="BY532:BY563" si="244">CONCATENATE(E532,"_",F532)</f>
        <v>CLEMENS CREEK_Coho</v>
      </c>
      <c r="BZ532" s="50">
        <f>IFERROR(VLOOKUP(BY532,'[1]WCVI Esc'!$C$5:$W$555,18,FALSE),"-")</f>
        <v>746.75</v>
      </c>
      <c r="CA532" s="50">
        <f t="shared" si="238"/>
        <v>750</v>
      </c>
      <c r="CB532" s="50">
        <f>IFERROR(VLOOKUP(BY532,'[1]WCVI Esc'!$C$5:$W$555,19,FALSE),"-")</f>
        <v>1523.25</v>
      </c>
      <c r="CC532" s="50">
        <f t="shared" si="239"/>
        <v>1520</v>
      </c>
      <c r="CE532" s="342" t="str">
        <f t="shared" si="224"/>
        <v>CLEMENS CREEK_Coho</v>
      </c>
      <c r="CF532" s="341">
        <f>IFERROR(VLOOKUP(CE532,'RawPL+D'!$O$8:$AB$503,12,FALSE),"-")</f>
        <v>313</v>
      </c>
      <c r="CG532" s="338">
        <f t="shared" si="240"/>
        <v>310</v>
      </c>
      <c r="CH532" s="341">
        <f>IFERROR(VLOOKUP(CE532,'RawPL+D'!$O$8:$AB$503,13,FALSE),"-")</f>
        <v>450</v>
      </c>
      <c r="CI532" s="338">
        <f t="shared" si="241"/>
        <v>450</v>
      </c>
    </row>
    <row r="533" spans="1:87" ht="12.75" hidden="1" customHeight="1" x14ac:dyDescent="0.2">
      <c r="A533" s="29">
        <v>2</v>
      </c>
      <c r="B533" s="29">
        <v>3</v>
      </c>
      <c r="C533" s="13">
        <v>23</v>
      </c>
      <c r="D533" s="13" t="s">
        <v>294</v>
      </c>
      <c r="E533" s="10" t="s">
        <v>29</v>
      </c>
      <c r="F533" s="10" t="s">
        <v>208</v>
      </c>
      <c r="G533" s="10"/>
      <c r="H533" s="10"/>
      <c r="I533" s="10"/>
      <c r="J533" s="10"/>
      <c r="K533" s="575"/>
      <c r="L533" s="423"/>
      <c r="M533" s="164"/>
      <c r="N533" s="642">
        <v>2</v>
      </c>
      <c r="O533" s="642">
        <v>2</v>
      </c>
      <c r="P533" s="702">
        <v>2</v>
      </c>
      <c r="Q533" s="701">
        <v>1</v>
      </c>
      <c r="R533" s="62"/>
      <c r="S533" s="642">
        <v>1</v>
      </c>
      <c r="T533" s="642">
        <v>1</v>
      </c>
      <c r="U533" s="632">
        <v>2</v>
      </c>
      <c r="V533" s="164"/>
      <c r="W533" s="642">
        <v>0</v>
      </c>
      <c r="X533" s="62"/>
      <c r="Y533" s="62"/>
      <c r="Z533" s="64"/>
      <c r="AA533" s="164"/>
      <c r="AB533" s="62"/>
      <c r="AC533" s="62"/>
      <c r="AD533" s="64"/>
      <c r="AE533" s="164"/>
      <c r="AF533" s="62"/>
      <c r="AG533" s="62"/>
      <c r="AH533" s="337">
        <v>3</v>
      </c>
      <c r="AI533" s="337">
        <v>0</v>
      </c>
      <c r="AJ533" s="337">
        <v>0</v>
      </c>
      <c r="AK533" s="337">
        <v>0</v>
      </c>
      <c r="AL533" s="552">
        <v>3</v>
      </c>
      <c r="AM533" s="552">
        <v>3</v>
      </c>
      <c r="AN533" s="552" t="s">
        <v>765</v>
      </c>
      <c r="AO533" s="552" t="s">
        <v>775</v>
      </c>
      <c r="AP533" s="44"/>
      <c r="AQ533" s="485"/>
      <c r="AR533" s="100"/>
      <c r="AS533" s="485"/>
      <c r="AT533" s="123"/>
      <c r="AU533" s="123"/>
      <c r="AV533" s="123"/>
      <c r="AW533" s="69">
        <v>23</v>
      </c>
      <c r="AX533" s="69" t="s">
        <v>294</v>
      </c>
      <c r="AY533" s="243" t="s">
        <v>29</v>
      </c>
      <c r="AZ533" s="243" t="str">
        <f t="shared" si="225"/>
        <v>Pink</v>
      </c>
      <c r="BA533" s="243" t="s">
        <v>419</v>
      </c>
      <c r="BB533" s="244" t="s">
        <v>626</v>
      </c>
      <c r="BC533" s="43" t="str">
        <f t="shared" si="226"/>
        <v>Nov 12-18</v>
      </c>
      <c r="BD533" s="43">
        <f t="shared" si="219"/>
        <v>8</v>
      </c>
      <c r="BE533" s="193">
        <f t="shared" si="243"/>
        <v>2</v>
      </c>
      <c r="BF533" s="193">
        <f t="shared" si="227"/>
        <v>3</v>
      </c>
      <c r="BG533" s="193">
        <f t="shared" si="228"/>
        <v>3</v>
      </c>
      <c r="BH533" s="307">
        <f t="shared" si="218"/>
        <v>0</v>
      </c>
      <c r="BI533" s="311" t="s">
        <v>242</v>
      </c>
      <c r="BJ533" s="26" t="str">
        <f t="shared" si="229"/>
        <v>CLEMENS CREEKPink</v>
      </c>
      <c r="BK533" s="26">
        <f t="shared" si="230"/>
        <v>8</v>
      </c>
      <c r="BL533" s="33">
        <f t="shared" si="221"/>
        <v>2</v>
      </c>
      <c r="BP533" s="34"/>
      <c r="BQ533" s="47" t="str">
        <f t="shared" si="231"/>
        <v>CLEMENS CREEKPink</v>
      </c>
      <c r="BR533" s="49">
        <f t="shared" si="232"/>
        <v>0</v>
      </c>
      <c r="BS533" s="49">
        <f t="shared" si="233"/>
        <v>3</v>
      </c>
      <c r="BT533" s="31">
        <v>0</v>
      </c>
      <c r="BU533" s="188" t="str">
        <f t="shared" si="234"/>
        <v>Redd</v>
      </c>
      <c r="BV533" s="188" t="str">
        <f t="shared" si="235"/>
        <v>Oct 1-7</v>
      </c>
      <c r="BW533" s="188" t="str">
        <f t="shared" si="236"/>
        <v>Nov 12-18</v>
      </c>
      <c r="BX533" s="188" t="str">
        <f t="shared" si="237"/>
        <v xml:space="preserve"> </v>
      </c>
      <c r="BY533" s="50" t="str">
        <f t="shared" si="244"/>
        <v>CLEMENS CREEK_Pink</v>
      </c>
      <c r="BZ533" s="50" t="str">
        <f>IFERROR(VLOOKUP(BY533,'[1]WCVI Esc'!$C$5:$W$555,18,FALSE),"-")</f>
        <v>-</v>
      </c>
      <c r="CA533" s="50" t="str">
        <f t="shared" si="238"/>
        <v>-</v>
      </c>
      <c r="CB533" s="50" t="str">
        <f>IFERROR(VLOOKUP(BY533,'[1]WCVI Esc'!$C$5:$W$555,19,FALSE),"-")</f>
        <v>-</v>
      </c>
      <c r="CC533" s="50" t="str">
        <f t="shared" si="239"/>
        <v>-</v>
      </c>
      <c r="CE533" s="342" t="str">
        <f t="shared" si="224"/>
        <v>CLEMENS CREEK_Pink</v>
      </c>
      <c r="CF533" s="341">
        <f>IFERROR(VLOOKUP(BY533,'RawPL+D'!$O$8:$AB$503,12,FALSE),"-")</f>
        <v>0</v>
      </c>
      <c r="CG533" s="338">
        <f t="shared" si="240"/>
        <v>0</v>
      </c>
      <c r="CH533" s="341">
        <f>IFERROR(VLOOKUP(BY533,'RawPL+D'!$O$8:$AB$503,13,FALSE),"-")</f>
        <v>0</v>
      </c>
      <c r="CI533" s="338">
        <f t="shared" si="241"/>
        <v>0</v>
      </c>
    </row>
    <row r="534" spans="1:87" ht="12.75" hidden="1" customHeight="1" x14ac:dyDescent="0.2">
      <c r="A534" s="29">
        <v>2</v>
      </c>
      <c r="B534" s="29">
        <v>4</v>
      </c>
      <c r="C534" s="13">
        <v>23</v>
      </c>
      <c r="D534" s="13" t="s">
        <v>294</v>
      </c>
      <c r="E534" s="10" t="s">
        <v>29</v>
      </c>
      <c r="F534" s="10" t="s">
        <v>209</v>
      </c>
      <c r="G534" s="10"/>
      <c r="H534" s="10"/>
      <c r="I534" s="10"/>
      <c r="J534" s="10"/>
      <c r="K534" s="575"/>
      <c r="L534" s="423"/>
      <c r="M534" s="164"/>
      <c r="N534" s="642">
        <v>0</v>
      </c>
      <c r="O534" s="642">
        <v>0</v>
      </c>
      <c r="P534" s="702">
        <v>3</v>
      </c>
      <c r="Q534" s="701">
        <v>3</v>
      </c>
      <c r="R534" s="62"/>
      <c r="S534" s="642">
        <v>44</v>
      </c>
      <c r="T534" s="642">
        <v>52</v>
      </c>
      <c r="U534" s="776">
        <v>7</v>
      </c>
      <c r="V534" s="421"/>
      <c r="W534" s="642">
        <v>0</v>
      </c>
      <c r="X534" s="63"/>
      <c r="Y534" s="62"/>
      <c r="Z534" s="64"/>
      <c r="AA534" s="164"/>
      <c r="AB534" s="62"/>
      <c r="AC534" s="62"/>
      <c r="AD534" s="64"/>
      <c r="AE534" s="164"/>
      <c r="AF534" s="62"/>
      <c r="AG534" s="62"/>
      <c r="AH534" s="337">
        <v>55</v>
      </c>
      <c r="AI534" s="337">
        <v>0</v>
      </c>
      <c r="AJ534" s="337">
        <v>0</v>
      </c>
      <c r="AK534" s="337">
        <v>0</v>
      </c>
      <c r="AL534" s="552">
        <v>55</v>
      </c>
      <c r="AM534" s="552">
        <v>55</v>
      </c>
      <c r="AN534" s="552" t="s">
        <v>765</v>
      </c>
      <c r="AO534" s="552" t="s">
        <v>775</v>
      </c>
      <c r="AP534" s="44"/>
      <c r="AQ534" s="485">
        <f>AL534/BI534</f>
        <v>0.5</v>
      </c>
      <c r="AR534" s="100">
        <f>BL534/BH534</f>
        <v>2.6</v>
      </c>
      <c r="AS534" s="485">
        <f>BL534/BI534</f>
        <v>0.47272727272727272</v>
      </c>
      <c r="AT534" s="123"/>
      <c r="AU534" s="123"/>
      <c r="AV534" s="123"/>
      <c r="AW534" s="69">
        <v>23</v>
      </c>
      <c r="AX534" s="69" t="s">
        <v>294</v>
      </c>
      <c r="AY534" s="243" t="s">
        <v>29</v>
      </c>
      <c r="AZ534" s="243" t="str">
        <f t="shared" si="225"/>
        <v>Chum</v>
      </c>
      <c r="BA534" s="243" t="s">
        <v>419</v>
      </c>
      <c r="BB534" s="244" t="s">
        <v>626</v>
      </c>
      <c r="BC534" s="43" t="str">
        <f t="shared" si="226"/>
        <v>Nov 12-18</v>
      </c>
      <c r="BD534" s="43">
        <f t="shared" si="219"/>
        <v>8</v>
      </c>
      <c r="BE534" s="193">
        <f t="shared" si="243"/>
        <v>52</v>
      </c>
      <c r="BF534" s="193">
        <f t="shared" si="227"/>
        <v>55</v>
      </c>
      <c r="BG534" s="193">
        <f t="shared" si="228"/>
        <v>55</v>
      </c>
      <c r="BH534" s="307">
        <f t="shared" si="218"/>
        <v>20</v>
      </c>
      <c r="BI534" s="265">
        <f t="shared" ref="BI534:BI569" si="245">CC534</f>
        <v>110</v>
      </c>
      <c r="BJ534" s="26" t="str">
        <f t="shared" si="229"/>
        <v>CLEMENS CREEKChum</v>
      </c>
      <c r="BK534" s="26">
        <f t="shared" si="230"/>
        <v>8</v>
      </c>
      <c r="BL534" s="33">
        <f t="shared" si="221"/>
        <v>52</v>
      </c>
      <c r="BP534" s="34"/>
      <c r="BQ534" s="47" t="str">
        <f t="shared" si="231"/>
        <v>CLEMENS CREEKChum</v>
      </c>
      <c r="BR534" s="49">
        <f t="shared" si="232"/>
        <v>0</v>
      </c>
      <c r="BS534" s="49">
        <f t="shared" si="233"/>
        <v>55</v>
      </c>
      <c r="BT534" s="31">
        <v>2016</v>
      </c>
      <c r="BU534" s="188" t="str">
        <f t="shared" si="234"/>
        <v>Redd</v>
      </c>
      <c r="BV534" s="188" t="str">
        <f t="shared" si="235"/>
        <v>Oct 1-7</v>
      </c>
      <c r="BW534" s="188" t="str">
        <f t="shared" si="236"/>
        <v>Nov 12-18</v>
      </c>
      <c r="BX534" s="188" t="str">
        <f t="shared" si="237"/>
        <v xml:space="preserve"> </v>
      </c>
      <c r="BY534" s="50" t="str">
        <f t="shared" si="244"/>
        <v>CLEMENS CREEK_Chum</v>
      </c>
      <c r="BZ534" s="50">
        <f>IFERROR(VLOOKUP(BY534,'[1]WCVI Esc'!$C$5:$W$555,18,FALSE),"-")</f>
        <v>36.25</v>
      </c>
      <c r="CA534" s="50">
        <f t="shared" si="238"/>
        <v>40</v>
      </c>
      <c r="CB534" s="50">
        <f>IFERROR(VLOOKUP(BY534,'[1]WCVI Esc'!$C$5:$W$555,19,FALSE),"-")</f>
        <v>111.25</v>
      </c>
      <c r="CC534" s="50">
        <f t="shared" si="239"/>
        <v>110</v>
      </c>
      <c r="CE534" s="342" t="str">
        <f t="shared" si="224"/>
        <v>CLEMENS CREEK_Chum</v>
      </c>
      <c r="CF534" s="341">
        <f>IFERROR(VLOOKUP(CE534,'RawPL+D'!$O$8:$AB$503,12,FALSE),"-")</f>
        <v>16</v>
      </c>
      <c r="CG534" s="338">
        <f t="shared" si="240"/>
        <v>20</v>
      </c>
      <c r="CH534" s="341">
        <f>IFERROR(VLOOKUP(CE534,'RawPL+D'!$O$8:$AB$503,13,FALSE),"-")</f>
        <v>24.75</v>
      </c>
      <c r="CI534" s="338">
        <f t="shared" si="241"/>
        <v>20</v>
      </c>
    </row>
    <row r="535" spans="1:87" ht="12.75" hidden="1" customHeight="1" x14ac:dyDescent="0.2">
      <c r="A535" s="29">
        <v>2</v>
      </c>
      <c r="B535" s="29">
        <v>5</v>
      </c>
      <c r="C535" s="13">
        <v>23</v>
      </c>
      <c r="D535" s="13" t="s">
        <v>294</v>
      </c>
      <c r="E535" s="10" t="s">
        <v>29</v>
      </c>
      <c r="F535" s="10" t="s">
        <v>210</v>
      </c>
      <c r="G535" s="10"/>
      <c r="H535" s="10"/>
      <c r="I535" s="10"/>
      <c r="J535" s="10"/>
      <c r="K535" s="575"/>
      <c r="L535" s="423"/>
      <c r="M535" s="164"/>
      <c r="N535" s="642">
        <v>8</v>
      </c>
      <c r="O535" s="642">
        <v>1</v>
      </c>
      <c r="P535" s="702">
        <v>123</v>
      </c>
      <c r="Q535" s="701">
        <v>77</v>
      </c>
      <c r="R535" s="62"/>
      <c r="S535" s="642">
        <v>74</v>
      </c>
      <c r="T535" s="642">
        <v>28</v>
      </c>
      <c r="U535" s="771">
        <v>1</v>
      </c>
      <c r="V535" s="164"/>
      <c r="W535" s="642">
        <v>0</v>
      </c>
      <c r="X535" s="62"/>
      <c r="Y535" s="62"/>
      <c r="Z535" s="64"/>
      <c r="AA535" s="164"/>
      <c r="AB535" s="62"/>
      <c r="AC535" s="62"/>
      <c r="AD535" s="64"/>
      <c r="AE535" s="164"/>
      <c r="AF535" s="62"/>
      <c r="AG535" s="62"/>
      <c r="AH535" s="337">
        <v>182</v>
      </c>
      <c r="AI535" s="337">
        <v>12</v>
      </c>
      <c r="AJ535" s="337">
        <v>0</v>
      </c>
      <c r="AK535" s="337">
        <v>0</v>
      </c>
      <c r="AL535" s="552">
        <v>182</v>
      </c>
      <c r="AM535" s="552">
        <v>194</v>
      </c>
      <c r="AN535" s="552" t="s">
        <v>768</v>
      </c>
      <c r="AO535" s="552" t="s">
        <v>775</v>
      </c>
      <c r="AP535" s="44"/>
      <c r="AQ535" s="485">
        <f>AL535/BI535</f>
        <v>2.0222222222222221</v>
      </c>
      <c r="AR535" s="100">
        <f>BL535/BH535</f>
        <v>6.15</v>
      </c>
      <c r="AS535" s="485">
        <f>BL535/BI535</f>
        <v>1.3666666666666667</v>
      </c>
      <c r="AT535" s="123"/>
      <c r="AU535" s="123"/>
      <c r="AV535" s="123">
        <f>AL535</f>
        <v>182</v>
      </c>
      <c r="AW535" s="69">
        <v>23</v>
      </c>
      <c r="AX535" s="69" t="s">
        <v>294</v>
      </c>
      <c r="AY535" s="243" t="s">
        <v>29</v>
      </c>
      <c r="AZ535" s="243" t="str">
        <f t="shared" si="225"/>
        <v>Chinook</v>
      </c>
      <c r="BA535" s="243" t="s">
        <v>419</v>
      </c>
      <c r="BB535" s="244" t="s">
        <v>626</v>
      </c>
      <c r="BC535" s="43" t="str">
        <f t="shared" si="226"/>
        <v>Nov 12-18</v>
      </c>
      <c r="BD535" s="43">
        <f t="shared" si="219"/>
        <v>8</v>
      </c>
      <c r="BE535" s="193">
        <f t="shared" si="243"/>
        <v>123</v>
      </c>
      <c r="BF535" s="193">
        <f t="shared" si="227"/>
        <v>182</v>
      </c>
      <c r="BG535" s="193">
        <f t="shared" si="228"/>
        <v>182</v>
      </c>
      <c r="BH535" s="307">
        <f t="shared" si="218"/>
        <v>20</v>
      </c>
      <c r="BI535" s="265">
        <f t="shared" si="245"/>
        <v>90</v>
      </c>
      <c r="BJ535" s="26" t="str">
        <f t="shared" si="229"/>
        <v>CLEMENS CREEKChinook</v>
      </c>
      <c r="BK535" s="26">
        <f t="shared" si="230"/>
        <v>8</v>
      </c>
      <c r="BL535" s="33">
        <f t="shared" si="221"/>
        <v>123</v>
      </c>
      <c r="BM535" s="34"/>
      <c r="BN535" s="34"/>
      <c r="BP535" s="34">
        <f>SUM(BM535:BN535)/2</f>
        <v>0</v>
      </c>
      <c r="BQ535" s="47" t="str">
        <f t="shared" si="231"/>
        <v>CLEMENS CREEKChinook</v>
      </c>
      <c r="BR535" s="49">
        <f t="shared" si="232"/>
        <v>0</v>
      </c>
      <c r="BS535" s="49">
        <f t="shared" si="233"/>
        <v>182</v>
      </c>
      <c r="BT535" s="31">
        <v>2016</v>
      </c>
      <c r="BU535" s="188" t="str">
        <f t="shared" si="234"/>
        <v>Redd</v>
      </c>
      <c r="BV535" s="188" t="str">
        <f t="shared" si="235"/>
        <v>Oct 1-7</v>
      </c>
      <c r="BW535" s="188" t="str">
        <f t="shared" si="236"/>
        <v>Nov 12-18</v>
      </c>
      <c r="BX535" s="188" t="str">
        <f t="shared" si="237"/>
        <v xml:space="preserve"> </v>
      </c>
      <c r="BY535" s="50" t="str">
        <f t="shared" si="244"/>
        <v>CLEMENS CREEK_Chinook</v>
      </c>
      <c r="BZ535" s="50">
        <f>IFERROR(VLOOKUP(BY535,'[1]WCVI Esc'!$C$5:$W$555,18,FALSE),"-")</f>
        <v>26.5</v>
      </c>
      <c r="CA535" s="50">
        <f t="shared" si="238"/>
        <v>30</v>
      </c>
      <c r="CB535" s="50">
        <f>IFERROR(VLOOKUP(BY535,'[1]WCVI Esc'!$C$5:$W$555,19,FALSE),"-")</f>
        <v>88.5</v>
      </c>
      <c r="CC535" s="50">
        <f t="shared" si="239"/>
        <v>90</v>
      </c>
      <c r="CE535" s="342" t="str">
        <f t="shared" si="224"/>
        <v>CLEMENS CREEK_Chinook</v>
      </c>
      <c r="CF535" s="341">
        <f>IFERROR(VLOOKUP(CE535,'RawPL+D'!$O$8:$AB$503,12,FALSE),"-")</f>
        <v>25</v>
      </c>
      <c r="CG535" s="338">
        <f t="shared" si="240"/>
        <v>30</v>
      </c>
      <c r="CH535" s="341">
        <f>IFERROR(VLOOKUP(CE535,'RawPL+D'!$O$8:$AB$503,13,FALSE),"-")</f>
        <v>21</v>
      </c>
      <c r="CI535" s="338">
        <f t="shared" si="241"/>
        <v>20</v>
      </c>
    </row>
    <row r="536" spans="1:87" ht="12.75" hidden="1" customHeight="1" x14ac:dyDescent="0.2">
      <c r="A536" s="29">
        <v>2</v>
      </c>
      <c r="B536" s="29">
        <v>6</v>
      </c>
      <c r="C536" s="13">
        <v>23</v>
      </c>
      <c r="D536" s="13" t="s">
        <v>294</v>
      </c>
      <c r="E536" s="10" t="s">
        <v>29</v>
      </c>
      <c r="F536" s="10" t="s">
        <v>211</v>
      </c>
      <c r="G536" s="10"/>
      <c r="H536" s="10"/>
      <c r="I536" s="10"/>
      <c r="J536" s="10"/>
      <c r="K536" s="575"/>
      <c r="L536" s="423"/>
      <c r="M536" s="164"/>
      <c r="N536" s="642">
        <v>0</v>
      </c>
      <c r="O536" s="642">
        <v>0</v>
      </c>
      <c r="P536" s="702">
        <v>0</v>
      </c>
      <c r="Q536" s="701">
        <v>0</v>
      </c>
      <c r="R536" s="62"/>
      <c r="S536" s="642">
        <v>1</v>
      </c>
      <c r="T536" s="642">
        <v>0</v>
      </c>
      <c r="U536" s="771">
        <v>0</v>
      </c>
      <c r="V536" s="164"/>
      <c r="W536" s="642">
        <v>0</v>
      </c>
      <c r="X536" s="62"/>
      <c r="Y536" s="62"/>
      <c r="Z536" s="64"/>
      <c r="AA536" s="164"/>
      <c r="AB536" s="62"/>
      <c r="AC536" s="62"/>
      <c r="AD536" s="64"/>
      <c r="AE536" s="164"/>
      <c r="AF536" s="62"/>
      <c r="AG536" s="62"/>
      <c r="AH536" s="337"/>
      <c r="AI536" s="337"/>
      <c r="AJ536" s="337"/>
      <c r="AK536" s="337"/>
      <c r="AL536" s="552"/>
      <c r="AM536" s="552"/>
      <c r="AN536" s="45"/>
      <c r="AO536" s="45"/>
      <c r="AP536" s="44"/>
      <c r="AQ536" s="485"/>
      <c r="AR536" s="100"/>
      <c r="AS536" s="485"/>
      <c r="AT536" s="123"/>
      <c r="AU536" s="123"/>
      <c r="AV536" s="123"/>
      <c r="AW536" s="69">
        <v>23</v>
      </c>
      <c r="AX536" s="69" t="s">
        <v>294</v>
      </c>
      <c r="AY536" s="243" t="s">
        <v>29</v>
      </c>
      <c r="AZ536" s="243" t="str">
        <f t="shared" si="225"/>
        <v>Steelhead</v>
      </c>
      <c r="BA536" s="243" t="s">
        <v>419</v>
      </c>
      <c r="BB536" s="244" t="s">
        <v>626</v>
      </c>
      <c r="BC536" s="43" t="str">
        <f t="shared" si="226"/>
        <v>Nov 12-18</v>
      </c>
      <c r="BD536" s="43">
        <f t="shared" si="219"/>
        <v>8</v>
      </c>
      <c r="BE536" s="193">
        <f t="shared" si="243"/>
        <v>1</v>
      </c>
      <c r="BF536" s="193">
        <f t="shared" si="227"/>
        <v>0</v>
      </c>
      <c r="BG536" s="193">
        <f t="shared" si="228"/>
        <v>0</v>
      </c>
      <c r="BH536" s="307" t="str">
        <f t="shared" si="218"/>
        <v>-</v>
      </c>
      <c r="BI536" s="265" t="str">
        <f t="shared" si="245"/>
        <v>-</v>
      </c>
      <c r="BJ536" s="26" t="str">
        <f t="shared" si="229"/>
        <v>CLEMENS CREEKSteelhead</v>
      </c>
      <c r="BK536" s="26">
        <f t="shared" si="230"/>
        <v>8</v>
      </c>
      <c r="BL536" s="33">
        <f t="shared" si="221"/>
        <v>1</v>
      </c>
      <c r="BP536" s="34"/>
      <c r="BQ536" s="47" t="str">
        <f t="shared" si="231"/>
        <v>CLEMENS CREEKSteelhead</v>
      </c>
      <c r="BR536" s="49">
        <f t="shared" si="232"/>
        <v>0</v>
      </c>
      <c r="BS536" s="49">
        <f t="shared" si="233"/>
        <v>0</v>
      </c>
      <c r="BT536" s="31">
        <v>0</v>
      </c>
      <c r="BU536" s="188" t="str">
        <f t="shared" si="234"/>
        <v>Redd</v>
      </c>
      <c r="BV536" s="188" t="str">
        <f t="shared" si="235"/>
        <v>Oct 1-7</v>
      </c>
      <c r="BW536" s="188" t="str">
        <f t="shared" si="236"/>
        <v>Nov 12-18</v>
      </c>
      <c r="BX536" s="188" t="str">
        <f t="shared" si="237"/>
        <v xml:space="preserve"> </v>
      </c>
      <c r="BY536" s="50" t="str">
        <f t="shared" si="244"/>
        <v>CLEMENS CREEK_Steelhead</v>
      </c>
      <c r="BZ536" s="50" t="str">
        <f>IFERROR(VLOOKUP(BY536,'[1]WCVI Esc'!$C$5:$W$555,18,FALSE),"-")</f>
        <v>-</v>
      </c>
      <c r="CA536" s="50" t="str">
        <f t="shared" si="238"/>
        <v>-</v>
      </c>
      <c r="CB536" s="50" t="str">
        <f>IFERROR(VLOOKUP(BY536,'[1]WCVI Esc'!$C$5:$W$555,19,FALSE),"-")</f>
        <v>-</v>
      </c>
      <c r="CC536" s="50" t="str">
        <f t="shared" si="239"/>
        <v>-</v>
      </c>
      <c r="CE536" s="342" t="str">
        <f t="shared" si="224"/>
        <v>CLEMENS CREEK_Steelhead</v>
      </c>
      <c r="CF536" s="341" t="str">
        <f>IFERROR(VLOOKUP(BY536,'RawPL+D'!$O$8:$AB$503,12,FALSE),"-")</f>
        <v>-</v>
      </c>
      <c r="CG536" s="338" t="str">
        <f t="shared" si="240"/>
        <v>-</v>
      </c>
      <c r="CH536" s="341" t="str">
        <f>IFERROR(VLOOKUP(BY536,'RawPL+D'!$O$8:$AB$503,13,FALSE),"-")</f>
        <v>-</v>
      </c>
      <c r="CI536" s="338" t="str">
        <f t="shared" si="241"/>
        <v>-</v>
      </c>
    </row>
    <row r="537" spans="1:87" ht="12.75" hidden="1" customHeight="1" x14ac:dyDescent="0.2">
      <c r="A537" s="29">
        <v>3</v>
      </c>
      <c r="B537" s="29">
        <v>1</v>
      </c>
      <c r="C537" s="13">
        <v>23</v>
      </c>
      <c r="D537" s="148" t="s">
        <v>294</v>
      </c>
      <c r="E537" s="10" t="s">
        <v>30</v>
      </c>
      <c r="F537" s="10" t="s">
        <v>207</v>
      </c>
      <c r="G537" s="10"/>
      <c r="H537" s="10"/>
      <c r="I537" s="10"/>
      <c r="J537" s="10"/>
      <c r="K537" s="575"/>
      <c r="L537" s="152"/>
      <c r="M537" s="422"/>
      <c r="N537" s="339"/>
      <c r="O537" s="62"/>
      <c r="P537" s="424"/>
      <c r="Q537" s="171"/>
      <c r="R537" s="339"/>
      <c r="S537" s="339"/>
      <c r="T537" s="63"/>
      <c r="U537" s="162"/>
      <c r="V537" s="164"/>
      <c r="W537" s="62"/>
      <c r="X537" s="63"/>
      <c r="Y537" s="62"/>
      <c r="Z537" s="64"/>
      <c r="AA537" s="164"/>
      <c r="AB537" s="62"/>
      <c r="AC537" s="62"/>
      <c r="AD537" s="64"/>
      <c r="AE537" s="164"/>
      <c r="AF537" s="62"/>
      <c r="AG537" s="62"/>
      <c r="AH537" s="337"/>
      <c r="AI537" s="337"/>
      <c r="AJ537" s="337"/>
      <c r="AK537" s="337"/>
      <c r="AL537" s="413"/>
      <c r="AM537" s="413"/>
      <c r="AN537" s="46"/>
      <c r="AO537" s="46"/>
      <c r="AP537" s="12"/>
      <c r="AQ537" s="485">
        <f>AL537/BI537</f>
        <v>0</v>
      </c>
      <c r="AR537"/>
      <c r="AS537" s="485">
        <f>BL537/BI537</f>
        <v>0</v>
      </c>
      <c r="AT537" s="100"/>
      <c r="AU537" s="100"/>
      <c r="AV537" s="100"/>
      <c r="AW537" s="69">
        <v>23</v>
      </c>
      <c r="AX537" s="69" t="s">
        <v>294</v>
      </c>
      <c r="AY537" s="243" t="s">
        <v>30</v>
      </c>
      <c r="AZ537" s="243" t="str">
        <f t="shared" si="225"/>
        <v>Sockeye</v>
      </c>
      <c r="BA537" s="243" t="s">
        <v>419</v>
      </c>
      <c r="BB537" s="244" t="s">
        <v>366</v>
      </c>
      <c r="BC537" s="43" t="str">
        <f t="shared" si="226"/>
        <v>-</v>
      </c>
      <c r="BD537" s="43">
        <f t="shared" si="219"/>
        <v>0</v>
      </c>
      <c r="BE537" s="193">
        <f t="shared" si="243"/>
        <v>0</v>
      </c>
      <c r="BF537" s="193">
        <f t="shared" si="227"/>
        <v>0</v>
      </c>
      <c r="BG537" s="193">
        <f t="shared" si="228"/>
        <v>0</v>
      </c>
      <c r="BH537" s="307" t="str">
        <f t="shared" si="218"/>
        <v>-</v>
      </c>
      <c r="BI537" s="265">
        <f t="shared" si="245"/>
        <v>12800</v>
      </c>
      <c r="BJ537" s="26" t="str">
        <f t="shared" si="229"/>
        <v>HENDERSON LAKESockeye</v>
      </c>
      <c r="BK537" s="26">
        <f t="shared" si="230"/>
        <v>0</v>
      </c>
      <c r="BL537" s="33">
        <f t="shared" si="221"/>
        <v>0</v>
      </c>
      <c r="BP537" s="34"/>
      <c r="BQ537" s="47" t="str">
        <f t="shared" si="231"/>
        <v>HENDERSON LAKESockeye</v>
      </c>
      <c r="BR537" s="49">
        <f t="shared" si="232"/>
        <v>0</v>
      </c>
      <c r="BS537" s="49">
        <f t="shared" si="233"/>
        <v>0</v>
      </c>
      <c r="BT537" s="31">
        <v>2016</v>
      </c>
      <c r="BU537" s="188" t="str">
        <f t="shared" si="234"/>
        <v>Hup/StAD</v>
      </c>
      <c r="BV537" s="188" t="str">
        <f t="shared" si="235"/>
        <v xml:space="preserve"> </v>
      </c>
      <c r="BW537" s="188" t="str">
        <f t="shared" si="236"/>
        <v xml:space="preserve"> </v>
      </c>
      <c r="BX537" s="188" t="str">
        <f t="shared" si="237"/>
        <v xml:space="preserve"> </v>
      </c>
      <c r="BY537" s="50" t="str">
        <f t="shared" si="244"/>
        <v>HENDERSON LAKE_Sockeye</v>
      </c>
      <c r="BZ537" s="50">
        <f>IFERROR(VLOOKUP(BY537,'[1]WCVI Esc'!$C$5:$W$555,18,FALSE),"-")</f>
        <v>10461.75</v>
      </c>
      <c r="CA537" s="50">
        <f t="shared" si="238"/>
        <v>10460</v>
      </c>
      <c r="CB537" s="50">
        <f>IFERROR(VLOOKUP(BY537,'[1]WCVI Esc'!$C$5:$W$555,19,FALSE),"-")</f>
        <v>12800</v>
      </c>
      <c r="CC537" s="50">
        <f t="shared" si="239"/>
        <v>12800</v>
      </c>
      <c r="CE537" s="342" t="str">
        <f t="shared" si="224"/>
        <v>HENDERSON LAKE_Sockeye</v>
      </c>
      <c r="CF537" s="341" t="str">
        <f>IFERROR(VLOOKUP(CE537,'RawPL+D'!$O$8:$AB$503,12,FALSE),"-")</f>
        <v>-</v>
      </c>
      <c r="CG537" s="338" t="str">
        <f t="shared" si="240"/>
        <v>-</v>
      </c>
      <c r="CH537" s="341" t="str">
        <f>IFERROR(VLOOKUP(CE537,'RawPL+D'!$O$8:$AB$503,13,FALSE),"-")</f>
        <v>-</v>
      </c>
      <c r="CI537" s="338" t="str">
        <f t="shared" si="241"/>
        <v>-</v>
      </c>
    </row>
    <row r="538" spans="1:87" ht="12.75" hidden="1" customHeight="1" x14ac:dyDescent="0.2">
      <c r="A538" s="29">
        <v>3</v>
      </c>
      <c r="B538" s="29">
        <v>2</v>
      </c>
      <c r="C538" s="13">
        <v>23</v>
      </c>
      <c r="D538" s="148" t="s">
        <v>294</v>
      </c>
      <c r="E538" s="10" t="s">
        <v>30</v>
      </c>
      <c r="F538" s="10" t="s">
        <v>219</v>
      </c>
      <c r="G538" s="10"/>
      <c r="H538" s="10"/>
      <c r="I538" s="10"/>
      <c r="J538" s="10"/>
      <c r="K538" s="575"/>
      <c r="L538" s="152"/>
      <c r="M538" s="422"/>
      <c r="N538" s="339"/>
      <c r="O538" s="62"/>
      <c r="P538" s="424"/>
      <c r="Q538" s="171"/>
      <c r="R538" s="339"/>
      <c r="S538" s="339"/>
      <c r="T538" s="63"/>
      <c r="U538" s="162"/>
      <c r="V538" s="164"/>
      <c r="W538" s="62"/>
      <c r="X538" s="63"/>
      <c r="Y538" s="62"/>
      <c r="Z538" s="64"/>
      <c r="AA538" s="164"/>
      <c r="AB538" s="62"/>
      <c r="AC538" s="62"/>
      <c r="AD538" s="64"/>
      <c r="AE538" s="164"/>
      <c r="AF538" s="62"/>
      <c r="AG538" s="62"/>
      <c r="AH538" s="337"/>
      <c r="AI538" s="337"/>
      <c r="AJ538" s="337"/>
      <c r="AK538" s="337"/>
      <c r="AL538" s="414"/>
      <c r="AM538" s="414"/>
      <c r="AN538" s="45"/>
      <c r="AO538" s="45"/>
      <c r="AP538" s="45"/>
      <c r="AQ538" s="485"/>
      <c r="AR538"/>
      <c r="AS538" s="485"/>
      <c r="AT538" s="100"/>
      <c r="AU538" s="100"/>
      <c r="AV538" s="100"/>
      <c r="AW538" s="69">
        <v>23</v>
      </c>
      <c r="AX538" s="69" t="s">
        <v>294</v>
      </c>
      <c r="AY538" s="243" t="s">
        <v>30</v>
      </c>
      <c r="AZ538" s="243" t="str">
        <f t="shared" si="225"/>
        <v>Coho</v>
      </c>
      <c r="BA538" s="243" t="s">
        <v>419</v>
      </c>
      <c r="BB538" s="244" t="s">
        <v>366</v>
      </c>
      <c r="BC538" s="43" t="str">
        <f t="shared" si="226"/>
        <v>-</v>
      </c>
      <c r="BD538" s="43">
        <f t="shared" si="219"/>
        <v>0</v>
      </c>
      <c r="BE538" s="193">
        <f t="shared" si="243"/>
        <v>0</v>
      </c>
      <c r="BF538" s="193">
        <f t="shared" si="227"/>
        <v>0</v>
      </c>
      <c r="BG538" s="193">
        <f t="shared" si="228"/>
        <v>0</v>
      </c>
      <c r="BH538" s="307" t="str">
        <f t="shared" si="218"/>
        <v>-</v>
      </c>
      <c r="BI538" s="265" t="str">
        <f t="shared" si="245"/>
        <v>-</v>
      </c>
      <c r="BJ538" s="26" t="str">
        <f t="shared" si="229"/>
        <v>HENDERSON LAKECoho</v>
      </c>
      <c r="BK538" s="26">
        <f t="shared" si="230"/>
        <v>0</v>
      </c>
      <c r="BL538" s="33">
        <f t="shared" si="221"/>
        <v>0</v>
      </c>
      <c r="BP538" s="34"/>
      <c r="BQ538" s="47" t="str">
        <f t="shared" si="231"/>
        <v>HENDERSON LAKECoho</v>
      </c>
      <c r="BR538" s="49">
        <f t="shared" si="232"/>
        <v>0</v>
      </c>
      <c r="BS538" s="49">
        <f t="shared" si="233"/>
        <v>0</v>
      </c>
      <c r="BT538" s="31">
        <v>2016</v>
      </c>
      <c r="BU538" s="188" t="str">
        <f t="shared" si="234"/>
        <v>Hup/StAD</v>
      </c>
      <c r="BV538" s="188" t="str">
        <f t="shared" si="235"/>
        <v xml:space="preserve"> </v>
      </c>
      <c r="BW538" s="188" t="str">
        <f t="shared" si="236"/>
        <v xml:space="preserve"> </v>
      </c>
      <c r="BX538" s="188" t="str">
        <f t="shared" si="237"/>
        <v xml:space="preserve"> </v>
      </c>
      <c r="BY538" s="50" t="str">
        <f t="shared" si="244"/>
        <v>HENDERSON LAKE_Coho</v>
      </c>
      <c r="BZ538" s="50" t="str">
        <f>IFERROR(VLOOKUP(BY538,'[1]WCVI Esc'!$C$5:$W$555,18,FALSE),"-")</f>
        <v>-</v>
      </c>
      <c r="CA538" s="50" t="str">
        <f t="shared" si="238"/>
        <v>-</v>
      </c>
      <c r="CB538" s="50" t="str">
        <f>IFERROR(VLOOKUP(BY538,'[1]WCVI Esc'!$C$5:$W$555,19,FALSE),"-")</f>
        <v>-</v>
      </c>
      <c r="CC538" s="50" t="str">
        <f t="shared" si="239"/>
        <v>-</v>
      </c>
      <c r="CE538" s="342" t="str">
        <f t="shared" si="224"/>
        <v>HENDERSON LAKE_Coho</v>
      </c>
      <c r="CF538" s="341" t="str">
        <f>IFERROR(VLOOKUP(BY538,'RawPL+D'!$O$8:$AB$503,12,FALSE),"-")</f>
        <v>-</v>
      </c>
      <c r="CG538" s="338" t="str">
        <f t="shared" si="240"/>
        <v>-</v>
      </c>
      <c r="CH538" s="341" t="str">
        <f>IFERROR(VLOOKUP(BY538,'RawPL+D'!$O$8:$AB$503,13,FALSE),"-")</f>
        <v>-</v>
      </c>
      <c r="CI538" s="338" t="str">
        <f t="shared" si="241"/>
        <v>-</v>
      </c>
    </row>
    <row r="539" spans="1:87" ht="12.75" hidden="1" customHeight="1" x14ac:dyDescent="0.2">
      <c r="A539" s="29">
        <v>3</v>
      </c>
      <c r="B539" s="29">
        <v>3</v>
      </c>
      <c r="C539" s="13">
        <v>23</v>
      </c>
      <c r="D539" s="148" t="s">
        <v>294</v>
      </c>
      <c r="E539" s="10" t="s">
        <v>30</v>
      </c>
      <c r="F539" s="10" t="s">
        <v>208</v>
      </c>
      <c r="G539" s="10"/>
      <c r="H539" s="10"/>
      <c r="I539" s="10"/>
      <c r="J539" s="10"/>
      <c r="K539" s="575"/>
      <c r="L539" s="152"/>
      <c r="M539" s="422"/>
      <c r="N539" s="339"/>
      <c r="O539" s="62"/>
      <c r="P539" s="424"/>
      <c r="Q539" s="171"/>
      <c r="R539" s="339"/>
      <c r="S539" s="339"/>
      <c r="T539" s="63"/>
      <c r="U539" s="162"/>
      <c r="V539" s="164"/>
      <c r="W539" s="62"/>
      <c r="X539" s="63"/>
      <c r="Y539" s="62"/>
      <c r="Z539" s="64"/>
      <c r="AA539" s="164"/>
      <c r="AB539" s="62"/>
      <c r="AC539" s="62"/>
      <c r="AD539" s="64"/>
      <c r="AE539" s="164"/>
      <c r="AF539" s="62"/>
      <c r="AG539" s="62"/>
      <c r="AH539" s="337"/>
      <c r="AI539" s="337"/>
      <c r="AJ539" s="337"/>
      <c r="AK539" s="337"/>
      <c r="AL539" s="414"/>
      <c r="AM539" s="414"/>
      <c r="AN539" s="45"/>
      <c r="AO539" s="45"/>
      <c r="AP539" s="45"/>
      <c r="AQ539" s="485"/>
      <c r="AR539"/>
      <c r="AS539" s="485"/>
      <c r="AT539" s="100"/>
      <c r="AU539" s="100"/>
      <c r="AV539" s="100"/>
      <c r="AW539" s="69">
        <v>23</v>
      </c>
      <c r="AX539" s="69" t="s">
        <v>294</v>
      </c>
      <c r="AY539" s="243" t="s">
        <v>30</v>
      </c>
      <c r="AZ539" s="243" t="str">
        <f t="shared" si="225"/>
        <v>Pink</v>
      </c>
      <c r="BA539" s="243" t="s">
        <v>419</v>
      </c>
      <c r="BB539" s="244" t="s">
        <v>366</v>
      </c>
      <c r="BC539" s="43" t="str">
        <f t="shared" si="226"/>
        <v>-</v>
      </c>
      <c r="BD539" s="43">
        <f t="shared" si="219"/>
        <v>0</v>
      </c>
      <c r="BE539" s="193">
        <f t="shared" si="243"/>
        <v>0</v>
      </c>
      <c r="BF539" s="193">
        <f t="shared" si="227"/>
        <v>0</v>
      </c>
      <c r="BG539" s="193">
        <f t="shared" si="228"/>
        <v>0</v>
      </c>
      <c r="BH539" s="307" t="str">
        <f t="shared" si="218"/>
        <v>-</v>
      </c>
      <c r="BI539" s="265" t="str">
        <f t="shared" si="245"/>
        <v>-</v>
      </c>
      <c r="BJ539" s="26" t="str">
        <f t="shared" si="229"/>
        <v>HENDERSON LAKEPink</v>
      </c>
      <c r="BK539" s="26">
        <f t="shared" si="230"/>
        <v>0</v>
      </c>
      <c r="BL539" s="33">
        <f t="shared" si="221"/>
        <v>0</v>
      </c>
      <c r="BP539" s="34"/>
      <c r="BQ539" s="47" t="str">
        <f t="shared" si="231"/>
        <v>HENDERSON LAKEPink</v>
      </c>
      <c r="BR539" s="49">
        <f t="shared" si="232"/>
        <v>0</v>
      </c>
      <c r="BS539" s="49">
        <f t="shared" si="233"/>
        <v>0</v>
      </c>
      <c r="BT539" s="31">
        <v>0</v>
      </c>
      <c r="BU539" s="188" t="str">
        <f t="shared" si="234"/>
        <v>Hup/StAD</v>
      </c>
      <c r="BV539" s="188" t="str">
        <f t="shared" si="235"/>
        <v xml:space="preserve"> </v>
      </c>
      <c r="BW539" s="188" t="str">
        <f t="shared" si="236"/>
        <v xml:space="preserve"> </v>
      </c>
      <c r="BX539" s="188" t="str">
        <f t="shared" si="237"/>
        <v xml:space="preserve"> </v>
      </c>
      <c r="BY539" s="50" t="str">
        <f t="shared" si="244"/>
        <v>HENDERSON LAKE_Pink</v>
      </c>
      <c r="BZ539" s="50" t="str">
        <f>IFERROR(VLOOKUP(BY539,'[1]WCVI Esc'!$C$5:$W$555,18,FALSE),"-")</f>
        <v>-</v>
      </c>
      <c r="CA539" s="50" t="str">
        <f t="shared" si="238"/>
        <v>-</v>
      </c>
      <c r="CB539" s="50" t="str">
        <f>IFERROR(VLOOKUP(BY539,'[1]WCVI Esc'!$C$5:$W$555,19,FALSE),"-")</f>
        <v>-</v>
      </c>
      <c r="CC539" s="50" t="str">
        <f t="shared" si="239"/>
        <v>-</v>
      </c>
      <c r="CE539" s="342" t="str">
        <f t="shared" si="224"/>
        <v>HENDERSON LAKE_Pink</v>
      </c>
      <c r="CF539" s="341" t="str">
        <f>IFERROR(VLOOKUP(BY539,'RawPL+D'!$O$8:$AB$503,12,FALSE),"-")</f>
        <v>-</v>
      </c>
      <c r="CG539" s="338" t="str">
        <f t="shared" si="240"/>
        <v>-</v>
      </c>
      <c r="CH539" s="341" t="str">
        <f>IFERROR(VLOOKUP(BY539,'RawPL+D'!$O$8:$AB$503,13,FALSE),"-")</f>
        <v>-</v>
      </c>
      <c r="CI539" s="338" t="str">
        <f t="shared" si="241"/>
        <v>-</v>
      </c>
    </row>
    <row r="540" spans="1:87" ht="12.75" hidden="1" customHeight="1" x14ac:dyDescent="0.2">
      <c r="A540" s="29">
        <v>3</v>
      </c>
      <c r="B540" s="29">
        <v>4</v>
      </c>
      <c r="C540" s="13">
        <v>23</v>
      </c>
      <c r="D540" s="148" t="s">
        <v>294</v>
      </c>
      <c r="E540" s="10" t="s">
        <v>30</v>
      </c>
      <c r="F540" s="10" t="s">
        <v>209</v>
      </c>
      <c r="G540" s="10"/>
      <c r="H540" s="10"/>
      <c r="I540" s="10"/>
      <c r="J540" s="10"/>
      <c r="K540" s="575"/>
      <c r="L540" s="152"/>
      <c r="M540" s="422"/>
      <c r="N540" s="339"/>
      <c r="O540" s="62"/>
      <c r="P540" s="424"/>
      <c r="Q540" s="171"/>
      <c r="R540" s="339"/>
      <c r="S540" s="339"/>
      <c r="T540" s="63"/>
      <c r="U540" s="162"/>
      <c r="V540" s="164"/>
      <c r="W540" s="62"/>
      <c r="X540" s="63"/>
      <c r="Y540" s="62"/>
      <c r="Z540" s="64"/>
      <c r="AA540" s="164"/>
      <c r="AB540" s="62"/>
      <c r="AC540" s="62"/>
      <c r="AD540" s="64"/>
      <c r="AE540" s="164"/>
      <c r="AF540" s="62"/>
      <c r="AG540" s="62"/>
      <c r="AH540" s="337"/>
      <c r="AI540" s="337"/>
      <c r="AJ540" s="337"/>
      <c r="AK540" s="337"/>
      <c r="AL540" s="414"/>
      <c r="AM540" s="414"/>
      <c r="AN540" s="45"/>
      <c r="AO540" s="45"/>
      <c r="AP540" s="45"/>
      <c r="AQ540" s="485"/>
      <c r="AR540"/>
      <c r="AS540" s="485"/>
      <c r="AT540" s="100"/>
      <c r="AU540" s="100"/>
      <c r="AV540" s="100"/>
      <c r="AW540" s="69">
        <v>23</v>
      </c>
      <c r="AX540" s="69" t="s">
        <v>294</v>
      </c>
      <c r="AY540" s="243" t="s">
        <v>30</v>
      </c>
      <c r="AZ540" s="243" t="str">
        <f t="shared" si="225"/>
        <v>Chum</v>
      </c>
      <c r="BA540" s="243" t="s">
        <v>419</v>
      </c>
      <c r="BB540" s="244" t="s">
        <v>366</v>
      </c>
      <c r="BC540" s="43" t="str">
        <f t="shared" si="226"/>
        <v>-</v>
      </c>
      <c r="BD540" s="43">
        <f t="shared" si="219"/>
        <v>0</v>
      </c>
      <c r="BE540" s="193">
        <f t="shared" si="243"/>
        <v>0</v>
      </c>
      <c r="BF540" s="193">
        <f t="shared" si="227"/>
        <v>0</v>
      </c>
      <c r="BG540" s="193">
        <f t="shared" si="228"/>
        <v>0</v>
      </c>
      <c r="BH540" s="307" t="str">
        <f t="shared" ref="BH540:BH603" si="246">CI540</f>
        <v>-</v>
      </c>
      <c r="BI540" s="265" t="str">
        <f t="shared" si="245"/>
        <v>-</v>
      </c>
      <c r="BJ540" s="26" t="str">
        <f t="shared" si="229"/>
        <v>HENDERSON LAKEChum</v>
      </c>
      <c r="BK540" s="26">
        <f t="shared" si="230"/>
        <v>0</v>
      </c>
      <c r="BL540" s="33">
        <f t="shared" si="221"/>
        <v>0</v>
      </c>
      <c r="BP540" s="34"/>
      <c r="BQ540" s="47" t="str">
        <f t="shared" si="231"/>
        <v>HENDERSON LAKEChum</v>
      </c>
      <c r="BR540" s="49">
        <f t="shared" si="232"/>
        <v>0</v>
      </c>
      <c r="BS540" s="49">
        <f t="shared" si="233"/>
        <v>0</v>
      </c>
      <c r="BT540" s="31">
        <v>2016</v>
      </c>
      <c r="BU540" s="188" t="str">
        <f t="shared" si="234"/>
        <v>Hup/StAD</v>
      </c>
      <c r="BV540" s="188" t="str">
        <f t="shared" si="235"/>
        <v xml:space="preserve"> </v>
      </c>
      <c r="BW540" s="188" t="str">
        <f t="shared" si="236"/>
        <v xml:space="preserve"> </v>
      </c>
      <c r="BX540" s="188" t="str">
        <f t="shared" si="237"/>
        <v xml:space="preserve"> </v>
      </c>
      <c r="BY540" s="50" t="str">
        <f t="shared" si="244"/>
        <v>HENDERSON LAKE_Chum</v>
      </c>
      <c r="BZ540" s="50" t="str">
        <f>IFERROR(VLOOKUP(BY540,'[1]WCVI Esc'!$C$5:$W$555,18,FALSE),"-")</f>
        <v>-</v>
      </c>
      <c r="CA540" s="50" t="str">
        <f t="shared" si="238"/>
        <v>-</v>
      </c>
      <c r="CB540" s="50" t="str">
        <f>IFERROR(VLOOKUP(BY540,'[1]WCVI Esc'!$C$5:$W$555,19,FALSE),"-")</f>
        <v>-</v>
      </c>
      <c r="CC540" s="50" t="str">
        <f t="shared" si="239"/>
        <v>-</v>
      </c>
      <c r="CE540" s="342" t="str">
        <f t="shared" si="224"/>
        <v>HENDERSON LAKE_Chum</v>
      </c>
      <c r="CF540" s="341" t="str">
        <f>IFERROR(VLOOKUP(BY540,'RawPL+D'!$O$8:$AB$503,12,FALSE),"-")</f>
        <v>-</v>
      </c>
      <c r="CG540" s="338" t="str">
        <f t="shared" si="240"/>
        <v>-</v>
      </c>
      <c r="CH540" s="341" t="str">
        <f>IFERROR(VLOOKUP(BY540,'RawPL+D'!$O$8:$AB$503,13,FALSE),"-")</f>
        <v>-</v>
      </c>
      <c r="CI540" s="338" t="str">
        <f t="shared" si="241"/>
        <v>-</v>
      </c>
    </row>
    <row r="541" spans="1:87" ht="12.75" hidden="1" customHeight="1" x14ac:dyDescent="0.2">
      <c r="A541" s="29">
        <v>3</v>
      </c>
      <c r="B541" s="29">
        <v>5</v>
      </c>
      <c r="C541" s="13">
        <v>23</v>
      </c>
      <c r="D541" s="148" t="s">
        <v>294</v>
      </c>
      <c r="E541" s="10" t="s">
        <v>30</v>
      </c>
      <c r="F541" s="10" t="s">
        <v>210</v>
      </c>
      <c r="G541" s="10"/>
      <c r="H541" s="10"/>
      <c r="I541" s="10"/>
      <c r="J541" s="10"/>
      <c r="K541" s="575"/>
      <c r="L541" s="152"/>
      <c r="M541" s="422"/>
      <c r="N541" s="339"/>
      <c r="O541" s="62"/>
      <c r="P541" s="424"/>
      <c r="Q541" s="171"/>
      <c r="R541" s="339"/>
      <c r="S541" s="339"/>
      <c r="T541" s="63"/>
      <c r="U541" s="162"/>
      <c r="V541" s="164"/>
      <c r="W541" s="62"/>
      <c r="X541" s="63"/>
      <c r="Y541" s="62"/>
      <c r="Z541" s="64"/>
      <c r="AA541" s="164"/>
      <c r="AB541" s="62"/>
      <c r="AC541" s="62"/>
      <c r="AD541" s="64"/>
      <c r="AE541" s="164"/>
      <c r="AF541" s="62"/>
      <c r="AG541" s="62"/>
      <c r="AH541" s="337"/>
      <c r="AI541" s="337"/>
      <c r="AJ541" s="337"/>
      <c r="AK541" s="337"/>
      <c r="AL541" s="414"/>
      <c r="AM541" s="414"/>
      <c r="AN541" s="45"/>
      <c r="AO541" s="45"/>
      <c r="AP541" s="45"/>
      <c r="AQ541" s="485"/>
      <c r="AR541"/>
      <c r="AS541" s="485"/>
      <c r="AT541" s="100"/>
      <c r="AU541" s="100"/>
      <c r="AV541" s="100"/>
      <c r="AW541" s="69">
        <v>23</v>
      </c>
      <c r="AX541" s="69" t="s">
        <v>294</v>
      </c>
      <c r="AY541" s="243" t="s">
        <v>30</v>
      </c>
      <c r="AZ541" s="243" t="str">
        <f t="shared" si="225"/>
        <v>Chinook</v>
      </c>
      <c r="BA541" s="243" t="s">
        <v>419</v>
      </c>
      <c r="BB541" s="244" t="s">
        <v>366</v>
      </c>
      <c r="BC541" s="43" t="str">
        <f t="shared" si="226"/>
        <v>-</v>
      </c>
      <c r="BD541" s="43">
        <f t="shared" si="219"/>
        <v>0</v>
      </c>
      <c r="BE541" s="193">
        <f t="shared" si="243"/>
        <v>0</v>
      </c>
      <c r="BF541" s="193">
        <f t="shared" si="227"/>
        <v>0</v>
      </c>
      <c r="BG541" s="193">
        <f t="shared" si="228"/>
        <v>0</v>
      </c>
      <c r="BH541" s="307" t="str">
        <f t="shared" si="246"/>
        <v>-</v>
      </c>
      <c r="BI541" s="265" t="str">
        <f t="shared" si="245"/>
        <v>-</v>
      </c>
      <c r="BJ541" s="26" t="str">
        <f t="shared" si="229"/>
        <v>HENDERSON LAKEChinook</v>
      </c>
      <c r="BK541" s="26">
        <f t="shared" si="230"/>
        <v>0</v>
      </c>
      <c r="BL541" s="33">
        <f t="shared" si="221"/>
        <v>0</v>
      </c>
      <c r="BM541" s="34"/>
      <c r="BN541" s="34"/>
      <c r="BP541" s="34"/>
      <c r="BQ541" s="47" t="str">
        <f t="shared" si="231"/>
        <v>HENDERSON LAKEChinook</v>
      </c>
      <c r="BR541" s="49">
        <f t="shared" si="232"/>
        <v>0</v>
      </c>
      <c r="BS541" s="49">
        <f t="shared" si="233"/>
        <v>0</v>
      </c>
      <c r="BT541" s="31">
        <v>2016</v>
      </c>
      <c r="BU541" s="188" t="str">
        <f t="shared" si="234"/>
        <v>Hup/StAD</v>
      </c>
      <c r="BV541" s="188" t="str">
        <f t="shared" si="235"/>
        <v xml:space="preserve"> </v>
      </c>
      <c r="BW541" s="188" t="str">
        <f t="shared" si="236"/>
        <v xml:space="preserve"> </v>
      </c>
      <c r="BX541" s="188" t="str">
        <f t="shared" si="237"/>
        <v xml:space="preserve"> </v>
      </c>
      <c r="BY541" s="50" t="str">
        <f t="shared" si="244"/>
        <v>HENDERSON LAKE_Chinook</v>
      </c>
      <c r="BZ541" s="50" t="str">
        <f>IFERROR(VLOOKUP(BY541,'[1]WCVI Esc'!$C$5:$W$555,18,FALSE),"-")</f>
        <v>-</v>
      </c>
      <c r="CA541" s="50" t="str">
        <f t="shared" si="238"/>
        <v>-</v>
      </c>
      <c r="CB541" s="50" t="str">
        <f>IFERROR(VLOOKUP(BY541,'[1]WCVI Esc'!$C$5:$W$555,19,FALSE),"-")</f>
        <v>-</v>
      </c>
      <c r="CC541" s="50" t="str">
        <f t="shared" si="239"/>
        <v>-</v>
      </c>
      <c r="CE541" s="342" t="str">
        <f t="shared" si="224"/>
        <v>HENDERSON LAKE_Chinook</v>
      </c>
      <c r="CF541" s="341" t="str">
        <f>IFERROR(VLOOKUP(BY541,'RawPL+D'!$O$8:$AB$503,12,FALSE),"-")</f>
        <v>-</v>
      </c>
      <c r="CG541" s="338" t="str">
        <f t="shared" si="240"/>
        <v>-</v>
      </c>
      <c r="CH541" s="341" t="str">
        <f>IFERROR(VLOOKUP(BY541,'RawPL+D'!$O$8:$AB$503,13,FALSE),"-")</f>
        <v>-</v>
      </c>
      <c r="CI541" s="338" t="str">
        <f t="shared" si="241"/>
        <v>-</v>
      </c>
    </row>
    <row r="542" spans="1:87" ht="12.75" hidden="1" customHeight="1" x14ac:dyDescent="0.2">
      <c r="A542" s="29">
        <v>3</v>
      </c>
      <c r="B542" s="29">
        <v>6</v>
      </c>
      <c r="C542" s="13">
        <v>23</v>
      </c>
      <c r="D542" s="148" t="s">
        <v>294</v>
      </c>
      <c r="E542" s="10" t="s">
        <v>30</v>
      </c>
      <c r="F542" s="10" t="s">
        <v>211</v>
      </c>
      <c r="G542" s="10"/>
      <c r="H542" s="10"/>
      <c r="I542" s="10"/>
      <c r="J542" s="10"/>
      <c r="K542" s="575"/>
      <c r="L542" s="152"/>
      <c r="M542" s="422"/>
      <c r="N542" s="339"/>
      <c r="O542" s="62"/>
      <c r="P542" s="424"/>
      <c r="Q542" s="171"/>
      <c r="R542" s="339"/>
      <c r="S542" s="339"/>
      <c r="T542" s="63"/>
      <c r="U542" s="162"/>
      <c r="V542" s="164"/>
      <c r="W542" s="62"/>
      <c r="X542" s="63"/>
      <c r="Y542" s="62"/>
      <c r="Z542" s="64"/>
      <c r="AA542" s="164"/>
      <c r="AB542" s="62"/>
      <c r="AC542" s="62"/>
      <c r="AD542" s="64"/>
      <c r="AE542" s="164"/>
      <c r="AF542" s="62"/>
      <c r="AG542" s="62"/>
      <c r="AH542" s="337"/>
      <c r="AI542" s="337"/>
      <c r="AJ542" s="337"/>
      <c r="AK542" s="337"/>
      <c r="AL542" s="414"/>
      <c r="AM542" s="414"/>
      <c r="AN542" s="45"/>
      <c r="AO542" s="45"/>
      <c r="AP542" s="45"/>
      <c r="AQ542" s="485"/>
      <c r="AR542"/>
      <c r="AS542" s="485"/>
      <c r="AT542" s="100"/>
      <c r="AU542" s="100"/>
      <c r="AV542" s="100"/>
      <c r="AW542" s="69">
        <v>23</v>
      </c>
      <c r="AX542" s="69" t="s">
        <v>294</v>
      </c>
      <c r="AY542" s="243" t="s">
        <v>30</v>
      </c>
      <c r="AZ542" s="243" t="str">
        <f t="shared" si="225"/>
        <v>Steelhead</v>
      </c>
      <c r="BA542" s="243" t="s">
        <v>419</v>
      </c>
      <c r="BB542" s="244" t="s">
        <v>366</v>
      </c>
      <c r="BC542" s="43" t="str">
        <f t="shared" si="226"/>
        <v>-</v>
      </c>
      <c r="BD542" s="43">
        <f t="shared" si="219"/>
        <v>0</v>
      </c>
      <c r="BE542" s="193">
        <f t="shared" si="243"/>
        <v>0</v>
      </c>
      <c r="BF542" s="193">
        <f t="shared" si="227"/>
        <v>0</v>
      </c>
      <c r="BG542" s="193">
        <f t="shared" si="228"/>
        <v>0</v>
      </c>
      <c r="BH542" s="307" t="str">
        <f t="shared" si="246"/>
        <v>-</v>
      </c>
      <c r="BI542" s="265" t="str">
        <f t="shared" si="245"/>
        <v>-</v>
      </c>
      <c r="BJ542" s="26" t="str">
        <f t="shared" si="229"/>
        <v>HENDERSON LAKESteelhead</v>
      </c>
      <c r="BK542" s="26">
        <f t="shared" si="230"/>
        <v>0</v>
      </c>
      <c r="BL542" s="33">
        <f t="shared" si="221"/>
        <v>0</v>
      </c>
      <c r="BP542" s="34"/>
      <c r="BQ542" s="47" t="str">
        <f t="shared" si="231"/>
        <v>HENDERSON LAKESteelhead</v>
      </c>
      <c r="BR542" s="49">
        <f t="shared" si="232"/>
        <v>0</v>
      </c>
      <c r="BS542" s="49">
        <f t="shared" si="233"/>
        <v>0</v>
      </c>
      <c r="BT542" s="31">
        <v>0</v>
      </c>
      <c r="BU542" s="188" t="str">
        <f t="shared" si="234"/>
        <v>Hup/StAD</v>
      </c>
      <c r="BV542" s="188" t="str">
        <f t="shared" si="235"/>
        <v xml:space="preserve"> </v>
      </c>
      <c r="BW542" s="188" t="str">
        <f t="shared" si="236"/>
        <v xml:space="preserve"> </v>
      </c>
      <c r="BX542" s="188" t="str">
        <f t="shared" si="237"/>
        <v xml:space="preserve"> </v>
      </c>
      <c r="BY542" s="50" t="str">
        <f t="shared" si="244"/>
        <v>HENDERSON LAKE_Steelhead</v>
      </c>
      <c r="BZ542" s="50" t="str">
        <f>IFERROR(VLOOKUP(BY542,'[1]WCVI Esc'!$C$5:$W$555,18,FALSE),"-")</f>
        <v>-</v>
      </c>
      <c r="CA542" s="50" t="str">
        <f t="shared" si="238"/>
        <v>-</v>
      </c>
      <c r="CB542" s="50" t="str">
        <f>IFERROR(VLOOKUP(BY542,'[1]WCVI Esc'!$C$5:$W$555,19,FALSE),"-")</f>
        <v>-</v>
      </c>
      <c r="CC542" s="50" t="str">
        <f t="shared" si="239"/>
        <v>-</v>
      </c>
      <c r="CE542" s="342" t="str">
        <f t="shared" si="224"/>
        <v>HENDERSON LAKE_Steelhead</v>
      </c>
      <c r="CF542" s="341" t="str">
        <f>IFERROR(VLOOKUP(BY542,'RawPL+D'!$O$8:$AB$503,12,FALSE),"-")</f>
        <v>-</v>
      </c>
      <c r="CG542" s="338" t="str">
        <f t="shared" si="240"/>
        <v>-</v>
      </c>
      <c r="CH542" s="341" t="str">
        <f>IFERROR(VLOOKUP(BY542,'RawPL+D'!$O$8:$AB$503,13,FALSE),"-")</f>
        <v>-</v>
      </c>
      <c r="CI542" s="338" t="str">
        <f t="shared" si="241"/>
        <v>-</v>
      </c>
    </row>
    <row r="543" spans="1:87" ht="12.75" hidden="1" customHeight="1" x14ac:dyDescent="0.2">
      <c r="A543" s="28">
        <v>4</v>
      </c>
      <c r="B543" s="28">
        <v>1</v>
      </c>
      <c r="C543" s="11">
        <v>23</v>
      </c>
      <c r="D543" s="148" t="s">
        <v>294</v>
      </c>
      <c r="E543" s="10" t="s">
        <v>170</v>
      </c>
      <c r="F543" s="10" t="s">
        <v>207</v>
      </c>
      <c r="G543" s="10"/>
      <c r="H543" s="10"/>
      <c r="I543" s="10"/>
      <c r="J543" s="10"/>
      <c r="K543" s="575"/>
      <c r="L543" s="152"/>
      <c r="M543" s="164"/>
      <c r="N543" s="62"/>
      <c r="O543" s="62"/>
      <c r="P543" s="177"/>
      <c r="Q543" s="171"/>
      <c r="R543" s="62"/>
      <c r="S543" s="62"/>
      <c r="T543" s="62"/>
      <c r="U543" s="64"/>
      <c r="V543" s="164"/>
      <c r="W543" s="62"/>
      <c r="X543" s="62"/>
      <c r="Y543" s="62"/>
      <c r="Z543" s="64"/>
      <c r="AA543" s="164"/>
      <c r="AB543" s="62"/>
      <c r="AC543" s="62"/>
      <c r="AD543" s="64"/>
      <c r="AE543" s="164"/>
      <c r="AF543" s="62"/>
      <c r="AG543" s="62"/>
      <c r="AH543" s="337"/>
      <c r="AI543" s="337"/>
      <c r="AJ543" s="337"/>
      <c r="AK543" s="337"/>
      <c r="AL543" s="414"/>
      <c r="AM543" s="414"/>
      <c r="AN543" s="45"/>
      <c r="AO543" s="45"/>
      <c r="AP543" s="45"/>
      <c r="AQ543" s="485"/>
      <c r="AR543" s="100"/>
      <c r="AS543" s="485"/>
      <c r="AT543" s="100"/>
      <c r="AU543" s="100"/>
      <c r="AV543" s="100"/>
      <c r="AW543" s="18">
        <v>23</v>
      </c>
      <c r="AX543" s="69" t="s">
        <v>294</v>
      </c>
      <c r="AY543" s="243" t="s">
        <v>170</v>
      </c>
      <c r="AZ543" s="243" t="str">
        <f t="shared" si="225"/>
        <v>Sockeye</v>
      </c>
      <c r="BA543" s="243" t="s">
        <v>419</v>
      </c>
      <c r="BB543" s="246"/>
      <c r="BC543" s="43" t="str">
        <f t="shared" si="226"/>
        <v>-</v>
      </c>
      <c r="BD543" s="43">
        <f t="shared" si="219"/>
        <v>0</v>
      </c>
      <c r="BE543" s="193">
        <f t="shared" si="243"/>
        <v>0</v>
      </c>
      <c r="BF543" s="193">
        <f t="shared" si="227"/>
        <v>0</v>
      </c>
      <c r="BG543" s="193">
        <f t="shared" si="228"/>
        <v>0</v>
      </c>
      <c r="BH543" s="307" t="str">
        <f t="shared" si="246"/>
        <v>-</v>
      </c>
      <c r="BI543" s="265" t="str">
        <f t="shared" si="245"/>
        <v>-</v>
      </c>
      <c r="BJ543" s="26" t="str">
        <f t="shared" si="229"/>
        <v>CASS CREEKSockeye</v>
      </c>
      <c r="BK543" s="26">
        <f t="shared" si="230"/>
        <v>0</v>
      </c>
      <c r="BL543" s="33">
        <f t="shared" si="221"/>
        <v>0</v>
      </c>
      <c r="BN543" s="34"/>
      <c r="BQ543" s="47" t="str">
        <f t="shared" si="231"/>
        <v>CASS CREEKSockeye</v>
      </c>
      <c r="BR543" s="49">
        <f t="shared" si="232"/>
        <v>0</v>
      </c>
      <c r="BS543" s="49">
        <f t="shared" si="233"/>
        <v>0</v>
      </c>
      <c r="BT543" s="31">
        <v>0</v>
      </c>
      <c r="BU543" s="188">
        <f t="shared" si="234"/>
        <v>0</v>
      </c>
      <c r="BV543" s="188" t="str">
        <f t="shared" si="235"/>
        <v xml:space="preserve"> </v>
      </c>
      <c r="BW543" s="188" t="str">
        <f t="shared" si="236"/>
        <v xml:space="preserve"> </v>
      </c>
      <c r="BX543" s="188" t="str">
        <f t="shared" si="237"/>
        <v xml:space="preserve"> </v>
      </c>
      <c r="BY543" s="50" t="str">
        <f t="shared" si="244"/>
        <v>CASS CREEK_Sockeye</v>
      </c>
      <c r="BZ543" s="50" t="str">
        <f>IFERROR(VLOOKUP(BY543,'[1]WCVI Esc'!$C$5:$W$555,18,FALSE),"-")</f>
        <v>-</v>
      </c>
      <c r="CA543" s="50" t="str">
        <f t="shared" si="238"/>
        <v>-</v>
      </c>
      <c r="CB543" s="50" t="str">
        <f>IFERROR(VLOOKUP(BY543,'[1]WCVI Esc'!$C$5:$W$555,19,FALSE),"-")</f>
        <v>-</v>
      </c>
      <c r="CC543" s="50" t="str">
        <f t="shared" si="239"/>
        <v>-</v>
      </c>
      <c r="CE543" s="342" t="str">
        <f t="shared" si="224"/>
        <v>CASS CREEK_Sockeye</v>
      </c>
      <c r="CF543" s="341" t="str">
        <f>IFERROR(VLOOKUP(BY543,'RawPL+D'!$O$8:$AB$503,12,FALSE),"-")</f>
        <v>-</v>
      </c>
      <c r="CG543" s="338" t="str">
        <f t="shared" si="240"/>
        <v>-</v>
      </c>
      <c r="CH543" s="341" t="str">
        <f>IFERROR(VLOOKUP(BY543,'RawPL+D'!$O$8:$AB$503,13,FALSE),"-")</f>
        <v>-</v>
      </c>
      <c r="CI543" s="338" t="str">
        <f t="shared" si="241"/>
        <v>-</v>
      </c>
    </row>
    <row r="544" spans="1:87" ht="12.75" hidden="1" customHeight="1" x14ac:dyDescent="0.2">
      <c r="A544" s="28">
        <v>4</v>
      </c>
      <c r="B544" s="28">
        <v>2</v>
      </c>
      <c r="C544" s="11">
        <v>23</v>
      </c>
      <c r="D544" s="148" t="s">
        <v>294</v>
      </c>
      <c r="E544" s="10" t="s">
        <v>170</v>
      </c>
      <c r="F544" s="10" t="s">
        <v>219</v>
      </c>
      <c r="G544" s="10"/>
      <c r="H544" s="10"/>
      <c r="I544" s="10"/>
      <c r="J544" s="10"/>
      <c r="K544" s="575"/>
      <c r="L544" s="152"/>
      <c r="M544" s="164"/>
      <c r="N544" s="62"/>
      <c r="O544" s="62"/>
      <c r="P544" s="177"/>
      <c r="Q544" s="171"/>
      <c r="R544" s="62"/>
      <c r="S544" s="62"/>
      <c r="T544" s="62"/>
      <c r="U544" s="64"/>
      <c r="V544" s="164"/>
      <c r="W544" s="62"/>
      <c r="X544" s="62"/>
      <c r="Y544" s="62"/>
      <c r="Z544" s="64"/>
      <c r="AA544" s="164"/>
      <c r="AB544" s="62"/>
      <c r="AC544" s="62"/>
      <c r="AD544" s="64"/>
      <c r="AE544" s="164"/>
      <c r="AF544" s="62"/>
      <c r="AG544" s="62"/>
      <c r="AH544" s="337"/>
      <c r="AI544" s="337"/>
      <c r="AJ544" s="337"/>
      <c r="AK544" s="337"/>
      <c r="AL544" s="414"/>
      <c r="AM544" s="414"/>
      <c r="AN544" s="45"/>
      <c r="AO544" s="45"/>
      <c r="AP544" s="45"/>
      <c r="AQ544" s="485"/>
      <c r="AR544" s="100"/>
      <c r="AS544" s="485"/>
      <c r="AT544" s="100"/>
      <c r="AU544" s="100"/>
      <c r="AV544" s="100"/>
      <c r="AW544" s="18">
        <v>23</v>
      </c>
      <c r="AX544" s="69" t="s">
        <v>294</v>
      </c>
      <c r="AY544" s="243" t="s">
        <v>170</v>
      </c>
      <c r="AZ544" s="243" t="str">
        <f t="shared" si="225"/>
        <v>Coho</v>
      </c>
      <c r="BA544" s="243" t="s">
        <v>419</v>
      </c>
      <c r="BB544" s="246"/>
      <c r="BC544" s="43" t="str">
        <f t="shared" si="226"/>
        <v>-</v>
      </c>
      <c r="BD544" s="43">
        <f t="shared" si="219"/>
        <v>0</v>
      </c>
      <c r="BE544" s="193">
        <f t="shared" si="243"/>
        <v>0</v>
      </c>
      <c r="BF544" s="193">
        <f t="shared" si="227"/>
        <v>0</v>
      </c>
      <c r="BG544" s="193">
        <f t="shared" si="228"/>
        <v>0</v>
      </c>
      <c r="BH544" s="307" t="str">
        <f t="shared" si="246"/>
        <v>-</v>
      </c>
      <c r="BI544" s="265" t="str">
        <f t="shared" si="245"/>
        <v>-</v>
      </c>
      <c r="BJ544" s="26" t="str">
        <f t="shared" si="229"/>
        <v>CASS CREEKCoho</v>
      </c>
      <c r="BK544" s="26">
        <f t="shared" si="230"/>
        <v>0</v>
      </c>
      <c r="BL544" s="33">
        <f t="shared" si="221"/>
        <v>0</v>
      </c>
      <c r="BN544" s="34"/>
      <c r="BQ544" s="47" t="str">
        <f t="shared" si="231"/>
        <v>CASS CREEKCoho</v>
      </c>
      <c r="BR544" s="49">
        <f t="shared" si="232"/>
        <v>0</v>
      </c>
      <c r="BS544" s="49">
        <f t="shared" si="233"/>
        <v>0</v>
      </c>
      <c r="BT544" s="31">
        <v>0</v>
      </c>
      <c r="BU544" s="188">
        <f t="shared" si="234"/>
        <v>0</v>
      </c>
      <c r="BV544" s="188" t="str">
        <f t="shared" si="235"/>
        <v xml:space="preserve"> </v>
      </c>
      <c r="BW544" s="188" t="str">
        <f t="shared" si="236"/>
        <v xml:space="preserve"> </v>
      </c>
      <c r="BX544" s="188" t="str">
        <f t="shared" si="237"/>
        <v xml:space="preserve"> </v>
      </c>
      <c r="BY544" s="50" t="str">
        <f t="shared" si="244"/>
        <v>CASS CREEK_Coho</v>
      </c>
      <c r="BZ544" s="50" t="str">
        <f>IFERROR(VLOOKUP(BY544,'[1]WCVI Esc'!$C$5:$W$555,18,FALSE),"-")</f>
        <v>-</v>
      </c>
      <c r="CA544" s="50" t="str">
        <f t="shared" si="238"/>
        <v>-</v>
      </c>
      <c r="CB544" s="50" t="str">
        <f>IFERROR(VLOOKUP(BY544,'[1]WCVI Esc'!$C$5:$W$555,19,FALSE),"-")</f>
        <v>-</v>
      </c>
      <c r="CC544" s="50" t="str">
        <f t="shared" si="239"/>
        <v>-</v>
      </c>
      <c r="CE544" s="342" t="str">
        <f t="shared" si="224"/>
        <v>CASS CREEK_Coho</v>
      </c>
      <c r="CF544" s="341" t="str">
        <f>IFERROR(VLOOKUP(BY544,'RawPL+D'!$O$8:$AB$503,12,FALSE),"-")</f>
        <v>-</v>
      </c>
      <c r="CG544" s="338" t="str">
        <f t="shared" si="240"/>
        <v>-</v>
      </c>
      <c r="CH544" s="341" t="str">
        <f>IFERROR(VLOOKUP(BY544,'RawPL+D'!$O$8:$AB$503,13,FALSE),"-")</f>
        <v>-</v>
      </c>
      <c r="CI544" s="338" t="str">
        <f t="shared" si="241"/>
        <v>-</v>
      </c>
    </row>
    <row r="545" spans="1:87" ht="12.75" hidden="1" customHeight="1" x14ac:dyDescent="0.2">
      <c r="A545" s="28">
        <v>4</v>
      </c>
      <c r="B545" s="28">
        <v>3</v>
      </c>
      <c r="C545" s="11">
        <v>23</v>
      </c>
      <c r="D545" s="148" t="s">
        <v>294</v>
      </c>
      <c r="E545" s="10" t="s">
        <v>170</v>
      </c>
      <c r="F545" s="10" t="s">
        <v>208</v>
      </c>
      <c r="G545" s="10"/>
      <c r="H545" s="10"/>
      <c r="I545" s="10"/>
      <c r="J545" s="10"/>
      <c r="K545" s="575"/>
      <c r="L545" s="152"/>
      <c r="M545" s="164"/>
      <c r="N545" s="62"/>
      <c r="O545" s="62"/>
      <c r="P545" s="177"/>
      <c r="Q545" s="171"/>
      <c r="R545" s="62"/>
      <c r="S545" s="62"/>
      <c r="T545" s="62"/>
      <c r="U545" s="64"/>
      <c r="V545" s="164"/>
      <c r="W545" s="62"/>
      <c r="X545" s="62"/>
      <c r="Y545" s="62"/>
      <c r="Z545" s="64"/>
      <c r="AA545" s="164"/>
      <c r="AB545" s="62"/>
      <c r="AC545" s="62"/>
      <c r="AD545" s="64"/>
      <c r="AE545" s="164"/>
      <c r="AF545" s="62"/>
      <c r="AG545" s="62"/>
      <c r="AH545" s="337"/>
      <c r="AI545" s="337"/>
      <c r="AJ545" s="337"/>
      <c r="AK545" s="337"/>
      <c r="AL545" s="414"/>
      <c r="AM545" s="414"/>
      <c r="AN545" s="45"/>
      <c r="AO545" s="45"/>
      <c r="AP545" s="45"/>
      <c r="AQ545" s="485"/>
      <c r="AR545" s="100"/>
      <c r="AS545" s="485"/>
      <c r="AT545" s="100"/>
      <c r="AU545" s="100"/>
      <c r="AV545" s="100"/>
      <c r="AW545" s="18">
        <v>23</v>
      </c>
      <c r="AX545" s="69" t="s">
        <v>294</v>
      </c>
      <c r="AY545" s="243" t="s">
        <v>170</v>
      </c>
      <c r="AZ545" s="243" t="str">
        <f t="shared" si="225"/>
        <v>Pink</v>
      </c>
      <c r="BA545" s="243" t="s">
        <v>419</v>
      </c>
      <c r="BB545" s="246"/>
      <c r="BC545" s="43" t="str">
        <f t="shared" si="226"/>
        <v>-</v>
      </c>
      <c r="BD545" s="43">
        <f t="shared" ref="BD545:BD608" si="247">BK545</f>
        <v>0</v>
      </c>
      <c r="BE545" s="193">
        <f t="shared" si="243"/>
        <v>0</v>
      </c>
      <c r="BF545" s="193">
        <f t="shared" si="227"/>
        <v>0</v>
      </c>
      <c r="BG545" s="193">
        <f t="shared" si="228"/>
        <v>0</v>
      </c>
      <c r="BH545" s="307" t="str">
        <f t="shared" si="246"/>
        <v>-</v>
      </c>
      <c r="BI545" s="265" t="str">
        <f t="shared" si="245"/>
        <v>-</v>
      </c>
      <c r="BJ545" s="26" t="str">
        <f t="shared" si="229"/>
        <v>CASS CREEKPink</v>
      </c>
      <c r="BK545" s="26">
        <f t="shared" si="230"/>
        <v>0</v>
      </c>
      <c r="BL545" s="33">
        <f t="shared" si="221"/>
        <v>0</v>
      </c>
      <c r="BN545" s="34"/>
      <c r="BQ545" s="47" t="str">
        <f t="shared" si="231"/>
        <v>CASS CREEKPink</v>
      </c>
      <c r="BR545" s="49">
        <f t="shared" si="232"/>
        <v>0</v>
      </c>
      <c r="BS545" s="49">
        <f t="shared" si="233"/>
        <v>0</v>
      </c>
      <c r="BT545" s="31">
        <v>0</v>
      </c>
      <c r="BU545" s="188">
        <f t="shared" si="234"/>
        <v>0</v>
      </c>
      <c r="BV545" s="188" t="str">
        <f t="shared" si="235"/>
        <v xml:space="preserve"> </v>
      </c>
      <c r="BW545" s="188" t="str">
        <f t="shared" si="236"/>
        <v xml:space="preserve"> </v>
      </c>
      <c r="BX545" s="188" t="str">
        <f t="shared" si="237"/>
        <v xml:space="preserve"> </v>
      </c>
      <c r="BY545" s="50" t="str">
        <f t="shared" si="244"/>
        <v>CASS CREEK_Pink</v>
      </c>
      <c r="BZ545" s="50" t="str">
        <f>IFERROR(VLOOKUP(BY545,'[1]WCVI Esc'!$C$5:$W$555,18,FALSE),"-")</f>
        <v>-</v>
      </c>
      <c r="CA545" s="50" t="str">
        <f t="shared" si="238"/>
        <v>-</v>
      </c>
      <c r="CB545" s="50" t="str">
        <f>IFERROR(VLOOKUP(BY545,'[1]WCVI Esc'!$C$5:$W$555,19,FALSE),"-")</f>
        <v>-</v>
      </c>
      <c r="CC545" s="50" t="str">
        <f t="shared" si="239"/>
        <v>-</v>
      </c>
      <c r="CE545" s="342" t="str">
        <f t="shared" si="224"/>
        <v>CASS CREEK_Pink</v>
      </c>
      <c r="CF545" s="341" t="str">
        <f>IFERROR(VLOOKUP(BY545,'RawPL+D'!$O$8:$AB$503,12,FALSE),"-")</f>
        <v>-</v>
      </c>
      <c r="CG545" s="338" t="str">
        <f t="shared" si="240"/>
        <v>-</v>
      </c>
      <c r="CH545" s="341" t="str">
        <f>IFERROR(VLOOKUP(BY545,'RawPL+D'!$O$8:$AB$503,13,FALSE),"-")</f>
        <v>-</v>
      </c>
      <c r="CI545" s="338" t="str">
        <f t="shared" si="241"/>
        <v>-</v>
      </c>
    </row>
    <row r="546" spans="1:87" ht="12.75" hidden="1" customHeight="1" x14ac:dyDescent="0.2">
      <c r="A546" s="28">
        <v>4</v>
      </c>
      <c r="B546" s="28">
        <v>4</v>
      </c>
      <c r="C546" s="11">
        <v>23</v>
      </c>
      <c r="D546" s="148" t="s">
        <v>294</v>
      </c>
      <c r="E546" s="10" t="s">
        <v>170</v>
      </c>
      <c r="F546" s="10" t="s">
        <v>209</v>
      </c>
      <c r="G546" s="10"/>
      <c r="H546" s="10"/>
      <c r="I546" s="10"/>
      <c r="J546" s="10"/>
      <c r="K546" s="575"/>
      <c r="L546" s="152"/>
      <c r="M546" s="164"/>
      <c r="N546" s="62"/>
      <c r="O546" s="62"/>
      <c r="P546" s="177"/>
      <c r="Q546" s="171"/>
      <c r="R546" s="62"/>
      <c r="S546" s="62"/>
      <c r="T546" s="62"/>
      <c r="U546" s="64"/>
      <c r="V546" s="164"/>
      <c r="W546" s="62"/>
      <c r="X546" s="62"/>
      <c r="Y546" s="62"/>
      <c r="Z546" s="64"/>
      <c r="AA546" s="164"/>
      <c r="AB546" s="62"/>
      <c r="AC546" s="62"/>
      <c r="AD546" s="64"/>
      <c r="AE546" s="164"/>
      <c r="AF546" s="62"/>
      <c r="AG546" s="62"/>
      <c r="AH546" s="337"/>
      <c r="AI546" s="337"/>
      <c r="AJ546" s="337"/>
      <c r="AK546" s="337"/>
      <c r="AL546" s="414"/>
      <c r="AM546" s="414"/>
      <c r="AN546" s="45"/>
      <c r="AO546" s="45"/>
      <c r="AP546" s="45"/>
      <c r="AQ546" s="485"/>
      <c r="AR546" s="100"/>
      <c r="AS546" s="485"/>
      <c r="AT546" s="100"/>
      <c r="AU546" s="100"/>
      <c r="AV546" s="100"/>
      <c r="AW546" s="18">
        <v>23</v>
      </c>
      <c r="AX546" s="69" t="s">
        <v>294</v>
      </c>
      <c r="AY546" s="243" t="s">
        <v>170</v>
      </c>
      <c r="AZ546" s="243" t="str">
        <f t="shared" si="225"/>
        <v>Chum</v>
      </c>
      <c r="BA546" s="243" t="s">
        <v>419</v>
      </c>
      <c r="BB546" s="246"/>
      <c r="BC546" s="43" t="str">
        <f t="shared" si="226"/>
        <v>-</v>
      </c>
      <c r="BD546" s="43">
        <f t="shared" si="247"/>
        <v>0</v>
      </c>
      <c r="BE546" s="193">
        <f t="shared" si="243"/>
        <v>0</v>
      </c>
      <c r="BF546" s="193">
        <f t="shared" si="227"/>
        <v>0</v>
      </c>
      <c r="BG546" s="193">
        <f t="shared" si="228"/>
        <v>0</v>
      </c>
      <c r="BH546" s="307" t="str">
        <f t="shared" si="246"/>
        <v>-</v>
      </c>
      <c r="BI546" s="265" t="str">
        <f t="shared" si="245"/>
        <v>-</v>
      </c>
      <c r="BJ546" s="26" t="str">
        <f t="shared" si="229"/>
        <v>CASS CREEKChum</v>
      </c>
      <c r="BK546" s="26">
        <f t="shared" si="230"/>
        <v>0</v>
      </c>
      <c r="BL546" s="33">
        <f t="shared" si="221"/>
        <v>0</v>
      </c>
      <c r="BN546" s="34"/>
      <c r="BQ546" s="47" t="str">
        <f t="shared" si="231"/>
        <v>CASS CREEKChum</v>
      </c>
      <c r="BR546" s="49">
        <f t="shared" si="232"/>
        <v>0</v>
      </c>
      <c r="BS546" s="49">
        <f t="shared" si="233"/>
        <v>0</v>
      </c>
      <c r="BT546" s="31">
        <v>1990</v>
      </c>
      <c r="BU546" s="188">
        <f t="shared" si="234"/>
        <v>0</v>
      </c>
      <c r="BV546" s="188" t="str">
        <f t="shared" si="235"/>
        <v xml:space="preserve"> </v>
      </c>
      <c r="BW546" s="188" t="str">
        <f t="shared" si="236"/>
        <v xml:space="preserve"> </v>
      </c>
      <c r="BX546" s="188" t="str">
        <f t="shared" si="237"/>
        <v xml:space="preserve"> </v>
      </c>
      <c r="BY546" s="50" t="str">
        <f t="shared" si="244"/>
        <v>CASS CREEK_Chum</v>
      </c>
      <c r="BZ546" s="50" t="str">
        <f>IFERROR(VLOOKUP(BY546,'[1]WCVI Esc'!$C$5:$W$555,18,FALSE),"-")</f>
        <v>-</v>
      </c>
      <c r="CA546" s="50" t="str">
        <f t="shared" si="238"/>
        <v>-</v>
      </c>
      <c r="CB546" s="50" t="str">
        <f>IFERROR(VLOOKUP(BY546,'[1]WCVI Esc'!$C$5:$W$555,19,FALSE),"-")</f>
        <v>-</v>
      </c>
      <c r="CC546" s="50" t="str">
        <f t="shared" si="239"/>
        <v>-</v>
      </c>
      <c r="CE546" s="342" t="str">
        <f t="shared" si="224"/>
        <v>CASS CREEK_Chum</v>
      </c>
      <c r="CF546" s="341" t="str">
        <f>IFERROR(VLOOKUP(BY546,'RawPL+D'!$O$8:$AB$503,12,FALSE),"-")</f>
        <v>-</v>
      </c>
      <c r="CG546" s="338" t="str">
        <f t="shared" si="240"/>
        <v>-</v>
      </c>
      <c r="CH546" s="341" t="str">
        <f>IFERROR(VLOOKUP(BY546,'RawPL+D'!$O$8:$AB$503,13,FALSE),"-")</f>
        <v>-</v>
      </c>
      <c r="CI546" s="338" t="str">
        <f t="shared" si="241"/>
        <v>-</v>
      </c>
    </row>
    <row r="547" spans="1:87" ht="12.75" hidden="1" customHeight="1" x14ac:dyDescent="0.2">
      <c r="A547" s="28">
        <v>4</v>
      </c>
      <c r="B547" s="28">
        <v>5</v>
      </c>
      <c r="C547" s="11">
        <v>23</v>
      </c>
      <c r="D547" s="148" t="s">
        <v>294</v>
      </c>
      <c r="E547" s="10" t="s">
        <v>170</v>
      </c>
      <c r="F547" s="10" t="s">
        <v>210</v>
      </c>
      <c r="G547" s="10"/>
      <c r="H547" s="10"/>
      <c r="I547" s="10"/>
      <c r="J547" s="10"/>
      <c r="K547" s="575"/>
      <c r="L547" s="152"/>
      <c r="M547" s="164"/>
      <c r="N547" s="62"/>
      <c r="O547" s="62"/>
      <c r="P547" s="177"/>
      <c r="Q547" s="171"/>
      <c r="R547" s="62"/>
      <c r="S547" s="62"/>
      <c r="T547" s="62"/>
      <c r="U547" s="64"/>
      <c r="V547" s="164"/>
      <c r="W547" s="62"/>
      <c r="X547" s="62"/>
      <c r="Y547" s="62"/>
      <c r="Z547" s="64"/>
      <c r="AA547" s="164"/>
      <c r="AB547" s="62"/>
      <c r="AC547" s="62"/>
      <c r="AD547" s="64"/>
      <c r="AE547" s="164"/>
      <c r="AF547" s="62"/>
      <c r="AG547" s="62"/>
      <c r="AH547" s="337"/>
      <c r="AI547" s="337"/>
      <c r="AJ547" s="337"/>
      <c r="AK547" s="337"/>
      <c r="AL547" s="414"/>
      <c r="AM547" s="414"/>
      <c r="AN547" s="45"/>
      <c r="AO547" s="45"/>
      <c r="AP547" s="45"/>
      <c r="AQ547" s="485"/>
      <c r="AR547" s="100"/>
      <c r="AS547" s="485"/>
      <c r="AT547" s="100"/>
      <c r="AU547" s="100"/>
      <c r="AV547" s="100"/>
      <c r="AW547" s="18">
        <v>23</v>
      </c>
      <c r="AX547" s="69" t="s">
        <v>294</v>
      </c>
      <c r="AY547" s="243" t="s">
        <v>170</v>
      </c>
      <c r="AZ547" s="243" t="str">
        <f t="shared" si="225"/>
        <v>Chinook</v>
      </c>
      <c r="BA547" s="243" t="s">
        <v>419</v>
      </c>
      <c r="BB547" s="246"/>
      <c r="BC547" s="43" t="str">
        <f t="shared" si="226"/>
        <v>-</v>
      </c>
      <c r="BD547" s="43">
        <f t="shared" si="247"/>
        <v>0</v>
      </c>
      <c r="BE547" s="193">
        <f t="shared" si="243"/>
        <v>0</v>
      </c>
      <c r="BF547" s="193">
        <f t="shared" si="227"/>
        <v>0</v>
      </c>
      <c r="BG547" s="193">
        <f t="shared" si="228"/>
        <v>0</v>
      </c>
      <c r="BH547" s="307" t="str">
        <f t="shared" si="246"/>
        <v>-</v>
      </c>
      <c r="BI547" s="265" t="str">
        <f t="shared" si="245"/>
        <v>-</v>
      </c>
      <c r="BJ547" s="26" t="str">
        <f t="shared" si="229"/>
        <v>CASS CREEKChinook</v>
      </c>
      <c r="BK547" s="26">
        <f t="shared" si="230"/>
        <v>0</v>
      </c>
      <c r="BL547" s="33">
        <f t="shared" si="221"/>
        <v>0</v>
      </c>
      <c r="BN547" s="34"/>
      <c r="BQ547" s="47" t="str">
        <f t="shared" si="231"/>
        <v>CASS CREEKChinook</v>
      </c>
      <c r="BR547" s="49">
        <f t="shared" si="232"/>
        <v>0</v>
      </c>
      <c r="BS547" s="49">
        <f t="shared" si="233"/>
        <v>0</v>
      </c>
      <c r="BT547" s="31">
        <v>0</v>
      </c>
      <c r="BU547" s="188">
        <f t="shared" si="234"/>
        <v>0</v>
      </c>
      <c r="BV547" s="188" t="str">
        <f t="shared" si="235"/>
        <v xml:space="preserve"> </v>
      </c>
      <c r="BW547" s="188" t="str">
        <f t="shared" si="236"/>
        <v xml:space="preserve"> </v>
      </c>
      <c r="BX547" s="188" t="str">
        <f t="shared" si="237"/>
        <v xml:space="preserve"> </v>
      </c>
      <c r="BY547" s="50" t="str">
        <f t="shared" si="244"/>
        <v>CASS CREEK_Chinook</v>
      </c>
      <c r="BZ547" s="50" t="str">
        <f>IFERROR(VLOOKUP(BY547,'[1]WCVI Esc'!$C$5:$W$555,18,FALSE),"-")</f>
        <v>-</v>
      </c>
      <c r="CA547" s="50" t="str">
        <f t="shared" si="238"/>
        <v>-</v>
      </c>
      <c r="CB547" s="50" t="str">
        <f>IFERROR(VLOOKUP(BY547,'[1]WCVI Esc'!$C$5:$W$555,19,FALSE),"-")</f>
        <v>-</v>
      </c>
      <c r="CC547" s="50" t="str">
        <f t="shared" si="239"/>
        <v>-</v>
      </c>
      <c r="CE547" s="342" t="str">
        <f t="shared" si="224"/>
        <v>CASS CREEK_Chinook</v>
      </c>
      <c r="CF547" s="341" t="str">
        <f>IFERROR(VLOOKUP(BY547,'RawPL+D'!$O$8:$AB$503,12,FALSE),"-")</f>
        <v>-</v>
      </c>
      <c r="CG547" s="338" t="str">
        <f t="shared" si="240"/>
        <v>-</v>
      </c>
      <c r="CH547" s="341" t="str">
        <f>IFERROR(VLOOKUP(BY547,'RawPL+D'!$O$8:$AB$503,13,FALSE),"-")</f>
        <v>-</v>
      </c>
      <c r="CI547" s="338" t="str">
        <f t="shared" si="241"/>
        <v>-</v>
      </c>
    </row>
    <row r="548" spans="1:87" ht="12.75" hidden="1" customHeight="1" x14ac:dyDescent="0.2">
      <c r="A548" s="28">
        <v>4</v>
      </c>
      <c r="B548" s="28">
        <v>6</v>
      </c>
      <c r="C548" s="11">
        <v>23</v>
      </c>
      <c r="D548" s="148" t="s">
        <v>294</v>
      </c>
      <c r="E548" s="10" t="s">
        <v>170</v>
      </c>
      <c r="F548" s="10" t="s">
        <v>211</v>
      </c>
      <c r="G548" s="10"/>
      <c r="H548" s="10"/>
      <c r="I548" s="10"/>
      <c r="J548" s="10"/>
      <c r="K548" s="575"/>
      <c r="L548" s="152"/>
      <c r="M548" s="164"/>
      <c r="N548" s="62"/>
      <c r="O548" s="62"/>
      <c r="P548" s="177"/>
      <c r="Q548" s="171"/>
      <c r="R548" s="62"/>
      <c r="S548" s="62"/>
      <c r="T548" s="62"/>
      <c r="U548" s="64"/>
      <c r="V548" s="164"/>
      <c r="W548" s="62"/>
      <c r="X548" s="62"/>
      <c r="Y548" s="62"/>
      <c r="Z548" s="64"/>
      <c r="AA548" s="164"/>
      <c r="AB548" s="62"/>
      <c r="AC548" s="62"/>
      <c r="AD548" s="64"/>
      <c r="AE548" s="164"/>
      <c r="AF548" s="62"/>
      <c r="AG548" s="62"/>
      <c r="AH548" s="337"/>
      <c r="AI548" s="337"/>
      <c r="AJ548" s="337"/>
      <c r="AK548" s="337"/>
      <c r="AL548" s="414"/>
      <c r="AM548" s="414"/>
      <c r="AN548" s="45"/>
      <c r="AO548" s="45"/>
      <c r="AP548" s="45"/>
      <c r="AQ548" s="485"/>
      <c r="AR548" s="100"/>
      <c r="AS548" s="485"/>
      <c r="AT548" s="100"/>
      <c r="AU548" s="100"/>
      <c r="AV548" s="100"/>
      <c r="AW548" s="18">
        <v>23</v>
      </c>
      <c r="AX548" s="69" t="s">
        <v>294</v>
      </c>
      <c r="AY548" s="243" t="s">
        <v>170</v>
      </c>
      <c r="AZ548" s="243" t="str">
        <f t="shared" si="225"/>
        <v>Steelhead</v>
      </c>
      <c r="BA548" s="243" t="s">
        <v>419</v>
      </c>
      <c r="BB548" s="246"/>
      <c r="BC548" s="43" t="str">
        <f t="shared" si="226"/>
        <v>-</v>
      </c>
      <c r="BD548" s="43">
        <f t="shared" si="247"/>
        <v>0</v>
      </c>
      <c r="BE548" s="193">
        <f t="shared" si="243"/>
        <v>0</v>
      </c>
      <c r="BF548" s="193">
        <f t="shared" si="227"/>
        <v>0</v>
      </c>
      <c r="BG548" s="193">
        <f t="shared" si="228"/>
        <v>0</v>
      </c>
      <c r="BH548" s="307" t="str">
        <f t="shared" si="246"/>
        <v>-</v>
      </c>
      <c r="BI548" s="265" t="str">
        <f t="shared" si="245"/>
        <v>-</v>
      </c>
      <c r="BJ548" s="26" t="str">
        <f t="shared" si="229"/>
        <v>CASS CREEKSteelhead</v>
      </c>
      <c r="BK548" s="26">
        <f t="shared" si="230"/>
        <v>0</v>
      </c>
      <c r="BL548" s="33">
        <f t="shared" si="221"/>
        <v>0</v>
      </c>
      <c r="BN548" s="34"/>
      <c r="BQ548" s="47" t="str">
        <f t="shared" si="231"/>
        <v>CASS CREEKSteelhead</v>
      </c>
      <c r="BR548" s="49">
        <f t="shared" si="232"/>
        <v>0</v>
      </c>
      <c r="BS548" s="49">
        <f t="shared" si="233"/>
        <v>0</v>
      </c>
      <c r="BT548" s="31">
        <v>0</v>
      </c>
      <c r="BU548" s="188">
        <f t="shared" si="234"/>
        <v>0</v>
      </c>
      <c r="BV548" s="188" t="str">
        <f t="shared" si="235"/>
        <v xml:space="preserve"> </v>
      </c>
      <c r="BW548" s="188" t="str">
        <f t="shared" si="236"/>
        <v xml:space="preserve"> </v>
      </c>
      <c r="BX548" s="188" t="str">
        <f t="shared" si="237"/>
        <v xml:space="preserve"> </v>
      </c>
      <c r="BY548" s="50" t="str">
        <f t="shared" si="244"/>
        <v>CASS CREEK_Steelhead</v>
      </c>
      <c r="BZ548" s="50" t="str">
        <f>IFERROR(VLOOKUP(BY548,'[1]WCVI Esc'!$C$5:$W$555,18,FALSE),"-")</f>
        <v>-</v>
      </c>
      <c r="CA548" s="50" t="str">
        <f t="shared" si="238"/>
        <v>-</v>
      </c>
      <c r="CB548" s="50" t="str">
        <f>IFERROR(VLOOKUP(BY548,'[1]WCVI Esc'!$C$5:$W$555,19,FALSE),"-")</f>
        <v>-</v>
      </c>
      <c r="CC548" s="50" t="str">
        <f t="shared" si="239"/>
        <v>-</v>
      </c>
      <c r="CE548" s="342" t="str">
        <f t="shared" si="224"/>
        <v>CASS CREEK_Steelhead</v>
      </c>
      <c r="CF548" s="341" t="str">
        <f>IFERROR(VLOOKUP(BY548,'RawPL+D'!$O$8:$AB$503,12,FALSE),"-")</f>
        <v>-</v>
      </c>
      <c r="CG548" s="338" t="str">
        <f t="shared" si="240"/>
        <v>-</v>
      </c>
      <c r="CH548" s="341" t="str">
        <f>IFERROR(VLOOKUP(BY548,'RawPL+D'!$O$8:$AB$503,13,FALSE),"-")</f>
        <v>-</v>
      </c>
      <c r="CI548" s="338" t="str">
        <f t="shared" si="241"/>
        <v>-</v>
      </c>
    </row>
    <row r="549" spans="1:87" ht="12.75" hidden="1" customHeight="1" x14ac:dyDescent="0.2">
      <c r="A549" s="28">
        <v>4</v>
      </c>
      <c r="B549" s="28">
        <v>1</v>
      </c>
      <c r="C549" s="11">
        <v>23</v>
      </c>
      <c r="D549" s="148" t="s">
        <v>294</v>
      </c>
      <c r="E549" s="10" t="s">
        <v>89</v>
      </c>
      <c r="F549" s="10" t="s">
        <v>207</v>
      </c>
      <c r="G549" s="10"/>
      <c r="H549" s="10"/>
      <c r="I549" s="10"/>
      <c r="J549" s="10"/>
      <c r="K549" s="575"/>
      <c r="L549" s="152"/>
      <c r="M549" s="164"/>
      <c r="N549" s="62"/>
      <c r="O549" s="62"/>
      <c r="P549" s="177"/>
      <c r="Q549" s="171"/>
      <c r="R549" s="62"/>
      <c r="S549" s="62"/>
      <c r="T549" s="62"/>
      <c r="U549" s="64"/>
      <c r="V549" s="164"/>
      <c r="W549" s="62"/>
      <c r="X549" s="62"/>
      <c r="Y549" s="62"/>
      <c r="Z549" s="64"/>
      <c r="AA549" s="164"/>
      <c r="AB549" s="62"/>
      <c r="AC549" s="62"/>
      <c r="AD549" s="64"/>
      <c r="AE549" s="164"/>
      <c r="AF549" s="62"/>
      <c r="AG549" s="62"/>
      <c r="AH549" s="337"/>
      <c r="AI549" s="337"/>
      <c r="AJ549" s="337"/>
      <c r="AK549" s="337"/>
      <c r="AL549" s="414"/>
      <c r="AM549" s="414"/>
      <c r="AN549" s="45"/>
      <c r="AO549" s="45"/>
      <c r="AP549" s="45"/>
      <c r="AQ549" s="485"/>
      <c r="AR549" s="100"/>
      <c r="AS549" s="485"/>
      <c r="AT549" s="24"/>
      <c r="AU549" s="24"/>
      <c r="AV549" s="24"/>
      <c r="AW549" s="18">
        <v>23</v>
      </c>
      <c r="AX549" s="69" t="s">
        <v>294</v>
      </c>
      <c r="AY549" s="243" t="s">
        <v>89</v>
      </c>
      <c r="AZ549" s="243" t="str">
        <f t="shared" si="225"/>
        <v>Sockeye</v>
      </c>
      <c r="BA549" s="243" t="s">
        <v>419</v>
      </c>
      <c r="BB549" s="246"/>
      <c r="BC549" s="43" t="str">
        <f t="shared" si="226"/>
        <v>-</v>
      </c>
      <c r="BD549" s="43">
        <f t="shared" si="247"/>
        <v>0</v>
      </c>
      <c r="BE549" s="193">
        <f t="shared" si="243"/>
        <v>0</v>
      </c>
      <c r="BF549" s="193">
        <f t="shared" si="227"/>
        <v>0</v>
      </c>
      <c r="BG549" s="193">
        <f t="shared" si="228"/>
        <v>0</v>
      </c>
      <c r="BH549" s="307" t="str">
        <f t="shared" si="246"/>
        <v>-</v>
      </c>
      <c r="BI549" s="265" t="str">
        <f t="shared" si="245"/>
        <v>-</v>
      </c>
      <c r="BJ549" s="26" t="str">
        <f t="shared" si="229"/>
        <v>COEUR D'ALENE CREEKSockeye</v>
      </c>
      <c r="BK549" s="26">
        <f t="shared" si="230"/>
        <v>0</v>
      </c>
      <c r="BL549" s="33">
        <f t="shared" si="221"/>
        <v>0</v>
      </c>
      <c r="BQ549" s="47" t="str">
        <f t="shared" si="231"/>
        <v>COEUR D'ALENE CREEKSockeye</v>
      </c>
      <c r="BR549" s="49">
        <f t="shared" si="232"/>
        <v>0</v>
      </c>
      <c r="BS549" s="49">
        <f t="shared" si="233"/>
        <v>0</v>
      </c>
      <c r="BT549" s="31">
        <v>0</v>
      </c>
      <c r="BU549" s="188">
        <f t="shared" si="234"/>
        <v>0</v>
      </c>
      <c r="BV549" s="188" t="str">
        <f t="shared" si="235"/>
        <v xml:space="preserve"> </v>
      </c>
      <c r="BW549" s="188" t="str">
        <f t="shared" si="236"/>
        <v xml:space="preserve"> </v>
      </c>
      <c r="BX549" s="188" t="str">
        <f t="shared" si="237"/>
        <v xml:space="preserve"> </v>
      </c>
      <c r="BY549" s="50" t="str">
        <f t="shared" si="244"/>
        <v>COEUR D'ALENE CREEK_Sockeye</v>
      </c>
      <c r="BZ549" s="50" t="str">
        <f>IFERROR(VLOOKUP(BY549,'[1]WCVI Esc'!$C$5:$W$555,18,FALSE),"-")</f>
        <v>-</v>
      </c>
      <c r="CA549" s="50" t="str">
        <f t="shared" si="238"/>
        <v>-</v>
      </c>
      <c r="CB549" s="50" t="str">
        <f>IFERROR(VLOOKUP(BY549,'[1]WCVI Esc'!$C$5:$W$555,19,FALSE),"-")</f>
        <v>-</v>
      </c>
      <c r="CC549" s="50" t="str">
        <f t="shared" si="239"/>
        <v>-</v>
      </c>
      <c r="CE549" s="342" t="str">
        <f t="shared" si="224"/>
        <v>COEUR D'ALENE CREEK_Sockeye</v>
      </c>
      <c r="CF549" s="341" t="str">
        <f>IFERROR(VLOOKUP(BY549,'RawPL+D'!$O$8:$AB$503,12,FALSE),"-")</f>
        <v>-</v>
      </c>
      <c r="CG549" s="338" t="str">
        <f t="shared" si="240"/>
        <v>-</v>
      </c>
      <c r="CH549" s="341" t="str">
        <f>IFERROR(VLOOKUP(BY549,'RawPL+D'!$O$8:$AB$503,13,FALSE),"-")</f>
        <v>-</v>
      </c>
      <c r="CI549" s="338" t="str">
        <f t="shared" si="241"/>
        <v>-</v>
      </c>
    </row>
    <row r="550" spans="1:87" ht="12.75" hidden="1" customHeight="1" x14ac:dyDescent="0.2">
      <c r="A550" s="28">
        <v>4</v>
      </c>
      <c r="B550" s="28">
        <v>2</v>
      </c>
      <c r="C550" s="11">
        <v>23</v>
      </c>
      <c r="D550" s="148" t="s">
        <v>294</v>
      </c>
      <c r="E550" s="10" t="s">
        <v>89</v>
      </c>
      <c r="F550" s="10" t="s">
        <v>219</v>
      </c>
      <c r="G550" s="10"/>
      <c r="H550" s="10"/>
      <c r="I550" s="10"/>
      <c r="J550" s="10"/>
      <c r="K550" s="575"/>
      <c r="L550" s="152"/>
      <c r="M550" s="164"/>
      <c r="N550" s="62"/>
      <c r="O550" s="62"/>
      <c r="P550" s="177"/>
      <c r="Q550" s="171"/>
      <c r="R550" s="62"/>
      <c r="S550" s="62"/>
      <c r="T550" s="62"/>
      <c r="U550" s="64"/>
      <c r="V550" s="164"/>
      <c r="W550" s="62"/>
      <c r="X550" s="62"/>
      <c r="Y550" s="62"/>
      <c r="Z550" s="64"/>
      <c r="AA550" s="164"/>
      <c r="AB550" s="62"/>
      <c r="AC550" s="62"/>
      <c r="AD550" s="64"/>
      <c r="AE550" s="164"/>
      <c r="AF550" s="62"/>
      <c r="AG550" s="62"/>
      <c r="AH550" s="337"/>
      <c r="AI550" s="337"/>
      <c r="AJ550" s="337"/>
      <c r="AK550" s="337"/>
      <c r="AL550" s="414"/>
      <c r="AM550" s="414"/>
      <c r="AN550" s="45"/>
      <c r="AO550" s="45"/>
      <c r="AP550" s="45"/>
      <c r="AQ550" s="485"/>
      <c r="AR550" s="100"/>
      <c r="AS550" s="485"/>
      <c r="AT550" s="24"/>
      <c r="AU550" s="24"/>
      <c r="AV550" s="24"/>
      <c r="AW550" s="18">
        <v>23</v>
      </c>
      <c r="AX550" s="69" t="s">
        <v>294</v>
      </c>
      <c r="AY550" s="243" t="s">
        <v>89</v>
      </c>
      <c r="AZ550" s="243" t="str">
        <f t="shared" si="225"/>
        <v>Coho</v>
      </c>
      <c r="BA550" s="243" t="s">
        <v>419</v>
      </c>
      <c r="BB550" s="246"/>
      <c r="BC550" s="43" t="str">
        <f t="shared" si="226"/>
        <v>-</v>
      </c>
      <c r="BD550" s="43">
        <f t="shared" si="247"/>
        <v>0</v>
      </c>
      <c r="BE550" s="193">
        <f t="shared" si="243"/>
        <v>0</v>
      </c>
      <c r="BF550" s="193">
        <f t="shared" si="227"/>
        <v>0</v>
      </c>
      <c r="BG550" s="193">
        <f t="shared" si="228"/>
        <v>0</v>
      </c>
      <c r="BH550" s="307" t="str">
        <f t="shared" si="246"/>
        <v>-</v>
      </c>
      <c r="BI550" s="265" t="str">
        <f t="shared" si="245"/>
        <v>-</v>
      </c>
      <c r="BJ550" s="26" t="str">
        <f t="shared" si="229"/>
        <v>COEUR D'ALENE CREEKCoho</v>
      </c>
      <c r="BK550" s="26">
        <f t="shared" si="230"/>
        <v>0</v>
      </c>
      <c r="BL550" s="33">
        <f t="shared" si="221"/>
        <v>0</v>
      </c>
      <c r="BQ550" s="47" t="str">
        <f t="shared" si="231"/>
        <v>COEUR D'ALENE CREEKCoho</v>
      </c>
      <c r="BR550" s="49">
        <f t="shared" si="232"/>
        <v>0</v>
      </c>
      <c r="BS550" s="49">
        <f t="shared" si="233"/>
        <v>0</v>
      </c>
      <c r="BT550" s="31">
        <v>2004</v>
      </c>
      <c r="BU550" s="188">
        <f t="shared" si="234"/>
        <v>0</v>
      </c>
      <c r="BV550" s="188" t="str">
        <f t="shared" si="235"/>
        <v xml:space="preserve"> </v>
      </c>
      <c r="BW550" s="188" t="str">
        <f t="shared" si="236"/>
        <v xml:space="preserve"> </v>
      </c>
      <c r="BX550" s="188" t="str">
        <f t="shared" si="237"/>
        <v xml:space="preserve"> </v>
      </c>
      <c r="BY550" s="50" t="str">
        <f t="shared" si="244"/>
        <v>COEUR D'ALENE CREEK_Coho</v>
      </c>
      <c r="BZ550" s="50" t="str">
        <f>IFERROR(VLOOKUP(BY550,'[1]WCVI Esc'!$C$5:$W$555,18,FALSE),"-")</f>
        <v>-</v>
      </c>
      <c r="CA550" s="50" t="str">
        <f t="shared" si="238"/>
        <v>-</v>
      </c>
      <c r="CB550" s="50" t="str">
        <f>IFERROR(VLOOKUP(BY550,'[1]WCVI Esc'!$C$5:$W$555,19,FALSE),"-")</f>
        <v>-</v>
      </c>
      <c r="CC550" s="50" t="str">
        <f t="shared" si="239"/>
        <v>-</v>
      </c>
      <c r="CE550" s="342" t="str">
        <f t="shared" si="224"/>
        <v>COEUR D'ALENE CREEK_Coho</v>
      </c>
      <c r="CF550" s="341" t="str">
        <f>IFERROR(VLOOKUP(BY550,'RawPL+D'!$O$8:$AB$503,12,FALSE),"-")</f>
        <v>-</v>
      </c>
      <c r="CG550" s="338" t="str">
        <f t="shared" si="240"/>
        <v>-</v>
      </c>
      <c r="CH550" s="341" t="str">
        <f>IFERROR(VLOOKUP(BY550,'RawPL+D'!$O$8:$AB$503,13,FALSE),"-")</f>
        <v>-</v>
      </c>
      <c r="CI550" s="338" t="str">
        <f t="shared" si="241"/>
        <v>-</v>
      </c>
    </row>
    <row r="551" spans="1:87" ht="12.75" hidden="1" customHeight="1" x14ac:dyDescent="0.2">
      <c r="A551" s="28">
        <v>4</v>
      </c>
      <c r="B551" s="28">
        <v>3</v>
      </c>
      <c r="C551" s="11">
        <v>23</v>
      </c>
      <c r="D551" s="148" t="s">
        <v>294</v>
      </c>
      <c r="E551" s="10" t="s">
        <v>89</v>
      </c>
      <c r="F551" s="10" t="s">
        <v>208</v>
      </c>
      <c r="G551" s="10"/>
      <c r="H551" s="10"/>
      <c r="I551" s="10"/>
      <c r="J551" s="10"/>
      <c r="K551" s="575"/>
      <c r="L551" s="152"/>
      <c r="M551" s="164"/>
      <c r="N551" s="62"/>
      <c r="O551" s="62"/>
      <c r="P551" s="177"/>
      <c r="Q551" s="171"/>
      <c r="R551" s="62"/>
      <c r="S551" s="62"/>
      <c r="T551" s="62"/>
      <c r="U551" s="64"/>
      <c r="V551" s="164"/>
      <c r="W551" s="62"/>
      <c r="X551" s="62"/>
      <c r="Y551" s="62"/>
      <c r="Z551" s="64"/>
      <c r="AA551" s="164"/>
      <c r="AB551" s="62"/>
      <c r="AC551" s="62"/>
      <c r="AD551" s="64"/>
      <c r="AE551" s="164"/>
      <c r="AF551" s="62"/>
      <c r="AG551" s="62"/>
      <c r="AH551" s="337"/>
      <c r="AI551" s="337"/>
      <c r="AJ551" s="337"/>
      <c r="AK551" s="337"/>
      <c r="AL551" s="414"/>
      <c r="AM551" s="414"/>
      <c r="AN551" s="45"/>
      <c r="AO551" s="45"/>
      <c r="AP551" s="45"/>
      <c r="AQ551" s="485"/>
      <c r="AR551" s="100"/>
      <c r="AS551" s="485"/>
      <c r="AT551" s="24"/>
      <c r="AU551" s="24"/>
      <c r="AV551" s="24"/>
      <c r="AW551" s="18">
        <v>23</v>
      </c>
      <c r="AX551" s="69" t="s">
        <v>294</v>
      </c>
      <c r="AY551" s="243" t="s">
        <v>89</v>
      </c>
      <c r="AZ551" s="243" t="str">
        <f t="shared" si="225"/>
        <v>Pink</v>
      </c>
      <c r="BA551" s="243" t="s">
        <v>419</v>
      </c>
      <c r="BB551" s="246"/>
      <c r="BC551" s="43" t="str">
        <f t="shared" si="226"/>
        <v>-</v>
      </c>
      <c r="BD551" s="43">
        <f t="shared" si="247"/>
        <v>0</v>
      </c>
      <c r="BE551" s="193">
        <f t="shared" si="243"/>
        <v>0</v>
      </c>
      <c r="BF551" s="193">
        <f t="shared" si="227"/>
        <v>0</v>
      </c>
      <c r="BG551" s="193">
        <f t="shared" si="228"/>
        <v>0</v>
      </c>
      <c r="BH551" s="307" t="str">
        <f t="shared" si="246"/>
        <v>-</v>
      </c>
      <c r="BI551" s="265" t="str">
        <f t="shared" si="245"/>
        <v>-</v>
      </c>
      <c r="BJ551" s="26" t="str">
        <f t="shared" si="229"/>
        <v>COEUR D'ALENE CREEKPink</v>
      </c>
      <c r="BK551" s="26">
        <f t="shared" si="230"/>
        <v>0</v>
      </c>
      <c r="BL551" s="33">
        <f t="shared" ref="BL551:BL614" si="248">MAX(K551:AB551)</f>
        <v>0</v>
      </c>
      <c r="BQ551" s="47" t="str">
        <f t="shared" si="231"/>
        <v>COEUR D'ALENE CREEKPink</v>
      </c>
      <c r="BR551" s="49">
        <f t="shared" si="232"/>
        <v>0</v>
      </c>
      <c r="BS551" s="49">
        <f t="shared" si="233"/>
        <v>0</v>
      </c>
      <c r="BT551" s="31">
        <v>0</v>
      </c>
      <c r="BU551" s="188">
        <f t="shared" si="234"/>
        <v>0</v>
      </c>
      <c r="BV551" s="188" t="str">
        <f t="shared" si="235"/>
        <v xml:space="preserve"> </v>
      </c>
      <c r="BW551" s="188" t="str">
        <f t="shared" si="236"/>
        <v xml:space="preserve"> </v>
      </c>
      <c r="BX551" s="188" t="str">
        <f t="shared" si="237"/>
        <v xml:space="preserve"> </v>
      </c>
      <c r="BY551" s="50" t="str">
        <f t="shared" si="244"/>
        <v>COEUR D'ALENE CREEK_Pink</v>
      </c>
      <c r="BZ551" s="50" t="str">
        <f>IFERROR(VLOOKUP(BY551,'[1]WCVI Esc'!$C$5:$W$555,18,FALSE),"-")</f>
        <v>-</v>
      </c>
      <c r="CA551" s="50" t="str">
        <f t="shared" si="238"/>
        <v>-</v>
      </c>
      <c r="CB551" s="50" t="str">
        <f>IFERROR(VLOOKUP(BY551,'[1]WCVI Esc'!$C$5:$W$555,19,FALSE),"-")</f>
        <v>-</v>
      </c>
      <c r="CC551" s="50" t="str">
        <f t="shared" si="239"/>
        <v>-</v>
      </c>
      <c r="CE551" s="342" t="str">
        <f t="shared" si="224"/>
        <v>COEUR D'ALENE CREEK_Pink</v>
      </c>
      <c r="CF551" s="341" t="str">
        <f>IFERROR(VLOOKUP(BY551,'RawPL+D'!$O$8:$AB$503,12,FALSE),"-")</f>
        <v>-</v>
      </c>
      <c r="CG551" s="338" t="str">
        <f t="shared" si="240"/>
        <v>-</v>
      </c>
      <c r="CH551" s="341" t="str">
        <f>IFERROR(VLOOKUP(BY551,'RawPL+D'!$O$8:$AB$503,13,FALSE),"-")</f>
        <v>-</v>
      </c>
      <c r="CI551" s="338" t="str">
        <f t="shared" si="241"/>
        <v>-</v>
      </c>
    </row>
    <row r="552" spans="1:87" ht="12.75" hidden="1" customHeight="1" x14ac:dyDescent="0.2">
      <c r="A552" s="28">
        <v>4</v>
      </c>
      <c r="B552" s="28">
        <v>4</v>
      </c>
      <c r="C552" s="11">
        <v>23</v>
      </c>
      <c r="D552" s="148" t="s">
        <v>294</v>
      </c>
      <c r="E552" s="10" t="s">
        <v>89</v>
      </c>
      <c r="F552" s="10" t="s">
        <v>209</v>
      </c>
      <c r="G552" s="10"/>
      <c r="H552" s="10"/>
      <c r="I552" s="10"/>
      <c r="J552" s="10"/>
      <c r="K552" s="575"/>
      <c r="L552" s="152"/>
      <c r="M552" s="164"/>
      <c r="N552" s="62"/>
      <c r="O552" s="62"/>
      <c r="P552" s="177"/>
      <c r="Q552" s="171"/>
      <c r="R552" s="62"/>
      <c r="S552" s="62"/>
      <c r="T552" s="62"/>
      <c r="U552" s="64"/>
      <c r="V552" s="164"/>
      <c r="W552" s="62"/>
      <c r="X552" s="62"/>
      <c r="Y552" s="62"/>
      <c r="Z552" s="64"/>
      <c r="AA552" s="164"/>
      <c r="AB552" s="62"/>
      <c r="AC552" s="62"/>
      <c r="AD552" s="64"/>
      <c r="AE552" s="164"/>
      <c r="AF552" s="62"/>
      <c r="AG552" s="62"/>
      <c r="AH552" s="337"/>
      <c r="AI552" s="337"/>
      <c r="AJ552" s="337"/>
      <c r="AK552" s="337"/>
      <c r="AL552" s="414"/>
      <c r="AM552" s="414"/>
      <c r="AN552" s="45"/>
      <c r="AO552" s="45"/>
      <c r="AP552" s="45"/>
      <c r="AQ552" s="485"/>
      <c r="AR552" s="100"/>
      <c r="AS552" s="485"/>
      <c r="AT552" s="24"/>
      <c r="AU552" s="24"/>
      <c r="AV552" s="24"/>
      <c r="AW552" s="18">
        <v>23</v>
      </c>
      <c r="AX552" s="69" t="s">
        <v>294</v>
      </c>
      <c r="AY552" s="243" t="s">
        <v>89</v>
      </c>
      <c r="AZ552" s="243" t="str">
        <f t="shared" si="225"/>
        <v>Chum</v>
      </c>
      <c r="BA552" s="243" t="s">
        <v>419</v>
      </c>
      <c r="BB552" s="246"/>
      <c r="BC552" s="43" t="str">
        <f t="shared" si="226"/>
        <v>-</v>
      </c>
      <c r="BD552" s="43">
        <f t="shared" si="247"/>
        <v>0</v>
      </c>
      <c r="BE552" s="193">
        <f t="shared" si="243"/>
        <v>0</v>
      </c>
      <c r="BF552" s="193">
        <f t="shared" si="227"/>
        <v>0</v>
      </c>
      <c r="BG552" s="193">
        <f t="shared" si="228"/>
        <v>0</v>
      </c>
      <c r="BH552" s="307" t="str">
        <f t="shared" si="246"/>
        <v>-</v>
      </c>
      <c r="BI552" s="265" t="str">
        <f t="shared" si="245"/>
        <v>-</v>
      </c>
      <c r="BJ552" s="26" t="str">
        <f t="shared" si="229"/>
        <v>COEUR D'ALENE CREEKChum</v>
      </c>
      <c r="BK552" s="26">
        <f t="shared" si="230"/>
        <v>0</v>
      </c>
      <c r="BL552" s="33">
        <f t="shared" si="248"/>
        <v>0</v>
      </c>
      <c r="BQ552" s="47" t="str">
        <f t="shared" si="231"/>
        <v>COEUR D'ALENE CREEKChum</v>
      </c>
      <c r="BR552" s="49">
        <f t="shared" si="232"/>
        <v>0</v>
      </c>
      <c r="BS552" s="49">
        <f t="shared" si="233"/>
        <v>0</v>
      </c>
      <c r="BT552" s="31">
        <v>2004</v>
      </c>
      <c r="BU552" s="188">
        <f t="shared" si="234"/>
        <v>0</v>
      </c>
      <c r="BV552" s="188" t="str">
        <f t="shared" si="235"/>
        <v xml:space="preserve"> </v>
      </c>
      <c r="BW552" s="188" t="str">
        <f t="shared" si="236"/>
        <v xml:space="preserve"> </v>
      </c>
      <c r="BX552" s="188" t="str">
        <f t="shared" si="237"/>
        <v xml:space="preserve"> </v>
      </c>
      <c r="BY552" s="50" t="str">
        <f t="shared" si="244"/>
        <v>COEUR D'ALENE CREEK_Chum</v>
      </c>
      <c r="BZ552" s="50" t="str">
        <f>IFERROR(VLOOKUP(BY552,'[1]WCVI Esc'!$C$5:$W$555,18,FALSE),"-")</f>
        <v>-</v>
      </c>
      <c r="CA552" s="50" t="str">
        <f t="shared" si="238"/>
        <v>-</v>
      </c>
      <c r="CB552" s="50" t="str">
        <f>IFERROR(VLOOKUP(BY552,'[1]WCVI Esc'!$C$5:$W$555,19,FALSE),"-")</f>
        <v>-</v>
      </c>
      <c r="CC552" s="50" t="str">
        <f t="shared" si="239"/>
        <v>-</v>
      </c>
      <c r="CE552" s="342" t="str">
        <f t="shared" si="224"/>
        <v>COEUR D'ALENE CREEK_Chum</v>
      </c>
      <c r="CF552" s="341" t="str">
        <f>IFERROR(VLOOKUP(BY552,'RawPL+D'!$O$8:$AB$503,12,FALSE),"-")</f>
        <v>-</v>
      </c>
      <c r="CG552" s="338" t="str">
        <f t="shared" si="240"/>
        <v>-</v>
      </c>
      <c r="CH552" s="341" t="str">
        <f>IFERROR(VLOOKUP(BY552,'RawPL+D'!$O$8:$AB$503,13,FALSE),"-")</f>
        <v>-</v>
      </c>
      <c r="CI552" s="338" t="str">
        <f t="shared" si="241"/>
        <v>-</v>
      </c>
    </row>
    <row r="553" spans="1:87" ht="12.75" hidden="1" customHeight="1" x14ac:dyDescent="0.2">
      <c r="A553" s="28">
        <v>4</v>
      </c>
      <c r="B553" s="28">
        <v>5</v>
      </c>
      <c r="C553" s="11">
        <v>23</v>
      </c>
      <c r="D553" s="148" t="s">
        <v>294</v>
      </c>
      <c r="E553" s="10" t="s">
        <v>89</v>
      </c>
      <c r="F553" s="10" t="s">
        <v>210</v>
      </c>
      <c r="G553" s="10"/>
      <c r="H553" s="10"/>
      <c r="I553" s="10"/>
      <c r="J553" s="10"/>
      <c r="K553" s="575"/>
      <c r="L553" s="152"/>
      <c r="M553" s="164"/>
      <c r="N553" s="62"/>
      <c r="O553" s="62"/>
      <c r="P553" s="177"/>
      <c r="Q553" s="171"/>
      <c r="R553" s="62"/>
      <c r="S553" s="62"/>
      <c r="T553" s="62"/>
      <c r="U553" s="64"/>
      <c r="V553" s="164"/>
      <c r="W553" s="62"/>
      <c r="X553" s="62"/>
      <c r="Y553" s="62"/>
      <c r="Z553" s="64"/>
      <c r="AA553" s="164"/>
      <c r="AB553" s="62"/>
      <c r="AC553" s="62"/>
      <c r="AD553" s="64"/>
      <c r="AE553" s="164"/>
      <c r="AF553" s="62"/>
      <c r="AG553" s="62"/>
      <c r="AH553" s="337"/>
      <c r="AI553" s="337"/>
      <c r="AJ553" s="337"/>
      <c r="AK553" s="337"/>
      <c r="AL553" s="414"/>
      <c r="AM553" s="414"/>
      <c r="AN553" s="45"/>
      <c r="AO553" s="45"/>
      <c r="AP553" s="45"/>
      <c r="AQ553" s="485"/>
      <c r="AR553" s="100"/>
      <c r="AS553" s="485"/>
      <c r="AT553" s="24"/>
      <c r="AU553" s="24"/>
      <c r="AV553" s="24"/>
      <c r="AW553" s="18">
        <v>23</v>
      </c>
      <c r="AX553" s="69" t="s">
        <v>294</v>
      </c>
      <c r="AY553" s="243" t="s">
        <v>89</v>
      </c>
      <c r="AZ553" s="243" t="str">
        <f t="shared" si="225"/>
        <v>Chinook</v>
      </c>
      <c r="BA553" s="243" t="s">
        <v>419</v>
      </c>
      <c r="BB553" s="246"/>
      <c r="BC553" s="43" t="str">
        <f t="shared" si="226"/>
        <v>-</v>
      </c>
      <c r="BD553" s="43">
        <f t="shared" si="247"/>
        <v>0</v>
      </c>
      <c r="BE553" s="193">
        <f t="shared" si="243"/>
        <v>0</v>
      </c>
      <c r="BF553" s="193">
        <f t="shared" si="227"/>
        <v>0</v>
      </c>
      <c r="BG553" s="193">
        <f t="shared" si="228"/>
        <v>0</v>
      </c>
      <c r="BH553" s="307" t="str">
        <f t="shared" si="246"/>
        <v>-</v>
      </c>
      <c r="BI553" s="265" t="str">
        <f t="shared" si="245"/>
        <v>-</v>
      </c>
      <c r="BJ553" s="26" t="str">
        <f t="shared" si="229"/>
        <v>COEUR D'ALENE CREEKChinook</v>
      </c>
      <c r="BK553" s="26">
        <f t="shared" si="230"/>
        <v>0</v>
      </c>
      <c r="BL553" s="33">
        <f t="shared" si="248"/>
        <v>0</v>
      </c>
      <c r="BQ553" s="47" t="str">
        <f t="shared" si="231"/>
        <v>COEUR D'ALENE CREEKChinook</v>
      </c>
      <c r="BR553" s="49">
        <f t="shared" si="232"/>
        <v>0</v>
      </c>
      <c r="BS553" s="49">
        <f t="shared" si="233"/>
        <v>0</v>
      </c>
      <c r="BT553" s="31">
        <v>2004</v>
      </c>
      <c r="BU553" s="188">
        <f t="shared" si="234"/>
        <v>0</v>
      </c>
      <c r="BV553" s="188" t="str">
        <f t="shared" si="235"/>
        <v xml:space="preserve"> </v>
      </c>
      <c r="BW553" s="188" t="str">
        <f t="shared" si="236"/>
        <v xml:space="preserve"> </v>
      </c>
      <c r="BX553" s="188" t="str">
        <f t="shared" si="237"/>
        <v xml:space="preserve"> </v>
      </c>
      <c r="BY553" s="50" t="str">
        <f t="shared" si="244"/>
        <v>COEUR D'ALENE CREEK_Chinook</v>
      </c>
      <c r="BZ553" s="50" t="str">
        <f>IFERROR(VLOOKUP(BY553,'[1]WCVI Esc'!$C$5:$W$555,18,FALSE),"-")</f>
        <v>-</v>
      </c>
      <c r="CA553" s="50" t="str">
        <f t="shared" si="238"/>
        <v>-</v>
      </c>
      <c r="CB553" s="50" t="str">
        <f>IFERROR(VLOOKUP(BY553,'[1]WCVI Esc'!$C$5:$W$555,19,FALSE),"-")</f>
        <v>-</v>
      </c>
      <c r="CC553" s="50" t="str">
        <f t="shared" si="239"/>
        <v>-</v>
      </c>
      <c r="CE553" s="342" t="str">
        <f t="shared" si="224"/>
        <v>COEUR D'ALENE CREEK_Chinook</v>
      </c>
      <c r="CF553" s="341" t="str">
        <f>IFERROR(VLOOKUP(BY553,'RawPL+D'!$O$8:$AB$503,12,FALSE),"-")</f>
        <v>-</v>
      </c>
      <c r="CG553" s="338" t="str">
        <f t="shared" si="240"/>
        <v>-</v>
      </c>
      <c r="CH553" s="341" t="str">
        <f>IFERROR(VLOOKUP(BY553,'RawPL+D'!$O$8:$AB$503,13,FALSE),"-")</f>
        <v>-</v>
      </c>
      <c r="CI553" s="338" t="str">
        <f t="shared" si="241"/>
        <v>-</v>
      </c>
    </row>
    <row r="554" spans="1:87" ht="12.75" hidden="1" customHeight="1" x14ac:dyDescent="0.2">
      <c r="A554" s="28">
        <v>4</v>
      </c>
      <c r="B554" s="28">
        <v>6</v>
      </c>
      <c r="C554" s="11">
        <v>23</v>
      </c>
      <c r="D554" s="148" t="s">
        <v>294</v>
      </c>
      <c r="E554" s="10" t="s">
        <v>89</v>
      </c>
      <c r="F554" s="10" t="s">
        <v>211</v>
      </c>
      <c r="G554" s="10"/>
      <c r="H554" s="10"/>
      <c r="I554" s="10"/>
      <c r="J554" s="10"/>
      <c r="K554" s="575"/>
      <c r="L554" s="152"/>
      <c r="M554" s="164"/>
      <c r="N554" s="62"/>
      <c r="O554" s="62"/>
      <c r="P554" s="177"/>
      <c r="Q554" s="171"/>
      <c r="R554" s="62"/>
      <c r="S554" s="62"/>
      <c r="T554" s="62"/>
      <c r="U554" s="64"/>
      <c r="V554" s="164"/>
      <c r="W554" s="62"/>
      <c r="X554" s="62"/>
      <c r="Y554" s="62"/>
      <c r="Z554" s="64"/>
      <c r="AA554" s="164"/>
      <c r="AB554" s="62"/>
      <c r="AC554" s="62"/>
      <c r="AD554" s="64"/>
      <c r="AE554" s="164"/>
      <c r="AF554" s="62"/>
      <c r="AG554" s="62"/>
      <c r="AH554" s="337"/>
      <c r="AI554" s="337"/>
      <c r="AJ554" s="337"/>
      <c r="AK554" s="337"/>
      <c r="AL554" s="414"/>
      <c r="AM554" s="414"/>
      <c r="AN554" s="45"/>
      <c r="AO554" s="45"/>
      <c r="AP554" s="45"/>
      <c r="AQ554" s="485"/>
      <c r="AR554" s="100"/>
      <c r="AS554" s="485"/>
      <c r="AT554" s="24"/>
      <c r="AU554" s="24"/>
      <c r="AV554" s="24"/>
      <c r="AW554" s="18">
        <v>23</v>
      </c>
      <c r="AX554" s="69" t="s">
        <v>294</v>
      </c>
      <c r="AY554" s="243" t="s">
        <v>89</v>
      </c>
      <c r="AZ554" s="243" t="str">
        <f t="shared" si="225"/>
        <v>Steelhead</v>
      </c>
      <c r="BA554" s="243" t="s">
        <v>419</v>
      </c>
      <c r="BB554" s="246"/>
      <c r="BC554" s="43" t="str">
        <f t="shared" si="226"/>
        <v>-</v>
      </c>
      <c r="BD554" s="43">
        <f t="shared" si="247"/>
        <v>0</v>
      </c>
      <c r="BE554" s="193">
        <f t="shared" si="243"/>
        <v>0</v>
      </c>
      <c r="BF554" s="193">
        <f t="shared" si="227"/>
        <v>0</v>
      </c>
      <c r="BG554" s="193">
        <f t="shared" si="228"/>
        <v>0</v>
      </c>
      <c r="BH554" s="307" t="str">
        <f t="shared" si="246"/>
        <v>-</v>
      </c>
      <c r="BI554" s="265" t="str">
        <f t="shared" si="245"/>
        <v>-</v>
      </c>
      <c r="BJ554" s="26" t="str">
        <f t="shared" si="229"/>
        <v>COEUR D'ALENE CREEKSteelhead</v>
      </c>
      <c r="BK554" s="26">
        <f t="shared" si="230"/>
        <v>0</v>
      </c>
      <c r="BL554" s="33">
        <f t="shared" si="248"/>
        <v>0</v>
      </c>
      <c r="BQ554" s="47" t="str">
        <f t="shared" si="231"/>
        <v>COEUR D'ALENE CREEKSteelhead</v>
      </c>
      <c r="BR554" s="49">
        <f t="shared" si="232"/>
        <v>0</v>
      </c>
      <c r="BS554" s="49">
        <f t="shared" si="233"/>
        <v>0</v>
      </c>
      <c r="BT554" s="31">
        <v>0</v>
      </c>
      <c r="BU554" s="188">
        <f t="shared" si="234"/>
        <v>0</v>
      </c>
      <c r="BV554" s="188" t="str">
        <f t="shared" si="235"/>
        <v xml:space="preserve"> </v>
      </c>
      <c r="BW554" s="188" t="str">
        <f t="shared" si="236"/>
        <v xml:space="preserve"> </v>
      </c>
      <c r="BX554" s="188" t="str">
        <f t="shared" si="237"/>
        <v xml:space="preserve"> </v>
      </c>
      <c r="BY554" s="50" t="str">
        <f t="shared" si="244"/>
        <v>COEUR D'ALENE CREEK_Steelhead</v>
      </c>
      <c r="BZ554" s="50" t="str">
        <f>IFERROR(VLOOKUP(BY554,'[1]WCVI Esc'!$C$5:$W$555,18,FALSE),"-")</f>
        <v>-</v>
      </c>
      <c r="CA554" s="50" t="str">
        <f t="shared" si="238"/>
        <v>-</v>
      </c>
      <c r="CB554" s="50" t="str">
        <f>IFERROR(VLOOKUP(BY554,'[1]WCVI Esc'!$C$5:$W$555,19,FALSE),"-")</f>
        <v>-</v>
      </c>
      <c r="CC554" s="50" t="str">
        <f t="shared" si="239"/>
        <v>-</v>
      </c>
      <c r="CE554" s="342" t="str">
        <f t="shared" si="224"/>
        <v>COEUR D'ALENE CREEK_Steelhead</v>
      </c>
      <c r="CF554" s="341" t="str">
        <f>IFERROR(VLOOKUP(BY554,'RawPL+D'!$O$8:$AB$503,12,FALSE),"-")</f>
        <v>-</v>
      </c>
      <c r="CG554" s="338" t="str">
        <f t="shared" si="240"/>
        <v>-</v>
      </c>
      <c r="CH554" s="341" t="str">
        <f>IFERROR(VLOOKUP(BY554,'RawPL+D'!$O$8:$AB$503,13,FALSE),"-")</f>
        <v>-</v>
      </c>
      <c r="CI554" s="338" t="str">
        <f t="shared" si="241"/>
        <v>-</v>
      </c>
    </row>
    <row r="555" spans="1:87" ht="12.75" hidden="1" customHeight="1" x14ac:dyDescent="0.2">
      <c r="A555" s="28">
        <v>4</v>
      </c>
      <c r="B555" s="28">
        <v>1</v>
      </c>
      <c r="C555" s="11">
        <v>23</v>
      </c>
      <c r="D555" s="148" t="s">
        <v>294</v>
      </c>
      <c r="E555" s="10" t="s">
        <v>104</v>
      </c>
      <c r="F555" s="10" t="s">
        <v>207</v>
      </c>
      <c r="G555" s="10"/>
      <c r="H555" s="10"/>
      <c r="I555" s="10"/>
      <c r="J555" s="10"/>
      <c r="K555" s="575"/>
      <c r="L555" s="152"/>
      <c r="M555" s="164"/>
      <c r="N555" s="62"/>
      <c r="O555" s="62"/>
      <c r="P555" s="177"/>
      <c r="Q555" s="171"/>
      <c r="R555" s="62"/>
      <c r="S555" s="62"/>
      <c r="T555" s="63"/>
      <c r="U555" s="64"/>
      <c r="V555" s="164"/>
      <c r="W555" s="62"/>
      <c r="X555" s="62"/>
      <c r="Y555" s="63"/>
      <c r="Z555" s="64"/>
      <c r="AA555" s="164"/>
      <c r="AB555" s="62"/>
      <c r="AC555" s="62"/>
      <c r="AD555" s="64"/>
      <c r="AE555" s="164"/>
      <c r="AF555" s="62"/>
      <c r="AG555" s="62"/>
      <c r="AH555" s="337"/>
      <c r="AI555" s="337"/>
      <c r="AJ555" s="337"/>
      <c r="AK555" s="337"/>
      <c r="AL555" s="414"/>
      <c r="AM555" s="414"/>
      <c r="AN555" s="45"/>
      <c r="AO555" s="45"/>
      <c r="AP555" s="45"/>
      <c r="AQ555" s="485"/>
      <c r="AR555" s="100"/>
      <c r="AS555" s="485"/>
      <c r="AT555" s="24"/>
      <c r="AU555" s="24"/>
      <c r="AV555" s="24"/>
      <c r="AW555" s="18">
        <v>23</v>
      </c>
      <c r="AX555" s="69" t="s">
        <v>294</v>
      </c>
      <c r="AY555" s="243" t="s">
        <v>104</v>
      </c>
      <c r="AZ555" s="243" t="str">
        <f t="shared" si="225"/>
        <v>Sockeye</v>
      </c>
      <c r="BA555" s="243" t="s">
        <v>419</v>
      </c>
      <c r="BB555" s="246"/>
      <c r="BC555" s="43" t="str">
        <f t="shared" si="226"/>
        <v>-</v>
      </c>
      <c r="BD555" s="43">
        <f t="shared" si="247"/>
        <v>0</v>
      </c>
      <c r="BE555" s="193">
        <f t="shared" si="243"/>
        <v>0</v>
      </c>
      <c r="BF555" s="193">
        <f t="shared" si="227"/>
        <v>0</v>
      </c>
      <c r="BG555" s="193">
        <f t="shared" si="228"/>
        <v>0</v>
      </c>
      <c r="BH555" s="307" t="str">
        <f t="shared" si="246"/>
        <v>-</v>
      </c>
      <c r="BI555" s="265" t="str">
        <f t="shared" si="245"/>
        <v>-</v>
      </c>
      <c r="BJ555" s="26" t="str">
        <f t="shared" si="229"/>
        <v>SNUG BASIN CREEKSockeye</v>
      </c>
      <c r="BK555" s="26">
        <f t="shared" si="230"/>
        <v>0</v>
      </c>
      <c r="BL555" s="33">
        <f t="shared" si="248"/>
        <v>0</v>
      </c>
      <c r="BQ555" s="47" t="str">
        <f t="shared" si="231"/>
        <v>SNUG BASIN CREEKSockeye</v>
      </c>
      <c r="BR555" s="49">
        <f t="shared" si="232"/>
        <v>0</v>
      </c>
      <c r="BS555" s="49">
        <f t="shared" si="233"/>
        <v>0</v>
      </c>
      <c r="BT555" s="31">
        <v>0</v>
      </c>
      <c r="BU555" s="188">
        <f t="shared" si="234"/>
        <v>0</v>
      </c>
      <c r="BV555" s="188" t="str">
        <f t="shared" si="235"/>
        <v xml:space="preserve"> </v>
      </c>
      <c r="BW555" s="188" t="str">
        <f t="shared" si="236"/>
        <v xml:space="preserve"> </v>
      </c>
      <c r="BX555" s="188" t="str">
        <f t="shared" si="237"/>
        <v xml:space="preserve"> </v>
      </c>
      <c r="BY555" s="50" t="str">
        <f t="shared" si="244"/>
        <v>SNUG BASIN CREEK_Sockeye</v>
      </c>
      <c r="BZ555" s="50" t="str">
        <f>IFERROR(VLOOKUP(BY555,'[1]WCVI Esc'!$C$5:$W$555,18,FALSE),"-")</f>
        <v>-</v>
      </c>
      <c r="CA555" s="50" t="str">
        <f t="shared" si="238"/>
        <v>-</v>
      </c>
      <c r="CB555" s="50" t="str">
        <f>IFERROR(VLOOKUP(BY555,'[1]WCVI Esc'!$C$5:$W$555,19,FALSE),"-")</f>
        <v>-</v>
      </c>
      <c r="CC555" s="50" t="str">
        <f t="shared" si="239"/>
        <v>-</v>
      </c>
      <c r="CE555" s="342" t="str">
        <f t="shared" si="224"/>
        <v>SNUG BASIN CREEK_Sockeye</v>
      </c>
      <c r="CF555" s="341" t="str">
        <f>IFERROR(VLOOKUP(BY555,'RawPL+D'!$O$8:$AB$503,12,FALSE),"-")</f>
        <v>-</v>
      </c>
      <c r="CG555" s="338" t="str">
        <f t="shared" si="240"/>
        <v>-</v>
      </c>
      <c r="CH555" s="341" t="str">
        <f>IFERROR(VLOOKUP(BY555,'RawPL+D'!$O$8:$AB$503,13,FALSE),"-")</f>
        <v>-</v>
      </c>
      <c r="CI555" s="338" t="str">
        <f t="shared" si="241"/>
        <v>-</v>
      </c>
    </row>
    <row r="556" spans="1:87" ht="12.75" hidden="1" customHeight="1" x14ac:dyDescent="0.2">
      <c r="A556" s="28">
        <v>4</v>
      </c>
      <c r="B556" s="28">
        <v>2</v>
      </c>
      <c r="C556" s="11">
        <v>23</v>
      </c>
      <c r="D556" s="148" t="s">
        <v>294</v>
      </c>
      <c r="E556" s="10" t="s">
        <v>104</v>
      </c>
      <c r="F556" s="10" t="s">
        <v>219</v>
      </c>
      <c r="G556" s="10"/>
      <c r="H556" s="10"/>
      <c r="I556" s="10"/>
      <c r="J556" s="10"/>
      <c r="K556" s="575"/>
      <c r="L556" s="152"/>
      <c r="M556" s="164"/>
      <c r="N556" s="62"/>
      <c r="O556" s="62"/>
      <c r="P556" s="177"/>
      <c r="Q556" s="171"/>
      <c r="R556" s="62"/>
      <c r="S556" s="62"/>
      <c r="T556" s="63"/>
      <c r="U556" s="64"/>
      <c r="V556" s="164"/>
      <c r="W556" s="62"/>
      <c r="X556" s="62"/>
      <c r="Y556" s="63"/>
      <c r="Z556" s="64"/>
      <c r="AA556" s="164"/>
      <c r="AB556" s="62"/>
      <c r="AC556" s="62"/>
      <c r="AD556" s="64"/>
      <c r="AE556" s="164"/>
      <c r="AF556" s="62"/>
      <c r="AG556" s="62"/>
      <c r="AH556" s="337"/>
      <c r="AI556" s="337"/>
      <c r="AJ556" s="337"/>
      <c r="AK556" s="337"/>
      <c r="AL556" s="414"/>
      <c r="AM556" s="414"/>
      <c r="AN556" s="45"/>
      <c r="AO556" s="45"/>
      <c r="AP556" s="45"/>
      <c r="AQ556" s="485"/>
      <c r="AR556" s="100"/>
      <c r="AS556" s="485"/>
      <c r="AT556" s="24"/>
      <c r="AU556" s="24"/>
      <c r="AV556" s="24"/>
      <c r="AW556" s="18">
        <v>23</v>
      </c>
      <c r="AX556" s="69" t="s">
        <v>294</v>
      </c>
      <c r="AY556" s="243" t="s">
        <v>104</v>
      </c>
      <c r="AZ556" s="243" t="str">
        <f t="shared" si="225"/>
        <v>Coho</v>
      </c>
      <c r="BA556" s="243" t="s">
        <v>419</v>
      </c>
      <c r="BB556" s="246"/>
      <c r="BC556" s="43" t="str">
        <f t="shared" si="226"/>
        <v>-</v>
      </c>
      <c r="BD556" s="43">
        <f t="shared" si="247"/>
        <v>0</v>
      </c>
      <c r="BE556" s="193">
        <f t="shared" si="243"/>
        <v>0</v>
      </c>
      <c r="BF556" s="193">
        <f t="shared" si="227"/>
        <v>0</v>
      </c>
      <c r="BG556" s="193">
        <f t="shared" si="228"/>
        <v>0</v>
      </c>
      <c r="BH556" s="307">
        <f t="shared" si="246"/>
        <v>0</v>
      </c>
      <c r="BI556" s="265" t="str">
        <f t="shared" si="245"/>
        <v>-</v>
      </c>
      <c r="BJ556" s="26" t="str">
        <f t="shared" si="229"/>
        <v>SNUG BASIN CREEKCoho</v>
      </c>
      <c r="BK556" s="26">
        <f t="shared" si="230"/>
        <v>0</v>
      </c>
      <c r="BL556" s="33">
        <f t="shared" si="248"/>
        <v>0</v>
      </c>
      <c r="BQ556" s="47" t="str">
        <f t="shared" si="231"/>
        <v>SNUG BASIN CREEKCoho</v>
      </c>
      <c r="BR556" s="49">
        <f t="shared" si="232"/>
        <v>0</v>
      </c>
      <c r="BS556" s="49">
        <f t="shared" si="233"/>
        <v>0</v>
      </c>
      <c r="BT556" s="31">
        <v>2004</v>
      </c>
      <c r="BU556" s="188">
        <f t="shared" si="234"/>
        <v>0</v>
      </c>
      <c r="BV556" s="188" t="str">
        <f t="shared" si="235"/>
        <v xml:space="preserve"> </v>
      </c>
      <c r="BW556" s="188" t="str">
        <f t="shared" si="236"/>
        <v xml:space="preserve"> </v>
      </c>
      <c r="BX556" s="188" t="str">
        <f t="shared" si="237"/>
        <v xml:space="preserve"> </v>
      </c>
      <c r="BY556" s="50" t="str">
        <f t="shared" si="244"/>
        <v>SNUG BASIN CREEK_Coho</v>
      </c>
      <c r="BZ556" s="50" t="str">
        <f>IFERROR(VLOOKUP(BY556,'[1]WCVI Esc'!$C$5:$W$555,18,FALSE),"-")</f>
        <v>-</v>
      </c>
      <c r="CA556" s="50" t="str">
        <f t="shared" si="238"/>
        <v>-</v>
      </c>
      <c r="CB556" s="50" t="str">
        <f>IFERROR(VLOOKUP(BY556,'[1]WCVI Esc'!$C$5:$W$555,19,FALSE),"-")</f>
        <v>-</v>
      </c>
      <c r="CC556" s="50" t="str">
        <f t="shared" si="239"/>
        <v>-</v>
      </c>
      <c r="CE556" s="342" t="str">
        <f t="shared" si="224"/>
        <v>SNUG BASIN CREEK_Coho</v>
      </c>
      <c r="CF556" s="341">
        <f>IFERROR(VLOOKUP(BY556,'RawPL+D'!$O$8:$AB$503,12,FALSE),"-")</f>
        <v>0</v>
      </c>
      <c r="CG556" s="338">
        <f t="shared" si="240"/>
        <v>0</v>
      </c>
      <c r="CH556" s="341">
        <f>IFERROR(VLOOKUP(BY556,'RawPL+D'!$O$8:$AB$503,13,FALSE),"-")</f>
        <v>0</v>
      </c>
      <c r="CI556" s="338">
        <f t="shared" si="241"/>
        <v>0</v>
      </c>
    </row>
    <row r="557" spans="1:87" ht="12.75" hidden="1" customHeight="1" x14ac:dyDescent="0.2">
      <c r="A557" s="28">
        <v>4</v>
      </c>
      <c r="B557" s="28">
        <v>3</v>
      </c>
      <c r="C557" s="11">
        <v>23</v>
      </c>
      <c r="D557" s="148" t="s">
        <v>294</v>
      </c>
      <c r="E557" s="10" t="s">
        <v>104</v>
      </c>
      <c r="F557" s="10" t="s">
        <v>208</v>
      </c>
      <c r="G557" s="10"/>
      <c r="H557" s="10"/>
      <c r="I557" s="10"/>
      <c r="J557" s="10"/>
      <c r="K557" s="575"/>
      <c r="L557" s="152"/>
      <c r="M557" s="164"/>
      <c r="N557" s="62"/>
      <c r="O557" s="62"/>
      <c r="P557" s="177"/>
      <c r="Q557" s="171"/>
      <c r="R557" s="62"/>
      <c r="S557" s="62"/>
      <c r="T557" s="63"/>
      <c r="U557" s="64"/>
      <c r="V557" s="164"/>
      <c r="W557" s="62"/>
      <c r="X557" s="62"/>
      <c r="Y557" s="63"/>
      <c r="Z557" s="64"/>
      <c r="AA557" s="164"/>
      <c r="AB557" s="62"/>
      <c r="AC557" s="62"/>
      <c r="AD557" s="64"/>
      <c r="AE557" s="164"/>
      <c r="AF557" s="62"/>
      <c r="AG557" s="62"/>
      <c r="AH557" s="337"/>
      <c r="AI557" s="337"/>
      <c r="AJ557" s="337"/>
      <c r="AK557" s="337"/>
      <c r="AL557" s="414"/>
      <c r="AM557" s="414"/>
      <c r="AN557" s="45"/>
      <c r="AO557" s="45"/>
      <c r="AP557" s="45"/>
      <c r="AQ557" s="485"/>
      <c r="AR557" s="100"/>
      <c r="AS557" s="485"/>
      <c r="AT557" s="24"/>
      <c r="AU557" s="24"/>
      <c r="AV557" s="24"/>
      <c r="AW557" s="18">
        <v>23</v>
      </c>
      <c r="AX557" s="69" t="s">
        <v>294</v>
      </c>
      <c r="AY557" s="243" t="s">
        <v>104</v>
      </c>
      <c r="AZ557" s="243" t="str">
        <f t="shared" si="225"/>
        <v>Pink</v>
      </c>
      <c r="BA557" s="243" t="s">
        <v>419</v>
      </c>
      <c r="BB557" s="246"/>
      <c r="BC557" s="43" t="str">
        <f t="shared" si="226"/>
        <v>-</v>
      </c>
      <c r="BD557" s="43">
        <f t="shared" si="247"/>
        <v>0</v>
      </c>
      <c r="BE557" s="193">
        <f t="shared" si="243"/>
        <v>0</v>
      </c>
      <c r="BF557" s="193">
        <f t="shared" si="227"/>
        <v>0</v>
      </c>
      <c r="BG557" s="193">
        <f t="shared" si="228"/>
        <v>0</v>
      </c>
      <c r="BH557" s="307" t="str">
        <f t="shared" si="246"/>
        <v>-</v>
      </c>
      <c r="BI557" s="265" t="str">
        <f t="shared" si="245"/>
        <v>-</v>
      </c>
      <c r="BJ557" s="26" t="str">
        <f t="shared" si="229"/>
        <v>SNUG BASIN CREEKPink</v>
      </c>
      <c r="BK557" s="26">
        <f t="shared" si="230"/>
        <v>0</v>
      </c>
      <c r="BL557" s="33">
        <f t="shared" si="248"/>
        <v>0</v>
      </c>
      <c r="BQ557" s="47" t="str">
        <f t="shared" si="231"/>
        <v>SNUG BASIN CREEKPink</v>
      </c>
      <c r="BR557" s="49">
        <f t="shared" si="232"/>
        <v>0</v>
      </c>
      <c r="BS557" s="49">
        <f t="shared" si="233"/>
        <v>0</v>
      </c>
      <c r="BT557" s="31">
        <v>0</v>
      </c>
      <c r="BU557" s="188">
        <f t="shared" si="234"/>
        <v>0</v>
      </c>
      <c r="BV557" s="188" t="str">
        <f t="shared" si="235"/>
        <v xml:space="preserve"> </v>
      </c>
      <c r="BW557" s="188" t="str">
        <f t="shared" si="236"/>
        <v xml:space="preserve"> </v>
      </c>
      <c r="BX557" s="188" t="str">
        <f t="shared" si="237"/>
        <v xml:space="preserve"> </v>
      </c>
      <c r="BY557" s="50" t="str">
        <f t="shared" si="244"/>
        <v>SNUG BASIN CREEK_Pink</v>
      </c>
      <c r="BZ557" s="50" t="str">
        <f>IFERROR(VLOOKUP(BY557,'[1]WCVI Esc'!$C$5:$W$555,18,FALSE),"-")</f>
        <v>-</v>
      </c>
      <c r="CA557" s="50" t="str">
        <f t="shared" si="238"/>
        <v>-</v>
      </c>
      <c r="CB557" s="50" t="str">
        <f>IFERROR(VLOOKUP(BY557,'[1]WCVI Esc'!$C$5:$W$555,19,FALSE),"-")</f>
        <v>-</v>
      </c>
      <c r="CC557" s="50" t="str">
        <f t="shared" si="239"/>
        <v>-</v>
      </c>
      <c r="CE557" s="342" t="str">
        <f t="shared" si="224"/>
        <v>SNUG BASIN CREEK_Pink</v>
      </c>
      <c r="CF557" s="341" t="str">
        <f>IFERROR(VLOOKUP(BY557,'RawPL+D'!$O$8:$AB$503,12,FALSE),"-")</f>
        <v>-</v>
      </c>
      <c r="CG557" s="338" t="str">
        <f t="shared" si="240"/>
        <v>-</v>
      </c>
      <c r="CH557" s="341" t="str">
        <f>IFERROR(VLOOKUP(BY557,'RawPL+D'!$O$8:$AB$503,13,FALSE),"-")</f>
        <v>-</v>
      </c>
      <c r="CI557" s="338" t="str">
        <f t="shared" si="241"/>
        <v>-</v>
      </c>
    </row>
    <row r="558" spans="1:87" ht="12.75" hidden="1" customHeight="1" x14ac:dyDescent="0.2">
      <c r="A558" s="28">
        <v>4</v>
      </c>
      <c r="B558" s="28">
        <v>4</v>
      </c>
      <c r="C558" s="11">
        <v>23</v>
      </c>
      <c r="D558" s="148" t="s">
        <v>294</v>
      </c>
      <c r="E558" s="10" t="s">
        <v>104</v>
      </c>
      <c r="F558" s="10" t="s">
        <v>209</v>
      </c>
      <c r="G558" s="10"/>
      <c r="H558" s="10"/>
      <c r="I558" s="10"/>
      <c r="J558" s="10"/>
      <c r="K558" s="575"/>
      <c r="L558" s="152"/>
      <c r="M558" s="164"/>
      <c r="N558" s="62"/>
      <c r="O558" s="62"/>
      <c r="P558" s="177"/>
      <c r="Q558" s="171"/>
      <c r="R558" s="62"/>
      <c r="S558" s="62"/>
      <c r="T558" s="63"/>
      <c r="U558" s="64"/>
      <c r="V558" s="164"/>
      <c r="W558" s="62"/>
      <c r="X558" s="62"/>
      <c r="Y558" s="63"/>
      <c r="Z558" s="64"/>
      <c r="AA558" s="164"/>
      <c r="AB558" s="62"/>
      <c r="AC558" s="62"/>
      <c r="AD558" s="64"/>
      <c r="AE558" s="164"/>
      <c r="AF558" s="62"/>
      <c r="AG558" s="62"/>
      <c r="AH558" s="337"/>
      <c r="AI558" s="337"/>
      <c r="AJ558" s="337"/>
      <c r="AK558" s="337"/>
      <c r="AL558" s="414"/>
      <c r="AM558" s="414"/>
      <c r="AN558" s="45"/>
      <c r="AO558" s="45"/>
      <c r="AP558" s="45"/>
      <c r="AQ558" s="485"/>
      <c r="AR558" s="100"/>
      <c r="AS558" s="485"/>
      <c r="AT558" s="24"/>
      <c r="AU558" s="24"/>
      <c r="AV558" s="24"/>
      <c r="AW558" s="18">
        <v>23</v>
      </c>
      <c r="AX558" s="69" t="s">
        <v>294</v>
      </c>
      <c r="AY558" s="243" t="s">
        <v>104</v>
      </c>
      <c r="AZ558" s="243" t="str">
        <f t="shared" si="225"/>
        <v>Chum</v>
      </c>
      <c r="BA558" s="243" t="s">
        <v>419</v>
      </c>
      <c r="BB558" s="246"/>
      <c r="BC558" s="43" t="str">
        <f t="shared" si="226"/>
        <v>-</v>
      </c>
      <c r="BD558" s="43">
        <f t="shared" si="247"/>
        <v>0</v>
      </c>
      <c r="BE558" s="193">
        <f t="shared" si="243"/>
        <v>0</v>
      </c>
      <c r="BF558" s="193">
        <f t="shared" si="227"/>
        <v>0</v>
      </c>
      <c r="BG558" s="193">
        <f t="shared" si="228"/>
        <v>0</v>
      </c>
      <c r="BH558" s="307">
        <f t="shared" si="246"/>
        <v>0</v>
      </c>
      <c r="BI558" s="265" t="str">
        <f t="shared" si="245"/>
        <v>-</v>
      </c>
      <c r="BJ558" s="26" t="str">
        <f t="shared" si="229"/>
        <v>SNUG BASIN CREEKChum</v>
      </c>
      <c r="BK558" s="26">
        <f t="shared" si="230"/>
        <v>0</v>
      </c>
      <c r="BL558" s="33">
        <f t="shared" si="248"/>
        <v>0</v>
      </c>
      <c r="BQ558" s="47" t="str">
        <f t="shared" si="231"/>
        <v>SNUG BASIN CREEKChum</v>
      </c>
      <c r="BR558" s="49">
        <f t="shared" si="232"/>
        <v>0</v>
      </c>
      <c r="BS558" s="49">
        <f t="shared" si="233"/>
        <v>0</v>
      </c>
      <c r="BT558" s="31">
        <v>2004</v>
      </c>
      <c r="BU558" s="188">
        <f t="shared" si="234"/>
        <v>0</v>
      </c>
      <c r="BV558" s="188" t="str">
        <f t="shared" si="235"/>
        <v xml:space="preserve"> </v>
      </c>
      <c r="BW558" s="188" t="str">
        <f t="shared" si="236"/>
        <v xml:space="preserve"> </v>
      </c>
      <c r="BX558" s="188" t="str">
        <f t="shared" si="237"/>
        <v xml:space="preserve"> </v>
      </c>
      <c r="BY558" s="50" t="str">
        <f t="shared" si="244"/>
        <v>SNUG BASIN CREEK_Chum</v>
      </c>
      <c r="BZ558" s="50" t="str">
        <f>IFERROR(VLOOKUP(BY558,'[1]WCVI Esc'!$C$5:$W$555,18,FALSE),"-")</f>
        <v>-</v>
      </c>
      <c r="CA558" s="50" t="str">
        <f t="shared" si="238"/>
        <v>-</v>
      </c>
      <c r="CB558" s="50" t="str">
        <f>IFERROR(VLOOKUP(BY558,'[1]WCVI Esc'!$C$5:$W$555,19,FALSE),"-")</f>
        <v>-</v>
      </c>
      <c r="CC558" s="50" t="str">
        <f t="shared" si="239"/>
        <v>-</v>
      </c>
      <c r="CE558" s="342" t="str">
        <f t="shared" si="224"/>
        <v>SNUG BASIN CREEK_Chum</v>
      </c>
      <c r="CF558" s="341">
        <f>IFERROR(VLOOKUP(BY558,'RawPL+D'!$O$8:$AB$503,12,FALSE),"-")</f>
        <v>0</v>
      </c>
      <c r="CG558" s="338">
        <f t="shared" si="240"/>
        <v>0</v>
      </c>
      <c r="CH558" s="341">
        <f>IFERROR(VLOOKUP(BY558,'RawPL+D'!$O$8:$AB$503,13,FALSE),"-")</f>
        <v>0</v>
      </c>
      <c r="CI558" s="338">
        <f t="shared" si="241"/>
        <v>0</v>
      </c>
    </row>
    <row r="559" spans="1:87" ht="12.75" hidden="1" customHeight="1" x14ac:dyDescent="0.2">
      <c r="A559" s="28">
        <v>4</v>
      </c>
      <c r="B559" s="28">
        <v>5</v>
      </c>
      <c r="C559" s="11">
        <v>23</v>
      </c>
      <c r="D559" s="148" t="s">
        <v>294</v>
      </c>
      <c r="E559" s="10" t="s">
        <v>104</v>
      </c>
      <c r="F559" s="10" t="s">
        <v>210</v>
      </c>
      <c r="G559" s="10"/>
      <c r="H559" s="10"/>
      <c r="I559" s="10"/>
      <c r="J559" s="10"/>
      <c r="K559" s="575"/>
      <c r="L559" s="152"/>
      <c r="M559" s="164"/>
      <c r="N559" s="62"/>
      <c r="O559" s="62"/>
      <c r="P559" s="177"/>
      <c r="Q559" s="171"/>
      <c r="R559" s="62"/>
      <c r="S559" s="62"/>
      <c r="T559" s="63"/>
      <c r="U559" s="64"/>
      <c r="V559" s="164"/>
      <c r="W559" s="62"/>
      <c r="X559" s="62"/>
      <c r="Y559" s="63"/>
      <c r="Z559" s="64"/>
      <c r="AA559" s="164"/>
      <c r="AB559" s="62"/>
      <c r="AC559" s="62"/>
      <c r="AD559" s="64"/>
      <c r="AE559" s="164"/>
      <c r="AF559" s="62"/>
      <c r="AG559" s="62"/>
      <c r="AH559" s="337"/>
      <c r="AI559" s="337"/>
      <c r="AJ559" s="337"/>
      <c r="AK559" s="337"/>
      <c r="AL559" s="414"/>
      <c r="AM559" s="414"/>
      <c r="AN559" s="45"/>
      <c r="AO559" s="45"/>
      <c r="AP559" s="45"/>
      <c r="AQ559" s="485"/>
      <c r="AR559" s="100"/>
      <c r="AS559" s="485"/>
      <c r="AT559" s="24"/>
      <c r="AU559" s="24"/>
      <c r="AV559" s="24"/>
      <c r="AW559" s="18">
        <v>23</v>
      </c>
      <c r="AX559" s="69" t="s">
        <v>294</v>
      </c>
      <c r="AY559" s="243" t="s">
        <v>104</v>
      </c>
      <c r="AZ559" s="243" t="str">
        <f t="shared" si="225"/>
        <v>Chinook</v>
      </c>
      <c r="BA559" s="243" t="s">
        <v>419</v>
      </c>
      <c r="BB559" s="246"/>
      <c r="BC559" s="43" t="str">
        <f t="shared" si="226"/>
        <v>-</v>
      </c>
      <c r="BD559" s="43">
        <f t="shared" si="247"/>
        <v>0</v>
      </c>
      <c r="BE559" s="193">
        <f t="shared" si="243"/>
        <v>0</v>
      </c>
      <c r="BF559" s="193">
        <f t="shared" si="227"/>
        <v>0</v>
      </c>
      <c r="BG559" s="193">
        <f t="shared" si="228"/>
        <v>0</v>
      </c>
      <c r="BH559" s="307" t="str">
        <f t="shared" si="246"/>
        <v>-</v>
      </c>
      <c r="BI559" s="265" t="str">
        <f t="shared" si="245"/>
        <v>-</v>
      </c>
      <c r="BJ559" s="26" t="str">
        <f t="shared" si="229"/>
        <v>SNUG BASIN CREEKChinook</v>
      </c>
      <c r="BK559" s="26">
        <f t="shared" si="230"/>
        <v>0</v>
      </c>
      <c r="BL559" s="33">
        <f t="shared" si="248"/>
        <v>0</v>
      </c>
      <c r="BQ559" s="47" t="str">
        <f t="shared" si="231"/>
        <v>SNUG BASIN CREEKChinook</v>
      </c>
      <c r="BR559" s="49">
        <f t="shared" si="232"/>
        <v>0</v>
      </c>
      <c r="BS559" s="49">
        <f t="shared" si="233"/>
        <v>0</v>
      </c>
      <c r="BT559" s="31">
        <v>0</v>
      </c>
      <c r="BU559" s="188">
        <f t="shared" si="234"/>
        <v>0</v>
      </c>
      <c r="BV559" s="188" t="str">
        <f t="shared" si="235"/>
        <v xml:space="preserve"> </v>
      </c>
      <c r="BW559" s="188" t="str">
        <f t="shared" si="236"/>
        <v xml:space="preserve"> </v>
      </c>
      <c r="BX559" s="188" t="str">
        <f t="shared" si="237"/>
        <v xml:space="preserve"> </v>
      </c>
      <c r="BY559" s="50" t="str">
        <f t="shared" si="244"/>
        <v>SNUG BASIN CREEK_Chinook</v>
      </c>
      <c r="BZ559" s="50" t="str">
        <f>IFERROR(VLOOKUP(BY559,'[1]WCVI Esc'!$C$5:$W$555,18,FALSE),"-")</f>
        <v>-</v>
      </c>
      <c r="CA559" s="50" t="str">
        <f t="shared" si="238"/>
        <v>-</v>
      </c>
      <c r="CB559" s="50" t="str">
        <f>IFERROR(VLOOKUP(BY559,'[1]WCVI Esc'!$C$5:$W$555,19,FALSE),"-")</f>
        <v>-</v>
      </c>
      <c r="CC559" s="50" t="str">
        <f t="shared" si="239"/>
        <v>-</v>
      </c>
      <c r="CE559" s="342" t="str">
        <f t="shared" si="224"/>
        <v>SNUG BASIN CREEK_Chinook</v>
      </c>
      <c r="CF559" s="341" t="str">
        <f>IFERROR(VLOOKUP(BY559,'RawPL+D'!$O$8:$AB$503,12,FALSE),"-")</f>
        <v>-</v>
      </c>
      <c r="CG559" s="338" t="str">
        <f t="shared" si="240"/>
        <v>-</v>
      </c>
      <c r="CH559" s="341" t="str">
        <f>IFERROR(VLOOKUP(BY559,'RawPL+D'!$O$8:$AB$503,13,FALSE),"-")</f>
        <v>-</v>
      </c>
      <c r="CI559" s="338" t="str">
        <f t="shared" si="241"/>
        <v>-</v>
      </c>
    </row>
    <row r="560" spans="1:87" ht="12.75" hidden="1" customHeight="1" x14ac:dyDescent="0.2">
      <c r="A560" s="28">
        <v>4</v>
      </c>
      <c r="B560" s="28">
        <v>6</v>
      </c>
      <c r="C560" s="11">
        <v>23</v>
      </c>
      <c r="D560" s="148" t="s">
        <v>294</v>
      </c>
      <c r="E560" s="10" t="s">
        <v>104</v>
      </c>
      <c r="F560" s="10" t="s">
        <v>211</v>
      </c>
      <c r="G560" s="10"/>
      <c r="H560" s="10"/>
      <c r="I560" s="10"/>
      <c r="J560" s="10"/>
      <c r="K560" s="575"/>
      <c r="L560" s="152"/>
      <c r="M560" s="164"/>
      <c r="N560" s="62"/>
      <c r="O560" s="62"/>
      <c r="P560" s="177"/>
      <c r="Q560" s="171"/>
      <c r="R560" s="62"/>
      <c r="S560" s="62"/>
      <c r="T560" s="63"/>
      <c r="U560" s="64"/>
      <c r="V560" s="164"/>
      <c r="W560" s="62"/>
      <c r="X560" s="62"/>
      <c r="Y560" s="63"/>
      <c r="Z560" s="64"/>
      <c r="AA560" s="164"/>
      <c r="AB560" s="62"/>
      <c r="AC560" s="62"/>
      <c r="AD560" s="64"/>
      <c r="AE560" s="164"/>
      <c r="AF560" s="62"/>
      <c r="AG560" s="62"/>
      <c r="AH560" s="337"/>
      <c r="AI560" s="337"/>
      <c r="AJ560" s="337"/>
      <c r="AK560" s="337"/>
      <c r="AL560" s="414"/>
      <c r="AM560" s="414"/>
      <c r="AN560" s="45"/>
      <c r="AO560" s="45"/>
      <c r="AP560" s="45"/>
      <c r="AQ560" s="485"/>
      <c r="AR560" s="100"/>
      <c r="AS560" s="485"/>
      <c r="AT560" s="24"/>
      <c r="AU560" s="24"/>
      <c r="AV560" s="24"/>
      <c r="AW560" s="18">
        <v>23</v>
      </c>
      <c r="AX560" s="69" t="s">
        <v>294</v>
      </c>
      <c r="AY560" s="243" t="s">
        <v>104</v>
      </c>
      <c r="AZ560" s="243" t="str">
        <f t="shared" si="225"/>
        <v>Steelhead</v>
      </c>
      <c r="BA560" s="243" t="s">
        <v>419</v>
      </c>
      <c r="BB560" s="246"/>
      <c r="BC560" s="43" t="str">
        <f t="shared" si="226"/>
        <v>-</v>
      </c>
      <c r="BD560" s="43">
        <f t="shared" si="247"/>
        <v>0</v>
      </c>
      <c r="BE560" s="193">
        <f t="shared" si="243"/>
        <v>0</v>
      </c>
      <c r="BF560" s="193">
        <f t="shared" si="227"/>
        <v>0</v>
      </c>
      <c r="BG560" s="193">
        <f t="shared" si="228"/>
        <v>0</v>
      </c>
      <c r="BH560" s="307" t="str">
        <f t="shared" si="246"/>
        <v>-</v>
      </c>
      <c r="BI560" s="265" t="str">
        <f t="shared" si="245"/>
        <v>-</v>
      </c>
      <c r="BJ560" s="26" t="str">
        <f t="shared" si="229"/>
        <v>SNUG BASIN CREEKSteelhead</v>
      </c>
      <c r="BK560" s="26">
        <f t="shared" si="230"/>
        <v>0</v>
      </c>
      <c r="BL560" s="33">
        <f t="shared" si="248"/>
        <v>0</v>
      </c>
      <c r="BQ560" s="47" t="str">
        <f t="shared" si="231"/>
        <v>SNUG BASIN CREEKSteelhead</v>
      </c>
      <c r="BR560" s="49">
        <f t="shared" si="232"/>
        <v>0</v>
      </c>
      <c r="BS560" s="49">
        <f t="shared" si="233"/>
        <v>0</v>
      </c>
      <c r="BT560" s="31">
        <v>0</v>
      </c>
      <c r="BU560" s="188">
        <f t="shared" si="234"/>
        <v>0</v>
      </c>
      <c r="BV560" s="188" t="str">
        <f t="shared" si="235"/>
        <v xml:space="preserve"> </v>
      </c>
      <c r="BW560" s="188" t="str">
        <f t="shared" si="236"/>
        <v xml:space="preserve"> </v>
      </c>
      <c r="BX560" s="188" t="str">
        <f t="shared" si="237"/>
        <v xml:space="preserve"> </v>
      </c>
      <c r="BY560" s="50" t="str">
        <f t="shared" si="244"/>
        <v>SNUG BASIN CREEK_Steelhead</v>
      </c>
      <c r="BZ560" s="50" t="str">
        <f>IFERROR(VLOOKUP(BY560,'[1]WCVI Esc'!$C$5:$W$555,18,FALSE),"-")</f>
        <v>-</v>
      </c>
      <c r="CA560" s="50" t="str">
        <f t="shared" si="238"/>
        <v>-</v>
      </c>
      <c r="CB560" s="50" t="str">
        <f>IFERROR(VLOOKUP(BY560,'[1]WCVI Esc'!$C$5:$W$555,19,FALSE),"-")</f>
        <v>-</v>
      </c>
      <c r="CC560" s="50" t="str">
        <f t="shared" si="239"/>
        <v>-</v>
      </c>
      <c r="CE560" s="342" t="str">
        <f t="shared" si="224"/>
        <v>SNUG BASIN CREEK_Steelhead</v>
      </c>
      <c r="CF560" s="341" t="str">
        <f>IFERROR(VLOOKUP(BY560,'RawPL+D'!$O$8:$AB$503,12,FALSE),"-")</f>
        <v>-</v>
      </c>
      <c r="CG560" s="338" t="str">
        <f t="shared" si="240"/>
        <v>-</v>
      </c>
      <c r="CH560" s="341" t="str">
        <f>IFERROR(VLOOKUP(BY560,'RawPL+D'!$O$8:$AB$503,13,FALSE),"-")</f>
        <v>-</v>
      </c>
      <c r="CI560" s="338" t="str">
        <f t="shared" si="241"/>
        <v>-</v>
      </c>
    </row>
    <row r="561" spans="1:87" ht="12.75" hidden="1" customHeight="1" x14ac:dyDescent="0.2">
      <c r="A561" s="28">
        <v>4</v>
      </c>
      <c r="B561" s="28">
        <v>1</v>
      </c>
      <c r="C561" s="11">
        <v>23</v>
      </c>
      <c r="D561" s="148" t="s">
        <v>294</v>
      </c>
      <c r="E561" s="10" t="s">
        <v>110</v>
      </c>
      <c r="F561" s="10" t="s">
        <v>207</v>
      </c>
      <c r="G561" s="10"/>
      <c r="H561" s="10"/>
      <c r="I561" s="10"/>
      <c r="J561" s="10"/>
      <c r="K561" s="575"/>
      <c r="L561" s="152"/>
      <c r="M561" s="164"/>
      <c r="N561" s="62"/>
      <c r="O561" s="62"/>
      <c r="P561" s="177"/>
      <c r="Q561" s="171"/>
      <c r="R561" s="62"/>
      <c r="S561" s="62"/>
      <c r="T561" s="62"/>
      <c r="U561" s="64"/>
      <c r="V561" s="164"/>
      <c r="W561" s="62"/>
      <c r="X561" s="62"/>
      <c r="Y561" s="62"/>
      <c r="Z561" s="64"/>
      <c r="AA561" s="164"/>
      <c r="AB561" s="62"/>
      <c r="AC561" s="62"/>
      <c r="AD561" s="64"/>
      <c r="AE561" s="164"/>
      <c r="AF561" s="62"/>
      <c r="AG561" s="62"/>
      <c r="AH561" s="337"/>
      <c r="AI561" s="337"/>
      <c r="AJ561" s="337"/>
      <c r="AK561" s="337"/>
      <c r="AL561" s="552"/>
      <c r="AM561" s="552"/>
      <c r="AN561" s="45"/>
      <c r="AO561" s="45"/>
      <c r="AP561" s="45"/>
      <c r="AQ561" s="485"/>
      <c r="AR561" s="100"/>
      <c r="AS561" s="485"/>
      <c r="AT561" s="24"/>
      <c r="AU561" s="24"/>
      <c r="AV561" s="24"/>
      <c r="AW561" s="18">
        <v>23</v>
      </c>
      <c r="AX561" s="69" t="s">
        <v>294</v>
      </c>
      <c r="AY561" s="243" t="s">
        <v>110</v>
      </c>
      <c r="AZ561" s="243" t="str">
        <f t="shared" si="225"/>
        <v>Sockeye</v>
      </c>
      <c r="BA561" s="243" t="s">
        <v>419</v>
      </c>
      <c r="BB561" s="244" t="s">
        <v>290</v>
      </c>
      <c r="BC561" s="43" t="str">
        <f t="shared" si="226"/>
        <v>-</v>
      </c>
      <c r="BD561" s="43">
        <f t="shared" si="247"/>
        <v>0</v>
      </c>
      <c r="BE561" s="193">
        <f t="shared" si="243"/>
        <v>0</v>
      </c>
      <c r="BF561" s="193">
        <f t="shared" si="227"/>
        <v>0</v>
      </c>
      <c r="BG561" s="193">
        <f t="shared" si="228"/>
        <v>0</v>
      </c>
      <c r="BH561" s="307" t="str">
        <f t="shared" si="246"/>
        <v>-</v>
      </c>
      <c r="BI561" s="265" t="str">
        <f t="shared" si="245"/>
        <v>-</v>
      </c>
      <c r="BJ561" s="26" t="str">
        <f t="shared" si="229"/>
        <v>UCHUCK CREEKSockeye</v>
      </c>
      <c r="BK561" s="26">
        <f t="shared" si="230"/>
        <v>0</v>
      </c>
      <c r="BL561" s="33">
        <f t="shared" si="248"/>
        <v>0</v>
      </c>
      <c r="BQ561" s="47" t="str">
        <f t="shared" si="231"/>
        <v>UCHUCK CREEKSockeye</v>
      </c>
      <c r="BR561" s="49">
        <f t="shared" si="232"/>
        <v>0</v>
      </c>
      <c r="BS561" s="49">
        <f t="shared" si="233"/>
        <v>0</v>
      </c>
      <c r="BT561" s="31">
        <v>0</v>
      </c>
      <c r="BU561" s="188" t="str">
        <f t="shared" si="234"/>
        <v>NTC</v>
      </c>
      <c r="BV561" s="188" t="str">
        <f t="shared" si="235"/>
        <v xml:space="preserve"> </v>
      </c>
      <c r="BW561" s="188" t="str">
        <f t="shared" si="236"/>
        <v xml:space="preserve"> </v>
      </c>
      <c r="BX561" s="188" t="str">
        <f t="shared" si="237"/>
        <v xml:space="preserve"> </v>
      </c>
      <c r="BY561" s="50" t="str">
        <f t="shared" si="244"/>
        <v>UCHUCK CREEK_Sockeye</v>
      </c>
      <c r="BZ561" s="50" t="str">
        <f>IFERROR(VLOOKUP(BY561,'[1]WCVI Esc'!$C$5:$W$555,18,FALSE),"-")</f>
        <v>-</v>
      </c>
      <c r="CA561" s="50" t="str">
        <f t="shared" si="238"/>
        <v>-</v>
      </c>
      <c r="CB561" s="50" t="str">
        <f>IFERROR(VLOOKUP(BY561,'[1]WCVI Esc'!$C$5:$W$555,19,FALSE),"-")</f>
        <v>-</v>
      </c>
      <c r="CC561" s="50" t="str">
        <f t="shared" si="239"/>
        <v>-</v>
      </c>
      <c r="CE561" s="342" t="str">
        <f t="shared" si="224"/>
        <v>UCHUCK CREEK_Sockeye</v>
      </c>
      <c r="CF561" s="341" t="str">
        <f>IFERROR(VLOOKUP(BY561,'RawPL+D'!$O$8:$AB$503,12,FALSE),"-")</f>
        <v>-</v>
      </c>
      <c r="CG561" s="338" t="str">
        <f t="shared" si="240"/>
        <v>-</v>
      </c>
      <c r="CH561" s="341" t="str">
        <f>IFERROR(VLOOKUP(BY561,'RawPL+D'!$O$8:$AB$503,13,FALSE),"-")</f>
        <v>-</v>
      </c>
      <c r="CI561" s="338" t="str">
        <f t="shared" si="241"/>
        <v>-</v>
      </c>
    </row>
    <row r="562" spans="1:87" ht="12.75" hidden="1" customHeight="1" x14ac:dyDescent="0.2">
      <c r="A562" s="28">
        <v>4</v>
      </c>
      <c r="B562" s="28">
        <v>2</v>
      </c>
      <c r="C562" s="11">
        <v>23</v>
      </c>
      <c r="D562" s="13" t="s">
        <v>294</v>
      </c>
      <c r="E562" s="10" t="s">
        <v>110</v>
      </c>
      <c r="F562" s="10" t="s">
        <v>219</v>
      </c>
      <c r="G562" s="10"/>
      <c r="H562" s="10"/>
      <c r="I562" s="10"/>
      <c r="J562" s="10"/>
      <c r="K562" s="575"/>
      <c r="L562" s="152"/>
      <c r="M562" s="164"/>
      <c r="N562" s="62"/>
      <c r="O562" s="62"/>
      <c r="P562" s="177"/>
      <c r="Q562" s="171"/>
      <c r="R562" s="62"/>
      <c r="S562" s="62"/>
      <c r="T562" s="62"/>
      <c r="U562" s="64"/>
      <c r="V562" s="164"/>
      <c r="W562" s="62"/>
      <c r="X562" s="62"/>
      <c r="Y562" s="62"/>
      <c r="Z562" s="64"/>
      <c r="AA562" s="164"/>
      <c r="AB562" s="62"/>
      <c r="AC562" s="62"/>
      <c r="AD562" s="64"/>
      <c r="AE562" s="164"/>
      <c r="AF562" s="62"/>
      <c r="AG562" s="62"/>
      <c r="AH562" s="337"/>
      <c r="AI562" s="337"/>
      <c r="AJ562" s="337"/>
      <c r="AK562" s="337"/>
      <c r="AL562" s="552"/>
      <c r="AM562" s="552"/>
      <c r="AN562" s="45"/>
      <c r="AO562" s="45"/>
      <c r="AP562" s="45"/>
      <c r="AQ562" s="485">
        <f>AL562/BI562</f>
        <v>0</v>
      </c>
      <c r="AR562" s="100">
        <f>BL562/BI562</f>
        <v>0</v>
      </c>
      <c r="AS562" s="485"/>
      <c r="AT562" s="24"/>
      <c r="AU562" s="24"/>
      <c r="AV562" s="24"/>
      <c r="AW562" s="18">
        <v>23</v>
      </c>
      <c r="AX562" s="69" t="s">
        <v>294</v>
      </c>
      <c r="AY562" s="243" t="s">
        <v>110</v>
      </c>
      <c r="AZ562" s="243" t="str">
        <f t="shared" si="225"/>
        <v>Coho</v>
      </c>
      <c r="BA562" s="243" t="s">
        <v>419</v>
      </c>
      <c r="BB562" s="244" t="s">
        <v>290</v>
      </c>
      <c r="BC562" s="43" t="str">
        <f t="shared" si="226"/>
        <v>-</v>
      </c>
      <c r="BD562" s="43">
        <f t="shared" si="247"/>
        <v>0</v>
      </c>
      <c r="BE562" s="193">
        <f t="shared" si="243"/>
        <v>0</v>
      </c>
      <c r="BF562" s="193">
        <f t="shared" si="227"/>
        <v>0</v>
      </c>
      <c r="BG562" s="193">
        <f t="shared" si="228"/>
        <v>0</v>
      </c>
      <c r="BH562" s="307">
        <f t="shared" si="246"/>
        <v>20</v>
      </c>
      <c r="BI562" s="265">
        <f t="shared" si="245"/>
        <v>20</v>
      </c>
      <c r="BJ562" s="26" t="str">
        <f t="shared" si="229"/>
        <v>UCHUCK CREEKCoho</v>
      </c>
      <c r="BK562" s="26">
        <f t="shared" si="230"/>
        <v>0</v>
      </c>
      <c r="BL562" s="33">
        <f t="shared" si="248"/>
        <v>0</v>
      </c>
      <c r="BQ562" s="47" t="str">
        <f t="shared" si="231"/>
        <v>UCHUCK CREEKCoho</v>
      </c>
      <c r="BR562" s="49">
        <f t="shared" si="232"/>
        <v>0</v>
      </c>
      <c r="BS562" s="49">
        <f t="shared" si="233"/>
        <v>0</v>
      </c>
      <c r="BT562" s="31">
        <v>2013</v>
      </c>
      <c r="BU562" s="188" t="str">
        <f t="shared" si="234"/>
        <v>NTC</v>
      </c>
      <c r="BV562" s="188" t="str">
        <f t="shared" si="235"/>
        <v xml:space="preserve"> </v>
      </c>
      <c r="BW562" s="188" t="str">
        <f t="shared" si="236"/>
        <v xml:space="preserve"> </v>
      </c>
      <c r="BX562" s="188" t="str">
        <f t="shared" si="237"/>
        <v xml:space="preserve"> </v>
      </c>
      <c r="BY562" s="50" t="str">
        <f t="shared" si="244"/>
        <v>UCHUCK CREEK_Coho</v>
      </c>
      <c r="BZ562" s="50">
        <f>IFERROR(VLOOKUP(BY562,'[1]WCVI Esc'!$C$5:$W$555,18,FALSE),"-")</f>
        <v>4</v>
      </c>
      <c r="CA562" s="50">
        <f t="shared" si="238"/>
        <v>0</v>
      </c>
      <c r="CB562" s="50">
        <f>IFERROR(VLOOKUP(BY562,'[1]WCVI Esc'!$C$5:$W$555,19,FALSE),"-")</f>
        <v>20</v>
      </c>
      <c r="CC562" s="50">
        <f t="shared" si="239"/>
        <v>20</v>
      </c>
      <c r="CE562" s="342" t="str">
        <f t="shared" si="224"/>
        <v>UCHUCK CREEK_Coho</v>
      </c>
      <c r="CF562" s="341">
        <f>IFERROR(VLOOKUP(BY562,'RawPL+D'!$O$8:$AB$503,12,FALSE),"-")</f>
        <v>19</v>
      </c>
      <c r="CG562" s="338">
        <f t="shared" si="240"/>
        <v>20</v>
      </c>
      <c r="CH562" s="341">
        <f>IFERROR(VLOOKUP(BY562,'RawPL+D'!$O$8:$AB$503,13,FALSE),"-")</f>
        <v>19</v>
      </c>
      <c r="CI562" s="338">
        <f t="shared" si="241"/>
        <v>20</v>
      </c>
    </row>
    <row r="563" spans="1:87" ht="12.75" hidden="1" customHeight="1" x14ac:dyDescent="0.2">
      <c r="A563" s="28">
        <v>4</v>
      </c>
      <c r="B563" s="28">
        <v>3</v>
      </c>
      <c r="C563" s="11">
        <v>23</v>
      </c>
      <c r="D563" s="148" t="s">
        <v>294</v>
      </c>
      <c r="E563" s="10" t="s">
        <v>110</v>
      </c>
      <c r="F563" s="10" t="s">
        <v>208</v>
      </c>
      <c r="G563" s="10"/>
      <c r="H563" s="10"/>
      <c r="I563" s="10"/>
      <c r="J563" s="10"/>
      <c r="K563" s="575"/>
      <c r="L563" s="152"/>
      <c r="M563" s="164"/>
      <c r="N563" s="62"/>
      <c r="O563" s="62"/>
      <c r="P563" s="177"/>
      <c r="Q563" s="171"/>
      <c r="R563" s="62"/>
      <c r="S563" s="62"/>
      <c r="T563" s="62"/>
      <c r="U563" s="64"/>
      <c r="V563" s="164"/>
      <c r="W563" s="62"/>
      <c r="X563" s="62"/>
      <c r="Y563" s="62"/>
      <c r="Z563" s="64"/>
      <c r="AA563" s="164"/>
      <c r="AB563" s="62"/>
      <c r="AC563" s="62"/>
      <c r="AD563" s="64"/>
      <c r="AE563" s="164"/>
      <c r="AF563" s="62"/>
      <c r="AG563" s="62"/>
      <c r="AH563" s="337"/>
      <c r="AI563" s="337"/>
      <c r="AJ563" s="337"/>
      <c r="AK563" s="337"/>
      <c r="AL563" s="552"/>
      <c r="AM563" s="552"/>
      <c r="AN563" s="45"/>
      <c r="AO563" s="45"/>
      <c r="AP563" s="45"/>
      <c r="AQ563" s="485"/>
      <c r="AR563" s="100"/>
      <c r="AS563" s="485"/>
      <c r="AT563" s="24"/>
      <c r="AU563" s="24"/>
      <c r="AV563" s="24"/>
      <c r="AW563" s="18">
        <v>23</v>
      </c>
      <c r="AX563" s="69" t="s">
        <v>294</v>
      </c>
      <c r="AY563" s="243" t="s">
        <v>110</v>
      </c>
      <c r="AZ563" s="243" t="str">
        <f t="shared" si="225"/>
        <v>Pink</v>
      </c>
      <c r="BA563" s="243" t="s">
        <v>419</v>
      </c>
      <c r="BB563" s="244" t="s">
        <v>290</v>
      </c>
      <c r="BC563" s="43" t="str">
        <f t="shared" si="226"/>
        <v>-</v>
      </c>
      <c r="BD563" s="43">
        <f t="shared" si="247"/>
        <v>0</v>
      </c>
      <c r="BE563" s="193">
        <f t="shared" si="243"/>
        <v>0</v>
      </c>
      <c r="BF563" s="193">
        <f t="shared" si="227"/>
        <v>0</v>
      </c>
      <c r="BG563" s="193">
        <f t="shared" si="228"/>
        <v>0</v>
      </c>
      <c r="BH563" s="307" t="str">
        <f t="shared" si="246"/>
        <v>-</v>
      </c>
      <c r="BI563" s="265" t="str">
        <f t="shared" si="245"/>
        <v>-</v>
      </c>
      <c r="BJ563" s="26" t="str">
        <f t="shared" si="229"/>
        <v>UCHUCK CREEKPink</v>
      </c>
      <c r="BK563" s="26">
        <f t="shared" si="230"/>
        <v>0</v>
      </c>
      <c r="BL563" s="33">
        <f t="shared" si="248"/>
        <v>0</v>
      </c>
      <c r="BQ563" s="47" t="str">
        <f t="shared" si="231"/>
        <v>UCHUCK CREEKPink</v>
      </c>
      <c r="BR563" s="49">
        <f t="shared" si="232"/>
        <v>0</v>
      </c>
      <c r="BS563" s="49">
        <f t="shared" si="233"/>
        <v>0</v>
      </c>
      <c r="BT563" s="31">
        <v>0</v>
      </c>
      <c r="BU563" s="188" t="str">
        <f t="shared" si="234"/>
        <v>NTC</v>
      </c>
      <c r="BV563" s="188" t="str">
        <f t="shared" si="235"/>
        <v xml:space="preserve"> </v>
      </c>
      <c r="BW563" s="188" t="str">
        <f t="shared" si="236"/>
        <v xml:space="preserve"> </v>
      </c>
      <c r="BX563" s="188" t="str">
        <f t="shared" si="237"/>
        <v xml:space="preserve"> </v>
      </c>
      <c r="BY563" s="50" t="str">
        <f t="shared" si="244"/>
        <v>UCHUCK CREEK_Pink</v>
      </c>
      <c r="BZ563" s="50" t="str">
        <f>IFERROR(VLOOKUP(BY563,'[1]WCVI Esc'!$C$5:$W$555,18,FALSE),"-")</f>
        <v>-</v>
      </c>
      <c r="CA563" s="50" t="str">
        <f t="shared" si="238"/>
        <v>-</v>
      </c>
      <c r="CB563" s="50" t="str">
        <f>IFERROR(VLOOKUP(BY563,'[1]WCVI Esc'!$C$5:$W$555,19,FALSE),"-")</f>
        <v>-</v>
      </c>
      <c r="CC563" s="50" t="str">
        <f t="shared" si="239"/>
        <v>-</v>
      </c>
      <c r="CE563" s="342" t="str">
        <f t="shared" si="224"/>
        <v>UCHUCK CREEK_Pink</v>
      </c>
      <c r="CF563" s="341" t="str">
        <f>IFERROR(VLOOKUP(BY563,'RawPL+D'!$O$8:$AB$503,12,FALSE),"-")</f>
        <v>-</v>
      </c>
      <c r="CG563" s="338" t="str">
        <f t="shared" si="240"/>
        <v>-</v>
      </c>
      <c r="CH563" s="341" t="str">
        <f>IFERROR(VLOOKUP(BY563,'RawPL+D'!$O$8:$AB$503,13,FALSE),"-")</f>
        <v>-</v>
      </c>
      <c r="CI563" s="338" t="str">
        <f t="shared" si="241"/>
        <v>-</v>
      </c>
    </row>
    <row r="564" spans="1:87" ht="12.75" hidden="1" customHeight="1" x14ac:dyDescent="0.2">
      <c r="A564" s="28">
        <v>4</v>
      </c>
      <c r="B564" s="28">
        <v>4</v>
      </c>
      <c r="C564" s="11">
        <v>23</v>
      </c>
      <c r="D564" s="13" t="s">
        <v>294</v>
      </c>
      <c r="E564" s="10" t="s">
        <v>110</v>
      </c>
      <c r="F564" s="10" t="s">
        <v>209</v>
      </c>
      <c r="G564" s="10"/>
      <c r="H564" s="10"/>
      <c r="I564" s="10"/>
      <c r="J564" s="10"/>
      <c r="K564" s="575"/>
      <c r="L564" s="152"/>
      <c r="M564" s="164"/>
      <c r="N564" s="62"/>
      <c r="O564" s="62"/>
      <c r="P564" s="177"/>
      <c r="Q564" s="171"/>
      <c r="R564" s="62"/>
      <c r="S564" s="62"/>
      <c r="T564" s="62"/>
      <c r="U564" s="64"/>
      <c r="V564" s="164"/>
      <c r="W564" s="62"/>
      <c r="X564" s="62"/>
      <c r="Y564" s="62"/>
      <c r="Z564" s="64"/>
      <c r="AA564" s="164"/>
      <c r="AB564" s="62"/>
      <c r="AC564" s="62"/>
      <c r="AD564" s="64"/>
      <c r="AE564" s="164"/>
      <c r="AF564" s="62"/>
      <c r="AG564" s="62"/>
      <c r="AH564" s="337"/>
      <c r="AI564" s="337"/>
      <c r="AJ564" s="337"/>
      <c r="AK564" s="337"/>
      <c r="AL564" s="552"/>
      <c r="AM564" s="552"/>
      <c r="AN564" s="45"/>
      <c r="AO564" s="45"/>
      <c r="AP564" s="45"/>
      <c r="AQ564" s="485">
        <f>AL564/BI564</f>
        <v>0</v>
      </c>
      <c r="AR564" s="485">
        <f>BL564/BI564</f>
        <v>0</v>
      </c>
      <c r="AS564" s="485"/>
      <c r="AT564" s="24"/>
      <c r="AU564" s="24"/>
      <c r="AV564" s="24"/>
      <c r="AW564" s="18">
        <v>23</v>
      </c>
      <c r="AX564" s="69" t="s">
        <v>294</v>
      </c>
      <c r="AY564" s="243" t="s">
        <v>110</v>
      </c>
      <c r="AZ564" s="243" t="str">
        <f t="shared" si="225"/>
        <v>Chum</v>
      </c>
      <c r="BA564" s="243" t="s">
        <v>419</v>
      </c>
      <c r="BB564" s="244" t="s">
        <v>290</v>
      </c>
      <c r="BC564" s="43" t="str">
        <f t="shared" si="226"/>
        <v>-</v>
      </c>
      <c r="BD564" s="43">
        <f t="shared" si="247"/>
        <v>0</v>
      </c>
      <c r="BE564" s="193">
        <f t="shared" si="243"/>
        <v>0</v>
      </c>
      <c r="BF564" s="193">
        <f t="shared" si="227"/>
        <v>0</v>
      </c>
      <c r="BG564" s="193">
        <f t="shared" si="228"/>
        <v>0</v>
      </c>
      <c r="BH564" s="307">
        <f t="shared" si="246"/>
        <v>0</v>
      </c>
      <c r="BI564" s="265">
        <f t="shared" si="245"/>
        <v>110</v>
      </c>
      <c r="BJ564" s="26" t="str">
        <f t="shared" si="229"/>
        <v>UCHUCK CREEKChum</v>
      </c>
      <c r="BK564" s="26">
        <f t="shared" si="230"/>
        <v>0</v>
      </c>
      <c r="BL564" s="33">
        <f t="shared" si="248"/>
        <v>0</v>
      </c>
      <c r="BQ564" s="47" t="str">
        <f t="shared" si="231"/>
        <v>UCHUCK CREEKChum</v>
      </c>
      <c r="BR564" s="49">
        <f t="shared" si="232"/>
        <v>0</v>
      </c>
      <c r="BS564" s="49">
        <f t="shared" si="233"/>
        <v>0</v>
      </c>
      <c r="BT564" s="31">
        <v>2013</v>
      </c>
      <c r="BU564" s="188" t="str">
        <f t="shared" si="234"/>
        <v>NTC</v>
      </c>
      <c r="BV564" s="188" t="str">
        <f t="shared" si="235"/>
        <v xml:space="preserve"> </v>
      </c>
      <c r="BW564" s="188" t="str">
        <f t="shared" si="236"/>
        <v xml:space="preserve"> </v>
      </c>
      <c r="BX564" s="188" t="str">
        <f t="shared" si="237"/>
        <v xml:space="preserve"> </v>
      </c>
      <c r="BY564" s="50" t="str">
        <f t="shared" ref="BY564:BY595" si="249">CONCATENATE(E564,"_",F564)</f>
        <v>UCHUCK CREEK_Chum</v>
      </c>
      <c r="BZ564" s="50">
        <f>IFERROR(VLOOKUP(BY564,'[1]WCVI Esc'!$C$5:$W$555,18,FALSE),"-")</f>
        <v>19</v>
      </c>
      <c r="CA564" s="50">
        <f t="shared" si="238"/>
        <v>20</v>
      </c>
      <c r="CB564" s="50">
        <f>IFERROR(VLOOKUP(BY564,'[1]WCVI Esc'!$C$5:$W$555,19,FALSE),"-")</f>
        <v>111.5</v>
      </c>
      <c r="CC564" s="50">
        <f t="shared" si="239"/>
        <v>110</v>
      </c>
      <c r="CE564" s="342" t="str">
        <f t="shared" si="224"/>
        <v>UCHUCK CREEK_Chum</v>
      </c>
      <c r="CF564" s="341">
        <f>IFERROR(VLOOKUP(BY564,'RawPL+D'!$O$8:$AB$503,12,FALSE),"-")</f>
        <v>4</v>
      </c>
      <c r="CG564" s="338">
        <f t="shared" si="240"/>
        <v>0</v>
      </c>
      <c r="CH564" s="341">
        <f>IFERROR(VLOOKUP(BY564,'RawPL+D'!$O$8:$AB$503,13,FALSE),"-")</f>
        <v>4</v>
      </c>
      <c r="CI564" s="338">
        <f t="shared" si="241"/>
        <v>0</v>
      </c>
    </row>
    <row r="565" spans="1:87" ht="12.75" hidden="1" customHeight="1" x14ac:dyDescent="0.2">
      <c r="A565" s="28">
        <v>4</v>
      </c>
      <c r="B565" s="28">
        <v>5</v>
      </c>
      <c r="C565" s="11">
        <v>23</v>
      </c>
      <c r="D565" s="148" t="s">
        <v>294</v>
      </c>
      <c r="E565" s="10" t="s">
        <v>110</v>
      </c>
      <c r="F565" s="10" t="s">
        <v>210</v>
      </c>
      <c r="G565" s="10"/>
      <c r="H565" s="10"/>
      <c r="I565" s="10"/>
      <c r="J565" s="10"/>
      <c r="K565" s="575"/>
      <c r="L565" s="152"/>
      <c r="M565" s="164"/>
      <c r="N565" s="62"/>
      <c r="O565" s="62"/>
      <c r="P565" s="177"/>
      <c r="Q565" s="171"/>
      <c r="R565" s="62"/>
      <c r="S565" s="62"/>
      <c r="T565" s="62"/>
      <c r="U565" s="64"/>
      <c r="V565" s="164"/>
      <c r="W565" s="62"/>
      <c r="X565" s="62"/>
      <c r="Y565" s="62"/>
      <c r="Z565" s="64"/>
      <c r="AA565" s="164"/>
      <c r="AB565" s="62"/>
      <c r="AC565" s="62"/>
      <c r="AD565" s="64"/>
      <c r="AE565" s="164"/>
      <c r="AF565" s="62"/>
      <c r="AG565" s="62"/>
      <c r="AH565" s="337"/>
      <c r="AI565" s="337"/>
      <c r="AJ565" s="337"/>
      <c r="AK565" s="337"/>
      <c r="AL565" s="552"/>
      <c r="AM565" s="552"/>
      <c r="AN565" s="45"/>
      <c r="AO565" s="45"/>
      <c r="AP565" s="45"/>
      <c r="AQ565" s="485"/>
      <c r="AR565" s="100"/>
      <c r="AS565" s="485"/>
      <c r="AT565" s="24"/>
      <c r="AU565" s="24"/>
      <c r="AV565" s="24"/>
      <c r="AW565" s="18">
        <v>23</v>
      </c>
      <c r="AX565" s="69" t="s">
        <v>294</v>
      </c>
      <c r="AY565" s="243" t="s">
        <v>110</v>
      </c>
      <c r="AZ565" s="243" t="str">
        <f t="shared" si="225"/>
        <v>Chinook</v>
      </c>
      <c r="BA565" s="243" t="s">
        <v>419</v>
      </c>
      <c r="BB565" s="244" t="s">
        <v>290</v>
      </c>
      <c r="BC565" s="43" t="str">
        <f t="shared" si="226"/>
        <v>-</v>
      </c>
      <c r="BD565" s="43">
        <f t="shared" si="247"/>
        <v>0</v>
      </c>
      <c r="BE565" s="193">
        <f t="shared" si="243"/>
        <v>0</v>
      </c>
      <c r="BF565" s="193">
        <f t="shared" si="227"/>
        <v>0</v>
      </c>
      <c r="BG565" s="193">
        <f t="shared" si="228"/>
        <v>0</v>
      </c>
      <c r="BH565" s="307">
        <f t="shared" si="246"/>
        <v>0</v>
      </c>
      <c r="BI565" s="265" t="str">
        <f t="shared" si="245"/>
        <v>-</v>
      </c>
      <c r="BJ565" s="26" t="str">
        <f t="shared" si="229"/>
        <v>UCHUCK CREEKChinook</v>
      </c>
      <c r="BK565" s="26">
        <f t="shared" si="230"/>
        <v>0</v>
      </c>
      <c r="BL565" s="33">
        <f t="shared" si="248"/>
        <v>0</v>
      </c>
      <c r="BQ565" s="47" t="str">
        <f t="shared" si="231"/>
        <v>UCHUCK CREEKChinook</v>
      </c>
      <c r="BR565" s="49">
        <f t="shared" si="232"/>
        <v>0</v>
      </c>
      <c r="BS565" s="49">
        <f t="shared" si="233"/>
        <v>0</v>
      </c>
      <c r="BT565" s="31">
        <v>0</v>
      </c>
      <c r="BU565" s="188" t="str">
        <f t="shared" si="234"/>
        <v>NTC</v>
      </c>
      <c r="BV565" s="188" t="str">
        <f t="shared" si="235"/>
        <v xml:space="preserve"> </v>
      </c>
      <c r="BW565" s="188" t="str">
        <f t="shared" si="236"/>
        <v xml:space="preserve"> </v>
      </c>
      <c r="BX565" s="188" t="str">
        <f t="shared" si="237"/>
        <v xml:space="preserve"> </v>
      </c>
      <c r="BY565" s="50" t="str">
        <f t="shared" si="249"/>
        <v>UCHUCK CREEK_Chinook</v>
      </c>
      <c r="BZ565" s="50" t="str">
        <f>IFERROR(VLOOKUP(BY565,'[1]WCVI Esc'!$C$5:$W$555,18,FALSE),"-")</f>
        <v>-</v>
      </c>
      <c r="CA565" s="50" t="str">
        <f t="shared" si="238"/>
        <v>-</v>
      </c>
      <c r="CB565" s="50" t="str">
        <f>IFERROR(VLOOKUP(BY565,'[1]WCVI Esc'!$C$5:$W$555,19,FALSE),"-")</f>
        <v>-</v>
      </c>
      <c r="CC565" s="50" t="str">
        <f t="shared" si="239"/>
        <v>-</v>
      </c>
      <c r="CE565" s="342" t="str">
        <f t="shared" si="224"/>
        <v>UCHUCK CREEK_Chinook</v>
      </c>
      <c r="CF565" s="341">
        <f>IFERROR(VLOOKUP(BY565,'RawPL+D'!$O$8:$AB$503,12,FALSE),"-")</f>
        <v>0</v>
      </c>
      <c r="CG565" s="338">
        <f t="shared" si="240"/>
        <v>0</v>
      </c>
      <c r="CH565" s="341">
        <f>IFERROR(VLOOKUP(BY565,'RawPL+D'!$O$8:$AB$503,13,FALSE),"-")</f>
        <v>0</v>
      </c>
      <c r="CI565" s="338">
        <f t="shared" si="241"/>
        <v>0</v>
      </c>
    </row>
    <row r="566" spans="1:87" ht="12.75" hidden="1" customHeight="1" x14ac:dyDescent="0.2">
      <c r="A566" s="28">
        <v>4</v>
      </c>
      <c r="B566" s="28">
        <v>6</v>
      </c>
      <c r="C566" s="11">
        <v>23</v>
      </c>
      <c r="D566" s="148" t="s">
        <v>294</v>
      </c>
      <c r="E566" s="10" t="s">
        <v>110</v>
      </c>
      <c r="F566" s="10" t="s">
        <v>211</v>
      </c>
      <c r="G566" s="10"/>
      <c r="H566" s="10"/>
      <c r="I566" s="10"/>
      <c r="J566" s="10"/>
      <c r="K566" s="575"/>
      <c r="L566" s="152"/>
      <c r="M566" s="164"/>
      <c r="N566" s="62"/>
      <c r="O566" s="62"/>
      <c r="P566" s="177"/>
      <c r="Q566" s="171"/>
      <c r="R566" s="62"/>
      <c r="S566" s="62"/>
      <c r="T566" s="62"/>
      <c r="U566" s="64"/>
      <c r="V566" s="164"/>
      <c r="W566" s="62"/>
      <c r="X566" s="62"/>
      <c r="Y566" s="62"/>
      <c r="Z566" s="64"/>
      <c r="AA566" s="164"/>
      <c r="AB566" s="62"/>
      <c r="AC566" s="62"/>
      <c r="AD566" s="64"/>
      <c r="AE566" s="164"/>
      <c r="AF566" s="62"/>
      <c r="AG566" s="62"/>
      <c r="AH566" s="337"/>
      <c r="AI566" s="337"/>
      <c r="AJ566" s="337"/>
      <c r="AK566" s="337"/>
      <c r="AL566" s="552"/>
      <c r="AM566" s="552"/>
      <c r="AN566" s="45"/>
      <c r="AO566" s="45"/>
      <c r="AP566" s="45"/>
      <c r="AQ566" s="485"/>
      <c r="AR566" s="100"/>
      <c r="AS566" s="485"/>
      <c r="AT566" s="24"/>
      <c r="AU566" s="24"/>
      <c r="AV566" s="24"/>
      <c r="AW566" s="18">
        <v>23</v>
      </c>
      <c r="AX566" s="69" t="s">
        <v>294</v>
      </c>
      <c r="AY566" s="243" t="s">
        <v>110</v>
      </c>
      <c r="AZ566" s="243" t="str">
        <f t="shared" si="225"/>
        <v>Steelhead</v>
      </c>
      <c r="BA566" s="243" t="s">
        <v>419</v>
      </c>
      <c r="BB566" s="244" t="s">
        <v>290</v>
      </c>
      <c r="BC566" s="43" t="str">
        <f t="shared" si="226"/>
        <v>-</v>
      </c>
      <c r="BD566" s="43">
        <f t="shared" si="247"/>
        <v>0</v>
      </c>
      <c r="BE566" s="193">
        <f t="shared" si="243"/>
        <v>0</v>
      </c>
      <c r="BF566" s="193">
        <f t="shared" si="227"/>
        <v>0</v>
      </c>
      <c r="BG566" s="193">
        <f t="shared" si="228"/>
        <v>0</v>
      </c>
      <c r="BH566" s="307" t="str">
        <f t="shared" si="246"/>
        <v>-</v>
      </c>
      <c r="BI566" s="265" t="str">
        <f t="shared" si="245"/>
        <v>-</v>
      </c>
      <c r="BJ566" s="26" t="str">
        <f t="shared" si="229"/>
        <v>UCHUCK CREEKSteelhead</v>
      </c>
      <c r="BK566" s="26">
        <f t="shared" si="230"/>
        <v>0</v>
      </c>
      <c r="BL566" s="33">
        <f t="shared" si="248"/>
        <v>0</v>
      </c>
      <c r="BQ566" s="47" t="str">
        <f t="shared" si="231"/>
        <v>UCHUCK CREEKSteelhead</v>
      </c>
      <c r="BR566" s="49">
        <f t="shared" si="232"/>
        <v>0</v>
      </c>
      <c r="BS566" s="49">
        <f t="shared" si="233"/>
        <v>0</v>
      </c>
      <c r="BT566" s="31">
        <v>0</v>
      </c>
      <c r="BU566" s="188" t="str">
        <f t="shared" si="234"/>
        <v>NTC</v>
      </c>
      <c r="BV566" s="188" t="str">
        <f t="shared" si="235"/>
        <v xml:space="preserve"> </v>
      </c>
      <c r="BW566" s="188" t="str">
        <f t="shared" si="236"/>
        <v xml:space="preserve"> </v>
      </c>
      <c r="BX566" s="188" t="str">
        <f t="shared" si="237"/>
        <v xml:space="preserve"> </v>
      </c>
      <c r="BY566" s="50" t="str">
        <f t="shared" si="249"/>
        <v>UCHUCK CREEK_Steelhead</v>
      </c>
      <c r="BZ566" s="50" t="str">
        <f>IFERROR(VLOOKUP(BY566,'[1]WCVI Esc'!$C$5:$W$555,18,FALSE),"-")</f>
        <v>-</v>
      </c>
      <c r="CA566" s="50" t="str">
        <f t="shared" si="238"/>
        <v>-</v>
      </c>
      <c r="CB566" s="50" t="str">
        <f>IFERROR(VLOOKUP(BY566,'[1]WCVI Esc'!$C$5:$W$555,19,FALSE),"-")</f>
        <v>-</v>
      </c>
      <c r="CC566" s="50" t="str">
        <f t="shared" si="239"/>
        <v>-</v>
      </c>
      <c r="CE566" s="342" t="str">
        <f t="shared" si="224"/>
        <v>UCHUCK CREEK_Steelhead</v>
      </c>
      <c r="CF566" s="341" t="str">
        <f>IFERROR(VLOOKUP(BY566,'RawPL+D'!$O$8:$AB$503,12,FALSE),"-")</f>
        <v>-</v>
      </c>
      <c r="CG566" s="338" t="str">
        <f t="shared" si="240"/>
        <v>-</v>
      </c>
      <c r="CH566" s="341" t="str">
        <f>IFERROR(VLOOKUP(BY566,'RawPL+D'!$O$8:$AB$503,13,FALSE),"-")</f>
        <v>-</v>
      </c>
      <c r="CI566" s="338" t="str">
        <f t="shared" si="241"/>
        <v>-</v>
      </c>
    </row>
    <row r="567" spans="1:87" ht="12.75" hidden="1" customHeight="1" x14ac:dyDescent="0.2">
      <c r="A567" s="28">
        <v>4</v>
      </c>
      <c r="B567" s="28">
        <v>1</v>
      </c>
      <c r="C567" s="11">
        <v>23</v>
      </c>
      <c r="D567" s="148" t="s">
        <v>294</v>
      </c>
      <c r="E567" s="10" t="s">
        <v>111</v>
      </c>
      <c r="F567" s="10" t="s">
        <v>207</v>
      </c>
      <c r="G567" s="10"/>
      <c r="H567" s="10"/>
      <c r="I567" s="10"/>
      <c r="J567" s="10"/>
      <c r="K567" s="575"/>
      <c r="L567" s="152"/>
      <c r="M567" s="164"/>
      <c r="N567" s="62"/>
      <c r="O567" s="62"/>
      <c r="P567" s="177"/>
      <c r="Q567" s="171"/>
      <c r="R567" s="62"/>
      <c r="S567" s="62"/>
      <c r="T567" s="62"/>
      <c r="U567" s="64"/>
      <c r="V567" s="164"/>
      <c r="W567" s="62"/>
      <c r="X567" s="62"/>
      <c r="Y567" s="62"/>
      <c r="Z567" s="64"/>
      <c r="AA567" s="164"/>
      <c r="AB567" s="62"/>
      <c r="AC567" s="62"/>
      <c r="AD567" s="64"/>
      <c r="AE567" s="164"/>
      <c r="AF567" s="62"/>
      <c r="AG567" s="62"/>
      <c r="AH567" s="337"/>
      <c r="AI567" s="337"/>
      <c r="AJ567" s="337"/>
      <c r="AK567" s="337"/>
      <c r="AL567" s="414"/>
      <c r="AM567" s="414"/>
      <c r="AN567" s="45"/>
      <c r="AO567" s="45"/>
      <c r="AP567" s="45"/>
      <c r="AQ567" s="485"/>
      <c r="AR567" s="100"/>
      <c r="AS567" s="485"/>
      <c r="AT567" s="24"/>
      <c r="AU567" s="24"/>
      <c r="AV567" s="24"/>
      <c r="AW567" s="18">
        <v>23</v>
      </c>
      <c r="AX567" s="69" t="s">
        <v>294</v>
      </c>
      <c r="AY567" s="243" t="s">
        <v>111</v>
      </c>
      <c r="AZ567" s="243" t="str">
        <f t="shared" si="225"/>
        <v>Sockeye</v>
      </c>
      <c r="BA567" s="243" t="s">
        <v>419</v>
      </c>
      <c r="BB567" s="246"/>
      <c r="BC567" s="43" t="str">
        <f t="shared" si="226"/>
        <v>-</v>
      </c>
      <c r="BD567" s="43">
        <f t="shared" si="247"/>
        <v>0</v>
      </c>
      <c r="BE567" s="193">
        <f t="shared" si="243"/>
        <v>0</v>
      </c>
      <c r="BF567" s="193">
        <f t="shared" si="227"/>
        <v>0</v>
      </c>
      <c r="BG567" s="193">
        <f t="shared" si="228"/>
        <v>0</v>
      </c>
      <c r="BH567" s="307" t="str">
        <f t="shared" si="246"/>
        <v>-</v>
      </c>
      <c r="BI567" s="265" t="str">
        <f t="shared" si="245"/>
        <v>-</v>
      </c>
      <c r="BJ567" s="26" t="str">
        <f t="shared" si="229"/>
        <v>USELESS CREEKSockeye</v>
      </c>
      <c r="BK567" s="26">
        <f t="shared" si="230"/>
        <v>0</v>
      </c>
      <c r="BL567" s="33">
        <f t="shared" si="248"/>
        <v>0</v>
      </c>
      <c r="BQ567" s="47" t="str">
        <f t="shared" si="231"/>
        <v>USELESS CREEKSockeye</v>
      </c>
      <c r="BR567" s="49">
        <f t="shared" si="232"/>
        <v>0</v>
      </c>
      <c r="BS567" s="49">
        <f t="shared" si="233"/>
        <v>0</v>
      </c>
      <c r="BT567" s="31">
        <v>0</v>
      </c>
      <c r="BU567" s="188">
        <f t="shared" si="234"/>
        <v>0</v>
      </c>
      <c r="BV567" s="188" t="str">
        <f t="shared" si="235"/>
        <v xml:space="preserve"> </v>
      </c>
      <c r="BW567" s="188" t="str">
        <f t="shared" si="236"/>
        <v xml:space="preserve"> </v>
      </c>
      <c r="BX567" s="188" t="str">
        <f t="shared" si="237"/>
        <v xml:space="preserve"> </v>
      </c>
      <c r="BY567" s="50" t="str">
        <f t="shared" si="249"/>
        <v>USELESS CREEK_Sockeye</v>
      </c>
      <c r="BZ567" s="50" t="str">
        <f>IFERROR(VLOOKUP(BY567,'[1]WCVI Esc'!$C$5:$W$555,18,FALSE),"-")</f>
        <v>-</v>
      </c>
      <c r="CA567" s="50" t="str">
        <f t="shared" si="238"/>
        <v>-</v>
      </c>
      <c r="CB567" s="50" t="str">
        <f>IFERROR(VLOOKUP(BY567,'[1]WCVI Esc'!$C$5:$W$555,19,FALSE),"-")</f>
        <v>-</v>
      </c>
      <c r="CC567" s="50" t="str">
        <f t="shared" si="239"/>
        <v>-</v>
      </c>
      <c r="CE567" s="342" t="str">
        <f t="shared" si="224"/>
        <v>USELESS CREEK_Sockeye</v>
      </c>
      <c r="CF567" s="341" t="str">
        <f>IFERROR(VLOOKUP(BY567,'RawPL+D'!$O$8:$AB$503,12,FALSE),"-")</f>
        <v>-</v>
      </c>
      <c r="CG567" s="338" t="str">
        <f t="shared" si="240"/>
        <v>-</v>
      </c>
      <c r="CH567" s="341" t="str">
        <f>IFERROR(VLOOKUP(BY567,'RawPL+D'!$O$8:$AB$503,13,FALSE),"-")</f>
        <v>-</v>
      </c>
      <c r="CI567" s="338" t="str">
        <f t="shared" si="241"/>
        <v>-</v>
      </c>
    </row>
    <row r="568" spans="1:87" ht="12.75" hidden="1" customHeight="1" x14ac:dyDescent="0.2">
      <c r="A568" s="28">
        <v>4</v>
      </c>
      <c r="B568" s="28">
        <v>2</v>
      </c>
      <c r="C568" s="11">
        <v>23</v>
      </c>
      <c r="D568" s="148" t="s">
        <v>294</v>
      </c>
      <c r="E568" s="10" t="s">
        <v>111</v>
      </c>
      <c r="F568" s="10" t="s">
        <v>219</v>
      </c>
      <c r="G568" s="10"/>
      <c r="H568" s="10"/>
      <c r="I568" s="10"/>
      <c r="J568" s="10"/>
      <c r="K568" s="575"/>
      <c r="L568" s="152"/>
      <c r="M568" s="164"/>
      <c r="N568" s="62"/>
      <c r="O568" s="62"/>
      <c r="P568" s="177"/>
      <c r="Q568" s="171"/>
      <c r="R568" s="62"/>
      <c r="S568" s="62"/>
      <c r="T568" s="62"/>
      <c r="U568" s="64"/>
      <c r="V568" s="164"/>
      <c r="W568" s="62"/>
      <c r="X568" s="62"/>
      <c r="Y568" s="62"/>
      <c r="Z568" s="64"/>
      <c r="AA568" s="164"/>
      <c r="AB568" s="62"/>
      <c r="AC568" s="62"/>
      <c r="AD568" s="64"/>
      <c r="AE568" s="164"/>
      <c r="AF568" s="62"/>
      <c r="AG568" s="62"/>
      <c r="AH568" s="337"/>
      <c r="AI568" s="337"/>
      <c r="AJ568" s="337"/>
      <c r="AK568" s="337"/>
      <c r="AL568" s="414"/>
      <c r="AM568" s="414"/>
      <c r="AN568" s="45"/>
      <c r="AO568" s="45"/>
      <c r="AP568" s="45"/>
      <c r="AQ568" s="485"/>
      <c r="AR568" s="100"/>
      <c r="AS568" s="485"/>
      <c r="AT568" s="24"/>
      <c r="AU568" s="24"/>
      <c r="AV568" s="24"/>
      <c r="AW568" s="18">
        <v>23</v>
      </c>
      <c r="AX568" s="69" t="s">
        <v>294</v>
      </c>
      <c r="AY568" s="243" t="s">
        <v>111</v>
      </c>
      <c r="AZ568" s="243" t="str">
        <f t="shared" si="225"/>
        <v>Coho</v>
      </c>
      <c r="BA568" s="243" t="s">
        <v>419</v>
      </c>
      <c r="BB568" s="246"/>
      <c r="BC568" s="43" t="str">
        <f t="shared" si="226"/>
        <v>-</v>
      </c>
      <c r="BD568" s="43">
        <f t="shared" si="247"/>
        <v>0</v>
      </c>
      <c r="BE568" s="193">
        <f t="shared" si="243"/>
        <v>0</v>
      </c>
      <c r="BF568" s="193">
        <f t="shared" si="227"/>
        <v>0</v>
      </c>
      <c r="BG568" s="193">
        <f t="shared" si="228"/>
        <v>0</v>
      </c>
      <c r="BH568" s="307" t="str">
        <f t="shared" si="246"/>
        <v>-</v>
      </c>
      <c r="BI568" s="265" t="str">
        <f t="shared" si="245"/>
        <v>-</v>
      </c>
      <c r="BJ568" s="26" t="str">
        <f t="shared" si="229"/>
        <v>USELESS CREEKCoho</v>
      </c>
      <c r="BK568" s="26">
        <f t="shared" si="230"/>
        <v>0</v>
      </c>
      <c r="BL568" s="33">
        <f t="shared" si="248"/>
        <v>0</v>
      </c>
      <c r="BQ568" s="47" t="str">
        <f t="shared" si="231"/>
        <v>USELESS CREEKCoho</v>
      </c>
      <c r="BR568" s="49">
        <f t="shared" si="232"/>
        <v>0</v>
      </c>
      <c r="BS568" s="49">
        <f t="shared" si="233"/>
        <v>0</v>
      </c>
      <c r="BT568" s="31">
        <v>1979</v>
      </c>
      <c r="BU568" s="188">
        <f t="shared" si="234"/>
        <v>0</v>
      </c>
      <c r="BV568" s="188" t="str">
        <f t="shared" si="235"/>
        <v xml:space="preserve"> </v>
      </c>
      <c r="BW568" s="188" t="str">
        <f t="shared" si="236"/>
        <v xml:space="preserve"> </v>
      </c>
      <c r="BX568" s="188" t="str">
        <f t="shared" si="237"/>
        <v xml:space="preserve"> </v>
      </c>
      <c r="BY568" s="50" t="str">
        <f t="shared" si="249"/>
        <v>USELESS CREEK_Coho</v>
      </c>
      <c r="BZ568" s="50" t="str">
        <f>IFERROR(VLOOKUP(BY568,'[1]WCVI Esc'!$C$5:$W$555,18,FALSE),"-")</f>
        <v>-</v>
      </c>
      <c r="CA568" s="50" t="str">
        <f t="shared" si="238"/>
        <v>-</v>
      </c>
      <c r="CB568" s="50" t="str">
        <f>IFERROR(VLOOKUP(BY568,'[1]WCVI Esc'!$C$5:$W$555,19,FALSE),"-")</f>
        <v>-</v>
      </c>
      <c r="CC568" s="50" t="str">
        <f t="shared" si="239"/>
        <v>-</v>
      </c>
      <c r="CE568" s="342" t="str">
        <f t="shared" ref="CE568:CE631" si="250">CONCATENATE(E568,"_",F568)</f>
        <v>USELESS CREEK_Coho</v>
      </c>
      <c r="CF568" s="341" t="str">
        <f>IFERROR(VLOOKUP(BY568,'RawPL+D'!$O$8:$AB$503,12,FALSE),"-")</f>
        <v>-</v>
      </c>
      <c r="CG568" s="338" t="str">
        <f t="shared" si="240"/>
        <v>-</v>
      </c>
      <c r="CH568" s="341" t="str">
        <f>IFERROR(VLOOKUP(BY568,'RawPL+D'!$O$8:$AB$503,13,FALSE),"-")</f>
        <v>-</v>
      </c>
      <c r="CI568" s="338" t="str">
        <f t="shared" si="241"/>
        <v>-</v>
      </c>
    </row>
    <row r="569" spans="1:87" ht="12.75" hidden="1" customHeight="1" x14ac:dyDescent="0.2">
      <c r="A569" s="28">
        <v>4</v>
      </c>
      <c r="B569" s="28">
        <v>3</v>
      </c>
      <c r="C569" s="11">
        <v>23</v>
      </c>
      <c r="D569" s="148" t="s">
        <v>294</v>
      </c>
      <c r="E569" s="10" t="s">
        <v>111</v>
      </c>
      <c r="F569" s="10" t="s">
        <v>208</v>
      </c>
      <c r="G569" s="10"/>
      <c r="H569" s="10"/>
      <c r="I569" s="10"/>
      <c r="J569" s="10"/>
      <c r="K569" s="575"/>
      <c r="L569" s="152"/>
      <c r="M569" s="164"/>
      <c r="N569" s="62"/>
      <c r="O569" s="62"/>
      <c r="P569" s="177"/>
      <c r="Q569" s="171"/>
      <c r="R569" s="62"/>
      <c r="S569" s="62"/>
      <c r="T569" s="62"/>
      <c r="U569" s="64"/>
      <c r="V569" s="164"/>
      <c r="W569" s="62"/>
      <c r="X569" s="62"/>
      <c r="Y569" s="62"/>
      <c r="Z569" s="64"/>
      <c r="AA569" s="164"/>
      <c r="AB569" s="62"/>
      <c r="AC569" s="62"/>
      <c r="AD569" s="64"/>
      <c r="AE569" s="164"/>
      <c r="AF569" s="62"/>
      <c r="AG569" s="62"/>
      <c r="AH569" s="337"/>
      <c r="AI569" s="337"/>
      <c r="AJ569" s="337"/>
      <c r="AK569" s="337"/>
      <c r="AL569" s="414"/>
      <c r="AM569" s="414"/>
      <c r="AN569" s="45"/>
      <c r="AO569" s="45"/>
      <c r="AP569" s="45"/>
      <c r="AQ569" s="485"/>
      <c r="AR569" s="100"/>
      <c r="AS569" s="485"/>
      <c r="AT569" s="24"/>
      <c r="AU569" s="24"/>
      <c r="AV569" s="24"/>
      <c r="AW569" s="18">
        <v>23</v>
      </c>
      <c r="AX569" s="69" t="s">
        <v>294</v>
      </c>
      <c r="AY569" s="243" t="s">
        <v>111</v>
      </c>
      <c r="AZ569" s="243" t="str">
        <f t="shared" si="225"/>
        <v>Pink</v>
      </c>
      <c r="BA569" s="243" t="s">
        <v>419</v>
      </c>
      <c r="BB569" s="246"/>
      <c r="BC569" s="43" t="str">
        <f t="shared" si="226"/>
        <v>-</v>
      </c>
      <c r="BD569" s="43">
        <f t="shared" si="247"/>
        <v>0</v>
      </c>
      <c r="BE569" s="193">
        <f t="shared" si="243"/>
        <v>0</v>
      </c>
      <c r="BF569" s="193">
        <f t="shared" si="227"/>
        <v>0</v>
      </c>
      <c r="BG569" s="193">
        <f t="shared" si="228"/>
        <v>0</v>
      </c>
      <c r="BH569" s="307" t="str">
        <f t="shared" si="246"/>
        <v>-</v>
      </c>
      <c r="BI569" s="265" t="str">
        <f t="shared" si="245"/>
        <v>-</v>
      </c>
      <c r="BJ569" s="26" t="str">
        <f t="shared" si="229"/>
        <v>USELESS CREEKPink</v>
      </c>
      <c r="BK569" s="26">
        <f t="shared" si="230"/>
        <v>0</v>
      </c>
      <c r="BL569" s="33">
        <f t="shared" si="248"/>
        <v>0</v>
      </c>
      <c r="BQ569" s="47" t="str">
        <f t="shared" si="231"/>
        <v>USELESS CREEKPink</v>
      </c>
      <c r="BR569" s="49">
        <f t="shared" si="232"/>
        <v>0</v>
      </c>
      <c r="BS569" s="49">
        <f t="shared" si="233"/>
        <v>0</v>
      </c>
      <c r="BT569" s="31">
        <v>0</v>
      </c>
      <c r="BU569" s="188">
        <f t="shared" si="234"/>
        <v>0</v>
      </c>
      <c r="BV569" s="188" t="str">
        <f t="shared" si="235"/>
        <v xml:space="preserve"> </v>
      </c>
      <c r="BW569" s="188" t="str">
        <f t="shared" si="236"/>
        <v xml:space="preserve"> </v>
      </c>
      <c r="BX569" s="188" t="str">
        <f t="shared" si="237"/>
        <v xml:space="preserve"> </v>
      </c>
      <c r="BY569" s="50" t="str">
        <f t="shared" si="249"/>
        <v>USELESS CREEK_Pink</v>
      </c>
      <c r="BZ569" s="50" t="str">
        <f>IFERROR(VLOOKUP(BY569,'[1]WCVI Esc'!$C$5:$W$555,18,FALSE),"-")</f>
        <v>-</v>
      </c>
      <c r="CA569" s="50" t="str">
        <f t="shared" si="238"/>
        <v>-</v>
      </c>
      <c r="CB569" s="50" t="str">
        <f>IFERROR(VLOOKUP(BY569,'[1]WCVI Esc'!$C$5:$W$555,19,FALSE),"-")</f>
        <v>-</v>
      </c>
      <c r="CC569" s="50" t="str">
        <f t="shared" si="239"/>
        <v>-</v>
      </c>
      <c r="CE569" s="342" t="str">
        <f t="shared" si="250"/>
        <v>USELESS CREEK_Pink</v>
      </c>
      <c r="CF569" s="341" t="str">
        <f>IFERROR(VLOOKUP(BY569,'RawPL+D'!$O$8:$AB$503,12,FALSE),"-")</f>
        <v>-</v>
      </c>
      <c r="CG569" s="338" t="str">
        <f t="shared" si="240"/>
        <v>-</v>
      </c>
      <c r="CH569" s="341" t="str">
        <f>IFERROR(VLOOKUP(BY569,'RawPL+D'!$O$8:$AB$503,13,FALSE),"-")</f>
        <v>-</v>
      </c>
      <c r="CI569" s="338" t="str">
        <f t="shared" si="241"/>
        <v>-</v>
      </c>
    </row>
    <row r="570" spans="1:87" ht="12.75" hidden="1" customHeight="1" x14ac:dyDescent="0.2">
      <c r="A570" s="28">
        <v>4</v>
      </c>
      <c r="B570" s="28">
        <v>4</v>
      </c>
      <c r="C570" s="11">
        <v>23</v>
      </c>
      <c r="D570" s="148" t="s">
        <v>294</v>
      </c>
      <c r="E570" s="10" t="s">
        <v>111</v>
      </c>
      <c r="F570" s="10" t="s">
        <v>209</v>
      </c>
      <c r="G570" s="10"/>
      <c r="H570" s="10"/>
      <c r="I570" s="10"/>
      <c r="J570" s="10"/>
      <c r="K570" s="575"/>
      <c r="L570" s="152"/>
      <c r="M570" s="164"/>
      <c r="N570" s="62"/>
      <c r="O570" s="62"/>
      <c r="P570" s="177"/>
      <c r="Q570" s="171"/>
      <c r="R570" s="62"/>
      <c r="S570" s="62"/>
      <c r="T570" s="62"/>
      <c r="U570" s="64"/>
      <c r="V570" s="164"/>
      <c r="W570" s="62"/>
      <c r="X570" s="62"/>
      <c r="Y570" s="62"/>
      <c r="Z570" s="64"/>
      <c r="AA570" s="164"/>
      <c r="AB570" s="62"/>
      <c r="AC570" s="62"/>
      <c r="AD570" s="64"/>
      <c r="AE570" s="164"/>
      <c r="AF570" s="62"/>
      <c r="AG570" s="62"/>
      <c r="AH570" s="337"/>
      <c r="AI570" s="337"/>
      <c r="AJ570" s="337"/>
      <c r="AK570" s="337"/>
      <c r="AL570" s="414"/>
      <c r="AM570" s="414"/>
      <c r="AN570" s="45"/>
      <c r="AO570" s="45"/>
      <c r="AP570" s="45"/>
      <c r="AQ570" s="485"/>
      <c r="AR570" s="100"/>
      <c r="AS570" s="485"/>
      <c r="AT570" s="24"/>
      <c r="AU570" s="24"/>
      <c r="AV570" s="24"/>
      <c r="AW570" s="18">
        <v>23</v>
      </c>
      <c r="AX570" s="69" t="s">
        <v>294</v>
      </c>
      <c r="AY570" s="243" t="s">
        <v>111</v>
      </c>
      <c r="AZ570" s="243" t="str">
        <f t="shared" si="225"/>
        <v>Chum</v>
      </c>
      <c r="BA570" s="243" t="s">
        <v>419</v>
      </c>
      <c r="BB570" s="246"/>
      <c r="BC570" s="43" t="str">
        <f t="shared" si="226"/>
        <v>-</v>
      </c>
      <c r="BD570" s="43">
        <f t="shared" si="247"/>
        <v>0</v>
      </c>
      <c r="BE570" s="193">
        <f t="shared" si="243"/>
        <v>0</v>
      </c>
      <c r="BF570" s="193">
        <f t="shared" si="227"/>
        <v>0</v>
      </c>
      <c r="BG570" s="193">
        <f t="shared" si="228"/>
        <v>0</v>
      </c>
      <c r="BH570" s="307" t="str">
        <f t="shared" si="246"/>
        <v>-</v>
      </c>
      <c r="BI570" s="266"/>
      <c r="BJ570" s="26" t="str">
        <f t="shared" si="229"/>
        <v>USELESS CREEKChum</v>
      </c>
      <c r="BK570" s="26">
        <f t="shared" si="230"/>
        <v>0</v>
      </c>
      <c r="BL570" s="33">
        <f t="shared" si="248"/>
        <v>0</v>
      </c>
      <c r="BQ570" s="47" t="str">
        <f t="shared" si="231"/>
        <v>USELESS CREEKChum</v>
      </c>
      <c r="BR570" s="49">
        <f t="shared" si="232"/>
        <v>0</v>
      </c>
      <c r="BS570" s="49">
        <f t="shared" si="233"/>
        <v>0</v>
      </c>
      <c r="BT570" s="31">
        <v>1998</v>
      </c>
      <c r="BU570" s="188">
        <f t="shared" si="234"/>
        <v>0</v>
      </c>
      <c r="BV570" s="188" t="str">
        <f t="shared" si="235"/>
        <v xml:space="preserve"> </v>
      </c>
      <c r="BW570" s="188" t="str">
        <f t="shared" si="236"/>
        <v xml:space="preserve"> </v>
      </c>
      <c r="BX570" s="188" t="str">
        <f t="shared" si="237"/>
        <v xml:space="preserve"> </v>
      </c>
      <c r="BY570" s="50" t="str">
        <f t="shared" si="249"/>
        <v>USELESS CREEK_Chum</v>
      </c>
      <c r="BZ570" s="50" t="str">
        <f>IFERROR(VLOOKUP(BY570,'[1]WCVI Esc'!$C$5:$W$555,18,FALSE),"-")</f>
        <v>-</v>
      </c>
      <c r="CA570" s="50" t="str">
        <f t="shared" si="238"/>
        <v>-</v>
      </c>
      <c r="CB570" s="50" t="str">
        <f>IFERROR(VLOOKUP(BY570,'[1]WCVI Esc'!$C$5:$W$555,19,FALSE),"-")</f>
        <v>-</v>
      </c>
      <c r="CC570" s="50" t="str">
        <f t="shared" si="239"/>
        <v>-</v>
      </c>
      <c r="CE570" s="342" t="str">
        <f t="shared" si="250"/>
        <v>USELESS CREEK_Chum</v>
      </c>
      <c r="CF570" s="341" t="str">
        <f>IFERROR(VLOOKUP(BY570,'RawPL+D'!$O$8:$AB$503,12,FALSE),"-")</f>
        <v>-</v>
      </c>
      <c r="CG570" s="338" t="str">
        <f t="shared" si="240"/>
        <v>-</v>
      </c>
      <c r="CH570" s="341" t="str">
        <f>IFERROR(VLOOKUP(BY570,'RawPL+D'!$O$8:$AB$503,13,FALSE),"-")</f>
        <v>-</v>
      </c>
      <c r="CI570" s="338" t="str">
        <f t="shared" si="241"/>
        <v>-</v>
      </c>
    </row>
    <row r="571" spans="1:87" ht="12.75" hidden="1" customHeight="1" x14ac:dyDescent="0.2">
      <c r="A571" s="28">
        <v>4</v>
      </c>
      <c r="B571" s="28">
        <v>5</v>
      </c>
      <c r="C571" s="11">
        <v>23</v>
      </c>
      <c r="D571" s="148" t="s">
        <v>294</v>
      </c>
      <c r="E571" s="10" t="s">
        <v>111</v>
      </c>
      <c r="F571" s="10" t="s">
        <v>210</v>
      </c>
      <c r="G571" s="10"/>
      <c r="H571" s="10"/>
      <c r="I571" s="10"/>
      <c r="J571" s="10"/>
      <c r="K571" s="575"/>
      <c r="L571" s="152"/>
      <c r="M571" s="164"/>
      <c r="N571" s="62"/>
      <c r="O571" s="62"/>
      <c r="P571" s="177"/>
      <c r="Q571" s="171"/>
      <c r="R571" s="62"/>
      <c r="S571" s="62"/>
      <c r="T571" s="62"/>
      <c r="U571" s="64"/>
      <c r="V571" s="164"/>
      <c r="W571" s="62"/>
      <c r="X571" s="62"/>
      <c r="Y571" s="62"/>
      <c r="Z571" s="64"/>
      <c r="AA571" s="164"/>
      <c r="AB571" s="62"/>
      <c r="AC571" s="62"/>
      <c r="AD571" s="64"/>
      <c r="AE571" s="164"/>
      <c r="AF571" s="62"/>
      <c r="AG571" s="62"/>
      <c r="AH571" s="337"/>
      <c r="AI571" s="337"/>
      <c r="AJ571" s="337"/>
      <c r="AK571" s="337"/>
      <c r="AL571" s="414"/>
      <c r="AM571" s="414"/>
      <c r="AN571" s="45"/>
      <c r="AO571" s="45"/>
      <c r="AP571" s="45"/>
      <c r="AQ571" s="485"/>
      <c r="AR571" s="100"/>
      <c r="AS571" s="485"/>
      <c r="AT571" s="24"/>
      <c r="AU571" s="24"/>
      <c r="AV571" s="24"/>
      <c r="AW571" s="18">
        <v>23</v>
      </c>
      <c r="AX571" s="69" t="s">
        <v>294</v>
      </c>
      <c r="AY571" s="243" t="s">
        <v>111</v>
      </c>
      <c r="AZ571" s="243" t="str">
        <f t="shared" si="225"/>
        <v>Chinook</v>
      </c>
      <c r="BA571" s="243" t="s">
        <v>419</v>
      </c>
      <c r="BB571" s="246"/>
      <c r="BC571" s="43" t="str">
        <f t="shared" si="226"/>
        <v>-</v>
      </c>
      <c r="BD571" s="43">
        <f t="shared" si="247"/>
        <v>0</v>
      </c>
      <c r="BE571" s="193">
        <f t="shared" si="243"/>
        <v>0</v>
      </c>
      <c r="BF571" s="193">
        <f t="shared" si="227"/>
        <v>0</v>
      </c>
      <c r="BG571" s="193">
        <f t="shared" si="228"/>
        <v>0</v>
      </c>
      <c r="BH571" s="307" t="str">
        <f t="shared" si="246"/>
        <v>-</v>
      </c>
      <c r="BI571" s="266"/>
      <c r="BJ571" s="26" t="str">
        <f t="shared" si="229"/>
        <v>USELESS CREEKChinook</v>
      </c>
      <c r="BK571" s="26">
        <f t="shared" si="230"/>
        <v>0</v>
      </c>
      <c r="BL571" s="33">
        <f t="shared" si="248"/>
        <v>0</v>
      </c>
      <c r="BQ571" s="47" t="str">
        <f t="shared" si="231"/>
        <v>USELESS CREEKChinook</v>
      </c>
      <c r="BR571" s="49">
        <f t="shared" si="232"/>
        <v>0</v>
      </c>
      <c r="BS571" s="49">
        <f t="shared" si="233"/>
        <v>0</v>
      </c>
      <c r="BT571" s="31">
        <v>0</v>
      </c>
      <c r="BU571" s="188">
        <f t="shared" si="234"/>
        <v>0</v>
      </c>
      <c r="BV571" s="188" t="str">
        <f t="shared" si="235"/>
        <v xml:space="preserve"> </v>
      </c>
      <c r="BW571" s="188" t="str">
        <f t="shared" si="236"/>
        <v xml:space="preserve"> </v>
      </c>
      <c r="BX571" s="188" t="str">
        <f t="shared" si="237"/>
        <v xml:space="preserve"> </v>
      </c>
      <c r="BY571" s="50" t="str">
        <f t="shared" si="249"/>
        <v>USELESS CREEK_Chinook</v>
      </c>
      <c r="BZ571" s="50" t="str">
        <f>IFERROR(VLOOKUP(BY571,'[1]WCVI Esc'!$C$5:$W$555,18,FALSE),"-")</f>
        <v>-</v>
      </c>
      <c r="CA571" s="50" t="str">
        <f t="shared" si="238"/>
        <v>-</v>
      </c>
      <c r="CB571" s="50" t="str">
        <f>IFERROR(VLOOKUP(BY571,'[1]WCVI Esc'!$C$5:$W$555,19,FALSE),"-")</f>
        <v>-</v>
      </c>
      <c r="CC571" s="50" t="str">
        <f t="shared" si="239"/>
        <v>-</v>
      </c>
      <c r="CE571" s="342" t="str">
        <f t="shared" si="250"/>
        <v>USELESS CREEK_Chinook</v>
      </c>
      <c r="CF571" s="341" t="str">
        <f>IFERROR(VLOOKUP(BY571,'RawPL+D'!$O$8:$AB$503,12,FALSE),"-")</f>
        <v>-</v>
      </c>
      <c r="CG571" s="338" t="str">
        <f t="shared" si="240"/>
        <v>-</v>
      </c>
      <c r="CH571" s="341" t="str">
        <f>IFERROR(VLOOKUP(BY571,'RawPL+D'!$O$8:$AB$503,13,FALSE),"-")</f>
        <v>-</v>
      </c>
      <c r="CI571" s="338" t="str">
        <f t="shared" si="241"/>
        <v>-</v>
      </c>
    </row>
    <row r="572" spans="1:87" ht="12.75" hidden="1" customHeight="1" x14ac:dyDescent="0.2">
      <c r="A572" s="28">
        <v>4</v>
      </c>
      <c r="B572" s="28">
        <v>6</v>
      </c>
      <c r="C572" s="11">
        <v>23</v>
      </c>
      <c r="D572" s="148" t="s">
        <v>294</v>
      </c>
      <c r="E572" s="10" t="s">
        <v>111</v>
      </c>
      <c r="F572" s="10" t="s">
        <v>211</v>
      </c>
      <c r="G572" s="10"/>
      <c r="H572" s="10"/>
      <c r="I572" s="10"/>
      <c r="J572" s="10"/>
      <c r="K572" s="575"/>
      <c r="L572" s="152"/>
      <c r="M572" s="164"/>
      <c r="N572" s="62"/>
      <c r="O572" s="62"/>
      <c r="P572" s="177"/>
      <c r="Q572" s="171"/>
      <c r="R572" s="62"/>
      <c r="S572" s="62"/>
      <c r="T572" s="62"/>
      <c r="U572" s="64"/>
      <c r="V572" s="164"/>
      <c r="W572" s="62"/>
      <c r="X572" s="62"/>
      <c r="Y572" s="62"/>
      <c r="Z572" s="64"/>
      <c r="AA572" s="164"/>
      <c r="AB572" s="62"/>
      <c r="AC572" s="62"/>
      <c r="AD572" s="64"/>
      <c r="AE572" s="164"/>
      <c r="AF572" s="62"/>
      <c r="AG572" s="62"/>
      <c r="AH572" s="337"/>
      <c r="AI572" s="337"/>
      <c r="AJ572" s="337"/>
      <c r="AK572" s="337"/>
      <c r="AL572" s="414"/>
      <c r="AM572" s="414"/>
      <c r="AN572" s="45"/>
      <c r="AO572" s="45"/>
      <c r="AP572" s="45"/>
      <c r="AQ572" s="485"/>
      <c r="AR572" s="100"/>
      <c r="AS572" s="485"/>
      <c r="AT572" s="24"/>
      <c r="AU572" s="24"/>
      <c r="AV572" s="24"/>
      <c r="AW572" s="18">
        <v>23</v>
      </c>
      <c r="AX572" s="69" t="s">
        <v>294</v>
      </c>
      <c r="AY572" s="243" t="s">
        <v>111</v>
      </c>
      <c r="AZ572" s="243" t="str">
        <f t="shared" si="225"/>
        <v>Steelhead</v>
      </c>
      <c r="BA572" s="243" t="s">
        <v>419</v>
      </c>
      <c r="BB572" s="246"/>
      <c r="BC572" s="43" t="str">
        <f t="shared" si="226"/>
        <v>-</v>
      </c>
      <c r="BD572" s="43">
        <f t="shared" si="247"/>
        <v>0</v>
      </c>
      <c r="BE572" s="193">
        <f t="shared" si="243"/>
        <v>0</v>
      </c>
      <c r="BF572" s="193">
        <f t="shared" si="227"/>
        <v>0</v>
      </c>
      <c r="BG572" s="193">
        <f t="shared" si="228"/>
        <v>0</v>
      </c>
      <c r="BH572" s="307" t="str">
        <f t="shared" si="246"/>
        <v>-</v>
      </c>
      <c r="BI572" s="266"/>
      <c r="BJ572" s="26" t="str">
        <f t="shared" si="229"/>
        <v>USELESS CREEKSteelhead</v>
      </c>
      <c r="BK572" s="26">
        <f t="shared" si="230"/>
        <v>0</v>
      </c>
      <c r="BL572" s="33">
        <f t="shared" si="248"/>
        <v>0</v>
      </c>
      <c r="BQ572" s="47" t="str">
        <f t="shared" si="231"/>
        <v>USELESS CREEKSteelhead</v>
      </c>
      <c r="BR572" s="49">
        <f t="shared" si="232"/>
        <v>0</v>
      </c>
      <c r="BS572" s="49">
        <f t="shared" si="233"/>
        <v>0</v>
      </c>
      <c r="BT572" s="31">
        <v>0</v>
      </c>
      <c r="BU572" s="188">
        <f t="shared" si="234"/>
        <v>0</v>
      </c>
      <c r="BV572" s="188" t="str">
        <f t="shared" si="235"/>
        <v xml:space="preserve"> </v>
      </c>
      <c r="BW572" s="188" t="str">
        <f t="shared" si="236"/>
        <v xml:space="preserve"> </v>
      </c>
      <c r="BX572" s="188" t="str">
        <f t="shared" si="237"/>
        <v xml:space="preserve"> </v>
      </c>
      <c r="BY572" s="50" t="str">
        <f t="shared" si="249"/>
        <v>USELESS CREEK_Steelhead</v>
      </c>
      <c r="BZ572" s="50" t="str">
        <f>IFERROR(VLOOKUP(BY572,'[1]WCVI Esc'!$C$5:$W$555,18,FALSE),"-")</f>
        <v>-</v>
      </c>
      <c r="CA572" s="50" t="str">
        <f t="shared" si="238"/>
        <v>-</v>
      </c>
      <c r="CB572" s="50" t="str">
        <f>IFERROR(VLOOKUP(BY572,'[1]WCVI Esc'!$C$5:$W$555,19,FALSE),"-")</f>
        <v>-</v>
      </c>
      <c r="CC572" s="50" t="str">
        <f t="shared" si="239"/>
        <v>-</v>
      </c>
      <c r="CE572" s="342" t="str">
        <f t="shared" si="250"/>
        <v>USELESS CREEK_Steelhead</v>
      </c>
      <c r="CF572" s="341" t="str">
        <f>IFERROR(VLOOKUP(BY572,'RawPL+D'!$O$8:$AB$503,12,FALSE),"-")</f>
        <v>-</v>
      </c>
      <c r="CG572" s="338" t="str">
        <f t="shared" si="240"/>
        <v>-</v>
      </c>
      <c r="CH572" s="341" t="str">
        <f>IFERROR(VLOOKUP(BY572,'RawPL+D'!$O$8:$AB$503,13,FALSE),"-")</f>
        <v>-</v>
      </c>
      <c r="CI572" s="338" t="str">
        <f t="shared" si="241"/>
        <v>-</v>
      </c>
    </row>
    <row r="573" spans="1:87" ht="12.75" hidden="1" customHeight="1" x14ac:dyDescent="0.2">
      <c r="A573" s="28">
        <v>4</v>
      </c>
      <c r="B573" s="28">
        <v>1</v>
      </c>
      <c r="C573" s="11">
        <v>23</v>
      </c>
      <c r="D573" s="148" t="s">
        <v>358</v>
      </c>
      <c r="E573" s="10" t="s">
        <v>112</v>
      </c>
      <c r="F573" s="10" t="s">
        <v>207</v>
      </c>
      <c r="G573" s="10"/>
      <c r="H573" s="10"/>
      <c r="I573" s="10"/>
      <c r="J573" s="10"/>
      <c r="K573" s="575"/>
      <c r="L573" s="152"/>
      <c r="M573" s="164"/>
      <c r="N573" s="62"/>
      <c r="O573" s="62"/>
      <c r="P573" s="177"/>
      <c r="Q573" s="171"/>
      <c r="R573" s="62"/>
      <c r="S573" s="62"/>
      <c r="T573" s="62"/>
      <c r="U573" s="62"/>
      <c r="V573" s="164"/>
      <c r="W573" s="62"/>
      <c r="X573" s="62"/>
      <c r="Y573" s="62"/>
      <c r="Z573" s="64"/>
      <c r="AA573" s="164"/>
      <c r="AB573" s="62"/>
      <c r="AC573" s="62"/>
      <c r="AD573" s="64"/>
      <c r="AE573" s="164"/>
      <c r="AF573" s="62"/>
      <c r="AG573" s="62"/>
      <c r="AH573" s="337"/>
      <c r="AI573" s="337"/>
      <c r="AJ573" s="337"/>
      <c r="AK573" s="337"/>
      <c r="AL573" s="414"/>
      <c r="AM573" s="414"/>
      <c r="AN573" s="45"/>
      <c r="AO573" s="45"/>
      <c r="AP573" s="45"/>
      <c r="AQ573" s="485"/>
      <c r="AR573" s="100"/>
      <c r="AS573" s="485"/>
      <c r="AT573" s="24"/>
      <c r="AU573" s="24"/>
      <c r="AV573" s="24"/>
      <c r="AW573" s="18">
        <v>23</v>
      </c>
      <c r="AX573" s="69" t="s">
        <v>358</v>
      </c>
      <c r="AY573" s="243" t="s">
        <v>112</v>
      </c>
      <c r="AZ573" s="243" t="str">
        <f t="shared" si="225"/>
        <v>Sockeye</v>
      </c>
      <c r="BA573" s="243" t="s">
        <v>419</v>
      </c>
      <c r="BB573" s="246"/>
      <c r="BC573" s="43" t="str">
        <f t="shared" si="226"/>
        <v>-</v>
      </c>
      <c r="BD573" s="43">
        <f t="shared" si="247"/>
        <v>0</v>
      </c>
      <c r="BE573" s="193">
        <f t="shared" si="243"/>
        <v>0</v>
      </c>
      <c r="BF573" s="193">
        <f t="shared" si="227"/>
        <v>0</v>
      </c>
      <c r="BG573" s="193">
        <f t="shared" si="228"/>
        <v>0</v>
      </c>
      <c r="BH573" s="307" t="str">
        <f t="shared" si="246"/>
        <v>-</v>
      </c>
      <c r="BI573" s="268"/>
      <c r="BJ573" s="26" t="str">
        <f t="shared" si="229"/>
        <v>VERNON BAY CREEKSockeye</v>
      </c>
      <c r="BK573" s="26">
        <f t="shared" si="230"/>
        <v>0</v>
      </c>
      <c r="BL573" s="33">
        <f t="shared" si="248"/>
        <v>0</v>
      </c>
      <c r="BQ573" s="47" t="str">
        <f t="shared" si="231"/>
        <v>VERNON BAY CREEKSockeye</v>
      </c>
      <c r="BR573" s="49">
        <f t="shared" si="232"/>
        <v>0</v>
      </c>
      <c r="BS573" s="49">
        <f t="shared" si="233"/>
        <v>0</v>
      </c>
      <c r="BT573" s="31">
        <v>0</v>
      </c>
      <c r="BU573" s="188">
        <f t="shared" si="234"/>
        <v>0</v>
      </c>
      <c r="BV573" s="188" t="str">
        <f t="shared" si="235"/>
        <v xml:space="preserve"> </v>
      </c>
      <c r="BW573" s="188" t="str">
        <f t="shared" si="236"/>
        <v xml:space="preserve"> </v>
      </c>
      <c r="BX573" s="188" t="str">
        <f t="shared" si="237"/>
        <v xml:space="preserve"> </v>
      </c>
      <c r="BY573" s="50" t="str">
        <f t="shared" si="249"/>
        <v>VERNON BAY CREEK_Sockeye</v>
      </c>
      <c r="BZ573" s="50" t="str">
        <f>IFERROR(VLOOKUP(BY573,'[1]WCVI Esc'!$C$5:$W$555,18,FALSE),"-")</f>
        <v>-</v>
      </c>
      <c r="CA573" s="50" t="str">
        <f t="shared" si="238"/>
        <v>-</v>
      </c>
      <c r="CB573" s="50" t="str">
        <f>IFERROR(VLOOKUP(BY573,'[1]WCVI Esc'!$C$5:$W$555,19,FALSE),"-")</f>
        <v>-</v>
      </c>
      <c r="CC573" s="50" t="str">
        <f t="shared" si="239"/>
        <v>-</v>
      </c>
      <c r="CE573" s="342" t="str">
        <f t="shared" si="250"/>
        <v>VERNON BAY CREEK_Sockeye</v>
      </c>
      <c r="CF573" s="341" t="str">
        <f>IFERROR(VLOOKUP(BY573,'RawPL+D'!$O$8:$AB$503,12,FALSE),"-")</f>
        <v>-</v>
      </c>
      <c r="CG573" s="338" t="str">
        <f t="shared" si="240"/>
        <v>-</v>
      </c>
      <c r="CH573" s="341" t="str">
        <f>IFERROR(VLOOKUP(BY573,'RawPL+D'!$O$8:$AB$503,13,FALSE),"-")</f>
        <v>-</v>
      </c>
      <c r="CI573" s="338" t="str">
        <f t="shared" si="241"/>
        <v>-</v>
      </c>
    </row>
    <row r="574" spans="1:87" ht="12.75" hidden="1" customHeight="1" x14ac:dyDescent="0.2">
      <c r="A574" s="28">
        <v>4</v>
      </c>
      <c r="B574" s="28">
        <v>2</v>
      </c>
      <c r="C574" s="11">
        <v>23</v>
      </c>
      <c r="D574" s="148" t="s">
        <v>358</v>
      </c>
      <c r="E574" s="10" t="s">
        <v>112</v>
      </c>
      <c r="F574" s="10" t="s">
        <v>219</v>
      </c>
      <c r="G574" s="10"/>
      <c r="H574" s="10"/>
      <c r="I574" s="10"/>
      <c r="J574" s="10"/>
      <c r="K574" s="575"/>
      <c r="L574" s="152"/>
      <c r="M574" s="164"/>
      <c r="N574" s="62"/>
      <c r="O574" s="62"/>
      <c r="P574" s="177"/>
      <c r="Q574" s="171"/>
      <c r="R574" s="62"/>
      <c r="S574" s="62"/>
      <c r="T574" s="62"/>
      <c r="U574" s="62"/>
      <c r="V574" s="164"/>
      <c r="W574" s="62"/>
      <c r="X574" s="62"/>
      <c r="Y574" s="62"/>
      <c r="Z574" s="64"/>
      <c r="AA574" s="164"/>
      <c r="AB574" s="62"/>
      <c r="AC574" s="62"/>
      <c r="AD574" s="64"/>
      <c r="AE574" s="164"/>
      <c r="AF574" s="62"/>
      <c r="AG574" s="62"/>
      <c r="AH574" s="337"/>
      <c r="AI574" s="337"/>
      <c r="AJ574" s="337"/>
      <c r="AK574" s="337"/>
      <c r="AL574" s="414"/>
      <c r="AM574" s="414"/>
      <c r="AN574" s="45"/>
      <c r="AO574" s="45"/>
      <c r="AP574" s="45"/>
      <c r="AQ574" s="485"/>
      <c r="AR574" s="100"/>
      <c r="AS574" s="485"/>
      <c r="AT574" s="24"/>
      <c r="AU574" s="24"/>
      <c r="AV574" s="24"/>
      <c r="AW574" s="18">
        <v>23</v>
      </c>
      <c r="AX574" s="69" t="s">
        <v>358</v>
      </c>
      <c r="AY574" s="243" t="s">
        <v>112</v>
      </c>
      <c r="AZ574" s="243" t="str">
        <f t="shared" si="225"/>
        <v>Coho</v>
      </c>
      <c r="BA574" s="243" t="s">
        <v>419</v>
      </c>
      <c r="BB574" s="246"/>
      <c r="BC574" s="43" t="str">
        <f t="shared" si="226"/>
        <v>-</v>
      </c>
      <c r="BD574" s="43">
        <f t="shared" si="247"/>
        <v>0</v>
      </c>
      <c r="BE574" s="193">
        <f t="shared" si="243"/>
        <v>0</v>
      </c>
      <c r="BF574" s="193">
        <f t="shared" si="227"/>
        <v>0</v>
      </c>
      <c r="BG574" s="193">
        <f t="shared" si="228"/>
        <v>0</v>
      </c>
      <c r="BH574" s="307" t="str">
        <f t="shared" si="246"/>
        <v>-</v>
      </c>
      <c r="BI574" s="268"/>
      <c r="BJ574" s="26" t="str">
        <f t="shared" si="229"/>
        <v>VERNON BAY CREEKCoho</v>
      </c>
      <c r="BK574" s="26">
        <f t="shared" si="230"/>
        <v>0</v>
      </c>
      <c r="BL574" s="33">
        <f t="shared" si="248"/>
        <v>0</v>
      </c>
      <c r="BQ574" s="47" t="str">
        <f t="shared" si="231"/>
        <v>VERNON BAY CREEKCoho</v>
      </c>
      <c r="BR574" s="49">
        <f t="shared" si="232"/>
        <v>0</v>
      </c>
      <c r="BS574" s="49">
        <f t="shared" si="233"/>
        <v>0</v>
      </c>
      <c r="BT574" s="31">
        <v>2004</v>
      </c>
      <c r="BU574" s="188">
        <f t="shared" si="234"/>
        <v>0</v>
      </c>
      <c r="BV574" s="188" t="str">
        <f t="shared" si="235"/>
        <v xml:space="preserve"> </v>
      </c>
      <c r="BW574" s="188" t="str">
        <f t="shared" si="236"/>
        <v xml:space="preserve"> </v>
      </c>
      <c r="BX574" s="188" t="str">
        <f t="shared" si="237"/>
        <v xml:space="preserve"> </v>
      </c>
      <c r="BY574" s="50" t="str">
        <f t="shared" si="249"/>
        <v>VERNON BAY CREEK_Coho</v>
      </c>
      <c r="BZ574" s="50" t="str">
        <f>IFERROR(VLOOKUP(BY574,'[1]WCVI Esc'!$C$5:$W$555,18,FALSE),"-")</f>
        <v>-</v>
      </c>
      <c r="CA574" s="50" t="str">
        <f t="shared" si="238"/>
        <v>-</v>
      </c>
      <c r="CB574" s="50" t="str">
        <f>IFERROR(VLOOKUP(BY574,'[1]WCVI Esc'!$C$5:$W$555,19,FALSE),"-")</f>
        <v>-</v>
      </c>
      <c r="CC574" s="50" t="str">
        <f t="shared" si="239"/>
        <v>-</v>
      </c>
      <c r="CE574" s="342" t="str">
        <f t="shared" si="250"/>
        <v>VERNON BAY CREEK_Coho</v>
      </c>
      <c r="CF574" s="341" t="str">
        <f>IFERROR(VLOOKUP(BY574,'RawPL+D'!$O$8:$AB$503,12,FALSE),"-")</f>
        <v>-</v>
      </c>
      <c r="CG574" s="338" t="str">
        <f t="shared" si="240"/>
        <v>-</v>
      </c>
      <c r="CH574" s="341" t="str">
        <f>IFERROR(VLOOKUP(BY574,'RawPL+D'!$O$8:$AB$503,13,FALSE),"-")</f>
        <v>-</v>
      </c>
      <c r="CI574" s="338" t="str">
        <f t="shared" si="241"/>
        <v>-</v>
      </c>
    </row>
    <row r="575" spans="1:87" ht="12.75" hidden="1" customHeight="1" x14ac:dyDescent="0.2">
      <c r="A575" s="28">
        <v>4</v>
      </c>
      <c r="B575" s="28">
        <v>3</v>
      </c>
      <c r="C575" s="11">
        <v>23</v>
      </c>
      <c r="D575" s="148" t="s">
        <v>358</v>
      </c>
      <c r="E575" s="10" t="s">
        <v>112</v>
      </c>
      <c r="F575" s="10" t="s">
        <v>208</v>
      </c>
      <c r="G575" s="10"/>
      <c r="H575" s="10"/>
      <c r="I575" s="10"/>
      <c r="J575" s="10"/>
      <c r="K575" s="575"/>
      <c r="L575" s="152"/>
      <c r="M575" s="164"/>
      <c r="N575" s="62"/>
      <c r="O575" s="62"/>
      <c r="P575" s="177"/>
      <c r="Q575" s="171"/>
      <c r="R575" s="62"/>
      <c r="S575" s="62"/>
      <c r="T575" s="62"/>
      <c r="U575" s="62"/>
      <c r="V575" s="164"/>
      <c r="W575" s="62"/>
      <c r="X575" s="62"/>
      <c r="Y575" s="62"/>
      <c r="Z575" s="64"/>
      <c r="AA575" s="164"/>
      <c r="AB575" s="62"/>
      <c r="AC575" s="62"/>
      <c r="AD575" s="64"/>
      <c r="AE575" s="164"/>
      <c r="AF575" s="62"/>
      <c r="AG575" s="62"/>
      <c r="AH575" s="337"/>
      <c r="AI575" s="337"/>
      <c r="AJ575" s="337"/>
      <c r="AK575" s="337"/>
      <c r="AL575" s="414"/>
      <c r="AM575" s="414"/>
      <c r="AN575" s="45"/>
      <c r="AO575" s="45"/>
      <c r="AP575" s="45"/>
      <c r="AQ575" s="485"/>
      <c r="AR575" s="100"/>
      <c r="AS575" s="485"/>
      <c r="AT575" s="24"/>
      <c r="AU575" s="24"/>
      <c r="AV575" s="24"/>
      <c r="AW575" s="18">
        <v>23</v>
      </c>
      <c r="AX575" s="69" t="s">
        <v>358</v>
      </c>
      <c r="AY575" s="243" t="s">
        <v>112</v>
      </c>
      <c r="AZ575" s="243" t="str">
        <f t="shared" si="225"/>
        <v>Pink</v>
      </c>
      <c r="BA575" s="243" t="s">
        <v>419</v>
      </c>
      <c r="BB575" s="246"/>
      <c r="BC575" s="43" t="str">
        <f t="shared" si="226"/>
        <v>-</v>
      </c>
      <c r="BD575" s="43">
        <f t="shared" si="247"/>
        <v>0</v>
      </c>
      <c r="BE575" s="193">
        <f t="shared" si="243"/>
        <v>0</v>
      </c>
      <c r="BF575" s="193">
        <f t="shared" si="227"/>
        <v>0</v>
      </c>
      <c r="BG575" s="193">
        <f t="shared" si="228"/>
        <v>0</v>
      </c>
      <c r="BH575" s="307" t="str">
        <f t="shared" si="246"/>
        <v>-</v>
      </c>
      <c r="BI575" s="267"/>
      <c r="BJ575" s="26" t="str">
        <f t="shared" si="229"/>
        <v>VERNON BAY CREEKPink</v>
      </c>
      <c r="BK575" s="26">
        <f t="shared" si="230"/>
        <v>0</v>
      </c>
      <c r="BL575" s="33">
        <f t="shared" si="248"/>
        <v>0</v>
      </c>
      <c r="BQ575" s="47" t="str">
        <f t="shared" si="231"/>
        <v>VERNON BAY CREEKPink</v>
      </c>
      <c r="BR575" s="49">
        <f t="shared" si="232"/>
        <v>0</v>
      </c>
      <c r="BS575" s="49">
        <f t="shared" si="233"/>
        <v>0</v>
      </c>
      <c r="BT575" s="31">
        <v>0</v>
      </c>
      <c r="BU575" s="188">
        <f t="shared" si="234"/>
        <v>0</v>
      </c>
      <c r="BV575" s="188" t="str">
        <f t="shared" si="235"/>
        <v xml:space="preserve"> </v>
      </c>
      <c r="BW575" s="188" t="str">
        <f t="shared" si="236"/>
        <v xml:space="preserve"> </v>
      </c>
      <c r="BX575" s="188" t="str">
        <f t="shared" si="237"/>
        <v xml:space="preserve"> </v>
      </c>
      <c r="BY575" s="50" t="str">
        <f t="shared" si="249"/>
        <v>VERNON BAY CREEK_Pink</v>
      </c>
      <c r="BZ575" s="50" t="str">
        <f>IFERROR(VLOOKUP(BY575,'[1]WCVI Esc'!$C$5:$W$555,18,FALSE),"-")</f>
        <v>-</v>
      </c>
      <c r="CA575" s="50" t="str">
        <f t="shared" si="238"/>
        <v>-</v>
      </c>
      <c r="CB575" s="50" t="str">
        <f>IFERROR(VLOOKUP(BY575,'[1]WCVI Esc'!$C$5:$W$555,19,FALSE),"-")</f>
        <v>-</v>
      </c>
      <c r="CC575" s="50" t="str">
        <f t="shared" si="239"/>
        <v>-</v>
      </c>
      <c r="CE575" s="342" t="str">
        <f t="shared" si="250"/>
        <v>VERNON BAY CREEK_Pink</v>
      </c>
      <c r="CF575" s="341" t="str">
        <f>IFERROR(VLOOKUP(BY575,'RawPL+D'!$O$8:$AB$503,12,FALSE),"-")</f>
        <v>-</v>
      </c>
      <c r="CG575" s="338" t="str">
        <f t="shared" si="240"/>
        <v>-</v>
      </c>
      <c r="CH575" s="341" t="str">
        <f>IFERROR(VLOOKUP(BY575,'RawPL+D'!$O$8:$AB$503,13,FALSE),"-")</f>
        <v>-</v>
      </c>
      <c r="CI575" s="338" t="str">
        <f t="shared" si="241"/>
        <v>-</v>
      </c>
    </row>
    <row r="576" spans="1:87" ht="12.75" hidden="1" customHeight="1" x14ac:dyDescent="0.2">
      <c r="A576" s="28">
        <v>4</v>
      </c>
      <c r="B576" s="28">
        <v>4</v>
      </c>
      <c r="C576" s="11">
        <v>23</v>
      </c>
      <c r="D576" s="148" t="s">
        <v>358</v>
      </c>
      <c r="E576" s="10" t="s">
        <v>112</v>
      </c>
      <c r="F576" s="10" t="s">
        <v>209</v>
      </c>
      <c r="G576" s="10"/>
      <c r="H576" s="10"/>
      <c r="I576" s="10"/>
      <c r="J576" s="10"/>
      <c r="K576" s="575"/>
      <c r="L576" s="152"/>
      <c r="M576" s="164"/>
      <c r="N576" s="62"/>
      <c r="O576" s="62"/>
      <c r="P576" s="177"/>
      <c r="Q576" s="171"/>
      <c r="R576" s="62"/>
      <c r="S576" s="62"/>
      <c r="T576" s="62"/>
      <c r="U576" s="62"/>
      <c r="V576" s="164"/>
      <c r="W576" s="62"/>
      <c r="X576" s="62"/>
      <c r="Y576" s="62"/>
      <c r="Z576" s="64"/>
      <c r="AA576" s="164"/>
      <c r="AB576" s="62"/>
      <c r="AC576" s="62"/>
      <c r="AD576" s="64"/>
      <c r="AE576" s="164"/>
      <c r="AF576" s="62"/>
      <c r="AG576" s="62"/>
      <c r="AH576" s="337"/>
      <c r="AI576" s="337"/>
      <c r="AJ576" s="337"/>
      <c r="AK576" s="337"/>
      <c r="AL576" s="414"/>
      <c r="AM576" s="414"/>
      <c r="AN576" s="45"/>
      <c r="AO576" s="45"/>
      <c r="AP576" s="45"/>
      <c r="AQ576" s="485"/>
      <c r="AR576"/>
      <c r="AS576" s="485"/>
      <c r="AT576" s="24"/>
      <c r="AU576" s="24"/>
      <c r="AV576" s="24"/>
      <c r="AW576" s="18">
        <v>23</v>
      </c>
      <c r="AX576" s="69" t="s">
        <v>358</v>
      </c>
      <c r="AY576" s="243" t="s">
        <v>112</v>
      </c>
      <c r="AZ576" s="243" t="str">
        <f t="shared" si="225"/>
        <v>Chum</v>
      </c>
      <c r="BA576" s="243" t="s">
        <v>419</v>
      </c>
      <c r="BB576" s="246"/>
      <c r="BC576" s="43" t="str">
        <f t="shared" si="226"/>
        <v>-</v>
      </c>
      <c r="BD576" s="43">
        <f t="shared" si="247"/>
        <v>0</v>
      </c>
      <c r="BE576" s="193">
        <f t="shared" si="243"/>
        <v>0</v>
      </c>
      <c r="BF576" s="193">
        <f t="shared" si="227"/>
        <v>0</v>
      </c>
      <c r="BG576" s="193">
        <f t="shared" si="228"/>
        <v>0</v>
      </c>
      <c r="BH576" s="307" t="str">
        <f t="shared" si="246"/>
        <v>-</v>
      </c>
      <c r="BI576" s="268"/>
      <c r="BJ576" s="26" t="str">
        <f t="shared" si="229"/>
        <v>VERNON BAY CREEKChum</v>
      </c>
      <c r="BK576" s="26">
        <f t="shared" si="230"/>
        <v>0</v>
      </c>
      <c r="BL576" s="33">
        <f t="shared" si="248"/>
        <v>0</v>
      </c>
      <c r="BQ576" s="47" t="str">
        <f t="shared" si="231"/>
        <v>VERNON BAY CREEKChum</v>
      </c>
      <c r="BR576" s="49">
        <f t="shared" si="232"/>
        <v>0</v>
      </c>
      <c r="BS576" s="49">
        <f t="shared" si="233"/>
        <v>0</v>
      </c>
      <c r="BT576" s="31">
        <v>2004</v>
      </c>
      <c r="BU576" s="188">
        <f t="shared" si="234"/>
        <v>0</v>
      </c>
      <c r="BV576" s="188" t="str">
        <f t="shared" si="235"/>
        <v xml:space="preserve"> </v>
      </c>
      <c r="BW576" s="188" t="str">
        <f t="shared" si="236"/>
        <v xml:space="preserve"> </v>
      </c>
      <c r="BX576" s="188" t="str">
        <f t="shared" si="237"/>
        <v xml:space="preserve"> </v>
      </c>
      <c r="BY576" s="50" t="str">
        <f t="shared" si="249"/>
        <v>VERNON BAY CREEK_Chum</v>
      </c>
      <c r="BZ576" s="50" t="str">
        <f>IFERROR(VLOOKUP(BY576,'[1]WCVI Esc'!$C$5:$W$555,18,FALSE),"-")</f>
        <v>-</v>
      </c>
      <c r="CA576" s="50" t="str">
        <f t="shared" si="238"/>
        <v>-</v>
      </c>
      <c r="CB576" s="50" t="str">
        <f>IFERROR(VLOOKUP(BY576,'[1]WCVI Esc'!$C$5:$W$555,19,FALSE),"-")</f>
        <v>-</v>
      </c>
      <c r="CC576" s="50" t="str">
        <f t="shared" si="239"/>
        <v>-</v>
      </c>
      <c r="CE576" s="342" t="str">
        <f t="shared" si="250"/>
        <v>VERNON BAY CREEK_Chum</v>
      </c>
      <c r="CF576" s="341" t="str">
        <f>IFERROR(VLOOKUP(BY576,'RawPL+D'!$O$8:$AB$503,12,FALSE),"-")</f>
        <v>-</v>
      </c>
      <c r="CG576" s="338" t="str">
        <f t="shared" si="240"/>
        <v>-</v>
      </c>
      <c r="CH576" s="341" t="str">
        <f>IFERROR(VLOOKUP(BY576,'RawPL+D'!$O$8:$AB$503,13,FALSE),"-")</f>
        <v>-</v>
      </c>
      <c r="CI576" s="338" t="str">
        <f t="shared" si="241"/>
        <v>-</v>
      </c>
    </row>
    <row r="577" spans="1:87" ht="12.75" hidden="1" customHeight="1" x14ac:dyDescent="0.2">
      <c r="A577" s="28">
        <v>4</v>
      </c>
      <c r="B577" s="28">
        <v>5</v>
      </c>
      <c r="C577" s="11">
        <v>23</v>
      </c>
      <c r="D577" s="148" t="s">
        <v>358</v>
      </c>
      <c r="E577" s="10" t="s">
        <v>112</v>
      </c>
      <c r="F577" s="10" t="s">
        <v>210</v>
      </c>
      <c r="G577" s="10"/>
      <c r="H577" s="10"/>
      <c r="I577" s="10"/>
      <c r="J577" s="10"/>
      <c r="K577" s="575"/>
      <c r="L577" s="152"/>
      <c r="M577" s="164"/>
      <c r="N577" s="62"/>
      <c r="O577" s="62"/>
      <c r="P577" s="177"/>
      <c r="Q577" s="171"/>
      <c r="R577" s="62"/>
      <c r="S577" s="62"/>
      <c r="T577" s="62"/>
      <c r="U577" s="62"/>
      <c r="V577" s="164"/>
      <c r="W577" s="62"/>
      <c r="X577" s="62"/>
      <c r="Y577" s="62"/>
      <c r="Z577" s="64"/>
      <c r="AA577" s="164"/>
      <c r="AB577" s="62"/>
      <c r="AC577" s="62"/>
      <c r="AD577" s="64"/>
      <c r="AE577" s="164"/>
      <c r="AF577" s="62"/>
      <c r="AG577" s="62"/>
      <c r="AH577" s="337"/>
      <c r="AI577" s="337"/>
      <c r="AJ577" s="337"/>
      <c r="AK577" s="337"/>
      <c r="AL577" s="414"/>
      <c r="AM577" s="414"/>
      <c r="AN577" s="45"/>
      <c r="AO577" s="45"/>
      <c r="AP577" s="45"/>
      <c r="AQ577" s="485"/>
      <c r="AR577" s="100"/>
      <c r="AS577" s="485"/>
      <c r="AT577" s="24"/>
      <c r="AU577" s="24"/>
      <c r="AV577" s="24"/>
      <c r="AW577" s="18">
        <v>23</v>
      </c>
      <c r="AX577" s="69" t="s">
        <v>358</v>
      </c>
      <c r="AY577" s="243" t="s">
        <v>112</v>
      </c>
      <c r="AZ577" s="243" t="str">
        <f t="shared" si="225"/>
        <v>Chinook</v>
      </c>
      <c r="BA577" s="243" t="s">
        <v>419</v>
      </c>
      <c r="BB577" s="246"/>
      <c r="BC577" s="43" t="str">
        <f t="shared" si="226"/>
        <v>-</v>
      </c>
      <c r="BD577" s="43">
        <f t="shared" si="247"/>
        <v>0</v>
      </c>
      <c r="BE577" s="193">
        <f t="shared" si="243"/>
        <v>0</v>
      </c>
      <c r="BF577" s="193">
        <f t="shared" si="227"/>
        <v>0</v>
      </c>
      <c r="BG577" s="193">
        <f t="shared" si="228"/>
        <v>0</v>
      </c>
      <c r="BH577" s="307" t="str">
        <f t="shared" si="246"/>
        <v>-</v>
      </c>
      <c r="BI577" s="268"/>
      <c r="BJ577" s="26" t="str">
        <f t="shared" si="229"/>
        <v>VERNON BAY CREEKChinook</v>
      </c>
      <c r="BK577" s="26">
        <f t="shared" si="230"/>
        <v>0</v>
      </c>
      <c r="BL577" s="33">
        <f t="shared" si="248"/>
        <v>0</v>
      </c>
      <c r="BQ577" s="47" t="str">
        <f t="shared" si="231"/>
        <v>VERNON BAY CREEKChinook</v>
      </c>
      <c r="BR577" s="49">
        <f t="shared" si="232"/>
        <v>0</v>
      </c>
      <c r="BS577" s="49">
        <f t="shared" si="233"/>
        <v>0</v>
      </c>
      <c r="BT577" s="31">
        <v>0</v>
      </c>
      <c r="BU577" s="188">
        <f t="shared" si="234"/>
        <v>0</v>
      </c>
      <c r="BV577" s="188" t="str">
        <f t="shared" si="235"/>
        <v xml:space="preserve"> </v>
      </c>
      <c r="BW577" s="188" t="str">
        <f t="shared" si="236"/>
        <v xml:space="preserve"> </v>
      </c>
      <c r="BX577" s="188" t="str">
        <f t="shared" si="237"/>
        <v xml:space="preserve"> </v>
      </c>
      <c r="BY577" s="50" t="str">
        <f t="shared" si="249"/>
        <v>VERNON BAY CREEK_Chinook</v>
      </c>
      <c r="BZ577" s="50" t="str">
        <f>IFERROR(VLOOKUP(BY577,'[1]WCVI Esc'!$C$5:$W$555,18,FALSE),"-")</f>
        <v>-</v>
      </c>
      <c r="CA577" s="50" t="str">
        <f t="shared" si="238"/>
        <v>-</v>
      </c>
      <c r="CB577" s="50" t="str">
        <f>IFERROR(VLOOKUP(BY577,'[1]WCVI Esc'!$C$5:$W$555,19,FALSE),"-")</f>
        <v>-</v>
      </c>
      <c r="CC577" s="50" t="str">
        <f t="shared" si="239"/>
        <v>-</v>
      </c>
      <c r="CE577" s="342" t="str">
        <f t="shared" si="250"/>
        <v>VERNON BAY CREEK_Chinook</v>
      </c>
      <c r="CF577" s="341" t="str">
        <f>IFERROR(VLOOKUP(BY577,'RawPL+D'!$O$8:$AB$503,12,FALSE),"-")</f>
        <v>-</v>
      </c>
      <c r="CG577" s="338" t="str">
        <f t="shared" si="240"/>
        <v>-</v>
      </c>
      <c r="CH577" s="341" t="str">
        <f>IFERROR(VLOOKUP(BY577,'RawPL+D'!$O$8:$AB$503,13,FALSE),"-")</f>
        <v>-</v>
      </c>
      <c r="CI577" s="338" t="str">
        <f t="shared" si="241"/>
        <v>-</v>
      </c>
    </row>
    <row r="578" spans="1:87" ht="12.75" hidden="1" customHeight="1" x14ac:dyDescent="0.2">
      <c r="A578" s="28">
        <v>4</v>
      </c>
      <c r="B578" s="28">
        <v>6</v>
      </c>
      <c r="C578" s="11">
        <v>23</v>
      </c>
      <c r="D578" s="148" t="s">
        <v>358</v>
      </c>
      <c r="E578" s="10" t="s">
        <v>112</v>
      </c>
      <c r="F578" s="10" t="s">
        <v>211</v>
      </c>
      <c r="G578" s="10"/>
      <c r="H578" s="10"/>
      <c r="I578" s="10"/>
      <c r="J578" s="10"/>
      <c r="K578" s="575"/>
      <c r="L578" s="152"/>
      <c r="M578" s="164"/>
      <c r="N578" s="62"/>
      <c r="O578" s="62"/>
      <c r="P578" s="177"/>
      <c r="Q578" s="171"/>
      <c r="R578" s="62"/>
      <c r="S578" s="62"/>
      <c r="T578" s="62"/>
      <c r="U578" s="62"/>
      <c r="V578" s="164"/>
      <c r="W578" s="62"/>
      <c r="X578" s="62"/>
      <c r="Y578" s="62"/>
      <c r="Z578" s="64"/>
      <c r="AA578" s="164"/>
      <c r="AB578" s="62"/>
      <c r="AC578" s="62"/>
      <c r="AD578" s="64"/>
      <c r="AE578" s="164"/>
      <c r="AF578" s="62"/>
      <c r="AG578" s="62"/>
      <c r="AH578" s="337"/>
      <c r="AI578" s="337"/>
      <c r="AJ578" s="337"/>
      <c r="AK578" s="337"/>
      <c r="AL578" s="414"/>
      <c r="AM578" s="414"/>
      <c r="AN578" s="45"/>
      <c r="AO578" s="45"/>
      <c r="AP578" s="45"/>
      <c r="AQ578" s="485"/>
      <c r="AR578" s="100"/>
      <c r="AS578" s="485"/>
      <c r="AT578" s="24"/>
      <c r="AU578" s="24"/>
      <c r="AV578" s="24"/>
      <c r="AW578" s="18">
        <v>23</v>
      </c>
      <c r="AX578" s="69" t="s">
        <v>358</v>
      </c>
      <c r="AY578" s="243" t="s">
        <v>112</v>
      </c>
      <c r="AZ578" s="243" t="str">
        <f t="shared" si="225"/>
        <v>Steelhead</v>
      </c>
      <c r="BA578" s="243" t="s">
        <v>419</v>
      </c>
      <c r="BB578" s="246"/>
      <c r="BC578" s="43" t="str">
        <f t="shared" si="226"/>
        <v>-</v>
      </c>
      <c r="BD578" s="43">
        <f t="shared" si="247"/>
        <v>0</v>
      </c>
      <c r="BE578" s="193">
        <f t="shared" si="243"/>
        <v>0</v>
      </c>
      <c r="BF578" s="193">
        <f t="shared" si="227"/>
        <v>0</v>
      </c>
      <c r="BG578" s="193">
        <f t="shared" si="228"/>
        <v>0</v>
      </c>
      <c r="BH578" s="307" t="str">
        <f t="shared" si="246"/>
        <v>-</v>
      </c>
      <c r="BI578" s="267"/>
      <c r="BJ578" s="26" t="str">
        <f t="shared" si="229"/>
        <v>VERNON BAY CREEKSteelhead</v>
      </c>
      <c r="BK578" s="26">
        <f t="shared" si="230"/>
        <v>0</v>
      </c>
      <c r="BL578" s="33">
        <f t="shared" si="248"/>
        <v>0</v>
      </c>
      <c r="BQ578" s="47" t="str">
        <f t="shared" si="231"/>
        <v>VERNON BAY CREEKSteelhead</v>
      </c>
      <c r="BR578" s="49">
        <f t="shared" si="232"/>
        <v>0</v>
      </c>
      <c r="BS578" s="49">
        <f t="shared" si="233"/>
        <v>0</v>
      </c>
      <c r="BT578" s="31">
        <v>0</v>
      </c>
      <c r="BU578" s="188">
        <f t="shared" si="234"/>
        <v>0</v>
      </c>
      <c r="BV578" s="188" t="str">
        <f t="shared" si="235"/>
        <v xml:space="preserve"> </v>
      </c>
      <c r="BW578" s="188" t="str">
        <f t="shared" si="236"/>
        <v xml:space="preserve"> </v>
      </c>
      <c r="BX578" s="188" t="str">
        <f t="shared" si="237"/>
        <v xml:space="preserve"> </v>
      </c>
      <c r="BY578" s="50" t="str">
        <f t="shared" si="249"/>
        <v>VERNON BAY CREEK_Steelhead</v>
      </c>
      <c r="BZ578" s="50" t="str">
        <f>IFERROR(VLOOKUP(BY578,'[1]WCVI Esc'!$C$5:$W$555,18,FALSE),"-")</f>
        <v>-</v>
      </c>
      <c r="CA578" s="50" t="str">
        <f t="shared" si="238"/>
        <v>-</v>
      </c>
      <c r="CB578" s="50" t="str">
        <f>IFERROR(VLOOKUP(BY578,'[1]WCVI Esc'!$C$5:$W$555,19,FALSE),"-")</f>
        <v>-</v>
      </c>
      <c r="CC578" s="50" t="str">
        <f t="shared" si="239"/>
        <v>-</v>
      </c>
      <c r="CE578" s="342" t="str">
        <f t="shared" si="250"/>
        <v>VERNON BAY CREEK_Steelhead</v>
      </c>
      <c r="CF578" s="341" t="str">
        <f>IFERROR(VLOOKUP(BY578,'RawPL+D'!$O$8:$AB$503,12,FALSE),"-")</f>
        <v>-</v>
      </c>
      <c r="CG578" s="338" t="str">
        <f t="shared" si="240"/>
        <v>-</v>
      </c>
      <c r="CH578" s="341" t="str">
        <f>IFERROR(VLOOKUP(BY578,'RawPL+D'!$O$8:$AB$503,13,FALSE),"-")</f>
        <v>-</v>
      </c>
      <c r="CI578" s="338" t="str">
        <f t="shared" si="241"/>
        <v>-</v>
      </c>
    </row>
    <row r="579" spans="1:87" ht="12.75" hidden="1" customHeight="1" x14ac:dyDescent="0.2">
      <c r="A579" s="28">
        <v>3</v>
      </c>
      <c r="B579" s="28">
        <v>1</v>
      </c>
      <c r="C579" s="11">
        <v>23</v>
      </c>
      <c r="D579" s="11" t="s">
        <v>305</v>
      </c>
      <c r="E579" s="10" t="s">
        <v>96</v>
      </c>
      <c r="F579" s="10" t="s">
        <v>207</v>
      </c>
      <c r="G579" s="10"/>
      <c r="H579" s="10"/>
      <c r="I579" s="10"/>
      <c r="J579" s="10"/>
      <c r="K579" s="575"/>
      <c r="L579" s="152"/>
      <c r="M579" s="164"/>
      <c r="N579" s="62"/>
      <c r="O579" s="642">
        <v>4</v>
      </c>
      <c r="P579" s="182"/>
      <c r="Q579" s="171"/>
      <c r="R579" s="642">
        <v>9</v>
      </c>
      <c r="S579" s="62"/>
      <c r="T579" s="675">
        <v>0</v>
      </c>
      <c r="U579" s="64"/>
      <c r="V579" s="421"/>
      <c r="W579" s="421"/>
      <c r="X579" s="390"/>
      <c r="Y579" s="62"/>
      <c r="Z579" s="64"/>
      <c r="AA579" s="164"/>
      <c r="AB579" s="62"/>
      <c r="AC579" s="62"/>
      <c r="AD579" s="64"/>
      <c r="AE579" s="164"/>
      <c r="AF579" s="62"/>
      <c r="AG579" s="62"/>
      <c r="AH579" s="337">
        <v>10</v>
      </c>
      <c r="AI579" s="337">
        <v>0</v>
      </c>
      <c r="AJ579" s="337">
        <v>0</v>
      </c>
      <c r="AK579" s="337">
        <v>0</v>
      </c>
      <c r="AL579" s="552">
        <v>10</v>
      </c>
      <c r="AM579" s="552">
        <v>10</v>
      </c>
      <c r="AN579" s="552" t="s">
        <v>765</v>
      </c>
      <c r="AO579" s="552" t="s">
        <v>773</v>
      </c>
      <c r="AP579" s="45"/>
      <c r="AQ579" s="485"/>
      <c r="AR579" s="485">
        <f>BL579/BH579</f>
        <v>0.45</v>
      </c>
      <c r="AS579" s="12"/>
      <c r="AT579" s="24"/>
      <c r="AU579" s="24"/>
      <c r="AV579" s="24"/>
      <c r="AW579" s="18">
        <v>23</v>
      </c>
      <c r="AX579" s="18" t="s">
        <v>305</v>
      </c>
      <c r="AY579" s="243" t="s">
        <v>96</v>
      </c>
      <c r="AZ579" s="243" t="str">
        <f t="shared" si="225"/>
        <v>Sockeye</v>
      </c>
      <c r="BA579" s="243" t="s">
        <v>419</v>
      </c>
      <c r="BB579" s="244" t="s">
        <v>289</v>
      </c>
      <c r="BC579" s="43" t="str">
        <f t="shared" si="226"/>
        <v>Oct 22-28</v>
      </c>
      <c r="BD579" s="43">
        <f t="shared" si="247"/>
        <v>3</v>
      </c>
      <c r="BE579" s="193">
        <f t="shared" si="243"/>
        <v>9</v>
      </c>
      <c r="BF579" s="193">
        <f t="shared" si="227"/>
        <v>10</v>
      </c>
      <c r="BG579" s="193">
        <f t="shared" si="228"/>
        <v>10</v>
      </c>
      <c r="BH579" s="307">
        <f t="shared" si="246"/>
        <v>20</v>
      </c>
      <c r="BI579" s="265" t="str">
        <f>CC579</f>
        <v>-</v>
      </c>
      <c r="BJ579" s="26" t="str">
        <f t="shared" si="229"/>
        <v>EFFINGHAM RIVERSockeye</v>
      </c>
      <c r="BK579" s="26">
        <f t="shared" si="230"/>
        <v>3</v>
      </c>
      <c r="BL579" s="33">
        <f t="shared" si="248"/>
        <v>9</v>
      </c>
      <c r="BQ579" s="47" t="str">
        <f t="shared" si="231"/>
        <v>EFFINGHAM RIVERSockeye</v>
      </c>
      <c r="BR579" s="49">
        <f t="shared" si="232"/>
        <v>0</v>
      </c>
      <c r="BS579" s="49">
        <f t="shared" si="233"/>
        <v>10</v>
      </c>
      <c r="BT579" s="31">
        <v>0</v>
      </c>
      <c r="BU579" s="188" t="str">
        <f t="shared" si="234"/>
        <v>TCES</v>
      </c>
      <c r="BV579" s="188" t="str">
        <f t="shared" si="235"/>
        <v>Sept 17-23</v>
      </c>
      <c r="BW579" s="188" t="str">
        <f t="shared" si="236"/>
        <v>Oct 22-28</v>
      </c>
      <c r="BX579" s="188" t="str">
        <f t="shared" si="237"/>
        <v xml:space="preserve"> </v>
      </c>
      <c r="BY579" s="50" t="str">
        <f t="shared" si="249"/>
        <v>EFFINGHAM RIVER_Sockeye</v>
      </c>
      <c r="BZ579" s="50" t="str">
        <f>IFERROR(VLOOKUP(BY579,'[1]WCVI Esc'!$C$5:$W$555,18,FALSE),"-")</f>
        <v>-</v>
      </c>
      <c r="CA579" s="50" t="str">
        <f t="shared" si="238"/>
        <v>-</v>
      </c>
      <c r="CB579" s="50" t="str">
        <f>IFERROR(VLOOKUP(BY579,'[1]WCVI Esc'!$C$5:$W$555,19,FALSE),"-")</f>
        <v>-</v>
      </c>
      <c r="CC579" s="50" t="str">
        <f t="shared" si="239"/>
        <v>-</v>
      </c>
      <c r="CE579" s="342" t="str">
        <f t="shared" si="250"/>
        <v>EFFINGHAM RIVER_Sockeye</v>
      </c>
      <c r="CF579" s="341">
        <f>IFERROR(VLOOKUP(BY579,'RawPL+D'!$O$8:$AB$503,12,FALSE),"-")</f>
        <v>46</v>
      </c>
      <c r="CG579" s="338">
        <f t="shared" si="240"/>
        <v>50</v>
      </c>
      <c r="CH579" s="341">
        <f>IFERROR(VLOOKUP(BY579,'RawPL+D'!$O$8:$AB$503,13,FALSE),"-")</f>
        <v>16.25</v>
      </c>
      <c r="CI579" s="338">
        <f t="shared" si="241"/>
        <v>20</v>
      </c>
    </row>
    <row r="580" spans="1:87" ht="12.75" hidden="1" customHeight="1" x14ac:dyDescent="0.2">
      <c r="A580" s="28">
        <v>3</v>
      </c>
      <c r="B580" s="28">
        <v>2</v>
      </c>
      <c r="C580" s="11">
        <v>23</v>
      </c>
      <c r="D580" s="11" t="s">
        <v>305</v>
      </c>
      <c r="E580" s="10" t="s">
        <v>96</v>
      </c>
      <c r="F580" s="10" t="s">
        <v>219</v>
      </c>
      <c r="G580" s="10"/>
      <c r="H580" s="10"/>
      <c r="I580" s="10"/>
      <c r="J580" s="10"/>
      <c r="K580" s="575"/>
      <c r="L580" s="152"/>
      <c r="M580" s="164"/>
      <c r="N580" s="62"/>
      <c r="O580" s="642">
        <v>94</v>
      </c>
      <c r="P580" s="182"/>
      <c r="Q580" s="171"/>
      <c r="R580" s="642">
        <v>95</v>
      </c>
      <c r="S580" s="62"/>
      <c r="T580" s="642">
        <v>66</v>
      </c>
      <c r="U580" s="64"/>
      <c r="V580" s="164"/>
      <c r="W580" s="164"/>
      <c r="X580" s="390"/>
      <c r="Y580" s="62"/>
      <c r="Z580" s="64"/>
      <c r="AA580" s="164"/>
      <c r="AB580" s="62"/>
      <c r="AC580" s="62"/>
      <c r="AD580" s="64"/>
      <c r="AE580" s="164"/>
      <c r="AF580" s="62"/>
      <c r="AG580" s="62"/>
      <c r="AH580" s="337">
        <v>111</v>
      </c>
      <c r="AI580" s="337">
        <v>14</v>
      </c>
      <c r="AJ580" s="337">
        <v>0</v>
      </c>
      <c r="AK580" s="337">
        <v>0</v>
      </c>
      <c r="AL580" s="839">
        <v>111</v>
      </c>
      <c r="AM580" s="552">
        <v>125</v>
      </c>
      <c r="AN580" s="839" t="s">
        <v>765</v>
      </c>
      <c r="AO580" s="552" t="s">
        <v>773</v>
      </c>
      <c r="AP580" s="45"/>
      <c r="AQ580" s="485">
        <f>AL580/BI580</f>
        <v>0.37</v>
      </c>
      <c r="AR580" s="485">
        <f>BL580/BH580</f>
        <v>0.39583333333333331</v>
      </c>
      <c r="AS580" s="485">
        <f>BL580/BI580</f>
        <v>0.31666666666666665</v>
      </c>
      <c r="AT580" s="24"/>
      <c r="AU580" s="24"/>
      <c r="AV580" s="24"/>
      <c r="AW580" s="18">
        <v>23</v>
      </c>
      <c r="AX580" s="18" t="s">
        <v>305</v>
      </c>
      <c r="AY580" s="243" t="s">
        <v>96</v>
      </c>
      <c r="AZ580" s="243" t="str">
        <f t="shared" si="225"/>
        <v>Coho</v>
      </c>
      <c r="BA580" s="243" t="s">
        <v>419</v>
      </c>
      <c r="BB580" s="244" t="s">
        <v>289</v>
      </c>
      <c r="BC580" s="43" t="str">
        <f t="shared" si="226"/>
        <v>Oct 22-28</v>
      </c>
      <c r="BD580" s="43">
        <f t="shared" si="247"/>
        <v>3</v>
      </c>
      <c r="BE580" s="193">
        <f t="shared" si="243"/>
        <v>95</v>
      </c>
      <c r="BF580" s="193">
        <f t="shared" si="227"/>
        <v>111</v>
      </c>
      <c r="BG580" s="193">
        <f t="shared" si="228"/>
        <v>111</v>
      </c>
      <c r="BH580" s="307">
        <f t="shared" si="246"/>
        <v>240</v>
      </c>
      <c r="BI580" s="265">
        <f>CC580</f>
        <v>300</v>
      </c>
      <c r="BJ580" s="26" t="str">
        <f t="shared" si="229"/>
        <v>EFFINGHAM RIVERCoho</v>
      </c>
      <c r="BK580" s="26">
        <f t="shared" si="230"/>
        <v>3</v>
      </c>
      <c r="BL580" s="33">
        <f t="shared" si="248"/>
        <v>95</v>
      </c>
      <c r="BQ580" s="47" t="str">
        <f t="shared" si="231"/>
        <v>EFFINGHAM RIVERCoho</v>
      </c>
      <c r="BR580" s="49">
        <f t="shared" si="232"/>
        <v>0</v>
      </c>
      <c r="BS580" s="49">
        <f t="shared" si="233"/>
        <v>111</v>
      </c>
      <c r="BT580" s="31">
        <v>2005</v>
      </c>
      <c r="BU580" s="188" t="str">
        <f t="shared" si="234"/>
        <v>TCES</v>
      </c>
      <c r="BV580" s="188" t="str">
        <f t="shared" si="235"/>
        <v>Sept 17-23</v>
      </c>
      <c r="BW580" s="188" t="str">
        <f t="shared" si="236"/>
        <v>Oct 22-28</v>
      </c>
      <c r="BX580" s="188" t="str">
        <f t="shared" si="237"/>
        <v xml:space="preserve"> </v>
      </c>
      <c r="BY580" s="50" t="str">
        <f t="shared" si="249"/>
        <v>EFFINGHAM RIVER_Coho</v>
      </c>
      <c r="BZ580" s="50">
        <f>IFERROR(VLOOKUP(BY580,'[1]WCVI Esc'!$C$5:$W$555,18,FALSE),"-")</f>
        <v>349.25</v>
      </c>
      <c r="CA580" s="50">
        <f t="shared" si="238"/>
        <v>350</v>
      </c>
      <c r="CB580" s="50">
        <f>IFERROR(VLOOKUP(BY580,'[1]WCVI Esc'!$C$5:$W$555,19,FALSE),"-")</f>
        <v>297</v>
      </c>
      <c r="CC580" s="50">
        <f t="shared" si="239"/>
        <v>300</v>
      </c>
      <c r="CE580" s="342" t="str">
        <f t="shared" si="250"/>
        <v>EFFINGHAM RIVER_Coho</v>
      </c>
      <c r="CF580" s="341">
        <f>IFERROR(VLOOKUP(CE580,'RawPL+D'!$O$8:$AB$503,12,FALSE),"-")</f>
        <v>309</v>
      </c>
      <c r="CG580" s="338">
        <f t="shared" si="240"/>
        <v>310</v>
      </c>
      <c r="CH580" s="341">
        <f>IFERROR(VLOOKUP(CE580,'RawPL+D'!$O$8:$AB$503,13,FALSE),"-")</f>
        <v>241.75</v>
      </c>
      <c r="CI580" s="338">
        <f t="shared" si="241"/>
        <v>240</v>
      </c>
    </row>
    <row r="581" spans="1:87" ht="12.75" hidden="1" customHeight="1" x14ac:dyDescent="0.2">
      <c r="A581" s="28">
        <v>3</v>
      </c>
      <c r="B581" s="28">
        <v>3</v>
      </c>
      <c r="C581" s="11">
        <v>23</v>
      </c>
      <c r="D581" s="11" t="s">
        <v>305</v>
      </c>
      <c r="E581" s="10" t="s">
        <v>96</v>
      </c>
      <c r="F581" s="10" t="s">
        <v>208</v>
      </c>
      <c r="G581" s="10"/>
      <c r="H581" s="10"/>
      <c r="I581" s="10"/>
      <c r="J581" s="10"/>
      <c r="K581" s="575"/>
      <c r="L581" s="152"/>
      <c r="M581" s="164"/>
      <c r="N581" s="62"/>
      <c r="O581" s="642">
        <v>0</v>
      </c>
      <c r="P581" s="182"/>
      <c r="Q581" s="171"/>
      <c r="R581" s="642">
        <v>0</v>
      </c>
      <c r="S581" s="62"/>
      <c r="T581" s="642">
        <v>0</v>
      </c>
      <c r="U581" s="64"/>
      <c r="V581" s="164"/>
      <c r="W581" s="164"/>
      <c r="X581" s="62"/>
      <c r="Y581" s="62"/>
      <c r="Z581" s="64"/>
      <c r="AA581" s="164"/>
      <c r="AB581" s="62"/>
      <c r="AC581" s="62"/>
      <c r="AD581" s="64"/>
      <c r="AE581" s="164"/>
      <c r="AF581" s="62"/>
      <c r="AG581" s="62"/>
      <c r="AH581" s="337">
        <v>0</v>
      </c>
      <c r="AI581" s="337">
        <v>0</v>
      </c>
      <c r="AJ581" s="337">
        <v>0</v>
      </c>
      <c r="AK581" s="337">
        <v>0</v>
      </c>
      <c r="AL581" s="552">
        <v>0</v>
      </c>
      <c r="AM581" s="552">
        <v>0</v>
      </c>
      <c r="AN581" s="552" t="s">
        <v>765</v>
      </c>
      <c r="AO581" s="552" t="s">
        <v>773</v>
      </c>
      <c r="AP581" s="45"/>
      <c r="AQ581" s="485"/>
      <c r="AR581" s="100"/>
      <c r="AS581" s="485"/>
      <c r="AT581" s="24"/>
      <c r="AU581" s="24"/>
      <c r="AV581" s="24"/>
      <c r="AW581" s="18">
        <v>23</v>
      </c>
      <c r="AX581" s="18" t="s">
        <v>305</v>
      </c>
      <c r="AY581" s="243" t="s">
        <v>96</v>
      </c>
      <c r="AZ581" s="243" t="str">
        <f t="shared" si="225"/>
        <v>Pink</v>
      </c>
      <c r="BA581" s="243" t="s">
        <v>419</v>
      </c>
      <c r="BB581" s="246" t="s">
        <v>289</v>
      </c>
      <c r="BC581" s="43" t="str">
        <f t="shared" si="226"/>
        <v>Oct 22-28</v>
      </c>
      <c r="BD581" s="43">
        <f t="shared" si="247"/>
        <v>3</v>
      </c>
      <c r="BE581" s="193">
        <f t="shared" si="243"/>
        <v>0</v>
      </c>
      <c r="BF581" s="193">
        <f t="shared" si="227"/>
        <v>0</v>
      </c>
      <c r="BG581" s="193">
        <f t="shared" si="228"/>
        <v>0</v>
      </c>
      <c r="BH581" s="307">
        <f t="shared" si="246"/>
        <v>0</v>
      </c>
      <c r="BI581" s="265"/>
      <c r="BJ581" s="26" t="str">
        <f t="shared" si="229"/>
        <v>EFFINGHAM RIVERPink</v>
      </c>
      <c r="BK581" s="26">
        <f t="shared" si="230"/>
        <v>3</v>
      </c>
      <c r="BL581" s="33">
        <f t="shared" si="248"/>
        <v>0</v>
      </c>
      <c r="BQ581" s="47" t="str">
        <f t="shared" si="231"/>
        <v>EFFINGHAM RIVERPink</v>
      </c>
      <c r="BR581" s="49">
        <f t="shared" si="232"/>
        <v>0</v>
      </c>
      <c r="BS581" s="49">
        <f t="shared" si="233"/>
        <v>0</v>
      </c>
      <c r="BT581" s="31">
        <v>0</v>
      </c>
      <c r="BU581" s="188" t="str">
        <f t="shared" si="234"/>
        <v>TCES</v>
      </c>
      <c r="BV581" s="188" t="str">
        <f t="shared" si="235"/>
        <v>Sept 17-23</v>
      </c>
      <c r="BW581" s="188" t="str">
        <f t="shared" si="236"/>
        <v>Oct 22-28</v>
      </c>
      <c r="BX581" s="188" t="str">
        <f t="shared" si="237"/>
        <v xml:space="preserve"> </v>
      </c>
      <c r="BY581" s="50" t="str">
        <f t="shared" si="249"/>
        <v>EFFINGHAM RIVER_Pink</v>
      </c>
      <c r="BZ581" s="50" t="str">
        <f>IFERROR(VLOOKUP(BY581,'[1]WCVI Esc'!$C$5:$W$555,18,FALSE),"-")</f>
        <v>-</v>
      </c>
      <c r="CA581" s="50" t="str">
        <f t="shared" si="238"/>
        <v>-</v>
      </c>
      <c r="CB581" s="50" t="str">
        <f>IFERROR(VLOOKUP(BY581,'[1]WCVI Esc'!$C$5:$W$555,19,FALSE),"-")</f>
        <v>-</v>
      </c>
      <c r="CC581" s="50" t="str">
        <f t="shared" si="239"/>
        <v>-</v>
      </c>
      <c r="CE581" s="342" t="str">
        <f t="shared" si="250"/>
        <v>EFFINGHAM RIVER_Pink</v>
      </c>
      <c r="CF581" s="341">
        <f>IFERROR(VLOOKUP(BY581,'RawPL+D'!$O$8:$AB$503,12,FALSE),"-")</f>
        <v>0</v>
      </c>
      <c r="CG581" s="338">
        <f t="shared" si="240"/>
        <v>0</v>
      </c>
      <c r="CH581" s="341">
        <f>IFERROR(VLOOKUP(BY581,'RawPL+D'!$O$8:$AB$503,13,FALSE),"-")</f>
        <v>0</v>
      </c>
      <c r="CI581" s="338">
        <f t="shared" si="241"/>
        <v>0</v>
      </c>
    </row>
    <row r="582" spans="1:87" ht="12.75" hidden="1" customHeight="1" x14ac:dyDescent="0.2">
      <c r="A582" s="28">
        <v>3</v>
      </c>
      <c r="B582" s="28">
        <v>4</v>
      </c>
      <c r="C582" s="11">
        <v>23</v>
      </c>
      <c r="D582" s="11" t="s">
        <v>305</v>
      </c>
      <c r="E582" s="10" t="s">
        <v>96</v>
      </c>
      <c r="F582" s="10" t="s">
        <v>209</v>
      </c>
      <c r="G582" s="10"/>
      <c r="H582" s="10"/>
      <c r="I582" s="10"/>
      <c r="J582" s="10"/>
      <c r="K582" s="575"/>
      <c r="L582" s="152"/>
      <c r="M582" s="164"/>
      <c r="N582" s="62"/>
      <c r="O582" s="642">
        <v>0</v>
      </c>
      <c r="P582" s="182"/>
      <c r="Q582" s="171"/>
      <c r="R582" s="646">
        <v>1665</v>
      </c>
      <c r="S582" s="62"/>
      <c r="T582" s="675">
        <f>3963+3</f>
        <v>3966</v>
      </c>
      <c r="U582" s="392"/>
      <c r="V582" s="429"/>
      <c r="W582" s="421"/>
      <c r="X582" s="62"/>
      <c r="Y582" s="62"/>
      <c r="Z582" s="64"/>
      <c r="AA582" s="164"/>
      <c r="AB582" s="62"/>
      <c r="AC582" s="62"/>
      <c r="AD582" s="64"/>
      <c r="AE582" s="164"/>
      <c r="AF582" s="62"/>
      <c r="AG582" s="62"/>
      <c r="AH582" s="337">
        <v>4419</v>
      </c>
      <c r="AI582" s="337">
        <v>0</v>
      </c>
      <c r="AJ582" s="337">
        <v>0</v>
      </c>
      <c r="AK582" s="337">
        <v>0</v>
      </c>
      <c r="AL582" s="552">
        <v>4419</v>
      </c>
      <c r="AM582" s="552">
        <v>4419</v>
      </c>
      <c r="AN582" s="552" t="s">
        <v>765</v>
      </c>
      <c r="AO582" s="552" t="s">
        <v>773</v>
      </c>
      <c r="AP582" s="45"/>
      <c r="AQ582" s="485">
        <f>AL582/BI582</f>
        <v>6.4985294117647054</v>
      </c>
      <c r="AR582" s="485">
        <f>BL582/BH582</f>
        <v>5.5859154929577466</v>
      </c>
      <c r="AS582" s="485">
        <f>BL582/BI582</f>
        <v>5.8323529411764703</v>
      </c>
      <c r="AT582" s="24"/>
      <c r="AU582" s="24"/>
      <c r="AV582" s="24"/>
      <c r="AW582" s="18">
        <v>23</v>
      </c>
      <c r="AX582" s="18" t="s">
        <v>305</v>
      </c>
      <c r="AY582" s="243" t="s">
        <v>96</v>
      </c>
      <c r="AZ582" s="243" t="str">
        <f t="shared" si="225"/>
        <v>Chum</v>
      </c>
      <c r="BA582" s="243" t="s">
        <v>419</v>
      </c>
      <c r="BB582" s="244" t="s">
        <v>289</v>
      </c>
      <c r="BC582" s="43" t="str">
        <f t="shared" si="226"/>
        <v>Oct 22-28</v>
      </c>
      <c r="BD582" s="43">
        <f t="shared" si="247"/>
        <v>3</v>
      </c>
      <c r="BE582" s="193">
        <f t="shared" si="243"/>
        <v>3966</v>
      </c>
      <c r="BF582" s="193">
        <f t="shared" si="227"/>
        <v>4419</v>
      </c>
      <c r="BG582" s="193">
        <f t="shared" si="228"/>
        <v>4419</v>
      </c>
      <c r="BH582" s="307">
        <f t="shared" si="246"/>
        <v>710</v>
      </c>
      <c r="BI582" s="265">
        <f t="shared" ref="BI582:BI602" si="251">CC582</f>
        <v>680</v>
      </c>
      <c r="BJ582" s="26" t="str">
        <f t="shared" si="229"/>
        <v>EFFINGHAM RIVERChum</v>
      </c>
      <c r="BK582" s="26">
        <f t="shared" si="230"/>
        <v>3</v>
      </c>
      <c r="BL582" s="33">
        <f t="shared" si="248"/>
        <v>3966</v>
      </c>
      <c r="BQ582" s="47" t="str">
        <f t="shared" si="231"/>
        <v>EFFINGHAM RIVERChum</v>
      </c>
      <c r="BR582" s="49">
        <f t="shared" si="232"/>
        <v>0</v>
      </c>
      <c r="BS582" s="49">
        <f t="shared" si="233"/>
        <v>4419</v>
      </c>
      <c r="BT582" s="31">
        <v>2005</v>
      </c>
      <c r="BU582" s="188" t="str">
        <f t="shared" si="234"/>
        <v>TCES</v>
      </c>
      <c r="BV582" s="188" t="str">
        <f t="shared" si="235"/>
        <v>Sept 17-23</v>
      </c>
      <c r="BW582" s="188" t="str">
        <f t="shared" si="236"/>
        <v>Oct 22-28</v>
      </c>
      <c r="BX582" s="188" t="str">
        <f t="shared" si="237"/>
        <v xml:space="preserve"> </v>
      </c>
      <c r="BY582" s="50" t="str">
        <f t="shared" si="249"/>
        <v>EFFINGHAM RIVER_Chum</v>
      </c>
      <c r="BZ582" s="50">
        <f>IFERROR(VLOOKUP(BY582,'[1]WCVI Esc'!$C$5:$W$555,18,FALSE),"-")</f>
        <v>871</v>
      </c>
      <c r="CA582" s="50">
        <f t="shared" si="238"/>
        <v>870</v>
      </c>
      <c r="CB582" s="50">
        <f>IFERROR(VLOOKUP(BY582,'[1]WCVI Esc'!$C$5:$W$555,19,FALSE),"-")</f>
        <v>683.33333333333337</v>
      </c>
      <c r="CC582" s="50">
        <f t="shared" si="239"/>
        <v>680</v>
      </c>
      <c r="CE582" s="342" t="str">
        <f t="shared" si="250"/>
        <v>EFFINGHAM RIVER_Chum</v>
      </c>
      <c r="CF582" s="341">
        <f>IFERROR(VLOOKUP(CE582,'RawPL+D'!$O$8:$AB$503,12,FALSE),"-")</f>
        <v>378</v>
      </c>
      <c r="CG582" s="338">
        <f t="shared" si="240"/>
        <v>380</v>
      </c>
      <c r="CH582" s="341">
        <f>IFERROR(VLOOKUP(CE582,'RawPL+D'!$O$8:$AB$503,13,FALSE),"-")</f>
        <v>712.5</v>
      </c>
      <c r="CI582" s="338">
        <f t="shared" si="241"/>
        <v>710</v>
      </c>
    </row>
    <row r="583" spans="1:87" ht="12.75" hidden="1" customHeight="1" x14ac:dyDescent="0.2">
      <c r="A583" s="28">
        <v>3</v>
      </c>
      <c r="B583" s="28">
        <v>5</v>
      </c>
      <c r="C583" s="11">
        <v>23</v>
      </c>
      <c r="D583" s="11" t="s">
        <v>305</v>
      </c>
      <c r="E583" s="10" t="s">
        <v>96</v>
      </c>
      <c r="F583" s="10" t="s">
        <v>210</v>
      </c>
      <c r="G583" s="10"/>
      <c r="H583" s="10"/>
      <c r="I583" s="10"/>
      <c r="J583" s="10"/>
      <c r="K583" s="575"/>
      <c r="L583" s="152"/>
      <c r="M583" s="164"/>
      <c r="N583" s="62"/>
      <c r="O583" s="642">
        <v>4</v>
      </c>
      <c r="P583" s="182"/>
      <c r="Q583" s="171"/>
      <c r="R583" s="642">
        <v>6</v>
      </c>
      <c r="S583" s="62"/>
      <c r="T583" s="676">
        <v>3</v>
      </c>
      <c r="U583" s="64"/>
      <c r="V583" s="164"/>
      <c r="W583" s="164"/>
      <c r="X583" s="62"/>
      <c r="Y583" s="62"/>
      <c r="Z583" s="64"/>
      <c r="AA583" s="164"/>
      <c r="AB583" s="62"/>
      <c r="AC583" s="62"/>
      <c r="AD583" s="64"/>
      <c r="AE583" s="164"/>
      <c r="AF583" s="62"/>
      <c r="AG583" s="62"/>
      <c r="AH583" s="337">
        <v>7</v>
      </c>
      <c r="AI583" s="337">
        <v>0</v>
      </c>
      <c r="AJ583" s="337">
        <v>0</v>
      </c>
      <c r="AK583" s="337">
        <v>0</v>
      </c>
      <c r="AL583" s="552">
        <v>7</v>
      </c>
      <c r="AM583" s="552">
        <v>7</v>
      </c>
      <c r="AN583" s="552" t="s">
        <v>765</v>
      </c>
      <c r="AO583" s="552" t="s">
        <v>773</v>
      </c>
      <c r="AP583" s="45"/>
      <c r="AQ583" s="485">
        <f>AL583/BI583</f>
        <v>0.35</v>
      </c>
      <c r="AR583" s="485">
        <f>BL583/BH583</f>
        <v>0.6</v>
      </c>
      <c r="AS583" s="485">
        <f>BL583/BI583</f>
        <v>0.3</v>
      </c>
      <c r="AT583" s="24"/>
      <c r="AU583" s="24"/>
      <c r="AV583" s="24"/>
      <c r="AW583" s="18">
        <v>23</v>
      </c>
      <c r="AX583" s="18" t="s">
        <v>305</v>
      </c>
      <c r="AY583" s="243" t="s">
        <v>96</v>
      </c>
      <c r="AZ583" s="243" t="str">
        <f t="shared" si="225"/>
        <v>Chinook</v>
      </c>
      <c r="BA583" s="243" t="s">
        <v>419</v>
      </c>
      <c r="BB583" s="244" t="s">
        <v>289</v>
      </c>
      <c r="BC583" s="43" t="str">
        <f t="shared" si="226"/>
        <v>Oct 22-28</v>
      </c>
      <c r="BD583" s="43">
        <f t="shared" si="247"/>
        <v>3</v>
      </c>
      <c r="BE583" s="193">
        <f t="shared" si="243"/>
        <v>6</v>
      </c>
      <c r="BF583" s="193">
        <f t="shared" si="227"/>
        <v>7</v>
      </c>
      <c r="BG583" s="193">
        <f t="shared" si="228"/>
        <v>7</v>
      </c>
      <c r="BH583" s="307">
        <f t="shared" si="246"/>
        <v>10</v>
      </c>
      <c r="BI583" s="265">
        <f t="shared" si="251"/>
        <v>20</v>
      </c>
      <c r="BJ583" s="26" t="str">
        <f t="shared" si="229"/>
        <v>EFFINGHAM RIVERChinook</v>
      </c>
      <c r="BK583" s="26">
        <f t="shared" si="230"/>
        <v>3</v>
      </c>
      <c r="BL583" s="33">
        <f t="shared" si="248"/>
        <v>6</v>
      </c>
      <c r="BQ583" s="47" t="str">
        <f t="shared" si="231"/>
        <v>EFFINGHAM RIVERChinook</v>
      </c>
      <c r="BR583" s="49">
        <f t="shared" si="232"/>
        <v>0</v>
      </c>
      <c r="BS583" s="49">
        <f t="shared" si="233"/>
        <v>7</v>
      </c>
      <c r="BT583" s="31">
        <v>2005</v>
      </c>
      <c r="BU583" s="188" t="str">
        <f t="shared" si="234"/>
        <v>TCES</v>
      </c>
      <c r="BV583" s="188" t="str">
        <f t="shared" si="235"/>
        <v>Sept 17-23</v>
      </c>
      <c r="BW583" s="188" t="str">
        <f t="shared" si="236"/>
        <v>Oct 22-28</v>
      </c>
      <c r="BX583" s="188" t="str">
        <f t="shared" si="237"/>
        <v xml:space="preserve"> </v>
      </c>
      <c r="BY583" s="50" t="str">
        <f t="shared" si="249"/>
        <v>EFFINGHAM RIVER_Chinook</v>
      </c>
      <c r="BZ583" s="50">
        <f>IFERROR(VLOOKUP(BY583,'[1]WCVI Esc'!$C$5:$W$555,18,FALSE),"-")</f>
        <v>12.75</v>
      </c>
      <c r="CA583" s="50">
        <f t="shared" si="238"/>
        <v>10</v>
      </c>
      <c r="CB583" s="50">
        <f>IFERROR(VLOOKUP(BY583,'[1]WCVI Esc'!$C$5:$W$555,19,FALSE),"-")</f>
        <v>21.5</v>
      </c>
      <c r="CC583" s="50">
        <f t="shared" si="239"/>
        <v>20</v>
      </c>
      <c r="CE583" s="342" t="str">
        <f t="shared" si="250"/>
        <v>EFFINGHAM RIVER_Chinook</v>
      </c>
      <c r="CF583" s="341">
        <f>IFERROR(VLOOKUP(CE583,'RawPL+D'!$O$8:$AB$503,12,FALSE),"-")</f>
        <v>10</v>
      </c>
      <c r="CG583" s="338">
        <f t="shared" si="240"/>
        <v>10</v>
      </c>
      <c r="CH583" s="341">
        <f>IFERROR(VLOOKUP(CE583,'RawPL+D'!$O$8:$AB$503,13,FALSE),"-")</f>
        <v>11.25</v>
      </c>
      <c r="CI583" s="338">
        <f t="shared" si="241"/>
        <v>10</v>
      </c>
    </row>
    <row r="584" spans="1:87" ht="12.75" hidden="1" customHeight="1" x14ac:dyDescent="0.2">
      <c r="A584" s="28">
        <v>3</v>
      </c>
      <c r="B584" s="28">
        <v>6</v>
      </c>
      <c r="C584" s="11">
        <v>23</v>
      </c>
      <c r="D584" s="490" t="s">
        <v>305</v>
      </c>
      <c r="E584" s="10" t="s">
        <v>96</v>
      </c>
      <c r="F584" s="10" t="s">
        <v>211</v>
      </c>
      <c r="G584" s="10"/>
      <c r="H584" s="10"/>
      <c r="I584" s="10"/>
      <c r="J584" s="10"/>
      <c r="K584" s="575"/>
      <c r="L584" s="152"/>
      <c r="M584" s="164"/>
      <c r="N584" s="62"/>
      <c r="O584" s="642">
        <v>0</v>
      </c>
      <c r="P584" s="182"/>
      <c r="Q584" s="171"/>
      <c r="R584" s="642">
        <v>1</v>
      </c>
      <c r="S584" s="62"/>
      <c r="T584" s="642">
        <v>1</v>
      </c>
      <c r="U584" s="64"/>
      <c r="V584" s="164"/>
      <c r="W584" s="164"/>
      <c r="X584" s="62"/>
      <c r="Y584" s="62"/>
      <c r="Z584" s="64"/>
      <c r="AA584" s="164"/>
      <c r="AB584" s="62"/>
      <c r="AC584" s="62"/>
      <c r="AD584" s="64"/>
      <c r="AE584" s="164"/>
      <c r="AF584" s="62"/>
      <c r="AG584" s="62"/>
      <c r="AH584" s="337"/>
      <c r="AI584" s="337"/>
      <c r="AJ584" s="337"/>
      <c r="AK584" s="337"/>
      <c r="AL584" s="552"/>
      <c r="AM584" s="552"/>
      <c r="AN584" s="45"/>
      <c r="AO584" s="45"/>
      <c r="AP584" s="45"/>
      <c r="AQ584" s="485"/>
      <c r="AR584" s="12"/>
      <c r="AS584" s="12"/>
      <c r="AT584" s="24"/>
      <c r="AU584" s="24"/>
      <c r="AV584" s="24"/>
      <c r="AW584" s="18">
        <v>23</v>
      </c>
      <c r="AX584" s="18" t="s">
        <v>305</v>
      </c>
      <c r="AY584" s="243" t="s">
        <v>96</v>
      </c>
      <c r="AZ584" s="243" t="str">
        <f t="shared" si="225"/>
        <v>Steelhead</v>
      </c>
      <c r="BA584" s="243" t="s">
        <v>419</v>
      </c>
      <c r="BB584" s="244" t="s">
        <v>289</v>
      </c>
      <c r="BC584" s="43" t="str">
        <f t="shared" si="226"/>
        <v>Oct 22-28</v>
      </c>
      <c r="BD584" s="43">
        <f t="shared" si="247"/>
        <v>3</v>
      </c>
      <c r="BE584" s="193">
        <f t="shared" si="243"/>
        <v>1</v>
      </c>
      <c r="BF584" s="193">
        <f t="shared" si="227"/>
        <v>0</v>
      </c>
      <c r="BG584" s="193">
        <f t="shared" si="228"/>
        <v>0</v>
      </c>
      <c r="BH584" s="307" t="str">
        <f t="shared" si="246"/>
        <v>-</v>
      </c>
      <c r="BI584" s="265" t="str">
        <f t="shared" si="251"/>
        <v>-</v>
      </c>
      <c r="BJ584" s="26" t="str">
        <f t="shared" si="229"/>
        <v>EFFINGHAM RIVERSteelhead</v>
      </c>
      <c r="BK584" s="26">
        <f t="shared" si="230"/>
        <v>3</v>
      </c>
      <c r="BL584" s="33">
        <f t="shared" si="248"/>
        <v>1</v>
      </c>
      <c r="BQ584" s="47" t="str">
        <f t="shared" si="231"/>
        <v>EFFINGHAM RIVERSteelhead</v>
      </c>
      <c r="BR584" s="49">
        <f t="shared" si="232"/>
        <v>0</v>
      </c>
      <c r="BS584" s="49">
        <f t="shared" si="233"/>
        <v>0</v>
      </c>
      <c r="BT584" s="31">
        <v>0</v>
      </c>
      <c r="BU584" s="188" t="str">
        <f t="shared" si="234"/>
        <v>TCES</v>
      </c>
      <c r="BV584" s="188" t="str">
        <f t="shared" si="235"/>
        <v>Sept 17-23</v>
      </c>
      <c r="BW584" s="188" t="str">
        <f t="shared" si="236"/>
        <v>Oct 22-28</v>
      </c>
      <c r="BX584" s="188" t="str">
        <f t="shared" si="237"/>
        <v xml:space="preserve"> </v>
      </c>
      <c r="BY584" s="50" t="str">
        <f t="shared" si="249"/>
        <v>EFFINGHAM RIVER_Steelhead</v>
      </c>
      <c r="BZ584" s="50" t="str">
        <f>IFERROR(VLOOKUP(BY584,'[1]WCVI Esc'!$C$5:$W$555,18,FALSE),"-")</f>
        <v>-</v>
      </c>
      <c r="CA584" s="50" t="str">
        <f t="shared" si="238"/>
        <v>-</v>
      </c>
      <c r="CB584" s="50" t="str">
        <f>IFERROR(VLOOKUP(BY584,'[1]WCVI Esc'!$C$5:$W$555,19,FALSE),"-")</f>
        <v>-</v>
      </c>
      <c r="CC584" s="50" t="str">
        <f t="shared" si="239"/>
        <v>-</v>
      </c>
      <c r="CE584" s="342" t="str">
        <f t="shared" si="250"/>
        <v>EFFINGHAM RIVER_Steelhead</v>
      </c>
      <c r="CF584" s="341" t="str">
        <f>IFERROR(VLOOKUP(BY584,'RawPL+D'!$O$8:$AB$503,12,FALSE),"-")</f>
        <v>-</v>
      </c>
      <c r="CG584" s="338" t="str">
        <f t="shared" si="240"/>
        <v>-</v>
      </c>
      <c r="CH584" s="341" t="str">
        <f>IFERROR(VLOOKUP(BY584,'RawPL+D'!$O$8:$AB$503,13,FALSE),"-")</f>
        <v>-</v>
      </c>
      <c r="CI584" s="338" t="str">
        <f t="shared" si="241"/>
        <v>-</v>
      </c>
    </row>
    <row r="585" spans="1:87" ht="12.75" hidden="1" customHeight="1" x14ac:dyDescent="0.2">
      <c r="A585" s="28">
        <v>4</v>
      </c>
      <c r="B585" s="28">
        <v>1</v>
      </c>
      <c r="C585" s="11">
        <v>23</v>
      </c>
      <c r="D585" s="148" t="s">
        <v>305</v>
      </c>
      <c r="E585" s="10" t="s">
        <v>176</v>
      </c>
      <c r="F585" s="10" t="s">
        <v>207</v>
      </c>
      <c r="G585" s="10"/>
      <c r="H585" s="10"/>
      <c r="I585" s="10"/>
      <c r="J585" s="10"/>
      <c r="K585" s="575"/>
      <c r="L585" s="152"/>
      <c r="M585" s="164"/>
      <c r="N585" s="62"/>
      <c r="O585" s="62"/>
      <c r="P585" s="177"/>
      <c r="Q585" s="171"/>
      <c r="R585" s="62"/>
      <c r="S585" s="62"/>
      <c r="T585" s="62"/>
      <c r="U585" s="64"/>
      <c r="V585" s="164"/>
      <c r="W585" s="62"/>
      <c r="X585" s="62"/>
      <c r="Y585" s="62"/>
      <c r="Z585" s="64"/>
      <c r="AA585" s="164"/>
      <c r="AB585" s="62"/>
      <c r="AC585" s="62"/>
      <c r="AD585" s="64"/>
      <c r="AE585" s="164"/>
      <c r="AF585" s="62"/>
      <c r="AG585" s="62"/>
      <c r="AH585" s="337"/>
      <c r="AI585" s="337"/>
      <c r="AJ585" s="337"/>
      <c r="AK585" s="337"/>
      <c r="AL585" s="412"/>
      <c r="AM585" s="414"/>
      <c r="AN585" s="45"/>
      <c r="AO585" s="45"/>
      <c r="AP585" s="45"/>
      <c r="AQ585" s="485"/>
      <c r="AR585"/>
      <c r="AS585" s="485"/>
      <c r="AT585" s="24"/>
      <c r="AU585" s="24"/>
      <c r="AV585" s="24"/>
      <c r="AW585" s="18">
        <v>23</v>
      </c>
      <c r="AX585" s="69" t="s">
        <v>305</v>
      </c>
      <c r="AY585" s="243" t="s">
        <v>176</v>
      </c>
      <c r="AZ585" s="243" t="str">
        <f t="shared" ref="AZ585:AZ648" si="252">F585</f>
        <v>Sockeye</v>
      </c>
      <c r="BA585" s="243" t="s">
        <v>419</v>
      </c>
      <c r="BB585" s="246"/>
      <c r="BC585" s="43" t="str">
        <f t="shared" ref="BC585:BC648" si="253">IF(BX585=" ",IF(BW585=" ", IF(BV585=" ","-",BV585),BW585), BX585)</f>
        <v>-</v>
      </c>
      <c r="BD585" s="43">
        <f t="shared" si="247"/>
        <v>0</v>
      </c>
      <c r="BE585" s="193">
        <f t="shared" si="243"/>
        <v>0</v>
      </c>
      <c r="BF585" s="193">
        <f t="shared" ref="BF585:BF648" si="254">AL585</f>
        <v>0</v>
      </c>
      <c r="BG585" s="193">
        <f t="shared" ref="BG585:BG648" si="255">AH585</f>
        <v>0</v>
      </c>
      <c r="BH585" s="307" t="str">
        <f t="shared" si="246"/>
        <v>-</v>
      </c>
      <c r="BI585" s="265" t="str">
        <f t="shared" si="251"/>
        <v>-</v>
      </c>
      <c r="BJ585" s="26" t="str">
        <f t="shared" ref="BJ585:BJ648" si="256">CONCATENATE(E585,F585)</f>
        <v>HILLIER CREEKSockeye</v>
      </c>
      <c r="BK585" s="26">
        <f t="shared" ref="BK585:BK648" si="257">COUNT(K585:AB585)</f>
        <v>0</v>
      </c>
      <c r="BL585" s="33">
        <f t="shared" si="248"/>
        <v>0</v>
      </c>
      <c r="BQ585" s="47" t="str">
        <f t="shared" ref="BQ585:BQ648" si="258">CONCATENATE(E585,F585)</f>
        <v>HILLIER CREEKSockeye</v>
      </c>
      <c r="BR585" s="49">
        <f t="shared" ref="BR585:BR648" si="259">AP585</f>
        <v>0</v>
      </c>
      <c r="BS585" s="49">
        <f t="shared" ref="BS585:BS651" si="260">AL585</f>
        <v>0</v>
      </c>
      <c r="BT585" s="31">
        <v>0</v>
      </c>
      <c r="BU585" s="188">
        <f t="shared" ref="BU585:BU648" si="261">BB585</f>
        <v>0</v>
      </c>
      <c r="BV585" s="188" t="str">
        <f t="shared" ref="BV585:BV648" si="262">IF(ISNUMBER(Q585),Q$8,IF(ISNUMBER(P585),P$8,IF(ISNUMBER(O585),O$8,IF(ISNUMBER(N585),N$8,IF(ISNUMBER(M585),M$8,IF(ISNUMBER(L585),L$8, IF(ISNUMBER(K585),K$8," ")))))))</f>
        <v xml:space="preserve"> </v>
      </c>
      <c r="BW585" s="188" t="str">
        <f t="shared" ref="BW585:BW648" si="263">IF(ISNUMBER(W585),W$8,IF(ISNUMBER(V585),V$8,IF(ISNUMBER(U585),U$8,IF(ISNUMBER(T585),T$8,IF(ISNUMBER(S585),S$8,IF(ISNUMBER(R585),R$8," "))))))</f>
        <v xml:space="preserve"> </v>
      </c>
      <c r="BX585" s="188" t="str">
        <f t="shared" ref="BX585:BX648" si="264">IF(ISNUMBER(AB585),AB$8,IF(ISNUMBER(AA585),AA$8,IF(ISNUMBER(Z585),Z$8,IF(ISNUMBER(Y585),Y$8,IF(ISNUMBER(X585),X$8," ")))))</f>
        <v xml:space="preserve"> </v>
      </c>
      <c r="BY585" s="50" t="str">
        <f t="shared" si="249"/>
        <v>HILLIER CREEK_Sockeye</v>
      </c>
      <c r="BZ585" s="50" t="str">
        <f>IFERROR(VLOOKUP(BY585,'[1]WCVI Esc'!$C$5:$W$555,18,FALSE),"-")</f>
        <v>-</v>
      </c>
      <c r="CA585" s="50" t="str">
        <f t="shared" ref="CA585:CA648" si="265">IFERROR(ROUND(BZ585,-1),"-")</f>
        <v>-</v>
      </c>
      <c r="CB585" s="50" t="str">
        <f>IFERROR(VLOOKUP(BY585,'[1]WCVI Esc'!$C$5:$W$555,19,FALSE),"-")</f>
        <v>-</v>
      </c>
      <c r="CC585" s="50" t="str">
        <f t="shared" ref="CC585:CC648" si="266">IFERROR(ROUND(CB585,-1),"-")</f>
        <v>-</v>
      </c>
      <c r="CE585" s="342" t="str">
        <f t="shared" si="250"/>
        <v>HILLIER CREEK_Sockeye</v>
      </c>
      <c r="CF585" s="341" t="str">
        <f>IFERROR(VLOOKUP(BY585,'RawPL+D'!$O$8:$AB$503,12,FALSE),"-")</f>
        <v>-</v>
      </c>
      <c r="CG585" s="338" t="str">
        <f t="shared" ref="CG585:CG648" si="267">IFERROR(ROUND(CF585,-1),"-")</f>
        <v>-</v>
      </c>
      <c r="CH585" s="341" t="str">
        <f>IFERROR(VLOOKUP(BY585,'RawPL+D'!$O$8:$AB$503,13,FALSE),"-")</f>
        <v>-</v>
      </c>
      <c r="CI585" s="338" t="str">
        <f t="shared" ref="CI585:CI648" si="268">IFERROR(ROUND(CH585,-1),"-")</f>
        <v>-</v>
      </c>
    </row>
    <row r="586" spans="1:87" ht="12.75" hidden="1" customHeight="1" x14ac:dyDescent="0.2">
      <c r="A586" s="28">
        <v>4</v>
      </c>
      <c r="B586" s="28">
        <v>2</v>
      </c>
      <c r="C586" s="11">
        <v>23</v>
      </c>
      <c r="D586" s="148" t="s">
        <v>305</v>
      </c>
      <c r="E586" s="10" t="s">
        <v>176</v>
      </c>
      <c r="F586" s="10" t="s">
        <v>219</v>
      </c>
      <c r="G586" s="10"/>
      <c r="H586" s="10"/>
      <c r="I586" s="10"/>
      <c r="J586" s="10"/>
      <c r="K586" s="575"/>
      <c r="L586" s="152"/>
      <c r="M586" s="164"/>
      <c r="N586" s="62"/>
      <c r="O586" s="62"/>
      <c r="P586" s="177"/>
      <c r="Q586" s="171"/>
      <c r="R586" s="62"/>
      <c r="S586" s="62"/>
      <c r="T586" s="62"/>
      <c r="U586" s="64"/>
      <c r="V586" s="164"/>
      <c r="W586" s="62"/>
      <c r="X586" s="62"/>
      <c r="Y586" s="62"/>
      <c r="Z586" s="64"/>
      <c r="AA586" s="164"/>
      <c r="AB586" s="62"/>
      <c r="AC586" s="62"/>
      <c r="AD586" s="64"/>
      <c r="AE586" s="164"/>
      <c r="AF586" s="62"/>
      <c r="AG586" s="62"/>
      <c r="AH586" s="337"/>
      <c r="AI586" s="337"/>
      <c r="AJ586" s="337"/>
      <c r="AK586" s="337"/>
      <c r="AL586" s="412"/>
      <c r="AM586" s="414"/>
      <c r="AN586" s="45"/>
      <c r="AO586" s="45"/>
      <c r="AP586" s="45"/>
      <c r="AQ586" s="485"/>
      <c r="AR586" s="100"/>
      <c r="AS586" s="485"/>
      <c r="AT586" s="24"/>
      <c r="AU586" s="24"/>
      <c r="AV586" s="24"/>
      <c r="AW586" s="18">
        <v>23</v>
      </c>
      <c r="AX586" s="69" t="s">
        <v>305</v>
      </c>
      <c r="AY586" s="243" t="s">
        <v>176</v>
      </c>
      <c r="AZ586" s="243" t="str">
        <f t="shared" si="252"/>
        <v>Coho</v>
      </c>
      <c r="BA586" s="243" t="s">
        <v>419</v>
      </c>
      <c r="BB586" s="246"/>
      <c r="BC586" s="43" t="str">
        <f t="shared" si="253"/>
        <v>-</v>
      </c>
      <c r="BD586" s="43">
        <f t="shared" si="247"/>
        <v>0</v>
      </c>
      <c r="BE586" s="193">
        <f t="shared" si="243"/>
        <v>0</v>
      </c>
      <c r="BF586" s="193">
        <f t="shared" si="254"/>
        <v>0</v>
      </c>
      <c r="BG586" s="193">
        <f t="shared" si="255"/>
        <v>0</v>
      </c>
      <c r="BH586" s="307" t="str">
        <f t="shared" si="246"/>
        <v>-</v>
      </c>
      <c r="BI586" s="265" t="str">
        <f t="shared" si="251"/>
        <v>-</v>
      </c>
      <c r="BJ586" s="26" t="str">
        <f t="shared" si="256"/>
        <v>HILLIER CREEKCoho</v>
      </c>
      <c r="BK586" s="26">
        <f t="shared" si="257"/>
        <v>0</v>
      </c>
      <c r="BL586" s="33">
        <f t="shared" si="248"/>
        <v>0</v>
      </c>
      <c r="BQ586" s="47" t="str">
        <f t="shared" si="258"/>
        <v>HILLIER CREEKCoho</v>
      </c>
      <c r="BR586" s="49">
        <f t="shared" si="259"/>
        <v>0</v>
      </c>
      <c r="BS586" s="49">
        <f t="shared" si="260"/>
        <v>0</v>
      </c>
      <c r="BT586" s="31">
        <v>2002</v>
      </c>
      <c r="BU586" s="188">
        <f t="shared" si="261"/>
        <v>0</v>
      </c>
      <c r="BV586" s="188" t="str">
        <f t="shared" si="262"/>
        <v xml:space="preserve"> </v>
      </c>
      <c r="BW586" s="188" t="str">
        <f t="shared" si="263"/>
        <v xml:space="preserve"> </v>
      </c>
      <c r="BX586" s="188" t="str">
        <f t="shared" si="264"/>
        <v xml:space="preserve"> </v>
      </c>
      <c r="BY586" s="50" t="str">
        <f t="shared" si="249"/>
        <v>HILLIER CREEK_Coho</v>
      </c>
      <c r="BZ586" s="50" t="str">
        <f>IFERROR(VLOOKUP(BY586,'[1]WCVI Esc'!$C$5:$W$555,18,FALSE),"-")</f>
        <v>-</v>
      </c>
      <c r="CA586" s="50" t="str">
        <f t="shared" si="265"/>
        <v>-</v>
      </c>
      <c r="CB586" s="50" t="str">
        <f>IFERROR(VLOOKUP(BY586,'[1]WCVI Esc'!$C$5:$W$555,19,FALSE),"-")</f>
        <v>-</v>
      </c>
      <c r="CC586" s="50" t="str">
        <f t="shared" si="266"/>
        <v>-</v>
      </c>
      <c r="CE586" s="342" t="str">
        <f t="shared" si="250"/>
        <v>HILLIER CREEK_Coho</v>
      </c>
      <c r="CF586" s="341" t="str">
        <f>IFERROR(VLOOKUP(BY586,'RawPL+D'!$O$8:$AB$503,12,FALSE),"-")</f>
        <v>-</v>
      </c>
      <c r="CG586" s="338" t="str">
        <f t="shared" si="267"/>
        <v>-</v>
      </c>
      <c r="CH586" s="341" t="str">
        <f>IFERROR(VLOOKUP(BY586,'RawPL+D'!$O$8:$AB$503,13,FALSE),"-")</f>
        <v>-</v>
      </c>
      <c r="CI586" s="338" t="str">
        <f t="shared" si="268"/>
        <v>-</v>
      </c>
    </row>
    <row r="587" spans="1:87" ht="12.75" hidden="1" customHeight="1" x14ac:dyDescent="0.2">
      <c r="A587" s="28">
        <v>4</v>
      </c>
      <c r="B587" s="28">
        <v>3</v>
      </c>
      <c r="C587" s="11">
        <v>23</v>
      </c>
      <c r="D587" s="148" t="s">
        <v>305</v>
      </c>
      <c r="E587" s="10" t="s">
        <v>176</v>
      </c>
      <c r="F587" s="10" t="s">
        <v>208</v>
      </c>
      <c r="G587" s="10"/>
      <c r="H587" s="10"/>
      <c r="I587" s="10"/>
      <c r="J587" s="10"/>
      <c r="K587" s="575"/>
      <c r="L587" s="152"/>
      <c r="M587" s="164"/>
      <c r="N587" s="62"/>
      <c r="O587" s="62"/>
      <c r="P587" s="177"/>
      <c r="Q587" s="171"/>
      <c r="R587" s="62"/>
      <c r="S587" s="62"/>
      <c r="T587" s="62"/>
      <c r="U587" s="64"/>
      <c r="V587" s="164"/>
      <c r="W587" s="62"/>
      <c r="X587" s="62"/>
      <c r="Y587" s="62"/>
      <c r="Z587" s="64"/>
      <c r="AA587" s="164"/>
      <c r="AB587" s="62"/>
      <c r="AC587" s="62"/>
      <c r="AD587" s="64"/>
      <c r="AE587" s="164"/>
      <c r="AF587" s="62"/>
      <c r="AG587" s="62"/>
      <c r="AH587" s="337"/>
      <c r="AI587" s="337"/>
      <c r="AJ587" s="337"/>
      <c r="AK587" s="337"/>
      <c r="AL587" s="412"/>
      <c r="AM587" s="414"/>
      <c r="AN587" s="45"/>
      <c r="AO587" s="45"/>
      <c r="AP587" s="45"/>
      <c r="AQ587" s="485"/>
      <c r="AR587" s="100"/>
      <c r="AS587" s="485"/>
      <c r="AT587" s="24"/>
      <c r="AU587" s="24"/>
      <c r="AV587" s="24"/>
      <c r="AW587" s="18">
        <v>23</v>
      </c>
      <c r="AX587" s="69" t="s">
        <v>305</v>
      </c>
      <c r="AY587" s="243" t="s">
        <v>176</v>
      </c>
      <c r="AZ587" s="243" t="str">
        <f t="shared" si="252"/>
        <v>Pink</v>
      </c>
      <c r="BA587" s="243" t="s">
        <v>419</v>
      </c>
      <c r="BB587" s="246"/>
      <c r="BC587" s="43" t="str">
        <f t="shared" si="253"/>
        <v>-</v>
      </c>
      <c r="BD587" s="43">
        <f t="shared" si="247"/>
        <v>0</v>
      </c>
      <c r="BE587" s="193">
        <f t="shared" si="243"/>
        <v>0</v>
      </c>
      <c r="BF587" s="193">
        <f t="shared" si="254"/>
        <v>0</v>
      </c>
      <c r="BG587" s="193">
        <f t="shared" si="255"/>
        <v>0</v>
      </c>
      <c r="BH587" s="307" t="str">
        <f t="shared" si="246"/>
        <v>-</v>
      </c>
      <c r="BI587" s="265" t="str">
        <f t="shared" si="251"/>
        <v>-</v>
      </c>
      <c r="BJ587" s="26" t="str">
        <f t="shared" si="256"/>
        <v>HILLIER CREEKPink</v>
      </c>
      <c r="BK587" s="26">
        <f t="shared" si="257"/>
        <v>0</v>
      </c>
      <c r="BL587" s="33">
        <f t="shared" si="248"/>
        <v>0</v>
      </c>
      <c r="BQ587" s="47" t="str">
        <f t="shared" si="258"/>
        <v>HILLIER CREEKPink</v>
      </c>
      <c r="BR587" s="49">
        <f t="shared" si="259"/>
        <v>0</v>
      </c>
      <c r="BS587" s="49">
        <f t="shared" si="260"/>
        <v>0</v>
      </c>
      <c r="BT587" s="31">
        <v>0</v>
      </c>
      <c r="BU587" s="188">
        <f t="shared" si="261"/>
        <v>0</v>
      </c>
      <c r="BV587" s="188" t="str">
        <f t="shared" si="262"/>
        <v xml:space="preserve"> </v>
      </c>
      <c r="BW587" s="188" t="str">
        <f t="shared" si="263"/>
        <v xml:space="preserve"> </v>
      </c>
      <c r="BX587" s="188" t="str">
        <f t="shared" si="264"/>
        <v xml:space="preserve"> </v>
      </c>
      <c r="BY587" s="50" t="str">
        <f t="shared" si="249"/>
        <v>HILLIER CREEK_Pink</v>
      </c>
      <c r="BZ587" s="50" t="str">
        <f>IFERROR(VLOOKUP(BY587,'[1]WCVI Esc'!$C$5:$W$555,18,FALSE),"-")</f>
        <v>-</v>
      </c>
      <c r="CA587" s="50" t="str">
        <f t="shared" si="265"/>
        <v>-</v>
      </c>
      <c r="CB587" s="50" t="str">
        <f>IFERROR(VLOOKUP(BY587,'[1]WCVI Esc'!$C$5:$W$555,19,FALSE),"-")</f>
        <v>-</v>
      </c>
      <c r="CC587" s="50" t="str">
        <f t="shared" si="266"/>
        <v>-</v>
      </c>
      <c r="CE587" s="342" t="str">
        <f t="shared" si="250"/>
        <v>HILLIER CREEK_Pink</v>
      </c>
      <c r="CF587" s="341" t="str">
        <f>IFERROR(VLOOKUP(BY587,'RawPL+D'!$O$8:$AB$503,12,FALSE),"-")</f>
        <v>-</v>
      </c>
      <c r="CG587" s="338" t="str">
        <f t="shared" si="267"/>
        <v>-</v>
      </c>
      <c r="CH587" s="341" t="str">
        <f>IFERROR(VLOOKUP(BY587,'RawPL+D'!$O$8:$AB$503,13,FALSE),"-")</f>
        <v>-</v>
      </c>
      <c r="CI587" s="338" t="str">
        <f t="shared" si="268"/>
        <v>-</v>
      </c>
    </row>
    <row r="588" spans="1:87" ht="12.75" hidden="1" customHeight="1" x14ac:dyDescent="0.2">
      <c r="A588" s="28">
        <v>4</v>
      </c>
      <c r="B588" s="28">
        <v>4</v>
      </c>
      <c r="C588" s="11">
        <v>23</v>
      </c>
      <c r="D588" s="148" t="s">
        <v>305</v>
      </c>
      <c r="E588" s="10" t="s">
        <v>176</v>
      </c>
      <c r="F588" s="10" t="s">
        <v>209</v>
      </c>
      <c r="G588" s="10"/>
      <c r="H588" s="10"/>
      <c r="I588" s="10"/>
      <c r="J588" s="10"/>
      <c r="K588" s="575"/>
      <c r="L588" s="152"/>
      <c r="M588" s="164"/>
      <c r="N588" s="62"/>
      <c r="O588" s="62"/>
      <c r="P588" s="177"/>
      <c r="Q588" s="171"/>
      <c r="R588" s="62"/>
      <c r="S588" s="62"/>
      <c r="T588" s="62"/>
      <c r="U588" s="64"/>
      <c r="V588" s="164"/>
      <c r="W588" s="62"/>
      <c r="X588" s="62"/>
      <c r="Y588" s="62"/>
      <c r="Z588" s="64"/>
      <c r="AA588" s="164"/>
      <c r="AB588" s="62"/>
      <c r="AC588" s="62"/>
      <c r="AD588" s="64"/>
      <c r="AE588" s="164"/>
      <c r="AF588" s="62"/>
      <c r="AG588" s="62"/>
      <c r="AH588" s="337"/>
      <c r="AI588" s="337"/>
      <c r="AJ588" s="337"/>
      <c r="AK588" s="337"/>
      <c r="AL588" s="412"/>
      <c r="AM588" s="414"/>
      <c r="AN588" s="45"/>
      <c r="AO588" s="45"/>
      <c r="AP588" s="45"/>
      <c r="AQ588" s="485"/>
      <c r="AR588"/>
      <c r="AS588" s="485"/>
      <c r="AT588" s="24"/>
      <c r="AU588" s="24"/>
      <c r="AV588" s="24"/>
      <c r="AW588" s="18">
        <v>23</v>
      </c>
      <c r="AX588" s="69" t="s">
        <v>305</v>
      </c>
      <c r="AY588" s="243" t="s">
        <v>176</v>
      </c>
      <c r="AZ588" s="243" t="str">
        <f t="shared" si="252"/>
        <v>Chum</v>
      </c>
      <c r="BA588" s="243" t="s">
        <v>419</v>
      </c>
      <c r="BB588" s="246"/>
      <c r="BC588" s="43" t="str">
        <f t="shared" si="253"/>
        <v>-</v>
      </c>
      <c r="BD588" s="43">
        <f t="shared" si="247"/>
        <v>0</v>
      </c>
      <c r="BE588" s="193">
        <f t="shared" si="243"/>
        <v>0</v>
      </c>
      <c r="BF588" s="193">
        <f t="shared" si="254"/>
        <v>0</v>
      </c>
      <c r="BG588" s="193">
        <f t="shared" si="255"/>
        <v>0</v>
      </c>
      <c r="BH588" s="307" t="str">
        <f t="shared" si="246"/>
        <v>-</v>
      </c>
      <c r="BI588" s="265" t="str">
        <f t="shared" si="251"/>
        <v>-</v>
      </c>
      <c r="BJ588" s="26" t="str">
        <f t="shared" si="256"/>
        <v>HILLIER CREEKChum</v>
      </c>
      <c r="BK588" s="26">
        <f t="shared" si="257"/>
        <v>0</v>
      </c>
      <c r="BL588" s="33">
        <f t="shared" si="248"/>
        <v>0</v>
      </c>
      <c r="BQ588" s="47" t="str">
        <f t="shared" si="258"/>
        <v>HILLIER CREEKChum</v>
      </c>
      <c r="BR588" s="49">
        <f t="shared" si="259"/>
        <v>0</v>
      </c>
      <c r="BS588" s="49">
        <f t="shared" si="260"/>
        <v>0</v>
      </c>
      <c r="BT588" s="31">
        <v>2005</v>
      </c>
      <c r="BU588" s="188">
        <f t="shared" si="261"/>
        <v>0</v>
      </c>
      <c r="BV588" s="188" t="str">
        <f t="shared" si="262"/>
        <v xml:space="preserve"> </v>
      </c>
      <c r="BW588" s="188" t="str">
        <f t="shared" si="263"/>
        <v xml:space="preserve"> </v>
      </c>
      <c r="BX588" s="188" t="str">
        <f t="shared" si="264"/>
        <v xml:space="preserve"> </v>
      </c>
      <c r="BY588" s="50" t="str">
        <f t="shared" si="249"/>
        <v>HILLIER CREEK_Chum</v>
      </c>
      <c r="BZ588" s="50" t="str">
        <f>IFERROR(VLOOKUP(BY588,'[1]WCVI Esc'!$C$5:$W$555,18,FALSE),"-")</f>
        <v>-</v>
      </c>
      <c r="CA588" s="50" t="str">
        <f t="shared" si="265"/>
        <v>-</v>
      </c>
      <c r="CB588" s="50" t="str">
        <f>IFERROR(VLOOKUP(BY588,'[1]WCVI Esc'!$C$5:$W$555,19,FALSE),"-")</f>
        <v>-</v>
      </c>
      <c r="CC588" s="50" t="str">
        <f t="shared" si="266"/>
        <v>-</v>
      </c>
      <c r="CE588" s="342" t="str">
        <f t="shared" si="250"/>
        <v>HILLIER CREEK_Chum</v>
      </c>
      <c r="CF588" s="341" t="str">
        <f>IFERROR(VLOOKUP(BY588,'RawPL+D'!$O$8:$AB$503,12,FALSE),"-")</f>
        <v>-</v>
      </c>
      <c r="CG588" s="338" t="str">
        <f t="shared" si="267"/>
        <v>-</v>
      </c>
      <c r="CH588" s="341" t="str">
        <f>IFERROR(VLOOKUP(BY588,'RawPL+D'!$O$8:$AB$503,13,FALSE),"-")</f>
        <v>-</v>
      </c>
      <c r="CI588" s="338" t="str">
        <f t="shared" si="268"/>
        <v>-</v>
      </c>
    </row>
    <row r="589" spans="1:87" ht="12.75" hidden="1" customHeight="1" x14ac:dyDescent="0.2">
      <c r="A589" s="28">
        <v>4</v>
      </c>
      <c r="B589" s="28">
        <v>5</v>
      </c>
      <c r="C589" s="11">
        <v>23</v>
      </c>
      <c r="D589" s="148" t="s">
        <v>305</v>
      </c>
      <c r="E589" s="10" t="s">
        <v>176</v>
      </c>
      <c r="F589" s="10" t="s">
        <v>210</v>
      </c>
      <c r="G589" s="10"/>
      <c r="H589" s="10"/>
      <c r="I589" s="10"/>
      <c r="J589" s="10"/>
      <c r="K589" s="575"/>
      <c r="L589" s="152"/>
      <c r="M589" s="164"/>
      <c r="N589" s="62"/>
      <c r="O589" s="62"/>
      <c r="P589" s="177"/>
      <c r="Q589" s="171"/>
      <c r="R589" s="62"/>
      <c r="S589" s="62"/>
      <c r="T589" s="62"/>
      <c r="U589" s="64"/>
      <c r="V589" s="164"/>
      <c r="W589" s="62"/>
      <c r="X589" s="62"/>
      <c r="Y589" s="62"/>
      <c r="Z589" s="64"/>
      <c r="AA589" s="164"/>
      <c r="AB589" s="62"/>
      <c r="AC589" s="62"/>
      <c r="AD589" s="64"/>
      <c r="AE589" s="164"/>
      <c r="AF589" s="62"/>
      <c r="AG589" s="62"/>
      <c r="AH589" s="337"/>
      <c r="AI589" s="337"/>
      <c r="AJ589" s="337"/>
      <c r="AK589" s="337"/>
      <c r="AL589" s="412"/>
      <c r="AM589" s="414"/>
      <c r="AN589" s="45"/>
      <c r="AO589" s="45"/>
      <c r="AP589" s="45"/>
      <c r="AQ589" s="485"/>
      <c r="AR589" s="100"/>
      <c r="AS589" s="485"/>
      <c r="AT589" s="24"/>
      <c r="AU589" s="24"/>
      <c r="AV589" s="24"/>
      <c r="AW589" s="18">
        <v>23</v>
      </c>
      <c r="AX589" s="69" t="s">
        <v>305</v>
      </c>
      <c r="AY589" s="243" t="s">
        <v>176</v>
      </c>
      <c r="AZ589" s="243" t="str">
        <f t="shared" si="252"/>
        <v>Chinook</v>
      </c>
      <c r="BA589" s="243" t="s">
        <v>419</v>
      </c>
      <c r="BB589" s="246"/>
      <c r="BC589" s="43" t="str">
        <f t="shared" si="253"/>
        <v>-</v>
      </c>
      <c r="BD589" s="43">
        <f t="shared" si="247"/>
        <v>0</v>
      </c>
      <c r="BE589" s="193">
        <f t="shared" si="243"/>
        <v>0</v>
      </c>
      <c r="BF589" s="193">
        <f t="shared" si="254"/>
        <v>0</v>
      </c>
      <c r="BG589" s="193">
        <f t="shared" si="255"/>
        <v>0</v>
      </c>
      <c r="BH589" s="307" t="str">
        <f t="shared" si="246"/>
        <v>-</v>
      </c>
      <c r="BI589" s="265" t="str">
        <f t="shared" si="251"/>
        <v>-</v>
      </c>
      <c r="BJ589" s="26" t="str">
        <f t="shared" si="256"/>
        <v>HILLIER CREEKChinook</v>
      </c>
      <c r="BK589" s="26">
        <f t="shared" si="257"/>
        <v>0</v>
      </c>
      <c r="BL589" s="33">
        <f t="shared" si="248"/>
        <v>0</v>
      </c>
      <c r="BQ589" s="47" t="str">
        <f t="shared" si="258"/>
        <v>HILLIER CREEKChinook</v>
      </c>
      <c r="BR589" s="49">
        <f t="shared" si="259"/>
        <v>0</v>
      </c>
      <c r="BS589" s="49">
        <f t="shared" si="260"/>
        <v>0</v>
      </c>
      <c r="BT589" s="31">
        <v>0</v>
      </c>
      <c r="BU589" s="188">
        <f t="shared" si="261"/>
        <v>0</v>
      </c>
      <c r="BV589" s="188" t="str">
        <f t="shared" si="262"/>
        <v xml:space="preserve"> </v>
      </c>
      <c r="BW589" s="188" t="str">
        <f t="shared" si="263"/>
        <v xml:space="preserve"> </v>
      </c>
      <c r="BX589" s="188" t="str">
        <f t="shared" si="264"/>
        <v xml:space="preserve"> </v>
      </c>
      <c r="BY589" s="50" t="str">
        <f t="shared" si="249"/>
        <v>HILLIER CREEK_Chinook</v>
      </c>
      <c r="BZ589" s="50" t="str">
        <f>IFERROR(VLOOKUP(BY589,'[1]WCVI Esc'!$C$5:$W$555,18,FALSE),"-")</f>
        <v>-</v>
      </c>
      <c r="CA589" s="50" t="str">
        <f t="shared" si="265"/>
        <v>-</v>
      </c>
      <c r="CB589" s="50" t="str">
        <f>IFERROR(VLOOKUP(BY589,'[1]WCVI Esc'!$C$5:$W$555,19,FALSE),"-")</f>
        <v>-</v>
      </c>
      <c r="CC589" s="50" t="str">
        <f t="shared" si="266"/>
        <v>-</v>
      </c>
      <c r="CE589" s="342" t="str">
        <f t="shared" si="250"/>
        <v>HILLIER CREEK_Chinook</v>
      </c>
      <c r="CF589" s="341" t="str">
        <f>IFERROR(VLOOKUP(BY589,'RawPL+D'!$O$8:$AB$503,12,FALSE),"-")</f>
        <v>-</v>
      </c>
      <c r="CG589" s="338" t="str">
        <f t="shared" si="267"/>
        <v>-</v>
      </c>
      <c r="CH589" s="341" t="str">
        <f>IFERROR(VLOOKUP(BY589,'RawPL+D'!$O$8:$AB$503,13,FALSE),"-")</f>
        <v>-</v>
      </c>
      <c r="CI589" s="338" t="str">
        <f t="shared" si="268"/>
        <v>-</v>
      </c>
    </row>
    <row r="590" spans="1:87" ht="12.75" hidden="1" customHeight="1" x14ac:dyDescent="0.2">
      <c r="A590" s="28">
        <v>4</v>
      </c>
      <c r="B590" s="28">
        <v>6</v>
      </c>
      <c r="C590" s="11">
        <v>23</v>
      </c>
      <c r="D590" s="148" t="s">
        <v>305</v>
      </c>
      <c r="E590" s="10" t="s">
        <v>176</v>
      </c>
      <c r="F590" s="10" t="s">
        <v>211</v>
      </c>
      <c r="G590" s="10"/>
      <c r="H590" s="10"/>
      <c r="I590" s="10"/>
      <c r="J590" s="10"/>
      <c r="K590" s="575"/>
      <c r="L590" s="152"/>
      <c r="M590" s="164"/>
      <c r="N590" s="62"/>
      <c r="O590" s="62"/>
      <c r="P590" s="177"/>
      <c r="Q590" s="171"/>
      <c r="R590" s="62"/>
      <c r="S590" s="62"/>
      <c r="T590" s="62"/>
      <c r="U590" s="64"/>
      <c r="V590" s="164"/>
      <c r="W590" s="62"/>
      <c r="X590" s="62"/>
      <c r="Y590" s="62"/>
      <c r="Z590" s="64"/>
      <c r="AA590" s="164"/>
      <c r="AB590" s="62"/>
      <c r="AC590" s="62"/>
      <c r="AD590" s="64"/>
      <c r="AE590" s="164"/>
      <c r="AF590" s="62"/>
      <c r="AG590" s="62"/>
      <c r="AH590" s="337"/>
      <c r="AI590" s="337"/>
      <c r="AJ590" s="337"/>
      <c r="AK590" s="337"/>
      <c r="AL590" s="412"/>
      <c r="AM590" s="414"/>
      <c r="AN590" s="45"/>
      <c r="AO590" s="45"/>
      <c r="AP590" s="45"/>
      <c r="AQ590" s="485"/>
      <c r="AR590" s="100"/>
      <c r="AS590" s="485"/>
      <c r="AT590" s="24"/>
      <c r="AU590" s="24"/>
      <c r="AV590" s="24"/>
      <c r="AW590" s="18">
        <v>23</v>
      </c>
      <c r="AX590" s="69" t="s">
        <v>305</v>
      </c>
      <c r="AY590" s="243" t="s">
        <v>176</v>
      </c>
      <c r="AZ590" s="243" t="str">
        <f t="shared" si="252"/>
        <v>Steelhead</v>
      </c>
      <c r="BA590" s="243" t="s">
        <v>419</v>
      </c>
      <c r="BB590" s="246"/>
      <c r="BC590" s="43" t="str">
        <f t="shared" si="253"/>
        <v>-</v>
      </c>
      <c r="BD590" s="43">
        <f t="shared" si="247"/>
        <v>0</v>
      </c>
      <c r="BE590" s="193">
        <f t="shared" si="243"/>
        <v>0</v>
      </c>
      <c r="BF590" s="193">
        <f t="shared" si="254"/>
        <v>0</v>
      </c>
      <c r="BG590" s="193">
        <f t="shared" si="255"/>
        <v>0</v>
      </c>
      <c r="BH590" s="307" t="str">
        <f t="shared" si="246"/>
        <v>-</v>
      </c>
      <c r="BI590" s="265" t="str">
        <f t="shared" si="251"/>
        <v>-</v>
      </c>
      <c r="BJ590" s="26" t="str">
        <f t="shared" si="256"/>
        <v>HILLIER CREEKSteelhead</v>
      </c>
      <c r="BK590" s="26">
        <f t="shared" si="257"/>
        <v>0</v>
      </c>
      <c r="BL590" s="33">
        <f t="shared" si="248"/>
        <v>0</v>
      </c>
      <c r="BQ590" s="47" t="str">
        <f t="shared" si="258"/>
        <v>HILLIER CREEKSteelhead</v>
      </c>
      <c r="BR590" s="49">
        <f t="shared" si="259"/>
        <v>0</v>
      </c>
      <c r="BS590" s="49">
        <f t="shared" si="260"/>
        <v>0</v>
      </c>
      <c r="BT590" s="31">
        <v>0</v>
      </c>
      <c r="BU590" s="188">
        <f t="shared" si="261"/>
        <v>0</v>
      </c>
      <c r="BV590" s="188" t="str">
        <f t="shared" si="262"/>
        <v xml:space="preserve"> </v>
      </c>
      <c r="BW590" s="188" t="str">
        <f t="shared" si="263"/>
        <v xml:space="preserve"> </v>
      </c>
      <c r="BX590" s="188" t="str">
        <f t="shared" si="264"/>
        <v xml:space="preserve"> </v>
      </c>
      <c r="BY590" s="50" t="str">
        <f t="shared" si="249"/>
        <v>HILLIER CREEK_Steelhead</v>
      </c>
      <c r="BZ590" s="50" t="str">
        <f>IFERROR(VLOOKUP(BY590,'[1]WCVI Esc'!$C$5:$W$555,18,FALSE),"-")</f>
        <v>-</v>
      </c>
      <c r="CA590" s="50" t="str">
        <f t="shared" si="265"/>
        <v>-</v>
      </c>
      <c r="CB590" s="50" t="str">
        <f>IFERROR(VLOOKUP(BY590,'[1]WCVI Esc'!$C$5:$W$555,19,FALSE),"-")</f>
        <v>-</v>
      </c>
      <c r="CC590" s="50" t="str">
        <f t="shared" si="266"/>
        <v>-</v>
      </c>
      <c r="CE590" s="342" t="str">
        <f t="shared" si="250"/>
        <v>HILLIER CREEK_Steelhead</v>
      </c>
      <c r="CF590" s="341" t="str">
        <f>IFERROR(VLOOKUP(BY590,'RawPL+D'!$O$8:$AB$503,12,FALSE),"-")</f>
        <v>-</v>
      </c>
      <c r="CG590" s="338" t="str">
        <f t="shared" si="267"/>
        <v>-</v>
      </c>
      <c r="CH590" s="341" t="str">
        <f>IFERROR(VLOOKUP(BY590,'RawPL+D'!$O$8:$AB$503,13,FALSE),"-")</f>
        <v>-</v>
      </c>
      <c r="CI590" s="338" t="str">
        <f t="shared" si="268"/>
        <v>-</v>
      </c>
    </row>
    <row r="591" spans="1:87" ht="12.75" hidden="1" customHeight="1" x14ac:dyDescent="0.2">
      <c r="A591" s="28">
        <v>4</v>
      </c>
      <c r="B591" s="28">
        <v>1</v>
      </c>
      <c r="C591" s="11">
        <v>23</v>
      </c>
      <c r="D591" s="148" t="s">
        <v>305</v>
      </c>
      <c r="E591" s="10" t="s">
        <v>98</v>
      </c>
      <c r="F591" s="10" t="s">
        <v>207</v>
      </c>
      <c r="G591" s="10"/>
      <c r="H591" s="10"/>
      <c r="I591" s="10"/>
      <c r="J591" s="10"/>
      <c r="K591" s="575"/>
      <c r="L591" s="152"/>
      <c r="M591" s="164"/>
      <c r="N591" s="62"/>
      <c r="O591" s="62"/>
      <c r="P591" s="177"/>
      <c r="Q591" s="171"/>
      <c r="R591" s="62"/>
      <c r="S591" s="62"/>
      <c r="T591" s="62"/>
      <c r="U591" s="64"/>
      <c r="V591" s="164"/>
      <c r="W591" s="62"/>
      <c r="X591" s="62"/>
      <c r="Y591" s="62"/>
      <c r="Z591" s="64"/>
      <c r="AA591" s="164"/>
      <c r="AB591" s="62"/>
      <c r="AC591" s="62"/>
      <c r="AD591" s="64"/>
      <c r="AE591" s="164"/>
      <c r="AF591" s="62"/>
      <c r="AG591" s="62"/>
      <c r="AH591" s="337"/>
      <c r="AI591" s="337"/>
      <c r="AJ591" s="337"/>
      <c r="AK591" s="337"/>
      <c r="AL591" s="412"/>
      <c r="AM591" s="414"/>
      <c r="AN591" s="45"/>
      <c r="AO591" s="45"/>
      <c r="AP591" s="45"/>
      <c r="AQ591" s="485"/>
      <c r="AR591" s="100"/>
      <c r="AS591" s="485"/>
      <c r="AT591" s="24"/>
      <c r="AU591" s="24"/>
      <c r="AV591" s="24"/>
      <c r="AW591" s="18">
        <v>23</v>
      </c>
      <c r="AX591" s="69" t="s">
        <v>305</v>
      </c>
      <c r="AY591" s="243" t="s">
        <v>98</v>
      </c>
      <c r="AZ591" s="243" t="str">
        <f t="shared" si="252"/>
        <v>Sockeye</v>
      </c>
      <c r="BA591" s="243" t="s">
        <v>419</v>
      </c>
      <c r="BB591" s="246"/>
      <c r="BC591" s="43" t="str">
        <f t="shared" si="253"/>
        <v>-</v>
      </c>
      <c r="BD591" s="43">
        <f t="shared" si="247"/>
        <v>0</v>
      </c>
      <c r="BE591" s="193">
        <f t="shared" si="243"/>
        <v>0</v>
      </c>
      <c r="BF591" s="193">
        <f t="shared" si="254"/>
        <v>0</v>
      </c>
      <c r="BG591" s="193">
        <f t="shared" si="255"/>
        <v>0</v>
      </c>
      <c r="BH591" s="307" t="str">
        <f t="shared" si="246"/>
        <v>-</v>
      </c>
      <c r="BI591" s="265" t="str">
        <f t="shared" si="251"/>
        <v>-</v>
      </c>
      <c r="BJ591" s="26" t="str">
        <f t="shared" si="256"/>
        <v>HOLFORD CREEKSockeye</v>
      </c>
      <c r="BK591" s="26">
        <f t="shared" si="257"/>
        <v>0</v>
      </c>
      <c r="BL591" s="33">
        <f t="shared" si="248"/>
        <v>0</v>
      </c>
      <c r="BQ591" s="47" t="str">
        <f t="shared" si="258"/>
        <v>HOLFORD CREEKSockeye</v>
      </c>
      <c r="BR591" s="49">
        <f t="shared" si="259"/>
        <v>0</v>
      </c>
      <c r="BS591" s="49">
        <f t="shared" si="260"/>
        <v>0</v>
      </c>
      <c r="BT591" s="31">
        <v>0</v>
      </c>
      <c r="BU591" s="188">
        <f t="shared" si="261"/>
        <v>0</v>
      </c>
      <c r="BV591" s="188" t="str">
        <f t="shared" si="262"/>
        <v xml:space="preserve"> </v>
      </c>
      <c r="BW591" s="188" t="str">
        <f t="shared" si="263"/>
        <v xml:space="preserve"> </v>
      </c>
      <c r="BX591" s="188" t="str">
        <f t="shared" si="264"/>
        <v xml:space="preserve"> </v>
      </c>
      <c r="BY591" s="50" t="str">
        <f t="shared" si="249"/>
        <v>HOLFORD CREEK_Sockeye</v>
      </c>
      <c r="BZ591" s="50" t="str">
        <f>IFERROR(VLOOKUP(BY591,'[1]WCVI Esc'!$C$5:$W$555,18,FALSE),"-")</f>
        <v>-</v>
      </c>
      <c r="CA591" s="50" t="str">
        <f t="shared" si="265"/>
        <v>-</v>
      </c>
      <c r="CB591" s="50" t="str">
        <f>IFERROR(VLOOKUP(BY591,'[1]WCVI Esc'!$C$5:$W$555,19,FALSE),"-")</f>
        <v>-</v>
      </c>
      <c r="CC591" s="50" t="str">
        <f t="shared" si="266"/>
        <v>-</v>
      </c>
      <c r="CE591" s="342" t="str">
        <f t="shared" si="250"/>
        <v>HOLFORD CREEK_Sockeye</v>
      </c>
      <c r="CF591" s="341" t="str">
        <f>IFERROR(VLOOKUP(BY591,'RawPL+D'!$O$8:$AB$503,12,FALSE),"-")</f>
        <v>-</v>
      </c>
      <c r="CG591" s="338" t="str">
        <f t="shared" si="267"/>
        <v>-</v>
      </c>
      <c r="CH591" s="341" t="str">
        <f>IFERROR(VLOOKUP(BY591,'RawPL+D'!$O$8:$AB$503,13,FALSE),"-")</f>
        <v>-</v>
      </c>
      <c r="CI591" s="338" t="str">
        <f t="shared" si="268"/>
        <v>-</v>
      </c>
    </row>
    <row r="592" spans="1:87" ht="12.75" hidden="1" customHeight="1" x14ac:dyDescent="0.2">
      <c r="A592" s="28">
        <v>4</v>
      </c>
      <c r="B592" s="28">
        <v>2</v>
      </c>
      <c r="C592" s="11">
        <v>23</v>
      </c>
      <c r="D592" s="148" t="s">
        <v>305</v>
      </c>
      <c r="E592" s="10" t="s">
        <v>98</v>
      </c>
      <c r="F592" s="10" t="s">
        <v>219</v>
      </c>
      <c r="G592" s="10"/>
      <c r="H592" s="10"/>
      <c r="I592" s="10"/>
      <c r="J592" s="10"/>
      <c r="K592" s="575"/>
      <c r="L592" s="152"/>
      <c r="M592" s="164"/>
      <c r="N592" s="62"/>
      <c r="O592" s="62"/>
      <c r="P592" s="177"/>
      <c r="Q592" s="171"/>
      <c r="R592" s="62"/>
      <c r="S592" s="62"/>
      <c r="T592" s="62"/>
      <c r="U592" s="64"/>
      <c r="V592" s="164"/>
      <c r="W592" s="62"/>
      <c r="X592" s="62"/>
      <c r="Y592" s="62"/>
      <c r="Z592" s="64"/>
      <c r="AA592" s="164"/>
      <c r="AB592" s="62"/>
      <c r="AC592" s="62"/>
      <c r="AD592" s="64"/>
      <c r="AE592" s="164"/>
      <c r="AF592" s="62"/>
      <c r="AG592" s="62"/>
      <c r="AH592" s="337"/>
      <c r="AI592" s="337"/>
      <c r="AJ592" s="337"/>
      <c r="AK592" s="337"/>
      <c r="AL592" s="412"/>
      <c r="AM592" s="414"/>
      <c r="AN592" s="45"/>
      <c r="AO592" s="45"/>
      <c r="AP592" s="45"/>
      <c r="AQ592" s="485"/>
      <c r="AR592" s="100"/>
      <c r="AS592" s="485"/>
      <c r="AT592" s="24"/>
      <c r="AU592" s="24"/>
      <c r="AV592" s="24"/>
      <c r="AW592" s="18">
        <v>23</v>
      </c>
      <c r="AX592" s="69" t="s">
        <v>305</v>
      </c>
      <c r="AY592" s="243" t="s">
        <v>98</v>
      </c>
      <c r="AZ592" s="243" t="str">
        <f t="shared" si="252"/>
        <v>Coho</v>
      </c>
      <c r="BA592" s="243" t="s">
        <v>419</v>
      </c>
      <c r="BB592" s="246"/>
      <c r="BC592" s="43" t="str">
        <f t="shared" si="253"/>
        <v>-</v>
      </c>
      <c r="BD592" s="43">
        <f t="shared" si="247"/>
        <v>0</v>
      </c>
      <c r="BE592" s="193">
        <f t="shared" si="243"/>
        <v>0</v>
      </c>
      <c r="BF592" s="193">
        <f t="shared" si="254"/>
        <v>0</v>
      </c>
      <c r="BG592" s="193">
        <f t="shared" si="255"/>
        <v>0</v>
      </c>
      <c r="BH592" s="307" t="str">
        <f t="shared" si="246"/>
        <v>-</v>
      </c>
      <c r="BI592" s="265" t="str">
        <f t="shared" si="251"/>
        <v>-</v>
      </c>
      <c r="BJ592" s="26" t="str">
        <f t="shared" si="256"/>
        <v>HOLFORD CREEKCoho</v>
      </c>
      <c r="BK592" s="26">
        <f t="shared" si="257"/>
        <v>0</v>
      </c>
      <c r="BL592" s="33">
        <f t="shared" si="248"/>
        <v>0</v>
      </c>
      <c r="BQ592" s="47" t="str">
        <f t="shared" si="258"/>
        <v>HOLFORD CREEKCoho</v>
      </c>
      <c r="BR592" s="49">
        <f t="shared" si="259"/>
        <v>0</v>
      </c>
      <c r="BS592" s="49">
        <f t="shared" si="260"/>
        <v>0</v>
      </c>
      <c r="BT592" s="31">
        <v>1980</v>
      </c>
      <c r="BU592" s="188">
        <f t="shared" si="261"/>
        <v>0</v>
      </c>
      <c r="BV592" s="188" t="str">
        <f t="shared" si="262"/>
        <v xml:space="preserve"> </v>
      </c>
      <c r="BW592" s="188" t="str">
        <f t="shared" si="263"/>
        <v xml:space="preserve"> </v>
      </c>
      <c r="BX592" s="188" t="str">
        <f t="shared" si="264"/>
        <v xml:space="preserve"> </v>
      </c>
      <c r="BY592" s="50" t="str">
        <f t="shared" si="249"/>
        <v>HOLFORD CREEK_Coho</v>
      </c>
      <c r="BZ592" s="50" t="str">
        <f>IFERROR(VLOOKUP(BY592,'[1]WCVI Esc'!$C$5:$W$555,18,FALSE),"-")</f>
        <v>-</v>
      </c>
      <c r="CA592" s="50" t="str">
        <f t="shared" si="265"/>
        <v>-</v>
      </c>
      <c r="CB592" s="50" t="str">
        <f>IFERROR(VLOOKUP(BY592,'[1]WCVI Esc'!$C$5:$W$555,19,FALSE),"-")</f>
        <v>-</v>
      </c>
      <c r="CC592" s="50" t="str">
        <f t="shared" si="266"/>
        <v>-</v>
      </c>
      <c r="CE592" s="342" t="str">
        <f t="shared" si="250"/>
        <v>HOLFORD CREEK_Coho</v>
      </c>
      <c r="CF592" s="341" t="str">
        <f>IFERROR(VLOOKUP(BY592,'RawPL+D'!$O$8:$AB$503,12,FALSE),"-")</f>
        <v>-</v>
      </c>
      <c r="CG592" s="338" t="str">
        <f t="shared" si="267"/>
        <v>-</v>
      </c>
      <c r="CH592" s="341" t="str">
        <f>IFERROR(VLOOKUP(BY592,'RawPL+D'!$O$8:$AB$503,13,FALSE),"-")</f>
        <v>-</v>
      </c>
      <c r="CI592" s="338" t="str">
        <f t="shared" si="268"/>
        <v>-</v>
      </c>
    </row>
    <row r="593" spans="1:87" ht="12.75" hidden="1" customHeight="1" x14ac:dyDescent="0.2">
      <c r="A593" s="28">
        <v>4</v>
      </c>
      <c r="B593" s="28">
        <v>3</v>
      </c>
      <c r="C593" s="11">
        <v>23</v>
      </c>
      <c r="D593" s="148" t="s">
        <v>305</v>
      </c>
      <c r="E593" s="10" t="s">
        <v>98</v>
      </c>
      <c r="F593" s="10" t="s">
        <v>208</v>
      </c>
      <c r="G593" s="10"/>
      <c r="H593" s="10"/>
      <c r="I593" s="10"/>
      <c r="J593" s="10"/>
      <c r="K593" s="575"/>
      <c r="L593" s="152"/>
      <c r="M593" s="164"/>
      <c r="N593" s="62"/>
      <c r="O593" s="62"/>
      <c r="P593" s="177"/>
      <c r="Q593" s="171"/>
      <c r="R593" s="62"/>
      <c r="S593" s="62"/>
      <c r="T593" s="62"/>
      <c r="U593" s="64"/>
      <c r="V593" s="164"/>
      <c r="W593" s="62"/>
      <c r="X593" s="62"/>
      <c r="Y593" s="62"/>
      <c r="Z593" s="64"/>
      <c r="AA593" s="164"/>
      <c r="AB593" s="62"/>
      <c r="AC593" s="62"/>
      <c r="AD593" s="64"/>
      <c r="AE593" s="164"/>
      <c r="AF593" s="62"/>
      <c r="AG593" s="62"/>
      <c r="AH593" s="337"/>
      <c r="AI593" s="337"/>
      <c r="AJ593" s="337"/>
      <c r="AK593" s="337"/>
      <c r="AL593" s="412"/>
      <c r="AM593" s="414"/>
      <c r="AN593" s="45"/>
      <c r="AO593" s="45"/>
      <c r="AP593" s="45"/>
      <c r="AQ593" s="485"/>
      <c r="AR593" s="100"/>
      <c r="AS593" s="485"/>
      <c r="AT593" s="24"/>
      <c r="AU593" s="24"/>
      <c r="AV593" s="24"/>
      <c r="AW593" s="18">
        <v>23</v>
      </c>
      <c r="AX593" s="69" t="s">
        <v>305</v>
      </c>
      <c r="AY593" s="243" t="s">
        <v>98</v>
      </c>
      <c r="AZ593" s="243" t="str">
        <f t="shared" si="252"/>
        <v>Pink</v>
      </c>
      <c r="BA593" s="243" t="s">
        <v>419</v>
      </c>
      <c r="BB593" s="246"/>
      <c r="BC593" s="43" t="str">
        <f t="shared" si="253"/>
        <v>-</v>
      </c>
      <c r="BD593" s="43">
        <f t="shared" si="247"/>
        <v>0</v>
      </c>
      <c r="BE593" s="193">
        <f t="shared" ref="BE593:BE656" si="269">BL593</f>
        <v>0</v>
      </c>
      <c r="BF593" s="193">
        <f t="shared" si="254"/>
        <v>0</v>
      </c>
      <c r="BG593" s="193">
        <f t="shared" si="255"/>
        <v>0</v>
      </c>
      <c r="BH593" s="307" t="str">
        <f t="shared" si="246"/>
        <v>-</v>
      </c>
      <c r="BI593" s="265" t="str">
        <f t="shared" si="251"/>
        <v>-</v>
      </c>
      <c r="BJ593" s="26" t="str">
        <f t="shared" si="256"/>
        <v>HOLFORD CREEKPink</v>
      </c>
      <c r="BK593" s="26">
        <f t="shared" si="257"/>
        <v>0</v>
      </c>
      <c r="BL593" s="33">
        <f t="shared" si="248"/>
        <v>0</v>
      </c>
      <c r="BQ593" s="47" t="str">
        <f t="shared" si="258"/>
        <v>HOLFORD CREEKPink</v>
      </c>
      <c r="BR593" s="49">
        <f t="shared" si="259"/>
        <v>0</v>
      </c>
      <c r="BS593" s="49">
        <f t="shared" si="260"/>
        <v>0</v>
      </c>
      <c r="BT593" s="31">
        <v>0</v>
      </c>
      <c r="BU593" s="188">
        <f t="shared" si="261"/>
        <v>0</v>
      </c>
      <c r="BV593" s="188" t="str">
        <f t="shared" si="262"/>
        <v xml:space="preserve"> </v>
      </c>
      <c r="BW593" s="188" t="str">
        <f t="shared" si="263"/>
        <v xml:space="preserve"> </v>
      </c>
      <c r="BX593" s="188" t="str">
        <f t="shared" si="264"/>
        <v xml:space="preserve"> </v>
      </c>
      <c r="BY593" s="50" t="str">
        <f t="shared" si="249"/>
        <v>HOLFORD CREEK_Pink</v>
      </c>
      <c r="BZ593" s="50" t="str">
        <f>IFERROR(VLOOKUP(BY593,'[1]WCVI Esc'!$C$5:$W$555,18,FALSE),"-")</f>
        <v>-</v>
      </c>
      <c r="CA593" s="50" t="str">
        <f t="shared" si="265"/>
        <v>-</v>
      </c>
      <c r="CB593" s="50" t="str">
        <f>IFERROR(VLOOKUP(BY593,'[1]WCVI Esc'!$C$5:$W$555,19,FALSE),"-")</f>
        <v>-</v>
      </c>
      <c r="CC593" s="50" t="str">
        <f t="shared" si="266"/>
        <v>-</v>
      </c>
      <c r="CE593" s="342" t="str">
        <f t="shared" si="250"/>
        <v>HOLFORD CREEK_Pink</v>
      </c>
      <c r="CF593" s="341" t="str">
        <f>IFERROR(VLOOKUP(BY593,'RawPL+D'!$O$8:$AB$503,12,FALSE),"-")</f>
        <v>-</v>
      </c>
      <c r="CG593" s="338" t="str">
        <f t="shared" si="267"/>
        <v>-</v>
      </c>
      <c r="CH593" s="341" t="str">
        <f>IFERROR(VLOOKUP(BY593,'RawPL+D'!$O$8:$AB$503,13,FALSE),"-")</f>
        <v>-</v>
      </c>
      <c r="CI593" s="338" t="str">
        <f t="shared" si="268"/>
        <v>-</v>
      </c>
    </row>
    <row r="594" spans="1:87" ht="12.75" hidden="1" customHeight="1" x14ac:dyDescent="0.2">
      <c r="A594" s="28">
        <v>4</v>
      </c>
      <c r="B594" s="28">
        <v>4</v>
      </c>
      <c r="C594" s="11">
        <v>23</v>
      </c>
      <c r="D594" s="148" t="s">
        <v>305</v>
      </c>
      <c r="E594" s="10" t="s">
        <v>98</v>
      </c>
      <c r="F594" s="10" t="s">
        <v>209</v>
      </c>
      <c r="G594" s="10"/>
      <c r="H594" s="10"/>
      <c r="I594" s="10"/>
      <c r="J594" s="10"/>
      <c r="K594" s="575"/>
      <c r="L594" s="152"/>
      <c r="M594" s="164"/>
      <c r="N594" s="62"/>
      <c r="O594" s="62"/>
      <c r="P594" s="177"/>
      <c r="Q594" s="171"/>
      <c r="R594" s="62"/>
      <c r="S594" s="62"/>
      <c r="T594" s="62"/>
      <c r="U594" s="64"/>
      <c r="V594" s="164"/>
      <c r="W594" s="62"/>
      <c r="X594" s="62"/>
      <c r="Y594" s="62"/>
      <c r="Z594" s="64"/>
      <c r="AA594" s="164"/>
      <c r="AB594" s="62"/>
      <c r="AC594" s="62"/>
      <c r="AD594" s="64"/>
      <c r="AE594" s="164"/>
      <c r="AF594" s="62"/>
      <c r="AG594" s="62"/>
      <c r="AH594" s="337"/>
      <c r="AI594" s="337"/>
      <c r="AJ594" s="337"/>
      <c r="AK594" s="337"/>
      <c r="AL594" s="412"/>
      <c r="AM594" s="414"/>
      <c r="AN594" s="45"/>
      <c r="AO594" s="45"/>
      <c r="AP594" s="45"/>
      <c r="AQ594" s="485"/>
      <c r="AR594" s="100"/>
      <c r="AS594" s="485"/>
      <c r="AT594" s="24"/>
      <c r="AU594" s="24"/>
      <c r="AV594" s="24"/>
      <c r="AW594" s="18">
        <v>23</v>
      </c>
      <c r="AX594" s="69" t="s">
        <v>305</v>
      </c>
      <c r="AY594" s="243" t="s">
        <v>98</v>
      </c>
      <c r="AZ594" s="243" t="str">
        <f t="shared" si="252"/>
        <v>Chum</v>
      </c>
      <c r="BA594" s="243" t="s">
        <v>419</v>
      </c>
      <c r="BB594" s="246"/>
      <c r="BC594" s="43" t="str">
        <f t="shared" si="253"/>
        <v>-</v>
      </c>
      <c r="BD594" s="43">
        <f t="shared" si="247"/>
        <v>0</v>
      </c>
      <c r="BE594" s="193">
        <f t="shared" si="269"/>
        <v>0</v>
      </c>
      <c r="BF594" s="193">
        <f t="shared" si="254"/>
        <v>0</v>
      </c>
      <c r="BG594" s="193">
        <f t="shared" si="255"/>
        <v>0</v>
      </c>
      <c r="BH594" s="307" t="str">
        <f t="shared" si="246"/>
        <v>-</v>
      </c>
      <c r="BI594" s="265" t="str">
        <f t="shared" si="251"/>
        <v>-</v>
      </c>
      <c r="BJ594" s="26" t="str">
        <f t="shared" si="256"/>
        <v>HOLFORD CREEKChum</v>
      </c>
      <c r="BK594" s="26">
        <f t="shared" si="257"/>
        <v>0</v>
      </c>
      <c r="BL594" s="33">
        <f t="shared" si="248"/>
        <v>0</v>
      </c>
      <c r="BQ594" s="47" t="str">
        <f t="shared" si="258"/>
        <v>HOLFORD CREEKChum</v>
      </c>
      <c r="BR594" s="49">
        <f t="shared" si="259"/>
        <v>0</v>
      </c>
      <c r="BS594" s="49">
        <f t="shared" si="260"/>
        <v>0</v>
      </c>
      <c r="BT594" s="31">
        <v>1998</v>
      </c>
      <c r="BU594" s="188">
        <f t="shared" si="261"/>
        <v>0</v>
      </c>
      <c r="BV594" s="188" t="str">
        <f t="shared" si="262"/>
        <v xml:space="preserve"> </v>
      </c>
      <c r="BW594" s="188" t="str">
        <f t="shared" si="263"/>
        <v xml:space="preserve"> </v>
      </c>
      <c r="BX594" s="188" t="str">
        <f t="shared" si="264"/>
        <v xml:space="preserve"> </v>
      </c>
      <c r="BY594" s="50" t="str">
        <f t="shared" si="249"/>
        <v>HOLFORD CREEK_Chum</v>
      </c>
      <c r="BZ594" s="50" t="str">
        <f>IFERROR(VLOOKUP(BY594,'[1]WCVI Esc'!$C$5:$W$555,18,FALSE),"-")</f>
        <v>-</v>
      </c>
      <c r="CA594" s="50" t="str">
        <f t="shared" si="265"/>
        <v>-</v>
      </c>
      <c r="CB594" s="50" t="str">
        <f>IFERROR(VLOOKUP(BY594,'[1]WCVI Esc'!$C$5:$W$555,19,FALSE),"-")</f>
        <v>-</v>
      </c>
      <c r="CC594" s="50" t="str">
        <f t="shared" si="266"/>
        <v>-</v>
      </c>
      <c r="CE594" s="342" t="str">
        <f t="shared" si="250"/>
        <v>HOLFORD CREEK_Chum</v>
      </c>
      <c r="CF594" s="341" t="str">
        <f>IFERROR(VLOOKUP(BY594,'RawPL+D'!$O$8:$AB$503,12,FALSE),"-")</f>
        <v>-</v>
      </c>
      <c r="CG594" s="338" t="str">
        <f t="shared" si="267"/>
        <v>-</v>
      </c>
      <c r="CH594" s="341" t="str">
        <f>IFERROR(VLOOKUP(BY594,'RawPL+D'!$O$8:$AB$503,13,FALSE),"-")</f>
        <v>-</v>
      </c>
      <c r="CI594" s="338" t="str">
        <f t="shared" si="268"/>
        <v>-</v>
      </c>
    </row>
    <row r="595" spans="1:87" ht="12.75" hidden="1" customHeight="1" x14ac:dyDescent="0.2">
      <c r="A595" s="28">
        <v>4</v>
      </c>
      <c r="B595" s="28">
        <v>5</v>
      </c>
      <c r="C595" s="11">
        <v>23</v>
      </c>
      <c r="D595" s="148" t="s">
        <v>305</v>
      </c>
      <c r="E595" s="10" t="s">
        <v>98</v>
      </c>
      <c r="F595" s="10" t="s">
        <v>210</v>
      </c>
      <c r="G595" s="10"/>
      <c r="H595" s="10"/>
      <c r="I595" s="10"/>
      <c r="J595" s="10"/>
      <c r="K595" s="575"/>
      <c r="L595" s="152"/>
      <c r="M595" s="164"/>
      <c r="N595" s="62"/>
      <c r="O595" s="62"/>
      <c r="P595" s="177"/>
      <c r="Q595" s="171"/>
      <c r="R595" s="62"/>
      <c r="S595" s="62"/>
      <c r="T595" s="62"/>
      <c r="U595" s="64"/>
      <c r="V595" s="164"/>
      <c r="W595" s="62"/>
      <c r="X595" s="62"/>
      <c r="Y595" s="62"/>
      <c r="Z595" s="64"/>
      <c r="AA595" s="164"/>
      <c r="AB595" s="62"/>
      <c r="AC595" s="62"/>
      <c r="AD595" s="64"/>
      <c r="AE595" s="164"/>
      <c r="AF595" s="62"/>
      <c r="AG595" s="62"/>
      <c r="AH595" s="337"/>
      <c r="AI595" s="337"/>
      <c r="AJ595" s="337"/>
      <c r="AK595" s="337"/>
      <c r="AL595" s="412"/>
      <c r="AM595" s="414"/>
      <c r="AN595" s="45"/>
      <c r="AO595" s="45"/>
      <c r="AP595" s="45"/>
      <c r="AQ595" s="485"/>
      <c r="AR595"/>
      <c r="AS595" s="485"/>
      <c r="AT595" s="24"/>
      <c r="AU595" s="24"/>
      <c r="AV595" s="24"/>
      <c r="AW595" s="18">
        <v>23</v>
      </c>
      <c r="AX595" s="69" t="s">
        <v>305</v>
      </c>
      <c r="AY595" s="243" t="s">
        <v>98</v>
      </c>
      <c r="AZ595" s="243" t="str">
        <f t="shared" si="252"/>
        <v>Chinook</v>
      </c>
      <c r="BA595" s="243" t="s">
        <v>419</v>
      </c>
      <c r="BB595" s="246"/>
      <c r="BC595" s="43" t="str">
        <f t="shared" si="253"/>
        <v>-</v>
      </c>
      <c r="BD595" s="43">
        <f t="shared" si="247"/>
        <v>0</v>
      </c>
      <c r="BE595" s="193">
        <f t="shared" si="269"/>
        <v>0</v>
      </c>
      <c r="BF595" s="193">
        <f t="shared" si="254"/>
        <v>0</v>
      </c>
      <c r="BG595" s="193">
        <f t="shared" si="255"/>
        <v>0</v>
      </c>
      <c r="BH595" s="307" t="str">
        <f t="shared" si="246"/>
        <v>-</v>
      </c>
      <c r="BI595" s="265" t="str">
        <f t="shared" si="251"/>
        <v>-</v>
      </c>
      <c r="BJ595" s="26" t="str">
        <f t="shared" si="256"/>
        <v>HOLFORD CREEKChinook</v>
      </c>
      <c r="BK595" s="26">
        <f t="shared" si="257"/>
        <v>0</v>
      </c>
      <c r="BL595" s="33">
        <f t="shared" si="248"/>
        <v>0</v>
      </c>
      <c r="BQ595" s="47" t="str">
        <f t="shared" si="258"/>
        <v>HOLFORD CREEKChinook</v>
      </c>
      <c r="BR595" s="49">
        <f t="shared" si="259"/>
        <v>0</v>
      </c>
      <c r="BS595" s="49">
        <f t="shared" si="260"/>
        <v>0</v>
      </c>
      <c r="BT595" s="31">
        <v>0</v>
      </c>
      <c r="BU595" s="188">
        <f t="shared" si="261"/>
        <v>0</v>
      </c>
      <c r="BV595" s="188" t="str">
        <f t="shared" si="262"/>
        <v xml:space="preserve"> </v>
      </c>
      <c r="BW595" s="188" t="str">
        <f t="shared" si="263"/>
        <v xml:space="preserve"> </v>
      </c>
      <c r="BX595" s="188" t="str">
        <f t="shared" si="264"/>
        <v xml:space="preserve"> </v>
      </c>
      <c r="BY595" s="50" t="str">
        <f t="shared" si="249"/>
        <v>HOLFORD CREEK_Chinook</v>
      </c>
      <c r="BZ595" s="50" t="str">
        <f>IFERROR(VLOOKUP(BY595,'[1]WCVI Esc'!$C$5:$W$555,18,FALSE),"-")</f>
        <v>-</v>
      </c>
      <c r="CA595" s="50" t="str">
        <f t="shared" si="265"/>
        <v>-</v>
      </c>
      <c r="CB595" s="50" t="str">
        <f>IFERROR(VLOOKUP(BY595,'[1]WCVI Esc'!$C$5:$W$555,19,FALSE),"-")</f>
        <v>-</v>
      </c>
      <c r="CC595" s="50" t="str">
        <f t="shared" si="266"/>
        <v>-</v>
      </c>
      <c r="CE595" s="342" t="str">
        <f t="shared" si="250"/>
        <v>HOLFORD CREEK_Chinook</v>
      </c>
      <c r="CF595" s="341" t="str">
        <f>IFERROR(VLOOKUP(BY595,'RawPL+D'!$O$8:$AB$503,12,FALSE),"-")</f>
        <v>-</v>
      </c>
      <c r="CG595" s="338" t="str">
        <f t="shared" si="267"/>
        <v>-</v>
      </c>
      <c r="CH595" s="341" t="str">
        <f>IFERROR(VLOOKUP(BY595,'RawPL+D'!$O$8:$AB$503,13,FALSE),"-")</f>
        <v>-</v>
      </c>
      <c r="CI595" s="338" t="str">
        <f t="shared" si="268"/>
        <v>-</v>
      </c>
    </row>
    <row r="596" spans="1:87" ht="12.75" hidden="1" customHeight="1" x14ac:dyDescent="0.2">
      <c r="A596" s="28">
        <v>4</v>
      </c>
      <c r="B596" s="28">
        <v>6</v>
      </c>
      <c r="C596" s="11">
        <v>23</v>
      </c>
      <c r="D596" s="148" t="s">
        <v>305</v>
      </c>
      <c r="E596" s="10" t="s">
        <v>98</v>
      </c>
      <c r="F596" s="10" t="s">
        <v>211</v>
      </c>
      <c r="G596" s="10"/>
      <c r="H596" s="10"/>
      <c r="I596" s="10"/>
      <c r="J596" s="10"/>
      <c r="K596" s="575"/>
      <c r="L596" s="152"/>
      <c r="M596" s="164"/>
      <c r="N596" s="62"/>
      <c r="O596" s="62"/>
      <c r="P596" s="177"/>
      <c r="Q596" s="171"/>
      <c r="R596" s="62"/>
      <c r="S596" s="62"/>
      <c r="T596" s="62"/>
      <c r="U596" s="64"/>
      <c r="V596" s="164"/>
      <c r="W596" s="62"/>
      <c r="X596" s="62"/>
      <c r="Y596" s="62"/>
      <c r="Z596" s="64"/>
      <c r="AA596" s="164"/>
      <c r="AB596" s="62"/>
      <c r="AC596" s="62"/>
      <c r="AD596" s="64"/>
      <c r="AE596" s="164"/>
      <c r="AF596" s="62"/>
      <c r="AG596" s="62"/>
      <c r="AH596" s="337"/>
      <c r="AI596" s="337"/>
      <c r="AJ596" s="337"/>
      <c r="AK596" s="337"/>
      <c r="AL596" s="412"/>
      <c r="AM596" s="414"/>
      <c r="AN596" s="45"/>
      <c r="AO596" s="45"/>
      <c r="AP596" s="45"/>
      <c r="AQ596" s="485"/>
      <c r="AR596" s="100"/>
      <c r="AS596" s="485"/>
      <c r="AT596" s="24"/>
      <c r="AU596" s="24"/>
      <c r="AV596" s="24"/>
      <c r="AW596" s="18">
        <v>23</v>
      </c>
      <c r="AX596" s="69" t="s">
        <v>305</v>
      </c>
      <c r="AY596" s="243" t="s">
        <v>98</v>
      </c>
      <c r="AZ596" s="243" t="str">
        <f t="shared" si="252"/>
        <v>Steelhead</v>
      </c>
      <c r="BA596" s="243" t="s">
        <v>419</v>
      </c>
      <c r="BB596" s="246"/>
      <c r="BC596" s="43" t="str">
        <f t="shared" si="253"/>
        <v>-</v>
      </c>
      <c r="BD596" s="43">
        <f t="shared" si="247"/>
        <v>0</v>
      </c>
      <c r="BE596" s="193">
        <f t="shared" si="269"/>
        <v>0</v>
      </c>
      <c r="BF596" s="193">
        <f t="shared" si="254"/>
        <v>0</v>
      </c>
      <c r="BG596" s="193">
        <f t="shared" si="255"/>
        <v>0</v>
      </c>
      <c r="BH596" s="307" t="str">
        <f t="shared" si="246"/>
        <v>-</v>
      </c>
      <c r="BI596" s="265" t="str">
        <f t="shared" si="251"/>
        <v>-</v>
      </c>
      <c r="BJ596" s="26" t="str">
        <f t="shared" si="256"/>
        <v>HOLFORD CREEKSteelhead</v>
      </c>
      <c r="BK596" s="26">
        <f t="shared" si="257"/>
        <v>0</v>
      </c>
      <c r="BL596" s="33">
        <f t="shared" si="248"/>
        <v>0</v>
      </c>
      <c r="BQ596" s="47" t="str">
        <f t="shared" si="258"/>
        <v>HOLFORD CREEKSteelhead</v>
      </c>
      <c r="BR596" s="49">
        <f t="shared" si="259"/>
        <v>0</v>
      </c>
      <c r="BS596" s="49">
        <f t="shared" si="260"/>
        <v>0</v>
      </c>
      <c r="BT596" s="31">
        <v>0</v>
      </c>
      <c r="BU596" s="188">
        <f t="shared" si="261"/>
        <v>0</v>
      </c>
      <c r="BV596" s="188" t="str">
        <f t="shared" si="262"/>
        <v xml:space="preserve"> </v>
      </c>
      <c r="BW596" s="188" t="str">
        <f t="shared" si="263"/>
        <v xml:space="preserve"> </v>
      </c>
      <c r="BX596" s="188" t="str">
        <f t="shared" si="264"/>
        <v xml:space="preserve"> </v>
      </c>
      <c r="BY596" s="50" t="str">
        <f t="shared" ref="BY596:BY632" si="270">CONCATENATE(E596,"_",F596)</f>
        <v>HOLFORD CREEK_Steelhead</v>
      </c>
      <c r="BZ596" s="50" t="str">
        <f>IFERROR(VLOOKUP(BY596,'[1]WCVI Esc'!$C$5:$W$555,18,FALSE),"-")</f>
        <v>-</v>
      </c>
      <c r="CA596" s="50" t="str">
        <f t="shared" si="265"/>
        <v>-</v>
      </c>
      <c r="CB596" s="50" t="str">
        <f>IFERROR(VLOOKUP(BY596,'[1]WCVI Esc'!$C$5:$W$555,19,FALSE),"-")</f>
        <v>-</v>
      </c>
      <c r="CC596" s="50" t="str">
        <f t="shared" si="266"/>
        <v>-</v>
      </c>
      <c r="CE596" s="342" t="str">
        <f t="shared" si="250"/>
        <v>HOLFORD CREEK_Steelhead</v>
      </c>
      <c r="CF596" s="341" t="str">
        <f>IFERROR(VLOOKUP(BY596,'RawPL+D'!$O$8:$AB$503,12,FALSE),"-")</f>
        <v>-</v>
      </c>
      <c r="CG596" s="338" t="str">
        <f t="shared" si="267"/>
        <v>-</v>
      </c>
      <c r="CH596" s="341" t="str">
        <f>IFERROR(VLOOKUP(BY596,'RawPL+D'!$O$8:$AB$503,13,FALSE),"-")</f>
        <v>-</v>
      </c>
      <c r="CI596" s="338" t="str">
        <f t="shared" si="268"/>
        <v>-</v>
      </c>
    </row>
    <row r="597" spans="1:87" ht="12.75" hidden="1" customHeight="1" x14ac:dyDescent="0.2">
      <c r="A597" s="28">
        <v>4</v>
      </c>
      <c r="B597" s="28">
        <v>1</v>
      </c>
      <c r="C597" s="11">
        <v>23</v>
      </c>
      <c r="D597" s="148" t="s">
        <v>305</v>
      </c>
      <c r="E597" s="10" t="s">
        <v>182</v>
      </c>
      <c r="F597" s="10" t="s">
        <v>207</v>
      </c>
      <c r="G597" s="10"/>
      <c r="H597" s="10"/>
      <c r="I597" s="10"/>
      <c r="J597" s="10"/>
      <c r="K597" s="575"/>
      <c r="L597" s="152"/>
      <c r="M597" s="164"/>
      <c r="N597" s="62"/>
      <c r="O597" s="62"/>
      <c r="P597" s="177"/>
      <c r="Q597" s="171"/>
      <c r="R597" s="63"/>
      <c r="S597" s="62"/>
      <c r="T597" s="62"/>
      <c r="U597" s="64"/>
      <c r="V597" s="169"/>
      <c r="W597" s="62"/>
      <c r="X597" s="62"/>
      <c r="Y597" s="62"/>
      <c r="Z597" s="64"/>
      <c r="AA597" s="164"/>
      <c r="AB597" s="62"/>
      <c r="AC597" s="62"/>
      <c r="AD597" s="64"/>
      <c r="AE597" s="164"/>
      <c r="AF597" s="62"/>
      <c r="AG597" s="62"/>
      <c r="AH597" s="337"/>
      <c r="AI597" s="337"/>
      <c r="AJ597" s="337"/>
      <c r="AK597" s="337"/>
      <c r="AL597" s="412"/>
      <c r="AM597" s="414"/>
      <c r="AN597" s="45"/>
      <c r="AO597" s="45"/>
      <c r="AP597" s="45"/>
      <c r="AQ597" s="485"/>
      <c r="AR597"/>
      <c r="AS597" s="485"/>
      <c r="AT597" s="24"/>
      <c r="AU597" s="24"/>
      <c r="AV597" s="24"/>
      <c r="AW597" s="18">
        <v>23</v>
      </c>
      <c r="AX597" s="69" t="s">
        <v>305</v>
      </c>
      <c r="AY597" s="243" t="s">
        <v>182</v>
      </c>
      <c r="AZ597" s="243" t="str">
        <f t="shared" si="252"/>
        <v>Sockeye</v>
      </c>
      <c r="BA597" s="243" t="s">
        <v>419</v>
      </c>
      <c r="BB597" s="246"/>
      <c r="BC597" s="43" t="str">
        <f t="shared" si="253"/>
        <v>-</v>
      </c>
      <c r="BD597" s="43">
        <f t="shared" si="247"/>
        <v>0</v>
      </c>
      <c r="BE597" s="193">
        <f t="shared" si="269"/>
        <v>0</v>
      </c>
      <c r="BF597" s="193">
        <f t="shared" si="254"/>
        <v>0</v>
      </c>
      <c r="BG597" s="193">
        <f t="shared" si="255"/>
        <v>0</v>
      </c>
      <c r="BH597" s="307" t="str">
        <f t="shared" si="246"/>
        <v>-</v>
      </c>
      <c r="BI597" s="265" t="str">
        <f t="shared" si="251"/>
        <v>-</v>
      </c>
      <c r="BJ597" s="26" t="str">
        <f t="shared" si="256"/>
        <v>MERCANTILE CREEKSockeye</v>
      </c>
      <c r="BK597" s="26">
        <f t="shared" si="257"/>
        <v>0</v>
      </c>
      <c r="BL597" s="33">
        <f t="shared" si="248"/>
        <v>0</v>
      </c>
      <c r="BQ597" s="47" t="str">
        <f t="shared" si="258"/>
        <v>MERCANTILE CREEKSockeye</v>
      </c>
      <c r="BR597" s="49">
        <f t="shared" si="259"/>
        <v>0</v>
      </c>
      <c r="BS597" s="49">
        <f t="shared" si="260"/>
        <v>0</v>
      </c>
      <c r="BT597" s="31">
        <v>0</v>
      </c>
      <c r="BU597" s="188">
        <f t="shared" si="261"/>
        <v>0</v>
      </c>
      <c r="BV597" s="188" t="str">
        <f t="shared" si="262"/>
        <v xml:space="preserve"> </v>
      </c>
      <c r="BW597" s="188" t="str">
        <f t="shared" si="263"/>
        <v xml:space="preserve"> </v>
      </c>
      <c r="BX597" s="188" t="str">
        <f t="shared" si="264"/>
        <v xml:space="preserve"> </v>
      </c>
      <c r="BY597" s="50" t="str">
        <f t="shared" si="270"/>
        <v>MERCANTILE CREEK_Sockeye</v>
      </c>
      <c r="BZ597" s="50" t="str">
        <f>IFERROR(VLOOKUP(BY597,'[1]WCVI Esc'!$C$5:$W$555,18,FALSE),"-")</f>
        <v>-</v>
      </c>
      <c r="CA597" s="50" t="str">
        <f t="shared" si="265"/>
        <v>-</v>
      </c>
      <c r="CB597" s="50" t="str">
        <f>IFERROR(VLOOKUP(BY597,'[1]WCVI Esc'!$C$5:$W$555,19,FALSE),"-")</f>
        <v>-</v>
      </c>
      <c r="CC597" s="50" t="str">
        <f t="shared" si="266"/>
        <v>-</v>
      </c>
      <c r="CE597" s="342" t="str">
        <f t="shared" si="250"/>
        <v>MERCANTILE CREEK_Sockeye</v>
      </c>
      <c r="CF597" s="341" t="str">
        <f>IFERROR(VLOOKUP(BY597,'RawPL+D'!$O$8:$AB$503,12,FALSE),"-")</f>
        <v>-</v>
      </c>
      <c r="CG597" s="338" t="str">
        <f t="shared" si="267"/>
        <v>-</v>
      </c>
      <c r="CH597" s="341" t="str">
        <f>IFERROR(VLOOKUP(BY597,'RawPL+D'!$O$8:$AB$503,13,FALSE),"-")</f>
        <v>-</v>
      </c>
      <c r="CI597" s="338" t="str">
        <f t="shared" si="268"/>
        <v>-</v>
      </c>
    </row>
    <row r="598" spans="1:87" ht="12.75" hidden="1" customHeight="1" x14ac:dyDescent="0.2">
      <c r="A598" s="28">
        <v>4</v>
      </c>
      <c r="B598" s="28">
        <v>2</v>
      </c>
      <c r="C598" s="11">
        <v>23</v>
      </c>
      <c r="D598" s="148" t="s">
        <v>305</v>
      </c>
      <c r="E598" s="10" t="s">
        <v>182</v>
      </c>
      <c r="F598" s="10" t="s">
        <v>219</v>
      </c>
      <c r="G598" s="10"/>
      <c r="H598" s="10"/>
      <c r="I598" s="10"/>
      <c r="J598" s="10"/>
      <c r="K598" s="575"/>
      <c r="L598" s="152"/>
      <c r="M598" s="164"/>
      <c r="N598" s="62"/>
      <c r="O598" s="62"/>
      <c r="P598" s="177"/>
      <c r="Q598" s="171"/>
      <c r="R598" s="63"/>
      <c r="S598" s="62"/>
      <c r="T598" s="62"/>
      <c r="U598" s="64"/>
      <c r="V598" s="169"/>
      <c r="W598" s="62"/>
      <c r="X598" s="62"/>
      <c r="Y598" s="62"/>
      <c r="Z598" s="64"/>
      <c r="AA598" s="164"/>
      <c r="AB598" s="62"/>
      <c r="AC598" s="62"/>
      <c r="AD598" s="64"/>
      <c r="AE598" s="164"/>
      <c r="AF598" s="62"/>
      <c r="AG598" s="62"/>
      <c r="AH598" s="337"/>
      <c r="AI598" s="337"/>
      <c r="AJ598" s="337"/>
      <c r="AK598" s="337"/>
      <c r="AL598" s="412"/>
      <c r="AM598" s="414"/>
      <c r="AN598" s="45"/>
      <c r="AO598" s="45"/>
      <c r="AP598" s="45"/>
      <c r="AQ598" s="485"/>
      <c r="AR598"/>
      <c r="AS598" s="485"/>
      <c r="AT598" s="24"/>
      <c r="AU598" s="24"/>
      <c r="AV598" s="24"/>
      <c r="AW598" s="18">
        <v>23</v>
      </c>
      <c r="AX598" s="69" t="s">
        <v>305</v>
      </c>
      <c r="AY598" s="243" t="s">
        <v>182</v>
      </c>
      <c r="AZ598" s="243" t="str">
        <f t="shared" si="252"/>
        <v>Coho</v>
      </c>
      <c r="BA598" s="243" t="s">
        <v>419</v>
      </c>
      <c r="BB598" s="246"/>
      <c r="BC598" s="43" t="str">
        <f t="shared" si="253"/>
        <v>-</v>
      </c>
      <c r="BD598" s="43">
        <f t="shared" si="247"/>
        <v>0</v>
      </c>
      <c r="BE598" s="193">
        <f t="shared" si="269"/>
        <v>0</v>
      </c>
      <c r="BF598" s="193">
        <f t="shared" si="254"/>
        <v>0</v>
      </c>
      <c r="BG598" s="193">
        <f t="shared" si="255"/>
        <v>0</v>
      </c>
      <c r="BH598" s="307">
        <f t="shared" si="246"/>
        <v>0</v>
      </c>
      <c r="BI598" s="265" t="str">
        <f t="shared" si="251"/>
        <v>-</v>
      </c>
      <c r="BJ598" s="26" t="str">
        <f t="shared" si="256"/>
        <v>MERCANTILE CREEKCoho</v>
      </c>
      <c r="BK598" s="26">
        <f t="shared" si="257"/>
        <v>0</v>
      </c>
      <c r="BL598" s="33">
        <f t="shared" si="248"/>
        <v>0</v>
      </c>
      <c r="BQ598" s="47" t="str">
        <f t="shared" si="258"/>
        <v>MERCANTILE CREEKCoho</v>
      </c>
      <c r="BR598" s="49">
        <f t="shared" si="259"/>
        <v>0</v>
      </c>
      <c r="BS598" s="49">
        <f t="shared" si="260"/>
        <v>0</v>
      </c>
      <c r="BT598" s="31">
        <v>2007</v>
      </c>
      <c r="BU598" s="188">
        <f t="shared" si="261"/>
        <v>0</v>
      </c>
      <c r="BV598" s="188" t="str">
        <f t="shared" si="262"/>
        <v xml:space="preserve"> </v>
      </c>
      <c r="BW598" s="188" t="str">
        <f t="shared" si="263"/>
        <v xml:space="preserve"> </v>
      </c>
      <c r="BX598" s="188" t="str">
        <f t="shared" si="264"/>
        <v xml:space="preserve"> </v>
      </c>
      <c r="BY598" s="50" t="str">
        <f t="shared" si="270"/>
        <v>MERCANTILE CREEK_Coho</v>
      </c>
      <c r="BZ598" s="50" t="str">
        <f>IFERROR(VLOOKUP(BY598,'[1]WCVI Esc'!$C$5:$W$555,18,FALSE),"-")</f>
        <v>-</v>
      </c>
      <c r="CA598" s="50" t="str">
        <f t="shared" si="265"/>
        <v>-</v>
      </c>
      <c r="CB598" s="50" t="str">
        <f>IFERROR(VLOOKUP(BY598,'[1]WCVI Esc'!$C$5:$W$555,19,FALSE),"-")</f>
        <v>-</v>
      </c>
      <c r="CC598" s="50" t="str">
        <f t="shared" si="266"/>
        <v>-</v>
      </c>
      <c r="CE598" s="342" t="str">
        <f t="shared" si="250"/>
        <v>MERCANTILE CREEK_Coho</v>
      </c>
      <c r="CF598" s="341">
        <f>IFERROR(VLOOKUP(BY598,'RawPL+D'!$O$8:$AB$503,12,FALSE),"-")</f>
        <v>0</v>
      </c>
      <c r="CG598" s="338">
        <f t="shared" si="267"/>
        <v>0</v>
      </c>
      <c r="CH598" s="341">
        <f>IFERROR(VLOOKUP(BY598,'RawPL+D'!$O$8:$AB$503,13,FALSE),"-")</f>
        <v>0</v>
      </c>
      <c r="CI598" s="338">
        <f t="shared" si="268"/>
        <v>0</v>
      </c>
    </row>
    <row r="599" spans="1:87" ht="12.75" hidden="1" customHeight="1" x14ac:dyDescent="0.2">
      <c r="A599" s="28">
        <v>4</v>
      </c>
      <c r="B599" s="28">
        <v>3</v>
      </c>
      <c r="C599" s="11">
        <v>23</v>
      </c>
      <c r="D599" s="148" t="s">
        <v>305</v>
      </c>
      <c r="E599" s="10" t="s">
        <v>182</v>
      </c>
      <c r="F599" s="10" t="s">
        <v>208</v>
      </c>
      <c r="G599" s="10"/>
      <c r="H599" s="10"/>
      <c r="I599" s="10"/>
      <c r="J599" s="10"/>
      <c r="K599" s="575"/>
      <c r="L599" s="152"/>
      <c r="M599" s="164"/>
      <c r="N599" s="62"/>
      <c r="O599" s="62"/>
      <c r="P599" s="177"/>
      <c r="Q599" s="171"/>
      <c r="R599" s="63"/>
      <c r="S599" s="62"/>
      <c r="T599" s="62"/>
      <c r="U599" s="64"/>
      <c r="V599" s="169"/>
      <c r="W599" s="62"/>
      <c r="X599" s="62"/>
      <c r="Y599" s="62"/>
      <c r="Z599" s="64"/>
      <c r="AA599" s="164"/>
      <c r="AB599" s="62"/>
      <c r="AC599" s="62"/>
      <c r="AD599" s="64"/>
      <c r="AE599" s="164"/>
      <c r="AF599" s="62"/>
      <c r="AG599" s="62"/>
      <c r="AH599" s="337"/>
      <c r="AI599" s="337"/>
      <c r="AJ599" s="337"/>
      <c r="AK599" s="337"/>
      <c r="AL599" s="412"/>
      <c r="AM599" s="414"/>
      <c r="AN599" s="45"/>
      <c r="AO599" s="45"/>
      <c r="AP599" s="45"/>
      <c r="AQ599" s="485"/>
      <c r="AR599" s="100"/>
      <c r="AS599" s="485"/>
      <c r="AT599" s="24"/>
      <c r="AU599" s="24"/>
      <c r="AV599" s="24"/>
      <c r="AW599" s="18">
        <v>23</v>
      </c>
      <c r="AX599" s="69" t="s">
        <v>305</v>
      </c>
      <c r="AY599" s="243" t="s">
        <v>182</v>
      </c>
      <c r="AZ599" s="243" t="str">
        <f t="shared" si="252"/>
        <v>Pink</v>
      </c>
      <c r="BA599" s="243" t="s">
        <v>419</v>
      </c>
      <c r="BB599" s="246"/>
      <c r="BC599" s="43" t="str">
        <f t="shared" si="253"/>
        <v>-</v>
      </c>
      <c r="BD599" s="43">
        <f t="shared" si="247"/>
        <v>0</v>
      </c>
      <c r="BE599" s="193">
        <f t="shared" si="269"/>
        <v>0</v>
      </c>
      <c r="BF599" s="193">
        <f t="shared" si="254"/>
        <v>0</v>
      </c>
      <c r="BG599" s="193">
        <f t="shared" si="255"/>
        <v>0</v>
      </c>
      <c r="BH599" s="307" t="str">
        <f t="shared" si="246"/>
        <v>-</v>
      </c>
      <c r="BI599" s="265" t="str">
        <f t="shared" si="251"/>
        <v>-</v>
      </c>
      <c r="BJ599" s="26" t="str">
        <f t="shared" si="256"/>
        <v>MERCANTILE CREEKPink</v>
      </c>
      <c r="BK599" s="26">
        <f t="shared" si="257"/>
        <v>0</v>
      </c>
      <c r="BL599" s="33">
        <f t="shared" si="248"/>
        <v>0</v>
      </c>
      <c r="BQ599" s="47" t="str">
        <f t="shared" si="258"/>
        <v>MERCANTILE CREEKPink</v>
      </c>
      <c r="BR599" s="49">
        <f t="shared" si="259"/>
        <v>0</v>
      </c>
      <c r="BS599" s="49">
        <f t="shared" si="260"/>
        <v>0</v>
      </c>
      <c r="BT599" s="31">
        <v>0</v>
      </c>
      <c r="BU599" s="188">
        <f t="shared" si="261"/>
        <v>0</v>
      </c>
      <c r="BV599" s="188" t="str">
        <f t="shared" si="262"/>
        <v xml:space="preserve"> </v>
      </c>
      <c r="BW599" s="188" t="str">
        <f t="shared" si="263"/>
        <v xml:space="preserve"> </v>
      </c>
      <c r="BX599" s="188" t="str">
        <f t="shared" si="264"/>
        <v xml:space="preserve"> </v>
      </c>
      <c r="BY599" s="50" t="str">
        <f t="shared" si="270"/>
        <v>MERCANTILE CREEK_Pink</v>
      </c>
      <c r="BZ599" s="50" t="str">
        <f>IFERROR(VLOOKUP(BY599,'[1]WCVI Esc'!$C$5:$W$555,18,FALSE),"-")</f>
        <v>-</v>
      </c>
      <c r="CA599" s="50" t="str">
        <f t="shared" si="265"/>
        <v>-</v>
      </c>
      <c r="CB599" s="50" t="str">
        <f>IFERROR(VLOOKUP(BY599,'[1]WCVI Esc'!$C$5:$W$555,19,FALSE),"-")</f>
        <v>-</v>
      </c>
      <c r="CC599" s="50" t="str">
        <f t="shared" si="266"/>
        <v>-</v>
      </c>
      <c r="CE599" s="342" t="str">
        <f t="shared" si="250"/>
        <v>MERCANTILE CREEK_Pink</v>
      </c>
      <c r="CF599" s="341" t="str">
        <f>IFERROR(VLOOKUP(BY599,'RawPL+D'!$O$8:$AB$503,12,FALSE),"-")</f>
        <v>-</v>
      </c>
      <c r="CG599" s="338" t="str">
        <f t="shared" si="267"/>
        <v>-</v>
      </c>
      <c r="CH599" s="341" t="str">
        <f>IFERROR(VLOOKUP(BY599,'RawPL+D'!$O$8:$AB$503,13,FALSE),"-")</f>
        <v>-</v>
      </c>
      <c r="CI599" s="338" t="str">
        <f t="shared" si="268"/>
        <v>-</v>
      </c>
    </row>
    <row r="600" spans="1:87" ht="12.75" hidden="1" customHeight="1" x14ac:dyDescent="0.2">
      <c r="A600" s="28">
        <v>4</v>
      </c>
      <c r="B600" s="28">
        <v>4</v>
      </c>
      <c r="C600" s="11">
        <v>23</v>
      </c>
      <c r="D600" s="148" t="s">
        <v>305</v>
      </c>
      <c r="E600" s="10" t="s">
        <v>182</v>
      </c>
      <c r="F600" s="10" t="s">
        <v>209</v>
      </c>
      <c r="G600" s="10"/>
      <c r="H600" s="10"/>
      <c r="I600" s="10"/>
      <c r="J600" s="10"/>
      <c r="K600" s="575"/>
      <c r="L600" s="152"/>
      <c r="M600" s="164"/>
      <c r="N600" s="62"/>
      <c r="O600" s="62"/>
      <c r="P600" s="177"/>
      <c r="Q600" s="171"/>
      <c r="R600" s="63"/>
      <c r="S600" s="62"/>
      <c r="T600" s="62"/>
      <c r="U600" s="64"/>
      <c r="V600" s="169"/>
      <c r="W600" s="62"/>
      <c r="X600" s="62"/>
      <c r="Y600" s="62"/>
      <c r="Z600" s="64"/>
      <c r="AA600" s="164"/>
      <c r="AB600" s="62"/>
      <c r="AC600" s="62"/>
      <c r="AD600" s="64"/>
      <c r="AE600" s="164"/>
      <c r="AF600" s="62"/>
      <c r="AG600" s="62"/>
      <c r="AH600" s="337"/>
      <c r="AI600" s="337"/>
      <c r="AJ600" s="337"/>
      <c r="AK600" s="337"/>
      <c r="AL600" s="412"/>
      <c r="AM600" s="414"/>
      <c r="AN600" s="45"/>
      <c r="AO600" s="45"/>
      <c r="AP600" s="45"/>
      <c r="AQ600" s="485">
        <f>AL600/BI600</f>
        <v>0</v>
      </c>
      <c r="AR600" s="100">
        <f>BL600/BI600</f>
        <v>0</v>
      </c>
      <c r="AS600" s="485"/>
      <c r="AT600" s="24"/>
      <c r="AU600" s="24"/>
      <c r="AV600" s="24"/>
      <c r="AW600" s="18">
        <v>23</v>
      </c>
      <c r="AX600" s="69" t="s">
        <v>305</v>
      </c>
      <c r="AY600" s="243" t="s">
        <v>182</v>
      </c>
      <c r="AZ600" s="243" t="str">
        <f t="shared" si="252"/>
        <v>Chum</v>
      </c>
      <c r="BA600" s="243" t="s">
        <v>419</v>
      </c>
      <c r="BB600" s="246"/>
      <c r="BC600" s="43" t="str">
        <f t="shared" si="253"/>
        <v>-</v>
      </c>
      <c r="BD600" s="43">
        <f t="shared" si="247"/>
        <v>0</v>
      </c>
      <c r="BE600" s="193">
        <f t="shared" si="269"/>
        <v>0</v>
      </c>
      <c r="BF600" s="193">
        <f t="shared" si="254"/>
        <v>0</v>
      </c>
      <c r="BG600" s="193">
        <f t="shared" si="255"/>
        <v>0</v>
      </c>
      <c r="BH600" s="307">
        <f t="shared" si="246"/>
        <v>0</v>
      </c>
      <c r="BI600" s="265">
        <f t="shared" si="251"/>
        <v>60</v>
      </c>
      <c r="BJ600" s="26" t="str">
        <f t="shared" si="256"/>
        <v>MERCANTILE CREEKChum</v>
      </c>
      <c r="BK600" s="26">
        <f t="shared" si="257"/>
        <v>0</v>
      </c>
      <c r="BL600" s="33">
        <f t="shared" si="248"/>
        <v>0</v>
      </c>
      <c r="BQ600" s="47" t="str">
        <f t="shared" si="258"/>
        <v>MERCANTILE CREEKChum</v>
      </c>
      <c r="BR600" s="49">
        <f t="shared" si="259"/>
        <v>0</v>
      </c>
      <c r="BS600" s="49">
        <f t="shared" si="260"/>
        <v>0</v>
      </c>
      <c r="BT600" s="31">
        <v>2013</v>
      </c>
      <c r="BU600" s="188">
        <f t="shared" si="261"/>
        <v>0</v>
      </c>
      <c r="BV600" s="188" t="str">
        <f t="shared" si="262"/>
        <v xml:space="preserve"> </v>
      </c>
      <c r="BW600" s="188" t="str">
        <f t="shared" si="263"/>
        <v xml:space="preserve"> </v>
      </c>
      <c r="BX600" s="188" t="str">
        <f t="shared" si="264"/>
        <v xml:space="preserve"> </v>
      </c>
      <c r="BY600" s="50" t="str">
        <f t="shared" si="270"/>
        <v>MERCANTILE CREEK_Chum</v>
      </c>
      <c r="BZ600" s="50" t="str">
        <f>IFERROR(VLOOKUP(BY600,'[1]WCVI Esc'!$C$5:$W$555,18,FALSE),"-")</f>
        <v>-</v>
      </c>
      <c r="CA600" s="50" t="str">
        <f t="shared" si="265"/>
        <v>-</v>
      </c>
      <c r="CB600" s="50">
        <f>IFERROR(VLOOKUP(BY600,'[1]WCVI Esc'!$C$5:$W$555,19,FALSE),"-")</f>
        <v>62</v>
      </c>
      <c r="CC600" s="50">
        <f t="shared" si="266"/>
        <v>60</v>
      </c>
      <c r="CE600" s="342" t="str">
        <f t="shared" si="250"/>
        <v>MERCANTILE CREEK_Chum</v>
      </c>
      <c r="CF600" s="341">
        <f>IFERROR(VLOOKUP(BY600,'RawPL+D'!$O$8:$AB$503,12,FALSE),"-")</f>
        <v>0</v>
      </c>
      <c r="CG600" s="338">
        <f t="shared" si="267"/>
        <v>0</v>
      </c>
      <c r="CH600" s="341">
        <f>IFERROR(VLOOKUP(BY600,'RawPL+D'!$O$8:$AB$503,13,FALSE),"-")</f>
        <v>0</v>
      </c>
      <c r="CI600" s="338">
        <f t="shared" si="268"/>
        <v>0</v>
      </c>
    </row>
    <row r="601" spans="1:87" ht="12.75" hidden="1" customHeight="1" x14ac:dyDescent="0.2">
      <c r="A601" s="28">
        <v>4</v>
      </c>
      <c r="B601" s="28">
        <v>5</v>
      </c>
      <c r="C601" s="11">
        <v>23</v>
      </c>
      <c r="D601" s="148" t="s">
        <v>305</v>
      </c>
      <c r="E601" s="10" t="s">
        <v>182</v>
      </c>
      <c r="F601" s="10" t="s">
        <v>210</v>
      </c>
      <c r="G601" s="10"/>
      <c r="H601" s="10"/>
      <c r="I601" s="10"/>
      <c r="J601" s="10"/>
      <c r="K601" s="575"/>
      <c r="L601" s="152"/>
      <c r="M601" s="164"/>
      <c r="N601" s="62"/>
      <c r="O601" s="62"/>
      <c r="P601" s="177"/>
      <c r="Q601" s="171"/>
      <c r="R601" s="63"/>
      <c r="S601" s="62"/>
      <c r="T601" s="62"/>
      <c r="U601" s="64"/>
      <c r="V601" s="169"/>
      <c r="W601" s="62"/>
      <c r="X601" s="62"/>
      <c r="Y601" s="62"/>
      <c r="Z601" s="64"/>
      <c r="AA601" s="164"/>
      <c r="AB601" s="62"/>
      <c r="AC601" s="62"/>
      <c r="AD601" s="64"/>
      <c r="AE601" s="164"/>
      <c r="AF601" s="62"/>
      <c r="AG601" s="62"/>
      <c r="AH601" s="337"/>
      <c r="AI601" s="337"/>
      <c r="AJ601" s="337"/>
      <c r="AK601" s="337"/>
      <c r="AL601" s="412"/>
      <c r="AM601" s="414"/>
      <c r="AN601" s="45"/>
      <c r="AO601" s="45"/>
      <c r="AP601" s="45"/>
      <c r="AQ601" s="485">
        <f>AL601/BI601</f>
        <v>0</v>
      </c>
      <c r="AR601" s="100">
        <f>BL601/BI601</f>
        <v>0</v>
      </c>
      <c r="AS601" s="485"/>
      <c r="AT601" s="24"/>
      <c r="AU601" s="24"/>
      <c r="AV601" s="24"/>
      <c r="AW601" s="18">
        <v>23</v>
      </c>
      <c r="AX601" s="69" t="s">
        <v>305</v>
      </c>
      <c r="AY601" s="243" t="s">
        <v>182</v>
      </c>
      <c r="AZ601" s="243" t="str">
        <f t="shared" si="252"/>
        <v>Chinook</v>
      </c>
      <c r="BA601" s="243" t="s">
        <v>419</v>
      </c>
      <c r="BB601" s="246"/>
      <c r="BC601" s="43" t="str">
        <f t="shared" si="253"/>
        <v>-</v>
      </c>
      <c r="BD601" s="43">
        <f t="shared" si="247"/>
        <v>0</v>
      </c>
      <c r="BE601" s="193">
        <f t="shared" si="269"/>
        <v>0</v>
      </c>
      <c r="BF601" s="193">
        <f t="shared" si="254"/>
        <v>0</v>
      </c>
      <c r="BG601" s="193">
        <f t="shared" si="255"/>
        <v>0</v>
      </c>
      <c r="BH601" s="307" t="str">
        <f t="shared" si="246"/>
        <v>-</v>
      </c>
      <c r="BI601" s="265">
        <f t="shared" si="251"/>
        <v>30</v>
      </c>
      <c r="BJ601" s="26" t="str">
        <f t="shared" si="256"/>
        <v>MERCANTILE CREEKChinook</v>
      </c>
      <c r="BK601" s="26">
        <f t="shared" si="257"/>
        <v>0</v>
      </c>
      <c r="BL601" s="33">
        <f t="shared" si="248"/>
        <v>0</v>
      </c>
      <c r="BQ601" s="47" t="str">
        <f t="shared" si="258"/>
        <v>MERCANTILE CREEKChinook</v>
      </c>
      <c r="BR601" s="49">
        <f t="shared" si="259"/>
        <v>0</v>
      </c>
      <c r="BS601" s="49">
        <f t="shared" si="260"/>
        <v>0</v>
      </c>
      <c r="BT601" s="31">
        <v>2013</v>
      </c>
      <c r="BU601" s="188">
        <f t="shared" si="261"/>
        <v>0</v>
      </c>
      <c r="BV601" s="188" t="str">
        <f t="shared" si="262"/>
        <v xml:space="preserve"> </v>
      </c>
      <c r="BW601" s="188" t="str">
        <f t="shared" si="263"/>
        <v xml:space="preserve"> </v>
      </c>
      <c r="BX601" s="188" t="str">
        <f t="shared" si="264"/>
        <v xml:space="preserve"> </v>
      </c>
      <c r="BY601" s="50" t="str">
        <f t="shared" si="270"/>
        <v>MERCANTILE CREEK_Chinook</v>
      </c>
      <c r="BZ601" s="50" t="str">
        <f>IFERROR(VLOOKUP(BY601,'[1]WCVI Esc'!$C$5:$W$555,18,FALSE),"-")</f>
        <v>-</v>
      </c>
      <c r="CA601" s="50" t="str">
        <f t="shared" si="265"/>
        <v>-</v>
      </c>
      <c r="CB601" s="50">
        <f>IFERROR(VLOOKUP(BY601,'[1]WCVI Esc'!$C$5:$W$555,19,FALSE),"-")</f>
        <v>25</v>
      </c>
      <c r="CC601" s="50">
        <f t="shared" si="266"/>
        <v>30</v>
      </c>
      <c r="CE601" s="342" t="str">
        <f t="shared" si="250"/>
        <v>MERCANTILE CREEK_Chinook</v>
      </c>
      <c r="CF601" s="341">
        <f>IFERROR(VLOOKUP(BY601,'RawPL+D'!$O$8:$AB$503,12,FALSE),"-")</f>
        <v>0</v>
      </c>
      <c r="CG601" s="338">
        <f t="shared" si="267"/>
        <v>0</v>
      </c>
      <c r="CH601" s="341" t="str">
        <f>IFERROR(VLOOKUP(BY601,'RawPL+D'!$O$8:$AB$503,13,FALSE),"-")</f>
        <v>-</v>
      </c>
      <c r="CI601" s="338" t="str">
        <f t="shared" si="268"/>
        <v>-</v>
      </c>
    </row>
    <row r="602" spans="1:87" ht="12.75" hidden="1" customHeight="1" x14ac:dyDescent="0.2">
      <c r="A602" s="28">
        <v>4</v>
      </c>
      <c r="B602" s="28">
        <v>6</v>
      </c>
      <c r="C602" s="11">
        <v>23</v>
      </c>
      <c r="D602" s="148" t="s">
        <v>305</v>
      </c>
      <c r="E602" s="10" t="s">
        <v>182</v>
      </c>
      <c r="F602" s="10" t="s">
        <v>211</v>
      </c>
      <c r="G602" s="10"/>
      <c r="H602" s="10"/>
      <c r="I602" s="10"/>
      <c r="J602" s="10"/>
      <c r="K602" s="575"/>
      <c r="L602" s="152"/>
      <c r="M602" s="164"/>
      <c r="N602" s="62"/>
      <c r="O602" s="62"/>
      <c r="P602" s="177"/>
      <c r="Q602" s="171"/>
      <c r="R602" s="63"/>
      <c r="S602" s="62"/>
      <c r="T602" s="62"/>
      <c r="U602" s="64"/>
      <c r="V602" s="169"/>
      <c r="W602" s="62"/>
      <c r="X602" s="62"/>
      <c r="Y602" s="62"/>
      <c r="Z602" s="64"/>
      <c r="AA602" s="164"/>
      <c r="AB602" s="62"/>
      <c r="AC602" s="62"/>
      <c r="AD602" s="64"/>
      <c r="AE602" s="164"/>
      <c r="AF602" s="62"/>
      <c r="AG602" s="62"/>
      <c r="AH602" s="337"/>
      <c r="AI602" s="337"/>
      <c r="AJ602" s="337"/>
      <c r="AK602" s="337"/>
      <c r="AL602" s="412"/>
      <c r="AM602" s="414"/>
      <c r="AN602" s="45"/>
      <c r="AO602" s="45"/>
      <c r="AP602" s="45"/>
      <c r="AQ602" s="485"/>
      <c r="AR602" s="100"/>
      <c r="AS602" s="485"/>
      <c r="AT602" s="24"/>
      <c r="AU602" s="24"/>
      <c r="AV602" s="24"/>
      <c r="AW602" s="18">
        <v>23</v>
      </c>
      <c r="AX602" s="69" t="s">
        <v>305</v>
      </c>
      <c r="AY602" s="243" t="s">
        <v>182</v>
      </c>
      <c r="AZ602" s="243" t="str">
        <f t="shared" si="252"/>
        <v>Steelhead</v>
      </c>
      <c r="BA602" s="243" t="s">
        <v>419</v>
      </c>
      <c r="BB602" s="246"/>
      <c r="BC602" s="43" t="str">
        <f t="shared" si="253"/>
        <v>-</v>
      </c>
      <c r="BD602" s="43">
        <f t="shared" si="247"/>
        <v>0</v>
      </c>
      <c r="BE602" s="193">
        <f t="shared" si="269"/>
        <v>0</v>
      </c>
      <c r="BF602" s="193">
        <f t="shared" si="254"/>
        <v>0</v>
      </c>
      <c r="BG602" s="193">
        <f t="shared" si="255"/>
        <v>0</v>
      </c>
      <c r="BH602" s="307" t="str">
        <f t="shared" si="246"/>
        <v>-</v>
      </c>
      <c r="BI602" s="265" t="str">
        <f t="shared" si="251"/>
        <v>-</v>
      </c>
      <c r="BJ602" s="26" t="str">
        <f t="shared" si="256"/>
        <v>MERCANTILE CREEKSteelhead</v>
      </c>
      <c r="BK602" s="26">
        <f t="shared" si="257"/>
        <v>0</v>
      </c>
      <c r="BL602" s="33">
        <f t="shared" si="248"/>
        <v>0</v>
      </c>
      <c r="BQ602" s="47" t="str">
        <f t="shared" si="258"/>
        <v>MERCANTILE CREEKSteelhead</v>
      </c>
      <c r="BR602" s="49">
        <f t="shared" si="259"/>
        <v>0</v>
      </c>
      <c r="BS602" s="49">
        <f t="shared" si="260"/>
        <v>0</v>
      </c>
      <c r="BT602" s="31">
        <v>0</v>
      </c>
      <c r="BU602" s="188">
        <f t="shared" si="261"/>
        <v>0</v>
      </c>
      <c r="BV602" s="188" t="str">
        <f t="shared" si="262"/>
        <v xml:space="preserve"> </v>
      </c>
      <c r="BW602" s="188" t="str">
        <f t="shared" si="263"/>
        <v xml:space="preserve"> </v>
      </c>
      <c r="BX602" s="188" t="str">
        <f t="shared" si="264"/>
        <v xml:space="preserve"> </v>
      </c>
      <c r="BY602" s="50" t="str">
        <f t="shared" si="270"/>
        <v>MERCANTILE CREEK_Steelhead</v>
      </c>
      <c r="BZ602" s="50" t="str">
        <f>IFERROR(VLOOKUP(BY602,'[1]WCVI Esc'!$C$5:$W$555,18,FALSE),"-")</f>
        <v>-</v>
      </c>
      <c r="CA602" s="50" t="str">
        <f t="shared" si="265"/>
        <v>-</v>
      </c>
      <c r="CB602" s="50" t="str">
        <f>IFERROR(VLOOKUP(BY602,'[1]WCVI Esc'!$C$5:$W$555,19,FALSE),"-")</f>
        <v>-</v>
      </c>
      <c r="CC602" s="50" t="str">
        <f t="shared" si="266"/>
        <v>-</v>
      </c>
      <c r="CE602" s="342" t="str">
        <f t="shared" si="250"/>
        <v>MERCANTILE CREEK_Steelhead</v>
      </c>
      <c r="CF602" s="341" t="str">
        <f>IFERROR(VLOOKUP(BY602,'RawPL+D'!$O$8:$AB$503,12,FALSE),"-")</f>
        <v>-</v>
      </c>
      <c r="CG602" s="338" t="str">
        <f t="shared" si="267"/>
        <v>-</v>
      </c>
      <c r="CH602" s="341" t="str">
        <f>IFERROR(VLOOKUP(BY602,'RawPL+D'!$O$8:$AB$503,13,FALSE),"-")</f>
        <v>-</v>
      </c>
      <c r="CI602" s="338" t="str">
        <f t="shared" si="268"/>
        <v>-</v>
      </c>
    </row>
    <row r="603" spans="1:87" ht="12.75" hidden="1" customHeight="1" x14ac:dyDescent="0.2">
      <c r="A603" s="28">
        <v>4</v>
      </c>
      <c r="B603" s="28">
        <v>1</v>
      </c>
      <c r="C603" s="11">
        <v>23</v>
      </c>
      <c r="D603" s="13" t="s">
        <v>305</v>
      </c>
      <c r="E603" s="10" t="s">
        <v>186</v>
      </c>
      <c r="F603" s="10" t="s">
        <v>207</v>
      </c>
      <c r="G603" s="10"/>
      <c r="H603" s="10"/>
      <c r="I603" s="10"/>
      <c r="J603" s="10"/>
      <c r="K603" s="575"/>
      <c r="L603" s="152"/>
      <c r="M603" s="164"/>
      <c r="N603" s="62"/>
      <c r="O603" s="62"/>
      <c r="P603" s="177"/>
      <c r="Q603" s="171"/>
      <c r="R603" s="62"/>
      <c r="S603" s="62"/>
      <c r="T603" s="642">
        <v>0</v>
      </c>
      <c r="U603" s="64"/>
      <c r="V603" s="169"/>
      <c r="W603" s="62"/>
      <c r="X603" s="62"/>
      <c r="Y603" s="62"/>
      <c r="Z603" s="64"/>
      <c r="AA603" s="164"/>
      <c r="AB603" s="62"/>
      <c r="AC603" s="62"/>
      <c r="AD603" s="64"/>
      <c r="AE603" s="164"/>
      <c r="AF603" s="62"/>
      <c r="AG603" s="62"/>
      <c r="AH603" s="337">
        <v>0</v>
      </c>
      <c r="AI603" s="337">
        <v>0</v>
      </c>
      <c r="AJ603" s="337">
        <v>0</v>
      </c>
      <c r="AK603" s="337">
        <v>0</v>
      </c>
      <c r="AL603" s="555">
        <v>0</v>
      </c>
      <c r="AM603" s="552">
        <v>0</v>
      </c>
      <c r="AN603" s="552" t="s">
        <v>765</v>
      </c>
      <c r="AO603" s="552" t="s">
        <v>772</v>
      </c>
      <c r="AP603" s="45"/>
      <c r="AQ603" s="485"/>
      <c r="AR603" s="100"/>
      <c r="AS603" s="485"/>
      <c r="AT603" s="24"/>
      <c r="AU603" s="24"/>
      <c r="AV603" s="24"/>
      <c r="AW603" s="18">
        <v>23</v>
      </c>
      <c r="AX603" s="69" t="s">
        <v>305</v>
      </c>
      <c r="AY603" s="243" t="s">
        <v>186</v>
      </c>
      <c r="AZ603" s="243" t="str">
        <f t="shared" si="252"/>
        <v>Sockeye</v>
      </c>
      <c r="BA603" s="243" t="s">
        <v>419</v>
      </c>
      <c r="BB603" s="244" t="s">
        <v>289</v>
      </c>
      <c r="BC603" s="43" t="str">
        <f t="shared" si="253"/>
        <v>Oct 22-28</v>
      </c>
      <c r="BD603" s="43">
        <f t="shared" si="247"/>
        <v>1</v>
      </c>
      <c r="BE603" s="193">
        <f t="shared" si="269"/>
        <v>0</v>
      </c>
      <c r="BF603" s="193">
        <f t="shared" si="254"/>
        <v>0</v>
      </c>
      <c r="BG603" s="193">
        <f t="shared" si="255"/>
        <v>0</v>
      </c>
      <c r="BH603" s="307" t="str">
        <f t="shared" si="246"/>
        <v>-</v>
      </c>
      <c r="BI603" s="265"/>
      <c r="BJ603" s="26" t="str">
        <f t="shared" si="256"/>
        <v>SMITH CREEKSockeye</v>
      </c>
      <c r="BK603" s="26">
        <f t="shared" si="257"/>
        <v>1</v>
      </c>
      <c r="BL603" s="33">
        <f t="shared" si="248"/>
        <v>0</v>
      </c>
      <c r="BQ603" s="47" t="str">
        <f t="shared" si="258"/>
        <v>SMITH CREEKSockeye</v>
      </c>
      <c r="BR603" s="49">
        <f t="shared" si="259"/>
        <v>0</v>
      </c>
      <c r="BS603" s="49">
        <f t="shared" si="260"/>
        <v>0</v>
      </c>
      <c r="BT603" s="31">
        <v>0</v>
      </c>
      <c r="BU603" s="188" t="str">
        <f t="shared" si="261"/>
        <v>TCES</v>
      </c>
      <c r="BV603" s="188" t="str">
        <f t="shared" si="262"/>
        <v xml:space="preserve"> </v>
      </c>
      <c r="BW603" s="188" t="str">
        <f t="shared" si="263"/>
        <v>Oct 22-28</v>
      </c>
      <c r="BX603" s="188" t="str">
        <f t="shared" si="264"/>
        <v xml:space="preserve"> </v>
      </c>
      <c r="BY603" s="50" t="str">
        <f t="shared" si="270"/>
        <v>SMITH CREEK_Sockeye</v>
      </c>
      <c r="BZ603" s="50" t="str">
        <f>IFERROR(VLOOKUP(BY603,'[1]WCVI Esc'!$C$5:$W$555,18,FALSE),"-")</f>
        <v>-</v>
      </c>
      <c r="CA603" s="50" t="str">
        <f t="shared" si="265"/>
        <v>-</v>
      </c>
      <c r="CB603" s="50" t="str">
        <f>IFERROR(VLOOKUP(BY603,'[1]WCVI Esc'!$C$5:$W$555,19,FALSE),"-")</f>
        <v>-</v>
      </c>
      <c r="CC603" s="50" t="str">
        <f t="shared" si="266"/>
        <v>-</v>
      </c>
      <c r="CE603" s="342" t="str">
        <f t="shared" si="250"/>
        <v>SMITH CREEK_Sockeye</v>
      </c>
      <c r="CF603" s="341" t="str">
        <f>IFERROR(VLOOKUP(BY603,'RawPL+D'!$O$8:$AB$503,12,FALSE),"-")</f>
        <v>-</v>
      </c>
      <c r="CG603" s="338" t="str">
        <f t="shared" si="267"/>
        <v>-</v>
      </c>
      <c r="CH603" s="341" t="str">
        <f>IFERROR(VLOOKUP(BY603,'RawPL+D'!$O$8:$AB$503,13,FALSE),"-")</f>
        <v>-</v>
      </c>
      <c r="CI603" s="338" t="str">
        <f t="shared" si="268"/>
        <v>-</v>
      </c>
    </row>
    <row r="604" spans="1:87" ht="12.75" hidden="1" customHeight="1" x14ac:dyDescent="0.2">
      <c r="A604" s="28">
        <v>4</v>
      </c>
      <c r="B604" s="28">
        <v>2</v>
      </c>
      <c r="C604" s="11">
        <v>23</v>
      </c>
      <c r="D604" s="13" t="s">
        <v>305</v>
      </c>
      <c r="E604" s="10" t="s">
        <v>186</v>
      </c>
      <c r="F604" s="10" t="s">
        <v>219</v>
      </c>
      <c r="G604" s="10"/>
      <c r="H604" s="10"/>
      <c r="I604" s="10"/>
      <c r="J604" s="10"/>
      <c r="K604" s="575"/>
      <c r="L604" s="152"/>
      <c r="M604" s="164"/>
      <c r="N604" s="62"/>
      <c r="O604" s="62"/>
      <c r="P604" s="177"/>
      <c r="Q604" s="171"/>
      <c r="R604" s="62"/>
      <c r="S604" s="62"/>
      <c r="T604" s="642">
        <v>0</v>
      </c>
      <c r="U604" s="64"/>
      <c r="V604" s="169"/>
      <c r="W604" s="62"/>
      <c r="X604" s="62"/>
      <c r="Y604" s="62"/>
      <c r="Z604" s="64"/>
      <c r="AA604" s="164"/>
      <c r="AB604" s="62"/>
      <c r="AC604" s="62"/>
      <c r="AD604" s="64"/>
      <c r="AE604" s="164"/>
      <c r="AF604" s="62"/>
      <c r="AG604" s="62"/>
      <c r="AH604" s="337">
        <v>0</v>
      </c>
      <c r="AI604" s="337">
        <v>0</v>
      </c>
      <c r="AJ604" s="337">
        <v>0</v>
      </c>
      <c r="AK604" s="337">
        <v>0</v>
      </c>
      <c r="AL604" s="555">
        <v>0</v>
      </c>
      <c r="AM604" s="552">
        <v>0</v>
      </c>
      <c r="AN604" s="552" t="s">
        <v>765</v>
      </c>
      <c r="AO604" s="552" t="s">
        <v>772</v>
      </c>
      <c r="AP604" s="45"/>
      <c r="AQ604" s="485">
        <f>AL604/BI604</f>
        <v>0</v>
      </c>
      <c r="AR604" s="12"/>
      <c r="AS604" s="485">
        <f>BL604/BI604</f>
        <v>0</v>
      </c>
      <c r="AT604" s="24"/>
      <c r="AU604" s="24"/>
      <c r="AV604" s="24"/>
      <c r="AW604" s="18">
        <v>23</v>
      </c>
      <c r="AX604" s="69" t="s">
        <v>305</v>
      </c>
      <c r="AY604" s="243" t="s">
        <v>186</v>
      </c>
      <c r="AZ604" s="243" t="str">
        <f t="shared" si="252"/>
        <v>Coho</v>
      </c>
      <c r="BA604" s="243" t="s">
        <v>419</v>
      </c>
      <c r="BB604" s="244" t="s">
        <v>289</v>
      </c>
      <c r="BC604" s="43" t="str">
        <f t="shared" si="253"/>
        <v>Oct 22-28</v>
      </c>
      <c r="BD604" s="43">
        <f t="shared" si="247"/>
        <v>1</v>
      </c>
      <c r="BE604" s="193">
        <f t="shared" si="269"/>
        <v>0</v>
      </c>
      <c r="BF604" s="193">
        <f t="shared" si="254"/>
        <v>0</v>
      </c>
      <c r="BG604" s="193">
        <f t="shared" si="255"/>
        <v>0</v>
      </c>
      <c r="BH604" s="307">
        <f t="shared" ref="BH604:BH667" si="271">CI604</f>
        <v>0</v>
      </c>
      <c r="BI604" s="265">
        <f>CC604</f>
        <v>70</v>
      </c>
      <c r="BJ604" s="26" t="str">
        <f t="shared" si="256"/>
        <v>SMITH CREEKCoho</v>
      </c>
      <c r="BK604" s="26">
        <f t="shared" si="257"/>
        <v>1</v>
      </c>
      <c r="BL604" s="33">
        <f t="shared" si="248"/>
        <v>0</v>
      </c>
      <c r="BQ604" s="47" t="str">
        <f t="shared" si="258"/>
        <v>SMITH CREEKCoho</v>
      </c>
      <c r="BR604" s="49">
        <f t="shared" si="259"/>
        <v>0</v>
      </c>
      <c r="BS604" s="49">
        <f t="shared" si="260"/>
        <v>0</v>
      </c>
      <c r="BT604" s="31">
        <v>2013</v>
      </c>
      <c r="BU604" s="188" t="str">
        <f t="shared" si="261"/>
        <v>TCES</v>
      </c>
      <c r="BV604" s="188" t="str">
        <f t="shared" si="262"/>
        <v xml:space="preserve"> </v>
      </c>
      <c r="BW604" s="188" t="str">
        <f t="shared" si="263"/>
        <v>Oct 22-28</v>
      </c>
      <c r="BX604" s="188" t="str">
        <f t="shared" si="264"/>
        <v xml:space="preserve"> </v>
      </c>
      <c r="BY604" s="50" t="str">
        <f t="shared" si="270"/>
        <v>SMITH CREEK_Coho</v>
      </c>
      <c r="BZ604" s="50">
        <f>IFERROR(VLOOKUP(BY604,'[1]WCVI Esc'!$C$5:$W$555,18,FALSE),"-")</f>
        <v>15</v>
      </c>
      <c r="CA604" s="50">
        <f t="shared" si="265"/>
        <v>20</v>
      </c>
      <c r="CB604" s="50">
        <f>IFERROR(VLOOKUP(BY604,'[1]WCVI Esc'!$C$5:$W$555,19,FALSE),"-")</f>
        <v>72.5</v>
      </c>
      <c r="CC604" s="50">
        <f t="shared" si="266"/>
        <v>70</v>
      </c>
      <c r="CE604" s="342" t="str">
        <f t="shared" si="250"/>
        <v>SMITH CREEK_Coho</v>
      </c>
      <c r="CF604" s="341">
        <f>IFERROR(VLOOKUP(CE604,'RawPL+D'!$O$8:$AB$503,12,FALSE),"-")</f>
        <v>3</v>
      </c>
      <c r="CG604" s="338">
        <f t="shared" si="267"/>
        <v>0</v>
      </c>
      <c r="CH604" s="341">
        <f>IFERROR(VLOOKUP(CE604,'RawPL+D'!$O$8:$AB$503,13,FALSE),"-")</f>
        <v>3.75</v>
      </c>
      <c r="CI604" s="338">
        <f t="shared" si="268"/>
        <v>0</v>
      </c>
    </row>
    <row r="605" spans="1:87" ht="12.75" hidden="1" customHeight="1" x14ac:dyDescent="0.2">
      <c r="A605" s="28">
        <v>4</v>
      </c>
      <c r="B605" s="28">
        <v>3</v>
      </c>
      <c r="C605" s="11">
        <v>23</v>
      </c>
      <c r="D605" s="13" t="s">
        <v>305</v>
      </c>
      <c r="E605" s="10" t="s">
        <v>186</v>
      </c>
      <c r="F605" s="10" t="s">
        <v>208</v>
      </c>
      <c r="G605" s="10"/>
      <c r="H605" s="10"/>
      <c r="I605" s="10"/>
      <c r="J605" s="10"/>
      <c r="K605" s="575"/>
      <c r="L605" s="152"/>
      <c r="M605" s="164"/>
      <c r="N605" s="62"/>
      <c r="O605" s="62"/>
      <c r="P605" s="177"/>
      <c r="Q605" s="171"/>
      <c r="R605" s="62"/>
      <c r="S605" s="62"/>
      <c r="T605" s="642">
        <v>0</v>
      </c>
      <c r="U605" s="64"/>
      <c r="V605" s="169"/>
      <c r="W605" s="62"/>
      <c r="X605" s="62"/>
      <c r="Y605" s="62"/>
      <c r="Z605" s="64"/>
      <c r="AA605" s="164"/>
      <c r="AB605" s="62"/>
      <c r="AC605" s="62"/>
      <c r="AD605" s="64"/>
      <c r="AE605" s="164"/>
      <c r="AF605" s="62"/>
      <c r="AG605" s="62"/>
      <c r="AH605" s="337">
        <v>0</v>
      </c>
      <c r="AI605" s="337">
        <v>0</v>
      </c>
      <c r="AJ605" s="337">
        <v>0</v>
      </c>
      <c r="AK605" s="337">
        <v>0</v>
      </c>
      <c r="AL605" s="555">
        <v>0</v>
      </c>
      <c r="AM605" s="552">
        <v>0</v>
      </c>
      <c r="AN605" s="552" t="s">
        <v>765</v>
      </c>
      <c r="AO605" s="552" t="s">
        <v>772</v>
      </c>
      <c r="AP605" s="45"/>
      <c r="AQ605" s="485"/>
      <c r="AR605" s="100"/>
      <c r="AS605" s="485"/>
      <c r="AT605" s="24"/>
      <c r="AU605" s="24"/>
      <c r="AV605" s="24"/>
      <c r="AW605" s="18">
        <v>23</v>
      </c>
      <c r="AX605" s="69" t="s">
        <v>305</v>
      </c>
      <c r="AY605" s="243" t="s">
        <v>186</v>
      </c>
      <c r="AZ605" s="243" t="str">
        <f t="shared" si="252"/>
        <v>Pink</v>
      </c>
      <c r="BA605" s="243" t="s">
        <v>419</v>
      </c>
      <c r="BB605" s="244" t="s">
        <v>289</v>
      </c>
      <c r="BC605" s="43" t="str">
        <f t="shared" si="253"/>
        <v>Oct 22-28</v>
      </c>
      <c r="BD605" s="43">
        <f t="shared" si="247"/>
        <v>1</v>
      </c>
      <c r="BE605" s="193">
        <f t="shared" si="269"/>
        <v>0</v>
      </c>
      <c r="BF605" s="193">
        <f t="shared" si="254"/>
        <v>0</v>
      </c>
      <c r="BG605" s="193">
        <f t="shared" si="255"/>
        <v>0</v>
      </c>
      <c r="BH605" s="307" t="str">
        <f t="shared" si="271"/>
        <v>-</v>
      </c>
      <c r="BI605" s="265"/>
      <c r="BJ605" s="26" t="str">
        <f t="shared" si="256"/>
        <v>SMITH CREEKPink</v>
      </c>
      <c r="BK605" s="26">
        <f t="shared" si="257"/>
        <v>1</v>
      </c>
      <c r="BL605" s="33">
        <f t="shared" si="248"/>
        <v>0</v>
      </c>
      <c r="BQ605" s="47" t="str">
        <f t="shared" si="258"/>
        <v>SMITH CREEKPink</v>
      </c>
      <c r="BR605" s="49">
        <f t="shared" si="259"/>
        <v>0</v>
      </c>
      <c r="BS605" s="49">
        <f t="shared" si="260"/>
        <v>0</v>
      </c>
      <c r="BT605" s="31">
        <v>0</v>
      </c>
      <c r="BU605" s="188" t="str">
        <f t="shared" si="261"/>
        <v>TCES</v>
      </c>
      <c r="BV605" s="188" t="str">
        <f t="shared" si="262"/>
        <v xml:space="preserve"> </v>
      </c>
      <c r="BW605" s="188" t="str">
        <f t="shared" si="263"/>
        <v>Oct 22-28</v>
      </c>
      <c r="BX605" s="188" t="str">
        <f t="shared" si="264"/>
        <v xml:space="preserve"> </v>
      </c>
      <c r="BY605" s="50" t="str">
        <f t="shared" si="270"/>
        <v>SMITH CREEK_Pink</v>
      </c>
      <c r="BZ605" s="50" t="str">
        <f>IFERROR(VLOOKUP(BY605,'[1]WCVI Esc'!$C$5:$W$555,18,FALSE),"-")</f>
        <v>-</v>
      </c>
      <c r="CA605" s="50" t="str">
        <f t="shared" si="265"/>
        <v>-</v>
      </c>
      <c r="CB605" s="50" t="str">
        <f>IFERROR(VLOOKUP(BY605,'[1]WCVI Esc'!$C$5:$W$555,19,FALSE),"-")</f>
        <v>-</v>
      </c>
      <c r="CC605" s="50" t="str">
        <f t="shared" si="266"/>
        <v>-</v>
      </c>
      <c r="CE605" s="342" t="str">
        <f t="shared" si="250"/>
        <v>SMITH CREEK_Pink</v>
      </c>
      <c r="CF605" s="341" t="str">
        <f>IFERROR(VLOOKUP(BY605,'RawPL+D'!$O$8:$AB$503,12,FALSE),"-")</f>
        <v>-</v>
      </c>
      <c r="CG605" s="338" t="str">
        <f t="shared" si="267"/>
        <v>-</v>
      </c>
      <c r="CH605" s="341" t="str">
        <f>IFERROR(VLOOKUP(BY605,'RawPL+D'!$O$8:$AB$503,13,FALSE),"-")</f>
        <v>-</v>
      </c>
      <c r="CI605" s="338" t="str">
        <f t="shared" si="268"/>
        <v>-</v>
      </c>
    </row>
    <row r="606" spans="1:87" ht="12.75" hidden="1" customHeight="1" x14ac:dyDescent="0.2">
      <c r="A606" s="28">
        <v>4</v>
      </c>
      <c r="B606" s="28">
        <v>4</v>
      </c>
      <c r="C606" s="11">
        <v>23</v>
      </c>
      <c r="D606" s="13" t="s">
        <v>305</v>
      </c>
      <c r="E606" s="10" t="s">
        <v>186</v>
      </c>
      <c r="F606" s="10" t="s">
        <v>209</v>
      </c>
      <c r="G606" s="10"/>
      <c r="H606" s="10"/>
      <c r="I606" s="10"/>
      <c r="J606" s="10"/>
      <c r="K606" s="575"/>
      <c r="L606" s="152"/>
      <c r="M606" s="164"/>
      <c r="N606" s="62"/>
      <c r="O606" s="62"/>
      <c r="P606" s="177"/>
      <c r="Q606" s="171"/>
      <c r="R606" s="62"/>
      <c r="S606" s="62"/>
      <c r="T606" s="675">
        <f>1091+1679</f>
        <v>2770</v>
      </c>
      <c r="U606" s="391"/>
      <c r="V606" s="419"/>
      <c r="W606" s="62"/>
      <c r="X606" s="62"/>
      <c r="Y606" s="62"/>
      <c r="Z606" s="64"/>
      <c r="AA606" s="164"/>
      <c r="AB606" s="62"/>
      <c r="AC606" s="62"/>
      <c r="AD606" s="64"/>
      <c r="AE606" s="164"/>
      <c r="AF606" s="62"/>
      <c r="AG606" s="62"/>
      <c r="AH606" s="337">
        <v>3078</v>
      </c>
      <c r="AI606" s="337">
        <v>0</v>
      </c>
      <c r="AJ606" s="337">
        <v>0</v>
      </c>
      <c r="AK606" s="337">
        <v>0</v>
      </c>
      <c r="AL606" s="555">
        <v>3078</v>
      </c>
      <c r="AM606" s="552">
        <v>3078</v>
      </c>
      <c r="AN606" s="552" t="s">
        <v>765</v>
      </c>
      <c r="AO606" s="552" t="s">
        <v>772</v>
      </c>
      <c r="AP606" s="45"/>
      <c r="AQ606" s="485">
        <f>AL606/BI606</f>
        <v>1.8768292682926828</v>
      </c>
      <c r="AR606" s="485">
        <f>BL606/BH606</f>
        <v>2.6634615384615383</v>
      </c>
      <c r="AS606" s="485">
        <f>BL606/BI606</f>
        <v>1.6890243902439024</v>
      </c>
      <c r="AT606" s="24"/>
      <c r="AU606" s="24"/>
      <c r="AV606" s="24"/>
      <c r="AW606" s="18">
        <v>23</v>
      </c>
      <c r="AX606" s="69" t="s">
        <v>305</v>
      </c>
      <c r="AY606" s="243" t="s">
        <v>186</v>
      </c>
      <c r="AZ606" s="243" t="str">
        <f t="shared" si="252"/>
        <v>Chum</v>
      </c>
      <c r="BA606" s="243" t="s">
        <v>419</v>
      </c>
      <c r="BB606" s="244" t="s">
        <v>289</v>
      </c>
      <c r="BC606" s="43" t="str">
        <f t="shared" si="253"/>
        <v>Oct 22-28</v>
      </c>
      <c r="BD606" s="43">
        <f t="shared" si="247"/>
        <v>1</v>
      </c>
      <c r="BE606" s="193">
        <f t="shared" si="269"/>
        <v>2770</v>
      </c>
      <c r="BF606" s="193">
        <f t="shared" si="254"/>
        <v>3078</v>
      </c>
      <c r="BG606" s="193">
        <f t="shared" si="255"/>
        <v>3078</v>
      </c>
      <c r="BH606" s="307">
        <f t="shared" si="271"/>
        <v>1040</v>
      </c>
      <c r="BI606" s="265">
        <f>CC606</f>
        <v>1640</v>
      </c>
      <c r="BJ606" s="26" t="str">
        <f t="shared" si="256"/>
        <v>SMITH CREEKChum</v>
      </c>
      <c r="BK606" s="26">
        <f t="shared" si="257"/>
        <v>1</v>
      </c>
      <c r="BL606" s="33">
        <f t="shared" si="248"/>
        <v>2770</v>
      </c>
      <c r="BQ606" s="47" t="str">
        <f t="shared" si="258"/>
        <v>SMITH CREEKChum</v>
      </c>
      <c r="BR606" s="49">
        <f t="shared" si="259"/>
        <v>0</v>
      </c>
      <c r="BS606" s="49">
        <f t="shared" si="260"/>
        <v>3078</v>
      </c>
      <c r="BT606" s="31">
        <v>2013</v>
      </c>
      <c r="BU606" s="188" t="str">
        <f t="shared" si="261"/>
        <v>TCES</v>
      </c>
      <c r="BV606" s="188" t="str">
        <f t="shared" si="262"/>
        <v xml:space="preserve"> </v>
      </c>
      <c r="BW606" s="188" t="str">
        <f t="shared" si="263"/>
        <v>Oct 22-28</v>
      </c>
      <c r="BX606" s="188" t="str">
        <f t="shared" si="264"/>
        <v xml:space="preserve"> </v>
      </c>
      <c r="BY606" s="50" t="str">
        <f t="shared" si="270"/>
        <v>SMITH CREEK_Chum</v>
      </c>
      <c r="BZ606" s="50">
        <f>IFERROR(VLOOKUP(BY606,'[1]WCVI Esc'!$C$5:$W$555,18,FALSE),"-")</f>
        <v>1234.75</v>
      </c>
      <c r="CA606" s="50">
        <f t="shared" si="265"/>
        <v>1230</v>
      </c>
      <c r="CB606" s="50">
        <f>IFERROR(VLOOKUP(BY606,'[1]WCVI Esc'!$C$5:$W$555,19,FALSE),"-")</f>
        <v>1641.6</v>
      </c>
      <c r="CC606" s="50">
        <f t="shared" si="266"/>
        <v>1640</v>
      </c>
      <c r="CE606" s="342" t="str">
        <f t="shared" si="250"/>
        <v>SMITH CREEK_Chum</v>
      </c>
      <c r="CF606" s="341">
        <f>IFERROR(VLOOKUP(CE606,'RawPL+D'!$O$8:$AB$503,12,FALSE),"-")</f>
        <v>2568</v>
      </c>
      <c r="CG606" s="338">
        <f t="shared" si="267"/>
        <v>2570</v>
      </c>
      <c r="CH606" s="341">
        <f>IFERROR(VLOOKUP(CE606,'RawPL+D'!$O$8:$AB$503,13,FALSE),"-")</f>
        <v>1041</v>
      </c>
      <c r="CI606" s="338">
        <f t="shared" si="268"/>
        <v>1040</v>
      </c>
    </row>
    <row r="607" spans="1:87" ht="12.75" hidden="1" customHeight="1" x14ac:dyDescent="0.2">
      <c r="A607" s="28">
        <v>4</v>
      </c>
      <c r="B607" s="28">
        <v>5</v>
      </c>
      <c r="C607" s="11">
        <v>23</v>
      </c>
      <c r="D607" s="13" t="s">
        <v>305</v>
      </c>
      <c r="E607" s="10" t="s">
        <v>186</v>
      </c>
      <c r="F607" s="10" t="s">
        <v>210</v>
      </c>
      <c r="G607" s="10"/>
      <c r="H607" s="10"/>
      <c r="I607" s="10"/>
      <c r="J607" s="10"/>
      <c r="K607" s="575"/>
      <c r="L607" s="152"/>
      <c r="M607" s="164"/>
      <c r="N607" s="62"/>
      <c r="O607" s="62"/>
      <c r="P607" s="177"/>
      <c r="Q607" s="171"/>
      <c r="R607" s="62"/>
      <c r="S607" s="62"/>
      <c r="T607" s="642">
        <v>0</v>
      </c>
      <c r="U607" s="64"/>
      <c r="V607" s="169"/>
      <c r="W607" s="62"/>
      <c r="X607" s="62"/>
      <c r="Y607" s="62"/>
      <c r="Z607" s="64"/>
      <c r="AA607" s="164"/>
      <c r="AB607" s="62"/>
      <c r="AC607" s="62"/>
      <c r="AD607" s="64"/>
      <c r="AE607" s="164"/>
      <c r="AF607" s="62"/>
      <c r="AG607" s="62"/>
      <c r="AH607" s="337">
        <v>0</v>
      </c>
      <c r="AI607" s="337">
        <v>0</v>
      </c>
      <c r="AJ607" s="337">
        <v>0</v>
      </c>
      <c r="AK607" s="337">
        <v>0</v>
      </c>
      <c r="AL607" s="555">
        <v>0</v>
      </c>
      <c r="AM607" s="552">
        <v>0</v>
      </c>
      <c r="AN607" s="552" t="s">
        <v>765</v>
      </c>
      <c r="AO607" s="552" t="s">
        <v>772</v>
      </c>
      <c r="AP607" s="45"/>
      <c r="AQ607" s="485"/>
      <c r="AR607" s="100"/>
      <c r="AS607" s="485"/>
      <c r="AT607" s="24"/>
      <c r="AU607" s="24"/>
      <c r="AV607" s="24"/>
      <c r="AW607" s="18">
        <v>23</v>
      </c>
      <c r="AX607" s="69" t="s">
        <v>305</v>
      </c>
      <c r="AY607" s="243" t="s">
        <v>186</v>
      </c>
      <c r="AZ607" s="243" t="str">
        <f t="shared" si="252"/>
        <v>Chinook</v>
      </c>
      <c r="BA607" s="243" t="s">
        <v>419</v>
      </c>
      <c r="BB607" s="244" t="s">
        <v>289</v>
      </c>
      <c r="BC607" s="43" t="str">
        <f t="shared" si="253"/>
        <v>Oct 22-28</v>
      </c>
      <c r="BD607" s="43">
        <f t="shared" si="247"/>
        <v>1</v>
      </c>
      <c r="BE607" s="193">
        <f t="shared" si="269"/>
        <v>0</v>
      </c>
      <c r="BF607" s="193">
        <f t="shared" si="254"/>
        <v>0</v>
      </c>
      <c r="BG607" s="193">
        <f t="shared" si="255"/>
        <v>0</v>
      </c>
      <c r="BH607" s="307">
        <f t="shared" si="271"/>
        <v>0</v>
      </c>
      <c r="BI607" s="265"/>
      <c r="BJ607" s="26" t="str">
        <f t="shared" si="256"/>
        <v>SMITH CREEKChinook</v>
      </c>
      <c r="BK607" s="26">
        <f t="shared" si="257"/>
        <v>1</v>
      </c>
      <c r="BL607" s="33">
        <f t="shared" si="248"/>
        <v>0</v>
      </c>
      <c r="BQ607" s="47" t="str">
        <f t="shared" si="258"/>
        <v>SMITH CREEKChinook</v>
      </c>
      <c r="BR607" s="49">
        <f t="shared" si="259"/>
        <v>0</v>
      </c>
      <c r="BS607" s="49">
        <f t="shared" si="260"/>
        <v>0</v>
      </c>
      <c r="BT607" s="31">
        <v>0</v>
      </c>
      <c r="BU607" s="188" t="str">
        <f t="shared" si="261"/>
        <v>TCES</v>
      </c>
      <c r="BV607" s="188" t="str">
        <f t="shared" si="262"/>
        <v xml:space="preserve"> </v>
      </c>
      <c r="BW607" s="188" t="str">
        <f t="shared" si="263"/>
        <v>Oct 22-28</v>
      </c>
      <c r="BX607" s="188" t="str">
        <f t="shared" si="264"/>
        <v xml:space="preserve"> </v>
      </c>
      <c r="BY607" s="50" t="str">
        <f t="shared" si="270"/>
        <v>SMITH CREEK_Chinook</v>
      </c>
      <c r="BZ607" s="50" t="str">
        <f>IFERROR(VLOOKUP(BY607,'[1]WCVI Esc'!$C$5:$W$555,18,FALSE),"-")</f>
        <v>-</v>
      </c>
      <c r="CA607" s="50" t="str">
        <f t="shared" si="265"/>
        <v>-</v>
      </c>
      <c r="CB607" s="50" t="str">
        <f>IFERROR(VLOOKUP(BY607,'[1]WCVI Esc'!$C$5:$W$555,19,FALSE),"-")</f>
        <v>-</v>
      </c>
      <c r="CC607" s="50" t="str">
        <f t="shared" si="266"/>
        <v>-</v>
      </c>
      <c r="CE607" s="342" t="str">
        <f t="shared" si="250"/>
        <v>SMITH CREEK_Chinook</v>
      </c>
      <c r="CF607" s="341">
        <f>IFERROR(VLOOKUP(BY607,'RawPL+D'!$O$8:$AB$503,12,FALSE),"-")</f>
        <v>0</v>
      </c>
      <c r="CG607" s="338">
        <f t="shared" si="267"/>
        <v>0</v>
      </c>
      <c r="CH607" s="341">
        <f>IFERROR(VLOOKUP(BY607,'RawPL+D'!$O$8:$AB$503,13,FALSE),"-")</f>
        <v>0</v>
      </c>
      <c r="CI607" s="338">
        <f t="shared" si="268"/>
        <v>0</v>
      </c>
    </row>
    <row r="608" spans="1:87" ht="12.75" hidden="1" customHeight="1" x14ac:dyDescent="0.2">
      <c r="A608" s="28">
        <v>4</v>
      </c>
      <c r="B608" s="28">
        <v>6</v>
      </c>
      <c r="C608" s="11">
        <v>23</v>
      </c>
      <c r="D608" s="13" t="s">
        <v>305</v>
      </c>
      <c r="E608" s="10" t="s">
        <v>186</v>
      </c>
      <c r="F608" s="10" t="s">
        <v>211</v>
      </c>
      <c r="G608" s="10"/>
      <c r="H608" s="10"/>
      <c r="I608" s="10"/>
      <c r="J608" s="10"/>
      <c r="K608" s="575"/>
      <c r="L608" s="152"/>
      <c r="M608" s="164"/>
      <c r="N608" s="62"/>
      <c r="O608" s="62"/>
      <c r="P608" s="177"/>
      <c r="Q608" s="171"/>
      <c r="R608" s="62"/>
      <c r="S608" s="62"/>
      <c r="T608" s="642">
        <v>0</v>
      </c>
      <c r="U608" s="64"/>
      <c r="V608" s="169"/>
      <c r="W608" s="62"/>
      <c r="X608" s="62"/>
      <c r="Y608" s="62"/>
      <c r="Z608" s="64"/>
      <c r="AA608" s="164"/>
      <c r="AB608" s="62"/>
      <c r="AC608" s="62"/>
      <c r="AD608" s="64"/>
      <c r="AE608" s="164"/>
      <c r="AF608" s="62"/>
      <c r="AG608" s="62"/>
      <c r="AH608" s="337"/>
      <c r="AI608" s="337"/>
      <c r="AJ608" s="337"/>
      <c r="AK608" s="337"/>
      <c r="AL608" s="555"/>
      <c r="AM608" s="552"/>
      <c r="AN608" s="45"/>
      <c r="AO608" s="45"/>
      <c r="AP608" s="45"/>
      <c r="AQ608" s="485"/>
      <c r="AR608" s="100"/>
      <c r="AS608" s="485"/>
      <c r="AT608" s="24"/>
      <c r="AU608" s="24"/>
      <c r="AV608" s="24"/>
      <c r="AW608" s="18">
        <v>23</v>
      </c>
      <c r="AX608" s="69" t="s">
        <v>305</v>
      </c>
      <c r="AY608" s="243" t="s">
        <v>186</v>
      </c>
      <c r="AZ608" s="243" t="str">
        <f t="shared" si="252"/>
        <v>Steelhead</v>
      </c>
      <c r="BA608" s="243" t="s">
        <v>419</v>
      </c>
      <c r="BB608" s="244" t="s">
        <v>289</v>
      </c>
      <c r="BC608" s="43" t="str">
        <f t="shared" si="253"/>
        <v>Oct 22-28</v>
      </c>
      <c r="BD608" s="43">
        <f t="shared" si="247"/>
        <v>1</v>
      </c>
      <c r="BE608" s="193">
        <f t="shared" si="269"/>
        <v>0</v>
      </c>
      <c r="BF608" s="193">
        <f t="shared" si="254"/>
        <v>0</v>
      </c>
      <c r="BG608" s="193">
        <f t="shared" si="255"/>
        <v>0</v>
      </c>
      <c r="BH608" s="307" t="str">
        <f t="shared" si="271"/>
        <v>-</v>
      </c>
      <c r="BI608" s="265" t="str">
        <f t="shared" ref="BI608:BI614" si="272">CC608</f>
        <v>-</v>
      </c>
      <c r="BJ608" s="26" t="str">
        <f t="shared" si="256"/>
        <v>SMITH CREEKSteelhead</v>
      </c>
      <c r="BK608" s="26">
        <f t="shared" si="257"/>
        <v>1</v>
      </c>
      <c r="BL608" s="33">
        <f t="shared" si="248"/>
        <v>0</v>
      </c>
      <c r="BQ608" s="47" t="str">
        <f t="shared" si="258"/>
        <v>SMITH CREEKSteelhead</v>
      </c>
      <c r="BR608" s="49">
        <f t="shared" si="259"/>
        <v>0</v>
      </c>
      <c r="BS608" s="49">
        <f t="shared" si="260"/>
        <v>0</v>
      </c>
      <c r="BT608" s="31">
        <v>0</v>
      </c>
      <c r="BU608" s="188" t="str">
        <f t="shared" si="261"/>
        <v>TCES</v>
      </c>
      <c r="BV608" s="188" t="str">
        <f t="shared" si="262"/>
        <v xml:space="preserve"> </v>
      </c>
      <c r="BW608" s="188" t="str">
        <f t="shared" si="263"/>
        <v>Oct 22-28</v>
      </c>
      <c r="BX608" s="188" t="str">
        <f t="shared" si="264"/>
        <v xml:space="preserve"> </v>
      </c>
      <c r="BY608" s="50" t="str">
        <f t="shared" si="270"/>
        <v>SMITH CREEK_Steelhead</v>
      </c>
      <c r="BZ608" s="50" t="str">
        <f>IFERROR(VLOOKUP(BY608,'[1]WCVI Esc'!$C$5:$W$555,18,FALSE),"-")</f>
        <v>-</v>
      </c>
      <c r="CA608" s="50" t="str">
        <f t="shared" si="265"/>
        <v>-</v>
      </c>
      <c r="CB608" s="50" t="str">
        <f>IFERROR(VLOOKUP(BY608,'[1]WCVI Esc'!$C$5:$W$555,19,FALSE),"-")</f>
        <v>-</v>
      </c>
      <c r="CC608" s="50" t="str">
        <f t="shared" si="266"/>
        <v>-</v>
      </c>
      <c r="CE608" s="342" t="str">
        <f t="shared" si="250"/>
        <v>SMITH CREEK_Steelhead</v>
      </c>
      <c r="CF608" s="341" t="str">
        <f>IFERROR(VLOOKUP(BY608,'RawPL+D'!$O$8:$AB$503,12,FALSE),"-")</f>
        <v>-</v>
      </c>
      <c r="CG608" s="338" t="str">
        <f t="shared" si="267"/>
        <v>-</v>
      </c>
      <c r="CH608" s="341" t="str">
        <f>IFERROR(VLOOKUP(BY608,'RawPL+D'!$O$8:$AB$503,13,FALSE),"-")</f>
        <v>-</v>
      </c>
      <c r="CI608" s="338" t="str">
        <f t="shared" si="268"/>
        <v>-</v>
      </c>
    </row>
    <row r="609" spans="1:87" ht="12.75" hidden="1" customHeight="1" x14ac:dyDescent="0.2">
      <c r="A609" s="28">
        <v>4</v>
      </c>
      <c r="B609" s="28">
        <v>1</v>
      </c>
      <c r="C609" s="11">
        <v>23</v>
      </c>
      <c r="D609" s="148" t="s">
        <v>305</v>
      </c>
      <c r="E609" s="10" t="s">
        <v>107</v>
      </c>
      <c r="F609" s="10" t="s">
        <v>207</v>
      </c>
      <c r="G609" s="10"/>
      <c r="H609" s="10"/>
      <c r="I609" s="10"/>
      <c r="J609" s="10"/>
      <c r="K609" s="575"/>
      <c r="L609" s="152"/>
      <c r="M609" s="164"/>
      <c r="N609" s="62"/>
      <c r="O609" s="62"/>
      <c r="P609" s="177"/>
      <c r="Q609" s="171"/>
      <c r="R609" s="63"/>
      <c r="S609" s="62"/>
      <c r="T609" s="62"/>
      <c r="U609" s="64"/>
      <c r="V609" s="164"/>
      <c r="W609" s="62"/>
      <c r="X609" s="62"/>
      <c r="Y609" s="62"/>
      <c r="Z609" s="64"/>
      <c r="AA609" s="164"/>
      <c r="AB609" s="62"/>
      <c r="AC609" s="62"/>
      <c r="AD609" s="64"/>
      <c r="AE609" s="164"/>
      <c r="AF609" s="62"/>
      <c r="AG609" s="62"/>
      <c r="AH609" s="337"/>
      <c r="AI609" s="337"/>
      <c r="AJ609" s="337"/>
      <c r="AK609" s="337"/>
      <c r="AL609" s="555"/>
      <c r="AM609" s="552"/>
      <c r="AN609" s="45"/>
      <c r="AO609" s="45"/>
      <c r="AP609" s="45"/>
      <c r="AQ609" s="485"/>
      <c r="AR609"/>
      <c r="AS609" s="485"/>
      <c r="AT609" s="24"/>
      <c r="AU609" s="24"/>
      <c r="AV609" s="24"/>
      <c r="AW609" s="18">
        <v>23</v>
      </c>
      <c r="AX609" s="69" t="s">
        <v>305</v>
      </c>
      <c r="AY609" s="243" t="s">
        <v>107</v>
      </c>
      <c r="AZ609" s="243" t="str">
        <f t="shared" si="252"/>
        <v>Sockeye</v>
      </c>
      <c r="BA609" s="243" t="s">
        <v>419</v>
      </c>
      <c r="BB609" s="244" t="s">
        <v>289</v>
      </c>
      <c r="BC609" s="43" t="str">
        <f t="shared" si="253"/>
        <v>-</v>
      </c>
      <c r="BD609" s="43">
        <f t="shared" ref="BD609:BD672" si="273">BK609</f>
        <v>0</v>
      </c>
      <c r="BE609" s="193">
        <f t="shared" si="269"/>
        <v>0</v>
      </c>
      <c r="BF609" s="193">
        <f t="shared" si="254"/>
        <v>0</v>
      </c>
      <c r="BG609" s="193">
        <f t="shared" si="255"/>
        <v>0</v>
      </c>
      <c r="BH609" s="307" t="str">
        <f t="shared" si="271"/>
        <v>-</v>
      </c>
      <c r="BI609" s="265" t="str">
        <f t="shared" si="272"/>
        <v>-</v>
      </c>
      <c r="BJ609" s="26" t="str">
        <f t="shared" si="256"/>
        <v>THORNTON CREEKSockeye</v>
      </c>
      <c r="BK609" s="26">
        <f t="shared" si="257"/>
        <v>0</v>
      </c>
      <c r="BL609" s="33">
        <f t="shared" si="248"/>
        <v>0</v>
      </c>
      <c r="BQ609" s="47" t="str">
        <f t="shared" si="258"/>
        <v>THORNTON CREEKSockeye</v>
      </c>
      <c r="BR609" s="49">
        <f t="shared" si="259"/>
        <v>0</v>
      </c>
      <c r="BS609" s="49">
        <f t="shared" si="260"/>
        <v>0</v>
      </c>
      <c r="BT609" s="31">
        <v>0</v>
      </c>
      <c r="BU609" s="188" t="str">
        <f t="shared" si="261"/>
        <v>TCES</v>
      </c>
      <c r="BV609" s="188" t="str">
        <f t="shared" si="262"/>
        <v xml:space="preserve"> </v>
      </c>
      <c r="BW609" s="188" t="str">
        <f t="shared" si="263"/>
        <v xml:space="preserve"> </v>
      </c>
      <c r="BX609" s="188" t="str">
        <f t="shared" si="264"/>
        <v xml:space="preserve"> </v>
      </c>
      <c r="BY609" s="50" t="str">
        <f t="shared" si="270"/>
        <v>THORNTON CREEK_Sockeye</v>
      </c>
      <c r="BZ609" s="50" t="str">
        <f>IFERROR(VLOOKUP(BY609,'[1]WCVI Esc'!$C$5:$W$555,18,FALSE),"-")</f>
        <v>-</v>
      </c>
      <c r="CA609" s="50" t="str">
        <f t="shared" si="265"/>
        <v>-</v>
      </c>
      <c r="CB609" s="50" t="str">
        <f>IFERROR(VLOOKUP(BY609,'[1]WCVI Esc'!$C$5:$W$555,19,FALSE),"-")</f>
        <v>-</v>
      </c>
      <c r="CC609" s="50" t="str">
        <f t="shared" si="266"/>
        <v>-</v>
      </c>
      <c r="CE609" s="342" t="str">
        <f t="shared" si="250"/>
        <v>THORNTON CREEK_Sockeye</v>
      </c>
      <c r="CF609" s="341" t="str">
        <f>IFERROR(VLOOKUP(BY609,'RawPL+D'!$O$8:$AB$503,12,FALSE),"-")</f>
        <v>-</v>
      </c>
      <c r="CG609" s="338" t="str">
        <f t="shared" si="267"/>
        <v>-</v>
      </c>
      <c r="CH609" s="341" t="str">
        <f>IFERROR(VLOOKUP(BY609,'RawPL+D'!$O$8:$AB$503,13,FALSE),"-")</f>
        <v>-</v>
      </c>
      <c r="CI609" s="338" t="str">
        <f t="shared" si="268"/>
        <v>-</v>
      </c>
    </row>
    <row r="610" spans="1:87" ht="12.75" hidden="1" customHeight="1" x14ac:dyDescent="0.2">
      <c r="A610" s="28">
        <v>4</v>
      </c>
      <c r="B610" s="28">
        <v>2</v>
      </c>
      <c r="C610" s="11">
        <v>23</v>
      </c>
      <c r="D610" s="13" t="s">
        <v>305</v>
      </c>
      <c r="E610" s="10" t="s">
        <v>107</v>
      </c>
      <c r="F610" s="10" t="s">
        <v>219</v>
      </c>
      <c r="G610" s="10"/>
      <c r="H610" s="10"/>
      <c r="I610" s="10"/>
      <c r="J610" s="10"/>
      <c r="K610" s="575"/>
      <c r="L610" s="152"/>
      <c r="M610" s="164"/>
      <c r="N610" s="62"/>
      <c r="O610" s="62"/>
      <c r="P610" s="177"/>
      <c r="Q610" s="171"/>
      <c r="R610" s="63"/>
      <c r="S610" s="62"/>
      <c r="T610" s="62"/>
      <c r="U610" s="64"/>
      <c r="V610" s="164"/>
      <c r="W610" s="62"/>
      <c r="X610" s="62"/>
      <c r="Y610" s="62"/>
      <c r="Z610" s="64"/>
      <c r="AA610" s="164"/>
      <c r="AB610" s="62"/>
      <c r="AC610" s="62"/>
      <c r="AD610" s="64"/>
      <c r="AE610" s="164"/>
      <c r="AF610" s="62"/>
      <c r="AG610" s="62"/>
      <c r="AH610" s="337"/>
      <c r="AI610" s="337"/>
      <c r="AJ610" s="337"/>
      <c r="AK610" s="337"/>
      <c r="AL610" s="555"/>
      <c r="AM610" s="552"/>
      <c r="AN610" s="45"/>
      <c r="AO610" s="45"/>
      <c r="AP610" s="45"/>
      <c r="AQ610" s="485">
        <f>AL610/BI610</f>
        <v>0</v>
      </c>
      <c r="AR610" s="100">
        <f>BL610/BI610</f>
        <v>0</v>
      </c>
      <c r="AS610" s="485"/>
      <c r="AT610" s="24"/>
      <c r="AU610" s="24"/>
      <c r="AV610" s="24"/>
      <c r="AW610" s="18">
        <v>23</v>
      </c>
      <c r="AX610" s="69" t="s">
        <v>305</v>
      </c>
      <c r="AY610" s="243" t="s">
        <v>107</v>
      </c>
      <c r="AZ610" s="243" t="str">
        <f t="shared" si="252"/>
        <v>Coho</v>
      </c>
      <c r="BA610" s="243" t="s">
        <v>419</v>
      </c>
      <c r="BB610" s="244" t="s">
        <v>289</v>
      </c>
      <c r="BC610" s="43" t="str">
        <f t="shared" si="253"/>
        <v>-</v>
      </c>
      <c r="BD610" s="43">
        <f t="shared" si="273"/>
        <v>0</v>
      </c>
      <c r="BE610" s="193">
        <f t="shared" si="269"/>
        <v>0</v>
      </c>
      <c r="BF610" s="193">
        <f t="shared" si="254"/>
        <v>0</v>
      </c>
      <c r="BG610" s="193">
        <f t="shared" si="255"/>
        <v>0</v>
      </c>
      <c r="BH610" s="307">
        <f t="shared" si="271"/>
        <v>0</v>
      </c>
      <c r="BI610" s="265">
        <f t="shared" si="272"/>
        <v>390</v>
      </c>
      <c r="BJ610" s="26" t="str">
        <f t="shared" si="256"/>
        <v>THORNTON CREEKCoho</v>
      </c>
      <c r="BK610" s="26">
        <f t="shared" si="257"/>
        <v>0</v>
      </c>
      <c r="BL610" s="33">
        <f t="shared" si="248"/>
        <v>0</v>
      </c>
      <c r="BQ610" s="47" t="str">
        <f t="shared" si="258"/>
        <v>THORNTON CREEKCoho</v>
      </c>
      <c r="BR610" s="49">
        <f t="shared" si="259"/>
        <v>0</v>
      </c>
      <c r="BS610" s="49">
        <f t="shared" si="260"/>
        <v>0</v>
      </c>
      <c r="BT610" s="31">
        <v>2013</v>
      </c>
      <c r="BU610" s="188" t="str">
        <f t="shared" si="261"/>
        <v>TCES</v>
      </c>
      <c r="BV610" s="188" t="str">
        <f t="shared" si="262"/>
        <v xml:space="preserve"> </v>
      </c>
      <c r="BW610" s="188" t="str">
        <f t="shared" si="263"/>
        <v xml:space="preserve"> </v>
      </c>
      <c r="BX610" s="188" t="str">
        <f t="shared" si="264"/>
        <v xml:space="preserve"> </v>
      </c>
      <c r="BY610" s="50" t="str">
        <f t="shared" si="270"/>
        <v>THORNTON CREEK_Coho</v>
      </c>
      <c r="BZ610" s="50" t="str">
        <f>IFERROR(VLOOKUP(BY610,'[1]WCVI Esc'!$C$5:$W$555,18,FALSE),"-")</f>
        <v>-</v>
      </c>
      <c r="CA610" s="50" t="str">
        <f t="shared" si="265"/>
        <v>-</v>
      </c>
      <c r="CB610" s="50">
        <f>IFERROR(VLOOKUP(BY610,'[1]WCVI Esc'!$C$5:$W$555,19,FALSE),"-")</f>
        <v>389</v>
      </c>
      <c r="CC610" s="50">
        <f t="shared" si="266"/>
        <v>390</v>
      </c>
      <c r="CE610" s="342" t="str">
        <f t="shared" si="250"/>
        <v>THORNTON CREEK_Coho</v>
      </c>
      <c r="CF610" s="341">
        <f>IFERROR(VLOOKUP(BY610,'RawPL+D'!$O$8:$AB$503,12,FALSE),"-")</f>
        <v>1</v>
      </c>
      <c r="CG610" s="338">
        <f t="shared" si="267"/>
        <v>0</v>
      </c>
      <c r="CH610" s="341">
        <f>IFERROR(VLOOKUP(BY610,'RawPL+D'!$O$8:$AB$503,13,FALSE),"-")</f>
        <v>1</v>
      </c>
      <c r="CI610" s="338">
        <f t="shared" si="268"/>
        <v>0</v>
      </c>
    </row>
    <row r="611" spans="1:87" ht="12.75" hidden="1" customHeight="1" x14ac:dyDescent="0.2">
      <c r="A611" s="28">
        <v>4</v>
      </c>
      <c r="B611" s="28">
        <v>3</v>
      </c>
      <c r="C611" s="11">
        <v>23</v>
      </c>
      <c r="D611" s="13" t="s">
        <v>305</v>
      </c>
      <c r="E611" s="10" t="s">
        <v>107</v>
      </c>
      <c r="F611" s="10" t="s">
        <v>208</v>
      </c>
      <c r="G611" s="10"/>
      <c r="H611" s="10"/>
      <c r="I611" s="10"/>
      <c r="J611" s="10"/>
      <c r="K611" s="575"/>
      <c r="L611" s="152"/>
      <c r="M611" s="164"/>
      <c r="N611" s="62"/>
      <c r="O611" s="62"/>
      <c r="P611" s="177"/>
      <c r="Q611" s="171"/>
      <c r="R611" s="63"/>
      <c r="S611" s="62"/>
      <c r="T611" s="62"/>
      <c r="U611" s="64"/>
      <c r="V611" s="164"/>
      <c r="W611" s="62"/>
      <c r="X611" s="62"/>
      <c r="Y611" s="62"/>
      <c r="Z611" s="64"/>
      <c r="AA611" s="164"/>
      <c r="AB611" s="62"/>
      <c r="AC611" s="62"/>
      <c r="AD611" s="64"/>
      <c r="AE611" s="164"/>
      <c r="AF611" s="62"/>
      <c r="AG611" s="62"/>
      <c r="AH611" s="337"/>
      <c r="AI611" s="337"/>
      <c r="AJ611" s="337"/>
      <c r="AK611" s="337"/>
      <c r="AL611" s="555"/>
      <c r="AM611" s="552"/>
      <c r="AN611" s="45"/>
      <c r="AO611" s="45"/>
      <c r="AP611" s="45"/>
      <c r="AQ611" s="485"/>
      <c r="AR611" s="100"/>
      <c r="AS611" s="485"/>
      <c r="AT611" s="24"/>
      <c r="AU611" s="24"/>
      <c r="AV611" s="24"/>
      <c r="AW611" s="18">
        <v>23</v>
      </c>
      <c r="AX611" s="69" t="s">
        <v>305</v>
      </c>
      <c r="AY611" s="243" t="s">
        <v>107</v>
      </c>
      <c r="AZ611" s="243" t="str">
        <f t="shared" si="252"/>
        <v>Pink</v>
      </c>
      <c r="BA611" s="243" t="s">
        <v>419</v>
      </c>
      <c r="BB611" s="244" t="s">
        <v>289</v>
      </c>
      <c r="BC611" s="43" t="str">
        <f t="shared" si="253"/>
        <v>-</v>
      </c>
      <c r="BD611" s="43">
        <f t="shared" si="273"/>
        <v>0</v>
      </c>
      <c r="BE611" s="193">
        <f t="shared" si="269"/>
        <v>0</v>
      </c>
      <c r="BF611" s="193">
        <f t="shared" si="254"/>
        <v>0</v>
      </c>
      <c r="BG611" s="193">
        <f t="shared" si="255"/>
        <v>0</v>
      </c>
      <c r="BH611" s="307">
        <f t="shared" si="271"/>
        <v>0</v>
      </c>
      <c r="BI611" s="265" t="str">
        <f t="shared" si="272"/>
        <v>-</v>
      </c>
      <c r="BJ611" s="26" t="str">
        <f t="shared" si="256"/>
        <v>THORNTON CREEKPink</v>
      </c>
      <c r="BK611" s="26">
        <f t="shared" si="257"/>
        <v>0</v>
      </c>
      <c r="BL611" s="33">
        <f t="shared" si="248"/>
        <v>0</v>
      </c>
      <c r="BQ611" s="47" t="str">
        <f t="shared" si="258"/>
        <v>THORNTON CREEKPink</v>
      </c>
      <c r="BR611" s="49">
        <f t="shared" si="259"/>
        <v>0</v>
      </c>
      <c r="BS611" s="49">
        <f t="shared" si="260"/>
        <v>0</v>
      </c>
      <c r="BT611" s="31">
        <v>1999</v>
      </c>
      <c r="BU611" s="188" t="str">
        <f t="shared" si="261"/>
        <v>TCES</v>
      </c>
      <c r="BV611" s="188" t="str">
        <f t="shared" si="262"/>
        <v xml:space="preserve"> </v>
      </c>
      <c r="BW611" s="188" t="str">
        <f t="shared" si="263"/>
        <v xml:space="preserve"> </v>
      </c>
      <c r="BX611" s="188" t="str">
        <f t="shared" si="264"/>
        <v xml:space="preserve"> </v>
      </c>
      <c r="BY611" s="50" t="str">
        <f t="shared" si="270"/>
        <v>THORNTON CREEK_Pink</v>
      </c>
      <c r="BZ611" s="50" t="str">
        <f>IFERROR(VLOOKUP(BY611,'[1]WCVI Esc'!$C$5:$W$555,18,FALSE),"-")</f>
        <v>-</v>
      </c>
      <c r="CA611" s="50" t="str">
        <f t="shared" si="265"/>
        <v>-</v>
      </c>
      <c r="CB611" s="50" t="str">
        <f>IFERROR(VLOOKUP(BY611,'[1]WCVI Esc'!$C$5:$W$555,19,FALSE),"-")</f>
        <v>-</v>
      </c>
      <c r="CC611" s="50" t="str">
        <f t="shared" si="266"/>
        <v>-</v>
      </c>
      <c r="CE611" s="342" t="str">
        <f t="shared" si="250"/>
        <v>THORNTON CREEK_Pink</v>
      </c>
      <c r="CF611" s="341">
        <f>IFERROR(VLOOKUP(BY611,'RawPL+D'!$O$8:$AB$503,12,FALSE),"-")</f>
        <v>0</v>
      </c>
      <c r="CG611" s="338">
        <f t="shared" si="267"/>
        <v>0</v>
      </c>
      <c r="CH611" s="341">
        <f>IFERROR(VLOOKUP(BY611,'RawPL+D'!$O$8:$AB$503,13,FALSE),"-")</f>
        <v>0</v>
      </c>
      <c r="CI611" s="338">
        <f t="shared" si="268"/>
        <v>0</v>
      </c>
    </row>
    <row r="612" spans="1:87" ht="12.75" hidden="1" customHeight="1" x14ac:dyDescent="0.2">
      <c r="A612" s="28">
        <v>4</v>
      </c>
      <c r="B612" s="28">
        <v>4</v>
      </c>
      <c r="C612" s="11">
        <v>23</v>
      </c>
      <c r="D612" s="13" t="s">
        <v>305</v>
      </c>
      <c r="E612" s="10" t="s">
        <v>107</v>
      </c>
      <c r="F612" s="10" t="s">
        <v>209</v>
      </c>
      <c r="G612" s="10"/>
      <c r="H612" s="10"/>
      <c r="I612" s="10"/>
      <c r="J612" s="10"/>
      <c r="K612" s="575"/>
      <c r="L612" s="152"/>
      <c r="M612" s="164"/>
      <c r="N612" s="62"/>
      <c r="O612" s="62"/>
      <c r="P612" s="177"/>
      <c r="Q612" s="171"/>
      <c r="R612" s="63"/>
      <c r="S612" s="64"/>
      <c r="T612" s="62"/>
      <c r="U612" s="64"/>
      <c r="V612" s="164"/>
      <c r="W612" s="62"/>
      <c r="X612" s="62"/>
      <c r="Y612" s="62"/>
      <c r="Z612" s="64"/>
      <c r="AA612" s="164"/>
      <c r="AB612" s="62"/>
      <c r="AC612" s="62"/>
      <c r="AD612" s="64"/>
      <c r="AE612" s="164"/>
      <c r="AF612" s="62"/>
      <c r="AG612" s="62"/>
      <c r="AH612" s="337"/>
      <c r="AI612" s="337"/>
      <c r="AJ612" s="337"/>
      <c r="AK612" s="337"/>
      <c r="AL612" s="555"/>
      <c r="AM612" s="552"/>
      <c r="AN612" s="45"/>
      <c r="AO612" s="45"/>
      <c r="AP612" s="45"/>
      <c r="AQ612" s="485">
        <f>AL612/BI612</f>
        <v>0</v>
      </c>
      <c r="AR612" s="485">
        <f>BL612/BI612</f>
        <v>0</v>
      </c>
      <c r="AS612" s="485"/>
      <c r="AT612" s="24"/>
      <c r="AU612" s="24"/>
      <c r="AV612" s="24"/>
      <c r="AW612" s="18">
        <v>23</v>
      </c>
      <c r="AX612" s="69" t="s">
        <v>305</v>
      </c>
      <c r="AY612" s="243" t="s">
        <v>107</v>
      </c>
      <c r="AZ612" s="243" t="str">
        <f t="shared" si="252"/>
        <v>Chum</v>
      </c>
      <c r="BA612" s="243" t="s">
        <v>419</v>
      </c>
      <c r="BB612" s="244" t="s">
        <v>289</v>
      </c>
      <c r="BC612" s="43" t="str">
        <f t="shared" si="253"/>
        <v>-</v>
      </c>
      <c r="BD612" s="43">
        <f t="shared" si="273"/>
        <v>0</v>
      </c>
      <c r="BE612" s="193">
        <f t="shared" si="269"/>
        <v>0</v>
      </c>
      <c r="BF612" s="193">
        <f t="shared" si="254"/>
        <v>0</v>
      </c>
      <c r="BG612" s="193">
        <f t="shared" si="255"/>
        <v>0</v>
      </c>
      <c r="BH612" s="307">
        <f t="shared" si="271"/>
        <v>30</v>
      </c>
      <c r="BI612" s="265">
        <f t="shared" si="272"/>
        <v>30</v>
      </c>
      <c r="BJ612" s="26" t="str">
        <f t="shared" si="256"/>
        <v>THORNTON CREEKChum</v>
      </c>
      <c r="BK612" s="26">
        <f t="shared" si="257"/>
        <v>0</v>
      </c>
      <c r="BL612" s="33">
        <f t="shared" si="248"/>
        <v>0</v>
      </c>
      <c r="BQ612" s="47" t="str">
        <f t="shared" si="258"/>
        <v>THORNTON CREEKChum</v>
      </c>
      <c r="BR612" s="49">
        <f t="shared" si="259"/>
        <v>0</v>
      </c>
      <c r="BS612" s="49">
        <f t="shared" si="260"/>
        <v>0</v>
      </c>
      <c r="BT612" s="31">
        <v>2013</v>
      </c>
      <c r="BU612" s="188" t="str">
        <f t="shared" si="261"/>
        <v>TCES</v>
      </c>
      <c r="BV612" s="188" t="str">
        <f t="shared" si="262"/>
        <v xml:space="preserve"> </v>
      </c>
      <c r="BW612" s="188" t="str">
        <f t="shared" si="263"/>
        <v xml:space="preserve"> </v>
      </c>
      <c r="BX612" s="188" t="str">
        <f t="shared" si="264"/>
        <v xml:space="preserve"> </v>
      </c>
      <c r="BY612" s="50" t="str">
        <f t="shared" si="270"/>
        <v>THORNTON CREEK_Chum</v>
      </c>
      <c r="BZ612" s="50">
        <f>IFERROR(VLOOKUP(BY612,'[1]WCVI Esc'!$C$5:$W$555,18,FALSE),"-")</f>
        <v>43</v>
      </c>
      <c r="CA612" s="50">
        <f t="shared" si="265"/>
        <v>40</v>
      </c>
      <c r="CB612" s="50">
        <f>IFERROR(VLOOKUP(BY612,'[1]WCVI Esc'!$C$5:$W$555,19,FALSE),"-")</f>
        <v>31.5</v>
      </c>
      <c r="CC612" s="50">
        <f t="shared" si="266"/>
        <v>30</v>
      </c>
      <c r="CE612" s="342" t="str">
        <f t="shared" si="250"/>
        <v>THORNTON CREEK_Chum</v>
      </c>
      <c r="CF612" s="341">
        <f>IFERROR(VLOOKUP(BY612,'RawPL+D'!$O$8:$AB$503,12,FALSE),"-")</f>
        <v>34</v>
      </c>
      <c r="CG612" s="338">
        <f t="shared" si="267"/>
        <v>30</v>
      </c>
      <c r="CH612" s="341">
        <f>IFERROR(VLOOKUP(BY612,'RawPL+D'!$O$8:$AB$503,13,FALSE),"-")</f>
        <v>34</v>
      </c>
      <c r="CI612" s="338">
        <f t="shared" si="268"/>
        <v>30</v>
      </c>
    </row>
    <row r="613" spans="1:87" ht="12.75" hidden="1" customHeight="1" x14ac:dyDescent="0.2">
      <c r="A613" s="28">
        <v>4</v>
      </c>
      <c r="B613" s="28">
        <v>5</v>
      </c>
      <c r="C613" s="11">
        <v>23</v>
      </c>
      <c r="D613" s="13" t="s">
        <v>305</v>
      </c>
      <c r="E613" s="10" t="s">
        <v>107</v>
      </c>
      <c r="F613" s="10" t="s">
        <v>210</v>
      </c>
      <c r="G613" s="10"/>
      <c r="H613" s="10"/>
      <c r="I613" s="10"/>
      <c r="J613" s="10"/>
      <c r="K613" s="575"/>
      <c r="L613" s="152"/>
      <c r="M613" s="164"/>
      <c r="N613" s="62"/>
      <c r="O613" s="62"/>
      <c r="P613" s="177"/>
      <c r="Q613" s="171"/>
      <c r="R613" s="63"/>
      <c r="S613" s="64"/>
      <c r="T613" s="62"/>
      <c r="U613" s="64"/>
      <c r="V613" s="164"/>
      <c r="W613" s="62"/>
      <c r="X613" s="62"/>
      <c r="Y613" s="62"/>
      <c r="Z613" s="64"/>
      <c r="AA613" s="164"/>
      <c r="AB613" s="62"/>
      <c r="AC613" s="62"/>
      <c r="AD613" s="64"/>
      <c r="AE613" s="164"/>
      <c r="AF613" s="62"/>
      <c r="AG613" s="62"/>
      <c r="AH613" s="337"/>
      <c r="AI613" s="337"/>
      <c r="AJ613" s="337"/>
      <c r="AK613" s="337"/>
      <c r="AL613" s="555"/>
      <c r="AM613" s="552"/>
      <c r="AN613" s="45"/>
      <c r="AO613" s="45"/>
      <c r="AP613" s="45"/>
      <c r="AQ613" s="485">
        <f>AL613/BI613</f>
        <v>0</v>
      </c>
      <c r="AR613" s="485">
        <f>BL613/BI613</f>
        <v>0</v>
      </c>
      <c r="AS613" s="485"/>
      <c r="AT613" s="24"/>
      <c r="AU613" s="24"/>
      <c r="AV613" s="24"/>
      <c r="AW613" s="18">
        <v>23</v>
      </c>
      <c r="AX613" s="69" t="s">
        <v>305</v>
      </c>
      <c r="AY613" s="243" t="s">
        <v>107</v>
      </c>
      <c r="AZ613" s="243" t="str">
        <f t="shared" si="252"/>
        <v>Chinook</v>
      </c>
      <c r="BA613" s="243" t="s">
        <v>419</v>
      </c>
      <c r="BB613" s="244" t="s">
        <v>289</v>
      </c>
      <c r="BC613" s="43" t="str">
        <f t="shared" si="253"/>
        <v>-</v>
      </c>
      <c r="BD613" s="43">
        <f t="shared" si="273"/>
        <v>0</v>
      </c>
      <c r="BE613" s="193">
        <f t="shared" si="269"/>
        <v>0</v>
      </c>
      <c r="BF613" s="193">
        <f t="shared" si="254"/>
        <v>0</v>
      </c>
      <c r="BG613" s="193">
        <f t="shared" si="255"/>
        <v>0</v>
      </c>
      <c r="BH613" s="307">
        <f t="shared" si="271"/>
        <v>220</v>
      </c>
      <c r="BI613" s="265">
        <f t="shared" si="272"/>
        <v>910</v>
      </c>
      <c r="BJ613" s="26" t="str">
        <f t="shared" si="256"/>
        <v>THORNTON CREEKChinook</v>
      </c>
      <c r="BK613" s="26">
        <f t="shared" si="257"/>
        <v>0</v>
      </c>
      <c r="BL613" s="33">
        <f t="shared" si="248"/>
        <v>0</v>
      </c>
      <c r="BQ613" s="47" t="str">
        <f t="shared" si="258"/>
        <v>THORNTON CREEKChinook</v>
      </c>
      <c r="BR613" s="49">
        <f t="shared" si="259"/>
        <v>0</v>
      </c>
      <c r="BS613" s="49">
        <f t="shared" si="260"/>
        <v>0</v>
      </c>
      <c r="BT613" s="31">
        <v>2013</v>
      </c>
      <c r="BU613" s="188" t="str">
        <f t="shared" si="261"/>
        <v>TCES</v>
      </c>
      <c r="BV613" s="188" t="str">
        <f t="shared" si="262"/>
        <v xml:space="preserve"> </v>
      </c>
      <c r="BW613" s="188" t="str">
        <f t="shared" si="263"/>
        <v xml:space="preserve"> </v>
      </c>
      <c r="BX613" s="188" t="str">
        <f t="shared" si="264"/>
        <v xml:space="preserve"> </v>
      </c>
      <c r="BY613" s="50" t="str">
        <f t="shared" si="270"/>
        <v>THORNTON CREEK_Chinook</v>
      </c>
      <c r="BZ613" s="50">
        <f>IFERROR(VLOOKUP(BY613,'[1]WCVI Esc'!$C$5:$W$555,18,FALSE),"-")</f>
        <v>43</v>
      </c>
      <c r="CA613" s="50">
        <f t="shared" si="265"/>
        <v>40</v>
      </c>
      <c r="CB613" s="50">
        <f>IFERROR(VLOOKUP(BY613,'[1]WCVI Esc'!$C$5:$W$555,19,FALSE),"-")</f>
        <v>910</v>
      </c>
      <c r="CC613" s="50">
        <f t="shared" si="266"/>
        <v>910</v>
      </c>
      <c r="CE613" s="342" t="str">
        <f t="shared" si="250"/>
        <v>THORNTON CREEK_Chinook</v>
      </c>
      <c r="CF613" s="341">
        <f>IFERROR(VLOOKUP(BY613,'RawPL+D'!$O$8:$AB$503,12,FALSE),"-")</f>
        <v>219</v>
      </c>
      <c r="CG613" s="338">
        <f t="shared" si="267"/>
        <v>220</v>
      </c>
      <c r="CH613" s="341">
        <f>IFERROR(VLOOKUP(BY613,'RawPL+D'!$O$8:$AB$503,13,FALSE),"-")</f>
        <v>219</v>
      </c>
      <c r="CI613" s="338">
        <f t="shared" si="268"/>
        <v>220</v>
      </c>
    </row>
    <row r="614" spans="1:87" ht="12.75" hidden="1" customHeight="1" x14ac:dyDescent="0.2">
      <c r="A614" s="28">
        <v>4</v>
      </c>
      <c r="B614" s="28">
        <v>6</v>
      </c>
      <c r="C614" s="11">
        <v>23</v>
      </c>
      <c r="D614" s="148" t="s">
        <v>305</v>
      </c>
      <c r="E614" s="10" t="s">
        <v>107</v>
      </c>
      <c r="F614" s="10" t="s">
        <v>211</v>
      </c>
      <c r="G614" s="10"/>
      <c r="H614" s="10"/>
      <c r="I614" s="10"/>
      <c r="J614" s="10"/>
      <c r="K614" s="575"/>
      <c r="L614" s="152"/>
      <c r="M614" s="164"/>
      <c r="N614" s="62"/>
      <c r="O614" s="62"/>
      <c r="P614" s="177"/>
      <c r="Q614" s="171"/>
      <c r="R614" s="63"/>
      <c r="S614" s="64"/>
      <c r="T614" s="62"/>
      <c r="U614" s="64"/>
      <c r="V614" s="164"/>
      <c r="W614" s="62"/>
      <c r="X614" s="62"/>
      <c r="Y614" s="62"/>
      <c r="Z614" s="64"/>
      <c r="AA614" s="164"/>
      <c r="AB614" s="62"/>
      <c r="AC614" s="62"/>
      <c r="AD614" s="64"/>
      <c r="AE614" s="164"/>
      <c r="AF614" s="62"/>
      <c r="AG614" s="62"/>
      <c r="AH614" s="337"/>
      <c r="AI614" s="337"/>
      <c r="AJ614" s="337"/>
      <c r="AK614" s="337"/>
      <c r="AL614" s="555"/>
      <c r="AM614" s="552"/>
      <c r="AN614" s="45"/>
      <c r="AO614" s="45"/>
      <c r="AP614" s="45"/>
      <c r="AQ614" s="485"/>
      <c r="AR614" s="100"/>
      <c r="AS614" s="485"/>
      <c r="AT614" s="24"/>
      <c r="AU614" s="24"/>
      <c r="AV614" s="24"/>
      <c r="AW614" s="18">
        <v>23</v>
      </c>
      <c r="AX614" s="69" t="s">
        <v>305</v>
      </c>
      <c r="AY614" s="243" t="s">
        <v>107</v>
      </c>
      <c r="AZ614" s="243" t="str">
        <f t="shared" si="252"/>
        <v>Steelhead</v>
      </c>
      <c r="BA614" s="243" t="s">
        <v>419</v>
      </c>
      <c r="BB614" s="244" t="s">
        <v>289</v>
      </c>
      <c r="BC614" s="43" t="str">
        <f t="shared" si="253"/>
        <v>-</v>
      </c>
      <c r="BD614" s="43">
        <f t="shared" si="273"/>
        <v>0</v>
      </c>
      <c r="BE614" s="193">
        <f t="shared" si="269"/>
        <v>0</v>
      </c>
      <c r="BF614" s="193">
        <f t="shared" si="254"/>
        <v>0</v>
      </c>
      <c r="BG614" s="193">
        <f t="shared" si="255"/>
        <v>0</v>
      </c>
      <c r="BH614" s="307" t="str">
        <f t="shared" si="271"/>
        <v>-</v>
      </c>
      <c r="BI614" s="265" t="str">
        <f t="shared" si="272"/>
        <v>-</v>
      </c>
      <c r="BJ614" s="26" t="str">
        <f t="shared" si="256"/>
        <v>THORNTON CREEKSteelhead</v>
      </c>
      <c r="BK614" s="26">
        <f t="shared" si="257"/>
        <v>0</v>
      </c>
      <c r="BL614" s="33">
        <f t="shared" si="248"/>
        <v>0</v>
      </c>
      <c r="BQ614" s="47" t="str">
        <f t="shared" si="258"/>
        <v>THORNTON CREEKSteelhead</v>
      </c>
      <c r="BR614" s="49">
        <f t="shared" si="259"/>
        <v>0</v>
      </c>
      <c r="BS614" s="49">
        <f t="shared" si="260"/>
        <v>0</v>
      </c>
      <c r="BT614" s="31">
        <v>0</v>
      </c>
      <c r="BU614" s="188" t="str">
        <f t="shared" si="261"/>
        <v>TCES</v>
      </c>
      <c r="BV614" s="188" t="str">
        <f t="shared" si="262"/>
        <v xml:space="preserve"> </v>
      </c>
      <c r="BW614" s="188" t="str">
        <f t="shared" si="263"/>
        <v xml:space="preserve"> </v>
      </c>
      <c r="BX614" s="188" t="str">
        <f t="shared" si="264"/>
        <v xml:space="preserve"> </v>
      </c>
      <c r="BY614" s="50" t="str">
        <f t="shared" si="270"/>
        <v>THORNTON CREEK_Steelhead</v>
      </c>
      <c r="BZ614" s="50" t="str">
        <f>IFERROR(VLOOKUP(BY614,'[1]WCVI Esc'!$C$5:$W$555,18,FALSE),"-")</f>
        <v>-</v>
      </c>
      <c r="CA614" s="50" t="str">
        <f t="shared" si="265"/>
        <v>-</v>
      </c>
      <c r="CB614" s="50" t="str">
        <f>IFERROR(VLOOKUP(BY614,'[1]WCVI Esc'!$C$5:$W$555,19,FALSE),"-")</f>
        <v>-</v>
      </c>
      <c r="CC614" s="50" t="str">
        <f t="shared" si="266"/>
        <v>-</v>
      </c>
      <c r="CE614" s="342" t="str">
        <f t="shared" si="250"/>
        <v>THORNTON CREEK_Steelhead</v>
      </c>
      <c r="CF614" s="341" t="str">
        <f>IFERROR(VLOOKUP(BY614,'RawPL+D'!$O$8:$AB$503,12,FALSE),"-")</f>
        <v>-</v>
      </c>
      <c r="CG614" s="338" t="str">
        <f t="shared" si="267"/>
        <v>-</v>
      </c>
      <c r="CH614" s="341" t="str">
        <f>IFERROR(VLOOKUP(BY614,'RawPL+D'!$O$8:$AB$503,13,FALSE),"-")</f>
        <v>-</v>
      </c>
      <c r="CI614" s="338" t="str">
        <f t="shared" si="268"/>
        <v>-</v>
      </c>
    </row>
    <row r="615" spans="1:87" ht="12.75" hidden="1" customHeight="1" x14ac:dyDescent="0.2">
      <c r="A615" s="28">
        <v>4</v>
      </c>
      <c r="B615" s="28">
        <v>1</v>
      </c>
      <c r="C615" s="11">
        <v>23</v>
      </c>
      <c r="D615" s="148" t="s">
        <v>305</v>
      </c>
      <c r="E615" s="10" t="s">
        <v>113</v>
      </c>
      <c r="F615" s="10" t="s">
        <v>207</v>
      </c>
      <c r="G615" s="10"/>
      <c r="H615" s="10"/>
      <c r="I615" s="10"/>
      <c r="J615" s="10"/>
      <c r="K615" s="575"/>
      <c r="L615" s="152"/>
      <c r="M615" s="164"/>
      <c r="N615" s="62"/>
      <c r="O615" s="62"/>
      <c r="P615" s="177"/>
      <c r="Q615" s="171"/>
      <c r="R615" s="62"/>
      <c r="S615" s="64"/>
      <c r="T615" s="62"/>
      <c r="U615" s="64"/>
      <c r="V615" s="164"/>
      <c r="W615" s="62"/>
      <c r="X615" s="62"/>
      <c r="Y615" s="62"/>
      <c r="Z615" s="64"/>
      <c r="AA615" s="164"/>
      <c r="AB615" s="62"/>
      <c r="AC615" s="62"/>
      <c r="AD615" s="64"/>
      <c r="AE615" s="164"/>
      <c r="AF615" s="62"/>
      <c r="AG615" s="62"/>
      <c r="AH615" s="337"/>
      <c r="AI615" s="337"/>
      <c r="AJ615" s="337"/>
      <c r="AK615" s="337"/>
      <c r="AL615" s="412"/>
      <c r="AM615" s="414"/>
      <c r="AN615" s="45"/>
      <c r="AO615" s="45"/>
      <c r="AP615" s="45"/>
      <c r="AQ615" s="485"/>
      <c r="AR615" s="100"/>
      <c r="AS615" s="485"/>
      <c r="AT615" s="24"/>
      <c r="AU615" s="24"/>
      <c r="AV615" s="24"/>
      <c r="AW615" s="18">
        <v>23</v>
      </c>
      <c r="AX615" s="69" t="s">
        <v>305</v>
      </c>
      <c r="AY615" s="243" t="s">
        <v>113</v>
      </c>
      <c r="AZ615" s="243" t="str">
        <f t="shared" si="252"/>
        <v>Sockeye</v>
      </c>
      <c r="BA615" s="243" t="s">
        <v>419</v>
      </c>
      <c r="BB615" s="246"/>
      <c r="BC615" s="43" t="str">
        <f t="shared" si="253"/>
        <v>-</v>
      </c>
      <c r="BD615" s="43">
        <f t="shared" si="273"/>
        <v>0</v>
      </c>
      <c r="BE615" s="193">
        <f t="shared" si="269"/>
        <v>0</v>
      </c>
      <c r="BF615" s="193">
        <f t="shared" si="254"/>
        <v>0</v>
      </c>
      <c r="BG615" s="193">
        <f t="shared" si="255"/>
        <v>0</v>
      </c>
      <c r="BH615" s="307" t="str">
        <f t="shared" si="271"/>
        <v>-</v>
      </c>
      <c r="BI615" s="266"/>
      <c r="BJ615" s="26" t="str">
        <f t="shared" si="256"/>
        <v>WALLACE CREEKSockeye</v>
      </c>
      <c r="BK615" s="26">
        <f t="shared" si="257"/>
        <v>0</v>
      </c>
      <c r="BL615" s="33">
        <f t="shared" ref="BL615:BL678" si="274">MAX(K615:AB615)</f>
        <v>0</v>
      </c>
      <c r="BQ615" s="47" t="str">
        <f t="shared" si="258"/>
        <v>WALLACE CREEKSockeye</v>
      </c>
      <c r="BR615" s="49">
        <f t="shared" si="259"/>
        <v>0</v>
      </c>
      <c r="BS615" s="49">
        <f t="shared" si="260"/>
        <v>0</v>
      </c>
      <c r="BT615" s="31">
        <v>0</v>
      </c>
      <c r="BU615" s="188">
        <f t="shared" si="261"/>
        <v>0</v>
      </c>
      <c r="BV615" s="188" t="str">
        <f t="shared" si="262"/>
        <v xml:space="preserve"> </v>
      </c>
      <c r="BW615" s="188" t="str">
        <f t="shared" si="263"/>
        <v xml:space="preserve"> </v>
      </c>
      <c r="BX615" s="188" t="str">
        <f t="shared" si="264"/>
        <v xml:space="preserve"> </v>
      </c>
      <c r="BY615" s="50" t="str">
        <f t="shared" si="270"/>
        <v>WALLACE CREEK_Sockeye</v>
      </c>
      <c r="BZ615" s="50" t="str">
        <f>IFERROR(VLOOKUP(BY615,'[1]WCVI Esc'!$C$5:$W$555,18,FALSE),"-")</f>
        <v>-</v>
      </c>
      <c r="CA615" s="50" t="str">
        <f t="shared" si="265"/>
        <v>-</v>
      </c>
      <c r="CB615" s="50" t="str">
        <f>IFERROR(VLOOKUP(BY615,'[1]WCVI Esc'!$C$5:$W$555,19,FALSE),"-")</f>
        <v>-</v>
      </c>
      <c r="CC615" s="50" t="str">
        <f t="shared" si="266"/>
        <v>-</v>
      </c>
      <c r="CE615" s="342" t="str">
        <f t="shared" si="250"/>
        <v>WALLACE CREEK_Sockeye</v>
      </c>
      <c r="CF615" s="341" t="str">
        <f>IFERROR(VLOOKUP(BY615,'RawPL+D'!$O$8:$AB$503,12,FALSE),"-")</f>
        <v>-</v>
      </c>
      <c r="CG615" s="338" t="str">
        <f t="shared" si="267"/>
        <v>-</v>
      </c>
      <c r="CH615" s="341" t="str">
        <f>IFERROR(VLOOKUP(BY615,'RawPL+D'!$O$8:$AB$503,13,FALSE),"-")</f>
        <v>-</v>
      </c>
      <c r="CI615" s="338" t="str">
        <f t="shared" si="268"/>
        <v>-</v>
      </c>
    </row>
    <row r="616" spans="1:87" ht="12.75" hidden="1" customHeight="1" x14ac:dyDescent="0.2">
      <c r="A616" s="28">
        <v>4</v>
      </c>
      <c r="B616" s="28">
        <v>2</v>
      </c>
      <c r="C616" s="11">
        <v>23</v>
      </c>
      <c r="D616" s="148" t="s">
        <v>305</v>
      </c>
      <c r="E616" s="10" t="s">
        <v>113</v>
      </c>
      <c r="F616" s="10" t="s">
        <v>219</v>
      </c>
      <c r="G616" s="10"/>
      <c r="H616" s="10"/>
      <c r="I616" s="10"/>
      <c r="J616" s="10"/>
      <c r="K616" s="575"/>
      <c r="L616" s="152"/>
      <c r="M616" s="164"/>
      <c r="N616" s="62"/>
      <c r="O616" s="62"/>
      <c r="P616" s="177"/>
      <c r="Q616" s="171"/>
      <c r="R616" s="62"/>
      <c r="S616" s="64"/>
      <c r="T616" s="62"/>
      <c r="U616" s="64"/>
      <c r="V616" s="164"/>
      <c r="W616" s="62"/>
      <c r="X616" s="62"/>
      <c r="Y616" s="62"/>
      <c r="Z616" s="64"/>
      <c r="AA616" s="164"/>
      <c r="AB616" s="62"/>
      <c r="AC616" s="62"/>
      <c r="AD616" s="64"/>
      <c r="AE616" s="164"/>
      <c r="AF616" s="62"/>
      <c r="AG616" s="62"/>
      <c r="AH616" s="337"/>
      <c r="AI616" s="337"/>
      <c r="AJ616" s="337"/>
      <c r="AK616" s="337"/>
      <c r="AL616" s="412"/>
      <c r="AM616" s="414"/>
      <c r="AN616" s="45"/>
      <c r="AO616" s="45"/>
      <c r="AP616" s="45"/>
      <c r="AQ616" s="485"/>
      <c r="AR616" s="100"/>
      <c r="AS616" s="485"/>
      <c r="AT616" s="24"/>
      <c r="AU616" s="24"/>
      <c r="AV616" s="24"/>
      <c r="AW616" s="18">
        <v>23</v>
      </c>
      <c r="AX616" s="69" t="s">
        <v>305</v>
      </c>
      <c r="AY616" s="243" t="s">
        <v>113</v>
      </c>
      <c r="AZ616" s="243" t="str">
        <f t="shared" si="252"/>
        <v>Coho</v>
      </c>
      <c r="BA616" s="243" t="s">
        <v>419</v>
      </c>
      <c r="BB616" s="246"/>
      <c r="BC616" s="43" t="str">
        <f t="shared" si="253"/>
        <v>-</v>
      </c>
      <c r="BD616" s="43">
        <f t="shared" si="273"/>
        <v>0</v>
      </c>
      <c r="BE616" s="193">
        <f t="shared" si="269"/>
        <v>0</v>
      </c>
      <c r="BF616" s="193">
        <f t="shared" si="254"/>
        <v>0</v>
      </c>
      <c r="BG616" s="193">
        <f t="shared" si="255"/>
        <v>0</v>
      </c>
      <c r="BH616" s="307" t="str">
        <f t="shared" si="271"/>
        <v>-</v>
      </c>
      <c r="BI616" s="266"/>
      <c r="BJ616" s="26" t="str">
        <f t="shared" si="256"/>
        <v>WALLACE CREEKCoho</v>
      </c>
      <c r="BK616" s="26">
        <f t="shared" si="257"/>
        <v>0</v>
      </c>
      <c r="BL616" s="33">
        <f t="shared" si="274"/>
        <v>0</v>
      </c>
      <c r="BQ616" s="47" t="str">
        <f t="shared" si="258"/>
        <v>WALLACE CREEKCoho</v>
      </c>
      <c r="BR616" s="49">
        <f t="shared" si="259"/>
        <v>0</v>
      </c>
      <c r="BS616" s="49">
        <f t="shared" si="260"/>
        <v>0</v>
      </c>
      <c r="BT616" s="31">
        <v>1999</v>
      </c>
      <c r="BU616" s="188">
        <f t="shared" si="261"/>
        <v>0</v>
      </c>
      <c r="BV616" s="188" t="str">
        <f t="shared" si="262"/>
        <v xml:space="preserve"> </v>
      </c>
      <c r="BW616" s="188" t="str">
        <f t="shared" si="263"/>
        <v xml:space="preserve"> </v>
      </c>
      <c r="BX616" s="188" t="str">
        <f t="shared" si="264"/>
        <v xml:space="preserve"> </v>
      </c>
      <c r="BY616" s="50" t="str">
        <f t="shared" si="270"/>
        <v>WALLACE CREEK_Coho</v>
      </c>
      <c r="BZ616" s="50" t="str">
        <f>IFERROR(VLOOKUP(BY616,'[1]WCVI Esc'!$C$5:$W$555,18,FALSE),"-")</f>
        <v>-</v>
      </c>
      <c r="CA616" s="50" t="str">
        <f t="shared" si="265"/>
        <v>-</v>
      </c>
      <c r="CB616" s="50" t="str">
        <f>IFERROR(VLOOKUP(BY616,'[1]WCVI Esc'!$C$5:$W$555,19,FALSE),"-")</f>
        <v>-</v>
      </c>
      <c r="CC616" s="50" t="str">
        <f t="shared" si="266"/>
        <v>-</v>
      </c>
      <c r="CE616" s="342" t="str">
        <f t="shared" si="250"/>
        <v>WALLACE CREEK_Coho</v>
      </c>
      <c r="CF616" s="341" t="str">
        <f>IFERROR(VLOOKUP(BY616,'RawPL+D'!$O$8:$AB$503,12,FALSE),"-")</f>
        <v>-</v>
      </c>
      <c r="CG616" s="338" t="str">
        <f t="shared" si="267"/>
        <v>-</v>
      </c>
      <c r="CH616" s="341" t="str">
        <f>IFERROR(VLOOKUP(BY616,'RawPL+D'!$O$8:$AB$503,13,FALSE),"-")</f>
        <v>-</v>
      </c>
      <c r="CI616" s="338" t="str">
        <f t="shared" si="268"/>
        <v>-</v>
      </c>
    </row>
    <row r="617" spans="1:87" ht="12.75" hidden="1" customHeight="1" x14ac:dyDescent="0.2">
      <c r="A617" s="28">
        <v>4</v>
      </c>
      <c r="B617" s="28">
        <v>3</v>
      </c>
      <c r="C617" s="11">
        <v>23</v>
      </c>
      <c r="D617" s="148" t="s">
        <v>305</v>
      </c>
      <c r="E617" s="10" t="s">
        <v>113</v>
      </c>
      <c r="F617" s="10" t="s">
        <v>208</v>
      </c>
      <c r="G617" s="10"/>
      <c r="H617" s="10"/>
      <c r="I617" s="10"/>
      <c r="J617" s="10"/>
      <c r="K617" s="575"/>
      <c r="L617" s="152"/>
      <c r="M617" s="164"/>
      <c r="N617" s="62"/>
      <c r="O617" s="62"/>
      <c r="P617" s="177"/>
      <c r="Q617" s="171"/>
      <c r="R617" s="62"/>
      <c r="S617" s="64"/>
      <c r="T617" s="62"/>
      <c r="U617" s="64"/>
      <c r="V617" s="164"/>
      <c r="W617" s="62"/>
      <c r="X617" s="62"/>
      <c r="Y617" s="62"/>
      <c r="Z617" s="64"/>
      <c r="AA617" s="164"/>
      <c r="AB617" s="62"/>
      <c r="AC617" s="62"/>
      <c r="AD617" s="64"/>
      <c r="AE617" s="164"/>
      <c r="AF617" s="62"/>
      <c r="AG617" s="62"/>
      <c r="AH617" s="337"/>
      <c r="AI617" s="337"/>
      <c r="AJ617" s="337"/>
      <c r="AK617" s="337"/>
      <c r="AL617" s="412"/>
      <c r="AM617" s="414"/>
      <c r="AN617" s="45"/>
      <c r="AO617" s="45"/>
      <c r="AP617" s="45"/>
      <c r="AQ617" s="485"/>
      <c r="AR617" s="100"/>
      <c r="AS617" s="485"/>
      <c r="AT617" s="24"/>
      <c r="AU617" s="24"/>
      <c r="AV617" s="24"/>
      <c r="AW617" s="18">
        <v>23</v>
      </c>
      <c r="AX617" s="69" t="s">
        <v>305</v>
      </c>
      <c r="AY617" s="243" t="s">
        <v>113</v>
      </c>
      <c r="AZ617" s="243" t="str">
        <f t="shared" si="252"/>
        <v>Pink</v>
      </c>
      <c r="BA617" s="243" t="s">
        <v>419</v>
      </c>
      <c r="BB617" s="246"/>
      <c r="BC617" s="43" t="str">
        <f t="shared" si="253"/>
        <v>-</v>
      </c>
      <c r="BD617" s="43">
        <f t="shared" si="273"/>
        <v>0</v>
      </c>
      <c r="BE617" s="193">
        <f t="shared" si="269"/>
        <v>0</v>
      </c>
      <c r="BF617" s="193">
        <f t="shared" si="254"/>
        <v>0</v>
      </c>
      <c r="BG617" s="193">
        <f t="shared" si="255"/>
        <v>0</v>
      </c>
      <c r="BH617" s="307" t="str">
        <f t="shared" si="271"/>
        <v>-</v>
      </c>
      <c r="BI617" s="266"/>
      <c r="BJ617" s="26" t="str">
        <f t="shared" si="256"/>
        <v>WALLACE CREEKPink</v>
      </c>
      <c r="BK617" s="26">
        <f t="shared" si="257"/>
        <v>0</v>
      </c>
      <c r="BL617" s="33">
        <f t="shared" si="274"/>
        <v>0</v>
      </c>
      <c r="BQ617" s="47" t="str">
        <f t="shared" si="258"/>
        <v>WALLACE CREEKPink</v>
      </c>
      <c r="BR617" s="49">
        <f t="shared" si="259"/>
        <v>0</v>
      </c>
      <c r="BS617" s="49">
        <f t="shared" si="260"/>
        <v>0</v>
      </c>
      <c r="BT617" s="31">
        <v>0</v>
      </c>
      <c r="BU617" s="188">
        <f t="shared" si="261"/>
        <v>0</v>
      </c>
      <c r="BV617" s="188" t="str">
        <f t="shared" si="262"/>
        <v xml:space="preserve"> </v>
      </c>
      <c r="BW617" s="188" t="str">
        <f t="shared" si="263"/>
        <v xml:space="preserve"> </v>
      </c>
      <c r="BX617" s="188" t="str">
        <f t="shared" si="264"/>
        <v xml:space="preserve"> </v>
      </c>
      <c r="BY617" s="50" t="str">
        <f t="shared" si="270"/>
        <v>WALLACE CREEK_Pink</v>
      </c>
      <c r="BZ617" s="50" t="str">
        <f>IFERROR(VLOOKUP(BY617,'[1]WCVI Esc'!$C$5:$W$555,18,FALSE),"-")</f>
        <v>-</v>
      </c>
      <c r="CA617" s="50" t="str">
        <f t="shared" si="265"/>
        <v>-</v>
      </c>
      <c r="CB617" s="50" t="str">
        <f>IFERROR(VLOOKUP(BY617,'[1]WCVI Esc'!$C$5:$W$555,19,FALSE),"-")</f>
        <v>-</v>
      </c>
      <c r="CC617" s="50" t="str">
        <f t="shared" si="266"/>
        <v>-</v>
      </c>
      <c r="CE617" s="342" t="str">
        <f t="shared" si="250"/>
        <v>WALLACE CREEK_Pink</v>
      </c>
      <c r="CF617" s="341" t="str">
        <f>IFERROR(VLOOKUP(BY617,'RawPL+D'!$O$8:$AB$503,12,FALSE),"-")</f>
        <v>-</v>
      </c>
      <c r="CG617" s="338" t="str">
        <f t="shared" si="267"/>
        <v>-</v>
      </c>
      <c r="CH617" s="341" t="str">
        <f>IFERROR(VLOOKUP(BY617,'RawPL+D'!$O$8:$AB$503,13,FALSE),"-")</f>
        <v>-</v>
      </c>
      <c r="CI617" s="338" t="str">
        <f t="shared" si="268"/>
        <v>-</v>
      </c>
    </row>
    <row r="618" spans="1:87" ht="12.75" hidden="1" customHeight="1" x14ac:dyDescent="0.2">
      <c r="A618" s="28">
        <v>4</v>
      </c>
      <c r="B618" s="28">
        <v>4</v>
      </c>
      <c r="C618" s="11">
        <v>23</v>
      </c>
      <c r="D618" s="148" t="s">
        <v>305</v>
      </c>
      <c r="E618" s="10" t="s">
        <v>113</v>
      </c>
      <c r="F618" s="10" t="s">
        <v>209</v>
      </c>
      <c r="G618" s="10"/>
      <c r="H618" s="10"/>
      <c r="I618" s="10"/>
      <c r="J618" s="10"/>
      <c r="K618" s="575"/>
      <c r="L618" s="152"/>
      <c r="M618" s="164"/>
      <c r="N618" s="62"/>
      <c r="O618" s="62"/>
      <c r="P618" s="177"/>
      <c r="Q618" s="171"/>
      <c r="R618" s="62"/>
      <c r="S618" s="62"/>
      <c r="T618" s="62"/>
      <c r="U618" s="64"/>
      <c r="V618" s="164"/>
      <c r="W618" s="62"/>
      <c r="X618" s="62"/>
      <c r="Y618" s="62"/>
      <c r="Z618" s="64"/>
      <c r="AA618" s="164"/>
      <c r="AB618" s="62"/>
      <c r="AC618" s="62"/>
      <c r="AD618" s="64"/>
      <c r="AE618" s="164"/>
      <c r="AF618" s="62"/>
      <c r="AG618" s="62"/>
      <c r="AH618" s="337"/>
      <c r="AI618" s="337"/>
      <c r="AJ618" s="337"/>
      <c r="AK618" s="337"/>
      <c r="AL618" s="412"/>
      <c r="AM618" s="414"/>
      <c r="AN618" s="45"/>
      <c r="AO618" s="45"/>
      <c r="AP618" s="45"/>
      <c r="AQ618" s="485"/>
      <c r="AR618" s="100"/>
      <c r="AS618" s="485"/>
      <c r="AT618" s="24"/>
      <c r="AU618" s="24"/>
      <c r="AV618" s="24"/>
      <c r="AW618" s="18">
        <v>23</v>
      </c>
      <c r="AX618" s="69" t="s">
        <v>305</v>
      </c>
      <c r="AY618" s="243" t="s">
        <v>113</v>
      </c>
      <c r="AZ618" s="243" t="str">
        <f t="shared" si="252"/>
        <v>Chum</v>
      </c>
      <c r="BA618" s="243" t="s">
        <v>419</v>
      </c>
      <c r="BB618" s="246"/>
      <c r="BC618" s="43" t="str">
        <f t="shared" si="253"/>
        <v>-</v>
      </c>
      <c r="BD618" s="43">
        <f t="shared" si="273"/>
        <v>0</v>
      </c>
      <c r="BE618" s="193">
        <f t="shared" si="269"/>
        <v>0</v>
      </c>
      <c r="BF618" s="193">
        <f t="shared" si="254"/>
        <v>0</v>
      </c>
      <c r="BG618" s="193">
        <f t="shared" si="255"/>
        <v>0</v>
      </c>
      <c r="BH618" s="307" t="str">
        <f t="shared" si="271"/>
        <v>-</v>
      </c>
      <c r="BI618" s="266"/>
      <c r="BJ618" s="26" t="str">
        <f t="shared" si="256"/>
        <v>WALLACE CREEKChum</v>
      </c>
      <c r="BK618" s="26">
        <f t="shared" si="257"/>
        <v>0</v>
      </c>
      <c r="BL618" s="33">
        <f t="shared" si="274"/>
        <v>0</v>
      </c>
      <c r="BQ618" s="47" t="str">
        <f t="shared" si="258"/>
        <v>WALLACE CREEKChum</v>
      </c>
      <c r="BR618" s="49">
        <f t="shared" si="259"/>
        <v>0</v>
      </c>
      <c r="BS618" s="49">
        <f t="shared" si="260"/>
        <v>0</v>
      </c>
      <c r="BT618" s="31">
        <v>2004</v>
      </c>
      <c r="BU618" s="188">
        <f t="shared" si="261"/>
        <v>0</v>
      </c>
      <c r="BV618" s="188" t="str">
        <f t="shared" si="262"/>
        <v xml:space="preserve"> </v>
      </c>
      <c r="BW618" s="188" t="str">
        <f t="shared" si="263"/>
        <v xml:space="preserve"> </v>
      </c>
      <c r="BX618" s="188" t="str">
        <f t="shared" si="264"/>
        <v xml:space="preserve"> </v>
      </c>
      <c r="BY618" s="50" t="str">
        <f t="shared" si="270"/>
        <v>WALLACE CREEK_Chum</v>
      </c>
      <c r="BZ618" s="50" t="str">
        <f>IFERROR(VLOOKUP(BY618,'[1]WCVI Esc'!$C$5:$W$555,18,FALSE),"-")</f>
        <v>-</v>
      </c>
      <c r="CA618" s="50" t="str">
        <f t="shared" si="265"/>
        <v>-</v>
      </c>
      <c r="CB618" s="50" t="str">
        <f>IFERROR(VLOOKUP(BY618,'[1]WCVI Esc'!$C$5:$W$555,19,FALSE),"-")</f>
        <v>-</v>
      </c>
      <c r="CC618" s="50" t="str">
        <f t="shared" si="266"/>
        <v>-</v>
      </c>
      <c r="CE618" s="342" t="str">
        <f t="shared" si="250"/>
        <v>WALLACE CREEK_Chum</v>
      </c>
      <c r="CF618" s="341" t="str">
        <f>IFERROR(VLOOKUP(BY618,'RawPL+D'!$O$8:$AB$503,12,FALSE),"-")</f>
        <v>-</v>
      </c>
      <c r="CG618" s="338" t="str">
        <f t="shared" si="267"/>
        <v>-</v>
      </c>
      <c r="CH618" s="341" t="str">
        <f>IFERROR(VLOOKUP(BY618,'RawPL+D'!$O$8:$AB$503,13,FALSE),"-")</f>
        <v>-</v>
      </c>
      <c r="CI618" s="338" t="str">
        <f t="shared" si="268"/>
        <v>-</v>
      </c>
    </row>
    <row r="619" spans="1:87" ht="12.75" hidden="1" customHeight="1" x14ac:dyDescent="0.2">
      <c r="A619" s="28">
        <v>4</v>
      </c>
      <c r="B619" s="28">
        <v>5</v>
      </c>
      <c r="C619" s="11">
        <v>23</v>
      </c>
      <c r="D619" s="148" t="s">
        <v>305</v>
      </c>
      <c r="E619" s="10" t="s">
        <v>113</v>
      </c>
      <c r="F619" s="10" t="s">
        <v>210</v>
      </c>
      <c r="G619" s="10"/>
      <c r="H619" s="10"/>
      <c r="I619" s="10"/>
      <c r="J619" s="10"/>
      <c r="K619" s="575"/>
      <c r="L619" s="152"/>
      <c r="M619" s="164"/>
      <c r="N619" s="62"/>
      <c r="O619" s="62"/>
      <c r="P619" s="177"/>
      <c r="Q619" s="171"/>
      <c r="R619" s="62"/>
      <c r="S619" s="62"/>
      <c r="T619" s="62"/>
      <c r="U619" s="64"/>
      <c r="V619" s="164"/>
      <c r="W619" s="62"/>
      <c r="X619" s="62"/>
      <c r="Y619" s="62"/>
      <c r="Z619" s="64"/>
      <c r="AA619" s="164"/>
      <c r="AB619" s="62"/>
      <c r="AC619" s="62"/>
      <c r="AD619" s="64"/>
      <c r="AE619" s="164"/>
      <c r="AF619" s="62"/>
      <c r="AG619" s="62"/>
      <c r="AH619" s="337"/>
      <c r="AI619" s="337"/>
      <c r="AJ619" s="337"/>
      <c r="AK619" s="337"/>
      <c r="AL619" s="412"/>
      <c r="AM619" s="414"/>
      <c r="AN619" s="45"/>
      <c r="AO619" s="45"/>
      <c r="AP619" s="45"/>
      <c r="AQ619" s="485"/>
      <c r="AR619" s="100"/>
      <c r="AS619" s="485"/>
      <c r="AT619" s="24"/>
      <c r="AU619" s="24"/>
      <c r="AV619" s="24"/>
      <c r="AW619" s="18">
        <v>23</v>
      </c>
      <c r="AX619" s="69" t="s">
        <v>305</v>
      </c>
      <c r="AY619" s="243" t="s">
        <v>113</v>
      </c>
      <c r="AZ619" s="243" t="str">
        <f t="shared" si="252"/>
        <v>Chinook</v>
      </c>
      <c r="BA619" s="243" t="s">
        <v>419</v>
      </c>
      <c r="BB619" s="246"/>
      <c r="BC619" s="43" t="str">
        <f t="shared" si="253"/>
        <v>-</v>
      </c>
      <c r="BD619" s="43">
        <f t="shared" si="273"/>
        <v>0</v>
      </c>
      <c r="BE619" s="193">
        <f t="shared" si="269"/>
        <v>0</v>
      </c>
      <c r="BF619" s="193">
        <f t="shared" si="254"/>
        <v>0</v>
      </c>
      <c r="BG619" s="193">
        <f t="shared" si="255"/>
        <v>0</v>
      </c>
      <c r="BH619" s="307" t="str">
        <f t="shared" si="271"/>
        <v>-</v>
      </c>
      <c r="BI619" s="266"/>
      <c r="BJ619" s="26" t="str">
        <f t="shared" si="256"/>
        <v>WALLACE CREEKChinook</v>
      </c>
      <c r="BK619" s="26">
        <f t="shared" si="257"/>
        <v>0</v>
      </c>
      <c r="BL619" s="33">
        <f t="shared" si="274"/>
        <v>0</v>
      </c>
      <c r="BQ619" s="47" t="str">
        <f t="shared" si="258"/>
        <v>WALLACE CREEKChinook</v>
      </c>
      <c r="BR619" s="49">
        <f t="shared" si="259"/>
        <v>0</v>
      </c>
      <c r="BS619" s="49">
        <f t="shared" si="260"/>
        <v>0</v>
      </c>
      <c r="BT619" s="31">
        <v>1971</v>
      </c>
      <c r="BU619" s="188">
        <f t="shared" si="261"/>
        <v>0</v>
      </c>
      <c r="BV619" s="188" t="str">
        <f t="shared" si="262"/>
        <v xml:space="preserve"> </v>
      </c>
      <c r="BW619" s="188" t="str">
        <f t="shared" si="263"/>
        <v xml:space="preserve"> </v>
      </c>
      <c r="BX619" s="188" t="str">
        <f t="shared" si="264"/>
        <v xml:space="preserve"> </v>
      </c>
      <c r="BY619" s="50" t="str">
        <f t="shared" si="270"/>
        <v>WALLACE CREEK_Chinook</v>
      </c>
      <c r="BZ619" s="50" t="str">
        <f>IFERROR(VLOOKUP(BY619,'[1]WCVI Esc'!$C$5:$W$555,18,FALSE),"-")</f>
        <v>-</v>
      </c>
      <c r="CA619" s="50" t="str">
        <f t="shared" si="265"/>
        <v>-</v>
      </c>
      <c r="CB619" s="50" t="str">
        <f>IFERROR(VLOOKUP(BY619,'[1]WCVI Esc'!$C$5:$W$555,19,FALSE),"-")</f>
        <v>-</v>
      </c>
      <c r="CC619" s="50" t="str">
        <f t="shared" si="266"/>
        <v>-</v>
      </c>
      <c r="CE619" s="342" t="str">
        <f t="shared" si="250"/>
        <v>WALLACE CREEK_Chinook</v>
      </c>
      <c r="CF619" s="341" t="str">
        <f>IFERROR(VLOOKUP(BY619,'RawPL+D'!$O$8:$AB$503,12,FALSE),"-")</f>
        <v>-</v>
      </c>
      <c r="CG619" s="338" t="str">
        <f t="shared" si="267"/>
        <v>-</v>
      </c>
      <c r="CH619" s="341" t="str">
        <f>IFERROR(VLOOKUP(BY619,'RawPL+D'!$O$8:$AB$503,13,FALSE),"-")</f>
        <v>-</v>
      </c>
      <c r="CI619" s="338" t="str">
        <f t="shared" si="268"/>
        <v>-</v>
      </c>
    </row>
    <row r="620" spans="1:87" ht="12.75" hidden="1" customHeight="1" x14ac:dyDescent="0.2">
      <c r="A620" s="28">
        <v>4</v>
      </c>
      <c r="B620" s="28">
        <v>6</v>
      </c>
      <c r="C620" s="11">
        <v>23</v>
      </c>
      <c r="D620" s="148" t="s">
        <v>305</v>
      </c>
      <c r="E620" s="10" t="s">
        <v>113</v>
      </c>
      <c r="F620" s="10" t="s">
        <v>211</v>
      </c>
      <c r="G620" s="10"/>
      <c r="H620" s="10"/>
      <c r="I620" s="10"/>
      <c r="J620" s="10"/>
      <c r="K620" s="575"/>
      <c r="L620" s="152"/>
      <c r="M620" s="164"/>
      <c r="N620" s="62"/>
      <c r="O620" s="62"/>
      <c r="P620" s="177"/>
      <c r="Q620" s="171"/>
      <c r="R620" s="62"/>
      <c r="S620" s="62"/>
      <c r="T620" s="62"/>
      <c r="U620" s="64"/>
      <c r="V620" s="164"/>
      <c r="W620" s="62"/>
      <c r="X620" s="62"/>
      <c r="Y620" s="62"/>
      <c r="Z620" s="64"/>
      <c r="AA620" s="164"/>
      <c r="AB620" s="62"/>
      <c r="AC620" s="62"/>
      <c r="AD620" s="64"/>
      <c r="AE620" s="164"/>
      <c r="AF620" s="62"/>
      <c r="AG620" s="62"/>
      <c r="AH620" s="337"/>
      <c r="AI620" s="337"/>
      <c r="AJ620" s="337"/>
      <c r="AK620" s="337"/>
      <c r="AL620" s="412"/>
      <c r="AM620" s="414"/>
      <c r="AN620" s="45"/>
      <c r="AO620" s="45"/>
      <c r="AP620" s="45"/>
      <c r="AQ620" s="485"/>
      <c r="AR620" s="100"/>
      <c r="AS620" s="485"/>
      <c r="AT620" s="24"/>
      <c r="AU620" s="24"/>
      <c r="AV620" s="24"/>
      <c r="AW620" s="18">
        <v>23</v>
      </c>
      <c r="AX620" s="69" t="s">
        <v>305</v>
      </c>
      <c r="AY620" s="243" t="s">
        <v>113</v>
      </c>
      <c r="AZ620" s="243" t="str">
        <f t="shared" si="252"/>
        <v>Steelhead</v>
      </c>
      <c r="BA620" s="243" t="s">
        <v>419</v>
      </c>
      <c r="BB620" s="246"/>
      <c r="BC620" s="43" t="str">
        <f t="shared" si="253"/>
        <v>-</v>
      </c>
      <c r="BD620" s="43">
        <f t="shared" si="273"/>
        <v>0</v>
      </c>
      <c r="BE620" s="193">
        <f t="shared" si="269"/>
        <v>0</v>
      </c>
      <c r="BF620" s="193">
        <f t="shared" si="254"/>
        <v>0</v>
      </c>
      <c r="BG620" s="193">
        <f t="shared" si="255"/>
        <v>0</v>
      </c>
      <c r="BH620" s="307" t="str">
        <f t="shared" si="271"/>
        <v>-</v>
      </c>
      <c r="BI620" s="266"/>
      <c r="BJ620" s="26" t="str">
        <f t="shared" si="256"/>
        <v>WALLACE CREEKSteelhead</v>
      </c>
      <c r="BK620" s="26">
        <f t="shared" si="257"/>
        <v>0</v>
      </c>
      <c r="BL620" s="33">
        <f t="shared" si="274"/>
        <v>0</v>
      </c>
      <c r="BQ620" s="47" t="str">
        <f t="shared" si="258"/>
        <v>WALLACE CREEKSteelhead</v>
      </c>
      <c r="BR620" s="49">
        <f t="shared" si="259"/>
        <v>0</v>
      </c>
      <c r="BS620" s="49">
        <f t="shared" si="260"/>
        <v>0</v>
      </c>
      <c r="BT620" s="31">
        <v>0</v>
      </c>
      <c r="BU620" s="188">
        <f t="shared" si="261"/>
        <v>0</v>
      </c>
      <c r="BV620" s="188" t="str">
        <f t="shared" si="262"/>
        <v xml:space="preserve"> </v>
      </c>
      <c r="BW620" s="188" t="str">
        <f t="shared" si="263"/>
        <v xml:space="preserve"> </v>
      </c>
      <c r="BX620" s="188" t="str">
        <f t="shared" si="264"/>
        <v xml:space="preserve"> </v>
      </c>
      <c r="BY620" s="50" t="str">
        <f t="shared" si="270"/>
        <v>WALLACE CREEK_Steelhead</v>
      </c>
      <c r="BZ620" s="50" t="str">
        <f>IFERROR(VLOOKUP(BY620,'[1]WCVI Esc'!$C$5:$W$555,18,FALSE),"-")</f>
        <v>-</v>
      </c>
      <c r="CA620" s="50" t="str">
        <f t="shared" si="265"/>
        <v>-</v>
      </c>
      <c r="CB620" s="50" t="str">
        <f>IFERROR(VLOOKUP(BY620,'[1]WCVI Esc'!$C$5:$W$555,19,FALSE),"-")</f>
        <v>-</v>
      </c>
      <c r="CC620" s="50" t="str">
        <f t="shared" si="266"/>
        <v>-</v>
      </c>
      <c r="CE620" s="342" t="str">
        <f t="shared" si="250"/>
        <v>WALLACE CREEK_Steelhead</v>
      </c>
      <c r="CF620" s="341" t="str">
        <f>IFERROR(VLOOKUP(BY620,'RawPL+D'!$O$8:$AB$503,12,FALSE),"-")</f>
        <v>-</v>
      </c>
      <c r="CG620" s="338" t="str">
        <f t="shared" si="267"/>
        <v>-</v>
      </c>
      <c r="CH620" s="341" t="str">
        <f>IFERROR(VLOOKUP(BY620,'RawPL+D'!$O$8:$AB$503,13,FALSE),"-")</f>
        <v>-</v>
      </c>
      <c r="CI620" s="338" t="str">
        <f t="shared" si="268"/>
        <v>-</v>
      </c>
    </row>
    <row r="621" spans="1:87" ht="12.75" hidden="1" customHeight="1" x14ac:dyDescent="0.2">
      <c r="A621" s="29">
        <v>2</v>
      </c>
      <c r="B621" s="29">
        <v>1</v>
      </c>
      <c r="C621" s="13">
        <v>23</v>
      </c>
      <c r="D621" s="13" t="s">
        <v>355</v>
      </c>
      <c r="E621" s="10" t="s">
        <v>32</v>
      </c>
      <c r="F621" s="10" t="s">
        <v>207</v>
      </c>
      <c r="G621" s="10"/>
      <c r="H621" s="10"/>
      <c r="I621" s="10"/>
      <c r="J621" s="10"/>
      <c r="K621" s="575"/>
      <c r="L621" s="152"/>
      <c r="M621" s="641">
        <f>1620+10</f>
        <v>1630</v>
      </c>
      <c r="N621" s="62"/>
      <c r="O621" s="642">
        <f>1780+10</f>
        <v>1790</v>
      </c>
      <c r="P621" s="847">
        <f>408+2</f>
        <v>410</v>
      </c>
      <c r="Q621" s="845">
        <f>363+24</f>
        <v>387</v>
      </c>
      <c r="R621" s="431"/>
      <c r="S621" s="62"/>
      <c r="T621" s="768">
        <f>265+46</f>
        <v>311</v>
      </c>
      <c r="U621" s="776">
        <v>35</v>
      </c>
      <c r="V621" s="592"/>
      <c r="W621" s="391"/>
      <c r="X621" s="63"/>
      <c r="Y621" s="62"/>
      <c r="Z621" s="64"/>
      <c r="AA621" s="164"/>
      <c r="AB621" s="62"/>
      <c r="AC621" s="62"/>
      <c r="AD621" s="64"/>
      <c r="AE621" s="164"/>
      <c r="AF621" s="62"/>
      <c r="AG621" s="62"/>
      <c r="AH621" s="337">
        <v>2209</v>
      </c>
      <c r="AI621" s="337">
        <v>37</v>
      </c>
      <c r="AJ621" s="337">
        <v>0</v>
      </c>
      <c r="AK621" s="337">
        <v>0</v>
      </c>
      <c r="AL621" s="555">
        <v>2209</v>
      </c>
      <c r="AM621" s="552">
        <v>2246</v>
      </c>
      <c r="AN621" s="552" t="s">
        <v>768</v>
      </c>
      <c r="AO621" s="552" t="s">
        <v>773</v>
      </c>
      <c r="AP621" s="44"/>
      <c r="AQ621" s="485">
        <f>AL621/BI621</f>
        <v>2.9453333333333331</v>
      </c>
      <c r="AR621" s="485">
        <f>BL621/BH621</f>
        <v>4.7105263157894735</v>
      </c>
      <c r="AS621" s="485">
        <f>BL621/BI621</f>
        <v>2.3866666666666667</v>
      </c>
      <c r="AT621" s="123"/>
      <c r="AU621" s="123"/>
      <c r="AV621" s="123"/>
      <c r="AW621" s="69">
        <v>23</v>
      </c>
      <c r="AX621" s="69" t="s">
        <v>355</v>
      </c>
      <c r="AY621" s="243" t="s">
        <v>32</v>
      </c>
      <c r="AZ621" s="243" t="str">
        <f t="shared" si="252"/>
        <v>Sockeye</v>
      </c>
      <c r="BA621" s="243" t="s">
        <v>419</v>
      </c>
      <c r="BB621" s="244" t="s">
        <v>626</v>
      </c>
      <c r="BC621" s="43" t="str">
        <f t="shared" si="253"/>
        <v>Oct 29-Nov4</v>
      </c>
      <c r="BD621" s="43">
        <f t="shared" si="273"/>
        <v>6</v>
      </c>
      <c r="BE621" s="193">
        <f t="shared" si="269"/>
        <v>1790</v>
      </c>
      <c r="BF621" s="193">
        <f t="shared" si="254"/>
        <v>2209</v>
      </c>
      <c r="BG621" s="193">
        <f t="shared" si="255"/>
        <v>2209</v>
      </c>
      <c r="BH621" s="307">
        <f t="shared" si="271"/>
        <v>380</v>
      </c>
      <c r="BI621" s="265">
        <f t="shared" ref="BI621:BI656" si="275">CC621</f>
        <v>750</v>
      </c>
      <c r="BJ621" s="26" t="str">
        <f t="shared" si="256"/>
        <v>NAHMINT RIVERSockeye</v>
      </c>
      <c r="BK621" s="26">
        <f t="shared" si="257"/>
        <v>6</v>
      </c>
      <c r="BL621" s="33">
        <f t="shared" si="274"/>
        <v>1790</v>
      </c>
      <c r="BP621" s="34"/>
      <c r="BQ621" s="47" t="str">
        <f t="shared" si="258"/>
        <v>NAHMINT RIVERSockeye</v>
      </c>
      <c r="BR621" s="49">
        <f t="shared" si="259"/>
        <v>0</v>
      </c>
      <c r="BS621" s="49">
        <f t="shared" si="260"/>
        <v>2209</v>
      </c>
      <c r="BT621" s="31">
        <v>2016</v>
      </c>
      <c r="BU621" s="188" t="str">
        <f t="shared" si="261"/>
        <v>Redd</v>
      </c>
      <c r="BV621" s="188" t="str">
        <f t="shared" si="262"/>
        <v>Oct 1-7</v>
      </c>
      <c r="BW621" s="188" t="str">
        <f t="shared" si="263"/>
        <v>Oct 29-Nov4</v>
      </c>
      <c r="BX621" s="188" t="str">
        <f t="shared" si="264"/>
        <v xml:space="preserve"> </v>
      </c>
      <c r="BY621" s="50" t="str">
        <f t="shared" si="270"/>
        <v>NAHMINT RIVER_Sockeye</v>
      </c>
      <c r="BZ621" s="50">
        <f>IFERROR(VLOOKUP(BY621,'[1]WCVI Esc'!$C$5:$W$555,18,FALSE),"-")</f>
        <v>609.75</v>
      </c>
      <c r="CA621" s="50">
        <f t="shared" si="265"/>
        <v>610</v>
      </c>
      <c r="CB621" s="50">
        <f>IFERROR(VLOOKUP(BY621,'[1]WCVI Esc'!$C$5:$W$555,19,FALSE),"-")</f>
        <v>749.25</v>
      </c>
      <c r="CC621" s="50">
        <f t="shared" si="266"/>
        <v>750</v>
      </c>
      <c r="CE621" s="342" t="str">
        <f t="shared" si="250"/>
        <v>NAHMINT RIVER_Sockeye</v>
      </c>
      <c r="CF621" s="341">
        <f>IFERROR(VLOOKUP(CE621,'RawPL+D'!$O$8:$AB$503,12,FALSE),"-")</f>
        <v>357</v>
      </c>
      <c r="CG621" s="338">
        <f t="shared" si="267"/>
        <v>360</v>
      </c>
      <c r="CH621" s="341">
        <f>IFERROR(VLOOKUP(CE621,'RawPL+D'!$O$8:$AB$503,13,FALSE),"-")</f>
        <v>380.25</v>
      </c>
      <c r="CI621" s="338">
        <f t="shared" si="268"/>
        <v>380</v>
      </c>
    </row>
    <row r="622" spans="1:87" ht="12.75" hidden="1" customHeight="1" x14ac:dyDescent="0.2">
      <c r="A622" s="29">
        <v>2</v>
      </c>
      <c r="B622" s="29">
        <v>2</v>
      </c>
      <c r="C622" s="13">
        <v>23</v>
      </c>
      <c r="D622" s="13" t="s">
        <v>355</v>
      </c>
      <c r="E622" s="10" t="s">
        <v>32</v>
      </c>
      <c r="F622" s="10" t="s">
        <v>219</v>
      </c>
      <c r="G622" s="10"/>
      <c r="H622" s="10"/>
      <c r="I622" s="10"/>
      <c r="J622" s="10"/>
      <c r="K622" s="575"/>
      <c r="L622" s="152"/>
      <c r="M622" s="641">
        <v>11</v>
      </c>
      <c r="N622" s="62"/>
      <c r="O622" s="642">
        <v>55</v>
      </c>
      <c r="P622" s="847">
        <v>42</v>
      </c>
      <c r="Q622" s="845">
        <v>51</v>
      </c>
      <c r="R622" s="62"/>
      <c r="S622" s="62"/>
      <c r="T622" s="768">
        <v>1</v>
      </c>
      <c r="U622" s="632">
        <v>88</v>
      </c>
      <c r="V622" s="430"/>
      <c r="W622" s="64"/>
      <c r="X622" s="63"/>
      <c r="Y622" s="62"/>
      <c r="Z622" s="64"/>
      <c r="AA622" s="164"/>
      <c r="AB622" s="62"/>
      <c r="AC622" s="62"/>
      <c r="AD622" s="64"/>
      <c r="AE622" s="164"/>
      <c r="AF622" s="62"/>
      <c r="AG622" s="62"/>
      <c r="AH622" s="337">
        <v>159</v>
      </c>
      <c r="AI622" s="337">
        <v>25</v>
      </c>
      <c r="AJ622" s="337">
        <v>0</v>
      </c>
      <c r="AK622" s="337">
        <v>0</v>
      </c>
      <c r="AL622" s="555">
        <v>159</v>
      </c>
      <c r="AM622" s="552">
        <v>184</v>
      </c>
      <c r="AN622" s="552" t="s">
        <v>768</v>
      </c>
      <c r="AO622" s="552" t="s">
        <v>773</v>
      </c>
      <c r="AP622" s="44"/>
      <c r="AQ622" s="485">
        <f>AL622/BI622</f>
        <v>0.42972972972972973</v>
      </c>
      <c r="AR622" s="485">
        <f>BL622/BH622</f>
        <v>0.58666666666666667</v>
      </c>
      <c r="AS622" s="485">
        <f>BL622/BI622</f>
        <v>0.23783783783783785</v>
      </c>
      <c r="AT622" s="123"/>
      <c r="AU622" s="123"/>
      <c r="AV622" s="123"/>
      <c r="AW622" s="69">
        <v>23</v>
      </c>
      <c r="AX622" s="69" t="s">
        <v>355</v>
      </c>
      <c r="AY622" s="243" t="s">
        <v>32</v>
      </c>
      <c r="AZ622" s="243" t="str">
        <f t="shared" si="252"/>
        <v>Coho</v>
      </c>
      <c r="BA622" s="243" t="s">
        <v>419</v>
      </c>
      <c r="BB622" s="244" t="s">
        <v>626</v>
      </c>
      <c r="BC622" s="43" t="str">
        <f t="shared" si="253"/>
        <v>Oct 29-Nov4</v>
      </c>
      <c r="BD622" s="43">
        <f t="shared" si="273"/>
        <v>6</v>
      </c>
      <c r="BE622" s="193">
        <f t="shared" si="269"/>
        <v>88</v>
      </c>
      <c r="BF622" s="193">
        <f t="shared" si="254"/>
        <v>159</v>
      </c>
      <c r="BG622" s="193">
        <f t="shared" si="255"/>
        <v>159</v>
      </c>
      <c r="BH622" s="307">
        <f t="shared" si="271"/>
        <v>150</v>
      </c>
      <c r="BI622" s="265">
        <f t="shared" si="275"/>
        <v>370</v>
      </c>
      <c r="BJ622" s="26" t="str">
        <f t="shared" si="256"/>
        <v>NAHMINT RIVERCoho</v>
      </c>
      <c r="BK622" s="26">
        <f t="shared" si="257"/>
        <v>6</v>
      </c>
      <c r="BL622" s="33">
        <f t="shared" si="274"/>
        <v>88</v>
      </c>
      <c r="BP622" s="34"/>
      <c r="BQ622" s="47" t="str">
        <f t="shared" si="258"/>
        <v>NAHMINT RIVERCoho</v>
      </c>
      <c r="BR622" s="49">
        <f t="shared" si="259"/>
        <v>0</v>
      </c>
      <c r="BS622" s="49">
        <f t="shared" si="260"/>
        <v>159</v>
      </c>
      <c r="BT622" s="31">
        <v>2016</v>
      </c>
      <c r="BU622" s="188" t="str">
        <f t="shared" si="261"/>
        <v>Redd</v>
      </c>
      <c r="BV622" s="188" t="str">
        <f t="shared" si="262"/>
        <v>Oct 1-7</v>
      </c>
      <c r="BW622" s="188" t="str">
        <f t="shared" si="263"/>
        <v>Oct 29-Nov4</v>
      </c>
      <c r="BX622" s="188" t="str">
        <f t="shared" si="264"/>
        <v xml:space="preserve"> </v>
      </c>
      <c r="BY622" s="50" t="str">
        <f t="shared" si="270"/>
        <v>NAHMINT RIVER_Coho</v>
      </c>
      <c r="BZ622" s="50">
        <f>IFERROR(VLOOKUP(BY622,'[1]WCVI Esc'!$C$5:$W$555,18,FALSE),"-")</f>
        <v>245.5</v>
      </c>
      <c r="CA622" s="50">
        <f t="shared" si="265"/>
        <v>250</v>
      </c>
      <c r="CB622" s="50">
        <f>IFERROR(VLOOKUP(BY622,'[1]WCVI Esc'!$C$5:$W$555,19,FALSE),"-")</f>
        <v>367.08333333333331</v>
      </c>
      <c r="CC622" s="50">
        <f t="shared" si="266"/>
        <v>370</v>
      </c>
      <c r="CE622" s="342" t="str">
        <f t="shared" si="250"/>
        <v>NAHMINT RIVER_Coho</v>
      </c>
      <c r="CF622" s="341">
        <f>IFERROR(VLOOKUP(CE622,'RawPL+D'!$O$8:$AB$503,12,FALSE),"-")</f>
        <v>264</v>
      </c>
      <c r="CG622" s="338">
        <f t="shared" si="267"/>
        <v>260</v>
      </c>
      <c r="CH622" s="341">
        <f>IFERROR(VLOOKUP(CE622,'RawPL+D'!$O$8:$AB$503,13,FALSE),"-")</f>
        <v>147.25</v>
      </c>
      <c r="CI622" s="338">
        <f t="shared" si="268"/>
        <v>150</v>
      </c>
    </row>
    <row r="623" spans="1:87" ht="12.75" hidden="1" customHeight="1" x14ac:dyDescent="0.2">
      <c r="A623" s="29">
        <v>2</v>
      </c>
      <c r="B623" s="29">
        <v>3</v>
      </c>
      <c r="C623" s="13">
        <v>23</v>
      </c>
      <c r="D623" s="13" t="s">
        <v>355</v>
      </c>
      <c r="E623" s="10" t="s">
        <v>32</v>
      </c>
      <c r="F623" s="10" t="s">
        <v>208</v>
      </c>
      <c r="G623" s="10"/>
      <c r="H623" s="10"/>
      <c r="I623" s="10"/>
      <c r="J623" s="10"/>
      <c r="K623" s="575"/>
      <c r="L623" s="152"/>
      <c r="M623" s="641">
        <v>5</v>
      </c>
      <c r="N623" s="62"/>
      <c r="O623" s="642">
        <v>6</v>
      </c>
      <c r="P623" s="847">
        <v>0</v>
      </c>
      <c r="Q623" s="845">
        <v>0</v>
      </c>
      <c r="R623" s="62"/>
      <c r="S623" s="62"/>
      <c r="T623" s="767">
        <v>1</v>
      </c>
      <c r="U623" s="632">
        <v>0</v>
      </c>
      <c r="V623" s="599"/>
      <c r="W623" s="64"/>
      <c r="X623" s="63"/>
      <c r="Y623" s="62"/>
      <c r="Z623" s="64"/>
      <c r="AA623" s="164"/>
      <c r="AB623" s="62"/>
      <c r="AC623" s="62"/>
      <c r="AD623" s="64"/>
      <c r="AE623" s="164"/>
      <c r="AF623" s="62"/>
      <c r="AG623" s="62"/>
      <c r="AH623" s="337">
        <v>7</v>
      </c>
      <c r="AI623" s="337">
        <v>0</v>
      </c>
      <c r="AJ623" s="337">
        <v>0</v>
      </c>
      <c r="AK623" s="337">
        <v>0</v>
      </c>
      <c r="AL623" s="554">
        <v>7</v>
      </c>
      <c r="AM623" s="572">
        <v>7</v>
      </c>
      <c r="AN623" s="572" t="s">
        <v>765</v>
      </c>
      <c r="AO623" s="552" t="s">
        <v>773</v>
      </c>
      <c r="AP623" s="44"/>
      <c r="AQ623" s="485">
        <f>AL623/BI623</f>
        <v>0.7</v>
      </c>
      <c r="AR623" s="100"/>
      <c r="AS623" s="485">
        <f>BL623/BI623</f>
        <v>0.6</v>
      </c>
      <c r="AT623" s="123"/>
      <c r="AU623" s="123"/>
      <c r="AV623" s="123"/>
      <c r="AW623" s="69">
        <v>23</v>
      </c>
      <c r="AX623" s="69" t="s">
        <v>355</v>
      </c>
      <c r="AY623" s="243" t="s">
        <v>32</v>
      </c>
      <c r="AZ623" s="243" t="str">
        <f t="shared" si="252"/>
        <v>Pink</v>
      </c>
      <c r="BA623" s="243" t="s">
        <v>419</v>
      </c>
      <c r="BB623" s="244" t="s">
        <v>626</v>
      </c>
      <c r="BC623" s="43" t="str">
        <f t="shared" si="253"/>
        <v>Oct 29-Nov4</v>
      </c>
      <c r="BD623" s="43">
        <f t="shared" si="273"/>
        <v>6</v>
      </c>
      <c r="BE623" s="193">
        <f t="shared" si="269"/>
        <v>6</v>
      </c>
      <c r="BF623" s="193">
        <f t="shared" si="254"/>
        <v>7</v>
      </c>
      <c r="BG623" s="193">
        <f t="shared" si="255"/>
        <v>7</v>
      </c>
      <c r="BH623" s="307">
        <f t="shared" si="271"/>
        <v>0</v>
      </c>
      <c r="BI623" s="265">
        <f t="shared" si="275"/>
        <v>10</v>
      </c>
      <c r="BJ623" s="26" t="str">
        <f t="shared" si="256"/>
        <v>NAHMINT RIVERPink</v>
      </c>
      <c r="BK623" s="26">
        <f t="shared" si="257"/>
        <v>6</v>
      </c>
      <c r="BL623" s="33">
        <f t="shared" si="274"/>
        <v>6</v>
      </c>
      <c r="BP623" s="34"/>
      <c r="BQ623" s="47" t="str">
        <f t="shared" si="258"/>
        <v>NAHMINT RIVERPink</v>
      </c>
      <c r="BR623" s="49">
        <f t="shared" si="259"/>
        <v>0</v>
      </c>
      <c r="BS623" s="49">
        <f t="shared" si="260"/>
        <v>7</v>
      </c>
      <c r="BT623" s="31">
        <v>2016</v>
      </c>
      <c r="BU623" s="188" t="str">
        <f t="shared" si="261"/>
        <v>Redd</v>
      </c>
      <c r="BV623" s="188" t="str">
        <f t="shared" si="262"/>
        <v>Oct 1-7</v>
      </c>
      <c r="BW623" s="188" t="str">
        <f t="shared" si="263"/>
        <v>Oct 29-Nov4</v>
      </c>
      <c r="BX623" s="188" t="str">
        <f t="shared" si="264"/>
        <v xml:space="preserve"> </v>
      </c>
      <c r="BY623" s="50" t="str">
        <f t="shared" si="270"/>
        <v>NAHMINT RIVER_Pink</v>
      </c>
      <c r="BZ623" s="50" t="str">
        <f>IFERROR(VLOOKUP(BY623,'[1]WCVI Esc'!$C$5:$W$555,18,FALSE),"-")</f>
        <v>-</v>
      </c>
      <c r="CA623" s="50" t="str">
        <f t="shared" si="265"/>
        <v>-</v>
      </c>
      <c r="CB623" s="50">
        <f>IFERROR(VLOOKUP(BY623,'[1]WCVI Esc'!$C$5:$W$555,19,FALSE),"-")</f>
        <v>7</v>
      </c>
      <c r="CC623" s="50">
        <f t="shared" si="266"/>
        <v>10</v>
      </c>
      <c r="CE623" s="342" t="str">
        <f t="shared" si="250"/>
        <v>NAHMINT RIVER_Pink</v>
      </c>
      <c r="CF623" s="341">
        <f>IFERROR(VLOOKUP(CE623,'RawPL+D'!$O$8:$AB$503,12,FALSE),"-")</f>
        <v>0</v>
      </c>
      <c r="CG623" s="338">
        <f t="shared" si="267"/>
        <v>0</v>
      </c>
      <c r="CH623" s="341">
        <f>IFERROR(VLOOKUP(CE623,'RawPL+D'!$O$8:$AB$503,13,FALSE),"-")</f>
        <v>0.5</v>
      </c>
      <c r="CI623" s="338">
        <f t="shared" si="268"/>
        <v>0</v>
      </c>
    </row>
    <row r="624" spans="1:87" ht="12.75" hidden="1" customHeight="1" x14ac:dyDescent="0.2">
      <c r="A624" s="29">
        <v>2</v>
      </c>
      <c r="B624" s="29">
        <v>4</v>
      </c>
      <c r="C624" s="13">
        <v>23</v>
      </c>
      <c r="D624" s="13" t="s">
        <v>355</v>
      </c>
      <c r="E624" s="10" t="s">
        <v>32</v>
      </c>
      <c r="F624" s="10" t="s">
        <v>209</v>
      </c>
      <c r="G624" s="10"/>
      <c r="H624" s="10"/>
      <c r="I624" s="10"/>
      <c r="J624" s="10"/>
      <c r="K624" s="575"/>
      <c r="L624" s="152"/>
      <c r="M624" s="641">
        <v>6</v>
      </c>
      <c r="N624" s="62"/>
      <c r="O624" s="642">
        <v>0</v>
      </c>
      <c r="P624" s="847">
        <v>16</v>
      </c>
      <c r="Q624" s="845">
        <v>406</v>
      </c>
      <c r="R624" s="431"/>
      <c r="S624" s="431"/>
      <c r="T624" s="768">
        <f>9386+1209</f>
        <v>10595</v>
      </c>
      <c r="U624" s="776">
        <f>2640+7486</f>
        <v>10126</v>
      </c>
      <c r="V624" s="592"/>
      <c r="W624" s="391"/>
      <c r="X624" s="63"/>
      <c r="Y624" s="62"/>
      <c r="Z624" s="64"/>
      <c r="AA624" s="164"/>
      <c r="AB624" s="62"/>
      <c r="AC624" s="62"/>
      <c r="AD624" s="64"/>
      <c r="AE624" s="164"/>
      <c r="AF624" s="62"/>
      <c r="AG624" s="62"/>
      <c r="AH624" s="337">
        <v>12345</v>
      </c>
      <c r="AI624" s="337">
        <v>0</v>
      </c>
      <c r="AJ624" s="337">
        <v>0</v>
      </c>
      <c r="AK624" s="337">
        <v>0</v>
      </c>
      <c r="AL624" s="554">
        <v>12345</v>
      </c>
      <c r="AM624" s="572">
        <v>12345</v>
      </c>
      <c r="AN624" s="572" t="s">
        <v>768</v>
      </c>
      <c r="AO624" s="552" t="s">
        <v>773</v>
      </c>
      <c r="AP624" s="44"/>
      <c r="AQ624" s="485">
        <f>AL624/BI624</f>
        <v>1.4404900816802801</v>
      </c>
      <c r="AR624" s="485">
        <f>BL624/BH624</f>
        <v>4.3422131147540988</v>
      </c>
      <c r="AS624" s="485">
        <f>BL624/BI624</f>
        <v>1.236289381563594</v>
      </c>
      <c r="AT624" s="123"/>
      <c r="AU624" s="123"/>
      <c r="AV624" s="123"/>
      <c r="AW624" s="69">
        <v>23</v>
      </c>
      <c r="AX624" s="69" t="s">
        <v>355</v>
      </c>
      <c r="AY624" s="243" t="s">
        <v>32</v>
      </c>
      <c r="AZ624" s="243" t="str">
        <f t="shared" si="252"/>
        <v>Chum</v>
      </c>
      <c r="BA624" s="243" t="s">
        <v>419</v>
      </c>
      <c r="BB624" s="244" t="s">
        <v>626</v>
      </c>
      <c r="BC624" s="43" t="str">
        <f t="shared" si="253"/>
        <v>Oct 29-Nov4</v>
      </c>
      <c r="BD624" s="43">
        <f t="shared" si="273"/>
        <v>6</v>
      </c>
      <c r="BE624" s="193">
        <f t="shared" si="269"/>
        <v>10595</v>
      </c>
      <c r="BF624" s="193">
        <f t="shared" si="254"/>
        <v>12345</v>
      </c>
      <c r="BG624" s="193">
        <f t="shared" si="255"/>
        <v>12345</v>
      </c>
      <c r="BH624" s="307">
        <f t="shared" si="271"/>
        <v>2440</v>
      </c>
      <c r="BI624" s="265">
        <f t="shared" si="275"/>
        <v>8570</v>
      </c>
      <c r="BJ624" s="26" t="str">
        <f t="shared" si="256"/>
        <v>NAHMINT RIVERChum</v>
      </c>
      <c r="BK624" s="26">
        <f t="shared" si="257"/>
        <v>6</v>
      </c>
      <c r="BL624" s="33">
        <f t="shared" si="274"/>
        <v>10595</v>
      </c>
      <c r="BP624" s="34"/>
      <c r="BQ624" s="47" t="str">
        <f t="shared" si="258"/>
        <v>NAHMINT RIVERChum</v>
      </c>
      <c r="BR624" s="49">
        <f t="shared" si="259"/>
        <v>0</v>
      </c>
      <c r="BS624" s="49">
        <f t="shared" si="260"/>
        <v>12345</v>
      </c>
      <c r="BT624" s="31">
        <v>2016</v>
      </c>
      <c r="BU624" s="188" t="str">
        <f t="shared" si="261"/>
        <v>Redd</v>
      </c>
      <c r="BV624" s="188" t="str">
        <f t="shared" si="262"/>
        <v>Oct 1-7</v>
      </c>
      <c r="BW624" s="188" t="str">
        <f t="shared" si="263"/>
        <v>Oct 29-Nov4</v>
      </c>
      <c r="BX624" s="188" t="str">
        <f t="shared" si="264"/>
        <v xml:space="preserve"> </v>
      </c>
      <c r="BY624" s="50" t="str">
        <f t="shared" si="270"/>
        <v>NAHMINT RIVER_Chum</v>
      </c>
      <c r="BZ624" s="50">
        <f>IFERROR(VLOOKUP(BY624,'[1]WCVI Esc'!$C$5:$W$555,18,FALSE),"-")</f>
        <v>3312.25</v>
      </c>
      <c r="CA624" s="50">
        <f t="shared" si="265"/>
        <v>3310</v>
      </c>
      <c r="CB624" s="50">
        <f>IFERROR(VLOOKUP(BY624,'[1]WCVI Esc'!$C$5:$W$555,19,FALSE),"-")</f>
        <v>8573.5833333333339</v>
      </c>
      <c r="CC624" s="50">
        <f t="shared" si="266"/>
        <v>8570</v>
      </c>
      <c r="CE624" s="342" t="str">
        <f t="shared" si="250"/>
        <v>NAHMINT RIVER_Chum</v>
      </c>
      <c r="CF624" s="341">
        <f>IFERROR(VLOOKUP(CE624,'RawPL+D'!$O$8:$AB$503,12,FALSE),"-")</f>
        <v>1915</v>
      </c>
      <c r="CG624" s="338">
        <f t="shared" si="267"/>
        <v>1920</v>
      </c>
      <c r="CH624" s="341">
        <f>IFERROR(VLOOKUP(CE624,'RawPL+D'!$O$8:$AB$503,13,FALSE),"-")</f>
        <v>2441.5</v>
      </c>
      <c r="CI624" s="338">
        <f t="shared" si="268"/>
        <v>2440</v>
      </c>
    </row>
    <row r="625" spans="1:87" ht="12.75" hidden="1" customHeight="1" x14ac:dyDescent="0.2">
      <c r="A625" s="29">
        <v>2</v>
      </c>
      <c r="B625" s="29">
        <v>5</v>
      </c>
      <c r="C625" s="13">
        <v>23</v>
      </c>
      <c r="D625" s="13" t="s">
        <v>355</v>
      </c>
      <c r="E625" s="10" t="s">
        <v>32</v>
      </c>
      <c r="F625" s="10" t="s">
        <v>210</v>
      </c>
      <c r="G625" s="10"/>
      <c r="H625" s="10"/>
      <c r="I625" s="10"/>
      <c r="J625" s="10"/>
      <c r="K625" s="575"/>
      <c r="L625" s="152"/>
      <c r="M625" s="641">
        <v>38</v>
      </c>
      <c r="N625" s="62"/>
      <c r="O625" s="642">
        <v>15</v>
      </c>
      <c r="P625" s="847">
        <v>138</v>
      </c>
      <c r="Q625" s="846">
        <f>647+1</f>
        <v>648</v>
      </c>
      <c r="R625" s="431"/>
      <c r="S625" s="432"/>
      <c r="T625" s="768">
        <v>49</v>
      </c>
      <c r="U625" s="777">
        <v>14</v>
      </c>
      <c r="V625" s="430"/>
      <c r="W625" s="391"/>
      <c r="X625" s="63"/>
      <c r="Y625" s="62"/>
      <c r="Z625" s="64"/>
      <c r="AA625" s="164"/>
      <c r="AB625" s="62"/>
      <c r="AC625" s="62"/>
      <c r="AD625" s="64"/>
      <c r="AE625" s="164"/>
      <c r="AF625" s="62"/>
      <c r="AG625" s="62"/>
      <c r="AH625" s="337">
        <v>556</v>
      </c>
      <c r="AI625" s="337">
        <v>94</v>
      </c>
      <c r="AJ625" s="337">
        <v>70</v>
      </c>
      <c r="AK625" s="337">
        <v>0</v>
      </c>
      <c r="AL625" s="842">
        <v>626</v>
      </c>
      <c r="AM625" s="552">
        <v>720</v>
      </c>
      <c r="AN625" s="572" t="s">
        <v>768</v>
      </c>
      <c r="AO625" s="552" t="s">
        <v>773</v>
      </c>
      <c r="AP625" s="44"/>
      <c r="AQ625" s="485">
        <f>AL625/BI625</f>
        <v>1.4558139534883721</v>
      </c>
      <c r="AR625" s="485">
        <f>BL625/BH625</f>
        <v>1.4727272727272727</v>
      </c>
      <c r="AS625" s="485">
        <f>BL625/BI625</f>
        <v>1.5069767441860464</v>
      </c>
      <c r="AT625" s="123">
        <v>921</v>
      </c>
      <c r="AU625" s="123">
        <v>271</v>
      </c>
      <c r="AV625" s="123">
        <f>AL625</f>
        <v>626</v>
      </c>
      <c r="AW625" s="69">
        <v>23</v>
      </c>
      <c r="AX625" s="69" t="s">
        <v>355</v>
      </c>
      <c r="AY625" s="243" t="s">
        <v>32</v>
      </c>
      <c r="AZ625" s="243" t="str">
        <f t="shared" si="252"/>
        <v>Chinook</v>
      </c>
      <c r="BA625" s="243" t="s">
        <v>419</v>
      </c>
      <c r="BB625" s="244" t="s">
        <v>626</v>
      </c>
      <c r="BC625" s="43" t="str">
        <f t="shared" si="253"/>
        <v>Oct 29-Nov4</v>
      </c>
      <c r="BD625" s="43">
        <f t="shared" si="273"/>
        <v>6</v>
      </c>
      <c r="BE625" s="193">
        <f t="shared" si="269"/>
        <v>648</v>
      </c>
      <c r="BF625" s="193">
        <f t="shared" si="254"/>
        <v>626</v>
      </c>
      <c r="BG625" s="193">
        <f t="shared" si="255"/>
        <v>556</v>
      </c>
      <c r="BH625" s="307">
        <f t="shared" si="271"/>
        <v>440</v>
      </c>
      <c r="BI625" s="265">
        <f t="shared" si="275"/>
        <v>430</v>
      </c>
      <c r="BJ625" s="26" t="str">
        <f t="shared" si="256"/>
        <v>NAHMINT RIVERChinook</v>
      </c>
      <c r="BK625" s="26">
        <f t="shared" si="257"/>
        <v>6</v>
      </c>
      <c r="BL625" s="33">
        <f t="shared" si="274"/>
        <v>648</v>
      </c>
      <c r="BM625" s="34">
        <f>BL625*1.14</f>
        <v>738.71999999999991</v>
      </c>
      <c r="BN625" s="34">
        <f>BL625*2.88</f>
        <v>1866.24</v>
      </c>
      <c r="BO625" s="37"/>
      <c r="BP625" s="34">
        <f>SUM(BM625:BN625)/2</f>
        <v>1302.48</v>
      </c>
      <c r="BQ625" s="47" t="str">
        <f t="shared" si="258"/>
        <v>NAHMINT RIVERChinook</v>
      </c>
      <c r="BR625" s="49">
        <f t="shared" si="259"/>
        <v>0</v>
      </c>
      <c r="BS625" s="49">
        <f t="shared" si="260"/>
        <v>626</v>
      </c>
      <c r="BT625" s="31">
        <v>2016</v>
      </c>
      <c r="BU625" s="188" t="str">
        <f t="shared" si="261"/>
        <v>Redd</v>
      </c>
      <c r="BV625" s="188" t="str">
        <f t="shared" si="262"/>
        <v>Oct 1-7</v>
      </c>
      <c r="BW625" s="188" t="str">
        <f t="shared" si="263"/>
        <v>Oct 29-Nov4</v>
      </c>
      <c r="BX625" s="188" t="str">
        <f t="shared" si="264"/>
        <v xml:space="preserve"> </v>
      </c>
      <c r="BY625" s="50" t="str">
        <f t="shared" si="270"/>
        <v>NAHMINT RIVER_Chinook</v>
      </c>
      <c r="BZ625" s="50">
        <f>IFERROR(VLOOKUP(BY625,'[1]WCVI Esc'!$C$5:$W$555,18,FALSE),"-")</f>
        <v>637.75</v>
      </c>
      <c r="CA625" s="50">
        <f t="shared" si="265"/>
        <v>640</v>
      </c>
      <c r="CB625" s="50">
        <f>IFERROR(VLOOKUP(BY625,'[1]WCVI Esc'!$C$5:$W$555,19,FALSE),"-")</f>
        <v>430</v>
      </c>
      <c r="CC625" s="50">
        <f t="shared" si="266"/>
        <v>430</v>
      </c>
      <c r="CE625" s="342" t="str">
        <f t="shared" si="250"/>
        <v>NAHMINT RIVER_Chinook</v>
      </c>
      <c r="CF625" s="341">
        <f>IFERROR(VLOOKUP(CE625,'RawPL+D'!$O$8:$AB$503,12,FALSE),"-")</f>
        <v>476</v>
      </c>
      <c r="CG625" s="338">
        <f t="shared" si="267"/>
        <v>480</v>
      </c>
      <c r="CH625" s="341">
        <f>IFERROR(VLOOKUP(CE625,'RawPL+D'!$O$8:$AB$503,13,FALSE),"-")</f>
        <v>438.75</v>
      </c>
      <c r="CI625" s="338">
        <f t="shared" si="268"/>
        <v>440</v>
      </c>
    </row>
    <row r="626" spans="1:87" ht="12.75" hidden="1" customHeight="1" x14ac:dyDescent="0.2">
      <c r="A626" s="29">
        <v>2</v>
      </c>
      <c r="B626" s="29">
        <v>6</v>
      </c>
      <c r="C626" s="13">
        <v>23</v>
      </c>
      <c r="D626" s="13" t="s">
        <v>355</v>
      </c>
      <c r="E626" s="10" t="s">
        <v>32</v>
      </c>
      <c r="F626" s="10" t="s">
        <v>211</v>
      </c>
      <c r="G626" s="10"/>
      <c r="H626" s="10"/>
      <c r="I626" s="10"/>
      <c r="J626" s="10"/>
      <c r="K626" s="575"/>
      <c r="L626" s="152"/>
      <c r="M626" s="641">
        <v>0</v>
      </c>
      <c r="N626" s="62"/>
      <c r="O626" s="642">
        <v>1</v>
      </c>
      <c r="P626" s="847">
        <v>0</v>
      </c>
      <c r="Q626" s="845">
        <v>0</v>
      </c>
      <c r="R626" s="62"/>
      <c r="S626" s="62"/>
      <c r="T626" s="767">
        <v>0</v>
      </c>
      <c r="U626" s="632">
        <v>1</v>
      </c>
      <c r="V626" s="599"/>
      <c r="W626" s="64"/>
      <c r="X626" s="63"/>
      <c r="Y626" s="62"/>
      <c r="Z626" s="64"/>
      <c r="AA626" s="164"/>
      <c r="AB626" s="62"/>
      <c r="AC626" s="62"/>
      <c r="AD626" s="64"/>
      <c r="AE626" s="164"/>
      <c r="AF626" s="62"/>
      <c r="AG626" s="62"/>
      <c r="AH626" s="337"/>
      <c r="AI626" s="337"/>
      <c r="AJ626" s="337"/>
      <c r="AK626" s="337"/>
      <c r="AL626" s="554"/>
      <c r="AM626" s="572"/>
      <c r="AN626" s="53"/>
      <c r="AO626" s="53"/>
      <c r="AP626" s="44"/>
      <c r="AQ626" s="485"/>
      <c r="AR626" s="485"/>
      <c r="AS626" s="485"/>
      <c r="AT626" s="123"/>
      <c r="AU626" s="123"/>
      <c r="AV626" s="123"/>
      <c r="AW626" s="69">
        <v>23</v>
      </c>
      <c r="AX626" s="69" t="s">
        <v>355</v>
      </c>
      <c r="AY626" s="243" t="s">
        <v>32</v>
      </c>
      <c r="AZ626" s="243" t="str">
        <f t="shared" si="252"/>
        <v>Steelhead</v>
      </c>
      <c r="BA626" s="243" t="s">
        <v>419</v>
      </c>
      <c r="BB626" s="244" t="s">
        <v>626</v>
      </c>
      <c r="BC626" s="43" t="str">
        <f t="shared" si="253"/>
        <v>Oct 29-Nov4</v>
      </c>
      <c r="BD626" s="43">
        <f t="shared" si="273"/>
        <v>6</v>
      </c>
      <c r="BE626" s="193">
        <f t="shared" si="269"/>
        <v>1</v>
      </c>
      <c r="BF626" s="193">
        <f t="shared" si="254"/>
        <v>0</v>
      </c>
      <c r="BG626" s="193">
        <f t="shared" si="255"/>
        <v>0</v>
      </c>
      <c r="BH626" s="307" t="str">
        <f t="shared" si="271"/>
        <v>-</v>
      </c>
      <c r="BI626" s="265" t="str">
        <f t="shared" si="275"/>
        <v>-</v>
      </c>
      <c r="BJ626" s="26" t="str">
        <f t="shared" si="256"/>
        <v>NAHMINT RIVERSteelhead</v>
      </c>
      <c r="BK626" s="26">
        <f t="shared" si="257"/>
        <v>6</v>
      </c>
      <c r="BL626" s="33">
        <f t="shared" si="274"/>
        <v>1</v>
      </c>
      <c r="BP626" s="34"/>
      <c r="BQ626" s="47" t="str">
        <f t="shared" si="258"/>
        <v>NAHMINT RIVERSteelhead</v>
      </c>
      <c r="BR626" s="49">
        <f t="shared" si="259"/>
        <v>0</v>
      </c>
      <c r="BS626" s="49">
        <f t="shared" si="260"/>
        <v>0</v>
      </c>
      <c r="BT626" s="31">
        <v>0</v>
      </c>
      <c r="BU626" s="188" t="str">
        <f t="shared" si="261"/>
        <v>Redd</v>
      </c>
      <c r="BV626" s="188" t="str">
        <f t="shared" si="262"/>
        <v>Oct 1-7</v>
      </c>
      <c r="BW626" s="188" t="str">
        <f t="shared" si="263"/>
        <v>Oct 29-Nov4</v>
      </c>
      <c r="BX626" s="188" t="str">
        <f t="shared" si="264"/>
        <v xml:space="preserve"> </v>
      </c>
      <c r="BY626" s="50" t="str">
        <f t="shared" si="270"/>
        <v>NAHMINT RIVER_Steelhead</v>
      </c>
      <c r="BZ626" s="50" t="str">
        <f>IFERROR(VLOOKUP(BY626,'[1]WCVI Esc'!$C$5:$W$555,18,FALSE),"-")</f>
        <v>-</v>
      </c>
      <c r="CA626" s="50" t="str">
        <f t="shared" si="265"/>
        <v>-</v>
      </c>
      <c r="CB626" s="50" t="str">
        <f>IFERROR(VLOOKUP(BY626,'[1]WCVI Esc'!$C$5:$W$555,19,FALSE),"-")</f>
        <v>-</v>
      </c>
      <c r="CC626" s="50" t="str">
        <f t="shared" si="266"/>
        <v>-</v>
      </c>
      <c r="CE626" s="342" t="str">
        <f t="shared" si="250"/>
        <v>NAHMINT RIVER_Steelhead</v>
      </c>
      <c r="CF626" s="341" t="str">
        <f>IFERROR(VLOOKUP(BY626,'RawPL+D'!$O$8:$AB$503,12,FALSE),"-")</f>
        <v>-</v>
      </c>
      <c r="CG626" s="338" t="str">
        <f t="shared" si="267"/>
        <v>-</v>
      </c>
      <c r="CH626" s="341" t="str">
        <f>IFERROR(VLOOKUP(BY626,'RawPL+D'!$O$8:$AB$503,13,FALSE),"-")</f>
        <v>-</v>
      </c>
      <c r="CI626" s="338" t="str">
        <f t="shared" si="268"/>
        <v>-</v>
      </c>
    </row>
    <row r="627" spans="1:87" ht="12.75" hidden="1" customHeight="1" x14ac:dyDescent="0.2">
      <c r="A627" s="28">
        <v>4</v>
      </c>
      <c r="B627" s="28">
        <v>1</v>
      </c>
      <c r="C627" s="11">
        <v>23</v>
      </c>
      <c r="D627" s="148" t="s">
        <v>357</v>
      </c>
      <c r="E627" s="10" t="s">
        <v>177</v>
      </c>
      <c r="F627" s="10" t="s">
        <v>207</v>
      </c>
      <c r="G627" s="10"/>
      <c r="H627" s="10"/>
      <c r="I627" s="10"/>
      <c r="J627" s="10"/>
      <c r="K627" s="575"/>
      <c r="L627" s="152"/>
      <c r="M627" s="164"/>
      <c r="N627" s="62"/>
      <c r="O627" s="62"/>
      <c r="P627" s="177"/>
      <c r="Q627" s="171"/>
      <c r="R627" s="62"/>
      <c r="S627" s="62"/>
      <c r="T627" s="62"/>
      <c r="U627" s="64"/>
      <c r="V627" s="164"/>
      <c r="W627" s="62"/>
      <c r="X627" s="62"/>
      <c r="Y627" s="62"/>
      <c r="Z627" s="64"/>
      <c r="AA627" s="164"/>
      <c r="AB627" s="62"/>
      <c r="AC627" s="62"/>
      <c r="AD627" s="64"/>
      <c r="AE627" s="164"/>
      <c r="AF627" s="62"/>
      <c r="AG627" s="62"/>
      <c r="AH627" s="337"/>
      <c r="AI627" s="337"/>
      <c r="AJ627" s="337"/>
      <c r="AK627" s="337"/>
      <c r="AL627" s="412"/>
      <c r="AM627" s="414"/>
      <c r="AN627" s="45"/>
      <c r="AO627" s="45"/>
      <c r="AP627" s="45"/>
      <c r="AQ627" s="485"/>
      <c r="AR627" s="485"/>
      <c r="AS627" s="485"/>
      <c r="AT627" s="24"/>
      <c r="AU627" s="24"/>
      <c r="AV627" s="24"/>
      <c r="AW627" s="18">
        <v>23</v>
      </c>
      <c r="AX627" s="69" t="s">
        <v>357</v>
      </c>
      <c r="AY627" s="243" t="s">
        <v>177</v>
      </c>
      <c r="AZ627" s="243" t="str">
        <f t="shared" si="252"/>
        <v>Sockeye</v>
      </c>
      <c r="BA627" s="243" t="s">
        <v>419</v>
      </c>
      <c r="BB627" s="246"/>
      <c r="BC627" s="43" t="str">
        <f t="shared" si="253"/>
        <v>-</v>
      </c>
      <c r="BD627" s="43">
        <f t="shared" si="273"/>
        <v>0</v>
      </c>
      <c r="BE627" s="193">
        <f t="shared" si="269"/>
        <v>0</v>
      </c>
      <c r="BF627" s="193">
        <f t="shared" si="254"/>
        <v>0</v>
      </c>
      <c r="BG627" s="193">
        <f t="shared" si="255"/>
        <v>0</v>
      </c>
      <c r="BH627" s="307" t="str">
        <f t="shared" si="271"/>
        <v>-</v>
      </c>
      <c r="BI627" s="265" t="str">
        <f t="shared" si="275"/>
        <v>-</v>
      </c>
      <c r="BJ627" s="26" t="str">
        <f t="shared" si="256"/>
        <v>ITATSOO CREEKSockeye</v>
      </c>
      <c r="BK627" s="26">
        <f t="shared" si="257"/>
        <v>0</v>
      </c>
      <c r="BL627" s="33">
        <f t="shared" si="274"/>
        <v>0</v>
      </c>
      <c r="BQ627" s="47" t="str">
        <f t="shared" si="258"/>
        <v>ITATSOO CREEKSockeye</v>
      </c>
      <c r="BR627" s="49">
        <f t="shared" si="259"/>
        <v>0</v>
      </c>
      <c r="BS627" s="49">
        <f t="shared" si="260"/>
        <v>0</v>
      </c>
      <c r="BT627" s="31">
        <v>1997</v>
      </c>
      <c r="BU627" s="188">
        <f t="shared" si="261"/>
        <v>0</v>
      </c>
      <c r="BV627" s="188" t="str">
        <f t="shared" si="262"/>
        <v xml:space="preserve"> </v>
      </c>
      <c r="BW627" s="188" t="str">
        <f t="shared" si="263"/>
        <v xml:space="preserve"> </v>
      </c>
      <c r="BX627" s="188" t="str">
        <f t="shared" si="264"/>
        <v xml:space="preserve"> </v>
      </c>
      <c r="BY627" s="50" t="str">
        <f t="shared" si="270"/>
        <v>ITATSOO CREEK_Sockeye</v>
      </c>
      <c r="BZ627" s="50" t="str">
        <f>IFERROR(VLOOKUP(BY627,'[1]WCVI Esc'!$C$5:$W$555,18,FALSE),"-")</f>
        <v>-</v>
      </c>
      <c r="CA627" s="50" t="str">
        <f t="shared" si="265"/>
        <v>-</v>
      </c>
      <c r="CB627" s="50" t="str">
        <f>IFERROR(VLOOKUP(BY627,'[1]WCVI Esc'!$C$5:$W$555,19,FALSE),"-")</f>
        <v>-</v>
      </c>
      <c r="CC627" s="50" t="str">
        <f t="shared" si="266"/>
        <v>-</v>
      </c>
      <c r="CE627" s="342" t="str">
        <f t="shared" si="250"/>
        <v>ITATSOO CREEK_Sockeye</v>
      </c>
      <c r="CF627" s="341" t="str">
        <f>IFERROR(VLOOKUP(BY627,'RawPL+D'!$O$8:$AB$503,12,FALSE),"-")</f>
        <v>-</v>
      </c>
      <c r="CG627" s="338" t="str">
        <f t="shared" si="267"/>
        <v>-</v>
      </c>
      <c r="CH627" s="341" t="str">
        <f>IFERROR(VLOOKUP(BY627,'RawPL+D'!$O$8:$AB$503,13,FALSE),"-")</f>
        <v>-</v>
      </c>
      <c r="CI627" s="338" t="str">
        <f t="shared" si="268"/>
        <v>-</v>
      </c>
    </row>
    <row r="628" spans="1:87" ht="12.75" hidden="1" customHeight="1" x14ac:dyDescent="0.2">
      <c r="A628" s="28">
        <v>4</v>
      </c>
      <c r="B628" s="28">
        <v>2</v>
      </c>
      <c r="C628" s="11">
        <v>23</v>
      </c>
      <c r="D628" s="148" t="s">
        <v>357</v>
      </c>
      <c r="E628" s="10" t="s">
        <v>177</v>
      </c>
      <c r="F628" s="10" t="s">
        <v>219</v>
      </c>
      <c r="G628" s="10"/>
      <c r="H628" s="10"/>
      <c r="I628" s="10"/>
      <c r="J628" s="10"/>
      <c r="K628" s="575"/>
      <c r="L628" s="152"/>
      <c r="M628" s="164"/>
      <c r="N628" s="62"/>
      <c r="O628" s="62"/>
      <c r="P628" s="177"/>
      <c r="Q628" s="171"/>
      <c r="R628" s="62"/>
      <c r="S628" s="62"/>
      <c r="T628" s="62"/>
      <c r="U628" s="64"/>
      <c r="V628" s="164"/>
      <c r="W628" s="62"/>
      <c r="X628" s="62"/>
      <c r="Y628" s="62"/>
      <c r="Z628" s="64"/>
      <c r="AA628" s="164"/>
      <c r="AB628" s="62"/>
      <c r="AC628" s="62"/>
      <c r="AD628" s="64"/>
      <c r="AE628" s="164"/>
      <c r="AF628" s="62"/>
      <c r="AG628" s="62"/>
      <c r="AH628" s="337"/>
      <c r="AI628" s="337"/>
      <c r="AJ628" s="337"/>
      <c r="AK628" s="337"/>
      <c r="AL628" s="412"/>
      <c r="AM628" s="414"/>
      <c r="AN628" s="45"/>
      <c r="AO628" s="45"/>
      <c r="AP628" s="45"/>
      <c r="AQ628" s="485"/>
      <c r="AR628" s="485"/>
      <c r="AS628" s="485"/>
      <c r="AT628" s="24"/>
      <c r="AU628" s="24"/>
      <c r="AV628" s="24"/>
      <c r="AW628" s="18">
        <v>23</v>
      </c>
      <c r="AX628" s="69" t="s">
        <v>357</v>
      </c>
      <c r="AY628" s="243" t="s">
        <v>177</v>
      </c>
      <c r="AZ628" s="243" t="str">
        <f t="shared" si="252"/>
        <v>Coho</v>
      </c>
      <c r="BA628" s="243" t="s">
        <v>419</v>
      </c>
      <c r="BB628" s="246"/>
      <c r="BC628" s="43" t="str">
        <f t="shared" si="253"/>
        <v>-</v>
      </c>
      <c r="BD628" s="43">
        <f t="shared" si="273"/>
        <v>0</v>
      </c>
      <c r="BE628" s="193">
        <f t="shared" si="269"/>
        <v>0</v>
      </c>
      <c r="BF628" s="193">
        <f t="shared" si="254"/>
        <v>0</v>
      </c>
      <c r="BG628" s="193">
        <f t="shared" si="255"/>
        <v>0</v>
      </c>
      <c r="BH628" s="307" t="str">
        <f t="shared" si="271"/>
        <v>-</v>
      </c>
      <c r="BI628" s="265" t="str">
        <f t="shared" si="275"/>
        <v>-</v>
      </c>
      <c r="BJ628" s="26" t="str">
        <f t="shared" si="256"/>
        <v>ITATSOO CREEKCoho</v>
      </c>
      <c r="BK628" s="26">
        <f t="shared" si="257"/>
        <v>0</v>
      </c>
      <c r="BL628" s="33">
        <f t="shared" si="274"/>
        <v>0</v>
      </c>
      <c r="BQ628" s="47" t="str">
        <f t="shared" si="258"/>
        <v>ITATSOO CREEKCoho</v>
      </c>
      <c r="BR628" s="49">
        <f t="shared" si="259"/>
        <v>0</v>
      </c>
      <c r="BS628" s="49">
        <f t="shared" si="260"/>
        <v>0</v>
      </c>
      <c r="BT628" s="31">
        <v>1999</v>
      </c>
      <c r="BU628" s="188">
        <f t="shared" si="261"/>
        <v>0</v>
      </c>
      <c r="BV628" s="188" t="str">
        <f t="shared" si="262"/>
        <v xml:space="preserve"> </v>
      </c>
      <c r="BW628" s="188" t="str">
        <f t="shared" si="263"/>
        <v xml:space="preserve"> </v>
      </c>
      <c r="BX628" s="188" t="str">
        <f t="shared" si="264"/>
        <v xml:space="preserve"> </v>
      </c>
      <c r="BY628" s="50" t="str">
        <f t="shared" si="270"/>
        <v>ITATSOO CREEK_Coho</v>
      </c>
      <c r="BZ628" s="50" t="str">
        <f>IFERROR(VLOOKUP(BY628,'[1]WCVI Esc'!$C$5:$W$555,18,FALSE),"-")</f>
        <v>-</v>
      </c>
      <c r="CA628" s="50" t="str">
        <f t="shared" si="265"/>
        <v>-</v>
      </c>
      <c r="CB628" s="50" t="str">
        <f>IFERROR(VLOOKUP(BY628,'[1]WCVI Esc'!$C$5:$W$555,19,FALSE),"-")</f>
        <v>-</v>
      </c>
      <c r="CC628" s="50" t="str">
        <f t="shared" si="266"/>
        <v>-</v>
      </c>
      <c r="CE628" s="342" t="str">
        <f t="shared" si="250"/>
        <v>ITATSOO CREEK_Coho</v>
      </c>
      <c r="CF628" s="341" t="str">
        <f>IFERROR(VLOOKUP(BY628,'RawPL+D'!$O$8:$AB$503,12,FALSE),"-")</f>
        <v>-</v>
      </c>
      <c r="CG628" s="338" t="str">
        <f t="shared" si="267"/>
        <v>-</v>
      </c>
      <c r="CH628" s="341" t="str">
        <f>IFERROR(VLOOKUP(BY628,'RawPL+D'!$O$8:$AB$503,13,FALSE),"-")</f>
        <v>-</v>
      </c>
      <c r="CI628" s="338" t="str">
        <f t="shared" si="268"/>
        <v>-</v>
      </c>
    </row>
    <row r="629" spans="1:87" ht="12.75" hidden="1" customHeight="1" x14ac:dyDescent="0.2">
      <c r="A629" s="28">
        <v>4</v>
      </c>
      <c r="B629" s="28">
        <v>3</v>
      </c>
      <c r="C629" s="11">
        <v>23</v>
      </c>
      <c r="D629" s="148" t="s">
        <v>357</v>
      </c>
      <c r="E629" s="10" t="s">
        <v>177</v>
      </c>
      <c r="F629" s="10" t="s">
        <v>208</v>
      </c>
      <c r="G629" s="10"/>
      <c r="H629" s="10"/>
      <c r="I629" s="10"/>
      <c r="J629" s="10"/>
      <c r="K629" s="575"/>
      <c r="L629" s="152"/>
      <c r="M629" s="164"/>
      <c r="N629" s="62"/>
      <c r="O629" s="62"/>
      <c r="P629" s="177"/>
      <c r="Q629" s="171"/>
      <c r="R629" s="62"/>
      <c r="S629" s="62"/>
      <c r="T629" s="62"/>
      <c r="U629" s="64"/>
      <c r="V629" s="164"/>
      <c r="W629" s="62"/>
      <c r="X629" s="62"/>
      <c r="Y629" s="62"/>
      <c r="Z629" s="64"/>
      <c r="AA629" s="164"/>
      <c r="AB629" s="62"/>
      <c r="AC629" s="62"/>
      <c r="AD629" s="64"/>
      <c r="AE629" s="164"/>
      <c r="AF629" s="62"/>
      <c r="AG629" s="62"/>
      <c r="AH629" s="337"/>
      <c r="AI629" s="337"/>
      <c r="AJ629" s="337"/>
      <c r="AK629" s="337"/>
      <c r="AL629" s="412"/>
      <c r="AM629" s="414"/>
      <c r="AN629" s="45"/>
      <c r="AO629" s="45"/>
      <c r="AP629" s="45"/>
      <c r="AQ629" s="485"/>
      <c r="AR629" s="485"/>
      <c r="AS629" s="485"/>
      <c r="AT629" s="24"/>
      <c r="AU629" s="24"/>
      <c r="AV629" s="24"/>
      <c r="AW629" s="18">
        <v>23</v>
      </c>
      <c r="AX629" s="69" t="s">
        <v>357</v>
      </c>
      <c r="AY629" s="243" t="s">
        <v>177</v>
      </c>
      <c r="AZ629" s="243" t="str">
        <f t="shared" si="252"/>
        <v>Pink</v>
      </c>
      <c r="BA629" s="243" t="s">
        <v>419</v>
      </c>
      <c r="BB629" s="246"/>
      <c r="BC629" s="43" t="str">
        <f t="shared" si="253"/>
        <v>-</v>
      </c>
      <c r="BD629" s="43">
        <f t="shared" si="273"/>
        <v>0</v>
      </c>
      <c r="BE629" s="193">
        <f t="shared" si="269"/>
        <v>0</v>
      </c>
      <c r="BF629" s="193">
        <f t="shared" si="254"/>
        <v>0</v>
      </c>
      <c r="BG629" s="193">
        <f t="shared" si="255"/>
        <v>0</v>
      </c>
      <c r="BH629" s="307" t="str">
        <f t="shared" si="271"/>
        <v>-</v>
      </c>
      <c r="BI629" s="265" t="str">
        <f t="shared" si="275"/>
        <v>-</v>
      </c>
      <c r="BJ629" s="26" t="str">
        <f t="shared" si="256"/>
        <v>ITATSOO CREEKPink</v>
      </c>
      <c r="BK629" s="26">
        <f t="shared" si="257"/>
        <v>0</v>
      </c>
      <c r="BL629" s="33">
        <f t="shared" si="274"/>
        <v>0</v>
      </c>
      <c r="BQ629" s="47" t="str">
        <f t="shared" si="258"/>
        <v>ITATSOO CREEKPink</v>
      </c>
      <c r="BR629" s="49">
        <f t="shared" si="259"/>
        <v>0</v>
      </c>
      <c r="BS629" s="49">
        <f t="shared" si="260"/>
        <v>0</v>
      </c>
      <c r="BT629" s="31">
        <v>0</v>
      </c>
      <c r="BU629" s="188">
        <f t="shared" si="261"/>
        <v>0</v>
      </c>
      <c r="BV629" s="188" t="str">
        <f t="shared" si="262"/>
        <v xml:space="preserve"> </v>
      </c>
      <c r="BW629" s="188" t="str">
        <f t="shared" si="263"/>
        <v xml:space="preserve"> </v>
      </c>
      <c r="BX629" s="188" t="str">
        <f t="shared" si="264"/>
        <v xml:space="preserve"> </v>
      </c>
      <c r="BY629" s="50" t="str">
        <f t="shared" si="270"/>
        <v>ITATSOO CREEK_Pink</v>
      </c>
      <c r="BZ629" s="50" t="str">
        <f>IFERROR(VLOOKUP(BY629,'[1]WCVI Esc'!$C$5:$W$555,18,FALSE),"-")</f>
        <v>-</v>
      </c>
      <c r="CA629" s="50" t="str">
        <f t="shared" si="265"/>
        <v>-</v>
      </c>
      <c r="CB629" s="50" t="str">
        <f>IFERROR(VLOOKUP(BY629,'[1]WCVI Esc'!$C$5:$W$555,19,FALSE),"-")</f>
        <v>-</v>
      </c>
      <c r="CC629" s="50" t="str">
        <f t="shared" si="266"/>
        <v>-</v>
      </c>
      <c r="CE629" s="342" t="str">
        <f t="shared" si="250"/>
        <v>ITATSOO CREEK_Pink</v>
      </c>
      <c r="CF629" s="341" t="str">
        <f>IFERROR(VLOOKUP(BY629,'RawPL+D'!$O$8:$AB$503,12,FALSE),"-")</f>
        <v>-</v>
      </c>
      <c r="CG629" s="338" t="str">
        <f t="shared" si="267"/>
        <v>-</v>
      </c>
      <c r="CH629" s="341" t="str">
        <f>IFERROR(VLOOKUP(BY629,'RawPL+D'!$O$8:$AB$503,13,FALSE),"-")</f>
        <v>-</v>
      </c>
      <c r="CI629" s="338" t="str">
        <f t="shared" si="268"/>
        <v>-</v>
      </c>
    </row>
    <row r="630" spans="1:87" ht="12.75" hidden="1" customHeight="1" x14ac:dyDescent="0.2">
      <c r="A630" s="28">
        <v>4</v>
      </c>
      <c r="B630" s="28">
        <v>4</v>
      </c>
      <c r="C630" s="11">
        <v>23</v>
      </c>
      <c r="D630" s="148" t="s">
        <v>357</v>
      </c>
      <c r="E630" s="10" t="s">
        <v>177</v>
      </c>
      <c r="F630" s="10" t="s">
        <v>209</v>
      </c>
      <c r="G630" s="10"/>
      <c r="H630" s="10"/>
      <c r="I630" s="10"/>
      <c r="J630" s="10"/>
      <c r="K630" s="575"/>
      <c r="L630" s="152"/>
      <c r="M630" s="164"/>
      <c r="N630" s="62"/>
      <c r="O630" s="62"/>
      <c r="P630" s="177"/>
      <c r="Q630" s="171"/>
      <c r="R630" s="62"/>
      <c r="S630" s="62"/>
      <c r="T630" s="62"/>
      <c r="U630" s="64"/>
      <c r="V630" s="164"/>
      <c r="W630" s="62"/>
      <c r="X630" s="62"/>
      <c r="Y630" s="62"/>
      <c r="Z630" s="64"/>
      <c r="AA630" s="164"/>
      <c r="AB630" s="62"/>
      <c r="AC630" s="62"/>
      <c r="AD630" s="64"/>
      <c r="AE630" s="164"/>
      <c r="AF630" s="62"/>
      <c r="AG630" s="62"/>
      <c r="AH630" s="337"/>
      <c r="AI630" s="337"/>
      <c r="AJ630" s="337"/>
      <c r="AK630" s="337"/>
      <c r="AL630" s="412"/>
      <c r="AM630" s="414"/>
      <c r="AN630" s="45"/>
      <c r="AO630" s="45"/>
      <c r="AP630" s="45"/>
      <c r="AQ630" s="485"/>
      <c r="AR630" s="485"/>
      <c r="AS630" s="485"/>
      <c r="AT630" s="24"/>
      <c r="AU630" s="24"/>
      <c r="AV630" s="24"/>
      <c r="AW630" s="18">
        <v>23</v>
      </c>
      <c r="AX630" s="69" t="s">
        <v>357</v>
      </c>
      <c r="AY630" s="243" t="s">
        <v>177</v>
      </c>
      <c r="AZ630" s="243" t="str">
        <f t="shared" si="252"/>
        <v>Chum</v>
      </c>
      <c r="BA630" s="243" t="s">
        <v>419</v>
      </c>
      <c r="BB630" s="246"/>
      <c r="BC630" s="43" t="str">
        <f t="shared" si="253"/>
        <v>-</v>
      </c>
      <c r="BD630" s="43">
        <f t="shared" si="273"/>
        <v>0</v>
      </c>
      <c r="BE630" s="193">
        <f t="shared" si="269"/>
        <v>0</v>
      </c>
      <c r="BF630" s="193">
        <f t="shared" si="254"/>
        <v>0</v>
      </c>
      <c r="BG630" s="193">
        <f t="shared" si="255"/>
        <v>0</v>
      </c>
      <c r="BH630" s="307" t="str">
        <f t="shared" si="271"/>
        <v>-</v>
      </c>
      <c r="BI630" s="265" t="str">
        <f t="shared" si="275"/>
        <v>-</v>
      </c>
      <c r="BJ630" s="26" t="str">
        <f t="shared" si="256"/>
        <v>ITATSOO CREEKChum</v>
      </c>
      <c r="BK630" s="26">
        <f t="shared" si="257"/>
        <v>0</v>
      </c>
      <c r="BL630" s="33">
        <f t="shared" si="274"/>
        <v>0</v>
      </c>
      <c r="BQ630" s="47" t="str">
        <f t="shared" si="258"/>
        <v>ITATSOO CREEKChum</v>
      </c>
      <c r="BR630" s="49">
        <f t="shared" si="259"/>
        <v>0</v>
      </c>
      <c r="BS630" s="49">
        <f t="shared" si="260"/>
        <v>0</v>
      </c>
      <c r="BT630" s="31">
        <v>1999</v>
      </c>
      <c r="BU630" s="188">
        <f t="shared" si="261"/>
        <v>0</v>
      </c>
      <c r="BV630" s="188" t="str">
        <f t="shared" si="262"/>
        <v xml:space="preserve"> </v>
      </c>
      <c r="BW630" s="188" t="str">
        <f t="shared" si="263"/>
        <v xml:space="preserve"> </v>
      </c>
      <c r="BX630" s="188" t="str">
        <f t="shared" si="264"/>
        <v xml:space="preserve"> </v>
      </c>
      <c r="BY630" s="50" t="str">
        <f t="shared" si="270"/>
        <v>ITATSOO CREEK_Chum</v>
      </c>
      <c r="BZ630" s="50" t="str">
        <f>IFERROR(VLOOKUP(BY630,'[1]WCVI Esc'!$C$5:$W$555,18,FALSE),"-")</f>
        <v>-</v>
      </c>
      <c r="CA630" s="50" t="str">
        <f t="shared" si="265"/>
        <v>-</v>
      </c>
      <c r="CB630" s="50" t="str">
        <f>IFERROR(VLOOKUP(BY630,'[1]WCVI Esc'!$C$5:$W$555,19,FALSE),"-")</f>
        <v>-</v>
      </c>
      <c r="CC630" s="50" t="str">
        <f t="shared" si="266"/>
        <v>-</v>
      </c>
      <c r="CE630" s="342" t="str">
        <f t="shared" si="250"/>
        <v>ITATSOO CREEK_Chum</v>
      </c>
      <c r="CF630" s="341" t="str">
        <f>IFERROR(VLOOKUP(BY630,'RawPL+D'!$O$8:$AB$503,12,FALSE),"-")</f>
        <v>-</v>
      </c>
      <c r="CG630" s="338" t="str">
        <f t="shared" si="267"/>
        <v>-</v>
      </c>
      <c r="CH630" s="341" t="str">
        <f>IFERROR(VLOOKUP(BY630,'RawPL+D'!$O$8:$AB$503,13,FALSE),"-")</f>
        <v>-</v>
      </c>
      <c r="CI630" s="338" t="str">
        <f t="shared" si="268"/>
        <v>-</v>
      </c>
    </row>
    <row r="631" spans="1:87" ht="12.75" hidden="1" customHeight="1" x14ac:dyDescent="0.2">
      <c r="A631" s="28">
        <v>4</v>
      </c>
      <c r="B631" s="28">
        <v>5</v>
      </c>
      <c r="C631" s="11">
        <v>23</v>
      </c>
      <c r="D631" s="148" t="s">
        <v>357</v>
      </c>
      <c r="E631" s="10" t="s">
        <v>177</v>
      </c>
      <c r="F631" s="10" t="s">
        <v>210</v>
      </c>
      <c r="G631" s="10"/>
      <c r="H631" s="10"/>
      <c r="I631" s="10"/>
      <c r="J631" s="10"/>
      <c r="K631" s="575"/>
      <c r="L631" s="152"/>
      <c r="M631" s="164"/>
      <c r="N631" s="62"/>
      <c r="O631" s="62"/>
      <c r="P631" s="177"/>
      <c r="Q631" s="171"/>
      <c r="R631" s="62"/>
      <c r="S631" s="62"/>
      <c r="T631" s="62"/>
      <c r="U631" s="64"/>
      <c r="V631" s="164"/>
      <c r="W631" s="62"/>
      <c r="X631" s="62"/>
      <c r="Y631" s="62"/>
      <c r="Z631" s="64"/>
      <c r="AA631" s="164"/>
      <c r="AB631" s="62"/>
      <c r="AC631" s="62"/>
      <c r="AD631" s="64"/>
      <c r="AE631" s="164"/>
      <c r="AF631" s="62"/>
      <c r="AG631" s="62"/>
      <c r="AH631" s="337"/>
      <c r="AI631" s="337"/>
      <c r="AJ631" s="337"/>
      <c r="AK631" s="337"/>
      <c r="AL631" s="412"/>
      <c r="AM631" s="414"/>
      <c r="AN631" s="45"/>
      <c r="AO631" s="45"/>
      <c r="AP631" s="45"/>
      <c r="AQ631" s="485"/>
      <c r="AR631" s="485"/>
      <c r="AS631" s="485"/>
      <c r="AT631" s="24"/>
      <c r="AU631" s="24"/>
      <c r="AV631" s="24"/>
      <c r="AW631" s="18">
        <v>23</v>
      </c>
      <c r="AX631" s="69" t="s">
        <v>357</v>
      </c>
      <c r="AY631" s="243" t="s">
        <v>177</v>
      </c>
      <c r="AZ631" s="243" t="str">
        <f t="shared" si="252"/>
        <v>Chinook</v>
      </c>
      <c r="BA631" s="243" t="s">
        <v>419</v>
      </c>
      <c r="BB631" s="246"/>
      <c r="BC631" s="43" t="str">
        <f t="shared" si="253"/>
        <v>-</v>
      </c>
      <c r="BD631" s="43">
        <f t="shared" si="273"/>
        <v>0</v>
      </c>
      <c r="BE631" s="193">
        <f t="shared" si="269"/>
        <v>0</v>
      </c>
      <c r="BF631" s="193">
        <f t="shared" si="254"/>
        <v>0</v>
      </c>
      <c r="BG631" s="193">
        <f t="shared" si="255"/>
        <v>0</v>
      </c>
      <c r="BH631" s="307" t="str">
        <f t="shared" si="271"/>
        <v>-</v>
      </c>
      <c r="BI631" s="265" t="str">
        <f t="shared" si="275"/>
        <v>-</v>
      </c>
      <c r="BJ631" s="26" t="str">
        <f t="shared" si="256"/>
        <v>ITATSOO CREEKChinook</v>
      </c>
      <c r="BK631" s="26">
        <f t="shared" si="257"/>
        <v>0</v>
      </c>
      <c r="BL631" s="33">
        <f t="shared" si="274"/>
        <v>0</v>
      </c>
      <c r="BQ631" s="47" t="str">
        <f t="shared" si="258"/>
        <v>ITATSOO CREEKChinook</v>
      </c>
      <c r="BR631" s="49">
        <f t="shared" si="259"/>
        <v>0</v>
      </c>
      <c r="BS631" s="49">
        <f t="shared" si="260"/>
        <v>0</v>
      </c>
      <c r="BT631" s="31">
        <v>0</v>
      </c>
      <c r="BU631" s="188">
        <f t="shared" si="261"/>
        <v>0</v>
      </c>
      <c r="BV631" s="188" t="str">
        <f t="shared" si="262"/>
        <v xml:space="preserve"> </v>
      </c>
      <c r="BW631" s="188" t="str">
        <f t="shared" si="263"/>
        <v xml:space="preserve"> </v>
      </c>
      <c r="BX631" s="188" t="str">
        <f t="shared" si="264"/>
        <v xml:space="preserve"> </v>
      </c>
      <c r="BY631" s="50" t="str">
        <f t="shared" si="270"/>
        <v>ITATSOO CREEK_Chinook</v>
      </c>
      <c r="BZ631" s="50" t="str">
        <f>IFERROR(VLOOKUP(BY631,'[1]WCVI Esc'!$C$5:$W$555,18,FALSE),"-")</f>
        <v>-</v>
      </c>
      <c r="CA631" s="50" t="str">
        <f t="shared" si="265"/>
        <v>-</v>
      </c>
      <c r="CB631" s="50" t="str">
        <f>IFERROR(VLOOKUP(BY631,'[1]WCVI Esc'!$C$5:$W$555,19,FALSE),"-")</f>
        <v>-</v>
      </c>
      <c r="CC631" s="50" t="str">
        <f t="shared" si="266"/>
        <v>-</v>
      </c>
      <c r="CE631" s="342" t="str">
        <f t="shared" si="250"/>
        <v>ITATSOO CREEK_Chinook</v>
      </c>
      <c r="CF631" s="341" t="str">
        <f>IFERROR(VLOOKUP(BY631,'RawPL+D'!$O$8:$AB$503,12,FALSE),"-")</f>
        <v>-</v>
      </c>
      <c r="CG631" s="338" t="str">
        <f t="shared" si="267"/>
        <v>-</v>
      </c>
      <c r="CH631" s="341" t="str">
        <f>IFERROR(VLOOKUP(BY631,'RawPL+D'!$O$8:$AB$503,13,FALSE),"-")</f>
        <v>-</v>
      </c>
      <c r="CI631" s="338" t="str">
        <f t="shared" si="268"/>
        <v>-</v>
      </c>
    </row>
    <row r="632" spans="1:87" ht="12.75" hidden="1" customHeight="1" x14ac:dyDescent="0.2">
      <c r="A632" s="28">
        <v>4</v>
      </c>
      <c r="B632" s="28">
        <v>6</v>
      </c>
      <c r="C632" s="11">
        <v>23</v>
      </c>
      <c r="D632" s="148" t="s">
        <v>357</v>
      </c>
      <c r="E632" s="10" t="s">
        <v>177</v>
      </c>
      <c r="F632" s="10" t="s">
        <v>211</v>
      </c>
      <c r="G632" s="10"/>
      <c r="H632" s="10"/>
      <c r="I632" s="10"/>
      <c r="J632" s="10"/>
      <c r="K632" s="575"/>
      <c r="L632" s="152"/>
      <c r="M632" s="164"/>
      <c r="N632" s="62"/>
      <c r="O632" s="62"/>
      <c r="P632" s="177"/>
      <c r="Q632" s="171"/>
      <c r="R632" s="62"/>
      <c r="S632" s="62"/>
      <c r="T632" s="62"/>
      <c r="U632" s="64"/>
      <c r="V632" s="164"/>
      <c r="W632" s="62"/>
      <c r="X632" s="62"/>
      <c r="Y632" s="62"/>
      <c r="Z632" s="64"/>
      <c r="AA632" s="164"/>
      <c r="AB632" s="62"/>
      <c r="AC632" s="62"/>
      <c r="AD632" s="64"/>
      <c r="AE632" s="164"/>
      <c r="AF632" s="62"/>
      <c r="AG632" s="62"/>
      <c r="AH632" s="337"/>
      <c r="AI632" s="337"/>
      <c r="AJ632" s="337"/>
      <c r="AK632" s="337"/>
      <c r="AL632" s="412"/>
      <c r="AM632" s="414"/>
      <c r="AN632" s="45"/>
      <c r="AO632" s="45"/>
      <c r="AP632" s="45"/>
      <c r="AQ632" s="485"/>
      <c r="AR632" s="485"/>
      <c r="AS632" s="485"/>
      <c r="AT632" s="24"/>
      <c r="AU632" s="24"/>
      <c r="AV632" s="24"/>
      <c r="AW632" s="18">
        <v>23</v>
      </c>
      <c r="AX632" s="69" t="s">
        <v>357</v>
      </c>
      <c r="AY632" s="243" t="s">
        <v>177</v>
      </c>
      <c r="AZ632" s="243" t="str">
        <f t="shared" si="252"/>
        <v>Steelhead</v>
      </c>
      <c r="BA632" s="243" t="s">
        <v>419</v>
      </c>
      <c r="BB632" s="246"/>
      <c r="BC632" s="43" t="str">
        <f t="shared" si="253"/>
        <v>-</v>
      </c>
      <c r="BD632" s="43">
        <f t="shared" si="273"/>
        <v>0</v>
      </c>
      <c r="BE632" s="193">
        <f t="shared" si="269"/>
        <v>0</v>
      </c>
      <c r="BF632" s="193">
        <f t="shared" si="254"/>
        <v>0</v>
      </c>
      <c r="BG632" s="193">
        <f t="shared" si="255"/>
        <v>0</v>
      </c>
      <c r="BH632" s="307" t="str">
        <f t="shared" si="271"/>
        <v>-</v>
      </c>
      <c r="BI632" s="265" t="str">
        <f t="shared" si="275"/>
        <v>-</v>
      </c>
      <c r="BJ632" s="26" t="str">
        <f t="shared" si="256"/>
        <v>ITATSOO CREEKSteelhead</v>
      </c>
      <c r="BK632" s="26">
        <f t="shared" si="257"/>
        <v>0</v>
      </c>
      <c r="BL632" s="33">
        <f t="shared" si="274"/>
        <v>0</v>
      </c>
      <c r="BQ632" s="47" t="str">
        <f t="shared" si="258"/>
        <v>ITATSOO CREEKSteelhead</v>
      </c>
      <c r="BR632" s="49">
        <f t="shared" si="259"/>
        <v>0</v>
      </c>
      <c r="BS632" s="49">
        <f t="shared" si="260"/>
        <v>0</v>
      </c>
      <c r="BT632" s="31">
        <v>0</v>
      </c>
      <c r="BU632" s="188">
        <f t="shared" si="261"/>
        <v>0</v>
      </c>
      <c r="BV632" s="188" t="str">
        <f t="shared" si="262"/>
        <v xml:space="preserve"> </v>
      </c>
      <c r="BW632" s="188" t="str">
        <f t="shared" si="263"/>
        <v xml:space="preserve"> </v>
      </c>
      <c r="BX632" s="188" t="str">
        <f t="shared" si="264"/>
        <v xml:space="preserve"> </v>
      </c>
      <c r="BY632" s="50" t="str">
        <f t="shared" si="270"/>
        <v>ITATSOO CREEK_Steelhead</v>
      </c>
      <c r="BZ632" s="50" t="str">
        <f>IFERROR(VLOOKUP(BY632,'[1]WCVI Esc'!$C$5:$W$555,18,FALSE),"-")</f>
        <v>-</v>
      </c>
      <c r="CA632" s="50" t="str">
        <f t="shared" si="265"/>
        <v>-</v>
      </c>
      <c r="CB632" s="50" t="str">
        <f>IFERROR(VLOOKUP(BY632,'[1]WCVI Esc'!$C$5:$W$555,19,FALSE),"-")</f>
        <v>-</v>
      </c>
      <c r="CC632" s="50" t="str">
        <f t="shared" si="266"/>
        <v>-</v>
      </c>
      <c r="CE632" s="342" t="str">
        <f t="shared" ref="CE632:CE695" si="276">CONCATENATE(E632,"_",F632)</f>
        <v>ITATSOO CREEK_Steelhead</v>
      </c>
      <c r="CF632" s="341" t="str">
        <f>IFERROR(VLOOKUP(BY632,'RawPL+D'!$O$8:$AB$503,12,FALSE),"-")</f>
        <v>-</v>
      </c>
      <c r="CG632" s="338" t="str">
        <f t="shared" si="267"/>
        <v>-</v>
      </c>
      <c r="CH632" s="341" t="str">
        <f>IFERROR(VLOOKUP(BY632,'RawPL+D'!$O$8:$AB$503,13,FALSE),"-")</f>
        <v>-</v>
      </c>
      <c r="CI632" s="338" t="str">
        <f t="shared" si="268"/>
        <v>-</v>
      </c>
    </row>
    <row r="633" spans="1:87" ht="12.75" hidden="1" customHeight="1" x14ac:dyDescent="0.2">
      <c r="A633" s="29">
        <v>2</v>
      </c>
      <c r="B633" s="29">
        <v>1</v>
      </c>
      <c r="C633" s="13">
        <v>24</v>
      </c>
      <c r="D633" s="13" t="s">
        <v>297</v>
      </c>
      <c r="E633" s="10" t="s">
        <v>557</v>
      </c>
      <c r="F633" s="10" t="s">
        <v>207</v>
      </c>
      <c r="G633" s="10"/>
      <c r="H633" s="10"/>
      <c r="I633" s="10"/>
      <c r="J633" s="10"/>
      <c r="K633" s="575"/>
      <c r="L633" s="152"/>
      <c r="M633" s="422"/>
      <c r="N633" s="643">
        <f>5+97</f>
        <v>102</v>
      </c>
      <c r="O633" s="643">
        <f>5+97</f>
        <v>102</v>
      </c>
      <c r="P633" s="424"/>
      <c r="Q633" s="684">
        <f>21+106</f>
        <v>127</v>
      </c>
      <c r="R633" s="675">
        <f>17+93</f>
        <v>110</v>
      </c>
      <c r="S633" s="431"/>
      <c r="T633" s="63"/>
      <c r="U633" s="772">
        <f>21+1+57+2</f>
        <v>81</v>
      </c>
      <c r="V633" s="164"/>
      <c r="W633" s="390"/>
      <c r="X633" s="767">
        <v>0</v>
      </c>
      <c r="Y633" s="62"/>
      <c r="Z633" s="64"/>
      <c r="AA633" s="164"/>
      <c r="AB633" s="62"/>
      <c r="AC633" s="62"/>
      <c r="AD633" s="64"/>
      <c r="AE633" s="164"/>
      <c r="AF633" s="62"/>
      <c r="AG633" s="62"/>
      <c r="AH633" s="337">
        <v>231</v>
      </c>
      <c r="AI633" s="337">
        <v>5</v>
      </c>
      <c r="AJ633" s="337">
        <v>0</v>
      </c>
      <c r="AK633" s="337">
        <v>0</v>
      </c>
      <c r="AL633" s="555">
        <v>231</v>
      </c>
      <c r="AM633" s="552">
        <v>236</v>
      </c>
      <c r="AN633" s="552" t="s">
        <v>768</v>
      </c>
      <c r="AO633" s="552" t="s">
        <v>775</v>
      </c>
      <c r="AP633" s="44"/>
      <c r="AQ633" s="485">
        <f>AL633/BI633</f>
        <v>0.7</v>
      </c>
      <c r="AR633" s="485">
        <f>BL633/BH633</f>
        <v>1.8142857142857143</v>
      </c>
      <c r="AS633" s="485">
        <f>BL633/BI633</f>
        <v>0.38484848484848483</v>
      </c>
      <c r="AT633" s="123"/>
      <c r="AU633" s="123"/>
      <c r="AV633" s="123"/>
      <c r="AW633" s="69">
        <v>24</v>
      </c>
      <c r="AX633" s="69" t="s">
        <v>297</v>
      </c>
      <c r="AY633" s="243" t="s">
        <v>35</v>
      </c>
      <c r="AZ633" s="243" t="str">
        <f t="shared" si="252"/>
        <v>Sockeye</v>
      </c>
      <c r="BA633" s="243" t="s">
        <v>419</v>
      </c>
      <c r="BB633" s="244" t="s">
        <v>497</v>
      </c>
      <c r="BC633" s="43" t="str">
        <f t="shared" si="253"/>
        <v>Nov 19-25</v>
      </c>
      <c r="BD633" s="43">
        <f t="shared" si="273"/>
        <v>6</v>
      </c>
      <c r="BE633" s="193">
        <f t="shared" si="269"/>
        <v>127</v>
      </c>
      <c r="BF633" s="193">
        <f t="shared" si="254"/>
        <v>231</v>
      </c>
      <c r="BG633" s="193">
        <f t="shared" si="255"/>
        <v>231</v>
      </c>
      <c r="BH633" s="307">
        <f t="shared" si="271"/>
        <v>70</v>
      </c>
      <c r="BI633" s="265">
        <f t="shared" si="275"/>
        <v>330</v>
      </c>
      <c r="BJ633" s="26" t="str">
        <f t="shared" si="256"/>
        <v>BEDWELL SYSTEMSockeye</v>
      </c>
      <c r="BK633" s="26">
        <f t="shared" si="257"/>
        <v>6</v>
      </c>
      <c r="BL633" s="33">
        <f t="shared" si="274"/>
        <v>127</v>
      </c>
      <c r="BP633" s="34"/>
      <c r="BQ633" s="47" t="str">
        <f t="shared" si="258"/>
        <v>BEDWELL SYSTEMSockeye</v>
      </c>
      <c r="BR633" s="49">
        <f t="shared" si="259"/>
        <v>0</v>
      </c>
      <c r="BS633" s="49">
        <f t="shared" si="260"/>
        <v>231</v>
      </c>
      <c r="BT633" s="31">
        <v>2016</v>
      </c>
      <c r="BU633" s="188" t="str">
        <f t="shared" si="261"/>
        <v>TSES</v>
      </c>
      <c r="BV633" s="188" t="str">
        <f t="shared" si="262"/>
        <v>Oct 1-7</v>
      </c>
      <c r="BW633" s="188" t="str">
        <f t="shared" si="263"/>
        <v>Oct 29-Nov4</v>
      </c>
      <c r="BX633" s="188" t="str">
        <f t="shared" si="264"/>
        <v>Nov 19-25</v>
      </c>
      <c r="BY633" s="50" t="s">
        <v>390</v>
      </c>
      <c r="BZ633" s="50">
        <f>IFERROR(VLOOKUP(BY633,'[1]WCVI Esc'!$C$5:$W$555,18,FALSE),"-")</f>
        <v>137</v>
      </c>
      <c r="CA633" s="50">
        <f t="shared" si="265"/>
        <v>140</v>
      </c>
      <c r="CB633" s="50">
        <f>IFERROR(VLOOKUP(BY633,'[1]WCVI Esc'!$C$5:$W$555,19,FALSE),"-")</f>
        <v>332.58333333333331</v>
      </c>
      <c r="CC633" s="50">
        <f t="shared" si="266"/>
        <v>330</v>
      </c>
      <c r="CE633" s="342" t="str">
        <f t="shared" si="276"/>
        <v>BEDWELL SYSTEM_Sockeye</v>
      </c>
      <c r="CF633" s="341">
        <f>IFERROR(VLOOKUP(CE633,'RawPL+D'!$O$8:$AB$503,12,FALSE),"-")</f>
        <v>139</v>
      </c>
      <c r="CG633" s="338">
        <f t="shared" si="267"/>
        <v>140</v>
      </c>
      <c r="CH633" s="341">
        <f>IFERROR(VLOOKUP(CE633,'RawPL+D'!$O$8:$AB$503,13,FALSE),"-")</f>
        <v>66</v>
      </c>
      <c r="CI633" s="338">
        <f t="shared" si="268"/>
        <v>70</v>
      </c>
    </row>
    <row r="634" spans="1:87" ht="12.75" hidden="1" customHeight="1" x14ac:dyDescent="0.2">
      <c r="A634" s="29">
        <v>2</v>
      </c>
      <c r="B634" s="29">
        <v>2</v>
      </c>
      <c r="C634" s="13">
        <v>24</v>
      </c>
      <c r="D634" s="13" t="s">
        <v>297</v>
      </c>
      <c r="E634" s="10" t="s">
        <v>557</v>
      </c>
      <c r="F634" s="10" t="s">
        <v>219</v>
      </c>
      <c r="G634" s="10"/>
      <c r="H634" s="10"/>
      <c r="I634" s="10"/>
      <c r="J634" s="10"/>
      <c r="K634" s="575"/>
      <c r="L634" s="152"/>
      <c r="M634" s="422"/>
      <c r="N634" s="643">
        <f>0+2</f>
        <v>2</v>
      </c>
      <c r="O634" s="643">
        <v>56</v>
      </c>
      <c r="P634" s="424"/>
      <c r="Q634" s="683">
        <f>371+115</f>
        <v>486</v>
      </c>
      <c r="R634" s="642">
        <f>276+72</f>
        <v>348</v>
      </c>
      <c r="S634" s="62"/>
      <c r="T634" s="63"/>
      <c r="U634" s="771">
        <f>469+87</f>
        <v>556</v>
      </c>
      <c r="V634" s="164"/>
      <c r="W634" s="62"/>
      <c r="X634" s="788">
        <f>227</f>
        <v>227</v>
      </c>
      <c r="Y634" s="62"/>
      <c r="Z634" s="64"/>
      <c r="AA634" s="164"/>
      <c r="AB634" s="62"/>
      <c r="AC634" s="62"/>
      <c r="AD634" s="64"/>
      <c r="AE634" s="164"/>
      <c r="AF634" s="62"/>
      <c r="AG634" s="62"/>
      <c r="AH634" s="337">
        <v>784</v>
      </c>
      <c r="AI634" s="337">
        <v>79</v>
      </c>
      <c r="AJ634" s="337">
        <v>0</v>
      </c>
      <c r="AK634" s="337">
        <v>0</v>
      </c>
      <c r="AL634" s="555">
        <v>784</v>
      </c>
      <c r="AM634" s="552">
        <v>863</v>
      </c>
      <c r="AN634" s="45"/>
      <c r="AO634" s="45"/>
      <c r="AP634" s="44"/>
      <c r="AQ634" s="485">
        <f>AL634/BI634</f>
        <v>0.58074074074074078</v>
      </c>
      <c r="AR634" s="485">
        <f>BL634/BH634</f>
        <v>0.71282051282051284</v>
      </c>
      <c r="AS634" s="485">
        <f>BL634/BI634</f>
        <v>0.41185185185185186</v>
      </c>
      <c r="AT634" s="100"/>
      <c r="AU634" s="100"/>
      <c r="AV634" s="100"/>
      <c r="AW634" s="69">
        <v>24</v>
      </c>
      <c r="AX634" s="69" t="s">
        <v>297</v>
      </c>
      <c r="AY634" s="243" t="s">
        <v>35</v>
      </c>
      <c r="AZ634" s="243" t="str">
        <f t="shared" si="252"/>
        <v>Coho</v>
      </c>
      <c r="BA634" s="243" t="s">
        <v>419</v>
      </c>
      <c r="BB634" s="244" t="s">
        <v>497</v>
      </c>
      <c r="BC634" s="43" t="str">
        <f t="shared" si="253"/>
        <v>Nov 19-25</v>
      </c>
      <c r="BD634" s="43">
        <f t="shared" si="273"/>
        <v>6</v>
      </c>
      <c r="BE634" s="193">
        <f t="shared" si="269"/>
        <v>556</v>
      </c>
      <c r="BF634" s="193">
        <f t="shared" si="254"/>
        <v>784</v>
      </c>
      <c r="BG634" s="193">
        <f t="shared" si="255"/>
        <v>784</v>
      </c>
      <c r="BH634" s="307">
        <f t="shared" si="271"/>
        <v>780</v>
      </c>
      <c r="BI634" s="265">
        <f t="shared" si="275"/>
        <v>1350</v>
      </c>
      <c r="BJ634" s="26" t="str">
        <f t="shared" si="256"/>
        <v>BEDWELL SYSTEMCoho</v>
      </c>
      <c r="BK634" s="26">
        <f t="shared" si="257"/>
        <v>6</v>
      </c>
      <c r="BL634" s="33">
        <f t="shared" si="274"/>
        <v>556</v>
      </c>
      <c r="BP634" s="34"/>
      <c r="BQ634" s="47" t="str">
        <f t="shared" si="258"/>
        <v>BEDWELL SYSTEMCoho</v>
      </c>
      <c r="BR634" s="49">
        <f t="shared" si="259"/>
        <v>0</v>
      </c>
      <c r="BS634" s="49">
        <f t="shared" si="260"/>
        <v>784</v>
      </c>
      <c r="BT634" s="31">
        <v>2016</v>
      </c>
      <c r="BU634" s="188" t="str">
        <f t="shared" si="261"/>
        <v>TSES</v>
      </c>
      <c r="BV634" s="188" t="str">
        <f t="shared" si="262"/>
        <v>Oct 1-7</v>
      </c>
      <c r="BW634" s="188" t="str">
        <f t="shared" si="263"/>
        <v>Oct 29-Nov4</v>
      </c>
      <c r="BX634" s="188" t="str">
        <f t="shared" si="264"/>
        <v>Nov 19-25</v>
      </c>
      <c r="BY634" s="50" t="s">
        <v>391</v>
      </c>
      <c r="BZ634" s="50">
        <f>IFERROR(VLOOKUP(BY634,'[1]WCVI Esc'!$C$5:$W$555,18,FALSE),"-")</f>
        <v>1001.75</v>
      </c>
      <c r="CA634" s="50">
        <f t="shared" si="265"/>
        <v>1000</v>
      </c>
      <c r="CB634" s="50">
        <f>IFERROR(VLOOKUP(BY634,'[1]WCVI Esc'!$C$5:$W$555,19,FALSE),"-")</f>
        <v>1351.8333333333333</v>
      </c>
      <c r="CC634" s="50">
        <f t="shared" si="266"/>
        <v>1350</v>
      </c>
      <c r="CE634" s="342" t="str">
        <f t="shared" si="276"/>
        <v>BEDWELL SYSTEM_Coho</v>
      </c>
      <c r="CF634" s="341">
        <f>IFERROR(VLOOKUP(CE634,'RawPL+D'!$O$8:$AB$503,12,FALSE),"-")</f>
        <v>768</v>
      </c>
      <c r="CG634" s="338">
        <f t="shared" si="267"/>
        <v>770</v>
      </c>
      <c r="CH634" s="341">
        <f>IFERROR(VLOOKUP(CE634,'RawPL+D'!$O$8:$AB$503,13,FALSE),"-")</f>
        <v>783.25</v>
      </c>
      <c r="CI634" s="338">
        <f t="shared" si="268"/>
        <v>780</v>
      </c>
    </row>
    <row r="635" spans="1:87" ht="12.75" hidden="1" customHeight="1" x14ac:dyDescent="0.2">
      <c r="A635" s="29">
        <v>2</v>
      </c>
      <c r="B635" s="29">
        <v>3</v>
      </c>
      <c r="C635" s="13">
        <v>24</v>
      </c>
      <c r="D635" s="13" t="s">
        <v>297</v>
      </c>
      <c r="E635" s="10" t="s">
        <v>557</v>
      </c>
      <c r="F635" s="10" t="s">
        <v>208</v>
      </c>
      <c r="G635" s="10"/>
      <c r="H635" s="10"/>
      <c r="I635" s="10"/>
      <c r="J635" s="10"/>
      <c r="K635" s="575"/>
      <c r="L635" s="152"/>
      <c r="M635" s="422"/>
      <c r="N635" s="643">
        <f>1+2</f>
        <v>3</v>
      </c>
      <c r="O635" s="643">
        <v>4</v>
      </c>
      <c r="P635" s="424"/>
      <c r="Q635" s="683">
        <v>0</v>
      </c>
      <c r="R635" s="642">
        <v>0</v>
      </c>
      <c r="S635" s="62"/>
      <c r="T635" s="63"/>
      <c r="U635" s="771">
        <v>0</v>
      </c>
      <c r="V635" s="164"/>
      <c r="W635" s="62"/>
      <c r="X635" s="642">
        <v>0</v>
      </c>
      <c r="Y635" s="62"/>
      <c r="Z635" s="64"/>
      <c r="AA635" s="164"/>
      <c r="AB635" s="62"/>
      <c r="AC635" s="62"/>
      <c r="AD635" s="64"/>
      <c r="AE635" s="164"/>
      <c r="AF635" s="62"/>
      <c r="AG635" s="62"/>
      <c r="AH635" s="337">
        <v>10</v>
      </c>
      <c r="AI635" s="337">
        <v>0</v>
      </c>
      <c r="AJ635" s="337">
        <v>0</v>
      </c>
      <c r="AK635" s="337">
        <v>0</v>
      </c>
      <c r="AL635" s="556">
        <v>10</v>
      </c>
      <c r="AM635" s="567">
        <v>10</v>
      </c>
      <c r="AN635" s="45"/>
      <c r="AO635" s="45"/>
      <c r="AP635" s="44"/>
      <c r="AQ635" s="485">
        <f>AL635/BI635</f>
        <v>0.25</v>
      </c>
      <c r="AR635" s="485">
        <f>BL635/BH635</f>
        <v>0.4</v>
      </c>
      <c r="AS635" s="485">
        <f>BL635/BI635</f>
        <v>0.1</v>
      </c>
      <c r="AT635" s="100"/>
      <c r="AU635" s="100"/>
      <c r="AV635" s="100"/>
      <c r="AW635" s="69">
        <v>24</v>
      </c>
      <c r="AX635" s="69" t="s">
        <v>297</v>
      </c>
      <c r="AY635" s="243" t="s">
        <v>35</v>
      </c>
      <c r="AZ635" s="243" t="str">
        <f t="shared" si="252"/>
        <v>Pink</v>
      </c>
      <c r="BA635" s="243" t="s">
        <v>419</v>
      </c>
      <c r="BB635" s="244" t="s">
        <v>497</v>
      </c>
      <c r="BC635" s="43" t="str">
        <f t="shared" si="253"/>
        <v>Nov 19-25</v>
      </c>
      <c r="BD635" s="43">
        <f t="shared" si="273"/>
        <v>6</v>
      </c>
      <c r="BE635" s="193">
        <f t="shared" si="269"/>
        <v>4</v>
      </c>
      <c r="BF635" s="193">
        <f t="shared" si="254"/>
        <v>10</v>
      </c>
      <c r="BG635" s="193">
        <f t="shared" si="255"/>
        <v>10</v>
      </c>
      <c r="BH635" s="307">
        <f t="shared" si="271"/>
        <v>10</v>
      </c>
      <c r="BI635" s="265">
        <f t="shared" si="275"/>
        <v>40</v>
      </c>
      <c r="BJ635" s="26" t="str">
        <f t="shared" si="256"/>
        <v>BEDWELL SYSTEMPink</v>
      </c>
      <c r="BK635" s="26">
        <f t="shared" si="257"/>
        <v>6</v>
      </c>
      <c r="BL635" s="33">
        <f t="shared" si="274"/>
        <v>4</v>
      </c>
      <c r="BP635" s="34"/>
      <c r="BQ635" s="47" t="str">
        <f t="shared" si="258"/>
        <v>BEDWELL SYSTEMPink</v>
      </c>
      <c r="BR635" s="49">
        <f t="shared" si="259"/>
        <v>0</v>
      </c>
      <c r="BS635" s="49">
        <f t="shared" si="260"/>
        <v>10</v>
      </c>
      <c r="BT635" s="31">
        <v>2016</v>
      </c>
      <c r="BU635" s="188" t="str">
        <f t="shared" si="261"/>
        <v>TSES</v>
      </c>
      <c r="BV635" s="188" t="str">
        <f t="shared" si="262"/>
        <v>Oct 1-7</v>
      </c>
      <c r="BW635" s="188" t="str">
        <f t="shared" si="263"/>
        <v>Oct 29-Nov4</v>
      </c>
      <c r="BX635" s="188" t="str">
        <f t="shared" si="264"/>
        <v>Nov 19-25</v>
      </c>
      <c r="BY635" s="50" t="s">
        <v>392</v>
      </c>
      <c r="BZ635" s="50">
        <f>IFERROR(VLOOKUP(BY635,'[1]WCVI Esc'!$C$5:$W$555,18,FALSE),"-")</f>
        <v>9</v>
      </c>
      <c r="CA635" s="50">
        <f t="shared" si="265"/>
        <v>10</v>
      </c>
      <c r="CB635" s="50">
        <f>IFERROR(VLOOKUP(BY635,'[1]WCVI Esc'!$C$5:$W$555,19,FALSE),"-")</f>
        <v>40.888888888888886</v>
      </c>
      <c r="CC635" s="50">
        <f t="shared" si="266"/>
        <v>40</v>
      </c>
      <c r="CE635" s="342" t="str">
        <f t="shared" si="276"/>
        <v>BEDWELL SYSTEM_Pink</v>
      </c>
      <c r="CF635" s="341">
        <f>IFERROR(VLOOKUP(CE635,'RawPL+D'!$O$8:$AB$503,12,FALSE),"-")</f>
        <v>12</v>
      </c>
      <c r="CG635" s="338">
        <f t="shared" si="267"/>
        <v>10</v>
      </c>
      <c r="CH635" s="341">
        <f>IFERROR(VLOOKUP(CE635,'RawPL+D'!$O$8:$AB$503,13,FALSE),"-")</f>
        <v>6.25</v>
      </c>
      <c r="CI635" s="338">
        <f t="shared" si="268"/>
        <v>10</v>
      </c>
    </row>
    <row r="636" spans="1:87" ht="12.75" hidden="1" customHeight="1" x14ac:dyDescent="0.2">
      <c r="A636" s="29">
        <v>2</v>
      </c>
      <c r="B636" s="29">
        <v>4</v>
      </c>
      <c r="C636" s="13">
        <v>24</v>
      </c>
      <c r="D636" s="13" t="s">
        <v>297</v>
      </c>
      <c r="E636" s="10" t="s">
        <v>557</v>
      </c>
      <c r="F636" s="10" t="s">
        <v>209</v>
      </c>
      <c r="G636" s="10"/>
      <c r="H636" s="10"/>
      <c r="I636" s="10"/>
      <c r="J636" s="10"/>
      <c r="K636" s="575"/>
      <c r="L636" s="152"/>
      <c r="M636" s="422"/>
      <c r="N636" s="643">
        <v>0</v>
      </c>
      <c r="O636" s="643">
        <v>6</v>
      </c>
      <c r="P636" s="424"/>
      <c r="Q636" s="683">
        <f>266+1+4</f>
        <v>271</v>
      </c>
      <c r="R636" s="675">
        <f>1858+43</f>
        <v>1901</v>
      </c>
      <c r="S636" s="390"/>
      <c r="T636" s="420"/>
      <c r="U636" s="772">
        <f>1810+110+105+7</f>
        <v>2032</v>
      </c>
      <c r="V636" s="421"/>
      <c r="W636" s="390"/>
      <c r="X636" s="767">
        <v>0</v>
      </c>
      <c r="Y636" s="62"/>
      <c r="Z636" s="64"/>
      <c r="AA636" s="164"/>
      <c r="AB636" s="62"/>
      <c r="AC636" s="62"/>
      <c r="AD636" s="64"/>
      <c r="AE636" s="164"/>
      <c r="AF636" s="62"/>
      <c r="AG636" s="62"/>
      <c r="AH636" s="337">
        <v>4439</v>
      </c>
      <c r="AI636" s="337">
        <v>0</v>
      </c>
      <c r="AJ636" s="337">
        <v>0</v>
      </c>
      <c r="AK636" s="337">
        <v>0</v>
      </c>
      <c r="AL636" s="556">
        <v>4439</v>
      </c>
      <c r="AM636" s="567">
        <v>4439</v>
      </c>
      <c r="AN636" s="552" t="s">
        <v>768</v>
      </c>
      <c r="AO636" s="552" t="s">
        <v>775</v>
      </c>
      <c r="AP636" s="44"/>
      <c r="AQ636" s="485">
        <f>AL636/BI636</f>
        <v>1.4895973154362416</v>
      </c>
      <c r="AR636" s="485">
        <f>BL636/BH636</f>
        <v>1.6387096774193548</v>
      </c>
      <c r="AS636" s="485">
        <f>BL636/BI636</f>
        <v>0.68187919463087243</v>
      </c>
      <c r="AT636" s="123"/>
      <c r="AU636" s="123"/>
      <c r="AV636" s="123"/>
      <c r="AW636" s="69">
        <v>24</v>
      </c>
      <c r="AX636" s="69" t="s">
        <v>297</v>
      </c>
      <c r="AY636" s="243" t="s">
        <v>35</v>
      </c>
      <c r="AZ636" s="243" t="str">
        <f t="shared" si="252"/>
        <v>Chum</v>
      </c>
      <c r="BA636" s="243" t="s">
        <v>419</v>
      </c>
      <c r="BB636" s="244" t="s">
        <v>497</v>
      </c>
      <c r="BC636" s="43" t="str">
        <f t="shared" si="253"/>
        <v>Nov 19-25</v>
      </c>
      <c r="BD636" s="43">
        <f t="shared" si="273"/>
        <v>6</v>
      </c>
      <c r="BE636" s="193">
        <f t="shared" si="269"/>
        <v>2032</v>
      </c>
      <c r="BF636" s="193">
        <f t="shared" si="254"/>
        <v>4439</v>
      </c>
      <c r="BG636" s="193">
        <f t="shared" si="255"/>
        <v>4439</v>
      </c>
      <c r="BH636" s="307">
        <f t="shared" si="271"/>
        <v>1240</v>
      </c>
      <c r="BI636" s="265">
        <f t="shared" si="275"/>
        <v>2980</v>
      </c>
      <c r="BJ636" s="26" t="str">
        <f t="shared" si="256"/>
        <v>BEDWELL SYSTEMChum</v>
      </c>
      <c r="BK636" s="26">
        <f t="shared" si="257"/>
        <v>6</v>
      </c>
      <c r="BL636" s="33">
        <f t="shared" si="274"/>
        <v>2032</v>
      </c>
      <c r="BP636" s="34"/>
      <c r="BQ636" s="47" t="str">
        <f t="shared" si="258"/>
        <v>BEDWELL SYSTEMChum</v>
      </c>
      <c r="BR636" s="49">
        <f t="shared" si="259"/>
        <v>0</v>
      </c>
      <c r="BS636" s="49">
        <f t="shared" si="260"/>
        <v>4439</v>
      </c>
      <c r="BT636" s="31">
        <v>2016</v>
      </c>
      <c r="BU636" s="188" t="str">
        <f t="shared" si="261"/>
        <v>TSES</v>
      </c>
      <c r="BV636" s="188" t="str">
        <f t="shared" si="262"/>
        <v>Oct 1-7</v>
      </c>
      <c r="BW636" s="188" t="str">
        <f t="shared" si="263"/>
        <v>Oct 29-Nov4</v>
      </c>
      <c r="BX636" s="188" t="str">
        <f t="shared" si="264"/>
        <v>Nov 19-25</v>
      </c>
      <c r="BY636" s="50" t="s">
        <v>393</v>
      </c>
      <c r="BZ636" s="50">
        <f>IFERROR(VLOOKUP(BY636,'[1]WCVI Esc'!$C$5:$W$555,18,FALSE),"-")</f>
        <v>1962</v>
      </c>
      <c r="CA636" s="50">
        <f t="shared" si="265"/>
        <v>1960</v>
      </c>
      <c r="CB636" s="50">
        <f>IFERROR(VLOOKUP(BY636,'[1]WCVI Esc'!$C$5:$W$555,19,FALSE),"-")</f>
        <v>2981.5833333333335</v>
      </c>
      <c r="CC636" s="50">
        <f t="shared" si="266"/>
        <v>2980</v>
      </c>
      <c r="CE636" s="342" t="str">
        <f t="shared" si="276"/>
        <v>BEDWELL SYSTEM_Chum</v>
      </c>
      <c r="CF636" s="341">
        <f>IFERROR(VLOOKUP(CE636,'RawPL+D'!$O$8:$AB$503,12,FALSE),"-")</f>
        <v>1380</v>
      </c>
      <c r="CG636" s="338">
        <f t="shared" si="267"/>
        <v>1380</v>
      </c>
      <c r="CH636" s="341">
        <f>IFERROR(VLOOKUP(CE636,'RawPL+D'!$O$8:$AB$503,13,FALSE),"-")</f>
        <v>1235.5</v>
      </c>
      <c r="CI636" s="338">
        <f t="shared" si="268"/>
        <v>1240</v>
      </c>
    </row>
    <row r="637" spans="1:87" ht="12.75" hidden="1" customHeight="1" x14ac:dyDescent="0.2">
      <c r="A637" s="29">
        <v>2</v>
      </c>
      <c r="B637" s="29">
        <v>5</v>
      </c>
      <c r="C637" s="13">
        <v>24</v>
      </c>
      <c r="D637" s="13" t="s">
        <v>297</v>
      </c>
      <c r="E637" s="10" t="s">
        <v>557</v>
      </c>
      <c r="F637" s="10" t="s">
        <v>210</v>
      </c>
      <c r="G637" s="10"/>
      <c r="H637" s="10"/>
      <c r="I637" s="10"/>
      <c r="J637" s="10"/>
      <c r="K637" s="575"/>
      <c r="L637" s="152"/>
      <c r="M637" s="422"/>
      <c r="N637" s="643">
        <v>0</v>
      </c>
      <c r="O637" s="643">
        <v>20</v>
      </c>
      <c r="P637" s="564"/>
      <c r="Q637" s="685">
        <f>169+65</f>
        <v>234</v>
      </c>
      <c r="R637" s="675">
        <f>116+115</f>
        <v>231</v>
      </c>
      <c r="S637" s="390"/>
      <c r="T637" s="63"/>
      <c r="U637" s="771">
        <f>11+3+24+7</f>
        <v>45</v>
      </c>
      <c r="V637" s="164"/>
      <c r="W637" s="390"/>
      <c r="X637" s="767">
        <v>0</v>
      </c>
      <c r="Y637" s="62"/>
      <c r="Z637" s="64"/>
      <c r="AA637" s="164"/>
      <c r="AB637" s="62"/>
      <c r="AC637" s="62"/>
      <c r="AD637" s="64"/>
      <c r="AE637" s="164"/>
      <c r="AF637" s="62"/>
      <c r="AG637" s="62"/>
      <c r="AH637" s="337">
        <v>308</v>
      </c>
      <c r="AI637" s="337">
        <v>0</v>
      </c>
      <c r="AJ637" s="337">
        <v>0</v>
      </c>
      <c r="AK637" s="337">
        <v>0</v>
      </c>
      <c r="AL637" s="555">
        <v>308</v>
      </c>
      <c r="AM637" s="552">
        <v>308</v>
      </c>
      <c r="AN637" s="552" t="s">
        <v>768</v>
      </c>
      <c r="AO637" s="552" t="s">
        <v>775</v>
      </c>
      <c r="AP637" s="44"/>
      <c r="AQ637" s="485">
        <f>AL637/BI637</f>
        <v>0.7</v>
      </c>
      <c r="AR637" s="485">
        <f>BL637/BH637</f>
        <v>1.0636363636363637</v>
      </c>
      <c r="AS637" s="485">
        <f>BL637/BI637</f>
        <v>0.53181818181818186</v>
      </c>
      <c r="AT637" s="123">
        <v>493</v>
      </c>
      <c r="AU637" s="123">
        <v>147</v>
      </c>
      <c r="AV637" s="123">
        <f>AL637</f>
        <v>308</v>
      </c>
      <c r="AW637" s="69">
        <v>24</v>
      </c>
      <c r="AX637" s="69" t="s">
        <v>297</v>
      </c>
      <c r="AY637" s="243" t="s">
        <v>35</v>
      </c>
      <c r="AZ637" s="243" t="str">
        <f t="shared" si="252"/>
        <v>Chinook</v>
      </c>
      <c r="BA637" s="243" t="s">
        <v>419</v>
      </c>
      <c r="BB637" s="244" t="s">
        <v>497</v>
      </c>
      <c r="BC637" s="43" t="str">
        <f t="shared" si="253"/>
        <v>Nov 19-25</v>
      </c>
      <c r="BD637" s="43">
        <f t="shared" si="273"/>
        <v>6</v>
      </c>
      <c r="BE637" s="193">
        <f t="shared" si="269"/>
        <v>234</v>
      </c>
      <c r="BF637" s="193">
        <f t="shared" si="254"/>
        <v>308</v>
      </c>
      <c r="BG637" s="193">
        <f t="shared" si="255"/>
        <v>308</v>
      </c>
      <c r="BH637" s="307">
        <f t="shared" si="271"/>
        <v>220</v>
      </c>
      <c r="BI637" s="265">
        <f t="shared" si="275"/>
        <v>440</v>
      </c>
      <c r="BJ637" s="26" t="str">
        <f t="shared" si="256"/>
        <v>BEDWELL SYSTEMChinook</v>
      </c>
      <c r="BK637" s="26">
        <f t="shared" si="257"/>
        <v>6</v>
      </c>
      <c r="BL637" s="33">
        <f t="shared" si="274"/>
        <v>234</v>
      </c>
      <c r="BM637" s="34">
        <f>BL637*1.14</f>
        <v>266.76</v>
      </c>
      <c r="BN637" s="34">
        <f>BL637*2.88</f>
        <v>673.92</v>
      </c>
      <c r="BO637" s="35" t="s">
        <v>234</v>
      </c>
      <c r="BP637" s="34">
        <f>SUM(BM637:BN637)/2</f>
        <v>470.34</v>
      </c>
      <c r="BQ637" s="47" t="str">
        <f t="shared" si="258"/>
        <v>BEDWELL SYSTEMChinook</v>
      </c>
      <c r="BR637" s="49">
        <f t="shared" si="259"/>
        <v>0</v>
      </c>
      <c r="BS637" s="49">
        <f t="shared" si="260"/>
        <v>308</v>
      </c>
      <c r="BT637" s="31">
        <v>2016</v>
      </c>
      <c r="BU637" s="188" t="str">
        <f t="shared" si="261"/>
        <v>TSES</v>
      </c>
      <c r="BV637" s="188" t="str">
        <f t="shared" si="262"/>
        <v>Oct 1-7</v>
      </c>
      <c r="BW637" s="188" t="str">
        <f t="shared" si="263"/>
        <v>Oct 29-Nov4</v>
      </c>
      <c r="BX637" s="188" t="str">
        <f t="shared" si="264"/>
        <v>Nov 19-25</v>
      </c>
      <c r="BY637" s="50" t="s">
        <v>394</v>
      </c>
      <c r="BZ637" s="50">
        <f>IFERROR(VLOOKUP(BY637,'[1]WCVI Esc'!$C$5:$W$555,18,FALSE),"-")</f>
        <v>319.25</v>
      </c>
      <c r="CA637" s="50">
        <f t="shared" si="265"/>
        <v>320</v>
      </c>
      <c r="CB637" s="50">
        <f>IFERROR(VLOOKUP(BY637,'[1]WCVI Esc'!$C$5:$W$555,19,FALSE),"-")</f>
        <v>441</v>
      </c>
      <c r="CC637" s="50">
        <f t="shared" si="266"/>
        <v>440</v>
      </c>
      <c r="CE637" s="342" t="str">
        <f t="shared" si="276"/>
        <v>BEDWELL SYSTEM_Chinook</v>
      </c>
      <c r="CF637" s="341">
        <f>IFERROR(VLOOKUP(CE637,'RawPL+D'!$O$8:$AB$503,12,FALSE),"-")</f>
        <v>53</v>
      </c>
      <c r="CG637" s="338">
        <f t="shared" si="267"/>
        <v>50</v>
      </c>
      <c r="CH637" s="341">
        <f>IFERROR(VLOOKUP(CE637,'RawPL+D'!$O$8:$AB$503,13,FALSE),"-")</f>
        <v>224</v>
      </c>
      <c r="CI637" s="338">
        <f t="shared" si="268"/>
        <v>220</v>
      </c>
    </row>
    <row r="638" spans="1:87" ht="12.75" hidden="1" customHeight="1" x14ac:dyDescent="0.2">
      <c r="A638" s="29">
        <v>2</v>
      </c>
      <c r="B638" s="29">
        <v>6</v>
      </c>
      <c r="C638" s="13">
        <v>24</v>
      </c>
      <c r="D638" s="13" t="s">
        <v>297</v>
      </c>
      <c r="E638" s="10" t="s">
        <v>557</v>
      </c>
      <c r="F638" s="10" t="s">
        <v>211</v>
      </c>
      <c r="G638" s="10"/>
      <c r="H638" s="10"/>
      <c r="I638" s="10"/>
      <c r="J638" s="10"/>
      <c r="K638" s="575"/>
      <c r="L638" s="152"/>
      <c r="M638" s="422"/>
      <c r="N638" s="643">
        <v>0</v>
      </c>
      <c r="O638" s="643">
        <v>0</v>
      </c>
      <c r="P638" s="424"/>
      <c r="Q638" s="683">
        <v>1</v>
      </c>
      <c r="R638" s="642">
        <v>1</v>
      </c>
      <c r="S638" s="62"/>
      <c r="T638" s="63"/>
      <c r="U638" s="771">
        <v>0</v>
      </c>
      <c r="V638" s="164"/>
      <c r="W638" s="62"/>
      <c r="X638" s="642">
        <v>0</v>
      </c>
      <c r="Y638" s="62"/>
      <c r="Z638" s="64"/>
      <c r="AA638" s="164"/>
      <c r="AB638" s="62"/>
      <c r="AC638" s="62"/>
      <c r="AD638" s="64"/>
      <c r="AE638" s="164"/>
      <c r="AF638" s="62"/>
      <c r="AG638" s="62"/>
      <c r="AH638" s="337"/>
      <c r="AI638" s="337"/>
      <c r="AJ638" s="337"/>
      <c r="AK638" s="337"/>
      <c r="AL638" s="556"/>
      <c r="AM638" s="567"/>
      <c r="AN638" s="46"/>
      <c r="AO638" s="46"/>
      <c r="AP638" s="44"/>
      <c r="AQ638" s="485"/>
      <c r="AR638" s="485"/>
      <c r="AS638" s="485"/>
      <c r="AT638" s="100"/>
      <c r="AU638" s="100"/>
      <c r="AV638"/>
      <c r="AW638" s="69">
        <v>24</v>
      </c>
      <c r="AX638" s="69" t="s">
        <v>297</v>
      </c>
      <c r="AY638" s="243" t="s">
        <v>35</v>
      </c>
      <c r="AZ638" s="243" t="str">
        <f t="shared" si="252"/>
        <v>Steelhead</v>
      </c>
      <c r="BA638" s="243" t="s">
        <v>419</v>
      </c>
      <c r="BB638" s="244" t="s">
        <v>497</v>
      </c>
      <c r="BC638" s="43" t="str">
        <f t="shared" si="253"/>
        <v>Nov 19-25</v>
      </c>
      <c r="BD638" s="43">
        <f t="shared" si="273"/>
        <v>6</v>
      </c>
      <c r="BE638" s="193">
        <f t="shared" si="269"/>
        <v>1</v>
      </c>
      <c r="BF638" s="193">
        <f t="shared" si="254"/>
        <v>0</v>
      </c>
      <c r="BG638" s="193">
        <f t="shared" si="255"/>
        <v>0</v>
      </c>
      <c r="BH638" s="307" t="str">
        <f t="shared" si="271"/>
        <v>-</v>
      </c>
      <c r="BI638" s="265" t="str">
        <f t="shared" si="275"/>
        <v>-</v>
      </c>
      <c r="BJ638" s="26" t="str">
        <f t="shared" si="256"/>
        <v>BEDWELL SYSTEMSteelhead</v>
      </c>
      <c r="BK638" s="26">
        <f t="shared" si="257"/>
        <v>6</v>
      </c>
      <c r="BL638" s="33">
        <f t="shared" si="274"/>
        <v>1</v>
      </c>
      <c r="BP638" s="34"/>
      <c r="BQ638" s="47" t="str">
        <f t="shared" si="258"/>
        <v>BEDWELL SYSTEMSteelhead</v>
      </c>
      <c r="BR638" s="49">
        <f t="shared" si="259"/>
        <v>0</v>
      </c>
      <c r="BS638" s="49">
        <f t="shared" si="260"/>
        <v>0</v>
      </c>
      <c r="BT638" s="31">
        <v>0</v>
      </c>
      <c r="BU638" s="188" t="str">
        <f t="shared" si="261"/>
        <v>TSES</v>
      </c>
      <c r="BV638" s="188" t="str">
        <f t="shared" si="262"/>
        <v>Oct 1-7</v>
      </c>
      <c r="BW638" s="188" t="str">
        <f t="shared" si="263"/>
        <v>Oct 29-Nov4</v>
      </c>
      <c r="BX638" s="188" t="str">
        <f t="shared" si="264"/>
        <v>Nov 19-25</v>
      </c>
      <c r="BY638" s="50" t="s">
        <v>395</v>
      </c>
      <c r="BZ638" s="50" t="str">
        <f>IFERROR(VLOOKUP(BY638,'[1]WCVI Esc'!$C$5:$W$555,18,FALSE),"-")</f>
        <v>-</v>
      </c>
      <c r="CA638" s="50" t="str">
        <f t="shared" si="265"/>
        <v>-</v>
      </c>
      <c r="CB638" s="50" t="str">
        <f>IFERROR(VLOOKUP(BY638,'[1]WCVI Esc'!$C$5:$W$555,19,FALSE),"-")</f>
        <v>-</v>
      </c>
      <c r="CC638" s="50" t="str">
        <f t="shared" si="266"/>
        <v>-</v>
      </c>
      <c r="CE638" s="342" t="str">
        <f t="shared" si="276"/>
        <v>BEDWELL SYSTEM_Steelhead</v>
      </c>
      <c r="CF638" s="341" t="str">
        <f>IFERROR(VLOOKUP(BY638,'RawPL+D'!$O$8:$AB$503,12,FALSE),"-")</f>
        <v>-</v>
      </c>
      <c r="CG638" s="338" t="str">
        <f t="shared" si="267"/>
        <v>-</v>
      </c>
      <c r="CH638" s="341" t="str">
        <f>IFERROR(VLOOKUP(BY638,'RawPL+D'!$O$8:$AB$503,13,FALSE),"-")</f>
        <v>-</v>
      </c>
      <c r="CI638" s="338" t="str">
        <f t="shared" si="268"/>
        <v>-</v>
      </c>
    </row>
    <row r="639" spans="1:87" ht="12.75" hidden="1" customHeight="1" x14ac:dyDescent="0.2">
      <c r="A639" s="29">
        <v>2</v>
      </c>
      <c r="B639" s="29">
        <v>1</v>
      </c>
      <c r="C639" s="13">
        <v>24</v>
      </c>
      <c r="D639" s="13" t="s">
        <v>297</v>
      </c>
      <c r="E639" s="10" t="s">
        <v>41</v>
      </c>
      <c r="F639" s="10" t="s">
        <v>207</v>
      </c>
      <c r="G639" s="10"/>
      <c r="H639" s="10"/>
      <c r="I639" s="10"/>
      <c r="J639" s="10"/>
      <c r="K639" s="575"/>
      <c r="L639" s="152"/>
      <c r="M639" s="422"/>
      <c r="N639" s="339"/>
      <c r="O639" s="643">
        <v>101</v>
      </c>
      <c r="P639" s="177"/>
      <c r="Q639" s="683">
        <v>0</v>
      </c>
      <c r="R639" s="554"/>
      <c r="S639" s="62"/>
      <c r="T639" s="62"/>
      <c r="U639" s="162"/>
      <c r="V639" s="421"/>
      <c r="W639" s="676">
        <f>666+107</f>
        <v>773</v>
      </c>
      <c r="X639" s="63"/>
      <c r="Y639" s="62"/>
      <c r="Z639" s="64"/>
      <c r="AA639" s="164"/>
      <c r="AB639" s="62"/>
      <c r="AC639" s="62"/>
      <c r="AD639" s="64"/>
      <c r="AE639" s="164"/>
      <c r="AF639" s="62"/>
      <c r="AG639" s="62"/>
      <c r="AH639" s="337">
        <v>859</v>
      </c>
      <c r="AI639" s="337">
        <v>1</v>
      </c>
      <c r="AJ639" s="337">
        <v>0</v>
      </c>
      <c r="AK639" s="337">
        <v>0</v>
      </c>
      <c r="AL639" s="555">
        <v>859</v>
      </c>
      <c r="AM639" s="552">
        <v>860</v>
      </c>
      <c r="AN639" s="552" t="s">
        <v>765</v>
      </c>
      <c r="AO639" s="552" t="s">
        <v>773</v>
      </c>
      <c r="AP639" s="44"/>
      <c r="AQ639" s="485">
        <f>AL639/BI639</f>
        <v>0.65075757575757576</v>
      </c>
      <c r="AR639" s="485">
        <f>BL639/BH639</f>
        <v>0.62845528455284549</v>
      </c>
      <c r="AS639" s="485">
        <f>BL639/BI639</f>
        <v>0.58560606060606057</v>
      </c>
      <c r="AT639" s="123"/>
      <c r="AU639" s="123"/>
      <c r="AV639" s="123"/>
      <c r="AW639" s="69">
        <v>24</v>
      </c>
      <c r="AX639" s="69" t="s">
        <v>297</v>
      </c>
      <c r="AY639" s="243" t="s">
        <v>41</v>
      </c>
      <c r="AZ639" s="243" t="str">
        <f t="shared" si="252"/>
        <v>Sockeye</v>
      </c>
      <c r="BA639" s="243" t="s">
        <v>419</v>
      </c>
      <c r="BB639" s="244" t="s">
        <v>497</v>
      </c>
      <c r="BC639" s="43" t="str">
        <f t="shared" si="253"/>
        <v>Nov 12-18</v>
      </c>
      <c r="BD639" s="43">
        <f t="shared" si="273"/>
        <v>3</v>
      </c>
      <c r="BE639" s="193">
        <f t="shared" si="269"/>
        <v>773</v>
      </c>
      <c r="BF639" s="193">
        <f t="shared" si="254"/>
        <v>859</v>
      </c>
      <c r="BG639" s="193">
        <f t="shared" si="255"/>
        <v>859</v>
      </c>
      <c r="BH639" s="307">
        <f t="shared" si="271"/>
        <v>1230</v>
      </c>
      <c r="BI639" s="265">
        <f t="shared" si="275"/>
        <v>1320</v>
      </c>
      <c r="BJ639" s="26" t="str">
        <f t="shared" si="256"/>
        <v>MEGIN RIVERSockeye</v>
      </c>
      <c r="BK639" s="26">
        <f t="shared" si="257"/>
        <v>3</v>
      </c>
      <c r="BL639" s="33">
        <f t="shared" si="274"/>
        <v>773</v>
      </c>
      <c r="BP639" s="34"/>
      <c r="BQ639" s="47" t="str">
        <f t="shared" si="258"/>
        <v>MEGIN RIVERSockeye</v>
      </c>
      <c r="BR639" s="49">
        <f t="shared" si="259"/>
        <v>0</v>
      </c>
      <c r="BS639" s="49">
        <f t="shared" si="260"/>
        <v>859</v>
      </c>
      <c r="BT639" s="31">
        <v>2016</v>
      </c>
      <c r="BU639" s="188" t="str">
        <f t="shared" si="261"/>
        <v>TSES</v>
      </c>
      <c r="BV639" s="188" t="str">
        <f t="shared" si="262"/>
        <v>Oct 1-7</v>
      </c>
      <c r="BW639" s="188" t="str">
        <f t="shared" si="263"/>
        <v>Nov 12-18</v>
      </c>
      <c r="BX639" s="188" t="str">
        <f t="shared" si="264"/>
        <v xml:space="preserve"> </v>
      </c>
      <c r="BY639" s="50" t="str">
        <f t="shared" ref="BY639:BY702" si="277">CONCATENATE(E639,"_",F639)</f>
        <v>MEGIN RIVER_Sockeye</v>
      </c>
      <c r="BZ639" s="50">
        <f>IFERROR(VLOOKUP(BY639,'[1]WCVI Esc'!$C$5:$W$555,18,FALSE),"-")</f>
        <v>1364</v>
      </c>
      <c r="CA639" s="50">
        <f t="shared" si="265"/>
        <v>1360</v>
      </c>
      <c r="CB639" s="50">
        <f>IFERROR(VLOOKUP(BY639,'[1]WCVI Esc'!$C$5:$W$555,19,FALSE),"-")</f>
        <v>1322</v>
      </c>
      <c r="CC639" s="50">
        <f t="shared" si="266"/>
        <v>1320</v>
      </c>
      <c r="CE639" s="342" t="str">
        <f t="shared" si="276"/>
        <v>MEGIN RIVER_Sockeye</v>
      </c>
      <c r="CF639" s="341">
        <f>IFERROR(VLOOKUP(CE639,'RawPL+D'!$O$8:$AB$503,12,FALSE),"-")</f>
        <v>2893</v>
      </c>
      <c r="CG639" s="338">
        <f t="shared" si="267"/>
        <v>2890</v>
      </c>
      <c r="CH639" s="341">
        <f>IFERROR(VLOOKUP(CE639,'RawPL+D'!$O$8:$AB$503,13,FALSE),"-")</f>
        <v>1227.75</v>
      </c>
      <c r="CI639" s="338">
        <f t="shared" si="268"/>
        <v>1230</v>
      </c>
    </row>
    <row r="640" spans="1:87" ht="12.75" hidden="1" customHeight="1" x14ac:dyDescent="0.2">
      <c r="A640" s="29">
        <v>2</v>
      </c>
      <c r="B640" s="29">
        <v>2</v>
      </c>
      <c r="C640" s="13">
        <v>24</v>
      </c>
      <c r="D640" s="13" t="s">
        <v>297</v>
      </c>
      <c r="E640" s="10" t="s">
        <v>41</v>
      </c>
      <c r="F640" s="10" t="s">
        <v>219</v>
      </c>
      <c r="G640" s="10"/>
      <c r="H640" s="10"/>
      <c r="I640" s="10"/>
      <c r="J640" s="10"/>
      <c r="K640" s="575"/>
      <c r="L640" s="152"/>
      <c r="M640" s="422"/>
      <c r="N640" s="339"/>
      <c r="O640" s="643">
        <v>774</v>
      </c>
      <c r="P640" s="177"/>
      <c r="Q640" s="683">
        <v>257</v>
      </c>
      <c r="R640" s="339"/>
      <c r="S640" s="62"/>
      <c r="T640" s="62"/>
      <c r="U640" s="162"/>
      <c r="V640" s="426"/>
      <c r="W640" s="646">
        <f>579+3</f>
        <v>582</v>
      </c>
      <c r="X640" s="63"/>
      <c r="Y640" s="62"/>
      <c r="Z640" s="64"/>
      <c r="AA640" s="164"/>
      <c r="AB640" s="62"/>
      <c r="AC640" s="62"/>
      <c r="AD640" s="64"/>
      <c r="AE640" s="164"/>
      <c r="AF640" s="62"/>
      <c r="AG640" s="62"/>
      <c r="AH640" s="337">
        <v>960</v>
      </c>
      <c r="AI640" s="337">
        <v>113</v>
      </c>
      <c r="AJ640" s="337">
        <v>0</v>
      </c>
      <c r="AK640" s="337">
        <v>0</v>
      </c>
      <c r="AL640" s="555">
        <v>960</v>
      </c>
      <c r="AM640" s="552">
        <v>1073</v>
      </c>
      <c r="AN640" s="552" t="s">
        <v>765</v>
      </c>
      <c r="AO640" s="552" t="s">
        <v>773</v>
      </c>
      <c r="AP640" s="44"/>
      <c r="AQ640" s="485">
        <f>AL640/BI640</f>
        <v>0.79338842975206614</v>
      </c>
      <c r="AR640" s="485">
        <f>BL640/BH640</f>
        <v>0.69729729729729728</v>
      </c>
      <c r="AS640" s="485">
        <f>BL640/BI640</f>
        <v>0.63966942148760331</v>
      </c>
      <c r="AT640" s="123"/>
      <c r="AU640" s="123"/>
      <c r="AV640" s="123"/>
      <c r="AW640" s="69">
        <v>24</v>
      </c>
      <c r="AX640" s="69" t="s">
        <v>297</v>
      </c>
      <c r="AY640" s="243" t="s">
        <v>41</v>
      </c>
      <c r="AZ640" s="243" t="str">
        <f t="shared" si="252"/>
        <v>Coho</v>
      </c>
      <c r="BA640" s="243" t="s">
        <v>419</v>
      </c>
      <c r="BB640" s="244" t="s">
        <v>497</v>
      </c>
      <c r="BC640" s="43" t="str">
        <f t="shared" si="253"/>
        <v>Nov 12-18</v>
      </c>
      <c r="BD640" s="43">
        <f t="shared" si="273"/>
        <v>3</v>
      </c>
      <c r="BE640" s="193">
        <f t="shared" si="269"/>
        <v>774</v>
      </c>
      <c r="BF640" s="193">
        <f t="shared" si="254"/>
        <v>960</v>
      </c>
      <c r="BG640" s="193">
        <f t="shared" si="255"/>
        <v>960</v>
      </c>
      <c r="BH640" s="307">
        <f t="shared" si="271"/>
        <v>1110</v>
      </c>
      <c r="BI640" s="265">
        <f t="shared" si="275"/>
        <v>1210</v>
      </c>
      <c r="BJ640" s="26" t="str">
        <f t="shared" si="256"/>
        <v>MEGIN RIVERCoho</v>
      </c>
      <c r="BK640" s="26">
        <f t="shared" si="257"/>
        <v>3</v>
      </c>
      <c r="BL640" s="33">
        <f t="shared" si="274"/>
        <v>774</v>
      </c>
      <c r="BP640" s="34"/>
      <c r="BQ640" s="47" t="str">
        <f t="shared" si="258"/>
        <v>MEGIN RIVERCoho</v>
      </c>
      <c r="BR640" s="49">
        <f t="shared" si="259"/>
        <v>0</v>
      </c>
      <c r="BS640" s="49">
        <f t="shared" si="260"/>
        <v>960</v>
      </c>
      <c r="BT640" s="31">
        <v>2016</v>
      </c>
      <c r="BU640" s="188" t="str">
        <f t="shared" si="261"/>
        <v>TSES</v>
      </c>
      <c r="BV640" s="188" t="str">
        <f t="shared" si="262"/>
        <v>Oct 1-7</v>
      </c>
      <c r="BW640" s="188" t="str">
        <f t="shared" si="263"/>
        <v>Nov 12-18</v>
      </c>
      <c r="BX640" s="188" t="str">
        <f t="shared" si="264"/>
        <v xml:space="preserve"> </v>
      </c>
      <c r="BY640" s="50" t="str">
        <f t="shared" si="277"/>
        <v>MEGIN RIVER_Coho</v>
      </c>
      <c r="BZ640" s="50">
        <f>IFERROR(VLOOKUP(BY640,'[1]WCVI Esc'!$C$5:$W$555,18,FALSE),"-")</f>
        <v>1236.75</v>
      </c>
      <c r="CA640" s="50">
        <f t="shared" si="265"/>
        <v>1240</v>
      </c>
      <c r="CB640" s="50">
        <f>IFERROR(VLOOKUP(BY640,'[1]WCVI Esc'!$C$5:$W$555,19,FALSE),"-")</f>
        <v>1205.5</v>
      </c>
      <c r="CC640" s="50">
        <f t="shared" si="266"/>
        <v>1210</v>
      </c>
      <c r="CE640" s="342" t="str">
        <f t="shared" si="276"/>
        <v>MEGIN RIVER_Coho</v>
      </c>
      <c r="CF640" s="341">
        <f>IFERROR(VLOOKUP(CE640,'RawPL+D'!$O$8:$AB$503,12,FALSE),"-")</f>
        <v>1896</v>
      </c>
      <c r="CG640" s="338">
        <f t="shared" si="267"/>
        <v>1900</v>
      </c>
      <c r="CH640" s="341">
        <f>IFERROR(VLOOKUP(CE640,'RawPL+D'!$O$8:$AB$503,13,FALSE),"-")</f>
        <v>1105</v>
      </c>
      <c r="CI640" s="338">
        <f t="shared" si="268"/>
        <v>1110</v>
      </c>
    </row>
    <row r="641" spans="1:87" ht="12.75" hidden="1" customHeight="1" x14ac:dyDescent="0.2">
      <c r="A641" s="29">
        <v>2</v>
      </c>
      <c r="B641" s="29">
        <v>3</v>
      </c>
      <c r="C641" s="13">
        <v>24</v>
      </c>
      <c r="D641" s="13" t="s">
        <v>297</v>
      </c>
      <c r="E641" s="10" t="s">
        <v>41</v>
      </c>
      <c r="F641" s="10" t="s">
        <v>208</v>
      </c>
      <c r="G641" s="10"/>
      <c r="H641" s="10"/>
      <c r="I641" s="10"/>
      <c r="J641" s="10"/>
      <c r="K641" s="575"/>
      <c r="L641" s="152"/>
      <c r="M641" s="422"/>
      <c r="N641" s="339"/>
      <c r="O641" s="645">
        <v>14</v>
      </c>
      <c r="P641" s="177"/>
      <c r="Q641" s="683">
        <v>0</v>
      </c>
      <c r="R641" s="339"/>
      <c r="S641" s="62"/>
      <c r="T641" s="62"/>
      <c r="U641" s="162"/>
      <c r="V641" s="164"/>
      <c r="W641" s="642">
        <v>0</v>
      </c>
      <c r="X641" s="63"/>
      <c r="Y641" s="62"/>
      <c r="Z641" s="64"/>
      <c r="AA641" s="164"/>
      <c r="AB641" s="62"/>
      <c r="AC641" s="62"/>
      <c r="AD641" s="64"/>
      <c r="AE641" s="164"/>
      <c r="AF641" s="62"/>
      <c r="AG641" s="62"/>
      <c r="AH641" s="337">
        <v>16</v>
      </c>
      <c r="AI641" s="337">
        <v>0</v>
      </c>
      <c r="AJ641" s="337">
        <v>0</v>
      </c>
      <c r="AK641" s="337">
        <v>0</v>
      </c>
      <c r="AL641" s="555">
        <v>16</v>
      </c>
      <c r="AM641" s="552">
        <v>16</v>
      </c>
      <c r="AN641" s="552" t="s">
        <v>765</v>
      </c>
      <c r="AO641" s="552" t="s">
        <v>773</v>
      </c>
      <c r="AP641" s="44"/>
      <c r="AQ641" s="485">
        <f>AL641/BI641</f>
        <v>0.53333333333333333</v>
      </c>
      <c r="AR641" s="485" t="e">
        <f>BL641/BH641</f>
        <v>#DIV/0!</v>
      </c>
      <c r="AS641" s="485">
        <f>BL641/BI641</f>
        <v>0.46666666666666667</v>
      </c>
      <c r="AT641" s="123"/>
      <c r="AU641" s="123"/>
      <c r="AV641" s="123"/>
      <c r="AW641" s="69">
        <v>24</v>
      </c>
      <c r="AX641" s="69" t="s">
        <v>297</v>
      </c>
      <c r="AY641" s="243" t="s">
        <v>41</v>
      </c>
      <c r="AZ641" s="243" t="str">
        <f t="shared" si="252"/>
        <v>Pink</v>
      </c>
      <c r="BA641" s="243" t="s">
        <v>419</v>
      </c>
      <c r="BB641" s="244" t="s">
        <v>497</v>
      </c>
      <c r="BC641" s="43" t="str">
        <f t="shared" si="253"/>
        <v>Nov 12-18</v>
      </c>
      <c r="BD641" s="43">
        <f t="shared" si="273"/>
        <v>3</v>
      </c>
      <c r="BE641" s="193">
        <f t="shared" si="269"/>
        <v>14</v>
      </c>
      <c r="BF641" s="193">
        <f t="shared" si="254"/>
        <v>16</v>
      </c>
      <c r="BG641" s="193">
        <f t="shared" si="255"/>
        <v>16</v>
      </c>
      <c r="BH641" s="307">
        <f t="shared" si="271"/>
        <v>0</v>
      </c>
      <c r="BI641" s="265">
        <f t="shared" si="275"/>
        <v>30</v>
      </c>
      <c r="BJ641" s="26" t="str">
        <f t="shared" si="256"/>
        <v>MEGIN RIVERPink</v>
      </c>
      <c r="BK641" s="26">
        <f t="shared" si="257"/>
        <v>3</v>
      </c>
      <c r="BL641" s="33">
        <f t="shared" si="274"/>
        <v>14</v>
      </c>
      <c r="BP641" s="34"/>
      <c r="BQ641" s="47" t="str">
        <f t="shared" si="258"/>
        <v>MEGIN RIVERPink</v>
      </c>
      <c r="BR641" s="49">
        <f t="shared" si="259"/>
        <v>0</v>
      </c>
      <c r="BS641" s="49">
        <f t="shared" si="260"/>
        <v>16</v>
      </c>
      <c r="BT641" s="31">
        <v>2016</v>
      </c>
      <c r="BU641" s="188" t="str">
        <f t="shared" si="261"/>
        <v>TSES</v>
      </c>
      <c r="BV641" s="188" t="str">
        <f t="shared" si="262"/>
        <v>Oct 1-7</v>
      </c>
      <c r="BW641" s="188" t="str">
        <f t="shared" si="263"/>
        <v>Nov 12-18</v>
      </c>
      <c r="BX641" s="188" t="str">
        <f t="shared" si="264"/>
        <v xml:space="preserve"> </v>
      </c>
      <c r="BY641" s="50" t="str">
        <f t="shared" si="277"/>
        <v>MEGIN RIVER_Pink</v>
      </c>
      <c r="BZ641" s="50">
        <f>IFERROR(VLOOKUP(BY641,'[1]WCVI Esc'!$C$5:$W$555,18,FALSE),"-")</f>
        <v>1</v>
      </c>
      <c r="CA641" s="50">
        <f t="shared" si="265"/>
        <v>0</v>
      </c>
      <c r="CB641" s="50">
        <f>IFERROR(VLOOKUP(BY641,'[1]WCVI Esc'!$C$5:$W$555,19,FALSE),"-")</f>
        <v>25.2</v>
      </c>
      <c r="CC641" s="50">
        <f t="shared" si="266"/>
        <v>30</v>
      </c>
      <c r="CE641" s="342" t="str">
        <f t="shared" si="276"/>
        <v>MEGIN RIVER_Pink</v>
      </c>
      <c r="CF641" s="341">
        <f>IFERROR(VLOOKUP(CE641,'RawPL+D'!$O$8:$AB$503,12,FALSE),"-")</f>
        <v>0</v>
      </c>
      <c r="CG641" s="338">
        <f t="shared" si="267"/>
        <v>0</v>
      </c>
      <c r="CH641" s="341">
        <f>IFERROR(VLOOKUP(CE641,'RawPL+D'!$O$8:$AB$503,13,FALSE),"-")</f>
        <v>0.25</v>
      </c>
      <c r="CI641" s="338">
        <f t="shared" si="268"/>
        <v>0</v>
      </c>
    </row>
    <row r="642" spans="1:87" ht="12.75" hidden="1" customHeight="1" x14ac:dyDescent="0.2">
      <c r="A642" s="29">
        <v>2</v>
      </c>
      <c r="B642" s="29">
        <v>4</v>
      </c>
      <c r="C642" s="13">
        <v>24</v>
      </c>
      <c r="D642" s="13" t="s">
        <v>297</v>
      </c>
      <c r="E642" s="10" t="s">
        <v>41</v>
      </c>
      <c r="F642" s="10" t="s">
        <v>209</v>
      </c>
      <c r="G642" s="10"/>
      <c r="H642" s="10"/>
      <c r="I642" s="10"/>
      <c r="J642" s="10"/>
      <c r="K642" s="575"/>
      <c r="L642" s="152"/>
      <c r="M642" s="422"/>
      <c r="N642" s="339"/>
      <c r="O642" s="643">
        <v>10</v>
      </c>
      <c r="P642" s="177"/>
      <c r="Q642" s="685">
        <f>182+1</f>
        <v>183</v>
      </c>
      <c r="R642" s="339"/>
      <c r="S642" s="62"/>
      <c r="T642" s="62"/>
      <c r="U642" s="162"/>
      <c r="V642" s="164"/>
      <c r="W642" s="642">
        <v>0</v>
      </c>
      <c r="X642" s="63"/>
      <c r="Y642" s="62"/>
      <c r="Z642" s="64"/>
      <c r="AA642" s="164"/>
      <c r="AB642" s="62"/>
      <c r="AC642" s="62"/>
      <c r="AD642" s="64"/>
      <c r="AE642" s="164"/>
      <c r="AF642" s="62"/>
      <c r="AG642" s="62"/>
      <c r="AH642" s="337">
        <v>203</v>
      </c>
      <c r="AI642" s="337">
        <v>0</v>
      </c>
      <c r="AJ642" s="337">
        <v>0</v>
      </c>
      <c r="AK642" s="337">
        <v>0</v>
      </c>
      <c r="AL642" s="555">
        <v>203</v>
      </c>
      <c r="AM642" s="552">
        <v>203</v>
      </c>
      <c r="AN642" s="552" t="s">
        <v>765</v>
      </c>
      <c r="AO642" s="552" t="s">
        <v>773</v>
      </c>
      <c r="AP642" s="44"/>
      <c r="AQ642" s="485">
        <f>AL642/BI642</f>
        <v>0.22808988764044943</v>
      </c>
      <c r="AR642" s="485">
        <f>BL642/BH642</f>
        <v>3.66</v>
      </c>
      <c r="AS642" s="485">
        <f>BL642/BI642</f>
        <v>0.20561797752808988</v>
      </c>
      <c r="AT642" s="123"/>
      <c r="AU642" s="123"/>
      <c r="AV642" s="123"/>
      <c r="AW642" s="69">
        <v>24</v>
      </c>
      <c r="AX642" s="69" t="s">
        <v>297</v>
      </c>
      <c r="AY642" s="243" t="s">
        <v>41</v>
      </c>
      <c r="AZ642" s="243" t="str">
        <f t="shared" si="252"/>
        <v>Chum</v>
      </c>
      <c r="BA642" s="243" t="s">
        <v>419</v>
      </c>
      <c r="BB642" s="244" t="s">
        <v>497</v>
      </c>
      <c r="BC642" s="43" t="str">
        <f t="shared" si="253"/>
        <v>Nov 12-18</v>
      </c>
      <c r="BD642" s="43">
        <f t="shared" si="273"/>
        <v>3</v>
      </c>
      <c r="BE642" s="193">
        <f t="shared" si="269"/>
        <v>183</v>
      </c>
      <c r="BF642" s="193">
        <f t="shared" si="254"/>
        <v>203</v>
      </c>
      <c r="BG642" s="193">
        <f t="shared" si="255"/>
        <v>203</v>
      </c>
      <c r="BH642" s="307">
        <f t="shared" si="271"/>
        <v>50</v>
      </c>
      <c r="BI642" s="265">
        <f t="shared" si="275"/>
        <v>890</v>
      </c>
      <c r="BJ642" s="26" t="str">
        <f t="shared" si="256"/>
        <v>MEGIN RIVERChum</v>
      </c>
      <c r="BK642" s="26">
        <f t="shared" si="257"/>
        <v>3</v>
      </c>
      <c r="BL642" s="33">
        <f t="shared" si="274"/>
        <v>183</v>
      </c>
      <c r="BP642" s="34"/>
      <c r="BQ642" s="47" t="str">
        <f t="shared" si="258"/>
        <v>MEGIN RIVERChum</v>
      </c>
      <c r="BR642" s="49">
        <f t="shared" si="259"/>
        <v>0</v>
      </c>
      <c r="BS642" s="49">
        <f t="shared" si="260"/>
        <v>203</v>
      </c>
      <c r="BT642" s="31">
        <v>2016</v>
      </c>
      <c r="BU642" s="188" t="str">
        <f t="shared" si="261"/>
        <v>TSES</v>
      </c>
      <c r="BV642" s="188" t="str">
        <f t="shared" si="262"/>
        <v>Oct 1-7</v>
      </c>
      <c r="BW642" s="188" t="str">
        <f t="shared" si="263"/>
        <v>Nov 12-18</v>
      </c>
      <c r="BX642" s="188" t="str">
        <f t="shared" si="264"/>
        <v xml:space="preserve"> </v>
      </c>
      <c r="BY642" s="50" t="str">
        <f t="shared" si="277"/>
        <v>MEGIN RIVER_Chum</v>
      </c>
      <c r="BZ642" s="50">
        <f>IFERROR(VLOOKUP(BY642,'[1]WCVI Esc'!$C$5:$W$555,18,FALSE),"-")</f>
        <v>58.75</v>
      </c>
      <c r="CA642" s="50">
        <f t="shared" si="265"/>
        <v>60</v>
      </c>
      <c r="CB642" s="50">
        <f>IFERROR(VLOOKUP(BY642,'[1]WCVI Esc'!$C$5:$W$555,19,FALSE),"-")</f>
        <v>885.5</v>
      </c>
      <c r="CC642" s="50">
        <f t="shared" si="266"/>
        <v>890</v>
      </c>
      <c r="CE642" s="342" t="str">
        <f t="shared" si="276"/>
        <v>MEGIN RIVER_Chum</v>
      </c>
      <c r="CF642" s="341">
        <f>IFERROR(VLOOKUP(CE642,'RawPL+D'!$O$8:$AB$503,12,FALSE),"-")</f>
        <v>106</v>
      </c>
      <c r="CG642" s="338">
        <f t="shared" si="267"/>
        <v>110</v>
      </c>
      <c r="CH642" s="341">
        <f>IFERROR(VLOOKUP(CE642,'RawPL+D'!$O$8:$AB$503,13,FALSE),"-")</f>
        <v>51.5</v>
      </c>
      <c r="CI642" s="338">
        <f t="shared" si="268"/>
        <v>50</v>
      </c>
    </row>
    <row r="643" spans="1:87" ht="12.75" hidden="1" customHeight="1" x14ac:dyDescent="0.2">
      <c r="A643" s="29">
        <v>2</v>
      </c>
      <c r="B643" s="29">
        <v>5</v>
      </c>
      <c r="C643" s="13">
        <v>24</v>
      </c>
      <c r="D643" s="13" t="s">
        <v>297</v>
      </c>
      <c r="E643" s="10" t="s">
        <v>41</v>
      </c>
      <c r="F643" s="10" t="s">
        <v>210</v>
      </c>
      <c r="G643" s="10"/>
      <c r="H643" s="10"/>
      <c r="I643" s="10"/>
      <c r="J643" s="10"/>
      <c r="K643" s="575"/>
      <c r="L643" s="152"/>
      <c r="M643" s="422"/>
      <c r="N643" s="339"/>
      <c r="O643" s="644">
        <v>64</v>
      </c>
      <c r="P643" s="450"/>
      <c r="Q643" s="682">
        <f>21+5</f>
        <v>26</v>
      </c>
      <c r="R643" s="554"/>
      <c r="S643" s="62"/>
      <c r="T643" s="62"/>
      <c r="U643" s="162"/>
      <c r="V643" s="164"/>
      <c r="W643" s="642">
        <v>0</v>
      </c>
      <c r="X643" s="63"/>
      <c r="Y643" s="62"/>
      <c r="Z643" s="64"/>
      <c r="AA643" s="164"/>
      <c r="AB643" s="62"/>
      <c r="AC643" s="62"/>
      <c r="AD643" s="64"/>
      <c r="AE643" s="164"/>
      <c r="AF643" s="62"/>
      <c r="AG643" s="62"/>
      <c r="AH643" s="337">
        <v>71</v>
      </c>
      <c r="AI643" s="337">
        <v>2</v>
      </c>
      <c r="AJ643" s="337">
        <v>0</v>
      </c>
      <c r="AK643" s="337">
        <v>0</v>
      </c>
      <c r="AL643" s="555">
        <v>71</v>
      </c>
      <c r="AM643" s="552">
        <v>73</v>
      </c>
      <c r="AN643" s="552" t="s">
        <v>765</v>
      </c>
      <c r="AO643" s="552" t="s">
        <v>773</v>
      </c>
      <c r="AP643" s="44"/>
      <c r="AQ643" s="485">
        <f>AL643/BI643</f>
        <v>1.7749999999999999</v>
      </c>
      <c r="AR643" s="485">
        <f>BL643/BH643</f>
        <v>2.1333333333333333</v>
      </c>
      <c r="AS643" s="485">
        <f>BL643/BI643</f>
        <v>1.6</v>
      </c>
      <c r="AT643" s="123">
        <v>663</v>
      </c>
      <c r="AU643" s="123">
        <v>195</v>
      </c>
      <c r="AV643" s="123">
        <f>AL643</f>
        <v>71</v>
      </c>
      <c r="AW643" s="69">
        <v>24</v>
      </c>
      <c r="AX643" s="69" t="s">
        <v>297</v>
      </c>
      <c r="AY643" s="243" t="s">
        <v>41</v>
      </c>
      <c r="AZ643" s="243" t="str">
        <f t="shared" si="252"/>
        <v>Chinook</v>
      </c>
      <c r="BA643" s="243" t="s">
        <v>419</v>
      </c>
      <c r="BB643" s="244" t="s">
        <v>497</v>
      </c>
      <c r="BC643" s="43" t="str">
        <f t="shared" si="253"/>
        <v>Nov 12-18</v>
      </c>
      <c r="BD643" s="43">
        <f t="shared" si="273"/>
        <v>3</v>
      </c>
      <c r="BE643" s="193">
        <f t="shared" si="269"/>
        <v>64</v>
      </c>
      <c r="BF643" s="193">
        <f t="shared" si="254"/>
        <v>71</v>
      </c>
      <c r="BG643" s="193">
        <f t="shared" si="255"/>
        <v>71</v>
      </c>
      <c r="BH643" s="307">
        <f t="shared" si="271"/>
        <v>30</v>
      </c>
      <c r="BI643" s="265">
        <f t="shared" si="275"/>
        <v>40</v>
      </c>
      <c r="BJ643" s="26" t="str">
        <f t="shared" si="256"/>
        <v>MEGIN RIVERChinook</v>
      </c>
      <c r="BK643" s="26">
        <f t="shared" si="257"/>
        <v>3</v>
      </c>
      <c r="BL643" s="33">
        <f t="shared" si="274"/>
        <v>64</v>
      </c>
      <c r="BM643" s="34">
        <f>BL643*1.14</f>
        <v>72.959999999999994</v>
      </c>
      <c r="BN643" s="34">
        <f>BL643*2.88</f>
        <v>184.32</v>
      </c>
      <c r="BO643" s="36"/>
      <c r="BP643" s="34">
        <f>SUM(BM643:BN643)/2</f>
        <v>128.63999999999999</v>
      </c>
      <c r="BQ643" s="47" t="str">
        <f t="shared" si="258"/>
        <v>MEGIN RIVERChinook</v>
      </c>
      <c r="BR643" s="49">
        <f t="shared" si="259"/>
        <v>0</v>
      </c>
      <c r="BS643" s="49">
        <f t="shared" si="260"/>
        <v>71</v>
      </c>
      <c r="BT643" s="31">
        <v>2016</v>
      </c>
      <c r="BU643" s="188" t="str">
        <f t="shared" si="261"/>
        <v>TSES</v>
      </c>
      <c r="BV643" s="188" t="str">
        <f t="shared" si="262"/>
        <v>Oct 1-7</v>
      </c>
      <c r="BW643" s="188" t="str">
        <f t="shared" si="263"/>
        <v>Nov 12-18</v>
      </c>
      <c r="BX643" s="188" t="str">
        <f t="shared" si="264"/>
        <v xml:space="preserve"> </v>
      </c>
      <c r="BY643" s="50" t="str">
        <f t="shared" si="277"/>
        <v>MEGIN RIVER_Chinook</v>
      </c>
      <c r="BZ643" s="50">
        <f>IFERROR(VLOOKUP(BY643,'[1]WCVI Esc'!$C$5:$W$555,18,FALSE),"-")</f>
        <v>34.5</v>
      </c>
      <c r="CA643" s="50">
        <f t="shared" si="265"/>
        <v>30</v>
      </c>
      <c r="CB643" s="50">
        <f>IFERROR(VLOOKUP(BY643,'[1]WCVI Esc'!$C$5:$W$555,19,FALSE),"-")</f>
        <v>42.5</v>
      </c>
      <c r="CC643" s="50">
        <f t="shared" si="266"/>
        <v>40</v>
      </c>
      <c r="CE643" s="342" t="str">
        <f t="shared" si="276"/>
        <v>MEGIN RIVER_Chinook</v>
      </c>
      <c r="CF643" s="341">
        <f>IFERROR(VLOOKUP(CE643,'RawPL+D'!$O$8:$AB$503,12,FALSE),"-")</f>
        <v>78</v>
      </c>
      <c r="CG643" s="338">
        <f t="shared" si="267"/>
        <v>80</v>
      </c>
      <c r="CH643" s="341">
        <f>IFERROR(VLOOKUP(CE643,'RawPL+D'!$O$8:$AB$503,13,FALSE),"-")</f>
        <v>30</v>
      </c>
      <c r="CI643" s="338">
        <f t="shared" si="268"/>
        <v>30</v>
      </c>
    </row>
    <row r="644" spans="1:87" ht="12.75" hidden="1" customHeight="1" x14ac:dyDescent="0.2">
      <c r="A644" s="29">
        <v>2</v>
      </c>
      <c r="B644" s="29">
        <v>6</v>
      </c>
      <c r="C644" s="13">
        <v>24</v>
      </c>
      <c r="D644" s="13" t="s">
        <v>297</v>
      </c>
      <c r="E644" s="10" t="s">
        <v>41</v>
      </c>
      <c r="F644" s="10" t="s">
        <v>211</v>
      </c>
      <c r="G644" s="10"/>
      <c r="H644" s="10"/>
      <c r="I644" s="10"/>
      <c r="J644" s="10"/>
      <c r="K644" s="575"/>
      <c r="L644" s="152"/>
      <c r="M644" s="422"/>
      <c r="N644" s="339"/>
      <c r="O644" s="643">
        <v>0</v>
      </c>
      <c r="P644" s="177"/>
      <c r="Q644" s="683">
        <v>0</v>
      </c>
      <c r="R644" s="339"/>
      <c r="S644" s="62"/>
      <c r="T644" s="62"/>
      <c r="U644" s="162"/>
      <c r="V644" s="164"/>
      <c r="W644" s="642">
        <v>0</v>
      </c>
      <c r="X644" s="63"/>
      <c r="Y644" s="62"/>
      <c r="Z644" s="64"/>
      <c r="AA644" s="164"/>
      <c r="AB644" s="62"/>
      <c r="AC644" s="62"/>
      <c r="AD644" s="64"/>
      <c r="AE644" s="164"/>
      <c r="AF644" s="62"/>
      <c r="AG644" s="62"/>
      <c r="AH644" s="337"/>
      <c r="AI644" s="337"/>
      <c r="AJ644" s="337"/>
      <c r="AK644" s="337"/>
      <c r="AL644" s="555"/>
      <c r="AM644" s="552"/>
      <c r="AN644" s="45"/>
      <c r="AO644" s="45"/>
      <c r="AP644" s="44"/>
      <c r="AQ644" s="485"/>
      <c r="AR644" s="485"/>
      <c r="AS644" s="485"/>
      <c r="AT644" s="123"/>
      <c r="AU644" s="123"/>
      <c r="AV644" s="123"/>
      <c r="AW644" s="69">
        <v>24</v>
      </c>
      <c r="AX644" s="69" t="s">
        <v>297</v>
      </c>
      <c r="AY644" s="243" t="s">
        <v>41</v>
      </c>
      <c r="AZ644" s="243" t="str">
        <f t="shared" si="252"/>
        <v>Steelhead</v>
      </c>
      <c r="BA644" s="243" t="s">
        <v>419</v>
      </c>
      <c r="BB644" s="244" t="s">
        <v>497</v>
      </c>
      <c r="BC644" s="43" t="str">
        <f t="shared" si="253"/>
        <v>Nov 12-18</v>
      </c>
      <c r="BD644" s="43">
        <f t="shared" si="273"/>
        <v>3</v>
      </c>
      <c r="BE644" s="193">
        <f t="shared" si="269"/>
        <v>0</v>
      </c>
      <c r="BF644" s="193">
        <f t="shared" si="254"/>
        <v>0</v>
      </c>
      <c r="BG644" s="193">
        <f t="shared" si="255"/>
        <v>0</v>
      </c>
      <c r="BH644" s="307" t="str">
        <f t="shared" si="271"/>
        <v>-</v>
      </c>
      <c r="BI644" s="265" t="str">
        <f t="shared" si="275"/>
        <v>-</v>
      </c>
      <c r="BJ644" s="26" t="str">
        <f t="shared" si="256"/>
        <v>MEGIN RIVERSteelhead</v>
      </c>
      <c r="BK644" s="26">
        <f t="shared" si="257"/>
        <v>3</v>
      </c>
      <c r="BL644" s="33">
        <f t="shared" si="274"/>
        <v>0</v>
      </c>
      <c r="BP644" s="34"/>
      <c r="BQ644" s="47" t="str">
        <f t="shared" si="258"/>
        <v>MEGIN RIVERSteelhead</v>
      </c>
      <c r="BR644" s="49">
        <f t="shared" si="259"/>
        <v>0</v>
      </c>
      <c r="BS644" s="49">
        <f t="shared" si="260"/>
        <v>0</v>
      </c>
      <c r="BT644" s="31">
        <v>0</v>
      </c>
      <c r="BU644" s="188" t="str">
        <f t="shared" si="261"/>
        <v>TSES</v>
      </c>
      <c r="BV644" s="188" t="str">
        <f t="shared" si="262"/>
        <v>Oct 1-7</v>
      </c>
      <c r="BW644" s="188" t="str">
        <f t="shared" si="263"/>
        <v>Nov 12-18</v>
      </c>
      <c r="BX644" s="188" t="str">
        <f t="shared" si="264"/>
        <v xml:space="preserve"> </v>
      </c>
      <c r="BY644" s="50" t="str">
        <f t="shared" si="277"/>
        <v>MEGIN RIVER_Steelhead</v>
      </c>
      <c r="BZ644" s="50" t="str">
        <f>IFERROR(VLOOKUP(BY644,'[1]WCVI Esc'!$C$5:$W$555,18,FALSE),"-")</f>
        <v>-</v>
      </c>
      <c r="CA644" s="50" t="str">
        <f t="shared" si="265"/>
        <v>-</v>
      </c>
      <c r="CB644" s="50" t="str">
        <f>IFERROR(VLOOKUP(BY644,'[1]WCVI Esc'!$C$5:$W$555,19,FALSE),"-")</f>
        <v>-</v>
      </c>
      <c r="CC644" s="50" t="str">
        <f t="shared" si="266"/>
        <v>-</v>
      </c>
      <c r="CE644" s="342" t="str">
        <f t="shared" si="276"/>
        <v>MEGIN RIVER_Steelhead</v>
      </c>
      <c r="CF644" s="341" t="str">
        <f>IFERROR(VLOOKUP(BY644,'RawPL+D'!$O$8:$AB$503,12,FALSE),"-")</f>
        <v>-</v>
      </c>
      <c r="CG644" s="338" t="str">
        <f t="shared" si="267"/>
        <v>-</v>
      </c>
      <c r="CH644" s="341" t="str">
        <f>IFERROR(VLOOKUP(BY644,'RawPL+D'!$O$8:$AB$503,13,FALSE),"-")</f>
        <v>-</v>
      </c>
      <c r="CI644" s="338" t="str">
        <f t="shared" si="268"/>
        <v>-</v>
      </c>
    </row>
    <row r="645" spans="1:87" ht="12.75" hidden="1" customHeight="1" x14ac:dyDescent="0.2">
      <c r="A645" s="29">
        <v>2</v>
      </c>
      <c r="B645" s="29">
        <v>1</v>
      </c>
      <c r="C645" s="13">
        <v>24</v>
      </c>
      <c r="D645" s="13" t="s">
        <v>297</v>
      </c>
      <c r="E645" s="10" t="s">
        <v>42</v>
      </c>
      <c r="F645" s="10" t="s">
        <v>207</v>
      </c>
      <c r="G645" s="10"/>
      <c r="H645" s="10"/>
      <c r="I645" s="10"/>
      <c r="J645" s="10"/>
      <c r="K645" s="575"/>
      <c r="L645" s="152"/>
      <c r="M645" s="422"/>
      <c r="N645" s="643">
        <v>128</v>
      </c>
      <c r="O645" s="62"/>
      <c r="P645" s="453"/>
      <c r="Q645" s="683">
        <v>128</v>
      </c>
      <c r="R645" s="62"/>
      <c r="S645" s="428"/>
      <c r="T645" s="390"/>
      <c r="U645" s="772">
        <v>49</v>
      </c>
      <c r="V645" s="164"/>
      <c r="W645" s="62"/>
      <c r="X645" s="63"/>
      <c r="Y645" s="62"/>
      <c r="Z645" s="64"/>
      <c r="AA645" s="164"/>
      <c r="AB645" s="62"/>
      <c r="AC645" s="62"/>
      <c r="AD645" s="64"/>
      <c r="AE645" s="164"/>
      <c r="AF645" s="62"/>
      <c r="AG645" s="62"/>
      <c r="AH645" s="337">
        <v>142</v>
      </c>
      <c r="AI645" s="337">
        <v>7</v>
      </c>
      <c r="AJ645" s="337">
        <v>0</v>
      </c>
      <c r="AK645" s="337">
        <v>0</v>
      </c>
      <c r="AL645" s="566">
        <v>142</v>
      </c>
      <c r="AM645" s="568">
        <v>149</v>
      </c>
      <c r="AN645" s="552" t="s">
        <v>765</v>
      </c>
      <c r="AO645" s="567" t="s">
        <v>773</v>
      </c>
      <c r="AP645" s="44"/>
      <c r="AQ645" s="485">
        <f>AL645/BI645</f>
        <v>0.6454545454545455</v>
      </c>
      <c r="AR645" s="485">
        <f>BL645/BH645</f>
        <v>0.8</v>
      </c>
      <c r="AS645" s="485">
        <f>BL645/BI645</f>
        <v>0.58181818181818179</v>
      </c>
      <c r="AT645" s="123"/>
      <c r="AU645" s="123"/>
      <c r="AV645" s="123"/>
      <c r="AW645" s="69">
        <v>24</v>
      </c>
      <c r="AX645" s="69" t="s">
        <v>297</v>
      </c>
      <c r="AY645" s="243" t="s">
        <v>42</v>
      </c>
      <c r="AZ645" s="243" t="str">
        <f t="shared" si="252"/>
        <v>Sockeye</v>
      </c>
      <c r="BA645" s="243" t="s">
        <v>419</v>
      </c>
      <c r="BB645" s="244" t="s">
        <v>497</v>
      </c>
      <c r="BC645" s="43" t="str">
        <f t="shared" si="253"/>
        <v>Oct 29-Nov4</v>
      </c>
      <c r="BD645" s="43">
        <f t="shared" si="273"/>
        <v>3</v>
      </c>
      <c r="BE645" s="193">
        <f t="shared" si="269"/>
        <v>128</v>
      </c>
      <c r="BF645" s="193">
        <f t="shared" si="254"/>
        <v>142</v>
      </c>
      <c r="BG645" s="193">
        <f t="shared" si="255"/>
        <v>142</v>
      </c>
      <c r="BH645" s="307">
        <f t="shared" si="271"/>
        <v>160</v>
      </c>
      <c r="BI645" s="265">
        <f t="shared" si="275"/>
        <v>220</v>
      </c>
      <c r="BJ645" s="26" t="str">
        <f t="shared" si="256"/>
        <v>MOYEHA RIVERSockeye</v>
      </c>
      <c r="BK645" s="26">
        <f t="shared" si="257"/>
        <v>3</v>
      </c>
      <c r="BL645" s="33">
        <f t="shared" si="274"/>
        <v>128</v>
      </c>
      <c r="BO645"/>
      <c r="BP645"/>
      <c r="BQ645" s="47" t="str">
        <f t="shared" si="258"/>
        <v>MOYEHA RIVERSockeye</v>
      </c>
      <c r="BR645" s="49">
        <f t="shared" si="259"/>
        <v>0</v>
      </c>
      <c r="BS645" s="49">
        <f t="shared" si="260"/>
        <v>142</v>
      </c>
      <c r="BT645" s="31">
        <v>2016</v>
      </c>
      <c r="BU645" s="188" t="str">
        <f t="shared" si="261"/>
        <v>TSES</v>
      </c>
      <c r="BV645" s="188" t="str">
        <f t="shared" si="262"/>
        <v>Oct 1-7</v>
      </c>
      <c r="BW645" s="188" t="str">
        <f t="shared" si="263"/>
        <v>Oct 29-Nov4</v>
      </c>
      <c r="BX645" s="188" t="str">
        <f t="shared" si="264"/>
        <v xml:space="preserve"> </v>
      </c>
      <c r="BY645" s="50" t="str">
        <f t="shared" si="277"/>
        <v>MOYEHA RIVER_Sockeye</v>
      </c>
      <c r="BZ645" s="50">
        <f>IFERROR(VLOOKUP(BY645,'[1]WCVI Esc'!$C$5:$W$555,18,FALSE),"-")</f>
        <v>178.5</v>
      </c>
      <c r="CA645" s="50">
        <f t="shared" si="265"/>
        <v>180</v>
      </c>
      <c r="CB645" s="50">
        <f>IFERROR(VLOOKUP(BY645,'[1]WCVI Esc'!$C$5:$W$555,19,FALSE),"-")</f>
        <v>219.1</v>
      </c>
      <c r="CC645" s="50">
        <f t="shared" si="266"/>
        <v>220</v>
      </c>
      <c r="CE645" s="342" t="str">
        <f t="shared" si="276"/>
        <v>MOYEHA RIVER_Sockeye</v>
      </c>
      <c r="CF645" s="341">
        <f>IFERROR(VLOOKUP(CE645,'RawPL+D'!$O$8:$AB$503,12,FALSE),"-")</f>
        <v>134</v>
      </c>
      <c r="CG645" s="338">
        <f t="shared" si="267"/>
        <v>130</v>
      </c>
      <c r="CH645" s="341">
        <f>IFERROR(VLOOKUP(CE645,'RawPL+D'!$O$8:$AB$503,13,FALSE),"-")</f>
        <v>160.5</v>
      </c>
      <c r="CI645" s="338">
        <f t="shared" si="268"/>
        <v>160</v>
      </c>
    </row>
    <row r="646" spans="1:87" ht="12.75" hidden="1" customHeight="1" x14ac:dyDescent="0.2">
      <c r="A646" s="29">
        <v>2</v>
      </c>
      <c r="B646" s="29">
        <v>2</v>
      </c>
      <c r="C646" s="13">
        <v>24</v>
      </c>
      <c r="D646" s="13" t="s">
        <v>297</v>
      </c>
      <c r="E646" s="10" t="s">
        <v>42</v>
      </c>
      <c r="F646" s="10" t="s">
        <v>219</v>
      </c>
      <c r="G646" s="10"/>
      <c r="H646" s="10"/>
      <c r="I646" s="10"/>
      <c r="J646" s="10"/>
      <c r="K646" s="575"/>
      <c r="L646" s="152"/>
      <c r="M646" s="422"/>
      <c r="N646" s="643">
        <v>66</v>
      </c>
      <c r="O646" s="62"/>
      <c r="P646" s="424"/>
      <c r="Q646" s="683">
        <v>590</v>
      </c>
      <c r="R646" s="62"/>
      <c r="S646" s="339"/>
      <c r="T646" s="62"/>
      <c r="U646" s="771">
        <f>906+10</f>
        <v>916</v>
      </c>
      <c r="V646" s="164"/>
      <c r="W646" s="62"/>
      <c r="X646" s="63"/>
      <c r="Y646" s="62"/>
      <c r="Z646" s="64"/>
      <c r="AA646" s="164"/>
      <c r="AB646" s="62"/>
      <c r="AC646" s="62"/>
      <c r="AD646" s="64"/>
      <c r="AE646" s="164"/>
      <c r="AF646" s="62"/>
      <c r="AG646" s="62"/>
      <c r="AH646" s="337">
        <v>1018</v>
      </c>
      <c r="AI646" s="337">
        <v>90</v>
      </c>
      <c r="AJ646" s="337">
        <v>0</v>
      </c>
      <c r="AK646" s="337">
        <v>0</v>
      </c>
      <c r="AL646" s="566">
        <v>1018</v>
      </c>
      <c r="AM646" s="568">
        <v>1108</v>
      </c>
      <c r="AN646" s="552" t="s">
        <v>765</v>
      </c>
      <c r="AO646" s="567" t="s">
        <v>773</v>
      </c>
      <c r="AP646" s="44"/>
      <c r="AQ646" s="485">
        <f>AL646/BI646</f>
        <v>0.71188811188811185</v>
      </c>
      <c r="AR646" s="485">
        <f>BL646/BH646</f>
        <v>1.4774193548387098</v>
      </c>
      <c r="AS646" s="485">
        <f>BL646/BI646</f>
        <v>0.64055944055944058</v>
      </c>
      <c r="AT646" s="123"/>
      <c r="AU646" s="123"/>
      <c r="AV646" s="123"/>
      <c r="AW646" s="69">
        <v>24</v>
      </c>
      <c r="AX646" s="69" t="s">
        <v>297</v>
      </c>
      <c r="AY646" s="243" t="s">
        <v>42</v>
      </c>
      <c r="AZ646" s="243" t="str">
        <f t="shared" si="252"/>
        <v>Coho</v>
      </c>
      <c r="BA646" s="243" t="s">
        <v>419</v>
      </c>
      <c r="BB646" s="244" t="s">
        <v>497</v>
      </c>
      <c r="BC646" s="43" t="str">
        <f t="shared" si="253"/>
        <v>Oct 29-Nov4</v>
      </c>
      <c r="BD646" s="43">
        <f t="shared" si="273"/>
        <v>3</v>
      </c>
      <c r="BE646" s="193">
        <f t="shared" si="269"/>
        <v>916</v>
      </c>
      <c r="BF646" s="193">
        <f t="shared" si="254"/>
        <v>1018</v>
      </c>
      <c r="BG646" s="193">
        <f t="shared" si="255"/>
        <v>1018</v>
      </c>
      <c r="BH646" s="307">
        <f t="shared" si="271"/>
        <v>620</v>
      </c>
      <c r="BI646" s="265">
        <f t="shared" si="275"/>
        <v>1430</v>
      </c>
      <c r="BJ646" s="26" t="str">
        <f t="shared" si="256"/>
        <v>MOYEHA RIVERCoho</v>
      </c>
      <c r="BK646" s="26">
        <f t="shared" si="257"/>
        <v>3</v>
      </c>
      <c r="BL646" s="33">
        <f t="shared" si="274"/>
        <v>916</v>
      </c>
      <c r="BO646"/>
      <c r="BP646"/>
      <c r="BQ646" s="47" t="str">
        <f t="shared" si="258"/>
        <v>MOYEHA RIVERCoho</v>
      </c>
      <c r="BR646" s="49">
        <f t="shared" si="259"/>
        <v>0</v>
      </c>
      <c r="BS646" s="49">
        <f t="shared" si="260"/>
        <v>1018</v>
      </c>
      <c r="BT646" s="31">
        <v>2016</v>
      </c>
      <c r="BU646" s="188" t="str">
        <f t="shared" si="261"/>
        <v>TSES</v>
      </c>
      <c r="BV646" s="188" t="str">
        <f t="shared" si="262"/>
        <v>Oct 1-7</v>
      </c>
      <c r="BW646" s="188" t="str">
        <f t="shared" si="263"/>
        <v>Oct 29-Nov4</v>
      </c>
      <c r="BX646" s="188" t="str">
        <f t="shared" si="264"/>
        <v xml:space="preserve"> </v>
      </c>
      <c r="BY646" s="50" t="str">
        <f t="shared" si="277"/>
        <v>MOYEHA RIVER_Coho</v>
      </c>
      <c r="BZ646" s="50">
        <f>IFERROR(VLOOKUP(BY646,'[1]WCVI Esc'!$C$5:$W$555,18,FALSE),"-")</f>
        <v>872.75</v>
      </c>
      <c r="CA646" s="50">
        <f t="shared" si="265"/>
        <v>870</v>
      </c>
      <c r="CB646" s="50">
        <f>IFERROR(VLOOKUP(BY646,'[1]WCVI Esc'!$C$5:$W$555,19,FALSE),"-")</f>
        <v>1431.6</v>
      </c>
      <c r="CC646" s="50">
        <f t="shared" si="266"/>
        <v>1430</v>
      </c>
      <c r="CE646" s="342" t="str">
        <f t="shared" si="276"/>
        <v>MOYEHA RIVER_Coho</v>
      </c>
      <c r="CF646" s="341">
        <f>IFERROR(VLOOKUP(CE646,'RawPL+D'!$O$8:$AB$503,12,FALSE),"-")</f>
        <v>783</v>
      </c>
      <c r="CG646" s="338">
        <f t="shared" si="267"/>
        <v>780</v>
      </c>
      <c r="CH646" s="341">
        <f>IFERROR(VLOOKUP(CE646,'RawPL+D'!$O$8:$AB$503,13,FALSE),"-")</f>
        <v>620.75</v>
      </c>
      <c r="CI646" s="338">
        <f t="shared" si="268"/>
        <v>620</v>
      </c>
    </row>
    <row r="647" spans="1:87" ht="12.75" hidden="1" customHeight="1" x14ac:dyDescent="0.2">
      <c r="A647" s="29">
        <v>2</v>
      </c>
      <c r="B647" s="29">
        <v>3</v>
      </c>
      <c r="C647" s="13">
        <v>24</v>
      </c>
      <c r="D647" s="13" t="s">
        <v>297</v>
      </c>
      <c r="E647" s="10" t="s">
        <v>42</v>
      </c>
      <c r="F647" s="10" t="s">
        <v>208</v>
      </c>
      <c r="G647" s="10"/>
      <c r="H647" s="10"/>
      <c r="I647" s="10"/>
      <c r="J647" s="10"/>
      <c r="K647" s="575"/>
      <c r="L647" s="152"/>
      <c r="M647" s="422"/>
      <c r="N647" s="644">
        <v>14</v>
      </c>
      <c r="O647" s="62"/>
      <c r="P647" s="603"/>
      <c r="Q647" s="683">
        <v>0</v>
      </c>
      <c r="R647" s="62"/>
      <c r="S647" s="339"/>
      <c r="T647" s="62"/>
      <c r="U647" s="771">
        <v>0</v>
      </c>
      <c r="V647" s="164"/>
      <c r="W647" s="62"/>
      <c r="X647" s="63"/>
      <c r="Y647" s="62"/>
      <c r="Z647" s="64"/>
      <c r="AA647" s="164"/>
      <c r="AB647" s="62"/>
      <c r="AC647" s="62"/>
      <c r="AD647" s="64"/>
      <c r="AE647" s="164"/>
      <c r="AF647" s="62"/>
      <c r="AG647" s="62"/>
      <c r="AH647" s="337">
        <v>16</v>
      </c>
      <c r="AI647" s="337">
        <v>0</v>
      </c>
      <c r="AJ647" s="337">
        <v>0</v>
      </c>
      <c r="AK647" s="337">
        <v>0</v>
      </c>
      <c r="AL647" s="566">
        <v>16</v>
      </c>
      <c r="AM647" s="568">
        <v>16</v>
      </c>
      <c r="AN647" s="552" t="s">
        <v>765</v>
      </c>
      <c r="AO647" s="567" t="s">
        <v>773</v>
      </c>
      <c r="AP647" s="44"/>
      <c r="AQ647" s="485">
        <f>AL647/BI647</f>
        <v>1.6</v>
      </c>
      <c r="AR647" s="485"/>
      <c r="AS647" s="485">
        <f>BL647/BI647</f>
        <v>1.4</v>
      </c>
      <c r="AT647" s="123"/>
      <c r="AU647" s="123"/>
      <c r="AV647" s="123"/>
      <c r="AW647" s="69">
        <v>24</v>
      </c>
      <c r="AX647" s="69" t="s">
        <v>297</v>
      </c>
      <c r="AY647" s="243" t="s">
        <v>42</v>
      </c>
      <c r="AZ647" s="243" t="str">
        <f t="shared" si="252"/>
        <v>Pink</v>
      </c>
      <c r="BA647" s="243" t="s">
        <v>419</v>
      </c>
      <c r="BB647" s="244" t="s">
        <v>497</v>
      </c>
      <c r="BC647" s="43" t="str">
        <f t="shared" si="253"/>
        <v>Oct 29-Nov4</v>
      </c>
      <c r="BD647" s="43">
        <f t="shared" si="273"/>
        <v>3</v>
      </c>
      <c r="BE647" s="193">
        <f t="shared" si="269"/>
        <v>14</v>
      </c>
      <c r="BF647" s="193">
        <f t="shared" si="254"/>
        <v>16</v>
      </c>
      <c r="BG647" s="193">
        <f t="shared" si="255"/>
        <v>16</v>
      </c>
      <c r="BH647" s="307">
        <f t="shared" si="271"/>
        <v>0</v>
      </c>
      <c r="BI647" s="265">
        <f t="shared" si="275"/>
        <v>10</v>
      </c>
      <c r="BJ647" s="26" t="str">
        <f t="shared" si="256"/>
        <v>MOYEHA RIVERPink</v>
      </c>
      <c r="BK647" s="26">
        <f t="shared" si="257"/>
        <v>3</v>
      </c>
      <c r="BL647" s="33">
        <f t="shared" si="274"/>
        <v>14</v>
      </c>
      <c r="BO647"/>
      <c r="BP647"/>
      <c r="BQ647" s="47" t="str">
        <f t="shared" si="258"/>
        <v>MOYEHA RIVERPink</v>
      </c>
      <c r="BR647" s="49">
        <f t="shared" si="259"/>
        <v>0</v>
      </c>
      <c r="BS647" s="49">
        <f t="shared" si="260"/>
        <v>16</v>
      </c>
      <c r="BT647" s="31">
        <v>2011</v>
      </c>
      <c r="BU647" s="188" t="str">
        <f t="shared" si="261"/>
        <v>TSES</v>
      </c>
      <c r="BV647" s="188" t="str">
        <f t="shared" si="262"/>
        <v>Oct 1-7</v>
      </c>
      <c r="BW647" s="188" t="str">
        <f t="shared" si="263"/>
        <v>Oct 29-Nov4</v>
      </c>
      <c r="BX647" s="188" t="str">
        <f t="shared" si="264"/>
        <v xml:space="preserve"> </v>
      </c>
      <c r="BY647" s="50" t="str">
        <f t="shared" si="277"/>
        <v>MOYEHA RIVER_Pink</v>
      </c>
      <c r="BZ647" s="50">
        <f>IFERROR(VLOOKUP(BY647,'[1]WCVI Esc'!$C$5:$W$555,18,FALSE),"-")</f>
        <v>3</v>
      </c>
      <c r="CA647" s="50">
        <f t="shared" si="265"/>
        <v>0</v>
      </c>
      <c r="CB647" s="50">
        <f>IFERROR(VLOOKUP(BY647,'[1]WCVI Esc'!$C$5:$W$555,19,FALSE),"-")</f>
        <v>12.333333333333334</v>
      </c>
      <c r="CC647" s="50">
        <f t="shared" si="266"/>
        <v>10</v>
      </c>
      <c r="CE647" s="342" t="str">
        <f t="shared" si="276"/>
        <v>MOYEHA RIVER_Pink</v>
      </c>
      <c r="CF647" s="341">
        <f>IFERROR(VLOOKUP(CE647,'RawPL+D'!$O$8:$AB$503,12,FALSE),"-")</f>
        <v>4</v>
      </c>
      <c r="CG647" s="338">
        <f t="shared" si="267"/>
        <v>0</v>
      </c>
      <c r="CH647" s="341">
        <f>IFERROR(VLOOKUP(CE647,'RawPL+D'!$O$8:$AB$503,13,FALSE),"-")</f>
        <v>1.75</v>
      </c>
      <c r="CI647" s="338">
        <f t="shared" si="268"/>
        <v>0</v>
      </c>
    </row>
    <row r="648" spans="1:87" ht="12.75" hidden="1" customHeight="1" x14ac:dyDescent="0.2">
      <c r="A648" s="29">
        <v>2</v>
      </c>
      <c r="B648" s="29">
        <v>4</v>
      </c>
      <c r="C648" s="13">
        <v>24</v>
      </c>
      <c r="D648" s="13" t="s">
        <v>297</v>
      </c>
      <c r="E648" s="10" t="s">
        <v>42</v>
      </c>
      <c r="F648" s="10" t="s">
        <v>209</v>
      </c>
      <c r="G648" s="10"/>
      <c r="H648" s="10"/>
      <c r="I648" s="10"/>
      <c r="J648" s="10"/>
      <c r="K648" s="575"/>
      <c r="L648" s="152"/>
      <c r="M648" s="422"/>
      <c r="N648" s="643">
        <v>24</v>
      </c>
      <c r="O648" s="62"/>
      <c r="P648" s="424"/>
      <c r="Q648" s="685">
        <v>1155</v>
      </c>
      <c r="R648" s="432"/>
      <c r="S648" s="439"/>
      <c r="T648" s="390"/>
      <c r="U648" s="772">
        <f>3781+302</f>
        <v>4083</v>
      </c>
      <c r="V648" s="164"/>
      <c r="W648" s="62"/>
      <c r="X648" s="63"/>
      <c r="Y648" s="62"/>
      <c r="Z648" s="64"/>
      <c r="AA648" s="164"/>
      <c r="AB648" s="62"/>
      <c r="AC648" s="62"/>
      <c r="AD648" s="64"/>
      <c r="AE648" s="164"/>
      <c r="AF648" s="62"/>
      <c r="AG648" s="62"/>
      <c r="AH648" s="337">
        <v>4283</v>
      </c>
      <c r="AI648" s="337">
        <v>0</v>
      </c>
      <c r="AJ648" s="337">
        <v>0</v>
      </c>
      <c r="AK648" s="337">
        <v>0</v>
      </c>
      <c r="AL648" s="566">
        <v>4283</v>
      </c>
      <c r="AM648" s="568">
        <v>4283</v>
      </c>
      <c r="AN648" s="552" t="s">
        <v>765</v>
      </c>
      <c r="AO648" s="567" t="s">
        <v>773</v>
      </c>
      <c r="AP648" s="44"/>
      <c r="AQ648" s="485">
        <f>AL648/BI648</f>
        <v>0.93515283842794761</v>
      </c>
      <c r="AR648" s="485">
        <f>BL648/BH648</f>
        <v>7.0396551724137932</v>
      </c>
      <c r="AS648" s="485">
        <f>BL648/BI648</f>
        <v>0.89148471615720526</v>
      </c>
      <c r="AT648" s="123"/>
      <c r="AU648" s="123"/>
      <c r="AV648" s="123"/>
      <c r="AW648" s="69">
        <v>24</v>
      </c>
      <c r="AX648" s="69" t="s">
        <v>297</v>
      </c>
      <c r="AY648" s="243" t="s">
        <v>42</v>
      </c>
      <c r="AZ648" s="243" t="str">
        <f t="shared" si="252"/>
        <v>Chum</v>
      </c>
      <c r="BA648" s="243" t="s">
        <v>419</v>
      </c>
      <c r="BB648" s="244" t="s">
        <v>497</v>
      </c>
      <c r="BC648" s="43" t="str">
        <f t="shared" si="253"/>
        <v>Oct 29-Nov4</v>
      </c>
      <c r="BD648" s="43">
        <f t="shared" si="273"/>
        <v>3</v>
      </c>
      <c r="BE648" s="193">
        <f t="shared" si="269"/>
        <v>4083</v>
      </c>
      <c r="BF648" s="193">
        <f t="shared" si="254"/>
        <v>4283</v>
      </c>
      <c r="BG648" s="193">
        <f t="shared" si="255"/>
        <v>4283</v>
      </c>
      <c r="BH648" s="307">
        <f t="shared" si="271"/>
        <v>580</v>
      </c>
      <c r="BI648" s="265">
        <f t="shared" si="275"/>
        <v>4580</v>
      </c>
      <c r="BJ648" s="26" t="str">
        <f t="shared" si="256"/>
        <v>MOYEHA RIVERChum</v>
      </c>
      <c r="BK648" s="26">
        <f t="shared" si="257"/>
        <v>3</v>
      </c>
      <c r="BL648" s="33">
        <f t="shared" si="274"/>
        <v>4083</v>
      </c>
      <c r="BO648"/>
      <c r="BP648"/>
      <c r="BQ648" s="47" t="str">
        <f t="shared" si="258"/>
        <v>MOYEHA RIVERChum</v>
      </c>
      <c r="BR648" s="49">
        <f t="shared" si="259"/>
        <v>0</v>
      </c>
      <c r="BS648" s="49">
        <f t="shared" si="260"/>
        <v>4283</v>
      </c>
      <c r="BT648" s="31">
        <v>2016</v>
      </c>
      <c r="BU648" s="188" t="str">
        <f t="shared" si="261"/>
        <v>TSES</v>
      </c>
      <c r="BV648" s="188" t="str">
        <f t="shared" si="262"/>
        <v>Oct 1-7</v>
      </c>
      <c r="BW648" s="188" t="str">
        <f t="shared" si="263"/>
        <v>Oct 29-Nov4</v>
      </c>
      <c r="BX648" s="188" t="str">
        <f t="shared" si="264"/>
        <v xml:space="preserve"> </v>
      </c>
      <c r="BY648" s="50" t="str">
        <f t="shared" si="277"/>
        <v>MOYEHA RIVER_Chum</v>
      </c>
      <c r="BZ648" s="50">
        <f>IFERROR(VLOOKUP(BY648,'[1]WCVI Esc'!$C$5:$W$555,18,FALSE),"-")</f>
        <v>722</v>
      </c>
      <c r="CA648" s="50">
        <f t="shared" si="265"/>
        <v>720</v>
      </c>
      <c r="CB648" s="50">
        <f>IFERROR(VLOOKUP(BY648,'[1]WCVI Esc'!$C$5:$W$555,19,FALSE),"-")</f>
        <v>4584.8999999999996</v>
      </c>
      <c r="CC648" s="50">
        <f t="shared" si="266"/>
        <v>4580</v>
      </c>
      <c r="CE648" s="342" t="str">
        <f t="shared" si="276"/>
        <v>MOYEHA RIVER_Chum</v>
      </c>
      <c r="CF648" s="341">
        <f>IFERROR(VLOOKUP(CE648,'RawPL+D'!$O$8:$AB$503,12,FALSE),"-")</f>
        <v>1435</v>
      </c>
      <c r="CG648" s="338">
        <f t="shared" si="267"/>
        <v>1440</v>
      </c>
      <c r="CH648" s="341">
        <f>IFERROR(VLOOKUP(CE648,'RawPL+D'!$O$8:$AB$503,13,FALSE),"-")</f>
        <v>581.75</v>
      </c>
      <c r="CI648" s="338">
        <f t="shared" si="268"/>
        <v>580</v>
      </c>
    </row>
    <row r="649" spans="1:87" ht="12.75" hidden="1" customHeight="1" x14ac:dyDescent="0.2">
      <c r="A649" s="29">
        <v>2</v>
      </c>
      <c r="B649" s="29">
        <v>5</v>
      </c>
      <c r="C649" s="13">
        <v>24</v>
      </c>
      <c r="D649" s="13" t="s">
        <v>297</v>
      </c>
      <c r="E649" s="10" t="s">
        <v>42</v>
      </c>
      <c r="F649" s="10" t="s">
        <v>210</v>
      </c>
      <c r="G649" s="10"/>
      <c r="H649" s="10"/>
      <c r="I649" s="10"/>
      <c r="J649" s="10"/>
      <c r="K649" s="575"/>
      <c r="L649" s="152"/>
      <c r="M649" s="422"/>
      <c r="N649" s="645">
        <v>205</v>
      </c>
      <c r="O649" s="62"/>
      <c r="P649" s="603"/>
      <c r="Q649" s="685">
        <f>75+12</f>
        <v>87</v>
      </c>
      <c r="R649" s="431"/>
      <c r="S649" s="439"/>
      <c r="T649" s="390"/>
      <c r="U649" s="771">
        <f>21+6</f>
        <v>27</v>
      </c>
      <c r="V649" s="164"/>
      <c r="W649" s="62"/>
      <c r="X649" s="63"/>
      <c r="Y649" s="62"/>
      <c r="Z649" s="64"/>
      <c r="AA649" s="164"/>
      <c r="AB649" s="62"/>
      <c r="AC649" s="62"/>
      <c r="AD649" s="64"/>
      <c r="AE649" s="164"/>
      <c r="AF649" s="62"/>
      <c r="AG649" s="62"/>
      <c r="AH649" s="337">
        <v>228</v>
      </c>
      <c r="AI649" s="337">
        <v>4</v>
      </c>
      <c r="AJ649" s="337">
        <v>0</v>
      </c>
      <c r="AK649" s="337">
        <v>0</v>
      </c>
      <c r="AL649" s="566">
        <v>228</v>
      </c>
      <c r="AM649" s="568">
        <v>232</v>
      </c>
      <c r="AN649" s="552" t="s">
        <v>765</v>
      </c>
      <c r="AO649" s="567" t="s">
        <v>773</v>
      </c>
      <c r="AP649" s="44"/>
      <c r="AQ649" s="485">
        <f>AL649/BI649</f>
        <v>3.2571428571428571</v>
      </c>
      <c r="AR649" s="485">
        <f>BL649/BH649</f>
        <v>2.9285714285714284</v>
      </c>
      <c r="AS649" s="485">
        <f>BL649/BI649</f>
        <v>2.9285714285714284</v>
      </c>
      <c r="AT649" s="123">
        <v>868</v>
      </c>
      <c r="AU649" s="123">
        <v>255</v>
      </c>
      <c r="AV649" s="123">
        <f>AL649</f>
        <v>228</v>
      </c>
      <c r="AW649" s="69">
        <v>24</v>
      </c>
      <c r="AX649" s="69" t="s">
        <v>297</v>
      </c>
      <c r="AY649" s="243" t="s">
        <v>42</v>
      </c>
      <c r="AZ649" s="243" t="str">
        <f t="shared" ref="AZ649:AZ712" si="278">F649</f>
        <v>Chinook</v>
      </c>
      <c r="BA649" s="243" t="s">
        <v>419</v>
      </c>
      <c r="BB649" s="244" t="s">
        <v>497</v>
      </c>
      <c r="BC649" s="43" t="str">
        <f t="shared" ref="BC649:BC712" si="279">IF(BX649=" ",IF(BW649=" ", IF(BV649=" ","-",BV649),BW649), BX649)</f>
        <v>Oct 29-Nov4</v>
      </c>
      <c r="BD649" s="43">
        <f t="shared" si="273"/>
        <v>3</v>
      </c>
      <c r="BE649" s="193">
        <f t="shared" si="269"/>
        <v>205</v>
      </c>
      <c r="BF649" s="193">
        <f t="shared" ref="BF649:BF712" si="280">AL649</f>
        <v>228</v>
      </c>
      <c r="BG649" s="193">
        <f t="shared" ref="BG649:BG712" si="281">AH649</f>
        <v>228</v>
      </c>
      <c r="BH649" s="307">
        <f t="shared" si="271"/>
        <v>70</v>
      </c>
      <c r="BI649" s="265">
        <f t="shared" si="275"/>
        <v>70</v>
      </c>
      <c r="BJ649" s="26" t="str">
        <f t="shared" ref="BJ649:BJ712" si="282">CONCATENATE(E649,F649)</f>
        <v>MOYEHA RIVERChinook</v>
      </c>
      <c r="BK649" s="26">
        <f t="shared" ref="BK649:BK712" si="283">COUNT(K649:AB649)</f>
        <v>3</v>
      </c>
      <c r="BL649" s="33">
        <f t="shared" si="274"/>
        <v>205</v>
      </c>
      <c r="BM649" s="34">
        <f>BL649*1.14</f>
        <v>233.7</v>
      </c>
      <c r="BN649" s="34">
        <f>BL649*2.88</f>
        <v>590.4</v>
      </c>
      <c r="BO649" s="35"/>
      <c r="BP649" s="34">
        <f>SUM(BM649:BN649)/2</f>
        <v>412.04999999999995</v>
      </c>
      <c r="BQ649" s="47" t="str">
        <f t="shared" ref="BQ649:BQ712" si="284">CONCATENATE(E649,F649)</f>
        <v>MOYEHA RIVERChinook</v>
      </c>
      <c r="BR649" s="49">
        <f t="shared" ref="BR649:BR712" si="285">AP649</f>
        <v>0</v>
      </c>
      <c r="BS649" s="49">
        <f t="shared" si="260"/>
        <v>228</v>
      </c>
      <c r="BT649" s="31">
        <v>2016</v>
      </c>
      <c r="BU649" s="188" t="str">
        <f t="shared" ref="BU649:BU712" si="286">BB649</f>
        <v>TSES</v>
      </c>
      <c r="BV649" s="188" t="str">
        <f t="shared" ref="BV649:BV712" si="287">IF(ISNUMBER(Q649),Q$8,IF(ISNUMBER(P649),P$8,IF(ISNUMBER(O649),O$8,IF(ISNUMBER(N649),N$8,IF(ISNUMBER(M649),M$8,IF(ISNUMBER(L649),L$8, IF(ISNUMBER(K649),K$8," ")))))))</f>
        <v>Oct 1-7</v>
      </c>
      <c r="BW649" s="188" t="str">
        <f t="shared" ref="BW649:BW712" si="288">IF(ISNUMBER(W649),W$8,IF(ISNUMBER(V649),V$8,IF(ISNUMBER(U649),U$8,IF(ISNUMBER(T649),T$8,IF(ISNUMBER(S649),S$8,IF(ISNUMBER(R649),R$8," "))))))</f>
        <v>Oct 29-Nov4</v>
      </c>
      <c r="BX649" s="188" t="str">
        <f t="shared" ref="BX649:BX712" si="289">IF(ISNUMBER(AB649),AB$8,IF(ISNUMBER(AA649),AA$8,IF(ISNUMBER(Z649),Z$8,IF(ISNUMBER(Y649),Y$8,IF(ISNUMBER(X649),X$8," ")))))</f>
        <v xml:space="preserve"> </v>
      </c>
      <c r="BY649" s="50" t="str">
        <f t="shared" si="277"/>
        <v>MOYEHA RIVER_Chinook</v>
      </c>
      <c r="BZ649" s="50">
        <f>IFERROR(VLOOKUP(BY649,'[1]WCVI Esc'!$C$5:$W$555,18,FALSE),"-")</f>
        <v>73.75</v>
      </c>
      <c r="CA649" s="50">
        <f t="shared" ref="CA649:CA712" si="290">IFERROR(ROUND(BZ649,-1),"-")</f>
        <v>70</v>
      </c>
      <c r="CB649" s="50">
        <f>IFERROR(VLOOKUP(BY649,'[1]WCVI Esc'!$C$5:$W$555,19,FALSE),"-")</f>
        <v>70.599999999999994</v>
      </c>
      <c r="CC649" s="50">
        <f t="shared" ref="CC649:CC712" si="291">IFERROR(ROUND(CB649,-1),"-")</f>
        <v>70</v>
      </c>
      <c r="CE649" s="342" t="str">
        <f t="shared" si="276"/>
        <v>MOYEHA RIVER_Chinook</v>
      </c>
      <c r="CF649" s="341">
        <f>IFERROR(VLOOKUP(CE649,'RawPL+D'!$O$8:$AB$503,12,FALSE),"-")</f>
        <v>118</v>
      </c>
      <c r="CG649" s="338">
        <f t="shared" ref="CG649:CG712" si="292">IFERROR(ROUND(CF649,-1),"-")</f>
        <v>120</v>
      </c>
      <c r="CH649" s="341">
        <f>IFERROR(VLOOKUP(CE649,'RawPL+D'!$O$8:$AB$503,13,FALSE),"-")</f>
        <v>66.5</v>
      </c>
      <c r="CI649" s="338">
        <f t="shared" ref="CI649:CI712" si="293">IFERROR(ROUND(CH649,-1),"-")</f>
        <v>70</v>
      </c>
    </row>
    <row r="650" spans="1:87" ht="12.75" hidden="1" customHeight="1" x14ac:dyDescent="0.2">
      <c r="A650" s="29">
        <v>2</v>
      </c>
      <c r="B650" s="29">
        <v>6</v>
      </c>
      <c r="C650" s="13">
        <v>24</v>
      </c>
      <c r="D650" s="13" t="s">
        <v>297</v>
      </c>
      <c r="E650" s="10" t="s">
        <v>42</v>
      </c>
      <c r="F650" s="10" t="s">
        <v>211</v>
      </c>
      <c r="G650" s="10"/>
      <c r="H650" s="10"/>
      <c r="I650" s="10"/>
      <c r="J650" s="10"/>
      <c r="K650" s="575"/>
      <c r="L650" s="152"/>
      <c r="M650" s="422"/>
      <c r="N650" s="643">
        <v>5</v>
      </c>
      <c r="O650" s="62"/>
      <c r="P650" s="424"/>
      <c r="Q650" s="683">
        <v>3</v>
      </c>
      <c r="R650" s="62"/>
      <c r="S650" s="339"/>
      <c r="T650" s="62"/>
      <c r="U650" s="771">
        <v>6</v>
      </c>
      <c r="V650" s="164"/>
      <c r="W650" s="62"/>
      <c r="X650" s="63"/>
      <c r="Y650" s="62"/>
      <c r="Z650" s="64"/>
      <c r="AA650" s="164"/>
      <c r="AB650" s="62"/>
      <c r="AC650" s="62"/>
      <c r="AD650" s="64"/>
      <c r="AE650" s="164"/>
      <c r="AF650" s="62"/>
      <c r="AG650" s="62"/>
      <c r="AH650" s="337"/>
      <c r="AI650" s="337"/>
      <c r="AJ650" s="337"/>
      <c r="AK650" s="337"/>
      <c r="AL650" s="555"/>
      <c r="AM650" s="552"/>
      <c r="AN650" s="45"/>
      <c r="AO650" s="45"/>
      <c r="AP650" s="44"/>
      <c r="AQ650" s="485"/>
      <c r="AR650" s="485"/>
      <c r="AS650" s="485"/>
      <c r="AT650" s="123"/>
      <c r="AU650" s="123"/>
      <c r="AV650" s="123"/>
      <c r="AW650" s="69">
        <v>24</v>
      </c>
      <c r="AX650" s="69" t="s">
        <v>297</v>
      </c>
      <c r="AY650" s="243" t="s">
        <v>42</v>
      </c>
      <c r="AZ650" s="243" t="str">
        <f t="shared" si="278"/>
        <v>Steelhead</v>
      </c>
      <c r="BA650" s="243" t="s">
        <v>419</v>
      </c>
      <c r="BB650" s="244" t="s">
        <v>497</v>
      </c>
      <c r="BC650" s="43" t="str">
        <f t="shared" si="279"/>
        <v>Oct 29-Nov4</v>
      </c>
      <c r="BD650" s="43">
        <f t="shared" si="273"/>
        <v>3</v>
      </c>
      <c r="BE650" s="193">
        <f t="shared" si="269"/>
        <v>6</v>
      </c>
      <c r="BF650" s="193">
        <f t="shared" si="280"/>
        <v>0</v>
      </c>
      <c r="BG650" s="193">
        <f t="shared" si="281"/>
        <v>0</v>
      </c>
      <c r="BH650" s="307" t="str">
        <f t="shared" si="271"/>
        <v>-</v>
      </c>
      <c r="BI650" s="265" t="str">
        <f t="shared" si="275"/>
        <v>-</v>
      </c>
      <c r="BJ650" s="26" t="str">
        <f t="shared" si="282"/>
        <v>MOYEHA RIVERSteelhead</v>
      </c>
      <c r="BK650" s="26">
        <f t="shared" si="283"/>
        <v>3</v>
      </c>
      <c r="BL650" s="33">
        <f t="shared" si="274"/>
        <v>6</v>
      </c>
      <c r="BO650"/>
      <c r="BP650" s="34"/>
      <c r="BQ650" s="47" t="str">
        <f t="shared" si="284"/>
        <v>MOYEHA RIVERSteelhead</v>
      </c>
      <c r="BR650" s="49">
        <f t="shared" si="285"/>
        <v>0</v>
      </c>
      <c r="BS650" s="49">
        <f t="shared" si="260"/>
        <v>0</v>
      </c>
      <c r="BT650" s="31">
        <v>0</v>
      </c>
      <c r="BU650" s="188" t="str">
        <f t="shared" si="286"/>
        <v>TSES</v>
      </c>
      <c r="BV650" s="188" t="str">
        <f t="shared" si="287"/>
        <v>Oct 1-7</v>
      </c>
      <c r="BW650" s="188" t="str">
        <f t="shared" si="288"/>
        <v>Oct 29-Nov4</v>
      </c>
      <c r="BX650" s="188" t="str">
        <f t="shared" si="289"/>
        <v xml:space="preserve"> </v>
      </c>
      <c r="BY650" s="50" t="str">
        <f t="shared" si="277"/>
        <v>MOYEHA RIVER_Steelhead</v>
      </c>
      <c r="BZ650" s="50" t="str">
        <f>IFERROR(VLOOKUP(BY650,'[1]WCVI Esc'!$C$5:$W$555,18,FALSE),"-")</f>
        <v>-</v>
      </c>
      <c r="CA650" s="50" t="str">
        <f t="shared" si="290"/>
        <v>-</v>
      </c>
      <c r="CB650" s="50" t="str">
        <f>IFERROR(VLOOKUP(BY650,'[1]WCVI Esc'!$C$5:$W$555,19,FALSE),"-")</f>
        <v>-</v>
      </c>
      <c r="CC650" s="50" t="str">
        <f t="shared" si="291"/>
        <v>-</v>
      </c>
      <c r="CE650" s="342" t="str">
        <f t="shared" si="276"/>
        <v>MOYEHA RIVER_Steelhead</v>
      </c>
      <c r="CF650" s="341" t="str">
        <f>IFERROR(VLOOKUP(BY650,'RawPL+D'!$O$8:$AB$503,12,FALSE),"-")</f>
        <v>-</v>
      </c>
      <c r="CG650" s="338" t="str">
        <f t="shared" si="292"/>
        <v>-</v>
      </c>
      <c r="CH650" s="341" t="str">
        <f>IFERROR(VLOOKUP(BY650,'RawPL+D'!$O$8:$AB$503,13,FALSE),"-")</f>
        <v>-</v>
      </c>
      <c r="CI650" s="338" t="str">
        <f t="shared" si="293"/>
        <v>-</v>
      </c>
    </row>
    <row r="651" spans="1:87" ht="12.75" hidden="1" customHeight="1" x14ac:dyDescent="0.2">
      <c r="A651" s="29">
        <v>3</v>
      </c>
      <c r="B651" s="29">
        <v>1</v>
      </c>
      <c r="C651" s="13">
        <v>24</v>
      </c>
      <c r="D651" s="13" t="s">
        <v>297</v>
      </c>
      <c r="E651" s="10" t="s">
        <v>119</v>
      </c>
      <c r="F651" s="10" t="s">
        <v>207</v>
      </c>
      <c r="G651" s="10"/>
      <c r="H651" s="10"/>
      <c r="I651" s="10"/>
      <c r="J651" s="10"/>
      <c r="K651" s="575"/>
      <c r="L651" s="152"/>
      <c r="M651" s="422"/>
      <c r="N651" s="62"/>
      <c r="O651" s="642">
        <v>1</v>
      </c>
      <c r="P651" s="686">
        <v>0</v>
      </c>
      <c r="Q651" s="171"/>
      <c r="R651" s="339"/>
      <c r="S651" s="62"/>
      <c r="T651" s="767">
        <v>0</v>
      </c>
      <c r="U651" s="162"/>
      <c r="V651" s="164"/>
      <c r="W651" s="62"/>
      <c r="X651" s="62"/>
      <c r="Y651" s="62"/>
      <c r="Z651" s="64"/>
      <c r="AA651" s="164"/>
      <c r="AB651" s="62"/>
      <c r="AC651" s="62"/>
      <c r="AD651" s="64"/>
      <c r="AE651" s="164"/>
      <c r="AF651" s="62"/>
      <c r="AG651" s="62"/>
      <c r="AH651" s="337">
        <v>2</v>
      </c>
      <c r="AI651" s="337">
        <v>0</v>
      </c>
      <c r="AJ651" s="337">
        <v>0</v>
      </c>
      <c r="AK651" s="337">
        <v>0</v>
      </c>
      <c r="AL651" s="555">
        <v>2</v>
      </c>
      <c r="AM651" s="552">
        <v>2</v>
      </c>
      <c r="AN651" s="552" t="s">
        <v>765</v>
      </c>
      <c r="AO651" s="552" t="s">
        <v>773</v>
      </c>
      <c r="AP651" s="44"/>
      <c r="AQ651" s="485">
        <f>AL651/BI651</f>
        <v>0.05</v>
      </c>
      <c r="AR651" s="485">
        <f>BL651/BH651</f>
        <v>0.1</v>
      </c>
      <c r="AS651" s="485">
        <f>BL651/BI651</f>
        <v>2.5000000000000001E-2</v>
      </c>
      <c r="AT651" s="123"/>
      <c r="AU651" s="123"/>
      <c r="AV651" s="123"/>
      <c r="AW651" s="69">
        <v>24</v>
      </c>
      <c r="AX651" s="69" t="s">
        <v>297</v>
      </c>
      <c r="AY651" s="243" t="s">
        <v>119</v>
      </c>
      <c r="AZ651" s="243" t="str">
        <f t="shared" si="278"/>
        <v>Sockeye</v>
      </c>
      <c r="BA651" s="243" t="s">
        <v>419</v>
      </c>
      <c r="BB651" s="244" t="s">
        <v>497</v>
      </c>
      <c r="BC651" s="43" t="str">
        <f t="shared" si="279"/>
        <v>Oct 22-28</v>
      </c>
      <c r="BD651" s="43">
        <f t="shared" si="273"/>
        <v>3</v>
      </c>
      <c r="BE651" s="193">
        <f t="shared" si="269"/>
        <v>1</v>
      </c>
      <c r="BF651" s="193">
        <f t="shared" si="280"/>
        <v>2</v>
      </c>
      <c r="BG651" s="193">
        <f t="shared" si="281"/>
        <v>2</v>
      </c>
      <c r="BH651" s="307">
        <f t="shared" si="271"/>
        <v>10</v>
      </c>
      <c r="BI651" s="265">
        <f t="shared" si="275"/>
        <v>40</v>
      </c>
      <c r="BJ651" s="26" t="str">
        <f t="shared" si="282"/>
        <v>CYPRE RIVERSockeye</v>
      </c>
      <c r="BK651" s="26">
        <f t="shared" si="283"/>
        <v>3</v>
      </c>
      <c r="BL651" s="33">
        <f t="shared" si="274"/>
        <v>1</v>
      </c>
      <c r="BP651" s="34"/>
      <c r="BQ651" s="47" t="str">
        <f t="shared" si="284"/>
        <v>CYPRE RIVERSockeye</v>
      </c>
      <c r="BR651" s="49">
        <f t="shared" si="285"/>
        <v>0</v>
      </c>
      <c r="BS651" s="49">
        <f t="shared" si="260"/>
        <v>2</v>
      </c>
      <c r="BT651" s="31">
        <v>2016</v>
      </c>
      <c r="BU651" s="188" t="str">
        <f t="shared" si="286"/>
        <v>TSES</v>
      </c>
      <c r="BV651" s="188" t="str">
        <f t="shared" si="287"/>
        <v>Sep 24-30</v>
      </c>
      <c r="BW651" s="188" t="str">
        <f t="shared" si="288"/>
        <v>Oct 22-28</v>
      </c>
      <c r="BX651" s="188" t="str">
        <f t="shared" si="289"/>
        <v xml:space="preserve"> </v>
      </c>
      <c r="BY651" s="50" t="str">
        <f t="shared" si="277"/>
        <v>CYPRE RIVER_Sockeye</v>
      </c>
      <c r="BZ651" s="50">
        <f>IFERROR(VLOOKUP(BY651,'[1]WCVI Esc'!$C$5:$W$555,18,FALSE),"-")</f>
        <v>13.333333333333334</v>
      </c>
      <c r="CA651" s="50">
        <f t="shared" si="290"/>
        <v>10</v>
      </c>
      <c r="CB651" s="50">
        <f>IFERROR(VLOOKUP(BY651,'[1]WCVI Esc'!$C$5:$W$555,19,FALSE),"-")</f>
        <v>36</v>
      </c>
      <c r="CC651" s="50">
        <f t="shared" si="291"/>
        <v>40</v>
      </c>
      <c r="CE651" s="342" t="str">
        <f t="shared" si="276"/>
        <v>CYPRE RIVER_Sockeye</v>
      </c>
      <c r="CF651" s="341">
        <f>IFERROR(VLOOKUP(CE651,'RawPL+D'!$O$8:$AB$503,12,FALSE),"-")</f>
        <v>0</v>
      </c>
      <c r="CG651" s="338">
        <f t="shared" si="292"/>
        <v>0</v>
      </c>
      <c r="CH651" s="341">
        <f>IFERROR(VLOOKUP(CE651,'RawPL+D'!$O$8:$AB$503,13,FALSE),"-")</f>
        <v>6.5</v>
      </c>
      <c r="CI651" s="338">
        <f t="shared" si="293"/>
        <v>10</v>
      </c>
    </row>
    <row r="652" spans="1:87" ht="12.75" hidden="1" customHeight="1" x14ac:dyDescent="0.2">
      <c r="A652" s="29">
        <v>3</v>
      </c>
      <c r="B652" s="29">
        <v>2</v>
      </c>
      <c r="C652" s="13">
        <v>24</v>
      </c>
      <c r="D652" s="13" t="s">
        <v>297</v>
      </c>
      <c r="E652" s="10" t="s">
        <v>119</v>
      </c>
      <c r="F652" s="10" t="s">
        <v>219</v>
      </c>
      <c r="G652" s="10"/>
      <c r="H652" s="10"/>
      <c r="I652" s="10"/>
      <c r="J652" s="10"/>
      <c r="K652" s="575"/>
      <c r="L652" s="152"/>
      <c r="M652" s="422"/>
      <c r="N652" s="62"/>
      <c r="O652" s="642">
        <v>2</v>
      </c>
      <c r="P652" s="686">
        <v>395</v>
      </c>
      <c r="Q652" s="171"/>
      <c r="R652" s="339"/>
      <c r="S652" s="62"/>
      <c r="T652" s="767">
        <v>747</v>
      </c>
      <c r="U652" s="162"/>
      <c r="V652" s="164"/>
      <c r="W652" s="62"/>
      <c r="X652" s="62"/>
      <c r="Y652" s="62"/>
      <c r="Z652" s="64"/>
      <c r="AA652" s="164"/>
      <c r="AB652" s="62"/>
      <c r="AC652" s="62"/>
      <c r="AD652" s="64"/>
      <c r="AE652" s="164"/>
      <c r="AF652" s="62"/>
      <c r="AG652" s="62"/>
      <c r="AH652" s="337">
        <v>831</v>
      </c>
      <c r="AI652" s="337">
        <v>54</v>
      </c>
      <c r="AJ652" s="337">
        <v>0</v>
      </c>
      <c r="AK652" s="337">
        <v>0</v>
      </c>
      <c r="AL652" s="565">
        <v>831</v>
      </c>
      <c r="AM652" s="571">
        <v>885</v>
      </c>
      <c r="AN652" s="552" t="s">
        <v>765</v>
      </c>
      <c r="AO652" s="552" t="s">
        <v>773</v>
      </c>
      <c r="AP652" s="44"/>
      <c r="AQ652" s="485">
        <f>AL652/BI652</f>
        <v>0.79903846153846159</v>
      </c>
      <c r="AR652" s="485">
        <f>BL652/BH652</f>
        <v>1.5893617021276596</v>
      </c>
      <c r="AS652" s="485">
        <f>BL652/BI652</f>
        <v>0.71826923076923077</v>
      </c>
      <c r="AT652" s="123"/>
      <c r="AU652" s="123"/>
      <c r="AV652" s="123"/>
      <c r="AW652" s="69">
        <v>24</v>
      </c>
      <c r="AX652" s="69" t="s">
        <v>297</v>
      </c>
      <c r="AY652" s="243" t="s">
        <v>119</v>
      </c>
      <c r="AZ652" s="243" t="str">
        <f t="shared" si="278"/>
        <v>Coho</v>
      </c>
      <c r="BA652" s="243" t="s">
        <v>419</v>
      </c>
      <c r="BB652" s="244" t="s">
        <v>497</v>
      </c>
      <c r="BC652" s="43" t="str">
        <f t="shared" si="279"/>
        <v>Oct 22-28</v>
      </c>
      <c r="BD652" s="43">
        <f t="shared" si="273"/>
        <v>3</v>
      </c>
      <c r="BE652" s="193">
        <f t="shared" si="269"/>
        <v>747</v>
      </c>
      <c r="BF652" s="193">
        <f t="shared" si="280"/>
        <v>831</v>
      </c>
      <c r="BG652" s="193">
        <f t="shared" si="281"/>
        <v>831</v>
      </c>
      <c r="BH652" s="307">
        <f t="shared" si="271"/>
        <v>470</v>
      </c>
      <c r="BI652" s="265">
        <f t="shared" si="275"/>
        <v>1040</v>
      </c>
      <c r="BJ652" s="26" t="str">
        <f t="shared" si="282"/>
        <v>CYPRE RIVERCoho</v>
      </c>
      <c r="BK652" s="26">
        <f t="shared" si="283"/>
        <v>3</v>
      </c>
      <c r="BL652" s="33">
        <f t="shared" si="274"/>
        <v>747</v>
      </c>
      <c r="BP652" s="34"/>
      <c r="BQ652" s="47" t="str">
        <f t="shared" si="284"/>
        <v>CYPRE RIVERCoho</v>
      </c>
      <c r="BR652" s="49">
        <f t="shared" si="285"/>
        <v>0</v>
      </c>
      <c r="BS652" s="49" t="e">
        <f>#REF!</f>
        <v>#REF!</v>
      </c>
      <c r="BT652" s="31">
        <v>2016</v>
      </c>
      <c r="BU652" s="188" t="str">
        <f t="shared" si="286"/>
        <v>TSES</v>
      </c>
      <c r="BV652" s="188" t="str">
        <f t="shared" si="287"/>
        <v>Sep 24-30</v>
      </c>
      <c r="BW652" s="188" t="str">
        <f t="shared" si="288"/>
        <v>Oct 22-28</v>
      </c>
      <c r="BX652" s="188" t="str">
        <f t="shared" si="289"/>
        <v xml:space="preserve"> </v>
      </c>
      <c r="BY652" s="50" t="str">
        <f t="shared" si="277"/>
        <v>CYPRE RIVER_Coho</v>
      </c>
      <c r="BZ652" s="50">
        <f>IFERROR(VLOOKUP(BY652,'[1]WCVI Esc'!$C$5:$W$555,18,FALSE),"-")</f>
        <v>551.75</v>
      </c>
      <c r="CA652" s="50">
        <f t="shared" si="290"/>
        <v>550</v>
      </c>
      <c r="CB652" s="50">
        <f>IFERROR(VLOOKUP(BY652,'[1]WCVI Esc'!$C$5:$W$555,19,FALSE),"-")</f>
        <v>1036</v>
      </c>
      <c r="CC652" s="50">
        <f t="shared" si="291"/>
        <v>1040</v>
      </c>
      <c r="CE652" s="342" t="str">
        <f t="shared" si="276"/>
        <v>CYPRE RIVER_Coho</v>
      </c>
      <c r="CF652" s="341">
        <f>IFERROR(VLOOKUP(CE652,'RawPL+D'!$O$8:$AB$503,12,FALSE),"-")</f>
        <v>544</v>
      </c>
      <c r="CG652" s="338">
        <f t="shared" si="292"/>
        <v>540</v>
      </c>
      <c r="CH652" s="341">
        <f>IFERROR(VLOOKUP(CE652,'RawPL+D'!$O$8:$AB$503,13,FALSE),"-")</f>
        <v>472.5</v>
      </c>
      <c r="CI652" s="338">
        <f t="shared" si="293"/>
        <v>470</v>
      </c>
    </row>
    <row r="653" spans="1:87" ht="12.75" hidden="1" customHeight="1" x14ac:dyDescent="0.2">
      <c r="A653" s="29">
        <v>3</v>
      </c>
      <c r="B653" s="29">
        <v>3</v>
      </c>
      <c r="C653" s="13">
        <v>24</v>
      </c>
      <c r="D653" s="13" t="s">
        <v>297</v>
      </c>
      <c r="E653" s="10" t="s">
        <v>119</v>
      </c>
      <c r="F653" s="10" t="s">
        <v>208</v>
      </c>
      <c r="G653" s="10"/>
      <c r="H653" s="10"/>
      <c r="I653" s="10"/>
      <c r="J653" s="10"/>
      <c r="K653" s="575"/>
      <c r="L653" s="152"/>
      <c r="M653" s="422"/>
      <c r="N653" s="62"/>
      <c r="O653" s="642">
        <v>0</v>
      </c>
      <c r="P653" s="686">
        <v>1</v>
      </c>
      <c r="Q653" s="171"/>
      <c r="R653" s="339"/>
      <c r="S653" s="62"/>
      <c r="T653" s="767">
        <v>0</v>
      </c>
      <c r="U653" s="162"/>
      <c r="V653" s="169"/>
      <c r="W653" s="62"/>
      <c r="X653" s="62"/>
      <c r="Y653" s="62"/>
      <c r="Z653" s="64"/>
      <c r="AA653" s="164"/>
      <c r="AB653" s="62"/>
      <c r="AC653" s="62"/>
      <c r="AD653" s="64"/>
      <c r="AE653" s="164"/>
      <c r="AF653" s="62"/>
      <c r="AG653" s="62"/>
      <c r="AH653" s="337">
        <v>1</v>
      </c>
      <c r="AI653" s="337">
        <v>0</v>
      </c>
      <c r="AJ653" s="337">
        <v>0</v>
      </c>
      <c r="AK653" s="337">
        <v>0</v>
      </c>
      <c r="AL653" s="555">
        <v>1</v>
      </c>
      <c r="AM653" s="552">
        <v>1</v>
      </c>
      <c r="AN653" s="552" t="s">
        <v>765</v>
      </c>
      <c r="AO653" s="552" t="s">
        <v>773</v>
      </c>
      <c r="AP653" s="44"/>
      <c r="AQ653" s="485">
        <f>AL653/BI653</f>
        <v>0.1</v>
      </c>
      <c r="AR653" s="485"/>
      <c r="AS653" s="485">
        <f>BL653/BI653</f>
        <v>0.1</v>
      </c>
      <c r="AT653" s="123"/>
      <c r="AU653" s="123"/>
      <c r="AV653" s="123"/>
      <c r="AW653" s="69">
        <v>24</v>
      </c>
      <c r="AX653" s="69" t="s">
        <v>297</v>
      </c>
      <c r="AY653" s="243" t="s">
        <v>119</v>
      </c>
      <c r="AZ653" s="243" t="str">
        <f t="shared" si="278"/>
        <v>Pink</v>
      </c>
      <c r="BA653" s="243" t="s">
        <v>419</v>
      </c>
      <c r="BB653" s="244" t="s">
        <v>497</v>
      </c>
      <c r="BC653" s="43" t="str">
        <f t="shared" si="279"/>
        <v>Oct 22-28</v>
      </c>
      <c r="BD653" s="43">
        <f t="shared" si="273"/>
        <v>3</v>
      </c>
      <c r="BE653" s="193">
        <f t="shared" si="269"/>
        <v>1</v>
      </c>
      <c r="BF653" s="193">
        <f t="shared" si="280"/>
        <v>1</v>
      </c>
      <c r="BG653" s="193">
        <f t="shared" si="281"/>
        <v>1</v>
      </c>
      <c r="BH653" s="307">
        <f t="shared" si="271"/>
        <v>0</v>
      </c>
      <c r="BI653" s="265">
        <f t="shared" si="275"/>
        <v>10</v>
      </c>
      <c r="BJ653" s="26" t="str">
        <f t="shared" si="282"/>
        <v>CYPRE RIVERPink</v>
      </c>
      <c r="BK653" s="26">
        <f t="shared" si="283"/>
        <v>3</v>
      </c>
      <c r="BL653" s="33">
        <f t="shared" si="274"/>
        <v>1</v>
      </c>
      <c r="BP653" s="34"/>
      <c r="BQ653" s="47" t="str">
        <f t="shared" si="284"/>
        <v>CYPRE RIVERPink</v>
      </c>
      <c r="BR653" s="49">
        <f t="shared" si="285"/>
        <v>0</v>
      </c>
      <c r="BS653" s="49">
        <f t="shared" ref="BS653:BS716" si="294">AL653</f>
        <v>1</v>
      </c>
      <c r="BT653" s="31">
        <v>2016</v>
      </c>
      <c r="BU653" s="188" t="str">
        <f t="shared" si="286"/>
        <v>TSES</v>
      </c>
      <c r="BV653" s="188" t="str">
        <f t="shared" si="287"/>
        <v>Sep 24-30</v>
      </c>
      <c r="BW653" s="188" t="str">
        <f t="shared" si="288"/>
        <v>Oct 22-28</v>
      </c>
      <c r="BX653" s="188" t="str">
        <f t="shared" si="289"/>
        <v xml:space="preserve"> </v>
      </c>
      <c r="BY653" s="50" t="str">
        <f t="shared" si="277"/>
        <v>CYPRE RIVER_Pink</v>
      </c>
      <c r="BZ653" s="50">
        <f>IFERROR(VLOOKUP(BY653,'[1]WCVI Esc'!$C$5:$W$555,18,FALSE),"-")</f>
        <v>1</v>
      </c>
      <c r="CA653" s="50">
        <f t="shared" si="290"/>
        <v>0</v>
      </c>
      <c r="CB653" s="50">
        <f>IFERROR(VLOOKUP(BY653,'[1]WCVI Esc'!$C$5:$W$555,19,FALSE),"-")</f>
        <v>9.5</v>
      </c>
      <c r="CC653" s="50">
        <f t="shared" si="291"/>
        <v>10</v>
      </c>
      <c r="CE653" s="342" t="str">
        <f t="shared" si="276"/>
        <v>CYPRE RIVER_Pink</v>
      </c>
      <c r="CF653" s="341">
        <f>IFERROR(VLOOKUP(CE653,'RawPL+D'!$O$8:$AB$503,12,FALSE),"-")</f>
        <v>1</v>
      </c>
      <c r="CG653" s="338">
        <f t="shared" si="292"/>
        <v>0</v>
      </c>
      <c r="CH653" s="341">
        <f>IFERROR(VLOOKUP(CE653,'RawPL+D'!$O$8:$AB$503,13,FALSE),"-")</f>
        <v>0.5</v>
      </c>
      <c r="CI653" s="338">
        <f t="shared" si="293"/>
        <v>0</v>
      </c>
    </row>
    <row r="654" spans="1:87" ht="12.75" hidden="1" customHeight="1" x14ac:dyDescent="0.2">
      <c r="A654" s="29">
        <v>3</v>
      </c>
      <c r="B654" s="29">
        <v>4</v>
      </c>
      <c r="C654" s="13">
        <v>24</v>
      </c>
      <c r="D654" s="13" t="s">
        <v>297</v>
      </c>
      <c r="E654" s="10" t="s">
        <v>119</v>
      </c>
      <c r="F654" s="10" t="s">
        <v>209</v>
      </c>
      <c r="G654" s="10"/>
      <c r="H654" s="10"/>
      <c r="I654" s="10"/>
      <c r="J654" s="10"/>
      <c r="K654" s="575"/>
      <c r="L654" s="152"/>
      <c r="M654" s="422"/>
      <c r="N654" s="62"/>
      <c r="O654" s="642">
        <v>0</v>
      </c>
      <c r="P654" s="686">
        <v>123</v>
      </c>
      <c r="Q654" s="447"/>
      <c r="R654" s="428"/>
      <c r="S654" s="431"/>
      <c r="T654" s="768">
        <f>1495+16</f>
        <v>1511</v>
      </c>
      <c r="U654" s="418"/>
      <c r="V654" s="164"/>
      <c r="W654" s="62"/>
      <c r="X654" s="390"/>
      <c r="Y654" s="62"/>
      <c r="Z654" s="64"/>
      <c r="AA654" s="164"/>
      <c r="AB654" s="62"/>
      <c r="AC654" s="62"/>
      <c r="AD654" s="64"/>
      <c r="AE654" s="164"/>
      <c r="AF654" s="62"/>
      <c r="AG654" s="62"/>
      <c r="AH654" s="337">
        <v>1678</v>
      </c>
      <c r="AI654" s="337">
        <v>0</v>
      </c>
      <c r="AJ654" s="337">
        <v>0</v>
      </c>
      <c r="AK654" s="337">
        <v>0</v>
      </c>
      <c r="AL654" s="555">
        <v>1678</v>
      </c>
      <c r="AM654" s="552">
        <v>1678</v>
      </c>
      <c r="AN654" s="552" t="s">
        <v>765</v>
      </c>
      <c r="AO654" s="552" t="s">
        <v>773</v>
      </c>
      <c r="AP654" s="44"/>
      <c r="AQ654" s="485">
        <f>AL654/BI654</f>
        <v>1.0620253164556963</v>
      </c>
      <c r="AR654" s="485">
        <f>BL654/BH654</f>
        <v>3.3577777777777778</v>
      </c>
      <c r="AS654" s="485">
        <f>BL654/BI654</f>
        <v>0.95632911392405062</v>
      </c>
      <c r="AT654" s="123"/>
      <c r="AU654" s="123"/>
      <c r="AV654" s="123"/>
      <c r="AW654" s="69">
        <v>24</v>
      </c>
      <c r="AX654" s="69" t="s">
        <v>297</v>
      </c>
      <c r="AY654" s="243" t="s">
        <v>119</v>
      </c>
      <c r="AZ654" s="243" t="str">
        <f t="shared" si="278"/>
        <v>Chum</v>
      </c>
      <c r="BA654" s="243" t="s">
        <v>419</v>
      </c>
      <c r="BB654" s="244" t="s">
        <v>497</v>
      </c>
      <c r="BC654" s="43" t="str">
        <f t="shared" si="279"/>
        <v>Oct 22-28</v>
      </c>
      <c r="BD654" s="43">
        <f t="shared" si="273"/>
        <v>3</v>
      </c>
      <c r="BE654" s="193">
        <f t="shared" si="269"/>
        <v>1511</v>
      </c>
      <c r="BF654" s="193">
        <f t="shared" si="280"/>
        <v>1678</v>
      </c>
      <c r="BG654" s="193">
        <f t="shared" si="281"/>
        <v>1678</v>
      </c>
      <c r="BH654" s="307">
        <f t="shared" si="271"/>
        <v>450</v>
      </c>
      <c r="BI654" s="265">
        <f t="shared" si="275"/>
        <v>1580</v>
      </c>
      <c r="BJ654" s="26" t="str">
        <f t="shared" si="282"/>
        <v>CYPRE RIVERChum</v>
      </c>
      <c r="BK654" s="26">
        <f t="shared" si="283"/>
        <v>3</v>
      </c>
      <c r="BL654" s="33">
        <f t="shared" si="274"/>
        <v>1511</v>
      </c>
      <c r="BP654" s="34"/>
      <c r="BQ654" s="47" t="str">
        <f t="shared" si="284"/>
        <v>CYPRE RIVERChum</v>
      </c>
      <c r="BR654" s="49">
        <f t="shared" si="285"/>
        <v>0</v>
      </c>
      <c r="BS654" s="49">
        <f t="shared" si="294"/>
        <v>1678</v>
      </c>
      <c r="BT654" s="31">
        <v>2016</v>
      </c>
      <c r="BU654" s="188" t="str">
        <f t="shared" si="286"/>
        <v>TSES</v>
      </c>
      <c r="BV654" s="188" t="str">
        <f t="shared" si="287"/>
        <v>Sep 24-30</v>
      </c>
      <c r="BW654" s="188" t="str">
        <f t="shared" si="288"/>
        <v>Oct 22-28</v>
      </c>
      <c r="BX654" s="188" t="str">
        <f t="shared" si="289"/>
        <v xml:space="preserve"> </v>
      </c>
      <c r="BY654" s="50" t="str">
        <f t="shared" si="277"/>
        <v>CYPRE RIVER_Chum</v>
      </c>
      <c r="BZ654" s="50">
        <f>IFERROR(VLOOKUP(BY654,'[1]WCVI Esc'!$C$5:$W$555,18,FALSE),"-")</f>
        <v>552</v>
      </c>
      <c r="CA654" s="50">
        <f t="shared" si="290"/>
        <v>550</v>
      </c>
      <c r="CB654" s="50">
        <f>IFERROR(VLOOKUP(BY654,'[1]WCVI Esc'!$C$5:$W$555,19,FALSE),"-")</f>
        <v>1576.1666666666667</v>
      </c>
      <c r="CC654" s="50">
        <f t="shared" si="291"/>
        <v>1580</v>
      </c>
      <c r="CE654" s="342" t="str">
        <f t="shared" si="276"/>
        <v>CYPRE RIVER_Chum</v>
      </c>
      <c r="CF654" s="341">
        <f>IFERROR(VLOOKUP(CE654,'RawPL+D'!$O$8:$AB$503,12,FALSE),"-")</f>
        <v>345</v>
      </c>
      <c r="CG654" s="338">
        <f t="shared" si="292"/>
        <v>350</v>
      </c>
      <c r="CH654" s="341">
        <f>IFERROR(VLOOKUP(CE654,'RawPL+D'!$O$8:$AB$503,13,FALSE),"-")</f>
        <v>451.25</v>
      </c>
      <c r="CI654" s="338">
        <f t="shared" si="293"/>
        <v>450</v>
      </c>
    </row>
    <row r="655" spans="1:87" ht="12.75" hidden="1" customHeight="1" x14ac:dyDescent="0.2">
      <c r="A655" s="29">
        <v>3</v>
      </c>
      <c r="B655" s="29">
        <v>5</v>
      </c>
      <c r="C655" s="13">
        <v>24</v>
      </c>
      <c r="D655" s="13" t="s">
        <v>297</v>
      </c>
      <c r="E655" s="10" t="s">
        <v>119</v>
      </c>
      <c r="F655" s="10" t="s">
        <v>210</v>
      </c>
      <c r="G655" s="10"/>
      <c r="H655" s="10"/>
      <c r="I655" s="10"/>
      <c r="J655" s="10"/>
      <c r="K655" s="575"/>
      <c r="L655" s="152"/>
      <c r="M655" s="422"/>
      <c r="N655" s="62"/>
      <c r="O655" s="642">
        <v>0</v>
      </c>
      <c r="P655" s="686">
        <v>11</v>
      </c>
      <c r="Q655" s="171"/>
      <c r="R655" s="339"/>
      <c r="S655" s="431"/>
      <c r="T655" s="767">
        <f>4+3</f>
        <v>7</v>
      </c>
      <c r="U655" s="162"/>
      <c r="V655" s="164"/>
      <c r="W655" s="62"/>
      <c r="X655" s="62"/>
      <c r="Y655" s="62"/>
      <c r="Z655" s="64"/>
      <c r="AA655" s="164"/>
      <c r="AB655" s="62"/>
      <c r="AC655" s="62"/>
      <c r="AD655" s="64"/>
      <c r="AE655" s="164"/>
      <c r="AF655" s="62"/>
      <c r="AG655" s="62"/>
      <c r="AH655" s="337">
        <v>12</v>
      </c>
      <c r="AI655" s="337">
        <v>0</v>
      </c>
      <c r="AJ655" s="337">
        <v>0</v>
      </c>
      <c r="AK655" s="337">
        <v>0</v>
      </c>
      <c r="AL655" s="555">
        <v>12</v>
      </c>
      <c r="AM655" s="552">
        <v>12</v>
      </c>
      <c r="AN655" s="552" t="s">
        <v>765</v>
      </c>
      <c r="AO655" s="552" t="s">
        <v>773</v>
      </c>
      <c r="AP655" s="44"/>
      <c r="AQ655" s="485">
        <f>AL655/BI655</f>
        <v>1.2371134020618556E-2</v>
      </c>
      <c r="AR655" s="485">
        <f>BL655/BH655</f>
        <v>0.13750000000000001</v>
      </c>
      <c r="AS655" s="485">
        <f>BL655/BI655</f>
        <v>1.134020618556701E-2</v>
      </c>
      <c r="AT655" s="123">
        <v>313</v>
      </c>
      <c r="AU655" s="123">
        <v>92</v>
      </c>
      <c r="AV655" s="123">
        <f>AL655</f>
        <v>12</v>
      </c>
      <c r="AW655" s="69">
        <v>24</v>
      </c>
      <c r="AX655" s="69" t="s">
        <v>297</v>
      </c>
      <c r="AY655" s="243" t="s">
        <v>119</v>
      </c>
      <c r="AZ655" s="243" t="str">
        <f t="shared" si="278"/>
        <v>Chinook</v>
      </c>
      <c r="BA655" s="243" t="s">
        <v>419</v>
      </c>
      <c r="BB655" s="244" t="s">
        <v>497</v>
      </c>
      <c r="BC655" s="43" t="str">
        <f t="shared" si="279"/>
        <v>Oct 22-28</v>
      </c>
      <c r="BD655" s="43">
        <f t="shared" si="273"/>
        <v>3</v>
      </c>
      <c r="BE655" s="193">
        <f t="shared" si="269"/>
        <v>11</v>
      </c>
      <c r="BF655" s="193">
        <f t="shared" si="280"/>
        <v>12</v>
      </c>
      <c r="BG655" s="193">
        <f t="shared" si="281"/>
        <v>12</v>
      </c>
      <c r="BH655" s="307">
        <f t="shared" si="271"/>
        <v>80</v>
      </c>
      <c r="BI655" s="265">
        <f t="shared" si="275"/>
        <v>970</v>
      </c>
      <c r="BJ655" s="26" t="str">
        <f t="shared" si="282"/>
        <v>CYPRE RIVERChinook</v>
      </c>
      <c r="BK655" s="26">
        <f t="shared" si="283"/>
        <v>3</v>
      </c>
      <c r="BL655" s="33">
        <f t="shared" si="274"/>
        <v>11</v>
      </c>
      <c r="BM655" s="34">
        <f>BL655*1.14</f>
        <v>12.54</v>
      </c>
      <c r="BN655" s="34">
        <f>BL655*2.88</f>
        <v>31.68</v>
      </c>
      <c r="BO655" s="37"/>
      <c r="BP655" s="34">
        <f>SUM(BM655:BN655)/2</f>
        <v>22.11</v>
      </c>
      <c r="BQ655" s="47" t="str">
        <f t="shared" si="284"/>
        <v>CYPRE RIVERChinook</v>
      </c>
      <c r="BR655" s="49">
        <f t="shared" si="285"/>
        <v>0</v>
      </c>
      <c r="BS655" s="49">
        <f t="shared" si="294"/>
        <v>12</v>
      </c>
      <c r="BT655" s="31">
        <v>2016</v>
      </c>
      <c r="BU655" s="188" t="str">
        <f t="shared" si="286"/>
        <v>TSES</v>
      </c>
      <c r="BV655" s="188" t="str">
        <f t="shared" si="287"/>
        <v>Sep 24-30</v>
      </c>
      <c r="BW655" s="188" t="str">
        <f t="shared" si="288"/>
        <v>Oct 22-28</v>
      </c>
      <c r="BX655" s="188" t="str">
        <f t="shared" si="289"/>
        <v xml:space="preserve"> </v>
      </c>
      <c r="BY655" s="50" t="str">
        <f t="shared" si="277"/>
        <v>CYPRE RIVER_Chinook</v>
      </c>
      <c r="BZ655" s="50">
        <f>IFERROR(VLOOKUP(BY655,'[1]WCVI Esc'!$C$5:$W$555,18,FALSE),"-")</f>
        <v>103.25</v>
      </c>
      <c r="CA655" s="50">
        <f t="shared" si="290"/>
        <v>100</v>
      </c>
      <c r="CB655" s="50">
        <f>IFERROR(VLOOKUP(BY655,'[1]WCVI Esc'!$C$5:$W$555,19,FALSE),"-")</f>
        <v>972</v>
      </c>
      <c r="CC655" s="50">
        <f t="shared" si="291"/>
        <v>970</v>
      </c>
      <c r="CE655" s="342" t="str">
        <f t="shared" si="276"/>
        <v>CYPRE RIVER_Chinook</v>
      </c>
      <c r="CF655" s="341">
        <f>IFERROR(VLOOKUP(CE655,'RawPL+D'!$O$8:$AB$503,12,FALSE),"-")</f>
        <v>4</v>
      </c>
      <c r="CG655" s="338">
        <f t="shared" si="292"/>
        <v>0</v>
      </c>
      <c r="CH655" s="341">
        <f>IFERROR(VLOOKUP(CE655,'RawPL+D'!$O$8:$AB$503,13,FALSE),"-")</f>
        <v>77.5</v>
      </c>
      <c r="CI655" s="338">
        <f t="shared" si="293"/>
        <v>80</v>
      </c>
    </row>
    <row r="656" spans="1:87" ht="12.75" hidden="1" customHeight="1" x14ac:dyDescent="0.2">
      <c r="A656" s="29">
        <v>3</v>
      </c>
      <c r="B656" s="29">
        <v>6</v>
      </c>
      <c r="C656" s="13">
        <v>24</v>
      </c>
      <c r="D656" s="13" t="s">
        <v>297</v>
      </c>
      <c r="E656" s="10" t="s">
        <v>119</v>
      </c>
      <c r="F656" s="10" t="s">
        <v>211</v>
      </c>
      <c r="G656" s="10"/>
      <c r="H656" s="10"/>
      <c r="I656" s="10"/>
      <c r="J656" s="10"/>
      <c r="K656" s="575"/>
      <c r="L656" s="152"/>
      <c r="M656" s="422"/>
      <c r="N656" s="62"/>
      <c r="O656" s="642">
        <v>0</v>
      </c>
      <c r="P656" s="686">
        <v>2</v>
      </c>
      <c r="Q656" s="171"/>
      <c r="R656" s="339"/>
      <c r="S656" s="62"/>
      <c r="T656" s="767">
        <v>0</v>
      </c>
      <c r="U656" s="162"/>
      <c r="V656" s="169"/>
      <c r="W656" s="62"/>
      <c r="X656" s="62"/>
      <c r="Y656" s="62"/>
      <c r="Z656" s="64"/>
      <c r="AA656" s="164"/>
      <c r="AB656" s="62"/>
      <c r="AC656" s="62"/>
      <c r="AD656" s="64"/>
      <c r="AE656" s="164"/>
      <c r="AF656" s="62"/>
      <c r="AG656" s="62"/>
      <c r="AH656" s="337"/>
      <c r="AI656" s="337"/>
      <c r="AJ656" s="337"/>
      <c r="AK656" s="337"/>
      <c r="AL656" s="555"/>
      <c r="AM656" s="552"/>
      <c r="AN656" s="45"/>
      <c r="AO656" s="45"/>
      <c r="AP656" s="44"/>
      <c r="AQ656" s="485"/>
      <c r="AR656" s="485"/>
      <c r="AS656" s="485"/>
      <c r="AT656" s="123"/>
      <c r="AU656" s="123"/>
      <c r="AV656" s="123"/>
      <c r="AW656" s="69">
        <v>24</v>
      </c>
      <c r="AX656" s="69" t="s">
        <v>297</v>
      </c>
      <c r="AY656" s="243" t="s">
        <v>119</v>
      </c>
      <c r="AZ656" s="243" t="str">
        <f t="shared" si="278"/>
        <v>Steelhead</v>
      </c>
      <c r="BA656" s="243" t="s">
        <v>419</v>
      </c>
      <c r="BB656" s="244" t="s">
        <v>497</v>
      </c>
      <c r="BC656" s="43" t="str">
        <f t="shared" si="279"/>
        <v>Oct 22-28</v>
      </c>
      <c r="BD656" s="43">
        <f t="shared" si="273"/>
        <v>3</v>
      </c>
      <c r="BE656" s="193">
        <f t="shared" si="269"/>
        <v>2</v>
      </c>
      <c r="BF656" s="193">
        <f t="shared" si="280"/>
        <v>0</v>
      </c>
      <c r="BG656" s="193">
        <f t="shared" si="281"/>
        <v>0</v>
      </c>
      <c r="BH656" s="307" t="str">
        <f t="shared" si="271"/>
        <v>-</v>
      </c>
      <c r="BI656" s="265" t="str">
        <f t="shared" si="275"/>
        <v>-</v>
      </c>
      <c r="BJ656" s="26" t="str">
        <f t="shared" si="282"/>
        <v>CYPRE RIVERSteelhead</v>
      </c>
      <c r="BK656" s="26">
        <f t="shared" si="283"/>
        <v>3</v>
      </c>
      <c r="BL656" s="33">
        <f t="shared" si="274"/>
        <v>2</v>
      </c>
      <c r="BP656" s="34"/>
      <c r="BQ656" s="47" t="str">
        <f t="shared" si="284"/>
        <v>CYPRE RIVERSteelhead</v>
      </c>
      <c r="BR656" s="49">
        <f t="shared" si="285"/>
        <v>0</v>
      </c>
      <c r="BS656" s="49">
        <f t="shared" si="294"/>
        <v>0</v>
      </c>
      <c r="BT656" s="31">
        <v>0</v>
      </c>
      <c r="BU656" s="188" t="str">
        <f t="shared" si="286"/>
        <v>TSES</v>
      </c>
      <c r="BV656" s="188" t="str">
        <f t="shared" si="287"/>
        <v>Sep 24-30</v>
      </c>
      <c r="BW656" s="188" t="str">
        <f t="shared" si="288"/>
        <v>Oct 22-28</v>
      </c>
      <c r="BX656" s="188" t="str">
        <f t="shared" si="289"/>
        <v xml:space="preserve"> </v>
      </c>
      <c r="BY656" s="50" t="str">
        <f t="shared" si="277"/>
        <v>CYPRE RIVER_Steelhead</v>
      </c>
      <c r="BZ656" s="50" t="str">
        <f>IFERROR(VLOOKUP(BY656,'[1]WCVI Esc'!$C$5:$W$555,18,FALSE),"-")</f>
        <v>-</v>
      </c>
      <c r="CA656" s="50" t="str">
        <f t="shared" si="290"/>
        <v>-</v>
      </c>
      <c r="CB656" s="50" t="str">
        <f>IFERROR(VLOOKUP(BY656,'[1]WCVI Esc'!$C$5:$W$555,19,FALSE),"-")</f>
        <v>-</v>
      </c>
      <c r="CC656" s="50" t="str">
        <f t="shared" si="291"/>
        <v>-</v>
      </c>
      <c r="CE656" s="342" t="str">
        <f t="shared" si="276"/>
        <v>CYPRE RIVER_Steelhead</v>
      </c>
      <c r="CF656" s="341" t="str">
        <f>IFERROR(VLOOKUP(BY656,'RawPL+D'!$O$8:$AB$503,12,FALSE),"-")</f>
        <v>-</v>
      </c>
      <c r="CG656" s="338" t="str">
        <f t="shared" si="292"/>
        <v>-</v>
      </c>
      <c r="CH656" s="341" t="str">
        <f>IFERROR(VLOOKUP(BY656,'RawPL+D'!$O$8:$AB$503,13,FALSE),"-")</f>
        <v>-</v>
      </c>
      <c r="CI656" s="338" t="str">
        <f t="shared" si="293"/>
        <v>-</v>
      </c>
    </row>
    <row r="657" spans="1:87" ht="12.75" hidden="1" customHeight="1" x14ac:dyDescent="0.2">
      <c r="A657" s="28">
        <v>4</v>
      </c>
      <c r="B657" s="28">
        <v>1</v>
      </c>
      <c r="C657" s="11">
        <v>24</v>
      </c>
      <c r="D657" s="13" t="s">
        <v>297</v>
      </c>
      <c r="E657" s="10" t="s">
        <v>114</v>
      </c>
      <c r="F657" s="10" t="s">
        <v>207</v>
      </c>
      <c r="G657" s="10"/>
      <c r="H657" s="10"/>
      <c r="I657" s="10"/>
      <c r="J657" s="10"/>
      <c r="K657" s="575"/>
      <c r="L657" s="152"/>
      <c r="M657" s="164"/>
      <c r="N657" s="62"/>
      <c r="O657" s="62"/>
      <c r="P657" s="177"/>
      <c r="Q657" s="171"/>
      <c r="R657" s="62"/>
      <c r="S657" s="62"/>
      <c r="T657" s="63"/>
      <c r="U657" s="162"/>
      <c r="V657" s="164"/>
      <c r="W657" s="62"/>
      <c r="X657" s="62"/>
      <c r="Y657" s="62"/>
      <c r="Z657" s="64"/>
      <c r="AA657" s="164"/>
      <c r="AB657" s="62"/>
      <c r="AC657" s="62"/>
      <c r="AD657" s="64"/>
      <c r="AE657" s="164"/>
      <c r="AF657" s="62"/>
      <c r="AG657" s="62"/>
      <c r="AH657" s="337"/>
      <c r="AI657" s="337"/>
      <c r="AJ657" s="337"/>
      <c r="AK657" s="337"/>
      <c r="AL657" s="412"/>
      <c r="AM657" s="414"/>
      <c r="AN657" s="44"/>
      <c r="AO657" s="44"/>
      <c r="AP657" s="45"/>
      <c r="AQ657" s="485"/>
      <c r="AR657" s="485"/>
      <c r="AS657" s="485"/>
      <c r="AT657" s="24"/>
      <c r="AU657" s="24"/>
      <c r="AV657" s="24"/>
      <c r="AW657" s="18">
        <v>24</v>
      </c>
      <c r="AX657" s="69" t="s">
        <v>297</v>
      </c>
      <c r="AY657" s="243" t="s">
        <v>114</v>
      </c>
      <c r="AZ657" s="243" t="str">
        <f t="shared" si="278"/>
        <v>Sockeye</v>
      </c>
      <c r="BA657" s="243" t="s">
        <v>419</v>
      </c>
      <c r="BB657" s="244" t="s">
        <v>594</v>
      </c>
      <c r="BC657" s="43" t="str">
        <f t="shared" si="279"/>
        <v>-</v>
      </c>
      <c r="BD657" s="43">
        <f t="shared" si="273"/>
        <v>0</v>
      </c>
      <c r="BE657" s="193">
        <f t="shared" ref="BE657:BE720" si="295">BL657</f>
        <v>0</v>
      </c>
      <c r="BF657" s="193">
        <f t="shared" si="280"/>
        <v>0</v>
      </c>
      <c r="BG657" s="193">
        <f t="shared" si="281"/>
        <v>0</v>
      </c>
      <c r="BH657" s="307">
        <f t="shared" si="271"/>
        <v>0</v>
      </c>
      <c r="BI657" s="266"/>
      <c r="BJ657" s="26" t="str">
        <f t="shared" si="282"/>
        <v>ATLEO RIVERSockeye</v>
      </c>
      <c r="BK657" s="26">
        <f t="shared" si="283"/>
        <v>0</v>
      </c>
      <c r="BL657" s="33">
        <f t="shared" si="274"/>
        <v>0</v>
      </c>
      <c r="BQ657" s="47" t="str">
        <f t="shared" si="284"/>
        <v>ATLEO RIVERSockeye</v>
      </c>
      <c r="BR657" s="49">
        <f t="shared" si="285"/>
        <v>0</v>
      </c>
      <c r="BS657" s="49">
        <f t="shared" si="294"/>
        <v>0</v>
      </c>
      <c r="BT657" s="31">
        <v>0</v>
      </c>
      <c r="BU657" s="188" t="str">
        <f t="shared" si="286"/>
        <v>MHSS</v>
      </c>
      <c r="BV657" s="188" t="str">
        <f t="shared" si="287"/>
        <v xml:space="preserve"> </v>
      </c>
      <c r="BW657" s="188" t="str">
        <f t="shared" si="288"/>
        <v xml:space="preserve"> </v>
      </c>
      <c r="BX657" s="188" t="str">
        <f t="shared" si="289"/>
        <v xml:space="preserve"> </v>
      </c>
      <c r="BY657" s="50" t="str">
        <f t="shared" si="277"/>
        <v>ATLEO RIVER_Sockeye</v>
      </c>
      <c r="BZ657" s="50" t="str">
        <f>IFERROR(VLOOKUP(BY657,'[1]WCVI Esc'!$C$5:$W$555,18,FALSE),"-")</f>
        <v>-</v>
      </c>
      <c r="CA657" s="50" t="str">
        <f t="shared" si="290"/>
        <v>-</v>
      </c>
      <c r="CB657" s="50" t="str">
        <f>IFERROR(VLOOKUP(BY657,'[1]WCVI Esc'!$C$5:$W$555,19,FALSE),"-")</f>
        <v>-</v>
      </c>
      <c r="CC657" s="50" t="str">
        <f t="shared" si="291"/>
        <v>-</v>
      </c>
      <c r="CE657" s="342" t="str">
        <f t="shared" si="276"/>
        <v>ATLEO RIVER_Sockeye</v>
      </c>
      <c r="CF657" s="341">
        <f>IFERROR(VLOOKUP(BY657,'RawPL+D'!$O$8:$AB$503,12,FALSE),"-")</f>
        <v>0</v>
      </c>
      <c r="CG657" s="338">
        <f t="shared" si="292"/>
        <v>0</v>
      </c>
      <c r="CH657" s="341">
        <f>IFERROR(VLOOKUP(BY657,'RawPL+D'!$O$8:$AB$503,13,FALSE),"-")</f>
        <v>0</v>
      </c>
      <c r="CI657" s="338">
        <f t="shared" si="293"/>
        <v>0</v>
      </c>
    </row>
    <row r="658" spans="1:87" ht="12.75" hidden="1" customHeight="1" x14ac:dyDescent="0.2">
      <c r="A658" s="28">
        <v>4</v>
      </c>
      <c r="B658" s="28">
        <v>2</v>
      </c>
      <c r="C658" s="11">
        <v>24</v>
      </c>
      <c r="D658" s="13" t="s">
        <v>297</v>
      </c>
      <c r="E658" s="10" t="s">
        <v>114</v>
      </c>
      <c r="F658" s="10" t="s">
        <v>219</v>
      </c>
      <c r="G658" s="10"/>
      <c r="H658" s="10"/>
      <c r="I658" s="10"/>
      <c r="J658" s="10"/>
      <c r="K658" s="575"/>
      <c r="L658" s="152"/>
      <c r="M658" s="164"/>
      <c r="N658" s="62"/>
      <c r="O658" s="62"/>
      <c r="P658" s="177"/>
      <c r="Q658" s="171"/>
      <c r="R658" s="431"/>
      <c r="S658" s="62"/>
      <c r="T658" s="63"/>
      <c r="U658" s="162"/>
      <c r="V658" s="164"/>
      <c r="W658" s="62"/>
      <c r="X658" s="62"/>
      <c r="Y658" s="62"/>
      <c r="Z658" s="64"/>
      <c r="AA658" s="164"/>
      <c r="AB658" s="62"/>
      <c r="AC658" s="62"/>
      <c r="AD658" s="64"/>
      <c r="AE658" s="164"/>
      <c r="AF658" s="62"/>
      <c r="AG658" s="62"/>
      <c r="AH658" s="337"/>
      <c r="AI658" s="337"/>
      <c r="AJ658" s="337"/>
      <c r="AK658" s="337"/>
      <c r="AL658" s="412"/>
      <c r="AM658" s="414"/>
      <c r="AN658" s="45"/>
      <c r="AO658" s="45"/>
      <c r="AP658" s="45"/>
      <c r="AQ658" s="485">
        <f>AL658/BI658</f>
        <v>0</v>
      </c>
      <c r="AR658" s="485">
        <f>BL658/BH658</f>
        <v>0</v>
      </c>
      <c r="AS658" s="485">
        <f>BL658/BI658</f>
        <v>0</v>
      </c>
      <c r="AT658" s="24"/>
      <c r="AU658" s="24"/>
      <c r="AV658" s="24"/>
      <c r="AW658" s="18">
        <v>24</v>
      </c>
      <c r="AX658" s="69" t="s">
        <v>297</v>
      </c>
      <c r="AY658" s="243" t="s">
        <v>114</v>
      </c>
      <c r="AZ658" s="243" t="str">
        <f t="shared" si="278"/>
        <v>Coho</v>
      </c>
      <c r="BA658" s="243" t="s">
        <v>419</v>
      </c>
      <c r="BB658" s="244" t="s">
        <v>594</v>
      </c>
      <c r="BC658" s="43" t="str">
        <f t="shared" si="279"/>
        <v>-</v>
      </c>
      <c r="BD658" s="43">
        <f t="shared" si="273"/>
        <v>0</v>
      </c>
      <c r="BE658" s="193">
        <f t="shared" si="295"/>
        <v>0</v>
      </c>
      <c r="BF658" s="193">
        <f t="shared" si="280"/>
        <v>0</v>
      </c>
      <c r="BG658" s="193">
        <f t="shared" si="281"/>
        <v>0</v>
      </c>
      <c r="BH658" s="307">
        <f t="shared" si="271"/>
        <v>110</v>
      </c>
      <c r="BI658" s="265">
        <f>CC658</f>
        <v>260</v>
      </c>
      <c r="BJ658" s="26" t="str">
        <f t="shared" si="282"/>
        <v>ATLEO RIVERCoho</v>
      </c>
      <c r="BK658" s="26">
        <f t="shared" si="283"/>
        <v>0</v>
      </c>
      <c r="BL658" s="33">
        <f t="shared" si="274"/>
        <v>0</v>
      </c>
      <c r="BQ658" s="47" t="str">
        <f t="shared" si="284"/>
        <v>ATLEO RIVERCoho</v>
      </c>
      <c r="BR658" s="49">
        <f t="shared" si="285"/>
        <v>0</v>
      </c>
      <c r="BS658" s="49">
        <f t="shared" si="294"/>
        <v>0</v>
      </c>
      <c r="BT658" s="31">
        <v>2014</v>
      </c>
      <c r="BU658" s="188" t="str">
        <f t="shared" si="286"/>
        <v>MHSS</v>
      </c>
      <c r="BV658" s="188" t="str">
        <f t="shared" si="287"/>
        <v xml:space="preserve"> </v>
      </c>
      <c r="BW658" s="188" t="str">
        <f t="shared" si="288"/>
        <v xml:space="preserve"> </v>
      </c>
      <c r="BX658" s="188" t="str">
        <f t="shared" si="289"/>
        <v xml:space="preserve"> </v>
      </c>
      <c r="BY658" s="50" t="str">
        <f t="shared" si="277"/>
        <v>ATLEO RIVER_Coho</v>
      </c>
      <c r="BZ658" s="50">
        <f>IFERROR(VLOOKUP(BY658,'[1]WCVI Esc'!$C$5:$W$555,18,FALSE),"-")</f>
        <v>163</v>
      </c>
      <c r="CA658" s="50">
        <f t="shared" si="290"/>
        <v>160</v>
      </c>
      <c r="CB658" s="50">
        <f>IFERROR(VLOOKUP(BY658,'[1]WCVI Esc'!$C$5:$W$555,19,FALSE),"-")</f>
        <v>255.8</v>
      </c>
      <c r="CC658" s="50">
        <f t="shared" si="291"/>
        <v>260</v>
      </c>
      <c r="CE658" s="342" t="str">
        <f t="shared" si="276"/>
        <v>ATLEO RIVER_Coho</v>
      </c>
      <c r="CF658" s="341">
        <f>IFERROR(VLOOKUP(CE658,'RawPL+D'!$O$8:$AB$503,12,FALSE),"-")</f>
        <v>0</v>
      </c>
      <c r="CG658" s="338">
        <f t="shared" si="292"/>
        <v>0</v>
      </c>
      <c r="CH658" s="341">
        <f>IFERROR(VLOOKUP(CE658,'RawPL+D'!$O$8:$AB$503,13,FALSE),"-")</f>
        <v>114.5</v>
      </c>
      <c r="CI658" s="338">
        <f t="shared" si="293"/>
        <v>110</v>
      </c>
    </row>
    <row r="659" spans="1:87" ht="12.75" hidden="1" customHeight="1" x14ac:dyDescent="0.2">
      <c r="A659" s="28">
        <v>4</v>
      </c>
      <c r="B659" s="28">
        <v>3</v>
      </c>
      <c r="C659" s="11">
        <v>24</v>
      </c>
      <c r="D659" s="13" t="s">
        <v>297</v>
      </c>
      <c r="E659" s="10" t="s">
        <v>114</v>
      </c>
      <c r="F659" s="10" t="s">
        <v>208</v>
      </c>
      <c r="G659" s="10"/>
      <c r="H659" s="10"/>
      <c r="I659" s="10"/>
      <c r="J659" s="10"/>
      <c r="K659" s="575"/>
      <c r="L659" s="152"/>
      <c r="M659" s="164"/>
      <c r="N659" s="62"/>
      <c r="O659" s="62"/>
      <c r="P659" s="177"/>
      <c r="Q659" s="171"/>
      <c r="R659" s="62"/>
      <c r="S659" s="62"/>
      <c r="T659" s="63"/>
      <c r="U659" s="162"/>
      <c r="V659" s="164"/>
      <c r="W659" s="62"/>
      <c r="X659" s="62"/>
      <c r="Y659" s="62"/>
      <c r="Z659" s="64"/>
      <c r="AA659" s="164"/>
      <c r="AB659" s="62"/>
      <c r="AC659" s="62"/>
      <c r="AD659" s="64"/>
      <c r="AE659" s="164"/>
      <c r="AF659" s="62"/>
      <c r="AG659" s="62"/>
      <c r="AH659" s="337"/>
      <c r="AI659" s="337"/>
      <c r="AJ659" s="337"/>
      <c r="AK659" s="337"/>
      <c r="AL659" s="412"/>
      <c r="AM659" s="414"/>
      <c r="AN659" s="44"/>
      <c r="AO659" s="44"/>
      <c r="AP659" s="45"/>
      <c r="AQ659" s="485"/>
      <c r="AR659" s="485"/>
      <c r="AS659" s="485"/>
      <c r="AT659" s="24"/>
      <c r="AU659" s="24"/>
      <c r="AV659" s="24"/>
      <c r="AW659" s="18">
        <v>24</v>
      </c>
      <c r="AX659" s="69" t="s">
        <v>297</v>
      </c>
      <c r="AY659" s="243" t="s">
        <v>114</v>
      </c>
      <c r="AZ659" s="243" t="str">
        <f t="shared" si="278"/>
        <v>Pink</v>
      </c>
      <c r="BA659" s="243" t="s">
        <v>419</v>
      </c>
      <c r="BB659" s="244" t="s">
        <v>594</v>
      </c>
      <c r="BC659" s="43" t="str">
        <f t="shared" si="279"/>
        <v>-</v>
      </c>
      <c r="BD659" s="43">
        <f t="shared" si="273"/>
        <v>0</v>
      </c>
      <c r="BE659" s="193">
        <f t="shared" si="295"/>
        <v>0</v>
      </c>
      <c r="BF659" s="193">
        <f t="shared" si="280"/>
        <v>0</v>
      </c>
      <c r="BG659" s="193">
        <f t="shared" si="281"/>
        <v>0</v>
      </c>
      <c r="BH659" s="307">
        <f t="shared" si="271"/>
        <v>0</v>
      </c>
      <c r="BI659" s="266"/>
      <c r="BJ659" s="26" t="str">
        <f t="shared" si="282"/>
        <v>ATLEO RIVERPink</v>
      </c>
      <c r="BK659" s="26">
        <f t="shared" si="283"/>
        <v>0</v>
      </c>
      <c r="BL659" s="33">
        <f t="shared" si="274"/>
        <v>0</v>
      </c>
      <c r="BQ659" s="47" t="str">
        <f t="shared" si="284"/>
        <v>ATLEO RIVERPink</v>
      </c>
      <c r="BR659" s="49">
        <f t="shared" si="285"/>
        <v>0</v>
      </c>
      <c r="BS659" s="49">
        <f t="shared" si="294"/>
        <v>0</v>
      </c>
      <c r="BT659" s="31">
        <v>0</v>
      </c>
      <c r="BU659" s="188" t="str">
        <f t="shared" si="286"/>
        <v>MHSS</v>
      </c>
      <c r="BV659" s="188" t="str">
        <f t="shared" si="287"/>
        <v xml:space="preserve"> </v>
      </c>
      <c r="BW659" s="188" t="str">
        <f t="shared" si="288"/>
        <v xml:space="preserve"> </v>
      </c>
      <c r="BX659" s="188" t="str">
        <f t="shared" si="289"/>
        <v xml:space="preserve"> </v>
      </c>
      <c r="BY659" s="50" t="str">
        <f t="shared" si="277"/>
        <v>ATLEO RIVER_Pink</v>
      </c>
      <c r="BZ659" s="50" t="str">
        <f>IFERROR(VLOOKUP(BY659,'[1]WCVI Esc'!$C$5:$W$555,18,FALSE),"-")</f>
        <v>-</v>
      </c>
      <c r="CA659" s="50" t="str">
        <f t="shared" si="290"/>
        <v>-</v>
      </c>
      <c r="CB659" s="50" t="str">
        <f>IFERROR(VLOOKUP(BY659,'[1]WCVI Esc'!$C$5:$W$555,19,FALSE),"-")</f>
        <v>-</v>
      </c>
      <c r="CC659" s="50" t="str">
        <f t="shared" si="291"/>
        <v>-</v>
      </c>
      <c r="CE659" s="342" t="str">
        <f t="shared" si="276"/>
        <v>ATLEO RIVER_Pink</v>
      </c>
      <c r="CF659" s="341">
        <f>IFERROR(VLOOKUP(BY659,'RawPL+D'!$O$8:$AB$503,12,FALSE),"-")</f>
        <v>0</v>
      </c>
      <c r="CG659" s="338">
        <f t="shared" si="292"/>
        <v>0</v>
      </c>
      <c r="CH659" s="341">
        <f>IFERROR(VLOOKUP(BY659,'RawPL+D'!$O$8:$AB$503,13,FALSE),"-")</f>
        <v>0</v>
      </c>
      <c r="CI659" s="338">
        <f t="shared" si="293"/>
        <v>0</v>
      </c>
    </row>
    <row r="660" spans="1:87" ht="12.75" hidden="1" customHeight="1" x14ac:dyDescent="0.2">
      <c r="A660" s="28">
        <v>4</v>
      </c>
      <c r="B660" s="28">
        <v>4</v>
      </c>
      <c r="C660" s="11">
        <v>24</v>
      </c>
      <c r="D660" s="13" t="s">
        <v>297</v>
      </c>
      <c r="E660" s="10" t="s">
        <v>114</v>
      </c>
      <c r="F660" s="10" t="s">
        <v>209</v>
      </c>
      <c r="G660" s="10"/>
      <c r="H660" s="10"/>
      <c r="I660" s="10"/>
      <c r="J660" s="10"/>
      <c r="K660" s="575"/>
      <c r="L660" s="152"/>
      <c r="M660" s="164"/>
      <c r="N660" s="62"/>
      <c r="O660" s="62"/>
      <c r="P660" s="459"/>
      <c r="Q660" s="171"/>
      <c r="R660" s="62"/>
      <c r="S660" s="62"/>
      <c r="T660" s="420"/>
      <c r="U660" s="162"/>
      <c r="V660" s="164"/>
      <c r="W660" s="62"/>
      <c r="X660" s="62"/>
      <c r="Y660" s="62"/>
      <c r="Z660" s="64"/>
      <c r="AA660" s="164"/>
      <c r="AB660" s="62"/>
      <c r="AC660" s="62"/>
      <c r="AD660" s="64"/>
      <c r="AE660" s="164"/>
      <c r="AF660" s="62"/>
      <c r="AG660" s="62"/>
      <c r="AH660" s="337"/>
      <c r="AI660" s="337"/>
      <c r="AJ660" s="337"/>
      <c r="AK660" s="337"/>
      <c r="AL660" s="412"/>
      <c r="AM660" s="414"/>
      <c r="AN660" s="45"/>
      <c r="AO660" s="45"/>
      <c r="AP660" s="45"/>
      <c r="AQ660" s="485">
        <f>AL660/BI660</f>
        <v>0</v>
      </c>
      <c r="AR660" s="485">
        <f>BL660/BH660</f>
        <v>0</v>
      </c>
      <c r="AS660" s="485">
        <f>BL660/BI660</f>
        <v>0</v>
      </c>
      <c r="AT660" s="24"/>
      <c r="AU660" s="24"/>
      <c r="AV660" s="24"/>
      <c r="AW660" s="18">
        <v>24</v>
      </c>
      <c r="AX660" s="69" t="s">
        <v>297</v>
      </c>
      <c r="AY660" s="243" t="s">
        <v>114</v>
      </c>
      <c r="AZ660" s="243" t="str">
        <f t="shared" si="278"/>
        <v>Chum</v>
      </c>
      <c r="BA660" s="243" t="s">
        <v>419</v>
      </c>
      <c r="BB660" s="244" t="s">
        <v>594</v>
      </c>
      <c r="BC660" s="43" t="str">
        <f t="shared" si="279"/>
        <v>-</v>
      </c>
      <c r="BD660" s="43">
        <f t="shared" si="273"/>
        <v>0</v>
      </c>
      <c r="BE660" s="193">
        <f t="shared" si="295"/>
        <v>0</v>
      </c>
      <c r="BF660" s="193">
        <f t="shared" si="280"/>
        <v>0</v>
      </c>
      <c r="BG660" s="193">
        <f t="shared" si="281"/>
        <v>0</v>
      </c>
      <c r="BH660" s="307">
        <f t="shared" si="271"/>
        <v>90</v>
      </c>
      <c r="BI660" s="265">
        <f>CC660</f>
        <v>120</v>
      </c>
      <c r="BJ660" s="26" t="str">
        <f t="shared" si="282"/>
        <v>ATLEO RIVERChum</v>
      </c>
      <c r="BK660" s="26">
        <f t="shared" si="283"/>
        <v>0</v>
      </c>
      <c r="BL660" s="33">
        <f t="shared" si="274"/>
        <v>0</v>
      </c>
      <c r="BQ660" s="47" t="str">
        <f t="shared" si="284"/>
        <v>ATLEO RIVERChum</v>
      </c>
      <c r="BR660" s="49">
        <f t="shared" si="285"/>
        <v>0</v>
      </c>
      <c r="BS660" s="49">
        <f t="shared" si="294"/>
        <v>0</v>
      </c>
      <c r="BT660" s="31">
        <v>2014</v>
      </c>
      <c r="BU660" s="188" t="str">
        <f t="shared" si="286"/>
        <v>MHSS</v>
      </c>
      <c r="BV660" s="188" t="str">
        <f t="shared" si="287"/>
        <v xml:space="preserve"> </v>
      </c>
      <c r="BW660" s="188" t="str">
        <f t="shared" si="288"/>
        <v xml:space="preserve"> </v>
      </c>
      <c r="BX660" s="188" t="str">
        <f t="shared" si="289"/>
        <v xml:space="preserve"> </v>
      </c>
      <c r="BY660" s="50" t="str">
        <f t="shared" si="277"/>
        <v>ATLEO RIVER_Chum</v>
      </c>
      <c r="BZ660" s="50">
        <f>IFERROR(VLOOKUP(BY660,'[1]WCVI Esc'!$C$5:$W$555,18,FALSE),"-")</f>
        <v>110.5</v>
      </c>
      <c r="CA660" s="50">
        <f t="shared" si="290"/>
        <v>110</v>
      </c>
      <c r="CB660" s="50">
        <f>IFERROR(VLOOKUP(BY660,'[1]WCVI Esc'!$C$5:$W$555,19,FALSE),"-")</f>
        <v>118.8</v>
      </c>
      <c r="CC660" s="50">
        <f t="shared" si="291"/>
        <v>120</v>
      </c>
      <c r="CE660" s="342" t="str">
        <f t="shared" si="276"/>
        <v>ATLEO RIVER_Chum</v>
      </c>
      <c r="CF660" s="341">
        <f>IFERROR(VLOOKUP(CE660,'RawPL+D'!$O$8:$AB$503,12,FALSE),"-")</f>
        <v>0</v>
      </c>
      <c r="CG660" s="338">
        <f t="shared" si="292"/>
        <v>0</v>
      </c>
      <c r="CH660" s="341">
        <f>IFERROR(VLOOKUP(CE660,'RawPL+D'!$O$8:$AB$503,13,FALSE),"-")</f>
        <v>89.5</v>
      </c>
      <c r="CI660" s="338">
        <f t="shared" si="293"/>
        <v>90</v>
      </c>
    </row>
    <row r="661" spans="1:87" ht="12.75" hidden="1" customHeight="1" x14ac:dyDescent="0.2">
      <c r="A661" s="28">
        <v>4</v>
      </c>
      <c r="B661" s="28">
        <v>5</v>
      </c>
      <c r="C661" s="11">
        <v>24</v>
      </c>
      <c r="D661" s="13" t="s">
        <v>297</v>
      </c>
      <c r="E661" s="10" t="s">
        <v>114</v>
      </c>
      <c r="F661" s="10" t="s">
        <v>210</v>
      </c>
      <c r="G661" s="10"/>
      <c r="H661" s="10"/>
      <c r="I661" s="10"/>
      <c r="J661" s="10"/>
      <c r="K661" s="575"/>
      <c r="L661" s="152"/>
      <c r="M661" s="164"/>
      <c r="N661" s="62"/>
      <c r="O661" s="62"/>
      <c r="P661" s="177"/>
      <c r="Q661" s="171"/>
      <c r="R661" s="62"/>
      <c r="S661" s="62"/>
      <c r="T661" s="63"/>
      <c r="U661" s="162"/>
      <c r="V661" s="164"/>
      <c r="W661" s="62"/>
      <c r="X661" s="62"/>
      <c r="Y661" s="62"/>
      <c r="Z661" s="64"/>
      <c r="AA661" s="164"/>
      <c r="AB661" s="62"/>
      <c r="AC661" s="62"/>
      <c r="AD661" s="64"/>
      <c r="AE661" s="164"/>
      <c r="AF661" s="62"/>
      <c r="AG661" s="62"/>
      <c r="AH661" s="337"/>
      <c r="AI661" s="337"/>
      <c r="AJ661" s="337"/>
      <c r="AK661" s="337"/>
      <c r="AL661" s="412"/>
      <c r="AM661" s="414"/>
      <c r="AN661" s="44"/>
      <c r="AO661" s="44"/>
      <c r="AP661" s="45"/>
      <c r="AQ661" s="485"/>
      <c r="AR661" s="485"/>
      <c r="AS661" s="485"/>
      <c r="AT661" s="24"/>
      <c r="AU661" s="24"/>
      <c r="AV661" s="24"/>
      <c r="AW661" s="18">
        <v>24</v>
      </c>
      <c r="AX661" s="69" t="s">
        <v>297</v>
      </c>
      <c r="AY661" s="243" t="s">
        <v>114</v>
      </c>
      <c r="AZ661" s="243" t="str">
        <f t="shared" si="278"/>
        <v>Chinook</v>
      </c>
      <c r="BA661" s="243" t="s">
        <v>419</v>
      </c>
      <c r="BB661" s="244" t="s">
        <v>594</v>
      </c>
      <c r="BC661" s="43" t="str">
        <f t="shared" si="279"/>
        <v>-</v>
      </c>
      <c r="BD661" s="43">
        <f t="shared" si="273"/>
        <v>0</v>
      </c>
      <c r="BE661" s="193">
        <f t="shared" si="295"/>
        <v>0</v>
      </c>
      <c r="BF661" s="193">
        <f t="shared" si="280"/>
        <v>0</v>
      </c>
      <c r="BG661" s="193">
        <f t="shared" si="281"/>
        <v>0</v>
      </c>
      <c r="BH661" s="307">
        <f t="shared" si="271"/>
        <v>0</v>
      </c>
      <c r="BI661" s="266"/>
      <c r="BJ661" s="26" t="str">
        <f t="shared" si="282"/>
        <v>ATLEO RIVERChinook</v>
      </c>
      <c r="BK661" s="26">
        <f t="shared" si="283"/>
        <v>0</v>
      </c>
      <c r="BL661" s="33">
        <f t="shared" si="274"/>
        <v>0</v>
      </c>
      <c r="BQ661" s="47" t="str">
        <f t="shared" si="284"/>
        <v>ATLEO RIVERChinook</v>
      </c>
      <c r="BR661" s="49">
        <f t="shared" si="285"/>
        <v>0</v>
      </c>
      <c r="BS661" s="49">
        <f t="shared" si="294"/>
        <v>0</v>
      </c>
      <c r="BT661" s="31">
        <v>0</v>
      </c>
      <c r="BU661" s="188" t="str">
        <f t="shared" si="286"/>
        <v>MHSS</v>
      </c>
      <c r="BV661" s="188" t="str">
        <f t="shared" si="287"/>
        <v xml:space="preserve"> </v>
      </c>
      <c r="BW661" s="188" t="str">
        <f t="shared" si="288"/>
        <v xml:space="preserve"> </v>
      </c>
      <c r="BX661" s="188" t="str">
        <f t="shared" si="289"/>
        <v xml:space="preserve"> </v>
      </c>
      <c r="BY661" s="50" t="str">
        <f t="shared" si="277"/>
        <v>ATLEO RIVER_Chinook</v>
      </c>
      <c r="BZ661" s="50" t="str">
        <f>IFERROR(VLOOKUP(BY661,'[1]WCVI Esc'!$C$5:$W$555,18,FALSE),"-")</f>
        <v>-</v>
      </c>
      <c r="CA661" s="50" t="str">
        <f t="shared" si="290"/>
        <v>-</v>
      </c>
      <c r="CB661" s="50" t="str">
        <f>IFERROR(VLOOKUP(BY661,'[1]WCVI Esc'!$C$5:$W$555,19,FALSE),"-")</f>
        <v>-</v>
      </c>
      <c r="CC661" s="50" t="str">
        <f t="shared" si="291"/>
        <v>-</v>
      </c>
      <c r="CE661" s="342" t="str">
        <f t="shared" si="276"/>
        <v>ATLEO RIVER_Chinook</v>
      </c>
      <c r="CF661" s="341">
        <f>IFERROR(VLOOKUP(BY661,'RawPL+D'!$O$8:$AB$503,12,FALSE),"-")</f>
        <v>0</v>
      </c>
      <c r="CG661" s="338">
        <f t="shared" si="292"/>
        <v>0</v>
      </c>
      <c r="CH661" s="341">
        <f>IFERROR(VLOOKUP(BY661,'RawPL+D'!$O$8:$AB$503,13,FALSE),"-")</f>
        <v>0</v>
      </c>
      <c r="CI661" s="338">
        <f t="shared" si="293"/>
        <v>0</v>
      </c>
    </row>
    <row r="662" spans="1:87" ht="12.75" hidden="1" customHeight="1" x14ac:dyDescent="0.2">
      <c r="A662" s="28">
        <v>4</v>
      </c>
      <c r="B662" s="28">
        <v>6</v>
      </c>
      <c r="C662" s="11">
        <v>24</v>
      </c>
      <c r="D662" s="13" t="s">
        <v>297</v>
      </c>
      <c r="E662" s="10" t="s">
        <v>114</v>
      </c>
      <c r="F662" s="10" t="s">
        <v>211</v>
      </c>
      <c r="G662" s="10"/>
      <c r="H662" s="10"/>
      <c r="I662" s="10"/>
      <c r="J662" s="10"/>
      <c r="K662" s="575"/>
      <c r="L662" s="152"/>
      <c r="M662" s="164"/>
      <c r="N662" s="62"/>
      <c r="O662" s="62"/>
      <c r="P662" s="177"/>
      <c r="Q662" s="171"/>
      <c r="R662" s="62"/>
      <c r="S662" s="62"/>
      <c r="T662" s="63"/>
      <c r="U662" s="162"/>
      <c r="V662" s="164"/>
      <c r="W662" s="62"/>
      <c r="X662" s="62"/>
      <c r="Y662" s="62"/>
      <c r="Z662" s="64"/>
      <c r="AA662" s="164"/>
      <c r="AB662" s="62"/>
      <c r="AC662" s="62"/>
      <c r="AD662" s="64"/>
      <c r="AE662" s="164"/>
      <c r="AF662" s="62"/>
      <c r="AG662" s="62"/>
      <c r="AH662" s="337"/>
      <c r="AI662" s="337"/>
      <c r="AJ662" s="337"/>
      <c r="AK662" s="337"/>
      <c r="AL662" s="412"/>
      <c r="AM662" s="414"/>
      <c r="AN662" s="44"/>
      <c r="AO662" s="44"/>
      <c r="AP662" s="45"/>
      <c r="AQ662" s="485"/>
      <c r="AR662" s="485"/>
      <c r="AS662" s="485"/>
      <c r="AT662" s="24"/>
      <c r="AU662" s="24"/>
      <c r="AV662" s="24"/>
      <c r="AW662" s="18">
        <v>24</v>
      </c>
      <c r="AX662" s="69" t="s">
        <v>297</v>
      </c>
      <c r="AY662" s="243" t="s">
        <v>114</v>
      </c>
      <c r="AZ662" s="243" t="str">
        <f t="shared" si="278"/>
        <v>Steelhead</v>
      </c>
      <c r="BA662" s="243" t="s">
        <v>419</v>
      </c>
      <c r="BB662" s="244" t="s">
        <v>594</v>
      </c>
      <c r="BC662" s="43" t="str">
        <f t="shared" si="279"/>
        <v>-</v>
      </c>
      <c r="BD662" s="43">
        <f t="shared" si="273"/>
        <v>0</v>
      </c>
      <c r="BE662" s="193">
        <f t="shared" si="295"/>
        <v>0</v>
      </c>
      <c r="BF662" s="193">
        <f t="shared" si="280"/>
        <v>0</v>
      </c>
      <c r="BG662" s="193">
        <f t="shared" si="281"/>
        <v>0</v>
      </c>
      <c r="BH662" s="307" t="str">
        <f t="shared" si="271"/>
        <v>-</v>
      </c>
      <c r="BI662" s="266"/>
      <c r="BJ662" s="26" t="str">
        <f t="shared" si="282"/>
        <v>ATLEO RIVERSteelhead</v>
      </c>
      <c r="BK662" s="26">
        <f t="shared" si="283"/>
        <v>0</v>
      </c>
      <c r="BL662" s="33">
        <f t="shared" si="274"/>
        <v>0</v>
      </c>
      <c r="BQ662" s="47" t="str">
        <f t="shared" si="284"/>
        <v>ATLEO RIVERSteelhead</v>
      </c>
      <c r="BR662" s="49">
        <f t="shared" si="285"/>
        <v>0</v>
      </c>
      <c r="BS662" s="49">
        <f t="shared" si="294"/>
        <v>0</v>
      </c>
      <c r="BT662" s="31">
        <v>0</v>
      </c>
      <c r="BU662" s="188" t="str">
        <f t="shared" si="286"/>
        <v>MHSS</v>
      </c>
      <c r="BV662" s="188" t="str">
        <f t="shared" si="287"/>
        <v xml:space="preserve"> </v>
      </c>
      <c r="BW662" s="188" t="str">
        <f t="shared" si="288"/>
        <v xml:space="preserve"> </v>
      </c>
      <c r="BX662" s="188" t="str">
        <f t="shared" si="289"/>
        <v xml:space="preserve"> </v>
      </c>
      <c r="BY662" s="50" t="str">
        <f t="shared" si="277"/>
        <v>ATLEO RIVER_Steelhead</v>
      </c>
      <c r="BZ662" s="50" t="str">
        <f>IFERROR(VLOOKUP(BY662,'[1]WCVI Esc'!$C$5:$W$555,18,FALSE),"-")</f>
        <v>-</v>
      </c>
      <c r="CA662" s="50" t="str">
        <f t="shared" si="290"/>
        <v>-</v>
      </c>
      <c r="CB662" s="50" t="str">
        <f>IFERROR(VLOOKUP(BY662,'[1]WCVI Esc'!$C$5:$W$555,19,FALSE),"-")</f>
        <v>-</v>
      </c>
      <c r="CC662" s="50" t="str">
        <f t="shared" si="291"/>
        <v>-</v>
      </c>
      <c r="CE662" s="342" t="str">
        <f t="shared" si="276"/>
        <v>ATLEO RIVER_Steelhead</v>
      </c>
      <c r="CF662" s="341" t="str">
        <f>IFERROR(VLOOKUP(BY662,'RawPL+D'!$O$8:$AB$503,12,FALSE),"-")</f>
        <v>-</v>
      </c>
      <c r="CG662" s="338" t="str">
        <f t="shared" si="292"/>
        <v>-</v>
      </c>
      <c r="CH662" s="341" t="str">
        <f>IFERROR(VLOOKUP(BY662,'RawPL+D'!$O$8:$AB$503,13,FALSE),"-")</f>
        <v>-</v>
      </c>
      <c r="CI662" s="338" t="str">
        <f t="shared" si="293"/>
        <v>-</v>
      </c>
    </row>
    <row r="663" spans="1:87" ht="12.75" hidden="1" customHeight="1" x14ac:dyDescent="0.2">
      <c r="A663" s="28">
        <v>4</v>
      </c>
      <c r="B663" s="28">
        <v>1</v>
      </c>
      <c r="C663" s="11">
        <v>24</v>
      </c>
      <c r="D663" s="13" t="s">
        <v>297</v>
      </c>
      <c r="E663" s="10" t="s">
        <v>115</v>
      </c>
      <c r="F663" s="10" t="s">
        <v>207</v>
      </c>
      <c r="G663" s="10"/>
      <c r="H663" s="10"/>
      <c r="I663" s="10"/>
      <c r="J663" s="10"/>
      <c r="K663" s="575"/>
      <c r="L663" s="152"/>
      <c r="M663" s="164"/>
      <c r="N663" s="62"/>
      <c r="O663" s="62"/>
      <c r="P663" s="177"/>
      <c r="Q663" s="171"/>
      <c r="R663" s="62"/>
      <c r="S663" s="62"/>
      <c r="T663" s="62"/>
      <c r="U663" s="162"/>
      <c r="V663" s="169"/>
      <c r="W663" s="62"/>
      <c r="X663" s="62"/>
      <c r="Y663" s="62"/>
      <c r="Z663" s="64"/>
      <c r="AA663" s="164"/>
      <c r="AB663" s="62"/>
      <c r="AC663" s="62"/>
      <c r="AD663" s="64"/>
      <c r="AE663" s="164"/>
      <c r="AF663" s="62"/>
      <c r="AG663" s="62"/>
      <c r="AH663" s="337"/>
      <c r="AI663" s="337"/>
      <c r="AJ663" s="337"/>
      <c r="AK663" s="337"/>
      <c r="AL663" s="412"/>
      <c r="AM663" s="414"/>
      <c r="AN663" s="44"/>
      <c r="AO663" s="44"/>
      <c r="AP663" s="45"/>
      <c r="AQ663" s="485"/>
      <c r="AR663" s="485"/>
      <c r="AS663" s="485"/>
      <c r="AT663" s="24"/>
      <c r="AU663" s="24"/>
      <c r="AV663" s="24"/>
      <c r="AW663" s="18">
        <v>24</v>
      </c>
      <c r="AX663" s="69" t="s">
        <v>297</v>
      </c>
      <c r="AY663" s="243" t="s">
        <v>115</v>
      </c>
      <c r="AZ663" s="243" t="str">
        <f t="shared" si="278"/>
        <v>Sockeye</v>
      </c>
      <c r="BA663" s="243" t="s">
        <v>419</v>
      </c>
      <c r="BB663" s="246" t="s">
        <v>594</v>
      </c>
      <c r="BC663" s="43" t="str">
        <f t="shared" si="279"/>
        <v>-</v>
      </c>
      <c r="BD663" s="43">
        <f t="shared" si="273"/>
        <v>0</v>
      </c>
      <c r="BE663" s="193">
        <f t="shared" si="295"/>
        <v>0</v>
      </c>
      <c r="BF663" s="193">
        <f t="shared" si="280"/>
        <v>0</v>
      </c>
      <c r="BG663" s="193">
        <f t="shared" si="281"/>
        <v>0</v>
      </c>
      <c r="BH663" s="307" t="str">
        <f t="shared" si="271"/>
        <v>-</v>
      </c>
      <c r="BI663" s="266"/>
      <c r="BJ663" s="26" t="str">
        <f t="shared" si="282"/>
        <v>BAWDEN CREEKSockeye</v>
      </c>
      <c r="BK663" s="26">
        <f t="shared" si="283"/>
        <v>0</v>
      </c>
      <c r="BL663" s="33">
        <f t="shared" si="274"/>
        <v>0</v>
      </c>
      <c r="BQ663" s="47" t="str">
        <f t="shared" si="284"/>
        <v>BAWDEN CREEKSockeye</v>
      </c>
      <c r="BR663" s="49">
        <f t="shared" si="285"/>
        <v>0</v>
      </c>
      <c r="BS663" s="49">
        <f t="shared" si="294"/>
        <v>0</v>
      </c>
      <c r="BT663" s="31">
        <v>0</v>
      </c>
      <c r="BU663" s="188" t="str">
        <f t="shared" si="286"/>
        <v>MHSS</v>
      </c>
      <c r="BV663" s="188" t="str">
        <f t="shared" si="287"/>
        <v xml:space="preserve"> </v>
      </c>
      <c r="BW663" s="188" t="str">
        <f t="shared" si="288"/>
        <v xml:space="preserve"> </v>
      </c>
      <c r="BX663" s="188" t="str">
        <f t="shared" si="289"/>
        <v xml:space="preserve"> </v>
      </c>
      <c r="BY663" s="50" t="str">
        <f t="shared" si="277"/>
        <v>BAWDEN CREEK_Sockeye</v>
      </c>
      <c r="BZ663" s="50" t="str">
        <f>IFERROR(VLOOKUP(BY663,'[1]WCVI Esc'!$C$5:$W$555,18,FALSE),"-")</f>
        <v>-</v>
      </c>
      <c r="CA663" s="50" t="str">
        <f t="shared" si="290"/>
        <v>-</v>
      </c>
      <c r="CB663" s="50" t="str">
        <f>IFERROR(VLOOKUP(BY663,'[1]WCVI Esc'!$C$5:$W$555,19,FALSE),"-")</f>
        <v>-</v>
      </c>
      <c r="CC663" s="50" t="str">
        <f t="shared" si="291"/>
        <v>-</v>
      </c>
      <c r="CE663" s="342" t="str">
        <f t="shared" si="276"/>
        <v>BAWDEN CREEK_Sockeye</v>
      </c>
      <c r="CF663" s="341" t="str">
        <f>IFERROR(VLOOKUP(BY663,'RawPL+D'!$O$8:$AB$503,12,FALSE),"-")</f>
        <v>-</v>
      </c>
      <c r="CG663" s="338" t="str">
        <f t="shared" si="292"/>
        <v>-</v>
      </c>
      <c r="CH663" s="341" t="str">
        <f>IFERROR(VLOOKUP(BY663,'RawPL+D'!$O$8:$AB$503,13,FALSE),"-")</f>
        <v>-</v>
      </c>
      <c r="CI663" s="338" t="str">
        <f t="shared" si="293"/>
        <v>-</v>
      </c>
    </row>
    <row r="664" spans="1:87" ht="12.75" hidden="1" customHeight="1" x14ac:dyDescent="0.2">
      <c r="A664" s="28">
        <v>4</v>
      </c>
      <c r="B664" s="28">
        <v>2</v>
      </c>
      <c r="C664" s="11">
        <v>24</v>
      </c>
      <c r="D664" s="13" t="s">
        <v>297</v>
      </c>
      <c r="E664" s="10" t="s">
        <v>115</v>
      </c>
      <c r="F664" s="10" t="s">
        <v>219</v>
      </c>
      <c r="G664" s="10"/>
      <c r="H664" s="10"/>
      <c r="I664" s="10"/>
      <c r="J664" s="10"/>
      <c r="K664" s="575"/>
      <c r="L664" s="152"/>
      <c r="M664" s="164"/>
      <c r="N664" s="62"/>
      <c r="O664" s="62"/>
      <c r="P664" s="177"/>
      <c r="Q664" s="171"/>
      <c r="R664" s="62"/>
      <c r="S664" s="62"/>
      <c r="T664" s="62"/>
      <c r="U664" s="162"/>
      <c r="V664" s="169"/>
      <c r="W664" s="62"/>
      <c r="X664" s="62"/>
      <c r="Y664" s="62"/>
      <c r="Z664" s="64"/>
      <c r="AA664" s="164"/>
      <c r="AB664" s="62"/>
      <c r="AC664" s="62"/>
      <c r="AD664" s="64"/>
      <c r="AE664" s="164"/>
      <c r="AF664" s="62"/>
      <c r="AG664" s="62"/>
      <c r="AH664" s="337"/>
      <c r="AI664" s="337"/>
      <c r="AJ664" s="337"/>
      <c r="AK664" s="337"/>
      <c r="AL664" s="412"/>
      <c r="AM664" s="414"/>
      <c r="AN664" s="44"/>
      <c r="AO664" s="44"/>
      <c r="AP664" s="45"/>
      <c r="AQ664" s="485"/>
      <c r="AR664" s="485"/>
      <c r="AS664" s="485"/>
      <c r="AT664" s="24"/>
      <c r="AU664" s="24"/>
      <c r="AV664" s="24"/>
      <c r="AW664" s="18">
        <v>24</v>
      </c>
      <c r="AX664" s="69" t="s">
        <v>297</v>
      </c>
      <c r="AY664" s="243" t="s">
        <v>115</v>
      </c>
      <c r="AZ664" s="243" t="str">
        <f t="shared" si="278"/>
        <v>Coho</v>
      </c>
      <c r="BA664" s="243" t="s">
        <v>419</v>
      </c>
      <c r="BB664" s="246" t="s">
        <v>594</v>
      </c>
      <c r="BC664" s="43" t="str">
        <f t="shared" si="279"/>
        <v>-</v>
      </c>
      <c r="BD664" s="43">
        <f t="shared" si="273"/>
        <v>0</v>
      </c>
      <c r="BE664" s="193">
        <f t="shared" si="295"/>
        <v>0</v>
      </c>
      <c r="BF664" s="193">
        <f t="shared" si="280"/>
        <v>0</v>
      </c>
      <c r="BG664" s="193">
        <f t="shared" si="281"/>
        <v>0</v>
      </c>
      <c r="BH664" s="307">
        <f t="shared" si="271"/>
        <v>0</v>
      </c>
      <c r="BI664" s="266"/>
      <c r="BJ664" s="26" t="str">
        <f t="shared" si="282"/>
        <v>BAWDEN CREEKCoho</v>
      </c>
      <c r="BK664" s="26">
        <f t="shared" si="283"/>
        <v>0</v>
      </c>
      <c r="BL664" s="33">
        <f t="shared" si="274"/>
        <v>0</v>
      </c>
      <c r="BQ664" s="47" t="str">
        <f t="shared" si="284"/>
        <v>BAWDEN CREEKCoho</v>
      </c>
      <c r="BR664" s="49">
        <f t="shared" si="285"/>
        <v>0</v>
      </c>
      <c r="BS664" s="49">
        <f t="shared" si="294"/>
        <v>0</v>
      </c>
      <c r="BT664" s="31">
        <v>1996</v>
      </c>
      <c r="BU664" s="188" t="str">
        <f t="shared" si="286"/>
        <v>MHSS</v>
      </c>
      <c r="BV664" s="188" t="str">
        <f t="shared" si="287"/>
        <v xml:space="preserve"> </v>
      </c>
      <c r="BW664" s="188" t="str">
        <f t="shared" si="288"/>
        <v xml:space="preserve"> </v>
      </c>
      <c r="BX664" s="188" t="str">
        <f t="shared" si="289"/>
        <v xml:space="preserve"> </v>
      </c>
      <c r="BY664" s="50" t="str">
        <f t="shared" si="277"/>
        <v>BAWDEN CREEK_Coho</v>
      </c>
      <c r="BZ664" s="50" t="str">
        <f>IFERROR(VLOOKUP(BY664,'[1]WCVI Esc'!$C$5:$W$555,18,FALSE),"-")</f>
        <v>-</v>
      </c>
      <c r="CA664" s="50" t="str">
        <f t="shared" si="290"/>
        <v>-</v>
      </c>
      <c r="CB664" s="50" t="str">
        <f>IFERROR(VLOOKUP(BY664,'[1]WCVI Esc'!$C$5:$W$555,19,FALSE),"-")</f>
        <v>-</v>
      </c>
      <c r="CC664" s="50" t="str">
        <f t="shared" si="291"/>
        <v>-</v>
      </c>
      <c r="CE664" s="342" t="str">
        <f t="shared" si="276"/>
        <v>BAWDEN CREEK_Coho</v>
      </c>
      <c r="CF664" s="341">
        <f>IFERROR(VLOOKUP(BY664,'RawPL+D'!$O$8:$AB$503,12,FALSE),"-")</f>
        <v>0</v>
      </c>
      <c r="CG664" s="338">
        <f t="shared" si="292"/>
        <v>0</v>
      </c>
      <c r="CH664" s="341">
        <f>IFERROR(VLOOKUP(BY664,'RawPL+D'!$O$8:$AB$503,13,FALSE),"-")</f>
        <v>0</v>
      </c>
      <c r="CI664" s="338">
        <f t="shared" si="293"/>
        <v>0</v>
      </c>
    </row>
    <row r="665" spans="1:87" ht="12.75" hidden="1" customHeight="1" x14ac:dyDescent="0.2">
      <c r="A665" s="28">
        <v>4</v>
      </c>
      <c r="B665" s="28">
        <v>3</v>
      </c>
      <c r="C665" s="11">
        <v>24</v>
      </c>
      <c r="D665" s="13" t="s">
        <v>297</v>
      </c>
      <c r="E665" s="10" t="s">
        <v>115</v>
      </c>
      <c r="F665" s="10" t="s">
        <v>208</v>
      </c>
      <c r="G665" s="10"/>
      <c r="H665" s="10"/>
      <c r="I665" s="10"/>
      <c r="J665" s="10"/>
      <c r="K665" s="575"/>
      <c r="L665" s="152"/>
      <c r="M665" s="164"/>
      <c r="N665" s="62"/>
      <c r="O665" s="62"/>
      <c r="P665" s="177"/>
      <c r="Q665" s="171"/>
      <c r="R665" s="62"/>
      <c r="S665" s="62"/>
      <c r="T665" s="62"/>
      <c r="U665" s="162"/>
      <c r="V665" s="169"/>
      <c r="W665" s="62"/>
      <c r="X665" s="62"/>
      <c r="Y665" s="62"/>
      <c r="Z665" s="64"/>
      <c r="AA665" s="164"/>
      <c r="AB665" s="62"/>
      <c r="AC665" s="62"/>
      <c r="AD665" s="64"/>
      <c r="AE665" s="164"/>
      <c r="AF665" s="62"/>
      <c r="AG665" s="62"/>
      <c r="AH665" s="337"/>
      <c r="AI665" s="337"/>
      <c r="AJ665" s="337"/>
      <c r="AK665" s="337"/>
      <c r="AL665" s="412"/>
      <c r="AM665" s="414"/>
      <c r="AN665" s="44"/>
      <c r="AO665" s="44"/>
      <c r="AP665" s="45"/>
      <c r="AQ665" s="485"/>
      <c r="AR665" s="485"/>
      <c r="AS665" s="485"/>
      <c r="AT665" s="24"/>
      <c r="AU665" s="24"/>
      <c r="AV665" s="24"/>
      <c r="AW665" s="18">
        <v>24</v>
      </c>
      <c r="AX665" s="69" t="s">
        <v>297</v>
      </c>
      <c r="AY665" s="243" t="s">
        <v>115</v>
      </c>
      <c r="AZ665" s="243" t="str">
        <f t="shared" si="278"/>
        <v>Pink</v>
      </c>
      <c r="BA665" s="243" t="s">
        <v>419</v>
      </c>
      <c r="BB665" s="246" t="s">
        <v>594</v>
      </c>
      <c r="BC665" s="43" t="str">
        <f t="shared" si="279"/>
        <v>-</v>
      </c>
      <c r="BD665" s="43">
        <f t="shared" si="273"/>
        <v>0</v>
      </c>
      <c r="BE665" s="193">
        <f t="shared" si="295"/>
        <v>0</v>
      </c>
      <c r="BF665" s="193">
        <f t="shared" si="280"/>
        <v>0</v>
      </c>
      <c r="BG665" s="193">
        <f t="shared" si="281"/>
        <v>0</v>
      </c>
      <c r="BH665" s="307" t="str">
        <f t="shared" si="271"/>
        <v>-</v>
      </c>
      <c r="BI665" s="266"/>
      <c r="BJ665" s="26" t="str">
        <f t="shared" si="282"/>
        <v>BAWDEN CREEKPink</v>
      </c>
      <c r="BK665" s="26">
        <f t="shared" si="283"/>
        <v>0</v>
      </c>
      <c r="BL665" s="33">
        <f t="shared" si="274"/>
        <v>0</v>
      </c>
      <c r="BQ665" s="47" t="str">
        <f t="shared" si="284"/>
        <v>BAWDEN CREEKPink</v>
      </c>
      <c r="BR665" s="49">
        <f t="shared" si="285"/>
        <v>0</v>
      </c>
      <c r="BS665" s="49">
        <f t="shared" si="294"/>
        <v>0</v>
      </c>
      <c r="BT665" s="31">
        <v>0</v>
      </c>
      <c r="BU665" s="188" t="str">
        <f t="shared" si="286"/>
        <v>MHSS</v>
      </c>
      <c r="BV665" s="188" t="str">
        <f t="shared" si="287"/>
        <v xml:space="preserve"> </v>
      </c>
      <c r="BW665" s="188" t="str">
        <f t="shared" si="288"/>
        <v xml:space="preserve"> </v>
      </c>
      <c r="BX665" s="188" t="str">
        <f t="shared" si="289"/>
        <v xml:space="preserve"> </v>
      </c>
      <c r="BY665" s="50" t="str">
        <f t="shared" si="277"/>
        <v>BAWDEN CREEK_Pink</v>
      </c>
      <c r="BZ665" s="50" t="str">
        <f>IFERROR(VLOOKUP(BY665,'[1]WCVI Esc'!$C$5:$W$555,18,FALSE),"-")</f>
        <v>-</v>
      </c>
      <c r="CA665" s="50" t="str">
        <f t="shared" si="290"/>
        <v>-</v>
      </c>
      <c r="CB665" s="50" t="str">
        <f>IFERROR(VLOOKUP(BY665,'[1]WCVI Esc'!$C$5:$W$555,19,FALSE),"-")</f>
        <v>-</v>
      </c>
      <c r="CC665" s="50" t="str">
        <f t="shared" si="291"/>
        <v>-</v>
      </c>
      <c r="CE665" s="342" t="str">
        <f t="shared" si="276"/>
        <v>BAWDEN CREEK_Pink</v>
      </c>
      <c r="CF665" s="341" t="str">
        <f>IFERROR(VLOOKUP(BY665,'RawPL+D'!$O$8:$AB$503,12,FALSE),"-")</f>
        <v>-</v>
      </c>
      <c r="CG665" s="338" t="str">
        <f t="shared" si="292"/>
        <v>-</v>
      </c>
      <c r="CH665" s="341" t="str">
        <f>IFERROR(VLOOKUP(BY665,'RawPL+D'!$O$8:$AB$503,13,FALSE),"-")</f>
        <v>-</v>
      </c>
      <c r="CI665" s="338" t="str">
        <f t="shared" si="293"/>
        <v>-</v>
      </c>
    </row>
    <row r="666" spans="1:87" ht="12.75" hidden="1" customHeight="1" x14ac:dyDescent="0.2">
      <c r="A666" s="28">
        <v>4</v>
      </c>
      <c r="B666" s="28">
        <v>4</v>
      </c>
      <c r="C666" s="11">
        <v>24</v>
      </c>
      <c r="D666" s="13" t="s">
        <v>297</v>
      </c>
      <c r="E666" s="10" t="s">
        <v>115</v>
      </c>
      <c r="F666" s="10" t="s">
        <v>209</v>
      </c>
      <c r="G666" s="10"/>
      <c r="H666" s="10"/>
      <c r="I666" s="10"/>
      <c r="J666" s="10"/>
      <c r="K666" s="575"/>
      <c r="L666" s="152"/>
      <c r="M666" s="164"/>
      <c r="N666" s="62"/>
      <c r="O666" s="62"/>
      <c r="P666" s="177"/>
      <c r="Q666" s="171"/>
      <c r="R666" s="62"/>
      <c r="S666" s="62"/>
      <c r="T666" s="62"/>
      <c r="U666" s="162"/>
      <c r="V666" s="169"/>
      <c r="W666" s="62"/>
      <c r="X666" s="62"/>
      <c r="Y666" s="62"/>
      <c r="Z666" s="64"/>
      <c r="AA666" s="164"/>
      <c r="AB666" s="62"/>
      <c r="AC666" s="62"/>
      <c r="AD666" s="64"/>
      <c r="AE666" s="164"/>
      <c r="AF666" s="62"/>
      <c r="AG666" s="62"/>
      <c r="AH666" s="337"/>
      <c r="AI666" s="337"/>
      <c r="AJ666" s="337"/>
      <c r="AK666" s="337"/>
      <c r="AL666" s="412"/>
      <c r="AM666" s="414"/>
      <c r="AN666" s="44"/>
      <c r="AO666" s="44"/>
      <c r="AP666" s="45"/>
      <c r="AQ666" s="485"/>
      <c r="AR666" s="485"/>
      <c r="AS666" s="485"/>
      <c r="AT666" s="24"/>
      <c r="AU666" s="24"/>
      <c r="AV666" s="24"/>
      <c r="AW666" s="18">
        <v>24</v>
      </c>
      <c r="AX666" s="69" t="s">
        <v>297</v>
      </c>
      <c r="AY666" s="243" t="s">
        <v>115</v>
      </c>
      <c r="AZ666" s="243" t="str">
        <f t="shared" si="278"/>
        <v>Chum</v>
      </c>
      <c r="BA666" s="243" t="s">
        <v>419</v>
      </c>
      <c r="BB666" s="244" t="s">
        <v>594</v>
      </c>
      <c r="BC666" s="43" t="str">
        <f t="shared" si="279"/>
        <v>-</v>
      </c>
      <c r="BD666" s="43">
        <f t="shared" si="273"/>
        <v>0</v>
      </c>
      <c r="BE666" s="193">
        <f t="shared" si="295"/>
        <v>0</v>
      </c>
      <c r="BF666" s="193">
        <f t="shared" si="280"/>
        <v>0</v>
      </c>
      <c r="BG666" s="193">
        <f t="shared" si="281"/>
        <v>0</v>
      </c>
      <c r="BH666" s="307">
        <f t="shared" si="271"/>
        <v>0</v>
      </c>
      <c r="BI666" s="308" t="s">
        <v>242</v>
      </c>
      <c r="BJ666" s="26" t="str">
        <f t="shared" si="282"/>
        <v>BAWDEN CREEKChum</v>
      </c>
      <c r="BK666" s="26">
        <f t="shared" si="283"/>
        <v>0</v>
      </c>
      <c r="BL666" s="33">
        <f t="shared" si="274"/>
        <v>0</v>
      </c>
      <c r="BQ666" s="47" t="str">
        <f t="shared" si="284"/>
        <v>BAWDEN CREEKChum</v>
      </c>
      <c r="BR666" s="49">
        <f t="shared" si="285"/>
        <v>0</v>
      </c>
      <c r="BS666" s="49">
        <f t="shared" si="294"/>
        <v>0</v>
      </c>
      <c r="BT666" s="31">
        <v>2002</v>
      </c>
      <c r="BU666" s="188" t="str">
        <f t="shared" si="286"/>
        <v>MHSS</v>
      </c>
      <c r="BV666" s="188" t="str">
        <f t="shared" si="287"/>
        <v xml:space="preserve"> </v>
      </c>
      <c r="BW666" s="188" t="str">
        <f t="shared" si="288"/>
        <v xml:space="preserve"> </v>
      </c>
      <c r="BX666" s="188" t="str">
        <f t="shared" si="289"/>
        <v xml:space="preserve"> </v>
      </c>
      <c r="BY666" s="50" t="str">
        <f t="shared" si="277"/>
        <v>BAWDEN CREEK_Chum</v>
      </c>
      <c r="BZ666" s="50">
        <f>IFERROR(VLOOKUP(BY666,'[1]WCVI Esc'!$C$5:$W$555,18,FALSE),"-")</f>
        <v>2</v>
      </c>
      <c r="CA666" s="50">
        <f t="shared" si="290"/>
        <v>0</v>
      </c>
      <c r="CB666" s="50">
        <f>IFERROR(VLOOKUP(BY666,'[1]WCVI Esc'!$C$5:$W$555,19,FALSE),"-")</f>
        <v>2</v>
      </c>
      <c r="CC666" s="50">
        <f t="shared" si="291"/>
        <v>0</v>
      </c>
      <c r="CE666" s="342" t="str">
        <f t="shared" si="276"/>
        <v>BAWDEN CREEK_Chum</v>
      </c>
      <c r="CF666" s="341">
        <f>IFERROR(VLOOKUP(BY666,'RawPL+D'!$O$8:$AB$503,12,FALSE),"-")</f>
        <v>0</v>
      </c>
      <c r="CG666" s="338">
        <f t="shared" si="292"/>
        <v>0</v>
      </c>
      <c r="CH666" s="341">
        <f>IFERROR(VLOOKUP(BY666,'RawPL+D'!$O$8:$AB$503,13,FALSE),"-")</f>
        <v>0</v>
      </c>
      <c r="CI666" s="338">
        <f t="shared" si="293"/>
        <v>0</v>
      </c>
    </row>
    <row r="667" spans="1:87" ht="12.75" hidden="1" customHeight="1" x14ac:dyDescent="0.2">
      <c r="A667" s="28">
        <v>4</v>
      </c>
      <c r="B667" s="28">
        <v>5</v>
      </c>
      <c r="C667" s="11">
        <v>24</v>
      </c>
      <c r="D667" s="13" t="s">
        <v>297</v>
      </c>
      <c r="E667" s="10" t="s">
        <v>115</v>
      </c>
      <c r="F667" s="10" t="s">
        <v>210</v>
      </c>
      <c r="G667" s="10"/>
      <c r="H667" s="10"/>
      <c r="I667" s="10"/>
      <c r="J667" s="10"/>
      <c r="K667" s="575"/>
      <c r="L667" s="152"/>
      <c r="M667" s="164"/>
      <c r="N667" s="62"/>
      <c r="O667" s="62"/>
      <c r="P667" s="177"/>
      <c r="Q667" s="171"/>
      <c r="R667" s="62"/>
      <c r="S667" s="62"/>
      <c r="T667" s="62"/>
      <c r="U667" s="162"/>
      <c r="V667" s="169"/>
      <c r="W667" s="62"/>
      <c r="X667" s="62"/>
      <c r="Y667" s="62"/>
      <c r="Z667" s="64"/>
      <c r="AA667" s="164"/>
      <c r="AB667" s="62"/>
      <c r="AC667" s="62"/>
      <c r="AD667" s="64"/>
      <c r="AE667" s="164"/>
      <c r="AF667" s="62"/>
      <c r="AG667" s="62"/>
      <c r="AH667" s="337"/>
      <c r="AI667" s="337"/>
      <c r="AJ667" s="337"/>
      <c r="AK667" s="337"/>
      <c r="AL667" s="412"/>
      <c r="AM667" s="414"/>
      <c r="AN667" s="44"/>
      <c r="AO667" s="44"/>
      <c r="AP667" s="45"/>
      <c r="AQ667" s="485"/>
      <c r="AR667" s="485"/>
      <c r="AS667" s="485"/>
      <c r="AT667" s="24"/>
      <c r="AU667" s="24"/>
      <c r="AV667" s="24"/>
      <c r="AW667" s="18">
        <v>24</v>
      </c>
      <c r="AX667" s="69" t="s">
        <v>297</v>
      </c>
      <c r="AY667" s="243" t="s">
        <v>115</v>
      </c>
      <c r="AZ667" s="243" t="str">
        <f t="shared" si="278"/>
        <v>Chinook</v>
      </c>
      <c r="BA667" s="243" t="s">
        <v>419</v>
      </c>
      <c r="BB667" s="244" t="s">
        <v>594</v>
      </c>
      <c r="BC667" s="43" t="str">
        <f t="shared" si="279"/>
        <v>-</v>
      </c>
      <c r="BD667" s="43">
        <f t="shared" si="273"/>
        <v>0</v>
      </c>
      <c r="BE667" s="193">
        <f t="shared" si="295"/>
        <v>0</v>
      </c>
      <c r="BF667" s="193">
        <f t="shared" si="280"/>
        <v>0</v>
      </c>
      <c r="BG667" s="193">
        <f t="shared" si="281"/>
        <v>0</v>
      </c>
      <c r="BH667" s="307" t="str">
        <f t="shared" si="271"/>
        <v>-</v>
      </c>
      <c r="BI667" s="266"/>
      <c r="BJ667" s="26" t="str">
        <f t="shared" si="282"/>
        <v>BAWDEN CREEKChinook</v>
      </c>
      <c r="BK667" s="26">
        <f t="shared" si="283"/>
        <v>0</v>
      </c>
      <c r="BL667" s="33">
        <f t="shared" si="274"/>
        <v>0</v>
      </c>
      <c r="BQ667" s="47" t="str">
        <f t="shared" si="284"/>
        <v>BAWDEN CREEKChinook</v>
      </c>
      <c r="BR667" s="49">
        <f t="shared" si="285"/>
        <v>0</v>
      </c>
      <c r="BS667" s="49">
        <f t="shared" si="294"/>
        <v>0</v>
      </c>
      <c r="BT667" s="31">
        <v>0</v>
      </c>
      <c r="BU667" s="188" t="str">
        <f t="shared" si="286"/>
        <v>MHSS</v>
      </c>
      <c r="BV667" s="188" t="str">
        <f t="shared" si="287"/>
        <v xml:space="preserve"> </v>
      </c>
      <c r="BW667" s="188" t="str">
        <f t="shared" si="288"/>
        <v xml:space="preserve"> </v>
      </c>
      <c r="BX667" s="188" t="str">
        <f t="shared" si="289"/>
        <v xml:space="preserve"> </v>
      </c>
      <c r="BY667" s="50" t="str">
        <f t="shared" si="277"/>
        <v>BAWDEN CREEK_Chinook</v>
      </c>
      <c r="BZ667" s="50" t="str">
        <f>IFERROR(VLOOKUP(BY667,'[1]WCVI Esc'!$C$5:$W$555,18,FALSE),"-")</f>
        <v>-</v>
      </c>
      <c r="CA667" s="50" t="str">
        <f t="shared" si="290"/>
        <v>-</v>
      </c>
      <c r="CB667" s="50" t="str">
        <f>IFERROR(VLOOKUP(BY667,'[1]WCVI Esc'!$C$5:$W$555,19,FALSE),"-")</f>
        <v>-</v>
      </c>
      <c r="CC667" s="50" t="str">
        <f t="shared" si="291"/>
        <v>-</v>
      </c>
      <c r="CE667" s="342" t="str">
        <f t="shared" si="276"/>
        <v>BAWDEN CREEK_Chinook</v>
      </c>
      <c r="CF667" s="341" t="str">
        <f>IFERROR(VLOOKUP(BY667,'RawPL+D'!$O$8:$AB$503,12,FALSE),"-")</f>
        <v>-</v>
      </c>
      <c r="CG667" s="338" t="str">
        <f t="shared" si="292"/>
        <v>-</v>
      </c>
      <c r="CH667" s="341" t="str">
        <f>IFERROR(VLOOKUP(BY667,'RawPL+D'!$O$8:$AB$503,13,FALSE),"-")</f>
        <v>-</v>
      </c>
      <c r="CI667" s="338" t="str">
        <f t="shared" si="293"/>
        <v>-</v>
      </c>
    </row>
    <row r="668" spans="1:87" ht="12.75" hidden="1" customHeight="1" x14ac:dyDescent="0.2">
      <c r="A668" s="28">
        <v>4</v>
      </c>
      <c r="B668" s="28">
        <v>6</v>
      </c>
      <c r="C668" s="11">
        <v>24</v>
      </c>
      <c r="D668" s="13" t="s">
        <v>297</v>
      </c>
      <c r="E668" s="10" t="s">
        <v>115</v>
      </c>
      <c r="F668" s="10" t="s">
        <v>211</v>
      </c>
      <c r="G668" s="10"/>
      <c r="H668" s="10"/>
      <c r="I668" s="10"/>
      <c r="J668" s="10"/>
      <c r="K668" s="575"/>
      <c r="L668" s="152"/>
      <c r="M668" s="164"/>
      <c r="N668" s="62"/>
      <c r="O668" s="62"/>
      <c r="P668" s="177"/>
      <c r="Q668" s="171"/>
      <c r="R668" s="62"/>
      <c r="S668" s="62"/>
      <c r="T668" s="62"/>
      <c r="U668" s="162"/>
      <c r="V668" s="169"/>
      <c r="W668" s="62"/>
      <c r="X668" s="62"/>
      <c r="Y668" s="62"/>
      <c r="Z668" s="64"/>
      <c r="AA668" s="164"/>
      <c r="AB668" s="62"/>
      <c r="AC668" s="62"/>
      <c r="AD668" s="64"/>
      <c r="AE668" s="164"/>
      <c r="AF668" s="62"/>
      <c r="AG668" s="62"/>
      <c r="AH668" s="337"/>
      <c r="AI668" s="337"/>
      <c r="AJ668" s="337"/>
      <c r="AK668" s="337"/>
      <c r="AL668" s="412"/>
      <c r="AM668" s="414"/>
      <c r="AN668" s="44"/>
      <c r="AO668" s="44"/>
      <c r="AP668" s="45"/>
      <c r="AQ668" s="485"/>
      <c r="AR668" s="485"/>
      <c r="AS668" s="485"/>
      <c r="AT668" s="24"/>
      <c r="AU668" s="24"/>
      <c r="AV668" s="24"/>
      <c r="AW668" s="18">
        <v>24</v>
      </c>
      <c r="AX668" s="69" t="s">
        <v>297</v>
      </c>
      <c r="AY668" s="243" t="s">
        <v>115</v>
      </c>
      <c r="AZ668" s="243" t="str">
        <f t="shared" si="278"/>
        <v>Steelhead</v>
      </c>
      <c r="BA668" s="243" t="s">
        <v>419</v>
      </c>
      <c r="BB668" s="246" t="s">
        <v>594</v>
      </c>
      <c r="BC668" s="43" t="str">
        <f t="shared" si="279"/>
        <v>-</v>
      </c>
      <c r="BD668" s="43">
        <f t="shared" si="273"/>
        <v>0</v>
      </c>
      <c r="BE668" s="193">
        <f t="shared" si="295"/>
        <v>0</v>
      </c>
      <c r="BF668" s="193">
        <f t="shared" si="280"/>
        <v>0</v>
      </c>
      <c r="BG668" s="193">
        <f t="shared" si="281"/>
        <v>0</v>
      </c>
      <c r="BH668" s="307" t="str">
        <f t="shared" ref="BH668:BH731" si="296">CI668</f>
        <v>-</v>
      </c>
      <c r="BI668" s="266"/>
      <c r="BJ668" s="26" t="str">
        <f t="shared" si="282"/>
        <v>BAWDEN CREEKSteelhead</v>
      </c>
      <c r="BK668" s="26">
        <f t="shared" si="283"/>
        <v>0</v>
      </c>
      <c r="BL668" s="33">
        <f t="shared" si="274"/>
        <v>0</v>
      </c>
      <c r="BQ668" s="47" t="str">
        <f t="shared" si="284"/>
        <v>BAWDEN CREEKSteelhead</v>
      </c>
      <c r="BR668" s="49">
        <f t="shared" si="285"/>
        <v>0</v>
      </c>
      <c r="BS668" s="49">
        <f t="shared" si="294"/>
        <v>0</v>
      </c>
      <c r="BT668" s="31">
        <v>0</v>
      </c>
      <c r="BU668" s="188" t="str">
        <f t="shared" si="286"/>
        <v>MHSS</v>
      </c>
      <c r="BV668" s="188" t="str">
        <f t="shared" si="287"/>
        <v xml:space="preserve"> </v>
      </c>
      <c r="BW668" s="188" t="str">
        <f t="shared" si="288"/>
        <v xml:space="preserve"> </v>
      </c>
      <c r="BX668" s="188" t="str">
        <f t="shared" si="289"/>
        <v xml:space="preserve"> </v>
      </c>
      <c r="BY668" s="50" t="str">
        <f t="shared" si="277"/>
        <v>BAWDEN CREEK_Steelhead</v>
      </c>
      <c r="BZ668" s="50" t="str">
        <f>IFERROR(VLOOKUP(BY668,'[1]WCVI Esc'!$C$5:$W$555,18,FALSE),"-")</f>
        <v>-</v>
      </c>
      <c r="CA668" s="50" t="str">
        <f t="shared" si="290"/>
        <v>-</v>
      </c>
      <c r="CB668" s="50" t="str">
        <f>IFERROR(VLOOKUP(BY668,'[1]WCVI Esc'!$C$5:$W$555,19,FALSE),"-")</f>
        <v>-</v>
      </c>
      <c r="CC668" s="50" t="str">
        <f t="shared" si="291"/>
        <v>-</v>
      </c>
      <c r="CE668" s="342" t="str">
        <f t="shared" si="276"/>
        <v>BAWDEN CREEK_Steelhead</v>
      </c>
      <c r="CF668" s="341" t="str">
        <f>IFERROR(VLOOKUP(BY668,'RawPL+D'!$O$8:$AB$503,12,FALSE),"-")</f>
        <v>-</v>
      </c>
      <c r="CG668" s="338" t="str">
        <f t="shared" si="292"/>
        <v>-</v>
      </c>
      <c r="CH668" s="341" t="str">
        <f>IFERROR(VLOOKUP(BY668,'RawPL+D'!$O$8:$AB$503,13,FALSE),"-")</f>
        <v>-</v>
      </c>
      <c r="CI668" s="338" t="str">
        <f t="shared" si="293"/>
        <v>-</v>
      </c>
    </row>
    <row r="669" spans="1:87" ht="12.75" hidden="1" customHeight="1" x14ac:dyDescent="0.2">
      <c r="A669" s="28">
        <v>4</v>
      </c>
      <c r="B669" s="28">
        <v>1</v>
      </c>
      <c r="C669" s="11">
        <v>24</v>
      </c>
      <c r="D669" s="13" t="s">
        <v>297</v>
      </c>
      <c r="E669" s="10" t="s">
        <v>188</v>
      </c>
      <c r="F669" s="10" t="s">
        <v>207</v>
      </c>
      <c r="G669" s="10"/>
      <c r="H669" s="10"/>
      <c r="I669" s="10"/>
      <c r="J669" s="10"/>
      <c r="K669" s="575"/>
      <c r="L669" s="152"/>
      <c r="M669" s="164"/>
      <c r="N669" s="62"/>
      <c r="O669" s="62"/>
      <c r="P669" s="177"/>
      <c r="Q669" s="171"/>
      <c r="R669" s="62"/>
      <c r="S669" s="62"/>
      <c r="T669" s="62"/>
      <c r="U669" s="64"/>
      <c r="V669" s="164"/>
      <c r="W669" s="62"/>
      <c r="X669" s="62"/>
      <c r="Y669" s="62"/>
      <c r="Z669" s="64"/>
      <c r="AA669" s="164"/>
      <c r="AB669" s="62"/>
      <c r="AC669" s="62"/>
      <c r="AD669" s="64"/>
      <c r="AE669" s="164"/>
      <c r="AF669" s="62"/>
      <c r="AG669" s="62"/>
      <c r="AH669" s="337"/>
      <c r="AI669" s="337"/>
      <c r="AJ669" s="337"/>
      <c r="AK669" s="337"/>
      <c r="AL669" s="412"/>
      <c r="AM669" s="414"/>
      <c r="AN669" s="45"/>
      <c r="AO669" s="45"/>
      <c r="AP669" s="45"/>
      <c r="AQ669" s="485"/>
      <c r="AR669" s="485"/>
      <c r="AS669" s="485"/>
      <c r="AT669" s="24"/>
      <c r="AU669" s="24"/>
      <c r="AV669" s="24"/>
      <c r="AW669" s="18">
        <v>24</v>
      </c>
      <c r="AX669" s="69" t="s">
        <v>297</v>
      </c>
      <c r="AY669" s="243" t="s">
        <v>188</v>
      </c>
      <c r="AZ669" s="243" t="str">
        <f t="shared" si="278"/>
        <v>Sockeye</v>
      </c>
      <c r="BA669" s="243" t="s">
        <v>419</v>
      </c>
      <c r="BB669" s="246"/>
      <c r="BC669" s="43" t="str">
        <f t="shared" si="279"/>
        <v>-</v>
      </c>
      <c r="BD669" s="43">
        <f t="shared" si="273"/>
        <v>0</v>
      </c>
      <c r="BE669" s="193">
        <f t="shared" si="295"/>
        <v>0</v>
      </c>
      <c r="BF669" s="193">
        <f t="shared" si="280"/>
        <v>0</v>
      </c>
      <c r="BG669" s="193">
        <f t="shared" si="281"/>
        <v>0</v>
      </c>
      <c r="BH669" s="307" t="str">
        <f t="shared" si="296"/>
        <v>-</v>
      </c>
      <c r="BI669" s="266"/>
      <c r="BJ669" s="26" t="str">
        <f t="shared" si="282"/>
        <v>BEDINGFIELD BAY CREEKSockeye</v>
      </c>
      <c r="BK669" s="26">
        <f t="shared" si="283"/>
        <v>0</v>
      </c>
      <c r="BL669" s="33">
        <f t="shared" si="274"/>
        <v>0</v>
      </c>
      <c r="BQ669" s="47" t="str">
        <f t="shared" si="284"/>
        <v>BEDINGFIELD BAY CREEKSockeye</v>
      </c>
      <c r="BR669" s="49">
        <f t="shared" si="285"/>
        <v>0</v>
      </c>
      <c r="BS669" s="49">
        <f t="shared" si="294"/>
        <v>0</v>
      </c>
      <c r="BT669" s="31">
        <v>0</v>
      </c>
      <c r="BU669" s="188">
        <f t="shared" si="286"/>
        <v>0</v>
      </c>
      <c r="BV669" s="188" t="str">
        <f t="shared" si="287"/>
        <v xml:space="preserve"> </v>
      </c>
      <c r="BW669" s="188" t="str">
        <f t="shared" si="288"/>
        <v xml:space="preserve"> </v>
      </c>
      <c r="BX669" s="188" t="str">
        <f t="shared" si="289"/>
        <v xml:space="preserve"> </v>
      </c>
      <c r="BY669" s="50" t="str">
        <f t="shared" si="277"/>
        <v>BEDINGFIELD BAY CREEK_Sockeye</v>
      </c>
      <c r="BZ669" s="50" t="str">
        <f>IFERROR(VLOOKUP(BY669,'[1]WCVI Esc'!$C$5:$W$555,18,FALSE),"-")</f>
        <v>-</v>
      </c>
      <c r="CA669" s="50" t="str">
        <f t="shared" si="290"/>
        <v>-</v>
      </c>
      <c r="CB669" s="50" t="str">
        <f>IFERROR(VLOOKUP(BY669,'[1]WCVI Esc'!$C$5:$W$555,19,FALSE),"-")</f>
        <v>-</v>
      </c>
      <c r="CC669" s="50" t="str">
        <f t="shared" si="291"/>
        <v>-</v>
      </c>
      <c r="CE669" s="342" t="str">
        <f t="shared" si="276"/>
        <v>BEDINGFIELD BAY CREEK_Sockeye</v>
      </c>
      <c r="CF669" s="341" t="str">
        <f>IFERROR(VLOOKUP(BY669,'RawPL+D'!$O$8:$AB$503,12,FALSE),"-")</f>
        <v>-</v>
      </c>
      <c r="CG669" s="338" t="str">
        <f t="shared" si="292"/>
        <v>-</v>
      </c>
      <c r="CH669" s="341" t="str">
        <f>IFERROR(VLOOKUP(BY669,'RawPL+D'!$O$8:$AB$503,13,FALSE),"-")</f>
        <v>-</v>
      </c>
      <c r="CI669" s="338" t="str">
        <f t="shared" si="293"/>
        <v>-</v>
      </c>
    </row>
    <row r="670" spans="1:87" ht="12.75" hidden="1" customHeight="1" x14ac:dyDescent="0.2">
      <c r="A670" s="28">
        <v>4</v>
      </c>
      <c r="B670" s="28">
        <v>2</v>
      </c>
      <c r="C670" s="11">
        <v>24</v>
      </c>
      <c r="D670" s="13" t="s">
        <v>297</v>
      </c>
      <c r="E670" s="10" t="s">
        <v>188</v>
      </c>
      <c r="F670" s="10" t="s">
        <v>219</v>
      </c>
      <c r="G670" s="10"/>
      <c r="H670" s="10"/>
      <c r="I670" s="10"/>
      <c r="J670" s="10"/>
      <c r="K670" s="575"/>
      <c r="L670" s="152"/>
      <c r="M670" s="164"/>
      <c r="N670" s="62"/>
      <c r="O670" s="62"/>
      <c r="P670" s="177"/>
      <c r="Q670" s="171"/>
      <c r="R670" s="62"/>
      <c r="S670" s="62"/>
      <c r="T670" s="62"/>
      <c r="U670" s="64"/>
      <c r="V670" s="164"/>
      <c r="W670" s="62"/>
      <c r="X670" s="62"/>
      <c r="Y670" s="62"/>
      <c r="Z670" s="64"/>
      <c r="AA670" s="164"/>
      <c r="AB670" s="62"/>
      <c r="AC670" s="62"/>
      <c r="AD670" s="64"/>
      <c r="AE670" s="164"/>
      <c r="AF670" s="62"/>
      <c r="AG670" s="62"/>
      <c r="AH670" s="337"/>
      <c r="AI670" s="337"/>
      <c r="AJ670" s="337"/>
      <c r="AK670" s="337"/>
      <c r="AL670" s="412"/>
      <c r="AM670" s="414"/>
      <c r="AN670" s="45"/>
      <c r="AO670" s="45"/>
      <c r="AP670" s="45"/>
      <c r="AQ670" s="485"/>
      <c r="AR670" s="485"/>
      <c r="AS670" s="485"/>
      <c r="AT670" s="24"/>
      <c r="AU670" s="24"/>
      <c r="AV670" s="24"/>
      <c r="AW670" s="18">
        <v>24</v>
      </c>
      <c r="AX670" s="69" t="s">
        <v>297</v>
      </c>
      <c r="AY670" s="243" t="s">
        <v>188</v>
      </c>
      <c r="AZ670" s="243" t="str">
        <f t="shared" si="278"/>
        <v>Coho</v>
      </c>
      <c r="BA670" s="243" t="s">
        <v>419</v>
      </c>
      <c r="BB670" s="246"/>
      <c r="BC670" s="43" t="str">
        <f t="shared" si="279"/>
        <v>-</v>
      </c>
      <c r="BD670" s="43">
        <f t="shared" si="273"/>
        <v>0</v>
      </c>
      <c r="BE670" s="193">
        <f t="shared" si="295"/>
        <v>0</v>
      </c>
      <c r="BF670" s="193">
        <f t="shared" si="280"/>
        <v>0</v>
      </c>
      <c r="BG670" s="193">
        <f t="shared" si="281"/>
        <v>0</v>
      </c>
      <c r="BH670" s="307" t="str">
        <f t="shared" si="296"/>
        <v>-</v>
      </c>
      <c r="BI670" s="266"/>
      <c r="BJ670" s="26" t="str">
        <f t="shared" si="282"/>
        <v>BEDINGFIELD BAY CREEKCoho</v>
      </c>
      <c r="BK670" s="26">
        <f t="shared" si="283"/>
        <v>0</v>
      </c>
      <c r="BL670" s="33">
        <f t="shared" si="274"/>
        <v>0</v>
      </c>
      <c r="BQ670" s="47" t="str">
        <f t="shared" si="284"/>
        <v>BEDINGFIELD BAY CREEKCoho</v>
      </c>
      <c r="BR670" s="49">
        <f t="shared" si="285"/>
        <v>0</v>
      </c>
      <c r="BS670" s="49">
        <f t="shared" si="294"/>
        <v>0</v>
      </c>
      <c r="BT670" s="31">
        <v>0</v>
      </c>
      <c r="BU670" s="188">
        <f t="shared" si="286"/>
        <v>0</v>
      </c>
      <c r="BV670" s="188" t="str">
        <f t="shared" si="287"/>
        <v xml:space="preserve"> </v>
      </c>
      <c r="BW670" s="188" t="str">
        <f t="shared" si="288"/>
        <v xml:space="preserve"> </v>
      </c>
      <c r="BX670" s="188" t="str">
        <f t="shared" si="289"/>
        <v xml:space="preserve"> </v>
      </c>
      <c r="BY670" s="50" t="str">
        <f t="shared" si="277"/>
        <v>BEDINGFIELD BAY CREEK_Coho</v>
      </c>
      <c r="BZ670" s="50" t="str">
        <f>IFERROR(VLOOKUP(BY670,'[1]WCVI Esc'!$C$5:$W$555,18,FALSE),"-")</f>
        <v>-</v>
      </c>
      <c r="CA670" s="50" t="str">
        <f t="shared" si="290"/>
        <v>-</v>
      </c>
      <c r="CB670" s="50" t="str">
        <f>IFERROR(VLOOKUP(BY670,'[1]WCVI Esc'!$C$5:$W$555,19,FALSE),"-")</f>
        <v>-</v>
      </c>
      <c r="CC670" s="50" t="str">
        <f t="shared" si="291"/>
        <v>-</v>
      </c>
      <c r="CE670" s="342" t="str">
        <f t="shared" si="276"/>
        <v>BEDINGFIELD BAY CREEK_Coho</v>
      </c>
      <c r="CF670" s="341" t="str">
        <f>IFERROR(VLOOKUP(BY670,'RawPL+D'!$O$8:$AB$503,12,FALSE),"-")</f>
        <v>-</v>
      </c>
      <c r="CG670" s="338" t="str">
        <f t="shared" si="292"/>
        <v>-</v>
      </c>
      <c r="CH670" s="341" t="str">
        <f>IFERROR(VLOOKUP(BY670,'RawPL+D'!$O$8:$AB$503,13,FALSE),"-")</f>
        <v>-</v>
      </c>
      <c r="CI670" s="338" t="str">
        <f t="shared" si="293"/>
        <v>-</v>
      </c>
    </row>
    <row r="671" spans="1:87" ht="12.75" hidden="1" customHeight="1" x14ac:dyDescent="0.2">
      <c r="A671" s="28">
        <v>4</v>
      </c>
      <c r="B671" s="28">
        <v>3</v>
      </c>
      <c r="C671" s="11">
        <v>24</v>
      </c>
      <c r="D671" s="13" t="s">
        <v>297</v>
      </c>
      <c r="E671" s="10" t="s">
        <v>188</v>
      </c>
      <c r="F671" s="10" t="s">
        <v>208</v>
      </c>
      <c r="G671" s="10"/>
      <c r="H671" s="10"/>
      <c r="I671" s="10"/>
      <c r="J671" s="10"/>
      <c r="K671" s="575"/>
      <c r="L671" s="152"/>
      <c r="M671" s="164"/>
      <c r="N671" s="62"/>
      <c r="O671" s="62"/>
      <c r="P671" s="177"/>
      <c r="Q671" s="171"/>
      <c r="R671" s="62"/>
      <c r="S671" s="62"/>
      <c r="T671" s="62"/>
      <c r="U671" s="64"/>
      <c r="V671" s="164"/>
      <c r="W671" s="62"/>
      <c r="X671" s="62"/>
      <c r="Y671" s="62"/>
      <c r="Z671" s="64"/>
      <c r="AA671" s="164"/>
      <c r="AB671" s="62"/>
      <c r="AC671" s="62"/>
      <c r="AD671" s="64"/>
      <c r="AE671" s="164"/>
      <c r="AF671" s="62"/>
      <c r="AG671" s="62"/>
      <c r="AH671" s="337"/>
      <c r="AI671" s="337"/>
      <c r="AJ671" s="337"/>
      <c r="AK671" s="337"/>
      <c r="AL671" s="412"/>
      <c r="AM671" s="414"/>
      <c r="AN671" s="45"/>
      <c r="AO671" s="45"/>
      <c r="AP671" s="45"/>
      <c r="AQ671" s="485"/>
      <c r="AR671" s="485"/>
      <c r="AS671" s="485"/>
      <c r="AT671" s="24"/>
      <c r="AU671" s="24"/>
      <c r="AV671" s="24"/>
      <c r="AW671" s="18">
        <v>24</v>
      </c>
      <c r="AX671" s="69" t="s">
        <v>297</v>
      </c>
      <c r="AY671" s="243" t="s">
        <v>188</v>
      </c>
      <c r="AZ671" s="243" t="str">
        <f t="shared" si="278"/>
        <v>Pink</v>
      </c>
      <c r="BA671" s="243" t="s">
        <v>419</v>
      </c>
      <c r="BB671" s="246"/>
      <c r="BC671" s="43" t="str">
        <f t="shared" si="279"/>
        <v>-</v>
      </c>
      <c r="BD671" s="43">
        <f t="shared" si="273"/>
        <v>0</v>
      </c>
      <c r="BE671" s="193">
        <f t="shared" si="295"/>
        <v>0</v>
      </c>
      <c r="BF671" s="193">
        <f t="shared" si="280"/>
        <v>0</v>
      </c>
      <c r="BG671" s="193">
        <f t="shared" si="281"/>
        <v>0</v>
      </c>
      <c r="BH671" s="307" t="str">
        <f t="shared" si="296"/>
        <v>-</v>
      </c>
      <c r="BI671" s="266"/>
      <c r="BJ671" s="26" t="str">
        <f t="shared" si="282"/>
        <v>BEDINGFIELD BAY CREEKPink</v>
      </c>
      <c r="BK671" s="26">
        <f t="shared" si="283"/>
        <v>0</v>
      </c>
      <c r="BL671" s="33">
        <f t="shared" si="274"/>
        <v>0</v>
      </c>
      <c r="BQ671" s="47" t="str">
        <f t="shared" si="284"/>
        <v>BEDINGFIELD BAY CREEKPink</v>
      </c>
      <c r="BR671" s="49">
        <f t="shared" si="285"/>
        <v>0</v>
      </c>
      <c r="BS671" s="49">
        <f t="shared" si="294"/>
        <v>0</v>
      </c>
      <c r="BT671" s="31">
        <v>0</v>
      </c>
      <c r="BU671" s="188">
        <f t="shared" si="286"/>
        <v>0</v>
      </c>
      <c r="BV671" s="188" t="str">
        <f t="shared" si="287"/>
        <v xml:space="preserve"> </v>
      </c>
      <c r="BW671" s="188" t="str">
        <f t="shared" si="288"/>
        <v xml:space="preserve"> </v>
      </c>
      <c r="BX671" s="188" t="str">
        <f t="shared" si="289"/>
        <v xml:space="preserve"> </v>
      </c>
      <c r="BY671" s="50" t="str">
        <f t="shared" si="277"/>
        <v>BEDINGFIELD BAY CREEK_Pink</v>
      </c>
      <c r="BZ671" s="50" t="str">
        <f>IFERROR(VLOOKUP(BY671,'[1]WCVI Esc'!$C$5:$W$555,18,FALSE),"-")</f>
        <v>-</v>
      </c>
      <c r="CA671" s="50" t="str">
        <f t="shared" si="290"/>
        <v>-</v>
      </c>
      <c r="CB671" s="50" t="str">
        <f>IFERROR(VLOOKUP(BY671,'[1]WCVI Esc'!$C$5:$W$555,19,FALSE),"-")</f>
        <v>-</v>
      </c>
      <c r="CC671" s="50" t="str">
        <f t="shared" si="291"/>
        <v>-</v>
      </c>
      <c r="CE671" s="342" t="str">
        <f t="shared" si="276"/>
        <v>BEDINGFIELD BAY CREEK_Pink</v>
      </c>
      <c r="CF671" s="341" t="str">
        <f>IFERROR(VLOOKUP(BY671,'RawPL+D'!$O$8:$AB$503,12,FALSE),"-")</f>
        <v>-</v>
      </c>
      <c r="CG671" s="338" t="str">
        <f t="shared" si="292"/>
        <v>-</v>
      </c>
      <c r="CH671" s="341" t="str">
        <f>IFERROR(VLOOKUP(BY671,'RawPL+D'!$O$8:$AB$503,13,FALSE),"-")</f>
        <v>-</v>
      </c>
      <c r="CI671" s="338" t="str">
        <f t="shared" si="293"/>
        <v>-</v>
      </c>
    </row>
    <row r="672" spans="1:87" ht="12.75" hidden="1" customHeight="1" x14ac:dyDescent="0.2">
      <c r="A672" s="28">
        <v>4</v>
      </c>
      <c r="B672" s="28">
        <v>4</v>
      </c>
      <c r="C672" s="11">
        <v>24</v>
      </c>
      <c r="D672" s="13" t="s">
        <v>297</v>
      </c>
      <c r="E672" s="10" t="s">
        <v>188</v>
      </c>
      <c r="F672" s="10" t="s">
        <v>209</v>
      </c>
      <c r="G672" s="10"/>
      <c r="H672" s="10"/>
      <c r="I672" s="10"/>
      <c r="J672" s="10"/>
      <c r="K672" s="575"/>
      <c r="L672" s="152"/>
      <c r="M672" s="164"/>
      <c r="N672" s="62"/>
      <c r="O672" s="62"/>
      <c r="P672" s="177"/>
      <c r="Q672" s="171"/>
      <c r="R672" s="62"/>
      <c r="S672" s="62"/>
      <c r="T672" s="62"/>
      <c r="U672" s="64"/>
      <c r="V672" s="164"/>
      <c r="W672" s="62"/>
      <c r="X672" s="62"/>
      <c r="Y672" s="62"/>
      <c r="Z672" s="64"/>
      <c r="AA672" s="164"/>
      <c r="AB672" s="62"/>
      <c r="AC672" s="62"/>
      <c r="AD672" s="64"/>
      <c r="AE672" s="164"/>
      <c r="AF672" s="62"/>
      <c r="AG672" s="62"/>
      <c r="AH672" s="337"/>
      <c r="AI672" s="337"/>
      <c r="AJ672" s="337"/>
      <c r="AK672" s="337"/>
      <c r="AL672" s="412"/>
      <c r="AM672" s="414"/>
      <c r="AN672" s="45"/>
      <c r="AO672" s="45"/>
      <c r="AP672" s="45"/>
      <c r="AQ672" s="485"/>
      <c r="AR672" s="485"/>
      <c r="AS672" s="485"/>
      <c r="AT672" s="24"/>
      <c r="AU672" s="24"/>
      <c r="AV672" s="24"/>
      <c r="AW672" s="18">
        <v>24</v>
      </c>
      <c r="AX672" s="69" t="s">
        <v>297</v>
      </c>
      <c r="AY672" s="243" t="s">
        <v>188</v>
      </c>
      <c r="AZ672" s="243" t="str">
        <f t="shared" si="278"/>
        <v>Chum</v>
      </c>
      <c r="BA672" s="243" t="s">
        <v>419</v>
      </c>
      <c r="BB672" s="246"/>
      <c r="BC672" s="43" t="str">
        <f t="shared" si="279"/>
        <v>-</v>
      </c>
      <c r="BD672" s="43">
        <f t="shared" si="273"/>
        <v>0</v>
      </c>
      <c r="BE672" s="193">
        <f t="shared" si="295"/>
        <v>0</v>
      </c>
      <c r="BF672" s="193">
        <f t="shared" si="280"/>
        <v>0</v>
      </c>
      <c r="BG672" s="193">
        <f t="shared" si="281"/>
        <v>0</v>
      </c>
      <c r="BH672" s="307" t="str">
        <f t="shared" si="296"/>
        <v>-</v>
      </c>
      <c r="BI672" s="266"/>
      <c r="BJ672" s="26" t="str">
        <f t="shared" si="282"/>
        <v>BEDINGFIELD BAY CREEKChum</v>
      </c>
      <c r="BK672" s="26">
        <f t="shared" si="283"/>
        <v>0</v>
      </c>
      <c r="BL672" s="33">
        <f t="shared" si="274"/>
        <v>0</v>
      </c>
      <c r="BQ672" s="47" t="str">
        <f t="shared" si="284"/>
        <v>BEDINGFIELD BAY CREEKChum</v>
      </c>
      <c r="BR672" s="49">
        <f t="shared" si="285"/>
        <v>0</v>
      </c>
      <c r="BS672" s="49">
        <f t="shared" si="294"/>
        <v>0</v>
      </c>
      <c r="BT672" s="31">
        <v>1986</v>
      </c>
      <c r="BU672" s="188">
        <f t="shared" si="286"/>
        <v>0</v>
      </c>
      <c r="BV672" s="188" t="str">
        <f t="shared" si="287"/>
        <v xml:space="preserve"> </v>
      </c>
      <c r="BW672" s="188" t="str">
        <f t="shared" si="288"/>
        <v xml:space="preserve"> </v>
      </c>
      <c r="BX672" s="188" t="str">
        <f t="shared" si="289"/>
        <v xml:space="preserve"> </v>
      </c>
      <c r="BY672" s="50" t="str">
        <f t="shared" si="277"/>
        <v>BEDINGFIELD BAY CREEK_Chum</v>
      </c>
      <c r="BZ672" s="50" t="str">
        <f>IFERROR(VLOOKUP(BY672,'[1]WCVI Esc'!$C$5:$W$555,18,FALSE),"-")</f>
        <v>-</v>
      </c>
      <c r="CA672" s="50" t="str">
        <f t="shared" si="290"/>
        <v>-</v>
      </c>
      <c r="CB672" s="50" t="str">
        <f>IFERROR(VLOOKUP(BY672,'[1]WCVI Esc'!$C$5:$W$555,19,FALSE),"-")</f>
        <v>-</v>
      </c>
      <c r="CC672" s="50" t="str">
        <f t="shared" si="291"/>
        <v>-</v>
      </c>
      <c r="CE672" s="342" t="str">
        <f t="shared" si="276"/>
        <v>BEDINGFIELD BAY CREEK_Chum</v>
      </c>
      <c r="CF672" s="341" t="str">
        <f>IFERROR(VLOOKUP(BY672,'RawPL+D'!$O$8:$AB$503,12,FALSE),"-")</f>
        <v>-</v>
      </c>
      <c r="CG672" s="338" t="str">
        <f t="shared" si="292"/>
        <v>-</v>
      </c>
      <c r="CH672" s="341" t="str">
        <f>IFERROR(VLOOKUP(BY672,'RawPL+D'!$O$8:$AB$503,13,FALSE),"-")</f>
        <v>-</v>
      </c>
      <c r="CI672" s="338" t="str">
        <f t="shared" si="293"/>
        <v>-</v>
      </c>
    </row>
    <row r="673" spans="1:87" ht="12.75" hidden="1" customHeight="1" x14ac:dyDescent="0.2">
      <c r="A673" s="28">
        <v>4</v>
      </c>
      <c r="B673" s="28">
        <v>5</v>
      </c>
      <c r="C673" s="11">
        <v>24</v>
      </c>
      <c r="D673" s="13" t="s">
        <v>297</v>
      </c>
      <c r="E673" s="10" t="s">
        <v>188</v>
      </c>
      <c r="F673" s="10" t="s">
        <v>210</v>
      </c>
      <c r="G673" s="10"/>
      <c r="H673" s="10"/>
      <c r="I673" s="10"/>
      <c r="J673" s="10"/>
      <c r="K673" s="575"/>
      <c r="L673" s="152"/>
      <c r="M673" s="164"/>
      <c r="N673" s="62"/>
      <c r="O673" s="62"/>
      <c r="P673" s="177"/>
      <c r="Q673" s="171"/>
      <c r="R673" s="62"/>
      <c r="S673" s="62"/>
      <c r="T673" s="62"/>
      <c r="U673" s="64"/>
      <c r="V673" s="164"/>
      <c r="W673" s="62"/>
      <c r="X673" s="62"/>
      <c r="Y673" s="62"/>
      <c r="Z673" s="64"/>
      <c r="AA673" s="164"/>
      <c r="AB673" s="62"/>
      <c r="AC673" s="62"/>
      <c r="AD673" s="64"/>
      <c r="AE673" s="164"/>
      <c r="AF673" s="62"/>
      <c r="AG673" s="62"/>
      <c r="AH673" s="337"/>
      <c r="AI673" s="337"/>
      <c r="AJ673" s="337"/>
      <c r="AK673" s="337"/>
      <c r="AL673" s="412"/>
      <c r="AM673" s="414"/>
      <c r="AN673" s="45"/>
      <c r="AO673" s="45"/>
      <c r="AP673" s="45"/>
      <c r="AQ673" s="485"/>
      <c r="AR673" s="485"/>
      <c r="AS673" s="485"/>
      <c r="AT673" s="24"/>
      <c r="AU673" s="24"/>
      <c r="AV673" s="24"/>
      <c r="AW673" s="18">
        <v>24</v>
      </c>
      <c r="AX673" s="69" t="s">
        <v>297</v>
      </c>
      <c r="AY673" s="243" t="s">
        <v>188</v>
      </c>
      <c r="AZ673" s="243" t="str">
        <f t="shared" si="278"/>
        <v>Chinook</v>
      </c>
      <c r="BA673" s="243" t="s">
        <v>419</v>
      </c>
      <c r="BB673" s="246"/>
      <c r="BC673" s="43" t="str">
        <f t="shared" si="279"/>
        <v>-</v>
      </c>
      <c r="BD673" s="43">
        <f t="shared" ref="BD673:BD736" si="297">BK673</f>
        <v>0</v>
      </c>
      <c r="BE673" s="193">
        <f t="shared" si="295"/>
        <v>0</v>
      </c>
      <c r="BF673" s="193">
        <f t="shared" si="280"/>
        <v>0</v>
      </c>
      <c r="BG673" s="193">
        <f t="shared" si="281"/>
        <v>0</v>
      </c>
      <c r="BH673" s="307" t="str">
        <f t="shared" si="296"/>
        <v>-</v>
      </c>
      <c r="BI673" s="266"/>
      <c r="BJ673" s="26" t="str">
        <f t="shared" si="282"/>
        <v>BEDINGFIELD BAY CREEKChinook</v>
      </c>
      <c r="BK673" s="26">
        <f t="shared" si="283"/>
        <v>0</v>
      </c>
      <c r="BL673" s="33">
        <f t="shared" si="274"/>
        <v>0</v>
      </c>
      <c r="BQ673" s="47" t="str">
        <f t="shared" si="284"/>
        <v>BEDINGFIELD BAY CREEKChinook</v>
      </c>
      <c r="BR673" s="49">
        <f t="shared" si="285"/>
        <v>0</v>
      </c>
      <c r="BS673" s="49">
        <f t="shared" si="294"/>
        <v>0</v>
      </c>
      <c r="BT673" s="31">
        <v>0</v>
      </c>
      <c r="BU673" s="188">
        <f t="shared" si="286"/>
        <v>0</v>
      </c>
      <c r="BV673" s="188" t="str">
        <f t="shared" si="287"/>
        <v xml:space="preserve"> </v>
      </c>
      <c r="BW673" s="188" t="str">
        <f t="shared" si="288"/>
        <v xml:space="preserve"> </v>
      </c>
      <c r="BX673" s="188" t="str">
        <f t="shared" si="289"/>
        <v xml:space="preserve"> </v>
      </c>
      <c r="BY673" s="50" t="str">
        <f t="shared" si="277"/>
        <v>BEDINGFIELD BAY CREEK_Chinook</v>
      </c>
      <c r="BZ673" s="50" t="str">
        <f>IFERROR(VLOOKUP(BY673,'[1]WCVI Esc'!$C$5:$W$555,18,FALSE),"-")</f>
        <v>-</v>
      </c>
      <c r="CA673" s="50" t="str">
        <f t="shared" si="290"/>
        <v>-</v>
      </c>
      <c r="CB673" s="50" t="str">
        <f>IFERROR(VLOOKUP(BY673,'[1]WCVI Esc'!$C$5:$W$555,19,FALSE),"-")</f>
        <v>-</v>
      </c>
      <c r="CC673" s="50" t="str">
        <f t="shared" si="291"/>
        <v>-</v>
      </c>
      <c r="CE673" s="342" t="str">
        <f t="shared" si="276"/>
        <v>BEDINGFIELD BAY CREEK_Chinook</v>
      </c>
      <c r="CF673" s="341" t="str">
        <f>IFERROR(VLOOKUP(BY673,'RawPL+D'!$O$8:$AB$503,12,FALSE),"-")</f>
        <v>-</v>
      </c>
      <c r="CG673" s="338" t="str">
        <f t="shared" si="292"/>
        <v>-</v>
      </c>
      <c r="CH673" s="341" t="str">
        <f>IFERROR(VLOOKUP(BY673,'RawPL+D'!$O$8:$AB$503,13,FALSE),"-")</f>
        <v>-</v>
      </c>
      <c r="CI673" s="338" t="str">
        <f t="shared" si="293"/>
        <v>-</v>
      </c>
    </row>
    <row r="674" spans="1:87" ht="12.75" hidden="1" customHeight="1" x14ac:dyDescent="0.2">
      <c r="A674" s="28">
        <v>4</v>
      </c>
      <c r="B674" s="28">
        <v>6</v>
      </c>
      <c r="C674" s="11">
        <v>24</v>
      </c>
      <c r="D674" s="13" t="s">
        <v>297</v>
      </c>
      <c r="E674" s="10" t="s">
        <v>188</v>
      </c>
      <c r="F674" s="10" t="s">
        <v>211</v>
      </c>
      <c r="G674" s="10"/>
      <c r="H674" s="10"/>
      <c r="I674" s="10"/>
      <c r="J674" s="10"/>
      <c r="K674" s="575"/>
      <c r="L674" s="152"/>
      <c r="M674" s="164"/>
      <c r="N674" s="62"/>
      <c r="O674" s="62"/>
      <c r="P674" s="177"/>
      <c r="Q674" s="171"/>
      <c r="R674" s="62"/>
      <c r="S674" s="62"/>
      <c r="T674" s="62"/>
      <c r="U674" s="64"/>
      <c r="V674" s="164"/>
      <c r="W674" s="62"/>
      <c r="X674" s="62"/>
      <c r="Y674" s="62"/>
      <c r="Z674" s="64"/>
      <c r="AA674" s="164"/>
      <c r="AB674" s="62"/>
      <c r="AC674" s="62"/>
      <c r="AD674" s="64"/>
      <c r="AE674" s="164"/>
      <c r="AF674" s="62"/>
      <c r="AG674" s="62"/>
      <c r="AH674" s="337"/>
      <c r="AI674" s="337"/>
      <c r="AJ674" s="337"/>
      <c r="AK674" s="337"/>
      <c r="AL674" s="412"/>
      <c r="AM674" s="414"/>
      <c r="AN674" s="45"/>
      <c r="AO674" s="45"/>
      <c r="AP674" s="45"/>
      <c r="AQ674" s="485"/>
      <c r="AR674" s="485"/>
      <c r="AS674" s="485"/>
      <c r="AT674" s="24"/>
      <c r="AU674" s="24"/>
      <c r="AV674" s="24"/>
      <c r="AW674" s="18">
        <v>24</v>
      </c>
      <c r="AX674" s="69" t="s">
        <v>297</v>
      </c>
      <c r="AY674" s="243" t="s">
        <v>188</v>
      </c>
      <c r="AZ674" s="243" t="str">
        <f t="shared" si="278"/>
        <v>Steelhead</v>
      </c>
      <c r="BA674" s="243" t="s">
        <v>419</v>
      </c>
      <c r="BB674" s="246"/>
      <c r="BC674" s="43" t="str">
        <f t="shared" si="279"/>
        <v>-</v>
      </c>
      <c r="BD674" s="43">
        <f t="shared" si="297"/>
        <v>0</v>
      </c>
      <c r="BE674" s="193">
        <f t="shared" si="295"/>
        <v>0</v>
      </c>
      <c r="BF674" s="193">
        <f t="shared" si="280"/>
        <v>0</v>
      </c>
      <c r="BG674" s="193">
        <f t="shared" si="281"/>
        <v>0</v>
      </c>
      <c r="BH674" s="307" t="str">
        <f t="shared" si="296"/>
        <v>-</v>
      </c>
      <c r="BI674" s="266"/>
      <c r="BJ674" s="26" t="str">
        <f t="shared" si="282"/>
        <v>BEDINGFIELD BAY CREEKSteelhead</v>
      </c>
      <c r="BK674" s="26">
        <f t="shared" si="283"/>
        <v>0</v>
      </c>
      <c r="BL674" s="33">
        <f t="shared" si="274"/>
        <v>0</v>
      </c>
      <c r="BQ674" s="47" t="str">
        <f t="shared" si="284"/>
        <v>BEDINGFIELD BAY CREEKSteelhead</v>
      </c>
      <c r="BR674" s="49">
        <f t="shared" si="285"/>
        <v>0</v>
      </c>
      <c r="BS674" s="49">
        <f t="shared" si="294"/>
        <v>0</v>
      </c>
      <c r="BT674" s="31">
        <v>0</v>
      </c>
      <c r="BU674" s="188">
        <f t="shared" si="286"/>
        <v>0</v>
      </c>
      <c r="BV674" s="188" t="str">
        <f t="shared" si="287"/>
        <v xml:space="preserve"> </v>
      </c>
      <c r="BW674" s="188" t="str">
        <f t="shared" si="288"/>
        <v xml:space="preserve"> </v>
      </c>
      <c r="BX674" s="188" t="str">
        <f t="shared" si="289"/>
        <v xml:space="preserve"> </v>
      </c>
      <c r="BY674" s="50" t="str">
        <f t="shared" si="277"/>
        <v>BEDINGFIELD BAY CREEK_Steelhead</v>
      </c>
      <c r="BZ674" s="50" t="str">
        <f>IFERROR(VLOOKUP(BY674,'[1]WCVI Esc'!$C$5:$W$555,18,FALSE),"-")</f>
        <v>-</v>
      </c>
      <c r="CA674" s="50" t="str">
        <f t="shared" si="290"/>
        <v>-</v>
      </c>
      <c r="CB674" s="50" t="str">
        <f>IFERROR(VLOOKUP(BY674,'[1]WCVI Esc'!$C$5:$W$555,19,FALSE),"-")</f>
        <v>-</v>
      </c>
      <c r="CC674" s="50" t="str">
        <f t="shared" si="291"/>
        <v>-</v>
      </c>
      <c r="CE674" s="342" t="str">
        <f t="shared" si="276"/>
        <v>BEDINGFIELD BAY CREEK_Steelhead</v>
      </c>
      <c r="CF674" s="341" t="str">
        <f>IFERROR(VLOOKUP(BY674,'RawPL+D'!$O$8:$AB$503,12,FALSE),"-")</f>
        <v>-</v>
      </c>
      <c r="CG674" s="338" t="str">
        <f t="shared" si="292"/>
        <v>-</v>
      </c>
      <c r="CH674" s="341" t="str">
        <f>IFERROR(VLOOKUP(BY674,'RawPL+D'!$O$8:$AB$503,13,FALSE),"-")</f>
        <v>-</v>
      </c>
      <c r="CI674" s="338" t="str">
        <f t="shared" si="293"/>
        <v>-</v>
      </c>
    </row>
    <row r="675" spans="1:87" ht="12.75" hidden="1" customHeight="1" x14ac:dyDescent="0.2">
      <c r="A675" s="28">
        <v>4</v>
      </c>
      <c r="B675" s="28">
        <v>1</v>
      </c>
      <c r="C675" s="11">
        <v>24</v>
      </c>
      <c r="D675" s="13" t="s">
        <v>297</v>
      </c>
      <c r="E675" s="10" t="s">
        <v>116</v>
      </c>
      <c r="F675" s="10" t="s">
        <v>207</v>
      </c>
      <c r="G675" s="10"/>
      <c r="H675" s="10"/>
      <c r="I675" s="10"/>
      <c r="J675" s="10"/>
      <c r="K675" s="575"/>
      <c r="L675" s="152"/>
      <c r="M675" s="164"/>
      <c r="N675" s="62"/>
      <c r="O675" s="62"/>
      <c r="P675" s="177"/>
      <c r="Q675" s="171"/>
      <c r="R675" s="62"/>
      <c r="S675" s="62"/>
      <c r="T675" s="62"/>
      <c r="U675" s="62"/>
      <c r="V675" s="164"/>
      <c r="W675" s="62"/>
      <c r="X675" s="62"/>
      <c r="Y675" s="62"/>
      <c r="Z675" s="64"/>
      <c r="AA675" s="164"/>
      <c r="AB675" s="62"/>
      <c r="AC675" s="62"/>
      <c r="AD675" s="64"/>
      <c r="AE675" s="164"/>
      <c r="AF675" s="62"/>
      <c r="AG675" s="62"/>
      <c r="AH675" s="337"/>
      <c r="AI675" s="337"/>
      <c r="AJ675" s="337"/>
      <c r="AK675" s="337"/>
      <c r="AL675" s="412"/>
      <c r="AM675" s="414"/>
      <c r="AN675" s="45"/>
      <c r="AO675" s="45"/>
      <c r="AP675" s="45"/>
      <c r="AQ675" s="485"/>
      <c r="AR675" s="485"/>
      <c r="AS675" s="485"/>
      <c r="AT675" s="24"/>
      <c r="AU675" s="24"/>
      <c r="AV675" s="24"/>
      <c r="AW675" s="18">
        <v>24</v>
      </c>
      <c r="AX675" s="69" t="s">
        <v>297</v>
      </c>
      <c r="AY675" s="243" t="s">
        <v>116</v>
      </c>
      <c r="AZ675" s="243" t="str">
        <f t="shared" si="278"/>
        <v>Sockeye</v>
      </c>
      <c r="BA675" s="243" t="s">
        <v>419</v>
      </c>
      <c r="BB675" s="246"/>
      <c r="BC675" s="43" t="str">
        <f t="shared" si="279"/>
        <v>-</v>
      </c>
      <c r="BD675" s="43">
        <f t="shared" si="297"/>
        <v>0</v>
      </c>
      <c r="BE675" s="193">
        <f t="shared" si="295"/>
        <v>0</v>
      </c>
      <c r="BF675" s="193">
        <f t="shared" si="280"/>
        <v>0</v>
      </c>
      <c r="BG675" s="193">
        <f t="shared" si="281"/>
        <v>0</v>
      </c>
      <c r="BH675" s="307" t="str">
        <f t="shared" si="296"/>
        <v>-</v>
      </c>
      <c r="BI675" s="266"/>
      <c r="BJ675" s="26" t="str">
        <f t="shared" si="282"/>
        <v>BULSON CREEKSockeye</v>
      </c>
      <c r="BK675" s="26">
        <f t="shared" si="283"/>
        <v>0</v>
      </c>
      <c r="BL675" s="33">
        <f t="shared" si="274"/>
        <v>0</v>
      </c>
      <c r="BQ675" s="47" t="str">
        <f t="shared" si="284"/>
        <v>BULSON CREEKSockeye</v>
      </c>
      <c r="BR675" s="49">
        <f t="shared" si="285"/>
        <v>0</v>
      </c>
      <c r="BS675" s="49">
        <f t="shared" si="294"/>
        <v>0</v>
      </c>
      <c r="BT675" s="31">
        <v>0</v>
      </c>
      <c r="BU675" s="188">
        <f t="shared" si="286"/>
        <v>0</v>
      </c>
      <c r="BV675" s="188" t="str">
        <f t="shared" si="287"/>
        <v xml:space="preserve"> </v>
      </c>
      <c r="BW675" s="188" t="str">
        <f t="shared" si="288"/>
        <v xml:space="preserve"> </v>
      </c>
      <c r="BX675" s="188" t="str">
        <f t="shared" si="289"/>
        <v xml:space="preserve"> </v>
      </c>
      <c r="BY675" s="50" t="str">
        <f t="shared" si="277"/>
        <v>BULSON CREEK_Sockeye</v>
      </c>
      <c r="BZ675" s="50" t="str">
        <f>IFERROR(VLOOKUP(BY675,'[1]WCVI Esc'!$C$5:$W$555,18,FALSE),"-")</f>
        <v>-</v>
      </c>
      <c r="CA675" s="50" t="str">
        <f t="shared" si="290"/>
        <v>-</v>
      </c>
      <c r="CB675" s="50" t="str">
        <f>IFERROR(VLOOKUP(BY675,'[1]WCVI Esc'!$C$5:$W$555,19,FALSE),"-")</f>
        <v>-</v>
      </c>
      <c r="CC675" s="50" t="str">
        <f t="shared" si="291"/>
        <v>-</v>
      </c>
      <c r="CE675" s="342" t="str">
        <f t="shared" si="276"/>
        <v>BULSON CREEK_Sockeye</v>
      </c>
      <c r="CF675" s="341" t="str">
        <f>IFERROR(VLOOKUP(BY675,'RawPL+D'!$O$8:$AB$503,12,FALSE),"-")</f>
        <v>-</v>
      </c>
      <c r="CG675" s="338" t="str">
        <f t="shared" si="292"/>
        <v>-</v>
      </c>
      <c r="CH675" s="341" t="str">
        <f>IFERROR(VLOOKUP(BY675,'RawPL+D'!$O$8:$AB$503,13,FALSE),"-")</f>
        <v>-</v>
      </c>
      <c r="CI675" s="338" t="str">
        <f t="shared" si="293"/>
        <v>-</v>
      </c>
    </row>
    <row r="676" spans="1:87" ht="12.75" hidden="1" customHeight="1" x14ac:dyDescent="0.2">
      <c r="A676" s="28">
        <v>4</v>
      </c>
      <c r="B676" s="28">
        <v>2</v>
      </c>
      <c r="C676" s="11">
        <v>24</v>
      </c>
      <c r="D676" s="13" t="s">
        <v>297</v>
      </c>
      <c r="E676" s="10" t="s">
        <v>116</v>
      </c>
      <c r="F676" s="10" t="s">
        <v>219</v>
      </c>
      <c r="G676" s="10"/>
      <c r="H676" s="10"/>
      <c r="I676" s="10"/>
      <c r="J676" s="10"/>
      <c r="K676" s="575"/>
      <c r="L676" s="152"/>
      <c r="M676" s="164"/>
      <c r="N676" s="62"/>
      <c r="O676" s="62"/>
      <c r="P676" s="177"/>
      <c r="Q676" s="171"/>
      <c r="R676" s="62"/>
      <c r="S676" s="62"/>
      <c r="T676" s="62"/>
      <c r="U676" s="62"/>
      <c r="V676" s="164"/>
      <c r="W676" s="62"/>
      <c r="X676" s="62"/>
      <c r="Y676" s="62"/>
      <c r="Z676" s="64"/>
      <c r="AA676" s="164"/>
      <c r="AB676" s="62"/>
      <c r="AC676" s="62"/>
      <c r="AD676" s="64"/>
      <c r="AE676" s="164"/>
      <c r="AF676" s="62"/>
      <c r="AG676" s="62"/>
      <c r="AH676" s="337"/>
      <c r="AI676" s="337"/>
      <c r="AJ676" s="337"/>
      <c r="AK676" s="337"/>
      <c r="AL676" s="412"/>
      <c r="AM676" s="414"/>
      <c r="AN676" s="45"/>
      <c r="AO676" s="45"/>
      <c r="AP676" s="45"/>
      <c r="AQ676" s="485"/>
      <c r="AR676" s="485"/>
      <c r="AS676" s="485"/>
      <c r="AT676" s="24"/>
      <c r="AU676" s="24"/>
      <c r="AV676" s="24"/>
      <c r="AW676" s="18">
        <v>24</v>
      </c>
      <c r="AX676" s="69" t="s">
        <v>297</v>
      </c>
      <c r="AY676" s="243" t="s">
        <v>116</v>
      </c>
      <c r="AZ676" s="243" t="str">
        <f t="shared" si="278"/>
        <v>Coho</v>
      </c>
      <c r="BA676" s="243" t="s">
        <v>419</v>
      </c>
      <c r="BB676" s="246"/>
      <c r="BC676" s="43" t="str">
        <f t="shared" si="279"/>
        <v>-</v>
      </c>
      <c r="BD676" s="43">
        <f t="shared" si="297"/>
        <v>0</v>
      </c>
      <c r="BE676" s="193">
        <f t="shared" si="295"/>
        <v>0</v>
      </c>
      <c r="BF676" s="193">
        <f t="shared" si="280"/>
        <v>0</v>
      </c>
      <c r="BG676" s="193">
        <f t="shared" si="281"/>
        <v>0</v>
      </c>
      <c r="BH676" s="307" t="str">
        <f t="shared" si="296"/>
        <v>-</v>
      </c>
      <c r="BI676" s="266"/>
      <c r="BJ676" s="26" t="str">
        <f t="shared" si="282"/>
        <v>BULSON CREEKCoho</v>
      </c>
      <c r="BK676" s="26">
        <f t="shared" si="283"/>
        <v>0</v>
      </c>
      <c r="BL676" s="33">
        <f t="shared" si="274"/>
        <v>0</v>
      </c>
      <c r="BQ676" s="47" t="str">
        <f t="shared" si="284"/>
        <v>BULSON CREEKCoho</v>
      </c>
      <c r="BR676" s="49">
        <f t="shared" si="285"/>
        <v>0</v>
      </c>
      <c r="BS676" s="49">
        <f t="shared" si="294"/>
        <v>0</v>
      </c>
      <c r="BT676" s="31">
        <v>1965</v>
      </c>
      <c r="BU676" s="188">
        <f t="shared" si="286"/>
        <v>0</v>
      </c>
      <c r="BV676" s="188" t="str">
        <f t="shared" si="287"/>
        <v xml:space="preserve"> </v>
      </c>
      <c r="BW676" s="188" t="str">
        <f t="shared" si="288"/>
        <v xml:space="preserve"> </v>
      </c>
      <c r="BX676" s="188" t="str">
        <f t="shared" si="289"/>
        <v xml:space="preserve"> </v>
      </c>
      <c r="BY676" s="50" t="str">
        <f t="shared" si="277"/>
        <v>BULSON CREEK_Coho</v>
      </c>
      <c r="BZ676" s="50" t="str">
        <f>IFERROR(VLOOKUP(BY676,'[1]WCVI Esc'!$C$5:$W$555,18,FALSE),"-")</f>
        <v>-</v>
      </c>
      <c r="CA676" s="50" t="str">
        <f t="shared" si="290"/>
        <v>-</v>
      </c>
      <c r="CB676" s="50" t="str">
        <f>IFERROR(VLOOKUP(BY676,'[1]WCVI Esc'!$C$5:$W$555,19,FALSE),"-")</f>
        <v>-</v>
      </c>
      <c r="CC676" s="50" t="str">
        <f t="shared" si="291"/>
        <v>-</v>
      </c>
      <c r="CE676" s="342" t="str">
        <f t="shared" si="276"/>
        <v>BULSON CREEK_Coho</v>
      </c>
      <c r="CF676" s="341" t="str">
        <f>IFERROR(VLOOKUP(BY676,'RawPL+D'!$O$8:$AB$503,12,FALSE),"-")</f>
        <v>-</v>
      </c>
      <c r="CG676" s="338" t="str">
        <f t="shared" si="292"/>
        <v>-</v>
      </c>
      <c r="CH676" s="341" t="str">
        <f>IFERROR(VLOOKUP(BY676,'RawPL+D'!$O$8:$AB$503,13,FALSE),"-")</f>
        <v>-</v>
      </c>
      <c r="CI676" s="338" t="str">
        <f t="shared" si="293"/>
        <v>-</v>
      </c>
    </row>
    <row r="677" spans="1:87" ht="12.75" hidden="1" customHeight="1" x14ac:dyDescent="0.2">
      <c r="A677" s="28">
        <v>4</v>
      </c>
      <c r="B677" s="28">
        <v>3</v>
      </c>
      <c r="C677" s="11">
        <v>24</v>
      </c>
      <c r="D677" s="13" t="s">
        <v>297</v>
      </c>
      <c r="E677" s="10" t="s">
        <v>116</v>
      </c>
      <c r="F677" s="10" t="s">
        <v>208</v>
      </c>
      <c r="G677" s="10"/>
      <c r="H677" s="10"/>
      <c r="I677" s="10"/>
      <c r="J677" s="10"/>
      <c r="K677" s="575"/>
      <c r="L677" s="152"/>
      <c r="M677" s="164"/>
      <c r="N677" s="62"/>
      <c r="O677" s="62"/>
      <c r="P677" s="177"/>
      <c r="Q677" s="171"/>
      <c r="R677" s="62"/>
      <c r="S677" s="62"/>
      <c r="T677" s="62"/>
      <c r="U677" s="62"/>
      <c r="V677" s="164"/>
      <c r="W677" s="62"/>
      <c r="X677" s="62"/>
      <c r="Y677" s="62"/>
      <c r="Z677" s="64"/>
      <c r="AA677" s="164"/>
      <c r="AB677" s="62"/>
      <c r="AC677" s="62"/>
      <c r="AD677" s="64"/>
      <c r="AE677" s="164"/>
      <c r="AF677" s="62"/>
      <c r="AG677" s="62"/>
      <c r="AH677" s="337"/>
      <c r="AI677" s="337"/>
      <c r="AJ677" s="337"/>
      <c r="AK677" s="337"/>
      <c r="AL677" s="412"/>
      <c r="AM677" s="414"/>
      <c r="AN677" s="45"/>
      <c r="AO677" s="45"/>
      <c r="AP677" s="45"/>
      <c r="AQ677" s="485"/>
      <c r="AR677" s="485"/>
      <c r="AS677" s="485"/>
      <c r="AT677" s="24"/>
      <c r="AU677" s="24"/>
      <c r="AV677" s="24"/>
      <c r="AW677" s="18">
        <v>24</v>
      </c>
      <c r="AX677" s="69" t="s">
        <v>297</v>
      </c>
      <c r="AY677" s="243" t="s">
        <v>116</v>
      </c>
      <c r="AZ677" s="243" t="str">
        <f t="shared" si="278"/>
        <v>Pink</v>
      </c>
      <c r="BA677" s="243" t="s">
        <v>419</v>
      </c>
      <c r="BB677" s="246"/>
      <c r="BC677" s="43" t="str">
        <f t="shared" si="279"/>
        <v>-</v>
      </c>
      <c r="BD677" s="43">
        <f t="shared" si="297"/>
        <v>0</v>
      </c>
      <c r="BE677" s="193">
        <f t="shared" si="295"/>
        <v>0</v>
      </c>
      <c r="BF677" s="193">
        <f t="shared" si="280"/>
        <v>0</v>
      </c>
      <c r="BG677" s="193">
        <f t="shared" si="281"/>
        <v>0</v>
      </c>
      <c r="BH677" s="307" t="str">
        <f t="shared" si="296"/>
        <v>-</v>
      </c>
      <c r="BI677" s="266"/>
      <c r="BJ677" s="26" t="str">
        <f t="shared" si="282"/>
        <v>BULSON CREEKPink</v>
      </c>
      <c r="BK677" s="26">
        <f t="shared" si="283"/>
        <v>0</v>
      </c>
      <c r="BL677" s="33">
        <f t="shared" si="274"/>
        <v>0</v>
      </c>
      <c r="BQ677" s="47" t="str">
        <f t="shared" si="284"/>
        <v>BULSON CREEKPink</v>
      </c>
      <c r="BR677" s="49">
        <f t="shared" si="285"/>
        <v>0</v>
      </c>
      <c r="BS677" s="49">
        <f t="shared" si="294"/>
        <v>0</v>
      </c>
      <c r="BT677" s="31">
        <v>0</v>
      </c>
      <c r="BU677" s="188">
        <f t="shared" si="286"/>
        <v>0</v>
      </c>
      <c r="BV677" s="188" t="str">
        <f t="shared" si="287"/>
        <v xml:space="preserve"> </v>
      </c>
      <c r="BW677" s="188" t="str">
        <f t="shared" si="288"/>
        <v xml:space="preserve"> </v>
      </c>
      <c r="BX677" s="188" t="str">
        <f t="shared" si="289"/>
        <v xml:space="preserve"> </v>
      </c>
      <c r="BY677" s="50" t="str">
        <f t="shared" si="277"/>
        <v>BULSON CREEK_Pink</v>
      </c>
      <c r="BZ677" s="50" t="str">
        <f>IFERROR(VLOOKUP(BY677,'[1]WCVI Esc'!$C$5:$W$555,18,FALSE),"-")</f>
        <v>-</v>
      </c>
      <c r="CA677" s="50" t="str">
        <f t="shared" si="290"/>
        <v>-</v>
      </c>
      <c r="CB677" s="50" t="str">
        <f>IFERROR(VLOOKUP(BY677,'[1]WCVI Esc'!$C$5:$W$555,19,FALSE),"-")</f>
        <v>-</v>
      </c>
      <c r="CC677" s="50" t="str">
        <f t="shared" si="291"/>
        <v>-</v>
      </c>
      <c r="CE677" s="342" t="str">
        <f t="shared" si="276"/>
        <v>BULSON CREEK_Pink</v>
      </c>
      <c r="CF677" s="341" t="str">
        <f>IFERROR(VLOOKUP(BY677,'RawPL+D'!$O$8:$AB$503,12,FALSE),"-")</f>
        <v>-</v>
      </c>
      <c r="CG677" s="338" t="str">
        <f t="shared" si="292"/>
        <v>-</v>
      </c>
      <c r="CH677" s="341" t="str">
        <f>IFERROR(VLOOKUP(BY677,'RawPL+D'!$O$8:$AB$503,13,FALSE),"-")</f>
        <v>-</v>
      </c>
      <c r="CI677" s="338" t="str">
        <f t="shared" si="293"/>
        <v>-</v>
      </c>
    </row>
    <row r="678" spans="1:87" ht="12.75" hidden="1" customHeight="1" x14ac:dyDescent="0.2">
      <c r="A678" s="28">
        <v>4</v>
      </c>
      <c r="B678" s="28">
        <v>4</v>
      </c>
      <c r="C678" s="11">
        <v>24</v>
      </c>
      <c r="D678" s="13" t="s">
        <v>297</v>
      </c>
      <c r="E678" s="10" t="s">
        <v>116</v>
      </c>
      <c r="F678" s="10" t="s">
        <v>209</v>
      </c>
      <c r="G678" s="10"/>
      <c r="H678" s="10"/>
      <c r="I678" s="10"/>
      <c r="J678" s="10"/>
      <c r="K678" s="575"/>
      <c r="L678" s="152"/>
      <c r="M678" s="164"/>
      <c r="N678" s="62"/>
      <c r="O678" s="62"/>
      <c r="P678" s="177"/>
      <c r="Q678" s="171"/>
      <c r="R678" s="62"/>
      <c r="S678" s="62"/>
      <c r="T678" s="62"/>
      <c r="U678" s="62"/>
      <c r="V678" s="164"/>
      <c r="W678" s="62"/>
      <c r="X678" s="62"/>
      <c r="Y678" s="62"/>
      <c r="Z678" s="64"/>
      <c r="AA678" s="164"/>
      <c r="AB678" s="62"/>
      <c r="AC678" s="62"/>
      <c r="AD678" s="64"/>
      <c r="AE678" s="164"/>
      <c r="AF678" s="62"/>
      <c r="AG678" s="62"/>
      <c r="AH678" s="337"/>
      <c r="AI678" s="337"/>
      <c r="AJ678" s="337"/>
      <c r="AK678" s="337"/>
      <c r="AL678" s="412"/>
      <c r="AM678" s="414"/>
      <c r="AN678" s="45"/>
      <c r="AO678" s="45"/>
      <c r="AP678" s="45"/>
      <c r="AQ678" s="485"/>
      <c r="AR678" s="485"/>
      <c r="AS678" s="485"/>
      <c r="AT678" s="24"/>
      <c r="AU678" s="24"/>
      <c r="AV678" s="24"/>
      <c r="AW678" s="18">
        <v>24</v>
      </c>
      <c r="AX678" s="69" t="s">
        <v>297</v>
      </c>
      <c r="AY678" s="243" t="s">
        <v>116</v>
      </c>
      <c r="AZ678" s="243" t="str">
        <f t="shared" si="278"/>
        <v>Chum</v>
      </c>
      <c r="BA678" s="243" t="s">
        <v>419</v>
      </c>
      <c r="BB678" s="246"/>
      <c r="BC678" s="43" t="str">
        <f t="shared" si="279"/>
        <v>-</v>
      </c>
      <c r="BD678" s="43">
        <f t="shared" si="297"/>
        <v>0</v>
      </c>
      <c r="BE678" s="193">
        <f t="shared" si="295"/>
        <v>0</v>
      </c>
      <c r="BF678" s="193">
        <f t="shared" si="280"/>
        <v>0</v>
      </c>
      <c r="BG678" s="193">
        <f t="shared" si="281"/>
        <v>0</v>
      </c>
      <c r="BH678" s="307" t="str">
        <f t="shared" si="296"/>
        <v>-</v>
      </c>
      <c r="BI678" s="266"/>
      <c r="BJ678" s="26" t="str">
        <f t="shared" si="282"/>
        <v>BULSON CREEKChum</v>
      </c>
      <c r="BK678" s="26">
        <f t="shared" si="283"/>
        <v>0</v>
      </c>
      <c r="BL678" s="33">
        <f t="shared" si="274"/>
        <v>0</v>
      </c>
      <c r="BQ678" s="47" t="str">
        <f t="shared" si="284"/>
        <v>BULSON CREEKChum</v>
      </c>
      <c r="BR678" s="49">
        <f t="shared" si="285"/>
        <v>0</v>
      </c>
      <c r="BS678" s="49">
        <f t="shared" si="294"/>
        <v>0</v>
      </c>
      <c r="BT678" s="31">
        <v>2000</v>
      </c>
      <c r="BU678" s="188">
        <f t="shared" si="286"/>
        <v>0</v>
      </c>
      <c r="BV678" s="188" t="str">
        <f t="shared" si="287"/>
        <v xml:space="preserve"> </v>
      </c>
      <c r="BW678" s="188" t="str">
        <f t="shared" si="288"/>
        <v xml:space="preserve"> </v>
      </c>
      <c r="BX678" s="188" t="str">
        <f t="shared" si="289"/>
        <v xml:space="preserve"> </v>
      </c>
      <c r="BY678" s="50" t="str">
        <f t="shared" si="277"/>
        <v>BULSON CREEK_Chum</v>
      </c>
      <c r="BZ678" s="50" t="str">
        <f>IFERROR(VLOOKUP(BY678,'[1]WCVI Esc'!$C$5:$W$555,18,FALSE),"-")</f>
        <v>-</v>
      </c>
      <c r="CA678" s="50" t="str">
        <f t="shared" si="290"/>
        <v>-</v>
      </c>
      <c r="CB678" s="50" t="str">
        <f>IFERROR(VLOOKUP(BY678,'[1]WCVI Esc'!$C$5:$W$555,19,FALSE),"-")</f>
        <v>-</v>
      </c>
      <c r="CC678" s="50" t="str">
        <f t="shared" si="291"/>
        <v>-</v>
      </c>
      <c r="CE678" s="342" t="str">
        <f t="shared" si="276"/>
        <v>BULSON CREEK_Chum</v>
      </c>
      <c r="CF678" s="341" t="str">
        <f>IFERROR(VLOOKUP(BY678,'RawPL+D'!$O$8:$AB$503,12,FALSE),"-")</f>
        <v>-</v>
      </c>
      <c r="CG678" s="338" t="str">
        <f t="shared" si="292"/>
        <v>-</v>
      </c>
      <c r="CH678" s="341" t="str">
        <f>IFERROR(VLOOKUP(BY678,'RawPL+D'!$O$8:$AB$503,13,FALSE),"-")</f>
        <v>-</v>
      </c>
      <c r="CI678" s="338" t="str">
        <f t="shared" si="293"/>
        <v>-</v>
      </c>
    </row>
    <row r="679" spans="1:87" ht="12.75" hidden="1" customHeight="1" x14ac:dyDescent="0.2">
      <c r="A679" s="28">
        <v>4</v>
      </c>
      <c r="B679" s="28">
        <v>5</v>
      </c>
      <c r="C679" s="11">
        <v>24</v>
      </c>
      <c r="D679" s="13" t="s">
        <v>297</v>
      </c>
      <c r="E679" s="10" t="s">
        <v>116</v>
      </c>
      <c r="F679" s="10" t="s">
        <v>210</v>
      </c>
      <c r="G679" s="10"/>
      <c r="H679" s="10"/>
      <c r="I679" s="10"/>
      <c r="J679" s="10"/>
      <c r="K679" s="575"/>
      <c r="L679" s="152"/>
      <c r="M679" s="164"/>
      <c r="N679" s="62"/>
      <c r="O679" s="62"/>
      <c r="P679" s="177"/>
      <c r="Q679" s="171"/>
      <c r="R679" s="62"/>
      <c r="S679" s="62"/>
      <c r="T679" s="62"/>
      <c r="U679" s="62"/>
      <c r="V679" s="164"/>
      <c r="W679" s="62"/>
      <c r="X679" s="62"/>
      <c r="Y679" s="62"/>
      <c r="Z679" s="64"/>
      <c r="AA679" s="164"/>
      <c r="AB679" s="62"/>
      <c r="AC679" s="62"/>
      <c r="AD679" s="64"/>
      <c r="AE679" s="164"/>
      <c r="AF679" s="62"/>
      <c r="AG679" s="62"/>
      <c r="AH679" s="337"/>
      <c r="AI679" s="337"/>
      <c r="AJ679" s="337"/>
      <c r="AK679" s="337"/>
      <c r="AL679" s="412"/>
      <c r="AM679" s="414"/>
      <c r="AN679" s="45"/>
      <c r="AO679" s="45"/>
      <c r="AP679" s="45"/>
      <c r="AQ679" s="485"/>
      <c r="AR679" s="485"/>
      <c r="AS679" s="485"/>
      <c r="AT679" s="24"/>
      <c r="AU679" s="24"/>
      <c r="AV679" s="24"/>
      <c r="AW679" s="18">
        <v>24</v>
      </c>
      <c r="AX679" s="69" t="s">
        <v>297</v>
      </c>
      <c r="AY679" s="243" t="s">
        <v>116</v>
      </c>
      <c r="AZ679" s="243" t="str">
        <f t="shared" si="278"/>
        <v>Chinook</v>
      </c>
      <c r="BA679" s="243" t="s">
        <v>419</v>
      </c>
      <c r="BB679" s="246"/>
      <c r="BC679" s="43" t="str">
        <f t="shared" si="279"/>
        <v>-</v>
      </c>
      <c r="BD679" s="43">
        <f t="shared" si="297"/>
        <v>0</v>
      </c>
      <c r="BE679" s="193">
        <f t="shared" si="295"/>
        <v>0</v>
      </c>
      <c r="BF679" s="193">
        <f t="shared" si="280"/>
        <v>0</v>
      </c>
      <c r="BG679" s="193">
        <f t="shared" si="281"/>
        <v>0</v>
      </c>
      <c r="BH679" s="307" t="str">
        <f t="shared" si="296"/>
        <v>-</v>
      </c>
      <c r="BI679" s="266"/>
      <c r="BJ679" s="26" t="str">
        <f t="shared" si="282"/>
        <v>BULSON CREEKChinook</v>
      </c>
      <c r="BK679" s="26">
        <f t="shared" si="283"/>
        <v>0</v>
      </c>
      <c r="BL679" s="33">
        <f t="shared" ref="BL679:BL742" si="298">MAX(K679:AB679)</f>
        <v>0</v>
      </c>
      <c r="BQ679" s="47" t="str">
        <f t="shared" si="284"/>
        <v>BULSON CREEKChinook</v>
      </c>
      <c r="BR679" s="49">
        <f t="shared" si="285"/>
        <v>0</v>
      </c>
      <c r="BS679" s="49">
        <f t="shared" si="294"/>
        <v>0</v>
      </c>
      <c r="BT679" s="31">
        <v>0</v>
      </c>
      <c r="BU679" s="188">
        <f t="shared" si="286"/>
        <v>0</v>
      </c>
      <c r="BV679" s="188" t="str">
        <f t="shared" si="287"/>
        <v xml:space="preserve"> </v>
      </c>
      <c r="BW679" s="188" t="str">
        <f t="shared" si="288"/>
        <v xml:space="preserve"> </v>
      </c>
      <c r="BX679" s="188" t="str">
        <f t="shared" si="289"/>
        <v xml:space="preserve"> </v>
      </c>
      <c r="BY679" s="50" t="str">
        <f t="shared" si="277"/>
        <v>BULSON CREEK_Chinook</v>
      </c>
      <c r="BZ679" s="50" t="str">
        <f>IFERROR(VLOOKUP(BY679,'[1]WCVI Esc'!$C$5:$W$555,18,FALSE),"-")</f>
        <v>-</v>
      </c>
      <c r="CA679" s="50" t="str">
        <f t="shared" si="290"/>
        <v>-</v>
      </c>
      <c r="CB679" s="50" t="str">
        <f>IFERROR(VLOOKUP(BY679,'[1]WCVI Esc'!$C$5:$W$555,19,FALSE),"-")</f>
        <v>-</v>
      </c>
      <c r="CC679" s="50" t="str">
        <f t="shared" si="291"/>
        <v>-</v>
      </c>
      <c r="CE679" s="342" t="str">
        <f t="shared" si="276"/>
        <v>BULSON CREEK_Chinook</v>
      </c>
      <c r="CF679" s="341" t="str">
        <f>IFERROR(VLOOKUP(BY679,'RawPL+D'!$O$8:$AB$503,12,FALSE),"-")</f>
        <v>-</v>
      </c>
      <c r="CG679" s="338" t="str">
        <f t="shared" si="292"/>
        <v>-</v>
      </c>
      <c r="CH679" s="341" t="str">
        <f>IFERROR(VLOOKUP(BY679,'RawPL+D'!$O$8:$AB$503,13,FALSE),"-")</f>
        <v>-</v>
      </c>
      <c r="CI679" s="338" t="str">
        <f t="shared" si="293"/>
        <v>-</v>
      </c>
    </row>
    <row r="680" spans="1:87" ht="12.75" hidden="1" customHeight="1" x14ac:dyDescent="0.2">
      <c r="A680" s="28">
        <v>4</v>
      </c>
      <c r="B680" s="28">
        <v>6</v>
      </c>
      <c r="C680" s="11">
        <v>24</v>
      </c>
      <c r="D680" s="13" t="s">
        <v>297</v>
      </c>
      <c r="E680" s="10" t="s">
        <v>116</v>
      </c>
      <c r="F680" s="10" t="s">
        <v>211</v>
      </c>
      <c r="G680" s="10"/>
      <c r="H680" s="10"/>
      <c r="I680" s="10"/>
      <c r="J680" s="10"/>
      <c r="K680" s="575"/>
      <c r="L680" s="152"/>
      <c r="M680" s="164"/>
      <c r="N680" s="62"/>
      <c r="O680" s="62"/>
      <c r="P680" s="177"/>
      <c r="Q680" s="171"/>
      <c r="R680" s="62"/>
      <c r="S680" s="62"/>
      <c r="T680" s="62"/>
      <c r="U680" s="62"/>
      <c r="V680" s="164"/>
      <c r="W680" s="62"/>
      <c r="X680" s="62"/>
      <c r="Y680" s="62"/>
      <c r="Z680" s="64"/>
      <c r="AA680" s="164"/>
      <c r="AB680" s="62"/>
      <c r="AC680" s="62"/>
      <c r="AD680" s="64"/>
      <c r="AE680" s="164"/>
      <c r="AF680" s="62"/>
      <c r="AG680" s="62"/>
      <c r="AH680" s="337"/>
      <c r="AI680" s="337"/>
      <c r="AJ680" s="337"/>
      <c r="AK680" s="337"/>
      <c r="AL680" s="412"/>
      <c r="AM680" s="414"/>
      <c r="AN680" s="45"/>
      <c r="AO680" s="45"/>
      <c r="AP680" s="45"/>
      <c r="AQ680" s="485"/>
      <c r="AR680" s="485"/>
      <c r="AS680" s="485"/>
      <c r="AT680" s="24"/>
      <c r="AU680" s="24"/>
      <c r="AV680" s="24"/>
      <c r="AW680" s="18">
        <v>24</v>
      </c>
      <c r="AX680" s="69" t="s">
        <v>297</v>
      </c>
      <c r="AY680" s="243" t="s">
        <v>116</v>
      </c>
      <c r="AZ680" s="243" t="str">
        <f t="shared" si="278"/>
        <v>Steelhead</v>
      </c>
      <c r="BA680" s="243" t="s">
        <v>419</v>
      </c>
      <c r="BB680" s="246"/>
      <c r="BC680" s="43" t="str">
        <f t="shared" si="279"/>
        <v>-</v>
      </c>
      <c r="BD680" s="43">
        <f t="shared" si="297"/>
        <v>0</v>
      </c>
      <c r="BE680" s="193">
        <f t="shared" si="295"/>
        <v>0</v>
      </c>
      <c r="BF680" s="193">
        <f t="shared" si="280"/>
        <v>0</v>
      </c>
      <c r="BG680" s="193">
        <f t="shared" si="281"/>
        <v>0</v>
      </c>
      <c r="BH680" s="307" t="str">
        <f t="shared" si="296"/>
        <v>-</v>
      </c>
      <c r="BI680" s="266"/>
      <c r="BJ680" s="26" t="str">
        <f t="shared" si="282"/>
        <v>BULSON CREEKSteelhead</v>
      </c>
      <c r="BK680" s="26">
        <f t="shared" si="283"/>
        <v>0</v>
      </c>
      <c r="BL680" s="33">
        <f t="shared" si="298"/>
        <v>0</v>
      </c>
      <c r="BQ680" s="47" t="str">
        <f t="shared" si="284"/>
        <v>BULSON CREEKSteelhead</v>
      </c>
      <c r="BR680" s="49">
        <f t="shared" si="285"/>
        <v>0</v>
      </c>
      <c r="BS680" s="49">
        <f t="shared" si="294"/>
        <v>0</v>
      </c>
      <c r="BT680" s="31">
        <v>0</v>
      </c>
      <c r="BU680" s="188">
        <f t="shared" si="286"/>
        <v>0</v>
      </c>
      <c r="BV680" s="188" t="str">
        <f t="shared" si="287"/>
        <v xml:space="preserve"> </v>
      </c>
      <c r="BW680" s="188" t="str">
        <f t="shared" si="288"/>
        <v xml:space="preserve"> </v>
      </c>
      <c r="BX680" s="188" t="str">
        <f t="shared" si="289"/>
        <v xml:space="preserve"> </v>
      </c>
      <c r="BY680" s="50" t="str">
        <f t="shared" si="277"/>
        <v>BULSON CREEK_Steelhead</v>
      </c>
      <c r="BZ680" s="50" t="str">
        <f>IFERROR(VLOOKUP(BY680,'[1]WCVI Esc'!$C$5:$W$555,18,FALSE),"-")</f>
        <v>-</v>
      </c>
      <c r="CA680" s="50" t="str">
        <f t="shared" si="290"/>
        <v>-</v>
      </c>
      <c r="CB680" s="50" t="str">
        <f>IFERROR(VLOOKUP(BY680,'[1]WCVI Esc'!$C$5:$W$555,19,FALSE),"-")</f>
        <v>-</v>
      </c>
      <c r="CC680" s="50" t="str">
        <f t="shared" si="291"/>
        <v>-</v>
      </c>
      <c r="CE680" s="342" t="str">
        <f t="shared" si="276"/>
        <v>BULSON CREEK_Steelhead</v>
      </c>
      <c r="CF680" s="341" t="str">
        <f>IFERROR(VLOOKUP(BY680,'RawPL+D'!$O$8:$AB$503,12,FALSE),"-")</f>
        <v>-</v>
      </c>
      <c r="CG680" s="338" t="str">
        <f t="shared" si="292"/>
        <v>-</v>
      </c>
      <c r="CH680" s="341" t="str">
        <f>IFERROR(VLOOKUP(BY680,'RawPL+D'!$O$8:$AB$503,13,FALSE),"-")</f>
        <v>-</v>
      </c>
      <c r="CI680" s="338" t="str">
        <f t="shared" si="293"/>
        <v>-</v>
      </c>
    </row>
    <row r="681" spans="1:87" ht="12.75" hidden="1" customHeight="1" x14ac:dyDescent="0.2">
      <c r="A681" s="28">
        <v>4</v>
      </c>
      <c r="B681" s="28">
        <v>1</v>
      </c>
      <c r="C681" s="11">
        <v>24</v>
      </c>
      <c r="D681" s="13" t="s">
        <v>297</v>
      </c>
      <c r="E681" s="10" t="s">
        <v>117</v>
      </c>
      <c r="F681" s="10" t="s">
        <v>207</v>
      </c>
      <c r="G681" s="10"/>
      <c r="H681" s="10"/>
      <c r="I681" s="10"/>
      <c r="J681" s="10"/>
      <c r="K681" s="575"/>
      <c r="L681" s="152"/>
      <c r="M681" s="164"/>
      <c r="N681" s="62"/>
      <c r="O681" s="171"/>
      <c r="P681" s="177"/>
      <c r="Q681" s="62"/>
      <c r="R681" s="62"/>
      <c r="S681" s="62"/>
      <c r="T681" s="62"/>
      <c r="U681" s="64"/>
      <c r="V681" s="62"/>
      <c r="W681" s="62"/>
      <c r="X681" s="62"/>
      <c r="Y681" s="62"/>
      <c r="Z681" s="62"/>
      <c r="AA681" s="164"/>
      <c r="AB681" s="62"/>
      <c r="AC681" s="62"/>
      <c r="AD681" s="64"/>
      <c r="AE681" s="164"/>
      <c r="AF681" s="62"/>
      <c r="AG681" s="62"/>
      <c r="AH681" s="337"/>
      <c r="AI681" s="337"/>
      <c r="AJ681" s="337"/>
      <c r="AK681" s="337"/>
      <c r="AL681" s="412"/>
      <c r="AM681" s="414"/>
      <c r="AN681" s="45"/>
      <c r="AO681" s="45"/>
      <c r="AP681" s="45"/>
      <c r="AQ681" s="485"/>
      <c r="AR681" s="485"/>
      <c r="AS681" s="485"/>
      <c r="AT681" s="24"/>
      <c r="AU681" s="24"/>
      <c r="AV681" s="24"/>
      <c r="AW681" s="18">
        <v>24</v>
      </c>
      <c r="AX681" s="69" t="s">
        <v>297</v>
      </c>
      <c r="AY681" s="243" t="s">
        <v>117</v>
      </c>
      <c r="AZ681" s="243" t="str">
        <f t="shared" si="278"/>
        <v>Sockeye</v>
      </c>
      <c r="BA681" s="243" t="s">
        <v>419</v>
      </c>
      <c r="BB681" s="246"/>
      <c r="BC681" s="43" t="str">
        <f t="shared" si="279"/>
        <v>-</v>
      </c>
      <c r="BD681" s="43">
        <f t="shared" si="297"/>
        <v>0</v>
      </c>
      <c r="BE681" s="193">
        <f t="shared" si="295"/>
        <v>0</v>
      </c>
      <c r="BF681" s="193">
        <f t="shared" si="280"/>
        <v>0</v>
      </c>
      <c r="BG681" s="193">
        <f t="shared" si="281"/>
        <v>0</v>
      </c>
      <c r="BH681" s="307" t="str">
        <f t="shared" si="296"/>
        <v>-</v>
      </c>
      <c r="BI681" s="266"/>
      <c r="BJ681" s="26" t="str">
        <f t="shared" si="282"/>
        <v>CECILIA CREEKSockeye</v>
      </c>
      <c r="BK681" s="26">
        <f t="shared" si="283"/>
        <v>0</v>
      </c>
      <c r="BL681" s="33">
        <f t="shared" si="298"/>
        <v>0</v>
      </c>
      <c r="BQ681" s="47" t="str">
        <f t="shared" si="284"/>
        <v>CECILIA CREEKSockeye</v>
      </c>
      <c r="BR681" s="49">
        <f t="shared" si="285"/>
        <v>0</v>
      </c>
      <c r="BS681" s="49">
        <f t="shared" si="294"/>
        <v>0</v>
      </c>
      <c r="BT681" s="31">
        <v>0</v>
      </c>
      <c r="BU681" s="188">
        <f t="shared" si="286"/>
        <v>0</v>
      </c>
      <c r="BV681" s="188" t="str">
        <f t="shared" si="287"/>
        <v xml:space="preserve"> </v>
      </c>
      <c r="BW681" s="188" t="str">
        <f t="shared" si="288"/>
        <v xml:space="preserve"> </v>
      </c>
      <c r="BX681" s="188" t="str">
        <f t="shared" si="289"/>
        <v xml:space="preserve"> </v>
      </c>
      <c r="BY681" s="50" t="str">
        <f t="shared" si="277"/>
        <v>CECILIA CREEK_Sockeye</v>
      </c>
      <c r="BZ681" s="50" t="str">
        <f>IFERROR(VLOOKUP(BY681,'[1]WCVI Esc'!$C$5:$W$555,18,FALSE),"-")</f>
        <v>-</v>
      </c>
      <c r="CA681" s="50" t="str">
        <f t="shared" si="290"/>
        <v>-</v>
      </c>
      <c r="CB681" s="50" t="str">
        <f>IFERROR(VLOOKUP(BY681,'[1]WCVI Esc'!$C$5:$W$555,19,FALSE),"-")</f>
        <v>-</v>
      </c>
      <c r="CC681" s="50" t="str">
        <f t="shared" si="291"/>
        <v>-</v>
      </c>
      <c r="CE681" s="342" t="str">
        <f t="shared" si="276"/>
        <v>CECILIA CREEK_Sockeye</v>
      </c>
      <c r="CF681" s="341" t="str">
        <f>IFERROR(VLOOKUP(BY681,'RawPL+D'!$O$8:$AB$503,12,FALSE),"-")</f>
        <v>-</v>
      </c>
      <c r="CG681" s="338" t="str">
        <f t="shared" si="292"/>
        <v>-</v>
      </c>
      <c r="CH681" s="341" t="str">
        <f>IFERROR(VLOOKUP(BY681,'RawPL+D'!$O$8:$AB$503,13,FALSE),"-")</f>
        <v>-</v>
      </c>
      <c r="CI681" s="338" t="str">
        <f t="shared" si="293"/>
        <v>-</v>
      </c>
    </row>
    <row r="682" spans="1:87" ht="12.75" hidden="1" customHeight="1" x14ac:dyDescent="0.2">
      <c r="A682" s="28">
        <v>4</v>
      </c>
      <c r="B682" s="28">
        <v>2</v>
      </c>
      <c r="C682" s="11">
        <v>24</v>
      </c>
      <c r="D682" s="13" t="s">
        <v>297</v>
      </c>
      <c r="E682" s="10" t="s">
        <v>117</v>
      </c>
      <c r="F682" s="10" t="s">
        <v>219</v>
      </c>
      <c r="G682" s="10"/>
      <c r="H682" s="10"/>
      <c r="I682" s="10"/>
      <c r="J682" s="10"/>
      <c r="K682" s="575"/>
      <c r="L682" s="152"/>
      <c r="M682" s="164"/>
      <c r="N682" s="62"/>
      <c r="O682" s="171"/>
      <c r="P682" s="177"/>
      <c r="Q682" s="62"/>
      <c r="R682" s="62"/>
      <c r="S682" s="62"/>
      <c r="T682" s="62"/>
      <c r="U682" s="64"/>
      <c r="V682" s="62"/>
      <c r="W682" s="62"/>
      <c r="X682" s="62"/>
      <c r="Y682" s="62"/>
      <c r="Z682" s="62"/>
      <c r="AA682" s="164"/>
      <c r="AB682" s="62"/>
      <c r="AC682" s="62"/>
      <c r="AD682" s="64"/>
      <c r="AE682" s="164"/>
      <c r="AF682" s="62"/>
      <c r="AG682" s="62"/>
      <c r="AH682" s="337"/>
      <c r="AI682" s="337"/>
      <c r="AJ682" s="337"/>
      <c r="AK682" s="337"/>
      <c r="AL682" s="412"/>
      <c r="AM682" s="414"/>
      <c r="AN682" s="45"/>
      <c r="AO682" s="45"/>
      <c r="AP682" s="45"/>
      <c r="AQ682" s="485"/>
      <c r="AR682" s="485"/>
      <c r="AS682" s="485"/>
      <c r="AT682" s="24"/>
      <c r="AU682" s="24"/>
      <c r="AV682" s="24"/>
      <c r="AW682" s="18">
        <v>24</v>
      </c>
      <c r="AX682" s="69" t="s">
        <v>297</v>
      </c>
      <c r="AY682" s="243" t="s">
        <v>117</v>
      </c>
      <c r="AZ682" s="243" t="str">
        <f t="shared" si="278"/>
        <v>Coho</v>
      </c>
      <c r="BA682" s="243" t="s">
        <v>419</v>
      </c>
      <c r="BB682" s="246"/>
      <c r="BC682" s="43" t="str">
        <f t="shared" si="279"/>
        <v>-</v>
      </c>
      <c r="BD682" s="43">
        <f t="shared" si="297"/>
        <v>0</v>
      </c>
      <c r="BE682" s="193">
        <f t="shared" si="295"/>
        <v>0</v>
      </c>
      <c r="BF682" s="193">
        <f t="shared" si="280"/>
        <v>0</v>
      </c>
      <c r="BG682" s="193">
        <f t="shared" si="281"/>
        <v>0</v>
      </c>
      <c r="BH682" s="307" t="str">
        <f t="shared" si="296"/>
        <v>-</v>
      </c>
      <c r="BI682" s="266"/>
      <c r="BJ682" s="26" t="str">
        <f t="shared" si="282"/>
        <v>CECILIA CREEKCoho</v>
      </c>
      <c r="BK682" s="26">
        <f t="shared" si="283"/>
        <v>0</v>
      </c>
      <c r="BL682" s="33">
        <f t="shared" si="298"/>
        <v>0</v>
      </c>
      <c r="BQ682" s="47" t="str">
        <f t="shared" si="284"/>
        <v>CECILIA CREEKCoho</v>
      </c>
      <c r="BR682" s="49">
        <f t="shared" si="285"/>
        <v>0</v>
      </c>
      <c r="BS682" s="49">
        <f t="shared" si="294"/>
        <v>0</v>
      </c>
      <c r="BT682" s="31">
        <v>1996</v>
      </c>
      <c r="BU682" s="188">
        <f t="shared" si="286"/>
        <v>0</v>
      </c>
      <c r="BV682" s="188" t="str">
        <f t="shared" si="287"/>
        <v xml:space="preserve"> </v>
      </c>
      <c r="BW682" s="188" t="str">
        <f t="shared" si="288"/>
        <v xml:space="preserve"> </v>
      </c>
      <c r="BX682" s="188" t="str">
        <f t="shared" si="289"/>
        <v xml:space="preserve"> </v>
      </c>
      <c r="BY682" s="50" t="str">
        <f t="shared" si="277"/>
        <v>CECILIA CREEK_Coho</v>
      </c>
      <c r="BZ682" s="50" t="str">
        <f>IFERROR(VLOOKUP(BY682,'[1]WCVI Esc'!$C$5:$W$555,18,FALSE),"-")</f>
        <v>-</v>
      </c>
      <c r="CA682" s="50" t="str">
        <f t="shared" si="290"/>
        <v>-</v>
      </c>
      <c r="CB682" s="50" t="str">
        <f>IFERROR(VLOOKUP(BY682,'[1]WCVI Esc'!$C$5:$W$555,19,FALSE),"-")</f>
        <v>-</v>
      </c>
      <c r="CC682" s="50" t="str">
        <f t="shared" si="291"/>
        <v>-</v>
      </c>
      <c r="CE682" s="342" t="str">
        <f t="shared" si="276"/>
        <v>CECILIA CREEK_Coho</v>
      </c>
      <c r="CF682" s="341" t="str">
        <f>IFERROR(VLOOKUP(BY682,'RawPL+D'!$O$8:$AB$503,12,FALSE),"-")</f>
        <v>-</v>
      </c>
      <c r="CG682" s="338" t="str">
        <f t="shared" si="292"/>
        <v>-</v>
      </c>
      <c r="CH682" s="341" t="str">
        <f>IFERROR(VLOOKUP(BY682,'RawPL+D'!$O$8:$AB$503,13,FALSE),"-")</f>
        <v>-</v>
      </c>
      <c r="CI682" s="338" t="str">
        <f t="shared" si="293"/>
        <v>-</v>
      </c>
    </row>
    <row r="683" spans="1:87" ht="12.75" hidden="1" customHeight="1" x14ac:dyDescent="0.2">
      <c r="A683" s="28">
        <v>4</v>
      </c>
      <c r="B683" s="28">
        <v>3</v>
      </c>
      <c r="C683" s="11">
        <v>24</v>
      </c>
      <c r="D683" s="13" t="s">
        <v>297</v>
      </c>
      <c r="E683" s="10" t="s">
        <v>117</v>
      </c>
      <c r="F683" s="10" t="s">
        <v>208</v>
      </c>
      <c r="G683" s="10"/>
      <c r="H683" s="10"/>
      <c r="I683" s="10"/>
      <c r="J683" s="10"/>
      <c r="K683" s="575"/>
      <c r="L683" s="152"/>
      <c r="M683" s="164"/>
      <c r="N683" s="62"/>
      <c r="O683" s="171"/>
      <c r="P683" s="177"/>
      <c r="Q683" s="62"/>
      <c r="R683" s="62"/>
      <c r="S683" s="62"/>
      <c r="T683" s="62"/>
      <c r="U683" s="64"/>
      <c r="V683" s="62"/>
      <c r="W683" s="62"/>
      <c r="X683" s="62"/>
      <c r="Y683" s="62"/>
      <c r="Z683" s="62"/>
      <c r="AA683" s="164"/>
      <c r="AB683" s="62"/>
      <c r="AC683" s="62"/>
      <c r="AD683" s="64"/>
      <c r="AE683" s="164"/>
      <c r="AF683" s="62"/>
      <c r="AG683" s="62"/>
      <c r="AH683" s="337"/>
      <c r="AI683" s="337"/>
      <c r="AJ683" s="337"/>
      <c r="AK683" s="337"/>
      <c r="AL683" s="412"/>
      <c r="AM683" s="414"/>
      <c r="AN683" s="45"/>
      <c r="AO683" s="45"/>
      <c r="AP683" s="45"/>
      <c r="AQ683" s="485"/>
      <c r="AR683" s="485"/>
      <c r="AS683" s="485"/>
      <c r="AT683" s="24"/>
      <c r="AU683" s="24"/>
      <c r="AV683" s="24"/>
      <c r="AW683" s="18">
        <v>24</v>
      </c>
      <c r="AX683" s="69" t="s">
        <v>297</v>
      </c>
      <c r="AY683" s="243" t="s">
        <v>117</v>
      </c>
      <c r="AZ683" s="243" t="str">
        <f t="shared" si="278"/>
        <v>Pink</v>
      </c>
      <c r="BA683" s="243" t="s">
        <v>419</v>
      </c>
      <c r="BB683" s="246"/>
      <c r="BC683" s="43" t="str">
        <f t="shared" si="279"/>
        <v>-</v>
      </c>
      <c r="BD683" s="43">
        <f t="shared" si="297"/>
        <v>0</v>
      </c>
      <c r="BE683" s="193">
        <f t="shared" si="295"/>
        <v>0</v>
      </c>
      <c r="BF683" s="193">
        <f t="shared" si="280"/>
        <v>0</v>
      </c>
      <c r="BG683" s="193">
        <f t="shared" si="281"/>
        <v>0</v>
      </c>
      <c r="BH683" s="307" t="str">
        <f t="shared" si="296"/>
        <v>-</v>
      </c>
      <c r="BI683" s="266"/>
      <c r="BJ683" s="26" t="str">
        <f t="shared" si="282"/>
        <v>CECILIA CREEKPink</v>
      </c>
      <c r="BK683" s="26">
        <f t="shared" si="283"/>
        <v>0</v>
      </c>
      <c r="BL683" s="33">
        <f t="shared" si="298"/>
        <v>0</v>
      </c>
      <c r="BQ683" s="47" t="str">
        <f t="shared" si="284"/>
        <v>CECILIA CREEKPink</v>
      </c>
      <c r="BR683" s="49">
        <f t="shared" si="285"/>
        <v>0</v>
      </c>
      <c r="BS683" s="49">
        <f t="shared" si="294"/>
        <v>0</v>
      </c>
      <c r="BT683" s="31">
        <v>0</v>
      </c>
      <c r="BU683" s="188">
        <f t="shared" si="286"/>
        <v>0</v>
      </c>
      <c r="BV683" s="188" t="str">
        <f t="shared" si="287"/>
        <v xml:space="preserve"> </v>
      </c>
      <c r="BW683" s="188" t="str">
        <f t="shared" si="288"/>
        <v xml:space="preserve"> </v>
      </c>
      <c r="BX683" s="188" t="str">
        <f t="shared" si="289"/>
        <v xml:space="preserve"> </v>
      </c>
      <c r="BY683" s="50" t="str">
        <f t="shared" si="277"/>
        <v>CECILIA CREEK_Pink</v>
      </c>
      <c r="BZ683" s="50" t="str">
        <f>IFERROR(VLOOKUP(BY683,'[1]WCVI Esc'!$C$5:$W$555,18,FALSE),"-")</f>
        <v>-</v>
      </c>
      <c r="CA683" s="50" t="str">
        <f t="shared" si="290"/>
        <v>-</v>
      </c>
      <c r="CB683" s="50" t="str">
        <f>IFERROR(VLOOKUP(BY683,'[1]WCVI Esc'!$C$5:$W$555,19,FALSE),"-")</f>
        <v>-</v>
      </c>
      <c r="CC683" s="50" t="str">
        <f t="shared" si="291"/>
        <v>-</v>
      </c>
      <c r="CE683" s="342" t="str">
        <f t="shared" si="276"/>
        <v>CECILIA CREEK_Pink</v>
      </c>
      <c r="CF683" s="341" t="str">
        <f>IFERROR(VLOOKUP(BY683,'RawPL+D'!$O$8:$AB$503,12,FALSE),"-")</f>
        <v>-</v>
      </c>
      <c r="CG683" s="338" t="str">
        <f t="shared" si="292"/>
        <v>-</v>
      </c>
      <c r="CH683" s="341" t="str">
        <f>IFERROR(VLOOKUP(BY683,'RawPL+D'!$O$8:$AB$503,13,FALSE),"-")</f>
        <v>-</v>
      </c>
      <c r="CI683" s="338" t="str">
        <f t="shared" si="293"/>
        <v>-</v>
      </c>
    </row>
    <row r="684" spans="1:87" ht="12.75" hidden="1" customHeight="1" x14ac:dyDescent="0.2">
      <c r="A684" s="28">
        <v>4</v>
      </c>
      <c r="B684" s="28">
        <v>4</v>
      </c>
      <c r="C684" s="11">
        <v>24</v>
      </c>
      <c r="D684" s="13" t="s">
        <v>297</v>
      </c>
      <c r="E684" s="10" t="s">
        <v>117</v>
      </c>
      <c r="F684" s="10" t="s">
        <v>209</v>
      </c>
      <c r="G684" s="10"/>
      <c r="H684" s="10"/>
      <c r="I684" s="10"/>
      <c r="J684" s="10"/>
      <c r="K684" s="575"/>
      <c r="L684" s="152"/>
      <c r="M684" s="164"/>
      <c r="N684" s="62"/>
      <c r="O684" s="171"/>
      <c r="P684" s="177"/>
      <c r="Q684" s="62"/>
      <c r="R684" s="62"/>
      <c r="S684" s="62"/>
      <c r="T684" s="62"/>
      <c r="U684" s="64"/>
      <c r="V684" s="62"/>
      <c r="W684" s="62"/>
      <c r="X684" s="62"/>
      <c r="Y684" s="62"/>
      <c r="Z684" s="62"/>
      <c r="AA684" s="164"/>
      <c r="AB684" s="62"/>
      <c r="AC684" s="62"/>
      <c r="AD684" s="64"/>
      <c r="AE684" s="164"/>
      <c r="AF684" s="62"/>
      <c r="AG684" s="62"/>
      <c r="AH684" s="337"/>
      <c r="AI684" s="337"/>
      <c r="AJ684" s="337"/>
      <c r="AK684" s="337"/>
      <c r="AL684" s="412"/>
      <c r="AM684" s="414"/>
      <c r="AN684" s="45"/>
      <c r="AO684" s="45"/>
      <c r="AP684" s="45"/>
      <c r="AQ684" s="485"/>
      <c r="AR684" s="485"/>
      <c r="AS684" s="485"/>
      <c r="AT684" s="24"/>
      <c r="AU684" s="24"/>
      <c r="AV684" s="24"/>
      <c r="AW684" s="18">
        <v>24</v>
      </c>
      <c r="AX684" s="69" t="s">
        <v>297</v>
      </c>
      <c r="AY684" s="243" t="s">
        <v>117</v>
      </c>
      <c r="AZ684" s="243" t="str">
        <f t="shared" si="278"/>
        <v>Chum</v>
      </c>
      <c r="BA684" s="243" t="s">
        <v>419</v>
      </c>
      <c r="BB684" s="246"/>
      <c r="BC684" s="43" t="str">
        <f t="shared" si="279"/>
        <v>-</v>
      </c>
      <c r="BD684" s="43">
        <f t="shared" si="297"/>
        <v>0</v>
      </c>
      <c r="BE684" s="193">
        <f t="shared" si="295"/>
        <v>0</v>
      </c>
      <c r="BF684" s="193">
        <f t="shared" si="280"/>
        <v>0</v>
      </c>
      <c r="BG684" s="193">
        <f t="shared" si="281"/>
        <v>0</v>
      </c>
      <c r="BH684" s="307" t="str">
        <f t="shared" si="296"/>
        <v>-</v>
      </c>
      <c r="BI684" s="266"/>
      <c r="BJ684" s="26" t="str">
        <f t="shared" si="282"/>
        <v>CECILIA CREEKChum</v>
      </c>
      <c r="BK684" s="26">
        <f t="shared" si="283"/>
        <v>0</v>
      </c>
      <c r="BL684" s="33">
        <f t="shared" si="298"/>
        <v>0</v>
      </c>
      <c r="BQ684" s="47" t="str">
        <f t="shared" si="284"/>
        <v>CECILIA CREEKChum</v>
      </c>
      <c r="BR684" s="49">
        <f t="shared" si="285"/>
        <v>0</v>
      </c>
      <c r="BS684" s="49">
        <f t="shared" si="294"/>
        <v>0</v>
      </c>
      <c r="BT684" s="31">
        <v>2001</v>
      </c>
      <c r="BU684" s="188">
        <f t="shared" si="286"/>
        <v>0</v>
      </c>
      <c r="BV684" s="188" t="str">
        <f t="shared" si="287"/>
        <v xml:space="preserve"> </v>
      </c>
      <c r="BW684" s="188" t="str">
        <f t="shared" si="288"/>
        <v xml:space="preserve"> </v>
      </c>
      <c r="BX684" s="188" t="str">
        <f t="shared" si="289"/>
        <v xml:space="preserve"> </v>
      </c>
      <c r="BY684" s="50" t="str">
        <f t="shared" si="277"/>
        <v>CECILIA CREEK_Chum</v>
      </c>
      <c r="BZ684" s="50" t="str">
        <f>IFERROR(VLOOKUP(BY684,'[1]WCVI Esc'!$C$5:$W$555,18,FALSE),"-")</f>
        <v>-</v>
      </c>
      <c r="CA684" s="50" t="str">
        <f t="shared" si="290"/>
        <v>-</v>
      </c>
      <c r="CB684" s="50" t="str">
        <f>IFERROR(VLOOKUP(BY684,'[1]WCVI Esc'!$C$5:$W$555,19,FALSE),"-")</f>
        <v>-</v>
      </c>
      <c r="CC684" s="50" t="str">
        <f t="shared" si="291"/>
        <v>-</v>
      </c>
      <c r="CE684" s="342" t="str">
        <f t="shared" si="276"/>
        <v>CECILIA CREEK_Chum</v>
      </c>
      <c r="CF684" s="341" t="str">
        <f>IFERROR(VLOOKUP(BY684,'RawPL+D'!$O$8:$AB$503,12,FALSE),"-")</f>
        <v>-</v>
      </c>
      <c r="CG684" s="338" t="str">
        <f t="shared" si="292"/>
        <v>-</v>
      </c>
      <c r="CH684" s="341" t="str">
        <f>IFERROR(VLOOKUP(BY684,'RawPL+D'!$O$8:$AB$503,13,FALSE),"-")</f>
        <v>-</v>
      </c>
      <c r="CI684" s="338" t="str">
        <f t="shared" si="293"/>
        <v>-</v>
      </c>
    </row>
    <row r="685" spans="1:87" ht="12.75" hidden="1" customHeight="1" x14ac:dyDescent="0.2">
      <c r="A685" s="28">
        <v>4</v>
      </c>
      <c r="B685" s="28">
        <v>5</v>
      </c>
      <c r="C685" s="11">
        <v>24</v>
      </c>
      <c r="D685" s="13" t="s">
        <v>297</v>
      </c>
      <c r="E685" s="10" t="s">
        <v>117</v>
      </c>
      <c r="F685" s="10" t="s">
        <v>210</v>
      </c>
      <c r="G685" s="10"/>
      <c r="H685" s="10"/>
      <c r="I685" s="10"/>
      <c r="J685" s="10"/>
      <c r="K685" s="575"/>
      <c r="L685" s="152"/>
      <c r="M685" s="164"/>
      <c r="N685" s="62"/>
      <c r="O685" s="171"/>
      <c r="P685" s="177"/>
      <c r="Q685" s="62"/>
      <c r="R685" s="62"/>
      <c r="S685" s="62"/>
      <c r="T685" s="62"/>
      <c r="U685" s="64"/>
      <c r="V685" s="62"/>
      <c r="W685" s="62"/>
      <c r="X685" s="62"/>
      <c r="Y685" s="62"/>
      <c r="Z685" s="62"/>
      <c r="AA685" s="164"/>
      <c r="AB685" s="62"/>
      <c r="AC685" s="62"/>
      <c r="AD685" s="64"/>
      <c r="AE685" s="164"/>
      <c r="AF685" s="62"/>
      <c r="AG685" s="62"/>
      <c r="AH685" s="337"/>
      <c r="AI685" s="337"/>
      <c r="AJ685" s="337"/>
      <c r="AK685" s="337"/>
      <c r="AL685" s="412"/>
      <c r="AM685" s="414"/>
      <c r="AN685" s="45"/>
      <c r="AO685" s="45"/>
      <c r="AP685" s="45"/>
      <c r="AQ685" s="485"/>
      <c r="AR685" s="485"/>
      <c r="AS685" s="485"/>
      <c r="AT685" s="24"/>
      <c r="AU685" s="24"/>
      <c r="AV685" s="24"/>
      <c r="AW685" s="18">
        <v>24</v>
      </c>
      <c r="AX685" s="69" t="s">
        <v>297</v>
      </c>
      <c r="AY685" s="243" t="s">
        <v>117</v>
      </c>
      <c r="AZ685" s="243" t="str">
        <f t="shared" si="278"/>
        <v>Chinook</v>
      </c>
      <c r="BA685" s="243" t="s">
        <v>419</v>
      </c>
      <c r="BB685" s="246"/>
      <c r="BC685" s="43" t="str">
        <f t="shared" si="279"/>
        <v>-</v>
      </c>
      <c r="BD685" s="43">
        <f t="shared" si="297"/>
        <v>0</v>
      </c>
      <c r="BE685" s="193">
        <f t="shared" si="295"/>
        <v>0</v>
      </c>
      <c r="BF685" s="193">
        <f t="shared" si="280"/>
        <v>0</v>
      </c>
      <c r="BG685" s="193">
        <f t="shared" si="281"/>
        <v>0</v>
      </c>
      <c r="BH685" s="307" t="str">
        <f t="shared" si="296"/>
        <v>-</v>
      </c>
      <c r="BI685" s="266"/>
      <c r="BJ685" s="26" t="str">
        <f t="shared" si="282"/>
        <v>CECILIA CREEKChinook</v>
      </c>
      <c r="BK685" s="26">
        <f t="shared" si="283"/>
        <v>0</v>
      </c>
      <c r="BL685" s="33">
        <f t="shared" si="298"/>
        <v>0</v>
      </c>
      <c r="BQ685" s="47" t="str">
        <f t="shared" si="284"/>
        <v>CECILIA CREEKChinook</v>
      </c>
      <c r="BR685" s="49">
        <f t="shared" si="285"/>
        <v>0</v>
      </c>
      <c r="BS685" s="49">
        <f t="shared" si="294"/>
        <v>0</v>
      </c>
      <c r="BT685" s="31">
        <v>0</v>
      </c>
      <c r="BU685" s="188">
        <f t="shared" si="286"/>
        <v>0</v>
      </c>
      <c r="BV685" s="188" t="str">
        <f t="shared" si="287"/>
        <v xml:space="preserve"> </v>
      </c>
      <c r="BW685" s="188" t="str">
        <f t="shared" si="288"/>
        <v xml:space="preserve"> </v>
      </c>
      <c r="BX685" s="188" t="str">
        <f t="shared" si="289"/>
        <v xml:space="preserve"> </v>
      </c>
      <c r="BY685" s="50" t="str">
        <f t="shared" si="277"/>
        <v>CECILIA CREEK_Chinook</v>
      </c>
      <c r="BZ685" s="50" t="str">
        <f>IFERROR(VLOOKUP(BY685,'[1]WCVI Esc'!$C$5:$W$555,18,FALSE),"-")</f>
        <v>-</v>
      </c>
      <c r="CA685" s="50" t="str">
        <f t="shared" si="290"/>
        <v>-</v>
      </c>
      <c r="CB685" s="50" t="str">
        <f>IFERROR(VLOOKUP(BY685,'[1]WCVI Esc'!$C$5:$W$555,19,FALSE),"-")</f>
        <v>-</v>
      </c>
      <c r="CC685" s="50" t="str">
        <f t="shared" si="291"/>
        <v>-</v>
      </c>
      <c r="CE685" s="342" t="str">
        <f t="shared" si="276"/>
        <v>CECILIA CREEK_Chinook</v>
      </c>
      <c r="CF685" s="341" t="str">
        <f>IFERROR(VLOOKUP(BY685,'RawPL+D'!$O$8:$AB$503,12,FALSE),"-")</f>
        <v>-</v>
      </c>
      <c r="CG685" s="338" t="str">
        <f t="shared" si="292"/>
        <v>-</v>
      </c>
      <c r="CH685" s="341" t="str">
        <f>IFERROR(VLOOKUP(BY685,'RawPL+D'!$O$8:$AB$503,13,FALSE),"-")</f>
        <v>-</v>
      </c>
      <c r="CI685" s="338" t="str">
        <f t="shared" si="293"/>
        <v>-</v>
      </c>
    </row>
    <row r="686" spans="1:87" ht="12.75" hidden="1" customHeight="1" x14ac:dyDescent="0.2">
      <c r="A686" s="28">
        <v>4</v>
      </c>
      <c r="B686" s="28">
        <v>6</v>
      </c>
      <c r="C686" s="11">
        <v>24</v>
      </c>
      <c r="D686" s="13" t="s">
        <v>297</v>
      </c>
      <c r="E686" s="10" t="s">
        <v>117</v>
      </c>
      <c r="F686" s="10" t="s">
        <v>211</v>
      </c>
      <c r="G686" s="10"/>
      <c r="H686" s="10"/>
      <c r="I686" s="10"/>
      <c r="J686" s="10"/>
      <c r="K686" s="575"/>
      <c r="L686" s="152"/>
      <c r="M686" s="164"/>
      <c r="N686" s="62"/>
      <c r="O686" s="171"/>
      <c r="P686" s="177"/>
      <c r="Q686" s="62"/>
      <c r="R686" s="62"/>
      <c r="S686" s="62"/>
      <c r="T686" s="62"/>
      <c r="U686" s="64"/>
      <c r="V686" s="62"/>
      <c r="W686" s="62"/>
      <c r="X686" s="62"/>
      <c r="Y686" s="62"/>
      <c r="Z686" s="62"/>
      <c r="AA686" s="164"/>
      <c r="AB686" s="62"/>
      <c r="AC686" s="62"/>
      <c r="AD686" s="64"/>
      <c r="AE686" s="164"/>
      <c r="AF686" s="62"/>
      <c r="AG686" s="62"/>
      <c r="AH686" s="337"/>
      <c r="AI686" s="337"/>
      <c r="AJ686" s="337"/>
      <c r="AK686" s="337"/>
      <c r="AL686" s="412"/>
      <c r="AM686" s="414"/>
      <c r="AN686" s="45"/>
      <c r="AO686" s="45"/>
      <c r="AP686" s="45"/>
      <c r="AQ686" s="485"/>
      <c r="AR686" s="485"/>
      <c r="AS686" s="485"/>
      <c r="AT686" s="24"/>
      <c r="AU686" s="24"/>
      <c r="AV686" s="24"/>
      <c r="AW686" s="18">
        <v>24</v>
      </c>
      <c r="AX686" s="69" t="s">
        <v>297</v>
      </c>
      <c r="AY686" s="243" t="s">
        <v>117</v>
      </c>
      <c r="AZ686" s="243" t="str">
        <f t="shared" si="278"/>
        <v>Steelhead</v>
      </c>
      <c r="BA686" s="243" t="s">
        <v>419</v>
      </c>
      <c r="BB686" s="246"/>
      <c r="BC686" s="43" t="str">
        <f t="shared" si="279"/>
        <v>-</v>
      </c>
      <c r="BD686" s="43">
        <f t="shared" si="297"/>
        <v>0</v>
      </c>
      <c r="BE686" s="193">
        <f t="shared" si="295"/>
        <v>0</v>
      </c>
      <c r="BF686" s="193">
        <f t="shared" si="280"/>
        <v>0</v>
      </c>
      <c r="BG686" s="193">
        <f t="shared" si="281"/>
        <v>0</v>
      </c>
      <c r="BH686" s="307" t="str">
        <f t="shared" si="296"/>
        <v>-</v>
      </c>
      <c r="BI686" s="266"/>
      <c r="BJ686" s="26" t="str">
        <f t="shared" si="282"/>
        <v>CECILIA CREEKSteelhead</v>
      </c>
      <c r="BK686" s="26">
        <f t="shared" si="283"/>
        <v>0</v>
      </c>
      <c r="BL686" s="33">
        <f t="shared" si="298"/>
        <v>0</v>
      </c>
      <c r="BQ686" s="47" t="str">
        <f t="shared" si="284"/>
        <v>CECILIA CREEKSteelhead</v>
      </c>
      <c r="BR686" s="49">
        <f t="shared" si="285"/>
        <v>0</v>
      </c>
      <c r="BS686" s="49">
        <f t="shared" si="294"/>
        <v>0</v>
      </c>
      <c r="BT686" s="31">
        <v>0</v>
      </c>
      <c r="BU686" s="188">
        <f t="shared" si="286"/>
        <v>0</v>
      </c>
      <c r="BV686" s="188" t="str">
        <f t="shared" si="287"/>
        <v xml:space="preserve"> </v>
      </c>
      <c r="BW686" s="188" t="str">
        <f t="shared" si="288"/>
        <v xml:space="preserve"> </v>
      </c>
      <c r="BX686" s="188" t="str">
        <f t="shared" si="289"/>
        <v xml:space="preserve"> </v>
      </c>
      <c r="BY686" s="50" t="str">
        <f t="shared" si="277"/>
        <v>CECILIA CREEK_Steelhead</v>
      </c>
      <c r="BZ686" s="50" t="str">
        <f>IFERROR(VLOOKUP(BY686,'[1]WCVI Esc'!$C$5:$W$555,18,FALSE),"-")</f>
        <v>-</v>
      </c>
      <c r="CA686" s="50" t="str">
        <f t="shared" si="290"/>
        <v>-</v>
      </c>
      <c r="CB686" s="50" t="str">
        <f>IFERROR(VLOOKUP(BY686,'[1]WCVI Esc'!$C$5:$W$555,19,FALSE),"-")</f>
        <v>-</v>
      </c>
      <c r="CC686" s="50" t="str">
        <f t="shared" si="291"/>
        <v>-</v>
      </c>
      <c r="CE686" s="342" t="str">
        <f t="shared" si="276"/>
        <v>CECILIA CREEK_Steelhead</v>
      </c>
      <c r="CF686" s="341" t="str">
        <f>IFERROR(VLOOKUP(BY686,'RawPL+D'!$O$8:$AB$503,12,FALSE),"-")</f>
        <v>-</v>
      </c>
      <c r="CG686" s="338" t="str">
        <f t="shared" si="292"/>
        <v>-</v>
      </c>
      <c r="CH686" s="341" t="str">
        <f>IFERROR(VLOOKUP(BY686,'RawPL+D'!$O$8:$AB$503,13,FALSE),"-")</f>
        <v>-</v>
      </c>
      <c r="CI686" s="338" t="str">
        <f t="shared" si="293"/>
        <v>-</v>
      </c>
    </row>
    <row r="687" spans="1:87" ht="12.75" hidden="1" customHeight="1" x14ac:dyDescent="0.2">
      <c r="A687" s="28">
        <v>4</v>
      </c>
      <c r="B687" s="28">
        <v>1</v>
      </c>
      <c r="C687" s="11">
        <v>24</v>
      </c>
      <c r="D687" s="13" t="s">
        <v>297</v>
      </c>
      <c r="E687" s="10" t="s">
        <v>192</v>
      </c>
      <c r="F687" s="10" t="s">
        <v>207</v>
      </c>
      <c r="G687" s="10"/>
      <c r="H687" s="10"/>
      <c r="I687" s="10"/>
      <c r="J687" s="10"/>
      <c r="K687" s="575"/>
      <c r="L687" s="152"/>
      <c r="M687" s="164"/>
      <c r="N687" s="62"/>
      <c r="O687" s="62"/>
      <c r="P687" s="177"/>
      <c r="Q687" s="171"/>
      <c r="R687" s="62"/>
      <c r="S687" s="62"/>
      <c r="T687" s="62"/>
      <c r="U687" s="64"/>
      <c r="V687" s="164"/>
      <c r="W687" s="62"/>
      <c r="X687" s="62"/>
      <c r="Y687" s="62"/>
      <c r="Z687" s="64"/>
      <c r="AA687" s="164"/>
      <c r="AB687" s="62"/>
      <c r="AC687" s="62"/>
      <c r="AD687" s="64"/>
      <c r="AE687" s="164"/>
      <c r="AF687" s="62"/>
      <c r="AG687" s="62"/>
      <c r="AH687" s="337"/>
      <c r="AI687" s="337"/>
      <c r="AJ687" s="337"/>
      <c r="AK687" s="337"/>
      <c r="AL687" s="412"/>
      <c r="AM687" s="414"/>
      <c r="AN687" s="45"/>
      <c r="AO687" s="45"/>
      <c r="AP687" s="45"/>
      <c r="AQ687" s="485"/>
      <c r="AR687" s="485"/>
      <c r="AS687" s="485"/>
      <c r="AT687" s="24"/>
      <c r="AU687" s="24"/>
      <c r="AV687" s="24"/>
      <c r="AW687" s="18">
        <v>24</v>
      </c>
      <c r="AX687" s="69" t="s">
        <v>297</v>
      </c>
      <c r="AY687" s="243" t="s">
        <v>192</v>
      </c>
      <c r="AZ687" s="243" t="str">
        <f t="shared" si="278"/>
        <v>Sockeye</v>
      </c>
      <c r="BA687" s="243" t="s">
        <v>419</v>
      </c>
      <c r="BB687" s="246"/>
      <c r="BC687" s="43" t="str">
        <f t="shared" si="279"/>
        <v>-</v>
      </c>
      <c r="BD687" s="43">
        <f t="shared" si="297"/>
        <v>0</v>
      </c>
      <c r="BE687" s="193">
        <f t="shared" si="295"/>
        <v>0</v>
      </c>
      <c r="BF687" s="193">
        <f t="shared" si="280"/>
        <v>0</v>
      </c>
      <c r="BG687" s="193">
        <f t="shared" si="281"/>
        <v>0</v>
      </c>
      <c r="BH687" s="307" t="str">
        <f t="shared" si="296"/>
        <v>-</v>
      </c>
      <c r="BI687" s="266"/>
      <c r="BJ687" s="26" t="str">
        <f t="shared" si="282"/>
        <v>COTTER CREEKSockeye</v>
      </c>
      <c r="BK687" s="26">
        <f t="shared" si="283"/>
        <v>0</v>
      </c>
      <c r="BL687" s="33">
        <f t="shared" si="298"/>
        <v>0</v>
      </c>
      <c r="BQ687" s="47" t="str">
        <f t="shared" si="284"/>
        <v>COTTER CREEKSockeye</v>
      </c>
      <c r="BR687" s="49">
        <f t="shared" si="285"/>
        <v>0</v>
      </c>
      <c r="BS687" s="49">
        <f t="shared" si="294"/>
        <v>0</v>
      </c>
      <c r="BT687" s="31">
        <v>0</v>
      </c>
      <c r="BU687" s="188">
        <f t="shared" si="286"/>
        <v>0</v>
      </c>
      <c r="BV687" s="188" t="str">
        <f t="shared" si="287"/>
        <v xml:space="preserve"> </v>
      </c>
      <c r="BW687" s="188" t="str">
        <f t="shared" si="288"/>
        <v xml:space="preserve"> </v>
      </c>
      <c r="BX687" s="188" t="str">
        <f t="shared" si="289"/>
        <v xml:space="preserve"> </v>
      </c>
      <c r="BY687" s="50" t="str">
        <f t="shared" si="277"/>
        <v>COTTER CREEK_Sockeye</v>
      </c>
      <c r="BZ687" s="50" t="str">
        <f>IFERROR(VLOOKUP(BY687,'[1]WCVI Esc'!$C$5:$W$555,18,FALSE),"-")</f>
        <v>-</v>
      </c>
      <c r="CA687" s="50" t="str">
        <f t="shared" si="290"/>
        <v>-</v>
      </c>
      <c r="CB687" s="50" t="str">
        <f>IFERROR(VLOOKUP(BY687,'[1]WCVI Esc'!$C$5:$W$555,19,FALSE),"-")</f>
        <v>-</v>
      </c>
      <c r="CC687" s="50" t="str">
        <f t="shared" si="291"/>
        <v>-</v>
      </c>
      <c r="CE687" s="342" t="str">
        <f t="shared" si="276"/>
        <v>COTTER CREEK_Sockeye</v>
      </c>
      <c r="CF687" s="341" t="str">
        <f>IFERROR(VLOOKUP(BY687,'RawPL+D'!$O$8:$AB$503,12,FALSE),"-")</f>
        <v>-</v>
      </c>
      <c r="CG687" s="338" t="str">
        <f t="shared" si="292"/>
        <v>-</v>
      </c>
      <c r="CH687" s="341" t="str">
        <f>IFERROR(VLOOKUP(BY687,'RawPL+D'!$O$8:$AB$503,13,FALSE),"-")</f>
        <v>-</v>
      </c>
      <c r="CI687" s="338" t="str">
        <f t="shared" si="293"/>
        <v>-</v>
      </c>
    </row>
    <row r="688" spans="1:87" ht="12.75" hidden="1" customHeight="1" x14ac:dyDescent="0.2">
      <c r="A688" s="28">
        <v>4</v>
      </c>
      <c r="B688" s="28">
        <v>2</v>
      </c>
      <c r="C688" s="11">
        <v>24</v>
      </c>
      <c r="D688" s="13" t="s">
        <v>297</v>
      </c>
      <c r="E688" s="10" t="s">
        <v>192</v>
      </c>
      <c r="F688" s="10" t="s">
        <v>219</v>
      </c>
      <c r="G688" s="10"/>
      <c r="H688" s="10"/>
      <c r="I688" s="10"/>
      <c r="J688" s="10"/>
      <c r="K688" s="575"/>
      <c r="L688" s="152"/>
      <c r="M688" s="164"/>
      <c r="N688" s="62"/>
      <c r="O688" s="62"/>
      <c r="P688" s="177"/>
      <c r="Q688" s="171"/>
      <c r="R688" s="62"/>
      <c r="S688" s="62"/>
      <c r="T688" s="62"/>
      <c r="U688" s="64"/>
      <c r="V688" s="164"/>
      <c r="W688" s="62"/>
      <c r="X688" s="62"/>
      <c r="Y688" s="62"/>
      <c r="Z688" s="64"/>
      <c r="AA688" s="164"/>
      <c r="AB688" s="62"/>
      <c r="AC688" s="62"/>
      <c r="AD688" s="64"/>
      <c r="AE688" s="164"/>
      <c r="AF688" s="62"/>
      <c r="AG688" s="62"/>
      <c r="AH688" s="337"/>
      <c r="AI688" s="337"/>
      <c r="AJ688" s="337"/>
      <c r="AK688" s="337"/>
      <c r="AL688" s="412"/>
      <c r="AM688" s="414"/>
      <c r="AN688" s="45"/>
      <c r="AO688" s="45"/>
      <c r="AP688" s="45"/>
      <c r="AQ688" s="485"/>
      <c r="AR688" s="485"/>
      <c r="AS688" s="485"/>
      <c r="AT688" s="24"/>
      <c r="AU688" s="24"/>
      <c r="AV688" s="24"/>
      <c r="AW688" s="18">
        <v>24</v>
      </c>
      <c r="AX688" s="69" t="s">
        <v>297</v>
      </c>
      <c r="AY688" s="243" t="s">
        <v>192</v>
      </c>
      <c r="AZ688" s="243" t="str">
        <f t="shared" si="278"/>
        <v>Coho</v>
      </c>
      <c r="BA688" s="243" t="s">
        <v>419</v>
      </c>
      <c r="BB688" s="246"/>
      <c r="BC688" s="43" t="str">
        <f t="shared" si="279"/>
        <v>-</v>
      </c>
      <c r="BD688" s="43">
        <f t="shared" si="297"/>
        <v>0</v>
      </c>
      <c r="BE688" s="193">
        <f t="shared" si="295"/>
        <v>0</v>
      </c>
      <c r="BF688" s="193">
        <f t="shared" si="280"/>
        <v>0</v>
      </c>
      <c r="BG688" s="193">
        <f t="shared" si="281"/>
        <v>0</v>
      </c>
      <c r="BH688" s="307" t="str">
        <f t="shared" si="296"/>
        <v>-</v>
      </c>
      <c r="BI688" s="266"/>
      <c r="BJ688" s="26" t="str">
        <f t="shared" si="282"/>
        <v>COTTER CREEKCoho</v>
      </c>
      <c r="BK688" s="26">
        <f t="shared" si="283"/>
        <v>0</v>
      </c>
      <c r="BL688" s="33">
        <f t="shared" si="298"/>
        <v>0</v>
      </c>
      <c r="BQ688" s="47" t="str">
        <f t="shared" si="284"/>
        <v>COTTER CREEKCoho</v>
      </c>
      <c r="BR688" s="49">
        <f t="shared" si="285"/>
        <v>0</v>
      </c>
      <c r="BS688" s="49">
        <f t="shared" si="294"/>
        <v>0</v>
      </c>
      <c r="BT688" s="31">
        <v>0</v>
      </c>
      <c r="BU688" s="188">
        <f t="shared" si="286"/>
        <v>0</v>
      </c>
      <c r="BV688" s="188" t="str">
        <f t="shared" si="287"/>
        <v xml:space="preserve"> </v>
      </c>
      <c r="BW688" s="188" t="str">
        <f t="shared" si="288"/>
        <v xml:space="preserve"> </v>
      </c>
      <c r="BX688" s="188" t="str">
        <f t="shared" si="289"/>
        <v xml:space="preserve"> </v>
      </c>
      <c r="BY688" s="50" t="str">
        <f t="shared" si="277"/>
        <v>COTTER CREEK_Coho</v>
      </c>
      <c r="BZ688" s="50" t="str">
        <f>IFERROR(VLOOKUP(BY688,'[1]WCVI Esc'!$C$5:$W$555,18,FALSE),"-")</f>
        <v>-</v>
      </c>
      <c r="CA688" s="50" t="str">
        <f t="shared" si="290"/>
        <v>-</v>
      </c>
      <c r="CB688" s="50" t="str">
        <f>IFERROR(VLOOKUP(BY688,'[1]WCVI Esc'!$C$5:$W$555,19,FALSE),"-")</f>
        <v>-</v>
      </c>
      <c r="CC688" s="50" t="str">
        <f t="shared" si="291"/>
        <v>-</v>
      </c>
      <c r="CE688" s="342" t="str">
        <f t="shared" si="276"/>
        <v>COTTER CREEK_Coho</v>
      </c>
      <c r="CF688" s="341" t="str">
        <f>IFERROR(VLOOKUP(BY688,'RawPL+D'!$O$8:$AB$503,12,FALSE),"-")</f>
        <v>-</v>
      </c>
      <c r="CG688" s="338" t="str">
        <f t="shared" si="292"/>
        <v>-</v>
      </c>
      <c r="CH688" s="341" t="str">
        <f>IFERROR(VLOOKUP(BY688,'RawPL+D'!$O$8:$AB$503,13,FALSE),"-")</f>
        <v>-</v>
      </c>
      <c r="CI688" s="338" t="str">
        <f t="shared" si="293"/>
        <v>-</v>
      </c>
    </row>
    <row r="689" spans="1:87" ht="12.75" hidden="1" customHeight="1" x14ac:dyDescent="0.2">
      <c r="A689" s="28">
        <v>4</v>
      </c>
      <c r="B689" s="28">
        <v>3</v>
      </c>
      <c r="C689" s="11">
        <v>24</v>
      </c>
      <c r="D689" s="13" t="s">
        <v>297</v>
      </c>
      <c r="E689" s="10" t="s">
        <v>192</v>
      </c>
      <c r="F689" s="10" t="s">
        <v>208</v>
      </c>
      <c r="G689" s="10"/>
      <c r="H689" s="10"/>
      <c r="I689" s="10"/>
      <c r="J689" s="10"/>
      <c r="K689" s="575"/>
      <c r="L689" s="152"/>
      <c r="M689" s="164"/>
      <c r="N689" s="62"/>
      <c r="O689" s="62"/>
      <c r="P689" s="177"/>
      <c r="Q689" s="171"/>
      <c r="R689" s="62"/>
      <c r="S689" s="62"/>
      <c r="T689" s="62"/>
      <c r="U689" s="64"/>
      <c r="V689" s="164"/>
      <c r="W689" s="62"/>
      <c r="X689" s="62"/>
      <c r="Y689" s="62"/>
      <c r="Z689" s="64"/>
      <c r="AA689" s="164"/>
      <c r="AB689" s="62"/>
      <c r="AC689" s="62"/>
      <c r="AD689" s="64"/>
      <c r="AE689" s="164"/>
      <c r="AF689" s="62"/>
      <c r="AG689" s="62"/>
      <c r="AH689" s="337"/>
      <c r="AI689" s="337"/>
      <c r="AJ689" s="337"/>
      <c r="AK689" s="337"/>
      <c r="AL689" s="412"/>
      <c r="AM689" s="414"/>
      <c r="AN689" s="45"/>
      <c r="AO689" s="45"/>
      <c r="AP689" s="45"/>
      <c r="AQ689" s="485"/>
      <c r="AR689" s="485"/>
      <c r="AS689" s="485"/>
      <c r="AT689" s="24"/>
      <c r="AU689" s="24"/>
      <c r="AV689" s="24"/>
      <c r="AW689" s="18">
        <v>24</v>
      </c>
      <c r="AX689" s="69" t="s">
        <v>297</v>
      </c>
      <c r="AY689" s="243" t="s">
        <v>192</v>
      </c>
      <c r="AZ689" s="243" t="str">
        <f t="shared" si="278"/>
        <v>Pink</v>
      </c>
      <c r="BA689" s="243" t="s">
        <v>419</v>
      </c>
      <c r="BB689" s="246"/>
      <c r="BC689" s="43" t="str">
        <f t="shared" si="279"/>
        <v>-</v>
      </c>
      <c r="BD689" s="43">
        <f t="shared" si="297"/>
        <v>0</v>
      </c>
      <c r="BE689" s="193">
        <f t="shared" si="295"/>
        <v>0</v>
      </c>
      <c r="BF689" s="193">
        <f t="shared" si="280"/>
        <v>0</v>
      </c>
      <c r="BG689" s="193">
        <f t="shared" si="281"/>
        <v>0</v>
      </c>
      <c r="BH689" s="307" t="str">
        <f t="shared" si="296"/>
        <v>-</v>
      </c>
      <c r="BI689" s="266"/>
      <c r="BJ689" s="26" t="str">
        <f t="shared" si="282"/>
        <v>COTTER CREEKPink</v>
      </c>
      <c r="BK689" s="26">
        <f t="shared" si="283"/>
        <v>0</v>
      </c>
      <c r="BL689" s="33">
        <f t="shared" si="298"/>
        <v>0</v>
      </c>
      <c r="BQ689" s="47" t="str">
        <f t="shared" si="284"/>
        <v>COTTER CREEKPink</v>
      </c>
      <c r="BR689" s="49">
        <f t="shared" si="285"/>
        <v>0</v>
      </c>
      <c r="BS689" s="49">
        <f t="shared" si="294"/>
        <v>0</v>
      </c>
      <c r="BT689" s="31">
        <v>0</v>
      </c>
      <c r="BU689" s="188">
        <f t="shared" si="286"/>
        <v>0</v>
      </c>
      <c r="BV689" s="188" t="str">
        <f t="shared" si="287"/>
        <v xml:space="preserve"> </v>
      </c>
      <c r="BW689" s="188" t="str">
        <f t="shared" si="288"/>
        <v xml:space="preserve"> </v>
      </c>
      <c r="BX689" s="188" t="str">
        <f t="shared" si="289"/>
        <v xml:space="preserve"> </v>
      </c>
      <c r="BY689" s="50" t="str">
        <f t="shared" si="277"/>
        <v>COTTER CREEK_Pink</v>
      </c>
      <c r="BZ689" s="50" t="str">
        <f>IFERROR(VLOOKUP(BY689,'[1]WCVI Esc'!$C$5:$W$555,18,FALSE),"-")</f>
        <v>-</v>
      </c>
      <c r="CA689" s="50" t="str">
        <f t="shared" si="290"/>
        <v>-</v>
      </c>
      <c r="CB689" s="50" t="str">
        <f>IFERROR(VLOOKUP(BY689,'[1]WCVI Esc'!$C$5:$W$555,19,FALSE),"-")</f>
        <v>-</v>
      </c>
      <c r="CC689" s="50" t="str">
        <f t="shared" si="291"/>
        <v>-</v>
      </c>
      <c r="CE689" s="342" t="str">
        <f t="shared" si="276"/>
        <v>COTTER CREEK_Pink</v>
      </c>
      <c r="CF689" s="341" t="str">
        <f>IFERROR(VLOOKUP(BY689,'RawPL+D'!$O$8:$AB$503,12,FALSE),"-")</f>
        <v>-</v>
      </c>
      <c r="CG689" s="338" t="str">
        <f t="shared" si="292"/>
        <v>-</v>
      </c>
      <c r="CH689" s="341" t="str">
        <f>IFERROR(VLOOKUP(BY689,'RawPL+D'!$O$8:$AB$503,13,FALSE),"-")</f>
        <v>-</v>
      </c>
      <c r="CI689" s="338" t="str">
        <f t="shared" si="293"/>
        <v>-</v>
      </c>
    </row>
    <row r="690" spans="1:87" ht="12.75" hidden="1" customHeight="1" x14ac:dyDescent="0.2">
      <c r="A690" s="28">
        <v>4</v>
      </c>
      <c r="B690" s="28">
        <v>4</v>
      </c>
      <c r="C690" s="11">
        <v>24</v>
      </c>
      <c r="D690" s="13" t="s">
        <v>297</v>
      </c>
      <c r="E690" s="10" t="s">
        <v>192</v>
      </c>
      <c r="F690" s="10" t="s">
        <v>209</v>
      </c>
      <c r="G690" s="10"/>
      <c r="H690" s="10"/>
      <c r="I690" s="10"/>
      <c r="J690" s="10"/>
      <c r="K690" s="575"/>
      <c r="L690" s="152"/>
      <c r="M690" s="164"/>
      <c r="N690" s="62"/>
      <c r="O690" s="62"/>
      <c r="P690" s="177"/>
      <c r="Q690" s="171"/>
      <c r="R690" s="62"/>
      <c r="S690" s="62"/>
      <c r="T690" s="62"/>
      <c r="U690" s="64"/>
      <c r="V690" s="164"/>
      <c r="W690" s="62"/>
      <c r="X690" s="62"/>
      <c r="Y690" s="62"/>
      <c r="Z690" s="64"/>
      <c r="AA690" s="164"/>
      <c r="AB690" s="62"/>
      <c r="AC690" s="62"/>
      <c r="AD690" s="64"/>
      <c r="AE690" s="164"/>
      <c r="AF690" s="62"/>
      <c r="AG690" s="62"/>
      <c r="AH690" s="337"/>
      <c r="AI690" s="337"/>
      <c r="AJ690" s="337"/>
      <c r="AK690" s="337"/>
      <c r="AL690" s="412"/>
      <c r="AM690" s="414"/>
      <c r="AN690" s="45"/>
      <c r="AO690" s="45"/>
      <c r="AP690" s="45"/>
      <c r="AQ690" s="485"/>
      <c r="AR690" s="485"/>
      <c r="AS690" s="485"/>
      <c r="AT690" s="24"/>
      <c r="AU690" s="24"/>
      <c r="AV690" s="24"/>
      <c r="AW690" s="18">
        <v>24</v>
      </c>
      <c r="AX690" s="69" t="s">
        <v>297</v>
      </c>
      <c r="AY690" s="243" t="s">
        <v>192</v>
      </c>
      <c r="AZ690" s="243" t="str">
        <f t="shared" si="278"/>
        <v>Chum</v>
      </c>
      <c r="BA690" s="243" t="s">
        <v>419</v>
      </c>
      <c r="BB690" s="246"/>
      <c r="BC690" s="43" t="str">
        <f t="shared" si="279"/>
        <v>-</v>
      </c>
      <c r="BD690" s="43">
        <f t="shared" si="297"/>
        <v>0</v>
      </c>
      <c r="BE690" s="193">
        <f t="shared" si="295"/>
        <v>0</v>
      </c>
      <c r="BF690" s="193">
        <f t="shared" si="280"/>
        <v>0</v>
      </c>
      <c r="BG690" s="193">
        <f t="shared" si="281"/>
        <v>0</v>
      </c>
      <c r="BH690" s="307" t="str">
        <f t="shared" si="296"/>
        <v>-</v>
      </c>
      <c r="BI690" s="266"/>
      <c r="BJ690" s="26" t="str">
        <f t="shared" si="282"/>
        <v>COTTER CREEKChum</v>
      </c>
      <c r="BK690" s="26">
        <f t="shared" si="283"/>
        <v>0</v>
      </c>
      <c r="BL690" s="33">
        <f t="shared" si="298"/>
        <v>0</v>
      </c>
      <c r="BQ690" s="47" t="str">
        <f t="shared" si="284"/>
        <v>COTTER CREEKChum</v>
      </c>
      <c r="BR690" s="49">
        <f t="shared" si="285"/>
        <v>0</v>
      </c>
      <c r="BS690" s="49">
        <f t="shared" si="294"/>
        <v>0</v>
      </c>
      <c r="BT690" s="31">
        <v>0</v>
      </c>
      <c r="BU690" s="188">
        <f t="shared" si="286"/>
        <v>0</v>
      </c>
      <c r="BV690" s="188" t="str">
        <f t="shared" si="287"/>
        <v xml:space="preserve"> </v>
      </c>
      <c r="BW690" s="188" t="str">
        <f t="shared" si="288"/>
        <v xml:space="preserve"> </v>
      </c>
      <c r="BX690" s="188" t="str">
        <f t="shared" si="289"/>
        <v xml:space="preserve"> </v>
      </c>
      <c r="BY690" s="50" t="str">
        <f t="shared" si="277"/>
        <v>COTTER CREEK_Chum</v>
      </c>
      <c r="BZ690" s="50" t="str">
        <f>IFERROR(VLOOKUP(BY690,'[1]WCVI Esc'!$C$5:$W$555,18,FALSE),"-")</f>
        <v>-</v>
      </c>
      <c r="CA690" s="50" t="str">
        <f t="shared" si="290"/>
        <v>-</v>
      </c>
      <c r="CB690" s="50" t="str">
        <f>IFERROR(VLOOKUP(BY690,'[1]WCVI Esc'!$C$5:$W$555,19,FALSE),"-")</f>
        <v>-</v>
      </c>
      <c r="CC690" s="50" t="str">
        <f t="shared" si="291"/>
        <v>-</v>
      </c>
      <c r="CE690" s="342" t="str">
        <f t="shared" si="276"/>
        <v>COTTER CREEK_Chum</v>
      </c>
      <c r="CF690" s="341" t="str">
        <f>IFERROR(VLOOKUP(BY690,'RawPL+D'!$O$8:$AB$503,12,FALSE),"-")</f>
        <v>-</v>
      </c>
      <c r="CG690" s="338" t="str">
        <f t="shared" si="292"/>
        <v>-</v>
      </c>
      <c r="CH690" s="341" t="str">
        <f>IFERROR(VLOOKUP(BY690,'RawPL+D'!$O$8:$AB$503,13,FALSE),"-")</f>
        <v>-</v>
      </c>
      <c r="CI690" s="338" t="str">
        <f t="shared" si="293"/>
        <v>-</v>
      </c>
    </row>
    <row r="691" spans="1:87" ht="12.75" hidden="1" customHeight="1" x14ac:dyDescent="0.2">
      <c r="A691" s="28">
        <v>4</v>
      </c>
      <c r="B691" s="28">
        <v>5</v>
      </c>
      <c r="C691" s="11">
        <v>24</v>
      </c>
      <c r="D691" s="13" t="s">
        <v>297</v>
      </c>
      <c r="E691" s="10" t="s">
        <v>192</v>
      </c>
      <c r="F691" s="10" t="s">
        <v>210</v>
      </c>
      <c r="G691" s="10"/>
      <c r="H691" s="10"/>
      <c r="I691" s="10"/>
      <c r="J691" s="10"/>
      <c r="K691" s="575"/>
      <c r="L691" s="152"/>
      <c r="M691" s="164"/>
      <c r="N691" s="62"/>
      <c r="O691" s="62"/>
      <c r="P691" s="177"/>
      <c r="Q691" s="171"/>
      <c r="R691" s="62"/>
      <c r="S691" s="62"/>
      <c r="T691" s="62"/>
      <c r="U691" s="64"/>
      <c r="V691" s="164"/>
      <c r="W691" s="62"/>
      <c r="X691" s="62"/>
      <c r="Y691" s="62"/>
      <c r="Z691" s="64"/>
      <c r="AA691" s="164"/>
      <c r="AB691" s="62"/>
      <c r="AC691" s="62"/>
      <c r="AD691" s="64"/>
      <c r="AE691" s="164"/>
      <c r="AF691" s="62"/>
      <c r="AG691" s="62"/>
      <c r="AH691" s="337"/>
      <c r="AI691" s="337"/>
      <c r="AJ691" s="337"/>
      <c r="AK691" s="337"/>
      <c r="AL691" s="412"/>
      <c r="AM691" s="414"/>
      <c r="AN691" s="45"/>
      <c r="AO691" s="45"/>
      <c r="AP691" s="45"/>
      <c r="AQ691" s="485"/>
      <c r="AR691" s="485"/>
      <c r="AS691" s="485"/>
      <c r="AT691" s="24"/>
      <c r="AU691" s="24"/>
      <c r="AV691" s="24"/>
      <c r="AW691" s="18">
        <v>24</v>
      </c>
      <c r="AX691" s="69" t="s">
        <v>297</v>
      </c>
      <c r="AY691" s="243" t="s">
        <v>192</v>
      </c>
      <c r="AZ691" s="243" t="str">
        <f t="shared" si="278"/>
        <v>Chinook</v>
      </c>
      <c r="BA691" s="243" t="s">
        <v>419</v>
      </c>
      <c r="BB691" s="246"/>
      <c r="BC691" s="43" t="str">
        <f t="shared" si="279"/>
        <v>-</v>
      </c>
      <c r="BD691" s="43">
        <f t="shared" si="297"/>
        <v>0</v>
      </c>
      <c r="BE691" s="193">
        <f t="shared" si="295"/>
        <v>0</v>
      </c>
      <c r="BF691" s="193">
        <f t="shared" si="280"/>
        <v>0</v>
      </c>
      <c r="BG691" s="193">
        <f t="shared" si="281"/>
        <v>0</v>
      </c>
      <c r="BH691" s="307" t="str">
        <f t="shared" si="296"/>
        <v>-</v>
      </c>
      <c r="BI691" s="266"/>
      <c r="BJ691" s="26" t="str">
        <f t="shared" si="282"/>
        <v>COTTER CREEKChinook</v>
      </c>
      <c r="BK691" s="26">
        <f t="shared" si="283"/>
        <v>0</v>
      </c>
      <c r="BL691" s="33">
        <f t="shared" si="298"/>
        <v>0</v>
      </c>
      <c r="BQ691" s="47" t="str">
        <f t="shared" si="284"/>
        <v>COTTER CREEKChinook</v>
      </c>
      <c r="BR691" s="49">
        <f t="shared" si="285"/>
        <v>0</v>
      </c>
      <c r="BS691" s="49">
        <f t="shared" si="294"/>
        <v>0</v>
      </c>
      <c r="BT691" s="31">
        <v>0</v>
      </c>
      <c r="BU691" s="188">
        <f t="shared" si="286"/>
        <v>0</v>
      </c>
      <c r="BV691" s="188" t="str">
        <f t="shared" si="287"/>
        <v xml:space="preserve"> </v>
      </c>
      <c r="BW691" s="188" t="str">
        <f t="shared" si="288"/>
        <v xml:space="preserve"> </v>
      </c>
      <c r="BX691" s="188" t="str">
        <f t="shared" si="289"/>
        <v xml:space="preserve"> </v>
      </c>
      <c r="BY691" s="50" t="str">
        <f t="shared" si="277"/>
        <v>COTTER CREEK_Chinook</v>
      </c>
      <c r="BZ691" s="50" t="str">
        <f>IFERROR(VLOOKUP(BY691,'[1]WCVI Esc'!$C$5:$W$555,18,FALSE),"-")</f>
        <v>-</v>
      </c>
      <c r="CA691" s="50" t="str">
        <f t="shared" si="290"/>
        <v>-</v>
      </c>
      <c r="CB691" s="50" t="str">
        <f>IFERROR(VLOOKUP(BY691,'[1]WCVI Esc'!$C$5:$W$555,19,FALSE),"-")</f>
        <v>-</v>
      </c>
      <c r="CC691" s="50" t="str">
        <f t="shared" si="291"/>
        <v>-</v>
      </c>
      <c r="CE691" s="342" t="str">
        <f t="shared" si="276"/>
        <v>COTTER CREEK_Chinook</v>
      </c>
      <c r="CF691" s="341" t="str">
        <f>IFERROR(VLOOKUP(BY691,'RawPL+D'!$O$8:$AB$503,12,FALSE),"-")</f>
        <v>-</v>
      </c>
      <c r="CG691" s="338" t="str">
        <f t="shared" si="292"/>
        <v>-</v>
      </c>
      <c r="CH691" s="341" t="str">
        <f>IFERROR(VLOOKUP(BY691,'RawPL+D'!$O$8:$AB$503,13,FALSE),"-")</f>
        <v>-</v>
      </c>
      <c r="CI691" s="338" t="str">
        <f t="shared" si="293"/>
        <v>-</v>
      </c>
    </row>
    <row r="692" spans="1:87" ht="12.75" hidden="1" customHeight="1" x14ac:dyDescent="0.2">
      <c r="A692" s="28">
        <v>4</v>
      </c>
      <c r="B692" s="28">
        <v>6</v>
      </c>
      <c r="C692" s="11">
        <v>24</v>
      </c>
      <c r="D692" s="13" t="s">
        <v>297</v>
      </c>
      <c r="E692" s="10" t="s">
        <v>192</v>
      </c>
      <c r="F692" s="10" t="s">
        <v>211</v>
      </c>
      <c r="G692" s="10"/>
      <c r="H692" s="10"/>
      <c r="I692" s="10"/>
      <c r="J692" s="10"/>
      <c r="K692" s="575"/>
      <c r="L692" s="152"/>
      <c r="M692" s="164"/>
      <c r="N692" s="62"/>
      <c r="O692" s="62"/>
      <c r="P692" s="177"/>
      <c r="Q692" s="171"/>
      <c r="R692" s="62"/>
      <c r="S692" s="62"/>
      <c r="T692" s="62"/>
      <c r="U692" s="64"/>
      <c r="V692" s="164"/>
      <c r="W692" s="62"/>
      <c r="X692" s="62"/>
      <c r="Y692" s="62"/>
      <c r="Z692" s="64"/>
      <c r="AA692" s="164"/>
      <c r="AB692" s="62"/>
      <c r="AC692" s="62"/>
      <c r="AD692" s="64"/>
      <c r="AE692" s="164"/>
      <c r="AF692" s="62"/>
      <c r="AG692" s="62"/>
      <c r="AH692" s="337"/>
      <c r="AI692" s="337"/>
      <c r="AJ692" s="337"/>
      <c r="AK692" s="337"/>
      <c r="AL692" s="412"/>
      <c r="AM692" s="414"/>
      <c r="AN692" s="45"/>
      <c r="AO692" s="45"/>
      <c r="AP692" s="45"/>
      <c r="AQ692" s="485"/>
      <c r="AR692" s="485"/>
      <c r="AS692" s="485"/>
      <c r="AT692" s="24"/>
      <c r="AU692" s="24"/>
      <c r="AV692" s="24"/>
      <c r="AW692" s="18">
        <v>24</v>
      </c>
      <c r="AX692" s="69" t="s">
        <v>297</v>
      </c>
      <c r="AY692" s="243" t="s">
        <v>192</v>
      </c>
      <c r="AZ692" s="243" t="str">
        <f t="shared" si="278"/>
        <v>Steelhead</v>
      </c>
      <c r="BA692" s="243" t="s">
        <v>419</v>
      </c>
      <c r="BB692" s="246"/>
      <c r="BC692" s="43" t="str">
        <f t="shared" si="279"/>
        <v>-</v>
      </c>
      <c r="BD692" s="43">
        <f t="shared" si="297"/>
        <v>0</v>
      </c>
      <c r="BE692" s="193">
        <f t="shared" si="295"/>
        <v>0</v>
      </c>
      <c r="BF692" s="193">
        <f t="shared" si="280"/>
        <v>0</v>
      </c>
      <c r="BG692" s="193">
        <f t="shared" si="281"/>
        <v>0</v>
      </c>
      <c r="BH692" s="307" t="str">
        <f t="shared" si="296"/>
        <v>-</v>
      </c>
      <c r="BI692" s="266"/>
      <c r="BJ692" s="26" t="str">
        <f t="shared" si="282"/>
        <v>COTTER CREEKSteelhead</v>
      </c>
      <c r="BK692" s="26">
        <f t="shared" si="283"/>
        <v>0</v>
      </c>
      <c r="BL692" s="33">
        <f t="shared" si="298"/>
        <v>0</v>
      </c>
      <c r="BQ692" s="47" t="str">
        <f t="shared" si="284"/>
        <v>COTTER CREEKSteelhead</v>
      </c>
      <c r="BR692" s="49">
        <f t="shared" si="285"/>
        <v>0</v>
      </c>
      <c r="BS692" s="49">
        <f t="shared" si="294"/>
        <v>0</v>
      </c>
      <c r="BT692" s="31">
        <v>0</v>
      </c>
      <c r="BU692" s="188">
        <f t="shared" si="286"/>
        <v>0</v>
      </c>
      <c r="BV692" s="188" t="str">
        <f t="shared" si="287"/>
        <v xml:space="preserve"> </v>
      </c>
      <c r="BW692" s="188" t="str">
        <f t="shared" si="288"/>
        <v xml:space="preserve"> </v>
      </c>
      <c r="BX692" s="188" t="str">
        <f t="shared" si="289"/>
        <v xml:space="preserve"> </v>
      </c>
      <c r="BY692" s="50" t="str">
        <f t="shared" si="277"/>
        <v>COTTER CREEK_Steelhead</v>
      </c>
      <c r="BZ692" s="50" t="str">
        <f>IFERROR(VLOOKUP(BY692,'[1]WCVI Esc'!$C$5:$W$555,18,FALSE),"-")</f>
        <v>-</v>
      </c>
      <c r="CA692" s="50" t="str">
        <f t="shared" si="290"/>
        <v>-</v>
      </c>
      <c r="CB692" s="50" t="str">
        <f>IFERROR(VLOOKUP(BY692,'[1]WCVI Esc'!$C$5:$W$555,19,FALSE),"-")</f>
        <v>-</v>
      </c>
      <c r="CC692" s="50" t="str">
        <f t="shared" si="291"/>
        <v>-</v>
      </c>
      <c r="CE692" s="342" t="str">
        <f t="shared" si="276"/>
        <v>COTTER CREEK_Steelhead</v>
      </c>
      <c r="CF692" s="341" t="str">
        <f>IFERROR(VLOOKUP(BY692,'RawPL+D'!$O$8:$AB$503,12,FALSE),"-")</f>
        <v>-</v>
      </c>
      <c r="CG692" s="338" t="str">
        <f t="shared" si="292"/>
        <v>-</v>
      </c>
      <c r="CH692" s="341" t="str">
        <f>IFERROR(VLOOKUP(BY692,'RawPL+D'!$O$8:$AB$503,13,FALSE),"-")</f>
        <v>-</v>
      </c>
      <c r="CI692" s="338" t="str">
        <f t="shared" si="293"/>
        <v>-</v>
      </c>
    </row>
    <row r="693" spans="1:87" ht="12.75" hidden="1" customHeight="1" x14ac:dyDescent="0.2">
      <c r="A693" s="28">
        <v>4</v>
      </c>
      <c r="B693" s="28">
        <v>1</v>
      </c>
      <c r="C693" s="11">
        <v>24</v>
      </c>
      <c r="D693" s="13" t="s">
        <v>297</v>
      </c>
      <c r="E693" s="10" t="s">
        <v>193</v>
      </c>
      <c r="F693" s="10" t="s">
        <v>207</v>
      </c>
      <c r="G693" s="10"/>
      <c r="H693" s="10"/>
      <c r="I693" s="10"/>
      <c r="J693" s="10"/>
      <c r="K693" s="575"/>
      <c r="L693" s="152"/>
      <c r="M693" s="164"/>
      <c r="N693" s="62"/>
      <c r="O693" s="62"/>
      <c r="P693" s="177"/>
      <c r="Q693" s="171"/>
      <c r="R693" s="62"/>
      <c r="S693" s="62"/>
      <c r="T693" s="62"/>
      <c r="U693" s="64"/>
      <c r="V693" s="164"/>
      <c r="W693" s="62"/>
      <c r="X693" s="62"/>
      <c r="Y693" s="62"/>
      <c r="Z693" s="64"/>
      <c r="AA693" s="164"/>
      <c r="AB693" s="62"/>
      <c r="AC693" s="62"/>
      <c r="AD693" s="64"/>
      <c r="AE693" s="164"/>
      <c r="AF693" s="62"/>
      <c r="AG693" s="62"/>
      <c r="AH693" s="337"/>
      <c r="AI693" s="337"/>
      <c r="AJ693" s="337"/>
      <c r="AK693" s="337"/>
      <c r="AL693" s="555"/>
      <c r="AM693" s="552"/>
      <c r="AN693" s="45"/>
      <c r="AO693" s="45"/>
      <c r="AP693" s="45"/>
      <c r="AQ693" s="485"/>
      <c r="AR693" s="485"/>
      <c r="AS693" s="485"/>
      <c r="AT693" s="24"/>
      <c r="AU693" s="24"/>
      <c r="AV693" s="24"/>
      <c r="AW693" s="18">
        <v>24</v>
      </c>
      <c r="AX693" s="69" t="s">
        <v>297</v>
      </c>
      <c r="AY693" s="243" t="s">
        <v>193</v>
      </c>
      <c r="AZ693" s="243" t="str">
        <f t="shared" si="278"/>
        <v>Sockeye</v>
      </c>
      <c r="BA693" s="243" t="s">
        <v>419</v>
      </c>
      <c r="BB693" s="244" t="s">
        <v>691</v>
      </c>
      <c r="BC693" s="43" t="str">
        <f t="shared" si="279"/>
        <v>-</v>
      </c>
      <c r="BD693" s="43">
        <f t="shared" si="297"/>
        <v>0</v>
      </c>
      <c r="BE693" s="193">
        <f t="shared" si="295"/>
        <v>0</v>
      </c>
      <c r="BF693" s="193">
        <f t="shared" si="280"/>
        <v>0</v>
      </c>
      <c r="BG693" s="193">
        <f t="shared" si="281"/>
        <v>0</v>
      </c>
      <c r="BH693" s="307" t="str">
        <f t="shared" si="296"/>
        <v>-</v>
      </c>
      <c r="BI693" s="266"/>
      <c r="BJ693" s="26" t="str">
        <f t="shared" si="282"/>
        <v>COW CREEKSockeye</v>
      </c>
      <c r="BK693" s="26">
        <f t="shared" si="283"/>
        <v>0</v>
      </c>
      <c r="BL693" s="33">
        <f t="shared" si="298"/>
        <v>0</v>
      </c>
      <c r="BQ693" s="47" t="str">
        <f t="shared" si="284"/>
        <v>COW CREEKSockeye</v>
      </c>
      <c r="BR693" s="49">
        <f t="shared" si="285"/>
        <v>0</v>
      </c>
      <c r="BS693" s="49">
        <f t="shared" si="294"/>
        <v>0</v>
      </c>
      <c r="BT693" s="31">
        <v>0</v>
      </c>
      <c r="BU693" s="188" t="str">
        <f t="shared" si="286"/>
        <v>Homesteader</v>
      </c>
      <c r="BV693" s="188" t="str">
        <f t="shared" si="287"/>
        <v xml:space="preserve"> </v>
      </c>
      <c r="BW693" s="188" t="str">
        <f t="shared" si="288"/>
        <v xml:space="preserve"> </v>
      </c>
      <c r="BX693" s="188" t="str">
        <f t="shared" si="289"/>
        <v xml:space="preserve"> </v>
      </c>
      <c r="BY693" s="50" t="str">
        <f t="shared" si="277"/>
        <v>COW CREEK_Sockeye</v>
      </c>
      <c r="BZ693" s="50" t="str">
        <f>IFERROR(VLOOKUP(BY693,'[1]WCVI Esc'!$C$5:$W$555,18,FALSE),"-")</f>
        <v>-</v>
      </c>
      <c r="CA693" s="50" t="str">
        <f t="shared" si="290"/>
        <v>-</v>
      </c>
      <c r="CB693" s="50" t="str">
        <f>IFERROR(VLOOKUP(BY693,'[1]WCVI Esc'!$C$5:$W$555,19,FALSE),"-")</f>
        <v>-</v>
      </c>
      <c r="CC693" s="50" t="str">
        <f t="shared" si="291"/>
        <v>-</v>
      </c>
      <c r="CE693" s="342" t="str">
        <f t="shared" si="276"/>
        <v>COW CREEK_Sockeye</v>
      </c>
      <c r="CF693" s="341" t="str">
        <f>IFERROR(VLOOKUP(BY693,'RawPL+D'!$O$8:$AB$503,12,FALSE),"-")</f>
        <v>-</v>
      </c>
      <c r="CG693" s="338" t="str">
        <f t="shared" si="292"/>
        <v>-</v>
      </c>
      <c r="CH693" s="341" t="str">
        <f>IFERROR(VLOOKUP(BY693,'RawPL+D'!$O$8:$AB$503,13,FALSE),"-")</f>
        <v>-</v>
      </c>
      <c r="CI693" s="338" t="str">
        <f t="shared" si="293"/>
        <v>-</v>
      </c>
    </row>
    <row r="694" spans="1:87" ht="12.75" hidden="1" customHeight="1" x14ac:dyDescent="0.2">
      <c r="A694" s="28">
        <v>4</v>
      </c>
      <c r="B694" s="28">
        <v>2</v>
      </c>
      <c r="C694" s="11">
        <v>24</v>
      </c>
      <c r="D694" s="13" t="s">
        <v>297</v>
      </c>
      <c r="E694" s="10" t="s">
        <v>193</v>
      </c>
      <c r="F694" s="10" t="s">
        <v>219</v>
      </c>
      <c r="G694" s="10"/>
      <c r="H694" s="10"/>
      <c r="I694" s="10"/>
      <c r="J694" s="10"/>
      <c r="K694" s="575"/>
      <c r="L694" s="152"/>
      <c r="M694" s="164"/>
      <c r="N694" s="62"/>
      <c r="O694" s="62"/>
      <c r="P694" s="177"/>
      <c r="Q694" s="171"/>
      <c r="R694" s="62"/>
      <c r="S694" s="62"/>
      <c r="T694" s="62"/>
      <c r="U694" s="64"/>
      <c r="V694" s="164"/>
      <c r="W694" s="62"/>
      <c r="X694" s="62"/>
      <c r="Y694" s="62"/>
      <c r="Z694" s="64"/>
      <c r="AA694" s="164"/>
      <c r="AB694" s="62"/>
      <c r="AC694" s="62"/>
      <c r="AD694" s="64"/>
      <c r="AE694" s="164"/>
      <c r="AF694" s="62"/>
      <c r="AG694" s="62"/>
      <c r="AH694" s="337"/>
      <c r="AI694" s="337"/>
      <c r="AJ694" s="337"/>
      <c r="AK694" s="337"/>
      <c r="AL694" s="555"/>
      <c r="AM694" s="552"/>
      <c r="AN694" s="552"/>
      <c r="AO694" s="45"/>
      <c r="AP694" s="45"/>
      <c r="AQ694" s="485">
        <f>AL694/BI694</f>
        <v>0</v>
      </c>
      <c r="AR694" s="485">
        <f>BL694/BI694</f>
        <v>0</v>
      </c>
      <c r="AS694" s="485"/>
      <c r="AT694" s="24"/>
      <c r="AU694" s="24"/>
      <c r="AV694" s="24"/>
      <c r="AW694" s="18">
        <v>24</v>
      </c>
      <c r="AX694" s="69" t="s">
        <v>297</v>
      </c>
      <c r="AY694" s="243" t="s">
        <v>193</v>
      </c>
      <c r="AZ694" s="243" t="str">
        <f t="shared" si="278"/>
        <v>Coho</v>
      </c>
      <c r="BA694" s="243" t="s">
        <v>419</v>
      </c>
      <c r="BB694" s="244" t="s">
        <v>691</v>
      </c>
      <c r="BC694" s="43" t="str">
        <f t="shared" si="279"/>
        <v>-</v>
      </c>
      <c r="BD694" s="43">
        <f t="shared" si="297"/>
        <v>0</v>
      </c>
      <c r="BE694" s="193">
        <f t="shared" si="295"/>
        <v>0</v>
      </c>
      <c r="BF694" s="193">
        <f t="shared" si="280"/>
        <v>0</v>
      </c>
      <c r="BG694" s="193">
        <f t="shared" si="281"/>
        <v>0</v>
      </c>
      <c r="BH694" s="307">
        <f t="shared" si="296"/>
        <v>30</v>
      </c>
      <c r="BI694" s="265">
        <f>CC694</f>
        <v>70</v>
      </c>
      <c r="BJ694" s="26" t="str">
        <f t="shared" si="282"/>
        <v>COW CREEKCoho</v>
      </c>
      <c r="BK694" s="26">
        <f t="shared" si="283"/>
        <v>0</v>
      </c>
      <c r="BL694" s="33">
        <f t="shared" si="298"/>
        <v>0</v>
      </c>
      <c r="BQ694" s="47" t="str">
        <f t="shared" si="284"/>
        <v>COW CREEKCoho</v>
      </c>
      <c r="BR694" s="49">
        <f t="shared" si="285"/>
        <v>0</v>
      </c>
      <c r="BS694" s="49">
        <f t="shared" si="294"/>
        <v>0</v>
      </c>
      <c r="BT694" s="31">
        <v>2013</v>
      </c>
      <c r="BU694" s="188" t="str">
        <f t="shared" si="286"/>
        <v>Homesteader</v>
      </c>
      <c r="BV694" s="188" t="str">
        <f t="shared" si="287"/>
        <v xml:space="preserve"> </v>
      </c>
      <c r="BW694" s="188" t="str">
        <f t="shared" si="288"/>
        <v xml:space="preserve"> </v>
      </c>
      <c r="BX694" s="188" t="str">
        <f t="shared" si="289"/>
        <v xml:space="preserve"> </v>
      </c>
      <c r="BY694" s="50" t="str">
        <f t="shared" si="277"/>
        <v>COW CREEK_Coho</v>
      </c>
      <c r="BZ694" s="50">
        <f>IFERROR(VLOOKUP(BY694,'[1]WCVI Esc'!$C$5:$W$555,18,FALSE),"-")</f>
        <v>28</v>
      </c>
      <c r="CA694" s="50">
        <f t="shared" si="290"/>
        <v>30</v>
      </c>
      <c r="CB694" s="50">
        <f>IFERROR(VLOOKUP(BY694,'[1]WCVI Esc'!$C$5:$W$555,19,FALSE),"-")</f>
        <v>70.8</v>
      </c>
      <c r="CC694" s="50">
        <f t="shared" si="291"/>
        <v>70</v>
      </c>
      <c r="CE694" s="342" t="str">
        <f t="shared" si="276"/>
        <v>COW CREEK_Coho</v>
      </c>
      <c r="CF694" s="341">
        <f>IFERROR(VLOOKUP(BY694,'RawPL+D'!$O$8:$AB$503,12,FALSE),"-")</f>
        <v>26</v>
      </c>
      <c r="CG694" s="338">
        <f t="shared" si="292"/>
        <v>30</v>
      </c>
      <c r="CH694" s="341">
        <f>IFERROR(VLOOKUP(BY694,'RawPL+D'!$O$8:$AB$503,13,FALSE),"-")</f>
        <v>26</v>
      </c>
      <c r="CI694" s="338">
        <f t="shared" si="293"/>
        <v>30</v>
      </c>
    </row>
    <row r="695" spans="1:87" ht="12.75" hidden="1" customHeight="1" x14ac:dyDescent="0.2">
      <c r="A695" s="28">
        <v>4</v>
      </c>
      <c r="B695" s="28">
        <v>3</v>
      </c>
      <c r="C695" s="11">
        <v>24</v>
      </c>
      <c r="D695" s="13" t="s">
        <v>297</v>
      </c>
      <c r="E695" s="10" t="s">
        <v>193</v>
      </c>
      <c r="F695" s="10" t="s">
        <v>208</v>
      </c>
      <c r="G695" s="10"/>
      <c r="H695" s="10"/>
      <c r="I695" s="10"/>
      <c r="J695" s="10"/>
      <c r="K695" s="575"/>
      <c r="L695" s="152"/>
      <c r="M695" s="164"/>
      <c r="N695" s="62"/>
      <c r="O695" s="62"/>
      <c r="P695" s="177"/>
      <c r="Q695" s="171"/>
      <c r="R695" s="62"/>
      <c r="S695" s="62"/>
      <c r="T695" s="62"/>
      <c r="U695" s="64"/>
      <c r="V695" s="164"/>
      <c r="W695" s="62"/>
      <c r="X695" s="62"/>
      <c r="Y695" s="62"/>
      <c r="Z695" s="64"/>
      <c r="AA695" s="164"/>
      <c r="AB695" s="62"/>
      <c r="AC695" s="62"/>
      <c r="AD695" s="64"/>
      <c r="AE695" s="164"/>
      <c r="AF695" s="62"/>
      <c r="AG695" s="62"/>
      <c r="AH695" s="337"/>
      <c r="AI695" s="337"/>
      <c r="AJ695" s="337"/>
      <c r="AK695" s="337"/>
      <c r="AL695" s="555"/>
      <c r="AM695" s="552"/>
      <c r="AN695" s="45"/>
      <c r="AO695" s="45"/>
      <c r="AP695" s="45"/>
      <c r="AQ695" s="485"/>
      <c r="AR695" s="485"/>
      <c r="AS695" s="485"/>
      <c r="AT695" s="24"/>
      <c r="AU695" s="24"/>
      <c r="AV695" s="24"/>
      <c r="AW695" s="18">
        <v>24</v>
      </c>
      <c r="AX695" s="69" t="s">
        <v>297</v>
      </c>
      <c r="AY695" s="243" t="s">
        <v>193</v>
      </c>
      <c r="AZ695" s="243" t="str">
        <f t="shared" si="278"/>
        <v>Pink</v>
      </c>
      <c r="BA695" s="243" t="s">
        <v>419</v>
      </c>
      <c r="BB695" s="244" t="s">
        <v>691</v>
      </c>
      <c r="BC695" s="43" t="str">
        <f t="shared" si="279"/>
        <v>-</v>
      </c>
      <c r="BD695" s="43">
        <f t="shared" si="297"/>
        <v>0</v>
      </c>
      <c r="BE695" s="193">
        <f t="shared" si="295"/>
        <v>0</v>
      </c>
      <c r="BF695" s="193">
        <f t="shared" si="280"/>
        <v>0</v>
      </c>
      <c r="BG695" s="193">
        <f t="shared" si="281"/>
        <v>0</v>
      </c>
      <c r="BH695" s="307" t="str">
        <f t="shared" si="296"/>
        <v>-</v>
      </c>
      <c r="BI695" s="266"/>
      <c r="BJ695" s="26" t="str">
        <f t="shared" si="282"/>
        <v>COW CREEKPink</v>
      </c>
      <c r="BK695" s="26">
        <f t="shared" si="283"/>
        <v>0</v>
      </c>
      <c r="BL695" s="33">
        <f t="shared" si="298"/>
        <v>0</v>
      </c>
      <c r="BQ695" s="47" t="str">
        <f t="shared" si="284"/>
        <v>COW CREEKPink</v>
      </c>
      <c r="BR695" s="49">
        <f t="shared" si="285"/>
        <v>0</v>
      </c>
      <c r="BS695" s="49">
        <f t="shared" si="294"/>
        <v>0</v>
      </c>
      <c r="BT695" s="31">
        <v>0</v>
      </c>
      <c r="BU695" s="188" t="str">
        <f t="shared" si="286"/>
        <v>Homesteader</v>
      </c>
      <c r="BV695" s="188" t="str">
        <f t="shared" si="287"/>
        <v xml:space="preserve"> </v>
      </c>
      <c r="BW695" s="188" t="str">
        <f t="shared" si="288"/>
        <v xml:space="preserve"> </v>
      </c>
      <c r="BX695" s="188" t="str">
        <f t="shared" si="289"/>
        <v xml:space="preserve"> </v>
      </c>
      <c r="BY695" s="50" t="str">
        <f t="shared" si="277"/>
        <v>COW CREEK_Pink</v>
      </c>
      <c r="BZ695" s="50" t="str">
        <f>IFERROR(VLOOKUP(BY695,'[1]WCVI Esc'!$C$5:$W$555,18,FALSE),"-")</f>
        <v>-</v>
      </c>
      <c r="CA695" s="50" t="str">
        <f t="shared" si="290"/>
        <v>-</v>
      </c>
      <c r="CB695" s="50" t="str">
        <f>IFERROR(VLOOKUP(BY695,'[1]WCVI Esc'!$C$5:$W$555,19,FALSE),"-")</f>
        <v>-</v>
      </c>
      <c r="CC695" s="50" t="str">
        <f t="shared" si="291"/>
        <v>-</v>
      </c>
      <c r="CE695" s="342" t="str">
        <f t="shared" si="276"/>
        <v>COW CREEK_Pink</v>
      </c>
      <c r="CF695" s="341" t="str">
        <f>IFERROR(VLOOKUP(BY695,'RawPL+D'!$O$8:$AB$503,12,FALSE),"-")</f>
        <v>-</v>
      </c>
      <c r="CG695" s="338" t="str">
        <f t="shared" si="292"/>
        <v>-</v>
      </c>
      <c r="CH695" s="341" t="str">
        <f>IFERROR(VLOOKUP(BY695,'RawPL+D'!$O$8:$AB$503,13,FALSE),"-")</f>
        <v>-</v>
      </c>
      <c r="CI695" s="338" t="str">
        <f t="shared" si="293"/>
        <v>-</v>
      </c>
    </row>
    <row r="696" spans="1:87" ht="12.75" hidden="1" customHeight="1" x14ac:dyDescent="0.2">
      <c r="A696" s="28">
        <v>4</v>
      </c>
      <c r="B696" s="28">
        <v>4</v>
      </c>
      <c r="C696" s="11">
        <v>24</v>
      </c>
      <c r="D696" s="13" t="s">
        <v>297</v>
      </c>
      <c r="E696" s="10" t="s">
        <v>193</v>
      </c>
      <c r="F696" s="10" t="s">
        <v>209</v>
      </c>
      <c r="G696" s="10"/>
      <c r="H696" s="10"/>
      <c r="I696" s="10"/>
      <c r="J696" s="10"/>
      <c r="K696" s="575"/>
      <c r="L696" s="152"/>
      <c r="M696" s="164"/>
      <c r="N696" s="62"/>
      <c r="O696" s="62"/>
      <c r="P696" s="177"/>
      <c r="Q696" s="171"/>
      <c r="R696" s="62"/>
      <c r="S696" s="62"/>
      <c r="T696" s="62"/>
      <c r="U696" s="64"/>
      <c r="V696" s="164"/>
      <c r="W696" s="62"/>
      <c r="X696" s="62"/>
      <c r="Y696" s="62"/>
      <c r="Z696" s="64"/>
      <c r="AA696" s="164"/>
      <c r="AB696" s="62"/>
      <c r="AC696" s="62"/>
      <c r="AD696" s="64"/>
      <c r="AE696" s="164"/>
      <c r="AF696" s="62"/>
      <c r="AG696" s="62"/>
      <c r="AH696" s="337"/>
      <c r="AI696" s="337"/>
      <c r="AJ696" s="337"/>
      <c r="AK696" s="337"/>
      <c r="AL696" s="555"/>
      <c r="AM696" s="552"/>
      <c r="AN696" s="839"/>
      <c r="AO696" s="45"/>
      <c r="AP696" s="45"/>
      <c r="AQ696" s="485">
        <f>AL696/BI696</f>
        <v>0</v>
      </c>
      <c r="AR696" s="485">
        <f>BL696/BI696</f>
        <v>0</v>
      </c>
      <c r="AS696" s="485"/>
      <c r="AT696" s="24"/>
      <c r="AU696" s="24"/>
      <c r="AV696" s="24"/>
      <c r="AW696" s="18">
        <v>24</v>
      </c>
      <c r="AX696" s="69" t="s">
        <v>297</v>
      </c>
      <c r="AY696" s="243" t="s">
        <v>193</v>
      </c>
      <c r="AZ696" s="243" t="str">
        <f t="shared" si="278"/>
        <v>Chum</v>
      </c>
      <c r="BA696" s="243" t="s">
        <v>419</v>
      </c>
      <c r="BB696" s="244" t="s">
        <v>691</v>
      </c>
      <c r="BC696" s="43" t="str">
        <f t="shared" si="279"/>
        <v>-</v>
      </c>
      <c r="BD696" s="43">
        <f t="shared" si="297"/>
        <v>0</v>
      </c>
      <c r="BE696" s="193">
        <f t="shared" si="295"/>
        <v>0</v>
      </c>
      <c r="BF696" s="193">
        <f t="shared" si="280"/>
        <v>0</v>
      </c>
      <c r="BG696" s="193">
        <f t="shared" si="281"/>
        <v>0</v>
      </c>
      <c r="BH696" s="307">
        <f t="shared" si="296"/>
        <v>10</v>
      </c>
      <c r="BI696" s="265">
        <f>CC696</f>
        <v>40</v>
      </c>
      <c r="BJ696" s="26" t="str">
        <f t="shared" si="282"/>
        <v>COW CREEKChum</v>
      </c>
      <c r="BK696" s="26">
        <f t="shared" si="283"/>
        <v>0</v>
      </c>
      <c r="BL696" s="33">
        <f t="shared" si="298"/>
        <v>0</v>
      </c>
      <c r="BQ696" s="47" t="str">
        <f t="shared" si="284"/>
        <v>COW CREEKChum</v>
      </c>
      <c r="BR696" s="49">
        <f t="shared" si="285"/>
        <v>0</v>
      </c>
      <c r="BS696" s="49">
        <f t="shared" si="294"/>
        <v>0</v>
      </c>
      <c r="BT696" s="31">
        <v>2013</v>
      </c>
      <c r="BU696" s="188" t="str">
        <f t="shared" si="286"/>
        <v>Homesteader</v>
      </c>
      <c r="BV696" s="188" t="str">
        <f t="shared" si="287"/>
        <v xml:space="preserve"> </v>
      </c>
      <c r="BW696" s="188" t="str">
        <f t="shared" si="288"/>
        <v xml:space="preserve"> </v>
      </c>
      <c r="BX696" s="188" t="str">
        <f t="shared" si="289"/>
        <v xml:space="preserve"> </v>
      </c>
      <c r="BY696" s="50" t="str">
        <f t="shared" si="277"/>
        <v>COW CREEK_Chum</v>
      </c>
      <c r="BZ696" s="50">
        <f>IFERROR(VLOOKUP(BY696,'[1]WCVI Esc'!$C$5:$W$555,18,FALSE),"-")</f>
        <v>9</v>
      </c>
      <c r="CA696" s="50">
        <f t="shared" si="290"/>
        <v>10</v>
      </c>
      <c r="CB696" s="50">
        <f>IFERROR(VLOOKUP(BY696,'[1]WCVI Esc'!$C$5:$W$555,19,FALSE),"-")</f>
        <v>35.4</v>
      </c>
      <c r="CC696" s="50">
        <f t="shared" si="291"/>
        <v>40</v>
      </c>
      <c r="CE696" s="342" t="str">
        <f t="shared" ref="CE696:CE759" si="299">CONCATENATE(E696,"_",F696)</f>
        <v>COW CREEK_Chum</v>
      </c>
      <c r="CF696" s="341">
        <f>IFERROR(VLOOKUP(BY696,'RawPL+D'!$O$8:$AB$503,12,FALSE),"-")</f>
        <v>8</v>
      </c>
      <c r="CG696" s="338">
        <f t="shared" si="292"/>
        <v>10</v>
      </c>
      <c r="CH696" s="341">
        <f>IFERROR(VLOOKUP(BY696,'RawPL+D'!$O$8:$AB$503,13,FALSE),"-")</f>
        <v>8</v>
      </c>
      <c r="CI696" s="338">
        <f t="shared" si="293"/>
        <v>10</v>
      </c>
    </row>
    <row r="697" spans="1:87" ht="12.75" hidden="1" customHeight="1" x14ac:dyDescent="0.2">
      <c r="A697" s="28">
        <v>4</v>
      </c>
      <c r="B697" s="28">
        <v>5</v>
      </c>
      <c r="C697" s="11">
        <v>24</v>
      </c>
      <c r="D697" s="13" t="s">
        <v>297</v>
      </c>
      <c r="E697" s="10" t="s">
        <v>193</v>
      </c>
      <c r="F697" s="10" t="s">
        <v>210</v>
      </c>
      <c r="G697" s="10"/>
      <c r="H697" s="10"/>
      <c r="I697" s="10"/>
      <c r="J697" s="10"/>
      <c r="K697" s="575"/>
      <c r="L697" s="152"/>
      <c r="M697" s="164"/>
      <c r="N697" s="62"/>
      <c r="O697" s="62"/>
      <c r="P697" s="177"/>
      <c r="Q697" s="171"/>
      <c r="R697" s="62"/>
      <c r="S697" s="62"/>
      <c r="T697" s="62"/>
      <c r="U697" s="64"/>
      <c r="V697" s="164"/>
      <c r="W697" s="62"/>
      <c r="X697" s="62"/>
      <c r="Y697" s="62"/>
      <c r="Z697" s="64"/>
      <c r="AA697" s="164"/>
      <c r="AB697" s="62"/>
      <c r="AC697" s="62"/>
      <c r="AD697" s="64"/>
      <c r="AE697" s="164"/>
      <c r="AF697" s="62"/>
      <c r="AG697" s="62"/>
      <c r="AH697" s="337"/>
      <c r="AI697" s="337"/>
      <c r="AJ697" s="337"/>
      <c r="AK697" s="337"/>
      <c r="AL697" s="555"/>
      <c r="AM697" s="552"/>
      <c r="AN697" s="45"/>
      <c r="AO697" s="45"/>
      <c r="AP697" s="45"/>
      <c r="AQ697" s="485"/>
      <c r="AR697" s="485"/>
      <c r="AS697" s="485"/>
      <c r="AT697" s="24"/>
      <c r="AU697" s="24"/>
      <c r="AV697" s="24"/>
      <c r="AW697" s="18">
        <v>24</v>
      </c>
      <c r="AX697" s="69" t="s">
        <v>297</v>
      </c>
      <c r="AY697" s="243" t="s">
        <v>193</v>
      </c>
      <c r="AZ697" s="243" t="str">
        <f t="shared" si="278"/>
        <v>Chinook</v>
      </c>
      <c r="BA697" s="243" t="s">
        <v>419</v>
      </c>
      <c r="BB697" s="244" t="s">
        <v>691</v>
      </c>
      <c r="BC697" s="43" t="str">
        <f t="shared" si="279"/>
        <v>-</v>
      </c>
      <c r="BD697" s="43">
        <f t="shared" si="297"/>
        <v>0</v>
      </c>
      <c r="BE697" s="193">
        <f t="shared" si="295"/>
        <v>0</v>
      </c>
      <c r="BF697" s="193">
        <f t="shared" si="280"/>
        <v>0</v>
      </c>
      <c r="BG697" s="193">
        <f t="shared" si="281"/>
        <v>0</v>
      </c>
      <c r="BH697" s="307" t="str">
        <f t="shared" si="296"/>
        <v>-</v>
      </c>
      <c r="BI697" s="266"/>
      <c r="BJ697" s="26" t="str">
        <f t="shared" si="282"/>
        <v>COW CREEKChinook</v>
      </c>
      <c r="BK697" s="26">
        <f t="shared" si="283"/>
        <v>0</v>
      </c>
      <c r="BL697" s="33">
        <f t="shared" si="298"/>
        <v>0</v>
      </c>
      <c r="BQ697" s="47" t="str">
        <f t="shared" si="284"/>
        <v>COW CREEKChinook</v>
      </c>
      <c r="BR697" s="49">
        <f t="shared" si="285"/>
        <v>0</v>
      </c>
      <c r="BS697" s="49">
        <f t="shared" si="294"/>
        <v>0</v>
      </c>
      <c r="BT697" s="31">
        <v>0</v>
      </c>
      <c r="BU697" s="188" t="str">
        <f t="shared" si="286"/>
        <v>Homesteader</v>
      </c>
      <c r="BV697" s="188" t="str">
        <f t="shared" si="287"/>
        <v xml:space="preserve"> </v>
      </c>
      <c r="BW697" s="188" t="str">
        <f t="shared" si="288"/>
        <v xml:space="preserve"> </v>
      </c>
      <c r="BX697" s="188" t="str">
        <f t="shared" si="289"/>
        <v xml:space="preserve"> </v>
      </c>
      <c r="BY697" s="50" t="str">
        <f t="shared" si="277"/>
        <v>COW CREEK_Chinook</v>
      </c>
      <c r="BZ697" s="50" t="str">
        <f>IFERROR(VLOOKUP(BY697,'[1]WCVI Esc'!$C$5:$W$555,18,FALSE),"-")</f>
        <v>-</v>
      </c>
      <c r="CA697" s="50" t="str">
        <f t="shared" si="290"/>
        <v>-</v>
      </c>
      <c r="CB697" s="50" t="str">
        <f>IFERROR(VLOOKUP(BY697,'[1]WCVI Esc'!$C$5:$W$555,19,FALSE),"-")</f>
        <v>-</v>
      </c>
      <c r="CC697" s="50" t="str">
        <f t="shared" si="291"/>
        <v>-</v>
      </c>
      <c r="CE697" s="342" t="str">
        <f t="shared" si="299"/>
        <v>COW CREEK_Chinook</v>
      </c>
      <c r="CF697" s="341" t="str">
        <f>IFERROR(VLOOKUP(BY697,'RawPL+D'!$O$8:$AB$503,12,FALSE),"-")</f>
        <v>-</v>
      </c>
      <c r="CG697" s="338" t="str">
        <f t="shared" si="292"/>
        <v>-</v>
      </c>
      <c r="CH697" s="341" t="str">
        <f>IFERROR(VLOOKUP(BY697,'RawPL+D'!$O$8:$AB$503,13,FALSE),"-")</f>
        <v>-</v>
      </c>
      <c r="CI697" s="338" t="str">
        <f t="shared" si="293"/>
        <v>-</v>
      </c>
    </row>
    <row r="698" spans="1:87" ht="12.75" hidden="1" customHeight="1" x14ac:dyDescent="0.2">
      <c r="A698" s="28">
        <v>4</v>
      </c>
      <c r="B698" s="28">
        <v>6</v>
      </c>
      <c r="C698" s="11">
        <v>24</v>
      </c>
      <c r="D698" s="13" t="s">
        <v>297</v>
      </c>
      <c r="E698" s="10" t="s">
        <v>193</v>
      </c>
      <c r="F698" s="10" t="s">
        <v>211</v>
      </c>
      <c r="G698" s="10"/>
      <c r="H698" s="10"/>
      <c r="I698" s="10"/>
      <c r="J698" s="10"/>
      <c r="K698" s="575"/>
      <c r="L698" s="152"/>
      <c r="M698" s="164"/>
      <c r="N698" s="62"/>
      <c r="O698" s="62"/>
      <c r="P698" s="177"/>
      <c r="Q698" s="171"/>
      <c r="R698" s="62"/>
      <c r="S698" s="62"/>
      <c r="T698" s="62"/>
      <c r="U698" s="64"/>
      <c r="V698" s="164"/>
      <c r="W698" s="62"/>
      <c r="X698" s="62"/>
      <c r="Y698" s="62"/>
      <c r="Z698" s="64"/>
      <c r="AA698" s="164"/>
      <c r="AB698" s="62"/>
      <c r="AC698" s="62"/>
      <c r="AD698" s="64"/>
      <c r="AE698" s="164"/>
      <c r="AF698" s="62"/>
      <c r="AG698" s="62"/>
      <c r="AH698" s="337"/>
      <c r="AI698" s="337"/>
      <c r="AJ698" s="337"/>
      <c r="AK698" s="337"/>
      <c r="AL698" s="555"/>
      <c r="AM698" s="552"/>
      <c r="AN698" s="45"/>
      <c r="AO698" s="45"/>
      <c r="AP698" s="45"/>
      <c r="AQ698" s="485"/>
      <c r="AR698" s="485"/>
      <c r="AS698" s="485"/>
      <c r="AT698" s="24"/>
      <c r="AU698" s="24"/>
      <c r="AV698" s="24"/>
      <c r="AW698" s="18">
        <v>24</v>
      </c>
      <c r="AX698" s="69" t="s">
        <v>297</v>
      </c>
      <c r="AY698" s="243" t="s">
        <v>193</v>
      </c>
      <c r="AZ698" s="243" t="str">
        <f t="shared" si="278"/>
        <v>Steelhead</v>
      </c>
      <c r="BA698" s="243" t="s">
        <v>419</v>
      </c>
      <c r="BB698" s="244" t="s">
        <v>691</v>
      </c>
      <c r="BC698" s="43" t="str">
        <f t="shared" si="279"/>
        <v>-</v>
      </c>
      <c r="BD698" s="43">
        <f t="shared" si="297"/>
        <v>0</v>
      </c>
      <c r="BE698" s="193">
        <f t="shared" si="295"/>
        <v>0</v>
      </c>
      <c r="BF698" s="193">
        <f t="shared" si="280"/>
        <v>0</v>
      </c>
      <c r="BG698" s="193">
        <f t="shared" si="281"/>
        <v>0</v>
      </c>
      <c r="BH698" s="307" t="str">
        <f t="shared" si="296"/>
        <v>-</v>
      </c>
      <c r="BI698" s="266"/>
      <c r="BJ698" s="26" t="str">
        <f t="shared" si="282"/>
        <v>COW CREEKSteelhead</v>
      </c>
      <c r="BK698" s="26">
        <f t="shared" si="283"/>
        <v>0</v>
      </c>
      <c r="BL698" s="33">
        <f t="shared" si="298"/>
        <v>0</v>
      </c>
      <c r="BQ698" s="47" t="str">
        <f t="shared" si="284"/>
        <v>COW CREEKSteelhead</v>
      </c>
      <c r="BR698" s="49">
        <f t="shared" si="285"/>
        <v>0</v>
      </c>
      <c r="BS698" s="49">
        <f t="shared" si="294"/>
        <v>0</v>
      </c>
      <c r="BT698" s="31">
        <v>0</v>
      </c>
      <c r="BU698" s="188" t="str">
        <f t="shared" si="286"/>
        <v>Homesteader</v>
      </c>
      <c r="BV698" s="188" t="str">
        <f t="shared" si="287"/>
        <v xml:space="preserve"> </v>
      </c>
      <c r="BW698" s="188" t="str">
        <f t="shared" si="288"/>
        <v xml:space="preserve"> </v>
      </c>
      <c r="BX698" s="188" t="str">
        <f t="shared" si="289"/>
        <v xml:space="preserve"> </v>
      </c>
      <c r="BY698" s="50" t="str">
        <f t="shared" si="277"/>
        <v>COW CREEK_Steelhead</v>
      </c>
      <c r="BZ698" s="50" t="str">
        <f>IFERROR(VLOOKUP(BY698,'[1]WCVI Esc'!$C$5:$W$555,18,FALSE),"-")</f>
        <v>-</v>
      </c>
      <c r="CA698" s="50" t="str">
        <f t="shared" si="290"/>
        <v>-</v>
      </c>
      <c r="CB698" s="50" t="str">
        <f>IFERROR(VLOOKUP(BY698,'[1]WCVI Esc'!$C$5:$W$555,19,FALSE),"-")</f>
        <v>-</v>
      </c>
      <c r="CC698" s="50" t="str">
        <f t="shared" si="291"/>
        <v>-</v>
      </c>
      <c r="CE698" s="342" t="str">
        <f t="shared" si="299"/>
        <v>COW CREEK_Steelhead</v>
      </c>
      <c r="CF698" s="341" t="str">
        <f>IFERROR(VLOOKUP(BY698,'RawPL+D'!$O$8:$AB$503,12,FALSE),"-")</f>
        <v>-</v>
      </c>
      <c r="CG698" s="338" t="str">
        <f t="shared" si="292"/>
        <v>-</v>
      </c>
      <c r="CH698" s="341" t="str">
        <f>IFERROR(VLOOKUP(BY698,'RawPL+D'!$O$8:$AB$503,13,FALSE),"-")</f>
        <v>-</v>
      </c>
      <c r="CI698" s="338" t="str">
        <f t="shared" si="293"/>
        <v>-</v>
      </c>
    </row>
    <row r="699" spans="1:87" ht="12.75" hidden="1" customHeight="1" x14ac:dyDescent="0.2">
      <c r="A699" s="28">
        <v>4</v>
      </c>
      <c r="B699" s="28">
        <v>1</v>
      </c>
      <c r="C699" s="11">
        <v>24</v>
      </c>
      <c r="D699" s="13" t="s">
        <v>297</v>
      </c>
      <c r="E699" s="10" t="s">
        <v>123</v>
      </c>
      <c r="F699" s="10" t="s">
        <v>207</v>
      </c>
      <c r="G699" s="10"/>
      <c r="H699" s="10"/>
      <c r="I699" s="10"/>
      <c r="J699" s="10"/>
      <c r="K699" s="575"/>
      <c r="L699" s="152"/>
      <c r="M699" s="164"/>
      <c r="N699" s="62"/>
      <c r="O699" s="62"/>
      <c r="P699" s="177"/>
      <c r="Q699" s="171"/>
      <c r="R699" s="63"/>
      <c r="S699" s="62"/>
      <c r="T699" s="62"/>
      <c r="U699" s="64"/>
      <c r="V699" s="164"/>
      <c r="W699" s="62"/>
      <c r="X699" s="62"/>
      <c r="Y699" s="62"/>
      <c r="Z699" s="64"/>
      <c r="AA699" s="164"/>
      <c r="AB699" s="62"/>
      <c r="AC699" s="62"/>
      <c r="AD699" s="64"/>
      <c r="AE699" s="164"/>
      <c r="AF699" s="62"/>
      <c r="AG699" s="62"/>
      <c r="AH699" s="337"/>
      <c r="AI699" s="337"/>
      <c r="AJ699" s="337"/>
      <c r="AK699" s="337"/>
      <c r="AL699" s="412"/>
      <c r="AM699" s="414"/>
      <c r="AN699" s="45"/>
      <c r="AO699" s="45"/>
      <c r="AP699" s="45"/>
      <c r="AQ699" s="485"/>
      <c r="AR699" s="485"/>
      <c r="AS699" s="485"/>
      <c r="AT699" s="24"/>
      <c r="AU699" s="24"/>
      <c r="AV699" s="24"/>
      <c r="AW699" s="18">
        <v>24</v>
      </c>
      <c r="AX699" s="69" t="s">
        <v>297</v>
      </c>
      <c r="AY699" s="243" t="s">
        <v>123</v>
      </c>
      <c r="AZ699" s="243" t="str">
        <f t="shared" si="278"/>
        <v>Sockeye</v>
      </c>
      <c r="BA699" s="243" t="s">
        <v>419</v>
      </c>
      <c r="BB699" s="246"/>
      <c r="BC699" s="43" t="str">
        <f t="shared" si="279"/>
        <v>-</v>
      </c>
      <c r="BD699" s="43">
        <f t="shared" si="297"/>
        <v>0</v>
      </c>
      <c r="BE699" s="193">
        <f t="shared" si="295"/>
        <v>0</v>
      </c>
      <c r="BF699" s="193">
        <f t="shared" si="280"/>
        <v>0</v>
      </c>
      <c r="BG699" s="193">
        <f t="shared" si="281"/>
        <v>0</v>
      </c>
      <c r="BH699" s="307" t="str">
        <f t="shared" si="296"/>
        <v>-</v>
      </c>
      <c r="BI699" s="265" t="str">
        <f>CC699</f>
        <v>-</v>
      </c>
      <c r="BJ699" s="26" t="str">
        <f t="shared" si="282"/>
        <v>ICE RIVERSockeye</v>
      </c>
      <c r="BK699" s="26">
        <f t="shared" si="283"/>
        <v>0</v>
      </c>
      <c r="BL699" s="33">
        <f t="shared" si="298"/>
        <v>0</v>
      </c>
      <c r="BQ699" s="47" t="str">
        <f t="shared" si="284"/>
        <v>ICE RIVERSockeye</v>
      </c>
      <c r="BR699" s="49">
        <f t="shared" si="285"/>
        <v>0</v>
      </c>
      <c r="BS699" s="49">
        <f t="shared" si="294"/>
        <v>0</v>
      </c>
      <c r="BT699" s="31">
        <v>2010</v>
      </c>
      <c r="BU699" s="188">
        <f t="shared" si="286"/>
        <v>0</v>
      </c>
      <c r="BV699" s="188" t="str">
        <f t="shared" si="287"/>
        <v xml:space="preserve"> </v>
      </c>
      <c r="BW699" s="188" t="str">
        <f t="shared" si="288"/>
        <v xml:space="preserve"> </v>
      </c>
      <c r="BX699" s="188" t="str">
        <f t="shared" si="289"/>
        <v xml:space="preserve"> </v>
      </c>
      <c r="BY699" s="50" t="str">
        <f t="shared" si="277"/>
        <v>ICE RIVER_Sockeye</v>
      </c>
      <c r="BZ699" s="50" t="str">
        <f>IFERROR(VLOOKUP(BY699,'[1]WCVI Esc'!$C$5:$W$555,18,FALSE),"-")</f>
        <v>-</v>
      </c>
      <c r="CA699" s="50" t="str">
        <f t="shared" si="290"/>
        <v>-</v>
      </c>
      <c r="CB699" s="50" t="str">
        <f>IFERROR(VLOOKUP(BY699,'[1]WCVI Esc'!$C$5:$W$555,19,FALSE),"-")</f>
        <v>-</v>
      </c>
      <c r="CC699" s="50" t="str">
        <f t="shared" si="291"/>
        <v>-</v>
      </c>
      <c r="CE699" s="342" t="str">
        <f t="shared" si="299"/>
        <v>ICE RIVER_Sockeye</v>
      </c>
      <c r="CF699" s="341">
        <f>IFERROR(VLOOKUP(BY699,'RawPL+D'!$O$8:$AB$503,12,FALSE),"-")</f>
        <v>0</v>
      </c>
      <c r="CG699" s="338">
        <f t="shared" si="292"/>
        <v>0</v>
      </c>
      <c r="CH699" s="341" t="str">
        <f>IFERROR(VLOOKUP(BY699,'RawPL+D'!$O$8:$AB$503,13,FALSE),"-")</f>
        <v>-</v>
      </c>
      <c r="CI699" s="338" t="str">
        <f t="shared" si="293"/>
        <v>-</v>
      </c>
    </row>
    <row r="700" spans="1:87" ht="12.75" hidden="1" customHeight="1" x14ac:dyDescent="0.2">
      <c r="A700" s="28">
        <v>4</v>
      </c>
      <c r="B700" s="28">
        <v>2</v>
      </c>
      <c r="C700" s="11">
        <v>24</v>
      </c>
      <c r="D700" s="13" t="s">
        <v>297</v>
      </c>
      <c r="E700" s="10" t="s">
        <v>123</v>
      </c>
      <c r="F700" s="10" t="s">
        <v>219</v>
      </c>
      <c r="G700" s="10"/>
      <c r="H700" s="10"/>
      <c r="I700" s="10"/>
      <c r="J700" s="10"/>
      <c r="K700" s="575"/>
      <c r="L700" s="152"/>
      <c r="M700" s="164"/>
      <c r="N700" s="62"/>
      <c r="O700" s="62"/>
      <c r="P700" s="177"/>
      <c r="Q700" s="171"/>
      <c r="R700" s="63"/>
      <c r="S700" s="62"/>
      <c r="T700" s="62"/>
      <c r="U700" s="64"/>
      <c r="V700" s="164"/>
      <c r="W700" s="62"/>
      <c r="X700" s="62"/>
      <c r="Y700" s="62"/>
      <c r="Z700" s="64"/>
      <c r="AA700" s="164"/>
      <c r="AB700" s="62"/>
      <c r="AC700" s="62"/>
      <c r="AD700" s="64"/>
      <c r="AE700" s="164"/>
      <c r="AF700" s="62"/>
      <c r="AG700" s="62"/>
      <c r="AH700" s="337"/>
      <c r="AI700" s="337"/>
      <c r="AJ700" s="337"/>
      <c r="AK700" s="337"/>
      <c r="AL700" s="412"/>
      <c r="AM700" s="414"/>
      <c r="AN700" s="45"/>
      <c r="AO700" s="45"/>
      <c r="AP700" s="45"/>
      <c r="AQ700" s="485" t="e">
        <f>AL700/BI700</f>
        <v>#VALUE!</v>
      </c>
      <c r="AR700" s="485" t="e">
        <f>BL700/BI700</f>
        <v>#VALUE!</v>
      </c>
      <c r="AS700" s="485"/>
      <c r="AT700" s="24"/>
      <c r="AU700" s="24"/>
      <c r="AV700" s="24"/>
      <c r="AW700" s="18">
        <v>24</v>
      </c>
      <c r="AX700" s="69" t="s">
        <v>297</v>
      </c>
      <c r="AY700" s="243" t="s">
        <v>123</v>
      </c>
      <c r="AZ700" s="243" t="str">
        <f t="shared" si="278"/>
        <v>Coho</v>
      </c>
      <c r="BA700" s="243" t="s">
        <v>419</v>
      </c>
      <c r="BB700" s="246"/>
      <c r="BC700" s="43" t="str">
        <f t="shared" si="279"/>
        <v>-</v>
      </c>
      <c r="BD700" s="43">
        <f t="shared" si="297"/>
        <v>0</v>
      </c>
      <c r="BE700" s="193">
        <f t="shared" si="295"/>
        <v>0</v>
      </c>
      <c r="BF700" s="193">
        <f t="shared" si="280"/>
        <v>0</v>
      </c>
      <c r="BG700" s="193">
        <f t="shared" si="281"/>
        <v>0</v>
      </c>
      <c r="BH700" s="307">
        <f t="shared" si="296"/>
        <v>0</v>
      </c>
      <c r="BI700" s="265" t="str">
        <f>CC700</f>
        <v>-</v>
      </c>
      <c r="BJ700" s="26" t="str">
        <f t="shared" si="282"/>
        <v>ICE RIVERCoho</v>
      </c>
      <c r="BK700" s="26">
        <f t="shared" si="283"/>
        <v>0</v>
      </c>
      <c r="BL700" s="33">
        <f t="shared" si="298"/>
        <v>0</v>
      </c>
      <c r="BQ700" s="47" t="str">
        <f t="shared" si="284"/>
        <v>ICE RIVERCoho</v>
      </c>
      <c r="BR700" s="49">
        <f t="shared" si="285"/>
        <v>0</v>
      </c>
      <c r="BS700" s="49">
        <f t="shared" si="294"/>
        <v>0</v>
      </c>
      <c r="BT700" s="31">
        <v>2010</v>
      </c>
      <c r="BU700" s="188">
        <f t="shared" si="286"/>
        <v>0</v>
      </c>
      <c r="BV700" s="188" t="str">
        <f t="shared" si="287"/>
        <v xml:space="preserve"> </v>
      </c>
      <c r="BW700" s="188" t="str">
        <f t="shared" si="288"/>
        <v xml:space="preserve"> </v>
      </c>
      <c r="BX700" s="188" t="str">
        <f t="shared" si="289"/>
        <v xml:space="preserve"> </v>
      </c>
      <c r="BY700" s="50" t="str">
        <f t="shared" si="277"/>
        <v>ICE RIVER_Coho</v>
      </c>
      <c r="BZ700" s="50" t="str">
        <f>IFERROR(VLOOKUP(BY700,'[1]WCVI Esc'!$C$5:$W$555,18,FALSE),"-")</f>
        <v>-</v>
      </c>
      <c r="CA700" s="50" t="str">
        <f t="shared" si="290"/>
        <v>-</v>
      </c>
      <c r="CB700" s="50" t="str">
        <f>IFERROR(VLOOKUP(BY700,'[1]WCVI Esc'!$C$5:$W$555,19,FALSE),"-")</f>
        <v>-</v>
      </c>
      <c r="CC700" s="50" t="str">
        <f t="shared" si="291"/>
        <v>-</v>
      </c>
      <c r="CE700" s="342" t="str">
        <f t="shared" si="299"/>
        <v>ICE RIVER_Coho</v>
      </c>
      <c r="CF700" s="341">
        <f>IFERROR(VLOOKUP(BY700,'RawPL+D'!$O$8:$AB$503,12,FALSE),"-")</f>
        <v>0</v>
      </c>
      <c r="CG700" s="338">
        <f t="shared" si="292"/>
        <v>0</v>
      </c>
      <c r="CH700" s="341">
        <f>IFERROR(VLOOKUP(BY700,'RawPL+D'!$O$8:$AB$503,13,FALSE),"-")</f>
        <v>0</v>
      </c>
      <c r="CI700" s="338">
        <f t="shared" si="293"/>
        <v>0</v>
      </c>
    </row>
    <row r="701" spans="1:87" ht="12.75" hidden="1" customHeight="1" x14ac:dyDescent="0.2">
      <c r="A701" s="28">
        <v>4</v>
      </c>
      <c r="B701" s="28">
        <v>3</v>
      </c>
      <c r="C701" s="11">
        <v>24</v>
      </c>
      <c r="D701" s="13" t="s">
        <v>297</v>
      </c>
      <c r="E701" s="10" t="s">
        <v>123</v>
      </c>
      <c r="F701" s="10" t="s">
        <v>208</v>
      </c>
      <c r="G701" s="10"/>
      <c r="H701" s="10"/>
      <c r="I701" s="10"/>
      <c r="J701" s="10"/>
      <c r="K701" s="575"/>
      <c r="L701" s="152"/>
      <c r="M701" s="164"/>
      <c r="N701" s="62"/>
      <c r="O701" s="62"/>
      <c r="P701" s="177"/>
      <c r="Q701" s="171"/>
      <c r="R701" s="63"/>
      <c r="S701" s="62"/>
      <c r="T701" s="62"/>
      <c r="U701" s="64"/>
      <c r="V701" s="164"/>
      <c r="W701" s="62"/>
      <c r="X701" s="62"/>
      <c r="Y701" s="62"/>
      <c r="Z701" s="64"/>
      <c r="AA701" s="164"/>
      <c r="AB701" s="62"/>
      <c r="AC701" s="62"/>
      <c r="AD701" s="64"/>
      <c r="AE701" s="164"/>
      <c r="AF701" s="62"/>
      <c r="AG701" s="62"/>
      <c r="AH701" s="337"/>
      <c r="AI701" s="337"/>
      <c r="AJ701" s="337"/>
      <c r="AK701" s="337"/>
      <c r="AL701" s="412"/>
      <c r="AM701" s="414"/>
      <c r="AN701" s="45"/>
      <c r="AO701" s="45"/>
      <c r="AP701" s="45"/>
      <c r="AQ701" s="485"/>
      <c r="AR701" s="485"/>
      <c r="AS701" s="485"/>
      <c r="AT701" s="24"/>
      <c r="AU701" s="24"/>
      <c r="AV701" s="24"/>
      <c r="AW701" s="18">
        <v>24</v>
      </c>
      <c r="AX701" s="69" t="s">
        <v>297</v>
      </c>
      <c r="AY701" s="243" t="s">
        <v>123</v>
      </c>
      <c r="AZ701" s="243" t="str">
        <f t="shared" si="278"/>
        <v>Pink</v>
      </c>
      <c r="BA701" s="243" t="s">
        <v>419</v>
      </c>
      <c r="BB701" s="246"/>
      <c r="BC701" s="43" t="str">
        <f t="shared" si="279"/>
        <v>-</v>
      </c>
      <c r="BD701" s="43">
        <f t="shared" si="297"/>
        <v>0</v>
      </c>
      <c r="BE701" s="193">
        <f t="shared" si="295"/>
        <v>0</v>
      </c>
      <c r="BF701" s="193">
        <f t="shared" si="280"/>
        <v>0</v>
      </c>
      <c r="BG701" s="193">
        <f t="shared" si="281"/>
        <v>0</v>
      </c>
      <c r="BH701" s="307" t="str">
        <f t="shared" si="296"/>
        <v>-</v>
      </c>
      <c r="BI701" s="266"/>
      <c r="BJ701" s="26" t="str">
        <f t="shared" si="282"/>
        <v>ICE RIVERPink</v>
      </c>
      <c r="BK701" s="26">
        <f t="shared" si="283"/>
        <v>0</v>
      </c>
      <c r="BL701" s="33">
        <f t="shared" si="298"/>
        <v>0</v>
      </c>
      <c r="BQ701" s="47" t="str">
        <f t="shared" si="284"/>
        <v>ICE RIVERPink</v>
      </c>
      <c r="BR701" s="49">
        <f t="shared" si="285"/>
        <v>0</v>
      </c>
      <c r="BS701" s="49">
        <f t="shared" si="294"/>
        <v>0</v>
      </c>
      <c r="BT701" s="31">
        <v>0</v>
      </c>
      <c r="BU701" s="188">
        <f t="shared" si="286"/>
        <v>0</v>
      </c>
      <c r="BV701" s="188" t="str">
        <f t="shared" si="287"/>
        <v xml:space="preserve"> </v>
      </c>
      <c r="BW701" s="188" t="str">
        <f t="shared" si="288"/>
        <v xml:space="preserve"> </v>
      </c>
      <c r="BX701" s="188" t="str">
        <f t="shared" si="289"/>
        <v xml:space="preserve"> </v>
      </c>
      <c r="BY701" s="50" t="str">
        <f t="shared" si="277"/>
        <v>ICE RIVER_Pink</v>
      </c>
      <c r="BZ701" s="50" t="str">
        <f>IFERROR(VLOOKUP(BY701,'[1]WCVI Esc'!$C$5:$W$555,18,FALSE),"-")</f>
        <v>-</v>
      </c>
      <c r="CA701" s="50" t="str">
        <f t="shared" si="290"/>
        <v>-</v>
      </c>
      <c r="CB701" s="50" t="str">
        <f>IFERROR(VLOOKUP(BY701,'[1]WCVI Esc'!$C$5:$W$555,19,FALSE),"-")</f>
        <v>-</v>
      </c>
      <c r="CC701" s="50" t="str">
        <f t="shared" si="291"/>
        <v>-</v>
      </c>
      <c r="CE701" s="342" t="str">
        <f t="shared" si="299"/>
        <v>ICE RIVER_Pink</v>
      </c>
      <c r="CF701" s="341" t="str">
        <f>IFERROR(VLOOKUP(BY701,'RawPL+D'!$O$8:$AB$503,12,FALSE),"-")</f>
        <v>-</v>
      </c>
      <c r="CG701" s="338" t="str">
        <f t="shared" si="292"/>
        <v>-</v>
      </c>
      <c r="CH701" s="341" t="str">
        <f>IFERROR(VLOOKUP(BY701,'RawPL+D'!$O$8:$AB$503,13,FALSE),"-")</f>
        <v>-</v>
      </c>
      <c r="CI701" s="338" t="str">
        <f t="shared" si="293"/>
        <v>-</v>
      </c>
    </row>
    <row r="702" spans="1:87" ht="12.75" hidden="1" customHeight="1" x14ac:dyDescent="0.2">
      <c r="A702" s="28">
        <v>4</v>
      </c>
      <c r="B702" s="28">
        <v>4</v>
      </c>
      <c r="C702" s="11">
        <v>24</v>
      </c>
      <c r="D702" s="13" t="s">
        <v>297</v>
      </c>
      <c r="E702" s="10" t="s">
        <v>123</v>
      </c>
      <c r="F702" s="10" t="s">
        <v>209</v>
      </c>
      <c r="G702" s="10"/>
      <c r="H702" s="10"/>
      <c r="I702" s="10"/>
      <c r="J702" s="10"/>
      <c r="K702" s="575"/>
      <c r="L702" s="152"/>
      <c r="M702" s="164"/>
      <c r="N702" s="62"/>
      <c r="O702" s="62"/>
      <c r="P702" s="177"/>
      <c r="Q702" s="171"/>
      <c r="R702" s="63"/>
      <c r="S702" s="62"/>
      <c r="T702" s="62"/>
      <c r="U702" s="64"/>
      <c r="V702" s="164"/>
      <c r="W702" s="62"/>
      <c r="X702" s="62"/>
      <c r="Y702" s="62"/>
      <c r="Z702" s="64"/>
      <c r="AA702" s="164"/>
      <c r="AB702" s="62"/>
      <c r="AC702" s="62"/>
      <c r="AD702" s="64"/>
      <c r="AE702" s="164"/>
      <c r="AF702" s="62"/>
      <c r="AG702" s="62"/>
      <c r="AH702" s="337"/>
      <c r="AI702" s="337"/>
      <c r="AJ702" s="337"/>
      <c r="AK702" s="337"/>
      <c r="AL702" s="412"/>
      <c r="AM702" s="414"/>
      <c r="AN702" s="45"/>
      <c r="AO702" s="45"/>
      <c r="AP702" s="45"/>
      <c r="AQ702" s="485" t="e">
        <f>AL702/BI702</f>
        <v>#VALUE!</v>
      </c>
      <c r="AR702" s="485" t="e">
        <f>BL702/BI702</f>
        <v>#VALUE!</v>
      </c>
      <c r="AS702" s="485"/>
      <c r="AT702" s="24"/>
      <c r="AU702" s="24"/>
      <c r="AV702" s="24"/>
      <c r="AW702" s="18">
        <v>24</v>
      </c>
      <c r="AX702" s="69" t="s">
        <v>297</v>
      </c>
      <c r="AY702" s="243" t="s">
        <v>123</v>
      </c>
      <c r="AZ702" s="243" t="str">
        <f t="shared" si="278"/>
        <v>Chum</v>
      </c>
      <c r="BA702" s="243" t="s">
        <v>419</v>
      </c>
      <c r="BB702" s="246"/>
      <c r="BC702" s="43" t="str">
        <f t="shared" si="279"/>
        <v>-</v>
      </c>
      <c r="BD702" s="43">
        <f t="shared" si="297"/>
        <v>0</v>
      </c>
      <c r="BE702" s="193">
        <f t="shared" si="295"/>
        <v>0</v>
      </c>
      <c r="BF702" s="193">
        <f t="shared" si="280"/>
        <v>0</v>
      </c>
      <c r="BG702" s="193">
        <f t="shared" si="281"/>
        <v>0</v>
      </c>
      <c r="BH702" s="307">
        <f t="shared" si="296"/>
        <v>0</v>
      </c>
      <c r="BI702" s="265" t="str">
        <f>CC702</f>
        <v>-</v>
      </c>
      <c r="BJ702" s="26" t="str">
        <f t="shared" si="282"/>
        <v>ICE RIVERChum</v>
      </c>
      <c r="BK702" s="26">
        <f t="shared" si="283"/>
        <v>0</v>
      </c>
      <c r="BL702" s="33">
        <f t="shared" si="298"/>
        <v>0</v>
      </c>
      <c r="BQ702" s="47" t="str">
        <f t="shared" si="284"/>
        <v>ICE RIVERChum</v>
      </c>
      <c r="BR702" s="49">
        <f t="shared" si="285"/>
        <v>0</v>
      </c>
      <c r="BS702" s="49">
        <f t="shared" si="294"/>
        <v>0</v>
      </c>
      <c r="BT702" s="31">
        <v>2010</v>
      </c>
      <c r="BU702" s="188">
        <f t="shared" si="286"/>
        <v>0</v>
      </c>
      <c r="BV702" s="188" t="str">
        <f t="shared" si="287"/>
        <v xml:space="preserve"> </v>
      </c>
      <c r="BW702" s="188" t="str">
        <f t="shared" si="288"/>
        <v xml:space="preserve"> </v>
      </c>
      <c r="BX702" s="188" t="str">
        <f t="shared" si="289"/>
        <v xml:space="preserve"> </v>
      </c>
      <c r="BY702" s="50" t="str">
        <f t="shared" si="277"/>
        <v>ICE RIVER_Chum</v>
      </c>
      <c r="BZ702" s="50" t="str">
        <f>IFERROR(VLOOKUP(BY702,'[1]WCVI Esc'!$C$5:$W$555,18,FALSE),"-")</f>
        <v>-</v>
      </c>
      <c r="CA702" s="50" t="str">
        <f t="shared" si="290"/>
        <v>-</v>
      </c>
      <c r="CB702" s="50" t="str">
        <f>IFERROR(VLOOKUP(BY702,'[1]WCVI Esc'!$C$5:$W$555,19,FALSE),"-")</f>
        <v>-</v>
      </c>
      <c r="CC702" s="50" t="str">
        <f t="shared" si="291"/>
        <v>-</v>
      </c>
      <c r="CE702" s="342" t="str">
        <f t="shared" si="299"/>
        <v>ICE RIVER_Chum</v>
      </c>
      <c r="CF702" s="341">
        <f>IFERROR(VLOOKUP(BY702,'RawPL+D'!$O$8:$AB$503,12,FALSE),"-")</f>
        <v>0</v>
      </c>
      <c r="CG702" s="338">
        <f t="shared" si="292"/>
        <v>0</v>
      </c>
      <c r="CH702" s="341">
        <f>IFERROR(VLOOKUP(BY702,'RawPL+D'!$O$8:$AB$503,13,FALSE),"-")</f>
        <v>0</v>
      </c>
      <c r="CI702" s="338">
        <f t="shared" si="293"/>
        <v>0</v>
      </c>
    </row>
    <row r="703" spans="1:87" ht="12.75" hidden="1" customHeight="1" x14ac:dyDescent="0.2">
      <c r="A703" s="28">
        <v>4</v>
      </c>
      <c r="B703" s="28">
        <v>5</v>
      </c>
      <c r="C703" s="11">
        <v>24</v>
      </c>
      <c r="D703" s="13" t="s">
        <v>297</v>
      </c>
      <c r="E703" s="10" t="s">
        <v>123</v>
      </c>
      <c r="F703" s="10" t="s">
        <v>210</v>
      </c>
      <c r="G703" s="10"/>
      <c r="H703" s="10"/>
      <c r="I703" s="10"/>
      <c r="J703" s="10"/>
      <c r="K703" s="575"/>
      <c r="L703" s="152"/>
      <c r="M703" s="164"/>
      <c r="N703" s="62"/>
      <c r="O703" s="62"/>
      <c r="P703" s="177"/>
      <c r="Q703" s="171"/>
      <c r="R703" s="63"/>
      <c r="S703" s="62"/>
      <c r="T703" s="62"/>
      <c r="U703" s="64"/>
      <c r="V703" s="164"/>
      <c r="W703" s="62"/>
      <c r="X703" s="62"/>
      <c r="Y703" s="62"/>
      <c r="Z703" s="64"/>
      <c r="AA703" s="164"/>
      <c r="AB703" s="62"/>
      <c r="AC703" s="62"/>
      <c r="AD703" s="64"/>
      <c r="AE703" s="164"/>
      <c r="AF703" s="62"/>
      <c r="AG703" s="62"/>
      <c r="AH703" s="337"/>
      <c r="AI703" s="337"/>
      <c r="AJ703" s="337"/>
      <c r="AK703" s="337"/>
      <c r="AL703" s="412"/>
      <c r="AM703" s="414"/>
      <c r="AN703" s="45"/>
      <c r="AO703" s="45"/>
      <c r="AP703" s="45"/>
      <c r="AQ703" s="485" t="e">
        <f>AL703/BI703</f>
        <v>#VALUE!</v>
      </c>
      <c r="AR703" s="485" t="e">
        <f>BL703/BI703</f>
        <v>#VALUE!</v>
      </c>
      <c r="AS703" s="485"/>
      <c r="AT703" s="24"/>
      <c r="AU703" s="24"/>
      <c r="AV703" s="24"/>
      <c r="AW703" s="18">
        <v>24</v>
      </c>
      <c r="AX703" s="69" t="s">
        <v>297</v>
      </c>
      <c r="AY703" s="243" t="s">
        <v>123</v>
      </c>
      <c r="AZ703" s="243" t="str">
        <f t="shared" si="278"/>
        <v>Chinook</v>
      </c>
      <c r="BA703" s="243" t="s">
        <v>419</v>
      </c>
      <c r="BB703" s="246"/>
      <c r="BC703" s="43" t="str">
        <f t="shared" si="279"/>
        <v>-</v>
      </c>
      <c r="BD703" s="43">
        <f t="shared" si="297"/>
        <v>0</v>
      </c>
      <c r="BE703" s="193">
        <f t="shared" si="295"/>
        <v>0</v>
      </c>
      <c r="BF703" s="193">
        <f t="shared" si="280"/>
        <v>0</v>
      </c>
      <c r="BG703" s="193">
        <f t="shared" si="281"/>
        <v>0</v>
      </c>
      <c r="BH703" s="307" t="str">
        <f t="shared" si="296"/>
        <v>-</v>
      </c>
      <c r="BI703" s="265" t="str">
        <f>CC703</f>
        <v>-</v>
      </c>
      <c r="BJ703" s="26" t="str">
        <f t="shared" si="282"/>
        <v>ICE RIVERChinook</v>
      </c>
      <c r="BK703" s="26">
        <f t="shared" si="283"/>
        <v>0</v>
      </c>
      <c r="BL703" s="33">
        <f t="shared" si="298"/>
        <v>0</v>
      </c>
      <c r="BQ703" s="47" t="str">
        <f t="shared" si="284"/>
        <v>ICE RIVERChinook</v>
      </c>
      <c r="BR703" s="49">
        <f t="shared" si="285"/>
        <v>0</v>
      </c>
      <c r="BS703" s="49">
        <f t="shared" si="294"/>
        <v>0</v>
      </c>
      <c r="BT703" s="31">
        <v>2010</v>
      </c>
      <c r="BU703" s="188">
        <f t="shared" si="286"/>
        <v>0</v>
      </c>
      <c r="BV703" s="188" t="str">
        <f t="shared" si="287"/>
        <v xml:space="preserve"> </v>
      </c>
      <c r="BW703" s="188" t="str">
        <f t="shared" si="288"/>
        <v xml:space="preserve"> </v>
      </c>
      <c r="BX703" s="188" t="str">
        <f t="shared" si="289"/>
        <v xml:space="preserve"> </v>
      </c>
      <c r="BY703" s="50" t="str">
        <f t="shared" ref="BY703:BY766" si="300">CONCATENATE(E703,"_",F703)</f>
        <v>ICE RIVER_Chinook</v>
      </c>
      <c r="BZ703" s="50" t="str">
        <f>IFERROR(VLOOKUP(BY703,'[1]WCVI Esc'!$C$5:$W$555,18,FALSE),"-")</f>
        <v>-</v>
      </c>
      <c r="CA703" s="50" t="str">
        <f t="shared" si="290"/>
        <v>-</v>
      </c>
      <c r="CB703" s="50" t="str">
        <f>IFERROR(VLOOKUP(BY703,'[1]WCVI Esc'!$C$5:$W$555,19,FALSE),"-")</f>
        <v>-</v>
      </c>
      <c r="CC703" s="50" t="str">
        <f t="shared" si="291"/>
        <v>-</v>
      </c>
      <c r="CE703" s="342" t="str">
        <f t="shared" si="299"/>
        <v>ICE RIVER_Chinook</v>
      </c>
      <c r="CF703" s="341">
        <f>IFERROR(VLOOKUP(BY703,'RawPL+D'!$O$8:$AB$503,12,FALSE),"-")</f>
        <v>0</v>
      </c>
      <c r="CG703" s="338">
        <f t="shared" si="292"/>
        <v>0</v>
      </c>
      <c r="CH703" s="341" t="str">
        <f>IFERROR(VLOOKUP(BY703,'RawPL+D'!$O$8:$AB$503,13,FALSE),"-")</f>
        <v>-</v>
      </c>
      <c r="CI703" s="338" t="str">
        <f t="shared" si="293"/>
        <v>-</v>
      </c>
    </row>
    <row r="704" spans="1:87" ht="12.75" hidden="1" customHeight="1" x14ac:dyDescent="0.2">
      <c r="A704" s="28">
        <v>4</v>
      </c>
      <c r="B704" s="28">
        <v>6</v>
      </c>
      <c r="C704" s="11">
        <v>24</v>
      </c>
      <c r="D704" s="13" t="s">
        <v>297</v>
      </c>
      <c r="E704" s="10" t="s">
        <v>123</v>
      </c>
      <c r="F704" s="10" t="s">
        <v>211</v>
      </c>
      <c r="G704" s="10"/>
      <c r="H704" s="10"/>
      <c r="I704" s="10"/>
      <c r="J704" s="10"/>
      <c r="K704" s="575"/>
      <c r="L704" s="152"/>
      <c r="M704" s="164"/>
      <c r="N704" s="62"/>
      <c r="O704" s="62"/>
      <c r="P704" s="177"/>
      <c r="Q704" s="171"/>
      <c r="R704" s="63"/>
      <c r="S704" s="62"/>
      <c r="T704" s="62"/>
      <c r="U704" s="64"/>
      <c r="V704" s="164"/>
      <c r="W704" s="62"/>
      <c r="X704" s="62"/>
      <c r="Y704" s="62"/>
      <c r="Z704" s="64"/>
      <c r="AA704" s="164"/>
      <c r="AB704" s="62"/>
      <c r="AC704" s="62"/>
      <c r="AD704" s="64"/>
      <c r="AE704" s="164"/>
      <c r="AF704" s="62"/>
      <c r="AG704" s="62"/>
      <c r="AH704" s="337"/>
      <c r="AI704" s="337"/>
      <c r="AJ704" s="337"/>
      <c r="AK704" s="337"/>
      <c r="AL704" s="412"/>
      <c r="AM704" s="414"/>
      <c r="AN704" s="45"/>
      <c r="AO704" s="45"/>
      <c r="AP704" s="45"/>
      <c r="AQ704" s="485"/>
      <c r="AR704" s="485"/>
      <c r="AS704" s="485"/>
      <c r="AT704" s="24"/>
      <c r="AU704" s="24"/>
      <c r="AV704" s="24"/>
      <c r="AW704" s="18">
        <v>24</v>
      </c>
      <c r="AX704" s="69" t="s">
        <v>297</v>
      </c>
      <c r="AY704" s="243" t="s">
        <v>123</v>
      </c>
      <c r="AZ704" s="243" t="str">
        <f t="shared" si="278"/>
        <v>Steelhead</v>
      </c>
      <c r="BA704" s="243" t="s">
        <v>419</v>
      </c>
      <c r="BB704" s="246"/>
      <c r="BC704" s="43" t="str">
        <f t="shared" si="279"/>
        <v>-</v>
      </c>
      <c r="BD704" s="43">
        <f t="shared" si="297"/>
        <v>0</v>
      </c>
      <c r="BE704" s="193">
        <f t="shared" si="295"/>
        <v>0</v>
      </c>
      <c r="BF704" s="193">
        <f t="shared" si="280"/>
        <v>0</v>
      </c>
      <c r="BG704" s="193">
        <f t="shared" si="281"/>
        <v>0</v>
      </c>
      <c r="BH704" s="307" t="str">
        <f t="shared" si="296"/>
        <v>-</v>
      </c>
      <c r="BI704" s="266"/>
      <c r="BJ704" s="26" t="str">
        <f t="shared" si="282"/>
        <v>ICE RIVERSteelhead</v>
      </c>
      <c r="BK704" s="26">
        <f t="shared" si="283"/>
        <v>0</v>
      </c>
      <c r="BL704" s="33">
        <f t="shared" si="298"/>
        <v>0</v>
      </c>
      <c r="BQ704" s="47" t="str">
        <f t="shared" si="284"/>
        <v>ICE RIVERSteelhead</v>
      </c>
      <c r="BR704" s="49">
        <f t="shared" si="285"/>
        <v>0</v>
      </c>
      <c r="BS704" s="49">
        <f t="shared" si="294"/>
        <v>0</v>
      </c>
      <c r="BT704" s="31">
        <v>0</v>
      </c>
      <c r="BU704" s="188">
        <f t="shared" si="286"/>
        <v>0</v>
      </c>
      <c r="BV704" s="188" t="str">
        <f t="shared" si="287"/>
        <v xml:space="preserve"> </v>
      </c>
      <c r="BW704" s="188" t="str">
        <f t="shared" si="288"/>
        <v xml:space="preserve"> </v>
      </c>
      <c r="BX704" s="188" t="str">
        <f t="shared" si="289"/>
        <v xml:space="preserve"> </v>
      </c>
      <c r="BY704" s="50" t="str">
        <f t="shared" si="300"/>
        <v>ICE RIVER_Steelhead</v>
      </c>
      <c r="BZ704" s="50" t="str">
        <f>IFERROR(VLOOKUP(BY704,'[1]WCVI Esc'!$C$5:$W$555,18,FALSE),"-")</f>
        <v>-</v>
      </c>
      <c r="CA704" s="50" t="str">
        <f t="shared" si="290"/>
        <v>-</v>
      </c>
      <c r="CB704" s="50" t="str">
        <f>IFERROR(VLOOKUP(BY704,'[1]WCVI Esc'!$C$5:$W$555,19,FALSE),"-")</f>
        <v>-</v>
      </c>
      <c r="CC704" s="50" t="str">
        <f t="shared" si="291"/>
        <v>-</v>
      </c>
      <c r="CE704" s="342" t="str">
        <f t="shared" si="299"/>
        <v>ICE RIVER_Steelhead</v>
      </c>
      <c r="CF704" s="341" t="str">
        <f>IFERROR(VLOOKUP(BY704,'RawPL+D'!$O$8:$AB$503,12,FALSE),"-")</f>
        <v>-</v>
      </c>
      <c r="CG704" s="338" t="str">
        <f t="shared" si="292"/>
        <v>-</v>
      </c>
      <c r="CH704" s="341" t="str">
        <f>IFERROR(VLOOKUP(BY704,'RawPL+D'!$O$8:$AB$503,13,FALSE),"-")</f>
        <v>-</v>
      </c>
      <c r="CI704" s="338" t="str">
        <f t="shared" si="293"/>
        <v>-</v>
      </c>
    </row>
    <row r="705" spans="1:87" ht="12.75" hidden="1" customHeight="1" x14ac:dyDescent="0.2">
      <c r="A705" s="28">
        <v>4</v>
      </c>
      <c r="B705" s="28">
        <v>1</v>
      </c>
      <c r="C705" s="11">
        <v>24</v>
      </c>
      <c r="D705" s="13" t="s">
        <v>297</v>
      </c>
      <c r="E705" s="10" t="s">
        <v>126</v>
      </c>
      <c r="F705" s="10" t="s">
        <v>207</v>
      </c>
      <c r="G705" s="10"/>
      <c r="H705" s="10"/>
      <c r="I705" s="10"/>
      <c r="J705" s="10"/>
      <c r="K705" s="575"/>
      <c r="L705" s="152"/>
      <c r="M705" s="164"/>
      <c r="N705" s="62"/>
      <c r="O705" s="62"/>
      <c r="P705" s="177"/>
      <c r="Q705" s="171"/>
      <c r="R705" s="62"/>
      <c r="S705" s="62"/>
      <c r="T705" s="62"/>
      <c r="U705" s="64"/>
      <c r="V705" s="164"/>
      <c r="W705" s="62"/>
      <c r="X705" s="62"/>
      <c r="Y705" s="62"/>
      <c r="Z705" s="64"/>
      <c r="AA705" s="164"/>
      <c r="AB705" s="62"/>
      <c r="AC705" s="62"/>
      <c r="AD705" s="64"/>
      <c r="AE705" s="164"/>
      <c r="AF705" s="62"/>
      <c r="AG705" s="62"/>
      <c r="AH705" s="337"/>
      <c r="AI705" s="337"/>
      <c r="AJ705" s="337"/>
      <c r="AK705" s="337"/>
      <c r="AL705" s="412"/>
      <c r="AM705" s="414"/>
      <c r="AN705" s="45"/>
      <c r="AO705" s="45"/>
      <c r="AP705" s="45"/>
      <c r="AQ705" s="485"/>
      <c r="AR705" s="485"/>
      <c r="AS705" s="485"/>
      <c r="AT705" s="24"/>
      <c r="AU705" s="24"/>
      <c r="AV705" s="24"/>
      <c r="AW705" s="18">
        <v>24</v>
      </c>
      <c r="AX705" s="69" t="s">
        <v>297</v>
      </c>
      <c r="AY705" s="243" t="s">
        <v>126</v>
      </c>
      <c r="AZ705" s="243" t="str">
        <f t="shared" si="278"/>
        <v>Sockeye</v>
      </c>
      <c r="BA705" s="243" t="s">
        <v>419</v>
      </c>
      <c r="BB705" s="246"/>
      <c r="BC705" s="43" t="str">
        <f t="shared" si="279"/>
        <v>-</v>
      </c>
      <c r="BD705" s="43">
        <f t="shared" si="297"/>
        <v>0</v>
      </c>
      <c r="BE705" s="193">
        <f t="shared" si="295"/>
        <v>0</v>
      </c>
      <c r="BF705" s="193">
        <f t="shared" si="280"/>
        <v>0</v>
      </c>
      <c r="BG705" s="193">
        <f t="shared" si="281"/>
        <v>0</v>
      </c>
      <c r="BH705" s="307" t="str">
        <f t="shared" si="296"/>
        <v>-</v>
      </c>
      <c r="BI705" s="266"/>
      <c r="BJ705" s="26" t="str">
        <f t="shared" si="282"/>
        <v>LITTLE WHITEPINE COVE #1 CREEKSockeye</v>
      </c>
      <c r="BK705" s="26">
        <f t="shared" si="283"/>
        <v>0</v>
      </c>
      <c r="BL705" s="33">
        <f t="shared" si="298"/>
        <v>0</v>
      </c>
      <c r="BQ705" s="47" t="str">
        <f t="shared" si="284"/>
        <v>LITTLE WHITEPINE COVE #1 CREEKSockeye</v>
      </c>
      <c r="BR705" s="49">
        <f t="shared" si="285"/>
        <v>0</v>
      </c>
      <c r="BS705" s="49">
        <f t="shared" si="294"/>
        <v>0</v>
      </c>
      <c r="BT705" s="31">
        <v>0</v>
      </c>
      <c r="BU705" s="188">
        <f t="shared" si="286"/>
        <v>0</v>
      </c>
      <c r="BV705" s="188" t="str">
        <f t="shared" si="287"/>
        <v xml:space="preserve"> </v>
      </c>
      <c r="BW705" s="188" t="str">
        <f t="shared" si="288"/>
        <v xml:space="preserve"> </v>
      </c>
      <c r="BX705" s="188" t="str">
        <f t="shared" si="289"/>
        <v xml:space="preserve"> </v>
      </c>
      <c r="BY705" s="50" t="str">
        <f t="shared" si="300"/>
        <v>LITTLE WHITEPINE COVE #1 CREEK_Sockeye</v>
      </c>
      <c r="BZ705" s="50" t="str">
        <f>IFERROR(VLOOKUP(BY705,'[1]WCVI Esc'!$C$5:$W$555,18,FALSE),"-")</f>
        <v>-</v>
      </c>
      <c r="CA705" s="50" t="str">
        <f t="shared" si="290"/>
        <v>-</v>
      </c>
      <c r="CB705" s="50" t="str">
        <f>IFERROR(VLOOKUP(BY705,'[1]WCVI Esc'!$C$5:$W$555,19,FALSE),"-")</f>
        <v>-</v>
      </c>
      <c r="CC705" s="50" t="str">
        <f t="shared" si="291"/>
        <v>-</v>
      </c>
      <c r="CE705" s="342" t="str">
        <f t="shared" si="299"/>
        <v>LITTLE WHITEPINE COVE #1 CREEK_Sockeye</v>
      </c>
      <c r="CF705" s="341" t="str">
        <f>IFERROR(VLOOKUP(BY705,'RawPL+D'!$O$8:$AB$503,12,FALSE),"-")</f>
        <v>-</v>
      </c>
      <c r="CG705" s="338" t="str">
        <f t="shared" si="292"/>
        <v>-</v>
      </c>
      <c r="CH705" s="341" t="str">
        <f>IFERROR(VLOOKUP(BY705,'RawPL+D'!$O$8:$AB$503,13,FALSE),"-")</f>
        <v>-</v>
      </c>
      <c r="CI705" s="338" t="str">
        <f t="shared" si="293"/>
        <v>-</v>
      </c>
    </row>
    <row r="706" spans="1:87" ht="12.75" hidden="1" customHeight="1" x14ac:dyDescent="0.2">
      <c r="A706" s="28">
        <v>4</v>
      </c>
      <c r="B706" s="28">
        <v>2</v>
      </c>
      <c r="C706" s="11">
        <v>24</v>
      </c>
      <c r="D706" s="13" t="s">
        <v>297</v>
      </c>
      <c r="E706" s="10" t="s">
        <v>126</v>
      </c>
      <c r="F706" s="10" t="s">
        <v>219</v>
      </c>
      <c r="G706" s="10"/>
      <c r="H706" s="10"/>
      <c r="I706" s="10"/>
      <c r="J706" s="10"/>
      <c r="K706" s="575"/>
      <c r="L706" s="152"/>
      <c r="M706" s="164"/>
      <c r="N706" s="62"/>
      <c r="O706" s="62"/>
      <c r="P706" s="177"/>
      <c r="Q706" s="171"/>
      <c r="R706" s="62"/>
      <c r="S706" s="62"/>
      <c r="T706" s="62"/>
      <c r="U706" s="64"/>
      <c r="V706" s="164"/>
      <c r="W706" s="62"/>
      <c r="X706" s="62"/>
      <c r="Y706" s="62"/>
      <c r="Z706" s="64"/>
      <c r="AA706" s="164"/>
      <c r="AB706" s="62"/>
      <c r="AC706" s="62"/>
      <c r="AD706" s="64"/>
      <c r="AE706" s="164"/>
      <c r="AF706" s="62"/>
      <c r="AG706" s="62"/>
      <c r="AH706" s="337"/>
      <c r="AI706" s="337"/>
      <c r="AJ706" s="337"/>
      <c r="AK706" s="337"/>
      <c r="AL706" s="412"/>
      <c r="AM706" s="414"/>
      <c r="AN706" s="45"/>
      <c r="AO706" s="45"/>
      <c r="AP706" s="45"/>
      <c r="AQ706" s="485"/>
      <c r="AR706" s="485"/>
      <c r="AS706" s="485"/>
      <c r="AT706" s="24"/>
      <c r="AU706" s="24"/>
      <c r="AV706" s="24"/>
      <c r="AW706" s="18">
        <v>24</v>
      </c>
      <c r="AX706" s="69" t="s">
        <v>297</v>
      </c>
      <c r="AY706" s="243" t="s">
        <v>126</v>
      </c>
      <c r="AZ706" s="243" t="str">
        <f t="shared" si="278"/>
        <v>Coho</v>
      </c>
      <c r="BA706" s="243" t="s">
        <v>419</v>
      </c>
      <c r="BB706" s="246"/>
      <c r="BC706" s="43" t="str">
        <f t="shared" si="279"/>
        <v>-</v>
      </c>
      <c r="BD706" s="43">
        <f t="shared" si="297"/>
        <v>0</v>
      </c>
      <c r="BE706" s="193">
        <f t="shared" si="295"/>
        <v>0</v>
      </c>
      <c r="BF706" s="193">
        <f t="shared" si="280"/>
        <v>0</v>
      </c>
      <c r="BG706" s="193">
        <f t="shared" si="281"/>
        <v>0</v>
      </c>
      <c r="BH706" s="307" t="str">
        <f t="shared" si="296"/>
        <v>-</v>
      </c>
      <c r="BI706" s="266"/>
      <c r="BJ706" s="26" t="str">
        <f t="shared" si="282"/>
        <v>LITTLE WHITEPINE COVE #1 CREEKCoho</v>
      </c>
      <c r="BK706" s="26">
        <f t="shared" si="283"/>
        <v>0</v>
      </c>
      <c r="BL706" s="33">
        <f t="shared" si="298"/>
        <v>0</v>
      </c>
      <c r="BQ706" s="47" t="str">
        <f t="shared" si="284"/>
        <v>LITTLE WHITEPINE COVE #1 CREEKCoho</v>
      </c>
      <c r="BR706" s="49">
        <f t="shared" si="285"/>
        <v>0</v>
      </c>
      <c r="BS706" s="49">
        <f t="shared" si="294"/>
        <v>0</v>
      </c>
      <c r="BT706" s="31">
        <v>0</v>
      </c>
      <c r="BU706" s="188">
        <f t="shared" si="286"/>
        <v>0</v>
      </c>
      <c r="BV706" s="188" t="str">
        <f t="shared" si="287"/>
        <v xml:space="preserve"> </v>
      </c>
      <c r="BW706" s="188" t="str">
        <f t="shared" si="288"/>
        <v xml:space="preserve"> </v>
      </c>
      <c r="BX706" s="188" t="str">
        <f t="shared" si="289"/>
        <v xml:space="preserve"> </v>
      </c>
      <c r="BY706" s="50" t="str">
        <f t="shared" si="300"/>
        <v>LITTLE WHITEPINE COVE #1 CREEK_Coho</v>
      </c>
      <c r="BZ706" s="50" t="str">
        <f>IFERROR(VLOOKUP(BY706,'[1]WCVI Esc'!$C$5:$W$555,18,FALSE),"-")</f>
        <v>-</v>
      </c>
      <c r="CA706" s="50" t="str">
        <f t="shared" si="290"/>
        <v>-</v>
      </c>
      <c r="CB706" s="50" t="str">
        <f>IFERROR(VLOOKUP(BY706,'[1]WCVI Esc'!$C$5:$W$555,19,FALSE),"-")</f>
        <v>-</v>
      </c>
      <c r="CC706" s="50" t="str">
        <f t="shared" si="291"/>
        <v>-</v>
      </c>
      <c r="CE706" s="342" t="str">
        <f t="shared" si="299"/>
        <v>LITTLE WHITEPINE COVE #1 CREEK_Coho</v>
      </c>
      <c r="CF706" s="341" t="str">
        <f>IFERROR(VLOOKUP(BY706,'RawPL+D'!$O$8:$AB$503,12,FALSE),"-")</f>
        <v>-</v>
      </c>
      <c r="CG706" s="338" t="str">
        <f t="shared" si="292"/>
        <v>-</v>
      </c>
      <c r="CH706" s="341" t="str">
        <f>IFERROR(VLOOKUP(BY706,'RawPL+D'!$O$8:$AB$503,13,FALSE),"-")</f>
        <v>-</v>
      </c>
      <c r="CI706" s="338" t="str">
        <f t="shared" si="293"/>
        <v>-</v>
      </c>
    </row>
    <row r="707" spans="1:87" ht="12.75" hidden="1" customHeight="1" x14ac:dyDescent="0.2">
      <c r="A707" s="28">
        <v>4</v>
      </c>
      <c r="B707" s="28">
        <v>3</v>
      </c>
      <c r="C707" s="11">
        <v>24</v>
      </c>
      <c r="D707" s="13" t="s">
        <v>297</v>
      </c>
      <c r="E707" s="10" t="s">
        <v>126</v>
      </c>
      <c r="F707" s="10" t="s">
        <v>208</v>
      </c>
      <c r="G707" s="10"/>
      <c r="H707" s="10"/>
      <c r="I707" s="10"/>
      <c r="J707" s="10"/>
      <c r="K707" s="575"/>
      <c r="L707" s="152"/>
      <c r="M707" s="164"/>
      <c r="N707" s="62"/>
      <c r="O707" s="62"/>
      <c r="P707" s="177"/>
      <c r="Q707" s="171"/>
      <c r="R707" s="62"/>
      <c r="S707" s="62"/>
      <c r="T707" s="62"/>
      <c r="U707" s="64"/>
      <c r="V707" s="164"/>
      <c r="W707" s="62"/>
      <c r="X707" s="62"/>
      <c r="Y707" s="62"/>
      <c r="Z707" s="64"/>
      <c r="AA707" s="164"/>
      <c r="AB707" s="62"/>
      <c r="AC707" s="62"/>
      <c r="AD707" s="64"/>
      <c r="AE707" s="164"/>
      <c r="AF707" s="62"/>
      <c r="AG707" s="62"/>
      <c r="AH707" s="337"/>
      <c r="AI707" s="337"/>
      <c r="AJ707" s="337"/>
      <c r="AK707" s="337"/>
      <c r="AL707" s="412"/>
      <c r="AM707" s="414"/>
      <c r="AN707" s="45"/>
      <c r="AO707" s="45"/>
      <c r="AP707" s="45"/>
      <c r="AQ707" s="485"/>
      <c r="AR707" s="485"/>
      <c r="AS707" s="485"/>
      <c r="AT707" s="24"/>
      <c r="AU707" s="24"/>
      <c r="AV707" s="24"/>
      <c r="AW707" s="18">
        <v>24</v>
      </c>
      <c r="AX707" s="69" t="s">
        <v>297</v>
      </c>
      <c r="AY707" s="243" t="s">
        <v>126</v>
      </c>
      <c r="AZ707" s="243" t="str">
        <f t="shared" si="278"/>
        <v>Pink</v>
      </c>
      <c r="BA707" s="243" t="s">
        <v>419</v>
      </c>
      <c r="BB707" s="246"/>
      <c r="BC707" s="43" t="str">
        <f t="shared" si="279"/>
        <v>-</v>
      </c>
      <c r="BD707" s="43">
        <f t="shared" si="297"/>
        <v>0</v>
      </c>
      <c r="BE707" s="193">
        <f t="shared" si="295"/>
        <v>0</v>
      </c>
      <c r="BF707" s="193">
        <f t="shared" si="280"/>
        <v>0</v>
      </c>
      <c r="BG707" s="193">
        <f t="shared" si="281"/>
        <v>0</v>
      </c>
      <c r="BH707" s="307" t="str">
        <f t="shared" si="296"/>
        <v>-</v>
      </c>
      <c r="BI707" s="266"/>
      <c r="BJ707" s="26" t="str">
        <f t="shared" si="282"/>
        <v>LITTLE WHITEPINE COVE #1 CREEKPink</v>
      </c>
      <c r="BK707" s="26">
        <f t="shared" si="283"/>
        <v>0</v>
      </c>
      <c r="BL707" s="33">
        <f t="shared" si="298"/>
        <v>0</v>
      </c>
      <c r="BQ707" s="47" t="str">
        <f t="shared" si="284"/>
        <v>LITTLE WHITEPINE COVE #1 CREEKPink</v>
      </c>
      <c r="BR707" s="49">
        <f t="shared" si="285"/>
        <v>0</v>
      </c>
      <c r="BS707" s="49">
        <f t="shared" si="294"/>
        <v>0</v>
      </c>
      <c r="BT707" s="31">
        <v>0</v>
      </c>
      <c r="BU707" s="188">
        <f t="shared" si="286"/>
        <v>0</v>
      </c>
      <c r="BV707" s="188" t="str">
        <f t="shared" si="287"/>
        <v xml:space="preserve"> </v>
      </c>
      <c r="BW707" s="188" t="str">
        <f t="shared" si="288"/>
        <v xml:space="preserve"> </v>
      </c>
      <c r="BX707" s="188" t="str">
        <f t="shared" si="289"/>
        <v xml:space="preserve"> </v>
      </c>
      <c r="BY707" s="50" t="str">
        <f t="shared" si="300"/>
        <v>LITTLE WHITEPINE COVE #1 CREEK_Pink</v>
      </c>
      <c r="BZ707" s="50" t="str">
        <f>IFERROR(VLOOKUP(BY707,'[1]WCVI Esc'!$C$5:$W$555,18,FALSE),"-")</f>
        <v>-</v>
      </c>
      <c r="CA707" s="50" t="str">
        <f t="shared" si="290"/>
        <v>-</v>
      </c>
      <c r="CB707" s="50" t="str">
        <f>IFERROR(VLOOKUP(BY707,'[1]WCVI Esc'!$C$5:$W$555,19,FALSE),"-")</f>
        <v>-</v>
      </c>
      <c r="CC707" s="50" t="str">
        <f t="shared" si="291"/>
        <v>-</v>
      </c>
      <c r="CE707" s="342" t="str">
        <f t="shared" si="299"/>
        <v>LITTLE WHITEPINE COVE #1 CREEK_Pink</v>
      </c>
      <c r="CF707" s="341" t="str">
        <f>IFERROR(VLOOKUP(BY707,'RawPL+D'!$O$8:$AB$503,12,FALSE),"-")</f>
        <v>-</v>
      </c>
      <c r="CG707" s="338" t="str">
        <f t="shared" si="292"/>
        <v>-</v>
      </c>
      <c r="CH707" s="341" t="str">
        <f>IFERROR(VLOOKUP(BY707,'RawPL+D'!$O$8:$AB$503,13,FALSE),"-")</f>
        <v>-</v>
      </c>
      <c r="CI707" s="338" t="str">
        <f t="shared" si="293"/>
        <v>-</v>
      </c>
    </row>
    <row r="708" spans="1:87" ht="12.75" hidden="1" customHeight="1" x14ac:dyDescent="0.2">
      <c r="A708" s="28">
        <v>4</v>
      </c>
      <c r="B708" s="28">
        <v>4</v>
      </c>
      <c r="C708" s="11">
        <v>24</v>
      </c>
      <c r="D708" s="13" t="s">
        <v>297</v>
      </c>
      <c r="E708" s="10" t="s">
        <v>126</v>
      </c>
      <c r="F708" s="10" t="s">
        <v>209</v>
      </c>
      <c r="G708" s="10"/>
      <c r="H708" s="10"/>
      <c r="I708" s="10"/>
      <c r="J708" s="10"/>
      <c r="K708" s="575"/>
      <c r="L708" s="152"/>
      <c r="M708" s="164"/>
      <c r="N708" s="62"/>
      <c r="O708" s="62"/>
      <c r="P708" s="177"/>
      <c r="Q708" s="171"/>
      <c r="R708" s="62"/>
      <c r="S708" s="64"/>
      <c r="T708" s="62"/>
      <c r="U708" s="64"/>
      <c r="V708" s="164"/>
      <c r="W708" s="62"/>
      <c r="X708" s="62"/>
      <c r="Y708" s="62"/>
      <c r="Z708" s="64"/>
      <c r="AA708" s="164"/>
      <c r="AB708" s="62"/>
      <c r="AC708" s="62"/>
      <c r="AD708" s="64"/>
      <c r="AE708" s="164"/>
      <c r="AF708" s="62"/>
      <c r="AG708" s="62"/>
      <c r="AH708" s="337"/>
      <c r="AI708" s="337"/>
      <c r="AJ708" s="337"/>
      <c r="AK708" s="337"/>
      <c r="AL708" s="412"/>
      <c r="AM708" s="414"/>
      <c r="AN708" s="45"/>
      <c r="AO708" s="45"/>
      <c r="AP708" s="45"/>
      <c r="AQ708" s="485"/>
      <c r="AR708" s="485"/>
      <c r="AS708" s="485"/>
      <c r="AT708" s="24"/>
      <c r="AU708" s="24"/>
      <c r="AV708" s="24"/>
      <c r="AW708" s="18">
        <v>24</v>
      </c>
      <c r="AX708" s="69" t="s">
        <v>297</v>
      </c>
      <c r="AY708" s="243" t="s">
        <v>126</v>
      </c>
      <c r="AZ708" s="243" t="str">
        <f t="shared" si="278"/>
        <v>Chum</v>
      </c>
      <c r="BA708" s="243" t="s">
        <v>419</v>
      </c>
      <c r="BB708" s="246"/>
      <c r="BC708" s="43" t="str">
        <f t="shared" si="279"/>
        <v>-</v>
      </c>
      <c r="BD708" s="43">
        <f t="shared" si="297"/>
        <v>0</v>
      </c>
      <c r="BE708" s="193">
        <f t="shared" si="295"/>
        <v>0</v>
      </c>
      <c r="BF708" s="193">
        <f t="shared" si="280"/>
        <v>0</v>
      </c>
      <c r="BG708" s="193">
        <f t="shared" si="281"/>
        <v>0</v>
      </c>
      <c r="BH708" s="307" t="str">
        <f t="shared" si="296"/>
        <v>-</v>
      </c>
      <c r="BI708" s="266"/>
      <c r="BJ708" s="26" t="str">
        <f t="shared" si="282"/>
        <v>LITTLE WHITEPINE COVE #1 CREEKChum</v>
      </c>
      <c r="BK708" s="26">
        <f t="shared" si="283"/>
        <v>0</v>
      </c>
      <c r="BL708" s="33">
        <f t="shared" si="298"/>
        <v>0</v>
      </c>
      <c r="BQ708" s="47" t="str">
        <f t="shared" si="284"/>
        <v>LITTLE WHITEPINE COVE #1 CREEKChum</v>
      </c>
      <c r="BR708" s="49">
        <f t="shared" si="285"/>
        <v>0</v>
      </c>
      <c r="BS708" s="49">
        <f t="shared" si="294"/>
        <v>0</v>
      </c>
      <c r="BT708" s="31">
        <v>1997</v>
      </c>
      <c r="BU708" s="188">
        <f t="shared" si="286"/>
        <v>0</v>
      </c>
      <c r="BV708" s="188" t="str">
        <f t="shared" si="287"/>
        <v xml:space="preserve"> </v>
      </c>
      <c r="BW708" s="188" t="str">
        <f t="shared" si="288"/>
        <v xml:space="preserve"> </v>
      </c>
      <c r="BX708" s="188" t="str">
        <f t="shared" si="289"/>
        <v xml:space="preserve"> </v>
      </c>
      <c r="BY708" s="50" t="str">
        <f t="shared" si="300"/>
        <v>LITTLE WHITEPINE COVE #1 CREEK_Chum</v>
      </c>
      <c r="BZ708" s="50" t="str">
        <f>IFERROR(VLOOKUP(BY708,'[1]WCVI Esc'!$C$5:$W$555,18,FALSE),"-")</f>
        <v>-</v>
      </c>
      <c r="CA708" s="50" t="str">
        <f t="shared" si="290"/>
        <v>-</v>
      </c>
      <c r="CB708" s="50" t="str">
        <f>IFERROR(VLOOKUP(BY708,'[1]WCVI Esc'!$C$5:$W$555,19,FALSE),"-")</f>
        <v>-</v>
      </c>
      <c r="CC708" s="50" t="str">
        <f t="shared" si="291"/>
        <v>-</v>
      </c>
      <c r="CE708" s="342" t="str">
        <f t="shared" si="299"/>
        <v>LITTLE WHITEPINE COVE #1 CREEK_Chum</v>
      </c>
      <c r="CF708" s="341" t="str">
        <f>IFERROR(VLOOKUP(BY708,'RawPL+D'!$O$8:$AB$503,12,FALSE),"-")</f>
        <v>-</v>
      </c>
      <c r="CG708" s="338" t="str">
        <f t="shared" si="292"/>
        <v>-</v>
      </c>
      <c r="CH708" s="341" t="str">
        <f>IFERROR(VLOOKUP(BY708,'RawPL+D'!$O$8:$AB$503,13,FALSE),"-")</f>
        <v>-</v>
      </c>
      <c r="CI708" s="338" t="str">
        <f t="shared" si="293"/>
        <v>-</v>
      </c>
    </row>
    <row r="709" spans="1:87" ht="12.75" hidden="1" customHeight="1" x14ac:dyDescent="0.2">
      <c r="A709" s="28">
        <v>4</v>
      </c>
      <c r="B709" s="28">
        <v>5</v>
      </c>
      <c r="C709" s="11">
        <v>24</v>
      </c>
      <c r="D709" s="13" t="s">
        <v>297</v>
      </c>
      <c r="E709" s="10" t="s">
        <v>126</v>
      </c>
      <c r="F709" s="10" t="s">
        <v>210</v>
      </c>
      <c r="G709" s="10"/>
      <c r="H709" s="10"/>
      <c r="I709" s="10"/>
      <c r="J709" s="10"/>
      <c r="K709" s="575"/>
      <c r="L709" s="152"/>
      <c r="M709" s="164"/>
      <c r="N709" s="62"/>
      <c r="O709" s="62"/>
      <c r="P709" s="177"/>
      <c r="Q709" s="171"/>
      <c r="R709" s="62"/>
      <c r="S709" s="64"/>
      <c r="T709" s="62"/>
      <c r="U709" s="64"/>
      <c r="V709" s="164"/>
      <c r="W709" s="62"/>
      <c r="X709" s="62"/>
      <c r="Y709" s="62"/>
      <c r="Z709" s="64"/>
      <c r="AA709" s="164"/>
      <c r="AB709" s="62"/>
      <c r="AC709" s="62"/>
      <c r="AD709" s="64"/>
      <c r="AE709" s="164"/>
      <c r="AF709" s="62"/>
      <c r="AG709" s="62"/>
      <c r="AH709" s="337"/>
      <c r="AI709" s="337"/>
      <c r="AJ709" s="337"/>
      <c r="AK709" s="337"/>
      <c r="AL709" s="412"/>
      <c r="AM709" s="414"/>
      <c r="AN709" s="45"/>
      <c r="AO709" s="45"/>
      <c r="AP709" s="45"/>
      <c r="AQ709" s="485"/>
      <c r="AR709" s="485"/>
      <c r="AS709" s="485"/>
      <c r="AT709" s="24"/>
      <c r="AU709" s="24"/>
      <c r="AV709" s="24"/>
      <c r="AW709" s="18">
        <v>24</v>
      </c>
      <c r="AX709" s="69" t="s">
        <v>297</v>
      </c>
      <c r="AY709" s="243" t="s">
        <v>126</v>
      </c>
      <c r="AZ709" s="243" t="str">
        <f t="shared" si="278"/>
        <v>Chinook</v>
      </c>
      <c r="BA709" s="243" t="s">
        <v>419</v>
      </c>
      <c r="BB709" s="246"/>
      <c r="BC709" s="43" t="str">
        <f t="shared" si="279"/>
        <v>-</v>
      </c>
      <c r="BD709" s="43">
        <f t="shared" si="297"/>
        <v>0</v>
      </c>
      <c r="BE709" s="193">
        <f t="shared" si="295"/>
        <v>0</v>
      </c>
      <c r="BF709" s="193">
        <f t="shared" si="280"/>
        <v>0</v>
      </c>
      <c r="BG709" s="193">
        <f t="shared" si="281"/>
        <v>0</v>
      </c>
      <c r="BH709" s="307" t="str">
        <f t="shared" si="296"/>
        <v>-</v>
      </c>
      <c r="BI709" s="266"/>
      <c r="BJ709" s="26" t="str">
        <f t="shared" si="282"/>
        <v>LITTLE WHITEPINE COVE #1 CREEKChinook</v>
      </c>
      <c r="BK709" s="26">
        <f t="shared" si="283"/>
        <v>0</v>
      </c>
      <c r="BL709" s="33">
        <f t="shared" si="298"/>
        <v>0</v>
      </c>
      <c r="BQ709" s="47" t="str">
        <f t="shared" si="284"/>
        <v>LITTLE WHITEPINE COVE #1 CREEKChinook</v>
      </c>
      <c r="BR709" s="49">
        <f t="shared" si="285"/>
        <v>0</v>
      </c>
      <c r="BS709" s="49">
        <f t="shared" si="294"/>
        <v>0</v>
      </c>
      <c r="BT709" s="31">
        <v>0</v>
      </c>
      <c r="BU709" s="188">
        <f t="shared" si="286"/>
        <v>0</v>
      </c>
      <c r="BV709" s="188" t="str">
        <f t="shared" si="287"/>
        <v xml:space="preserve"> </v>
      </c>
      <c r="BW709" s="188" t="str">
        <f t="shared" si="288"/>
        <v xml:space="preserve"> </v>
      </c>
      <c r="BX709" s="188" t="str">
        <f t="shared" si="289"/>
        <v xml:space="preserve"> </v>
      </c>
      <c r="BY709" s="50" t="str">
        <f t="shared" si="300"/>
        <v>LITTLE WHITEPINE COVE #1 CREEK_Chinook</v>
      </c>
      <c r="BZ709" s="50" t="str">
        <f>IFERROR(VLOOKUP(BY709,'[1]WCVI Esc'!$C$5:$W$555,18,FALSE),"-")</f>
        <v>-</v>
      </c>
      <c r="CA709" s="50" t="str">
        <f t="shared" si="290"/>
        <v>-</v>
      </c>
      <c r="CB709" s="50" t="str">
        <f>IFERROR(VLOOKUP(BY709,'[1]WCVI Esc'!$C$5:$W$555,19,FALSE),"-")</f>
        <v>-</v>
      </c>
      <c r="CC709" s="50" t="str">
        <f t="shared" si="291"/>
        <v>-</v>
      </c>
      <c r="CE709" s="342" t="str">
        <f t="shared" si="299"/>
        <v>LITTLE WHITEPINE COVE #1 CREEK_Chinook</v>
      </c>
      <c r="CF709" s="341" t="str">
        <f>IFERROR(VLOOKUP(BY709,'RawPL+D'!$O$8:$AB$503,12,FALSE),"-")</f>
        <v>-</v>
      </c>
      <c r="CG709" s="338" t="str">
        <f t="shared" si="292"/>
        <v>-</v>
      </c>
      <c r="CH709" s="341" t="str">
        <f>IFERROR(VLOOKUP(BY709,'RawPL+D'!$O$8:$AB$503,13,FALSE),"-")</f>
        <v>-</v>
      </c>
      <c r="CI709" s="338" t="str">
        <f t="shared" si="293"/>
        <v>-</v>
      </c>
    </row>
    <row r="710" spans="1:87" ht="12.75" hidden="1" customHeight="1" x14ac:dyDescent="0.2">
      <c r="A710" s="28">
        <v>4</v>
      </c>
      <c r="B710" s="28">
        <v>6</v>
      </c>
      <c r="C710" s="11">
        <v>24</v>
      </c>
      <c r="D710" s="13" t="s">
        <v>297</v>
      </c>
      <c r="E710" s="10" t="s">
        <v>126</v>
      </c>
      <c r="F710" s="10" t="s">
        <v>211</v>
      </c>
      <c r="G710" s="10"/>
      <c r="H710" s="10"/>
      <c r="I710" s="10"/>
      <c r="J710" s="10"/>
      <c r="K710" s="575"/>
      <c r="L710" s="152"/>
      <c r="M710" s="164"/>
      <c r="N710" s="62"/>
      <c r="O710" s="62"/>
      <c r="P710" s="177"/>
      <c r="Q710" s="171"/>
      <c r="R710" s="62"/>
      <c r="S710" s="64"/>
      <c r="T710" s="62"/>
      <c r="U710" s="64"/>
      <c r="V710" s="164"/>
      <c r="W710" s="62"/>
      <c r="X710" s="62"/>
      <c r="Y710" s="62"/>
      <c r="Z710" s="64"/>
      <c r="AA710" s="164"/>
      <c r="AB710" s="62"/>
      <c r="AC710" s="62"/>
      <c r="AD710" s="64"/>
      <c r="AE710" s="164"/>
      <c r="AF710" s="62"/>
      <c r="AG710" s="62"/>
      <c r="AH710" s="337"/>
      <c r="AI710" s="337"/>
      <c r="AJ710" s="337"/>
      <c r="AK710" s="337"/>
      <c r="AL710" s="412"/>
      <c r="AM710" s="414"/>
      <c r="AN710" s="45"/>
      <c r="AO710" s="45"/>
      <c r="AP710" s="45"/>
      <c r="AQ710" s="485"/>
      <c r="AR710" s="485"/>
      <c r="AS710" s="485"/>
      <c r="AT710" s="24"/>
      <c r="AU710" s="24"/>
      <c r="AV710" s="24"/>
      <c r="AW710" s="18">
        <v>24</v>
      </c>
      <c r="AX710" s="69" t="s">
        <v>297</v>
      </c>
      <c r="AY710" s="243" t="s">
        <v>126</v>
      </c>
      <c r="AZ710" s="243" t="str">
        <f t="shared" si="278"/>
        <v>Steelhead</v>
      </c>
      <c r="BA710" s="243" t="s">
        <v>419</v>
      </c>
      <c r="BB710" s="246"/>
      <c r="BC710" s="43" t="str">
        <f t="shared" si="279"/>
        <v>-</v>
      </c>
      <c r="BD710" s="43">
        <f t="shared" si="297"/>
        <v>0</v>
      </c>
      <c r="BE710" s="193">
        <f t="shared" si="295"/>
        <v>0</v>
      </c>
      <c r="BF710" s="193">
        <f t="shared" si="280"/>
        <v>0</v>
      </c>
      <c r="BG710" s="193">
        <f t="shared" si="281"/>
        <v>0</v>
      </c>
      <c r="BH710" s="307" t="str">
        <f t="shared" si="296"/>
        <v>-</v>
      </c>
      <c r="BI710" s="266"/>
      <c r="BJ710" s="26" t="str">
        <f t="shared" si="282"/>
        <v>LITTLE WHITEPINE COVE #1 CREEKSteelhead</v>
      </c>
      <c r="BK710" s="26">
        <f t="shared" si="283"/>
        <v>0</v>
      </c>
      <c r="BL710" s="33">
        <f t="shared" si="298"/>
        <v>0</v>
      </c>
      <c r="BQ710" s="47" t="str">
        <f t="shared" si="284"/>
        <v>LITTLE WHITEPINE COVE #1 CREEKSteelhead</v>
      </c>
      <c r="BR710" s="49">
        <f t="shared" si="285"/>
        <v>0</v>
      </c>
      <c r="BS710" s="49">
        <f t="shared" si="294"/>
        <v>0</v>
      </c>
      <c r="BT710" s="31">
        <v>0</v>
      </c>
      <c r="BU710" s="188">
        <f t="shared" si="286"/>
        <v>0</v>
      </c>
      <c r="BV710" s="188" t="str">
        <f t="shared" si="287"/>
        <v xml:space="preserve"> </v>
      </c>
      <c r="BW710" s="188" t="str">
        <f t="shared" si="288"/>
        <v xml:space="preserve"> </v>
      </c>
      <c r="BX710" s="188" t="str">
        <f t="shared" si="289"/>
        <v xml:space="preserve"> </v>
      </c>
      <c r="BY710" s="50" t="str">
        <f t="shared" si="300"/>
        <v>LITTLE WHITEPINE COVE #1 CREEK_Steelhead</v>
      </c>
      <c r="BZ710" s="50" t="str">
        <f>IFERROR(VLOOKUP(BY710,'[1]WCVI Esc'!$C$5:$W$555,18,FALSE),"-")</f>
        <v>-</v>
      </c>
      <c r="CA710" s="50" t="str">
        <f t="shared" si="290"/>
        <v>-</v>
      </c>
      <c r="CB710" s="50" t="str">
        <f>IFERROR(VLOOKUP(BY710,'[1]WCVI Esc'!$C$5:$W$555,19,FALSE),"-")</f>
        <v>-</v>
      </c>
      <c r="CC710" s="50" t="str">
        <f t="shared" si="291"/>
        <v>-</v>
      </c>
      <c r="CE710" s="342" t="str">
        <f t="shared" si="299"/>
        <v>LITTLE WHITEPINE COVE #1 CREEK_Steelhead</v>
      </c>
      <c r="CF710" s="341" t="str">
        <f>IFERROR(VLOOKUP(BY710,'RawPL+D'!$O$8:$AB$503,12,FALSE),"-")</f>
        <v>-</v>
      </c>
      <c r="CG710" s="338" t="str">
        <f t="shared" si="292"/>
        <v>-</v>
      </c>
      <c r="CH710" s="341" t="str">
        <f>IFERROR(VLOOKUP(BY710,'RawPL+D'!$O$8:$AB$503,13,FALSE),"-")</f>
        <v>-</v>
      </c>
      <c r="CI710" s="338" t="str">
        <f t="shared" si="293"/>
        <v>-</v>
      </c>
    </row>
    <row r="711" spans="1:87" ht="12.75" hidden="1" customHeight="1" x14ac:dyDescent="0.2">
      <c r="A711" s="28">
        <v>4</v>
      </c>
      <c r="B711" s="28">
        <v>1</v>
      </c>
      <c r="C711" s="11">
        <v>24</v>
      </c>
      <c r="D711" s="13" t="s">
        <v>297</v>
      </c>
      <c r="E711" s="10" t="s">
        <v>127</v>
      </c>
      <c r="F711" s="10" t="s">
        <v>207</v>
      </c>
      <c r="G711" s="10"/>
      <c r="H711" s="10"/>
      <c r="I711" s="10"/>
      <c r="J711" s="10"/>
      <c r="K711" s="575"/>
      <c r="L711" s="152"/>
      <c r="M711" s="164"/>
      <c r="N711" s="62"/>
      <c r="O711" s="62"/>
      <c r="P711" s="177"/>
      <c r="Q711" s="171"/>
      <c r="R711" s="62"/>
      <c r="S711" s="64"/>
      <c r="T711" s="62"/>
      <c r="U711" s="64"/>
      <c r="V711" s="164"/>
      <c r="W711" s="62"/>
      <c r="X711" s="62"/>
      <c r="Y711" s="62"/>
      <c r="Z711" s="64"/>
      <c r="AA711" s="164"/>
      <c r="AB711" s="62"/>
      <c r="AC711" s="62"/>
      <c r="AD711" s="64"/>
      <c r="AE711" s="164"/>
      <c r="AF711" s="62"/>
      <c r="AG711" s="62"/>
      <c r="AH711" s="337"/>
      <c r="AI711" s="337"/>
      <c r="AJ711" s="337"/>
      <c r="AK711" s="337"/>
      <c r="AL711" s="412"/>
      <c r="AM711" s="414"/>
      <c r="AN711" s="45"/>
      <c r="AO711" s="45"/>
      <c r="AP711" s="45"/>
      <c r="AQ711" s="485"/>
      <c r="AR711" s="485"/>
      <c r="AS711" s="485"/>
      <c r="AT711" s="24"/>
      <c r="AU711" s="24"/>
      <c r="AV711" s="24"/>
      <c r="AW711" s="18">
        <v>24</v>
      </c>
      <c r="AX711" s="69" t="s">
        <v>297</v>
      </c>
      <c r="AY711" s="243" t="s">
        <v>127</v>
      </c>
      <c r="AZ711" s="243" t="str">
        <f t="shared" si="278"/>
        <v>Sockeye</v>
      </c>
      <c r="BA711" s="243" t="s">
        <v>419</v>
      </c>
      <c r="BB711" s="246"/>
      <c r="BC711" s="43" t="str">
        <f t="shared" si="279"/>
        <v>-</v>
      </c>
      <c r="BD711" s="43">
        <f t="shared" si="297"/>
        <v>0</v>
      </c>
      <c r="BE711" s="193">
        <f t="shared" si="295"/>
        <v>0</v>
      </c>
      <c r="BF711" s="193">
        <f t="shared" si="280"/>
        <v>0</v>
      </c>
      <c r="BG711" s="193">
        <f t="shared" si="281"/>
        <v>0</v>
      </c>
      <c r="BH711" s="307" t="str">
        <f t="shared" si="296"/>
        <v>-</v>
      </c>
      <c r="BI711" s="266"/>
      <c r="BJ711" s="26" t="str">
        <f t="shared" si="282"/>
        <v>RILEY CREEKSockeye</v>
      </c>
      <c r="BK711" s="26">
        <f t="shared" si="283"/>
        <v>0</v>
      </c>
      <c r="BL711" s="33">
        <f t="shared" si="298"/>
        <v>0</v>
      </c>
      <c r="BQ711" s="47" t="str">
        <f t="shared" si="284"/>
        <v>RILEY CREEKSockeye</v>
      </c>
      <c r="BR711" s="49">
        <f t="shared" si="285"/>
        <v>0</v>
      </c>
      <c r="BS711" s="49">
        <f t="shared" si="294"/>
        <v>0</v>
      </c>
      <c r="BT711" s="31">
        <v>0</v>
      </c>
      <c r="BU711" s="188">
        <f t="shared" si="286"/>
        <v>0</v>
      </c>
      <c r="BV711" s="188" t="str">
        <f t="shared" si="287"/>
        <v xml:space="preserve"> </v>
      </c>
      <c r="BW711" s="188" t="str">
        <f t="shared" si="288"/>
        <v xml:space="preserve"> </v>
      </c>
      <c r="BX711" s="188" t="str">
        <f t="shared" si="289"/>
        <v xml:space="preserve"> </v>
      </c>
      <c r="BY711" s="50" t="str">
        <f t="shared" si="300"/>
        <v>RILEY CREEK_Sockeye</v>
      </c>
      <c r="BZ711" s="50" t="str">
        <f>IFERROR(VLOOKUP(BY711,'[1]WCVI Esc'!$C$5:$W$555,18,FALSE),"-")</f>
        <v>-</v>
      </c>
      <c r="CA711" s="50" t="str">
        <f t="shared" si="290"/>
        <v>-</v>
      </c>
      <c r="CB711" s="50" t="str">
        <f>IFERROR(VLOOKUP(BY711,'[1]WCVI Esc'!$C$5:$W$555,19,FALSE),"-")</f>
        <v>-</v>
      </c>
      <c r="CC711" s="50" t="str">
        <f t="shared" si="291"/>
        <v>-</v>
      </c>
      <c r="CE711" s="342" t="str">
        <f t="shared" si="299"/>
        <v>RILEY CREEK_Sockeye</v>
      </c>
      <c r="CF711" s="341" t="str">
        <f>IFERROR(VLOOKUP(BY711,'RawPL+D'!$O$8:$AB$503,12,FALSE),"-")</f>
        <v>-</v>
      </c>
      <c r="CG711" s="338" t="str">
        <f t="shared" si="292"/>
        <v>-</v>
      </c>
      <c r="CH711" s="341" t="str">
        <f>IFERROR(VLOOKUP(BY711,'RawPL+D'!$O$8:$AB$503,13,FALSE),"-")</f>
        <v>-</v>
      </c>
      <c r="CI711" s="338" t="str">
        <f t="shared" si="293"/>
        <v>-</v>
      </c>
    </row>
    <row r="712" spans="1:87" ht="12.75" hidden="1" customHeight="1" x14ac:dyDescent="0.2">
      <c r="A712" s="28">
        <v>4</v>
      </c>
      <c r="B712" s="28">
        <v>2</v>
      </c>
      <c r="C712" s="11">
        <v>24</v>
      </c>
      <c r="D712" s="13" t="s">
        <v>297</v>
      </c>
      <c r="E712" s="10" t="s">
        <v>127</v>
      </c>
      <c r="F712" s="10" t="s">
        <v>219</v>
      </c>
      <c r="G712" s="10"/>
      <c r="H712" s="10"/>
      <c r="I712" s="10"/>
      <c r="J712" s="10"/>
      <c r="K712" s="575"/>
      <c r="L712" s="152"/>
      <c r="M712" s="164"/>
      <c r="N712" s="62"/>
      <c r="O712" s="62"/>
      <c r="P712" s="177"/>
      <c r="Q712" s="171"/>
      <c r="R712" s="62"/>
      <c r="S712" s="64"/>
      <c r="T712" s="62"/>
      <c r="U712" s="64"/>
      <c r="V712" s="164"/>
      <c r="W712" s="62"/>
      <c r="X712" s="62"/>
      <c r="Y712" s="62"/>
      <c r="Z712" s="64"/>
      <c r="AA712" s="164"/>
      <c r="AB712" s="62"/>
      <c r="AC712" s="62"/>
      <c r="AD712" s="64"/>
      <c r="AE712" s="164"/>
      <c r="AF712" s="62"/>
      <c r="AG712" s="62"/>
      <c r="AH712" s="337"/>
      <c r="AI712" s="337"/>
      <c r="AJ712" s="337"/>
      <c r="AK712" s="337"/>
      <c r="AL712" s="412"/>
      <c r="AM712" s="414"/>
      <c r="AN712" s="45"/>
      <c r="AO712" s="45"/>
      <c r="AP712" s="45"/>
      <c r="AQ712" s="485"/>
      <c r="AR712" s="485"/>
      <c r="AS712" s="485"/>
      <c r="AT712" s="24"/>
      <c r="AU712" s="24"/>
      <c r="AV712" s="24"/>
      <c r="AW712" s="18">
        <v>24</v>
      </c>
      <c r="AX712" s="69" t="s">
        <v>297</v>
      </c>
      <c r="AY712" s="243" t="s">
        <v>127</v>
      </c>
      <c r="AZ712" s="243" t="str">
        <f t="shared" si="278"/>
        <v>Coho</v>
      </c>
      <c r="BA712" s="243" t="s">
        <v>419</v>
      </c>
      <c r="BB712" s="246"/>
      <c r="BC712" s="43" t="str">
        <f t="shared" si="279"/>
        <v>-</v>
      </c>
      <c r="BD712" s="43">
        <f t="shared" si="297"/>
        <v>0</v>
      </c>
      <c r="BE712" s="193">
        <f t="shared" si="295"/>
        <v>0</v>
      </c>
      <c r="BF712" s="193">
        <f t="shared" si="280"/>
        <v>0</v>
      </c>
      <c r="BG712" s="193">
        <f t="shared" si="281"/>
        <v>0</v>
      </c>
      <c r="BH712" s="307">
        <f t="shared" si="296"/>
        <v>0</v>
      </c>
      <c r="BI712" s="266"/>
      <c r="BJ712" s="26" t="str">
        <f t="shared" si="282"/>
        <v>RILEY CREEKCoho</v>
      </c>
      <c r="BK712" s="26">
        <f t="shared" si="283"/>
        <v>0</v>
      </c>
      <c r="BL712" s="33">
        <f t="shared" si="298"/>
        <v>0</v>
      </c>
      <c r="BQ712" s="47" t="str">
        <f t="shared" si="284"/>
        <v>RILEY CREEKCoho</v>
      </c>
      <c r="BR712" s="49">
        <f t="shared" si="285"/>
        <v>0</v>
      </c>
      <c r="BS712" s="49">
        <f t="shared" si="294"/>
        <v>0</v>
      </c>
      <c r="BT712" s="31">
        <v>1995</v>
      </c>
      <c r="BU712" s="188">
        <f t="shared" si="286"/>
        <v>0</v>
      </c>
      <c r="BV712" s="188" t="str">
        <f t="shared" si="287"/>
        <v xml:space="preserve"> </v>
      </c>
      <c r="BW712" s="188" t="str">
        <f t="shared" si="288"/>
        <v xml:space="preserve"> </v>
      </c>
      <c r="BX712" s="188" t="str">
        <f t="shared" si="289"/>
        <v xml:space="preserve"> </v>
      </c>
      <c r="BY712" s="50" t="str">
        <f t="shared" si="300"/>
        <v>RILEY CREEK_Coho</v>
      </c>
      <c r="BZ712" s="50" t="str">
        <f>IFERROR(VLOOKUP(BY712,'[1]WCVI Esc'!$C$5:$W$555,18,FALSE),"-")</f>
        <v>-</v>
      </c>
      <c r="CA712" s="50" t="str">
        <f t="shared" si="290"/>
        <v>-</v>
      </c>
      <c r="CB712" s="50" t="str">
        <f>IFERROR(VLOOKUP(BY712,'[1]WCVI Esc'!$C$5:$W$555,19,FALSE),"-")</f>
        <v>-</v>
      </c>
      <c r="CC712" s="50" t="str">
        <f t="shared" si="291"/>
        <v>-</v>
      </c>
      <c r="CE712" s="342" t="str">
        <f t="shared" si="299"/>
        <v>RILEY CREEK_Coho</v>
      </c>
      <c r="CF712" s="341">
        <f>IFERROR(VLOOKUP(BY712,'RawPL+D'!$O$8:$AB$503,12,FALSE),"-")</f>
        <v>0</v>
      </c>
      <c r="CG712" s="338">
        <f t="shared" si="292"/>
        <v>0</v>
      </c>
      <c r="CH712" s="341">
        <f>IFERROR(VLOOKUP(BY712,'RawPL+D'!$O$8:$AB$503,13,FALSE),"-")</f>
        <v>0</v>
      </c>
      <c r="CI712" s="338">
        <f t="shared" si="293"/>
        <v>0</v>
      </c>
    </row>
    <row r="713" spans="1:87" ht="12.75" hidden="1" customHeight="1" x14ac:dyDescent="0.2">
      <c r="A713" s="28">
        <v>4</v>
      </c>
      <c r="B713" s="28">
        <v>3</v>
      </c>
      <c r="C713" s="11">
        <v>24</v>
      </c>
      <c r="D713" s="13" t="s">
        <v>297</v>
      </c>
      <c r="E713" s="10" t="s">
        <v>127</v>
      </c>
      <c r="F713" s="10" t="s">
        <v>208</v>
      </c>
      <c r="G713" s="10"/>
      <c r="H713" s="10"/>
      <c r="I713" s="10"/>
      <c r="J713" s="10"/>
      <c r="K713" s="575"/>
      <c r="L713" s="152"/>
      <c r="M713" s="164"/>
      <c r="N713" s="62"/>
      <c r="O713" s="62"/>
      <c r="P713" s="177"/>
      <c r="Q713" s="171"/>
      <c r="R713" s="62"/>
      <c r="S713" s="64"/>
      <c r="T713" s="62"/>
      <c r="U713" s="64"/>
      <c r="V713" s="164"/>
      <c r="W713" s="62"/>
      <c r="X713" s="62"/>
      <c r="Y713" s="62"/>
      <c r="Z713" s="64"/>
      <c r="AA713" s="164"/>
      <c r="AB713" s="62"/>
      <c r="AC713" s="62"/>
      <c r="AD713" s="64"/>
      <c r="AE713" s="164"/>
      <c r="AF713" s="62"/>
      <c r="AG713" s="62"/>
      <c r="AH713" s="337"/>
      <c r="AI713" s="337"/>
      <c r="AJ713" s="337"/>
      <c r="AK713" s="337"/>
      <c r="AL713" s="412"/>
      <c r="AM713" s="414"/>
      <c r="AN713" s="45"/>
      <c r="AO713" s="45"/>
      <c r="AP713" s="45"/>
      <c r="AQ713" s="485"/>
      <c r="AR713" s="485"/>
      <c r="AS713" s="485"/>
      <c r="AT713" s="24"/>
      <c r="AU713" s="24"/>
      <c r="AV713" s="24"/>
      <c r="AW713" s="18">
        <v>24</v>
      </c>
      <c r="AX713" s="69" t="s">
        <v>297</v>
      </c>
      <c r="AY713" s="243" t="s">
        <v>127</v>
      </c>
      <c r="AZ713" s="243" t="str">
        <f t="shared" ref="AZ713:AZ776" si="301">F713</f>
        <v>Pink</v>
      </c>
      <c r="BA713" s="243" t="s">
        <v>419</v>
      </c>
      <c r="BB713" s="246"/>
      <c r="BC713" s="43" t="str">
        <f t="shared" ref="BC713:BC776" si="302">IF(BX713=" ",IF(BW713=" ", IF(BV713=" ","-",BV713),BW713), BX713)</f>
        <v>-</v>
      </c>
      <c r="BD713" s="43">
        <f t="shared" si="297"/>
        <v>0</v>
      </c>
      <c r="BE713" s="193">
        <f t="shared" si="295"/>
        <v>0</v>
      </c>
      <c r="BF713" s="193">
        <f t="shared" ref="BF713:BF776" si="303">AL713</f>
        <v>0</v>
      </c>
      <c r="BG713" s="193">
        <f t="shared" ref="BG713:BG776" si="304">AH713</f>
        <v>0</v>
      </c>
      <c r="BH713" s="307" t="str">
        <f t="shared" si="296"/>
        <v>-</v>
      </c>
      <c r="BI713" s="266"/>
      <c r="BJ713" s="26" t="str">
        <f t="shared" ref="BJ713:BJ776" si="305">CONCATENATE(E713,F713)</f>
        <v>RILEY CREEKPink</v>
      </c>
      <c r="BK713" s="26">
        <f t="shared" ref="BK713:BK776" si="306">COUNT(K713:AB713)</f>
        <v>0</v>
      </c>
      <c r="BL713" s="33">
        <f t="shared" si="298"/>
        <v>0</v>
      </c>
      <c r="BQ713" s="47" t="str">
        <f t="shared" ref="BQ713:BQ776" si="307">CONCATENATE(E713,F713)</f>
        <v>RILEY CREEKPink</v>
      </c>
      <c r="BR713" s="49">
        <f t="shared" ref="BR713:BR776" si="308">AP713</f>
        <v>0</v>
      </c>
      <c r="BS713" s="49">
        <f t="shared" si="294"/>
        <v>0</v>
      </c>
      <c r="BT713" s="31">
        <v>0</v>
      </c>
      <c r="BU713" s="188">
        <f t="shared" ref="BU713:BU776" si="309">BB713</f>
        <v>0</v>
      </c>
      <c r="BV713" s="188" t="str">
        <f t="shared" ref="BV713:BV776" si="310">IF(ISNUMBER(Q713),Q$8,IF(ISNUMBER(P713),P$8,IF(ISNUMBER(O713),O$8,IF(ISNUMBER(N713),N$8,IF(ISNUMBER(M713),M$8,IF(ISNUMBER(L713),L$8, IF(ISNUMBER(K713),K$8," ")))))))</f>
        <v xml:space="preserve"> </v>
      </c>
      <c r="BW713" s="188" t="str">
        <f t="shared" ref="BW713:BW776" si="311">IF(ISNUMBER(W713),W$8,IF(ISNUMBER(V713),V$8,IF(ISNUMBER(U713),U$8,IF(ISNUMBER(T713),T$8,IF(ISNUMBER(S713),S$8,IF(ISNUMBER(R713),R$8," "))))))</f>
        <v xml:space="preserve"> </v>
      </c>
      <c r="BX713" s="188" t="str">
        <f t="shared" ref="BX713:BX776" si="312">IF(ISNUMBER(AB713),AB$8,IF(ISNUMBER(AA713),AA$8,IF(ISNUMBER(Z713),Z$8,IF(ISNUMBER(Y713),Y$8,IF(ISNUMBER(X713),X$8," ")))))</f>
        <v xml:space="preserve"> </v>
      </c>
      <c r="BY713" s="50" t="str">
        <f t="shared" si="300"/>
        <v>RILEY CREEK_Pink</v>
      </c>
      <c r="BZ713" s="50" t="str">
        <f>IFERROR(VLOOKUP(BY713,'[1]WCVI Esc'!$C$5:$W$555,18,FALSE),"-")</f>
        <v>-</v>
      </c>
      <c r="CA713" s="50" t="str">
        <f t="shared" ref="CA713:CA776" si="313">IFERROR(ROUND(BZ713,-1),"-")</f>
        <v>-</v>
      </c>
      <c r="CB713" s="50" t="str">
        <f>IFERROR(VLOOKUP(BY713,'[1]WCVI Esc'!$C$5:$W$555,19,FALSE),"-")</f>
        <v>-</v>
      </c>
      <c r="CC713" s="50" t="str">
        <f t="shared" ref="CC713:CC776" si="314">IFERROR(ROUND(CB713,-1),"-")</f>
        <v>-</v>
      </c>
      <c r="CE713" s="342" t="str">
        <f t="shared" si="299"/>
        <v>RILEY CREEK_Pink</v>
      </c>
      <c r="CF713" s="341" t="str">
        <f>IFERROR(VLOOKUP(BY713,'RawPL+D'!$O$8:$AB$503,12,FALSE),"-")</f>
        <v>-</v>
      </c>
      <c r="CG713" s="338" t="str">
        <f t="shared" ref="CG713:CG776" si="315">IFERROR(ROUND(CF713,-1),"-")</f>
        <v>-</v>
      </c>
      <c r="CH713" s="341" t="str">
        <f>IFERROR(VLOOKUP(BY713,'RawPL+D'!$O$8:$AB$503,13,FALSE),"-")</f>
        <v>-</v>
      </c>
      <c r="CI713" s="338" t="str">
        <f t="shared" ref="CI713:CI776" si="316">IFERROR(ROUND(CH713,-1),"-")</f>
        <v>-</v>
      </c>
    </row>
    <row r="714" spans="1:87" ht="12.75" hidden="1" customHeight="1" x14ac:dyDescent="0.2">
      <c r="A714" s="28">
        <v>4</v>
      </c>
      <c r="B714" s="28">
        <v>4</v>
      </c>
      <c r="C714" s="11">
        <v>24</v>
      </c>
      <c r="D714" s="13" t="s">
        <v>297</v>
      </c>
      <c r="E714" s="10" t="s">
        <v>127</v>
      </c>
      <c r="F714" s="10" t="s">
        <v>209</v>
      </c>
      <c r="G714" s="10"/>
      <c r="H714" s="10"/>
      <c r="I714" s="10"/>
      <c r="J714" s="10"/>
      <c r="K714" s="575"/>
      <c r="L714" s="152"/>
      <c r="M714" s="164"/>
      <c r="N714" s="62"/>
      <c r="O714" s="62"/>
      <c r="P714" s="177"/>
      <c r="Q714" s="171"/>
      <c r="R714" s="62"/>
      <c r="S714" s="62"/>
      <c r="T714" s="62"/>
      <c r="U714" s="64"/>
      <c r="V714" s="164"/>
      <c r="W714" s="62"/>
      <c r="X714" s="62"/>
      <c r="Y714" s="62"/>
      <c r="Z714" s="64"/>
      <c r="AA714" s="164"/>
      <c r="AB714" s="62"/>
      <c r="AC714" s="62"/>
      <c r="AD714" s="64"/>
      <c r="AE714" s="164"/>
      <c r="AF714" s="62"/>
      <c r="AG714" s="62"/>
      <c r="AH714" s="337"/>
      <c r="AI714" s="337"/>
      <c r="AJ714" s="337"/>
      <c r="AK714" s="337"/>
      <c r="AL714" s="412"/>
      <c r="AM714" s="414"/>
      <c r="AN714" s="45"/>
      <c r="AO714" s="45"/>
      <c r="AP714" s="45"/>
      <c r="AQ714" s="485"/>
      <c r="AR714" s="485"/>
      <c r="AS714" s="485"/>
      <c r="AT714" s="24"/>
      <c r="AU714" s="24"/>
      <c r="AV714" s="24"/>
      <c r="AW714" s="18">
        <v>24</v>
      </c>
      <c r="AX714" s="69" t="s">
        <v>297</v>
      </c>
      <c r="AY714" s="243" t="s">
        <v>127</v>
      </c>
      <c r="AZ714" s="243" t="str">
        <f t="shared" si="301"/>
        <v>Chum</v>
      </c>
      <c r="BA714" s="243" t="s">
        <v>419</v>
      </c>
      <c r="BB714" s="246"/>
      <c r="BC714" s="43" t="str">
        <f t="shared" si="302"/>
        <v>-</v>
      </c>
      <c r="BD714" s="43">
        <f t="shared" si="297"/>
        <v>0</v>
      </c>
      <c r="BE714" s="193">
        <f t="shared" si="295"/>
        <v>0</v>
      </c>
      <c r="BF714" s="193">
        <f t="shared" si="303"/>
        <v>0</v>
      </c>
      <c r="BG714" s="193">
        <f t="shared" si="304"/>
        <v>0</v>
      </c>
      <c r="BH714" s="307">
        <f t="shared" si="296"/>
        <v>0</v>
      </c>
      <c r="BI714" s="266"/>
      <c r="BJ714" s="26" t="str">
        <f t="shared" si="305"/>
        <v>RILEY CREEKChum</v>
      </c>
      <c r="BK714" s="26">
        <f t="shared" si="306"/>
        <v>0</v>
      </c>
      <c r="BL714" s="33">
        <f t="shared" si="298"/>
        <v>0</v>
      </c>
      <c r="BQ714" s="47" t="str">
        <f t="shared" si="307"/>
        <v>RILEY CREEKChum</v>
      </c>
      <c r="BR714" s="49">
        <f t="shared" si="308"/>
        <v>0</v>
      </c>
      <c r="BS714" s="49">
        <f t="shared" si="294"/>
        <v>0</v>
      </c>
      <c r="BT714" s="31">
        <v>1995</v>
      </c>
      <c r="BU714" s="188">
        <f t="shared" si="309"/>
        <v>0</v>
      </c>
      <c r="BV714" s="188" t="str">
        <f t="shared" si="310"/>
        <v xml:space="preserve"> </v>
      </c>
      <c r="BW714" s="188" t="str">
        <f t="shared" si="311"/>
        <v xml:space="preserve"> </v>
      </c>
      <c r="BX714" s="188" t="str">
        <f t="shared" si="312"/>
        <v xml:space="preserve"> </v>
      </c>
      <c r="BY714" s="50" t="str">
        <f t="shared" si="300"/>
        <v>RILEY CREEK_Chum</v>
      </c>
      <c r="BZ714" s="50" t="str">
        <f>IFERROR(VLOOKUP(BY714,'[1]WCVI Esc'!$C$5:$W$555,18,FALSE),"-")</f>
        <v>-</v>
      </c>
      <c r="CA714" s="50" t="str">
        <f t="shared" si="313"/>
        <v>-</v>
      </c>
      <c r="CB714" s="50" t="str">
        <f>IFERROR(VLOOKUP(BY714,'[1]WCVI Esc'!$C$5:$W$555,19,FALSE),"-")</f>
        <v>-</v>
      </c>
      <c r="CC714" s="50" t="str">
        <f t="shared" si="314"/>
        <v>-</v>
      </c>
      <c r="CE714" s="342" t="str">
        <f t="shared" si="299"/>
        <v>RILEY CREEK_Chum</v>
      </c>
      <c r="CF714" s="341">
        <f>IFERROR(VLOOKUP(BY714,'RawPL+D'!$O$8:$AB$503,12,FALSE),"-")</f>
        <v>0</v>
      </c>
      <c r="CG714" s="338">
        <f t="shared" si="315"/>
        <v>0</v>
      </c>
      <c r="CH714" s="341">
        <f>IFERROR(VLOOKUP(BY714,'RawPL+D'!$O$8:$AB$503,13,FALSE),"-")</f>
        <v>0</v>
      </c>
      <c r="CI714" s="338">
        <f t="shared" si="316"/>
        <v>0</v>
      </c>
    </row>
    <row r="715" spans="1:87" ht="12.75" hidden="1" customHeight="1" x14ac:dyDescent="0.2">
      <c r="A715" s="28">
        <v>4</v>
      </c>
      <c r="B715" s="28">
        <v>5</v>
      </c>
      <c r="C715" s="11">
        <v>24</v>
      </c>
      <c r="D715" s="13" t="s">
        <v>297</v>
      </c>
      <c r="E715" s="10" t="s">
        <v>127</v>
      </c>
      <c r="F715" s="10" t="s">
        <v>210</v>
      </c>
      <c r="G715" s="10"/>
      <c r="H715" s="10"/>
      <c r="I715" s="10"/>
      <c r="J715" s="10"/>
      <c r="K715" s="575"/>
      <c r="L715" s="152"/>
      <c r="M715" s="164"/>
      <c r="N715" s="62"/>
      <c r="O715" s="62"/>
      <c r="P715" s="177"/>
      <c r="Q715" s="171"/>
      <c r="R715" s="62"/>
      <c r="S715" s="62"/>
      <c r="T715" s="62"/>
      <c r="U715" s="64"/>
      <c r="V715" s="164"/>
      <c r="W715" s="62"/>
      <c r="X715" s="62"/>
      <c r="Y715" s="62"/>
      <c r="Z715" s="64"/>
      <c r="AA715" s="164"/>
      <c r="AB715" s="62"/>
      <c r="AC715" s="62"/>
      <c r="AD715" s="64"/>
      <c r="AE715" s="164"/>
      <c r="AF715" s="62"/>
      <c r="AG715" s="62"/>
      <c r="AH715" s="337"/>
      <c r="AI715" s="337"/>
      <c r="AJ715" s="337"/>
      <c r="AK715" s="337"/>
      <c r="AL715" s="412"/>
      <c r="AM715" s="414"/>
      <c r="AN715" s="45"/>
      <c r="AO715" s="45"/>
      <c r="AP715" s="45"/>
      <c r="AQ715" s="485"/>
      <c r="AR715" s="485"/>
      <c r="AS715" s="485"/>
      <c r="AT715" s="24"/>
      <c r="AU715" s="24"/>
      <c r="AV715" s="24"/>
      <c r="AW715" s="18">
        <v>24</v>
      </c>
      <c r="AX715" s="69" t="s">
        <v>297</v>
      </c>
      <c r="AY715" s="243" t="s">
        <v>127</v>
      </c>
      <c r="AZ715" s="243" t="str">
        <f t="shared" si="301"/>
        <v>Chinook</v>
      </c>
      <c r="BA715" s="243" t="s">
        <v>419</v>
      </c>
      <c r="BB715" s="246"/>
      <c r="BC715" s="43" t="str">
        <f t="shared" si="302"/>
        <v>-</v>
      </c>
      <c r="BD715" s="43">
        <f t="shared" si="297"/>
        <v>0</v>
      </c>
      <c r="BE715" s="193">
        <f t="shared" si="295"/>
        <v>0</v>
      </c>
      <c r="BF715" s="193">
        <f t="shared" si="303"/>
        <v>0</v>
      </c>
      <c r="BG715" s="193">
        <f t="shared" si="304"/>
        <v>0</v>
      </c>
      <c r="BH715" s="307" t="str">
        <f t="shared" si="296"/>
        <v>-</v>
      </c>
      <c r="BI715" s="266"/>
      <c r="BJ715" s="26" t="str">
        <f t="shared" si="305"/>
        <v>RILEY CREEKChinook</v>
      </c>
      <c r="BK715" s="26">
        <f t="shared" si="306"/>
        <v>0</v>
      </c>
      <c r="BL715" s="33">
        <f t="shared" si="298"/>
        <v>0</v>
      </c>
      <c r="BQ715" s="47" t="str">
        <f t="shared" si="307"/>
        <v>RILEY CREEKChinook</v>
      </c>
      <c r="BR715" s="49">
        <f t="shared" si="308"/>
        <v>0</v>
      </c>
      <c r="BS715" s="49">
        <f t="shared" si="294"/>
        <v>0</v>
      </c>
      <c r="BT715" s="31">
        <v>0</v>
      </c>
      <c r="BU715" s="188">
        <f t="shared" si="309"/>
        <v>0</v>
      </c>
      <c r="BV715" s="188" t="str">
        <f t="shared" si="310"/>
        <v xml:space="preserve"> </v>
      </c>
      <c r="BW715" s="188" t="str">
        <f t="shared" si="311"/>
        <v xml:space="preserve"> </v>
      </c>
      <c r="BX715" s="188" t="str">
        <f t="shared" si="312"/>
        <v xml:space="preserve"> </v>
      </c>
      <c r="BY715" s="50" t="str">
        <f t="shared" si="300"/>
        <v>RILEY CREEK_Chinook</v>
      </c>
      <c r="BZ715" s="50" t="str">
        <f>IFERROR(VLOOKUP(BY715,'[1]WCVI Esc'!$C$5:$W$555,18,FALSE),"-")</f>
        <v>-</v>
      </c>
      <c r="CA715" s="50" t="str">
        <f t="shared" si="313"/>
        <v>-</v>
      </c>
      <c r="CB715" s="50" t="str">
        <f>IFERROR(VLOOKUP(BY715,'[1]WCVI Esc'!$C$5:$W$555,19,FALSE),"-")</f>
        <v>-</v>
      </c>
      <c r="CC715" s="50" t="str">
        <f t="shared" si="314"/>
        <v>-</v>
      </c>
      <c r="CE715" s="342" t="str">
        <f t="shared" si="299"/>
        <v>RILEY CREEK_Chinook</v>
      </c>
      <c r="CF715" s="341" t="str">
        <f>IFERROR(VLOOKUP(BY715,'RawPL+D'!$O$8:$AB$503,12,FALSE),"-")</f>
        <v>-</v>
      </c>
      <c r="CG715" s="338" t="str">
        <f t="shared" si="315"/>
        <v>-</v>
      </c>
      <c r="CH715" s="341" t="str">
        <f>IFERROR(VLOOKUP(BY715,'RawPL+D'!$O$8:$AB$503,13,FALSE),"-")</f>
        <v>-</v>
      </c>
      <c r="CI715" s="338" t="str">
        <f t="shared" si="316"/>
        <v>-</v>
      </c>
    </row>
    <row r="716" spans="1:87" ht="12.75" hidden="1" customHeight="1" x14ac:dyDescent="0.2">
      <c r="A716" s="28">
        <v>4</v>
      </c>
      <c r="B716" s="28">
        <v>6</v>
      </c>
      <c r="C716" s="11">
        <v>24</v>
      </c>
      <c r="D716" s="13" t="s">
        <v>297</v>
      </c>
      <c r="E716" s="10" t="s">
        <v>127</v>
      </c>
      <c r="F716" s="10" t="s">
        <v>211</v>
      </c>
      <c r="G716" s="10"/>
      <c r="H716" s="10"/>
      <c r="I716" s="10"/>
      <c r="J716" s="10"/>
      <c r="K716" s="575"/>
      <c r="L716" s="152"/>
      <c r="M716" s="164"/>
      <c r="N716" s="62"/>
      <c r="O716" s="62"/>
      <c r="P716" s="177"/>
      <c r="Q716" s="171"/>
      <c r="R716" s="62"/>
      <c r="S716" s="62"/>
      <c r="T716" s="62"/>
      <c r="U716" s="64"/>
      <c r="V716" s="164"/>
      <c r="W716" s="62"/>
      <c r="X716" s="62"/>
      <c r="Y716" s="62"/>
      <c r="Z716" s="64"/>
      <c r="AA716" s="164"/>
      <c r="AB716" s="62"/>
      <c r="AC716" s="62"/>
      <c r="AD716" s="64"/>
      <c r="AE716" s="164"/>
      <c r="AF716" s="62"/>
      <c r="AG716" s="62"/>
      <c r="AH716" s="337"/>
      <c r="AI716" s="337"/>
      <c r="AJ716" s="337"/>
      <c r="AK716" s="337"/>
      <c r="AL716" s="412"/>
      <c r="AM716" s="414"/>
      <c r="AN716" s="45"/>
      <c r="AO716" s="45"/>
      <c r="AP716" s="45"/>
      <c r="AQ716" s="485"/>
      <c r="AR716" s="485"/>
      <c r="AS716" s="485"/>
      <c r="AT716" s="24"/>
      <c r="AU716" s="24"/>
      <c r="AV716" s="24"/>
      <c r="AW716" s="18">
        <v>24</v>
      </c>
      <c r="AX716" s="69" t="s">
        <v>297</v>
      </c>
      <c r="AY716" s="243" t="s">
        <v>127</v>
      </c>
      <c r="AZ716" s="243" t="str">
        <f t="shared" si="301"/>
        <v>Steelhead</v>
      </c>
      <c r="BA716" s="243" t="s">
        <v>419</v>
      </c>
      <c r="BB716" s="246"/>
      <c r="BC716" s="43" t="str">
        <f t="shared" si="302"/>
        <v>-</v>
      </c>
      <c r="BD716" s="43">
        <f t="shared" si="297"/>
        <v>0</v>
      </c>
      <c r="BE716" s="193">
        <f t="shared" si="295"/>
        <v>0</v>
      </c>
      <c r="BF716" s="193">
        <f t="shared" si="303"/>
        <v>0</v>
      </c>
      <c r="BG716" s="193">
        <f t="shared" si="304"/>
        <v>0</v>
      </c>
      <c r="BH716" s="307" t="str">
        <f t="shared" si="296"/>
        <v>-</v>
      </c>
      <c r="BI716" s="266"/>
      <c r="BJ716" s="26" t="str">
        <f t="shared" si="305"/>
        <v>RILEY CREEKSteelhead</v>
      </c>
      <c r="BK716" s="26">
        <f t="shared" si="306"/>
        <v>0</v>
      </c>
      <c r="BL716" s="33">
        <f t="shared" si="298"/>
        <v>0</v>
      </c>
      <c r="BQ716" s="47" t="str">
        <f t="shared" si="307"/>
        <v>RILEY CREEKSteelhead</v>
      </c>
      <c r="BR716" s="49">
        <f t="shared" si="308"/>
        <v>0</v>
      </c>
      <c r="BS716" s="49">
        <f t="shared" si="294"/>
        <v>0</v>
      </c>
      <c r="BT716" s="31">
        <v>0</v>
      </c>
      <c r="BU716" s="188">
        <f t="shared" si="309"/>
        <v>0</v>
      </c>
      <c r="BV716" s="188" t="str">
        <f t="shared" si="310"/>
        <v xml:space="preserve"> </v>
      </c>
      <c r="BW716" s="188" t="str">
        <f t="shared" si="311"/>
        <v xml:space="preserve"> </v>
      </c>
      <c r="BX716" s="188" t="str">
        <f t="shared" si="312"/>
        <v xml:space="preserve"> </v>
      </c>
      <c r="BY716" s="50" t="str">
        <f t="shared" si="300"/>
        <v>RILEY CREEK_Steelhead</v>
      </c>
      <c r="BZ716" s="50" t="str">
        <f>IFERROR(VLOOKUP(BY716,'[1]WCVI Esc'!$C$5:$W$555,18,FALSE),"-")</f>
        <v>-</v>
      </c>
      <c r="CA716" s="50" t="str">
        <f t="shared" si="313"/>
        <v>-</v>
      </c>
      <c r="CB716" s="50" t="str">
        <f>IFERROR(VLOOKUP(BY716,'[1]WCVI Esc'!$C$5:$W$555,19,FALSE),"-")</f>
        <v>-</v>
      </c>
      <c r="CC716" s="50" t="str">
        <f t="shared" si="314"/>
        <v>-</v>
      </c>
      <c r="CE716" s="342" t="str">
        <f t="shared" si="299"/>
        <v>RILEY CREEK_Steelhead</v>
      </c>
      <c r="CF716" s="341" t="str">
        <f>IFERROR(VLOOKUP(BY716,'RawPL+D'!$O$8:$AB$503,12,FALSE),"-")</f>
        <v>-</v>
      </c>
      <c r="CG716" s="338" t="str">
        <f t="shared" si="315"/>
        <v>-</v>
      </c>
      <c r="CH716" s="341" t="str">
        <f>IFERROR(VLOOKUP(BY716,'RawPL+D'!$O$8:$AB$503,13,FALSE),"-")</f>
        <v>-</v>
      </c>
      <c r="CI716" s="338" t="str">
        <f t="shared" si="316"/>
        <v>-</v>
      </c>
    </row>
    <row r="717" spans="1:87" ht="12.75" hidden="1" customHeight="1" x14ac:dyDescent="0.2">
      <c r="A717" s="28">
        <v>4</v>
      </c>
      <c r="B717" s="28">
        <v>1</v>
      </c>
      <c r="C717" s="11">
        <v>24</v>
      </c>
      <c r="D717" s="13" t="s">
        <v>297</v>
      </c>
      <c r="E717" s="10" t="s">
        <v>130</v>
      </c>
      <c r="F717" s="10" t="s">
        <v>207</v>
      </c>
      <c r="G717" s="10"/>
      <c r="H717" s="10"/>
      <c r="I717" s="10"/>
      <c r="J717" s="10"/>
      <c r="K717" s="575"/>
      <c r="L717" s="152"/>
      <c r="M717" s="164"/>
      <c r="N717" s="62"/>
      <c r="O717" s="62"/>
      <c r="P717" s="177"/>
      <c r="Q717" s="171"/>
      <c r="R717" s="94"/>
      <c r="S717" s="62"/>
      <c r="T717" s="62"/>
      <c r="U717" s="64"/>
      <c r="V717" s="164"/>
      <c r="W717" s="62"/>
      <c r="X717" s="62"/>
      <c r="Y717" s="62"/>
      <c r="Z717" s="64"/>
      <c r="AA717" s="164"/>
      <c r="AB717" s="62"/>
      <c r="AC717" s="62"/>
      <c r="AD717" s="64"/>
      <c r="AE717" s="164"/>
      <c r="AF717" s="62"/>
      <c r="AG717" s="62"/>
      <c r="AH717" s="337"/>
      <c r="AI717" s="337"/>
      <c r="AJ717" s="337"/>
      <c r="AK717" s="337"/>
      <c r="AL717" s="412"/>
      <c r="AM717" s="414"/>
      <c r="AN717" s="45"/>
      <c r="AO717" s="45"/>
      <c r="AP717" s="45"/>
      <c r="AQ717" s="485">
        <f>AL717/BI717</f>
        <v>0</v>
      </c>
      <c r="AR717" s="485">
        <f>BL717/BI717</f>
        <v>0</v>
      </c>
      <c r="AS717" s="485"/>
      <c r="AT717" s="24"/>
      <c r="AU717" s="24"/>
      <c r="AV717" s="24"/>
      <c r="AW717" s="18">
        <v>24</v>
      </c>
      <c r="AX717" s="69" t="s">
        <v>297</v>
      </c>
      <c r="AY717" s="243" t="s">
        <v>130</v>
      </c>
      <c r="AZ717" s="243" t="str">
        <f t="shared" si="301"/>
        <v>Sockeye</v>
      </c>
      <c r="BA717" s="243" t="s">
        <v>419</v>
      </c>
      <c r="BB717" s="246"/>
      <c r="BC717" s="43" t="str">
        <f t="shared" si="302"/>
        <v>-</v>
      </c>
      <c r="BD717" s="43">
        <f t="shared" si="297"/>
        <v>0</v>
      </c>
      <c r="BE717" s="193">
        <f t="shared" si="295"/>
        <v>0</v>
      </c>
      <c r="BF717" s="193">
        <f t="shared" si="303"/>
        <v>0</v>
      </c>
      <c r="BG717" s="193">
        <f t="shared" si="304"/>
        <v>0</v>
      </c>
      <c r="BH717" s="307" t="str">
        <f t="shared" si="296"/>
        <v>-</v>
      </c>
      <c r="BI717" s="265">
        <f>CC717</f>
        <v>30</v>
      </c>
      <c r="BJ717" s="26" t="str">
        <f t="shared" si="305"/>
        <v>SYDNEY RIVERSockeye</v>
      </c>
      <c r="BK717" s="26">
        <f t="shared" si="306"/>
        <v>0</v>
      </c>
      <c r="BL717" s="33">
        <f t="shared" si="298"/>
        <v>0</v>
      </c>
      <c r="BQ717" s="47" t="str">
        <f t="shared" si="307"/>
        <v>SYDNEY RIVERSockeye</v>
      </c>
      <c r="BR717" s="49">
        <f t="shared" si="308"/>
        <v>0</v>
      </c>
      <c r="BS717" s="49">
        <f t="shared" ref="BS717:BS780" si="317">AL717</f>
        <v>0</v>
      </c>
      <c r="BT717" s="31">
        <v>2010</v>
      </c>
      <c r="BU717" s="188">
        <f t="shared" si="309"/>
        <v>0</v>
      </c>
      <c r="BV717" s="188" t="str">
        <f t="shared" si="310"/>
        <v xml:space="preserve"> </v>
      </c>
      <c r="BW717" s="188" t="str">
        <f t="shared" si="311"/>
        <v xml:space="preserve"> </v>
      </c>
      <c r="BX717" s="188" t="str">
        <f t="shared" si="312"/>
        <v xml:space="preserve"> </v>
      </c>
      <c r="BY717" s="50" t="str">
        <f t="shared" si="300"/>
        <v>SYDNEY RIVER_Sockeye</v>
      </c>
      <c r="BZ717" s="50" t="str">
        <f>IFERROR(VLOOKUP(BY717,'[1]WCVI Esc'!$C$5:$W$555,18,FALSE),"-")</f>
        <v>-</v>
      </c>
      <c r="CA717" s="50" t="str">
        <f t="shared" si="313"/>
        <v>-</v>
      </c>
      <c r="CB717" s="50">
        <f>IFERROR(VLOOKUP(BY717,'[1]WCVI Esc'!$C$5:$W$555,19,FALSE),"-")</f>
        <v>25</v>
      </c>
      <c r="CC717" s="50">
        <f t="shared" si="314"/>
        <v>30</v>
      </c>
      <c r="CE717" s="342" t="str">
        <f t="shared" si="299"/>
        <v>SYDNEY RIVER_Sockeye</v>
      </c>
      <c r="CF717" s="341">
        <f>IFERROR(VLOOKUP(BY717,'RawPL+D'!$O$8:$AB$503,12,FALSE),"-")</f>
        <v>0</v>
      </c>
      <c r="CG717" s="338">
        <f t="shared" si="315"/>
        <v>0</v>
      </c>
      <c r="CH717" s="341" t="str">
        <f>IFERROR(VLOOKUP(BY717,'RawPL+D'!$O$8:$AB$503,13,FALSE),"-")</f>
        <v>-</v>
      </c>
      <c r="CI717" s="338" t="str">
        <f t="shared" si="316"/>
        <v>-</v>
      </c>
    </row>
    <row r="718" spans="1:87" ht="12.75" hidden="1" customHeight="1" x14ac:dyDescent="0.2">
      <c r="A718" s="28">
        <v>4</v>
      </c>
      <c r="B718" s="28">
        <v>2</v>
      </c>
      <c r="C718" s="11">
        <v>24</v>
      </c>
      <c r="D718" s="13" t="s">
        <v>297</v>
      </c>
      <c r="E718" s="10" t="s">
        <v>130</v>
      </c>
      <c r="F718" s="10" t="s">
        <v>219</v>
      </c>
      <c r="G718" s="10"/>
      <c r="H718" s="10"/>
      <c r="I718" s="10"/>
      <c r="J718" s="10"/>
      <c r="K718" s="575"/>
      <c r="L718" s="152"/>
      <c r="M718" s="164"/>
      <c r="N718" s="62"/>
      <c r="O718" s="62"/>
      <c r="P718" s="177"/>
      <c r="Q718" s="171"/>
      <c r="R718" s="94"/>
      <c r="S718" s="62"/>
      <c r="T718" s="62"/>
      <c r="U718" s="64"/>
      <c r="V718" s="164"/>
      <c r="W718" s="62"/>
      <c r="X718" s="62"/>
      <c r="Y718" s="62"/>
      <c r="Z718" s="64"/>
      <c r="AA718" s="164"/>
      <c r="AB718" s="62"/>
      <c r="AC718" s="62"/>
      <c r="AD718" s="64"/>
      <c r="AE718" s="164"/>
      <c r="AF718" s="62"/>
      <c r="AG718" s="62"/>
      <c r="AH718" s="337"/>
      <c r="AI718" s="337"/>
      <c r="AJ718" s="337"/>
      <c r="AK718" s="337"/>
      <c r="AL718" s="412"/>
      <c r="AM718" s="414"/>
      <c r="AN718" s="45"/>
      <c r="AO718" s="45"/>
      <c r="AP718" s="45"/>
      <c r="AQ718" s="485">
        <f>AL718/BI718</f>
        <v>0</v>
      </c>
      <c r="AR718" s="485">
        <f>BL718/BI718</f>
        <v>0</v>
      </c>
      <c r="AS718" s="485"/>
      <c r="AT718" s="24"/>
      <c r="AU718" s="24"/>
      <c r="AV718" s="24"/>
      <c r="AW718" s="18">
        <v>24</v>
      </c>
      <c r="AX718" s="69" t="s">
        <v>297</v>
      </c>
      <c r="AY718" s="243" t="s">
        <v>130</v>
      </c>
      <c r="AZ718" s="243" t="str">
        <f t="shared" si="301"/>
        <v>Coho</v>
      </c>
      <c r="BA718" s="243" t="s">
        <v>419</v>
      </c>
      <c r="BB718" s="246"/>
      <c r="BC718" s="43" t="str">
        <f t="shared" si="302"/>
        <v>-</v>
      </c>
      <c r="BD718" s="43">
        <f t="shared" si="297"/>
        <v>0</v>
      </c>
      <c r="BE718" s="193">
        <f t="shared" si="295"/>
        <v>0</v>
      </c>
      <c r="BF718" s="193">
        <f t="shared" si="303"/>
        <v>0</v>
      </c>
      <c r="BG718" s="193">
        <f t="shared" si="304"/>
        <v>0</v>
      </c>
      <c r="BH718" s="307">
        <f t="shared" si="296"/>
        <v>0</v>
      </c>
      <c r="BI718" s="265">
        <f>CC718</f>
        <v>400</v>
      </c>
      <c r="BJ718" s="26" t="str">
        <f t="shared" si="305"/>
        <v>SYDNEY RIVERCoho</v>
      </c>
      <c r="BK718" s="26">
        <f t="shared" si="306"/>
        <v>0</v>
      </c>
      <c r="BL718" s="33">
        <f t="shared" si="298"/>
        <v>0</v>
      </c>
      <c r="BQ718" s="47" t="str">
        <f t="shared" si="307"/>
        <v>SYDNEY RIVERCoho</v>
      </c>
      <c r="BR718" s="49">
        <f t="shared" si="308"/>
        <v>0</v>
      </c>
      <c r="BS718" s="49">
        <f t="shared" si="317"/>
        <v>0</v>
      </c>
      <c r="BT718" s="31">
        <v>2013</v>
      </c>
      <c r="BU718" s="188">
        <f t="shared" si="309"/>
        <v>0</v>
      </c>
      <c r="BV718" s="188" t="str">
        <f t="shared" si="310"/>
        <v xml:space="preserve"> </v>
      </c>
      <c r="BW718" s="188" t="str">
        <f t="shared" si="311"/>
        <v xml:space="preserve"> </v>
      </c>
      <c r="BX718" s="188" t="str">
        <f t="shared" si="312"/>
        <v xml:space="preserve"> </v>
      </c>
      <c r="BY718" s="50" t="str">
        <f t="shared" si="300"/>
        <v>SYDNEY RIVER_Coho</v>
      </c>
      <c r="BZ718" s="50" t="str">
        <f>IFERROR(VLOOKUP(BY718,'[1]WCVI Esc'!$C$5:$W$555,18,FALSE),"-")</f>
        <v>-</v>
      </c>
      <c r="CA718" s="50" t="str">
        <f t="shared" si="313"/>
        <v>-</v>
      </c>
      <c r="CB718" s="50">
        <f>IFERROR(VLOOKUP(BY718,'[1]WCVI Esc'!$C$5:$W$555,19,FALSE),"-")</f>
        <v>401</v>
      </c>
      <c r="CC718" s="50">
        <f t="shared" si="314"/>
        <v>400</v>
      </c>
      <c r="CE718" s="342" t="str">
        <f t="shared" si="299"/>
        <v>SYDNEY RIVER_Coho</v>
      </c>
      <c r="CF718" s="341">
        <f>IFERROR(VLOOKUP(BY718,'RawPL+D'!$O$8:$AB$503,12,FALSE),"-")</f>
        <v>0</v>
      </c>
      <c r="CG718" s="338">
        <f t="shared" si="315"/>
        <v>0</v>
      </c>
      <c r="CH718" s="341">
        <f>IFERROR(VLOOKUP(BY718,'RawPL+D'!$O$8:$AB$503,13,FALSE),"-")</f>
        <v>0</v>
      </c>
      <c r="CI718" s="338">
        <f t="shared" si="316"/>
        <v>0</v>
      </c>
    </row>
    <row r="719" spans="1:87" ht="12.75" hidden="1" customHeight="1" x14ac:dyDescent="0.2">
      <c r="A719" s="28">
        <v>4</v>
      </c>
      <c r="B719" s="28">
        <v>3</v>
      </c>
      <c r="C719" s="11">
        <v>24</v>
      </c>
      <c r="D719" s="13" t="s">
        <v>297</v>
      </c>
      <c r="E719" s="10" t="s">
        <v>130</v>
      </c>
      <c r="F719" s="10" t="s">
        <v>208</v>
      </c>
      <c r="G719" s="10"/>
      <c r="H719" s="10"/>
      <c r="I719" s="10"/>
      <c r="J719" s="10"/>
      <c r="K719" s="575"/>
      <c r="L719" s="152"/>
      <c r="M719" s="164"/>
      <c r="N719" s="62"/>
      <c r="O719" s="62"/>
      <c r="P719" s="177"/>
      <c r="Q719" s="171"/>
      <c r="R719" s="94"/>
      <c r="S719" s="62"/>
      <c r="T719" s="62"/>
      <c r="U719" s="64"/>
      <c r="V719" s="164"/>
      <c r="W719" s="62"/>
      <c r="X719" s="62"/>
      <c r="Y719" s="62"/>
      <c r="Z719" s="64"/>
      <c r="AA719" s="164"/>
      <c r="AB719" s="62"/>
      <c r="AC719" s="62"/>
      <c r="AD719" s="64"/>
      <c r="AE719" s="164"/>
      <c r="AF719" s="62"/>
      <c r="AG719" s="62"/>
      <c r="AH719" s="337"/>
      <c r="AI719" s="337"/>
      <c r="AJ719" s="337"/>
      <c r="AK719" s="337"/>
      <c r="AL719" s="412"/>
      <c r="AM719" s="414"/>
      <c r="AN719" s="45"/>
      <c r="AO719" s="45"/>
      <c r="AP719" s="45"/>
      <c r="AQ719" s="485"/>
      <c r="AR719" s="485"/>
      <c r="AS719" s="485"/>
      <c r="AT719" s="24"/>
      <c r="AU719" s="24"/>
      <c r="AV719" s="24"/>
      <c r="AW719" s="18">
        <v>24</v>
      </c>
      <c r="AX719" s="69" t="s">
        <v>297</v>
      </c>
      <c r="AY719" s="243" t="s">
        <v>130</v>
      </c>
      <c r="AZ719" s="243" t="str">
        <f t="shared" si="301"/>
        <v>Pink</v>
      </c>
      <c r="BA719" s="243" t="s">
        <v>419</v>
      </c>
      <c r="BB719" s="246"/>
      <c r="BC719" s="43" t="str">
        <f t="shared" si="302"/>
        <v>-</v>
      </c>
      <c r="BD719" s="43">
        <f t="shared" si="297"/>
        <v>0</v>
      </c>
      <c r="BE719" s="193">
        <f t="shared" si="295"/>
        <v>0</v>
      </c>
      <c r="BF719" s="193">
        <f t="shared" si="303"/>
        <v>0</v>
      </c>
      <c r="BG719" s="193">
        <f t="shared" si="304"/>
        <v>0</v>
      </c>
      <c r="BH719" s="307">
        <f t="shared" si="296"/>
        <v>0</v>
      </c>
      <c r="BI719" s="266"/>
      <c r="BJ719" s="26" t="str">
        <f t="shared" si="305"/>
        <v>SYDNEY RIVERPink</v>
      </c>
      <c r="BK719" s="26">
        <f t="shared" si="306"/>
        <v>0</v>
      </c>
      <c r="BL719" s="33">
        <f t="shared" si="298"/>
        <v>0</v>
      </c>
      <c r="BQ719" s="47" t="str">
        <f t="shared" si="307"/>
        <v>SYDNEY RIVERPink</v>
      </c>
      <c r="BR719" s="49">
        <f t="shared" si="308"/>
        <v>0</v>
      </c>
      <c r="BS719" s="49">
        <f t="shared" si="317"/>
        <v>0</v>
      </c>
      <c r="BT719" s="31">
        <v>0</v>
      </c>
      <c r="BU719" s="188">
        <f t="shared" si="309"/>
        <v>0</v>
      </c>
      <c r="BV719" s="188" t="str">
        <f t="shared" si="310"/>
        <v xml:space="preserve"> </v>
      </c>
      <c r="BW719" s="188" t="str">
        <f t="shared" si="311"/>
        <v xml:space="preserve"> </v>
      </c>
      <c r="BX719" s="188" t="str">
        <f t="shared" si="312"/>
        <v xml:space="preserve"> </v>
      </c>
      <c r="BY719" s="50" t="str">
        <f t="shared" si="300"/>
        <v>SYDNEY RIVER_Pink</v>
      </c>
      <c r="BZ719" s="50" t="str">
        <f>IFERROR(VLOOKUP(BY719,'[1]WCVI Esc'!$C$5:$W$555,18,FALSE),"-")</f>
        <v>-</v>
      </c>
      <c r="CA719" s="50" t="str">
        <f t="shared" si="313"/>
        <v>-</v>
      </c>
      <c r="CB719" s="50" t="str">
        <f>IFERROR(VLOOKUP(BY719,'[1]WCVI Esc'!$C$5:$W$555,19,FALSE),"-")</f>
        <v>-</v>
      </c>
      <c r="CC719" s="50" t="str">
        <f t="shared" si="314"/>
        <v>-</v>
      </c>
      <c r="CE719" s="342" t="str">
        <f t="shared" si="299"/>
        <v>SYDNEY RIVER_Pink</v>
      </c>
      <c r="CF719" s="341">
        <f>IFERROR(VLOOKUP(BY719,'RawPL+D'!$O$8:$AB$503,12,FALSE),"-")</f>
        <v>0</v>
      </c>
      <c r="CG719" s="338">
        <f t="shared" si="315"/>
        <v>0</v>
      </c>
      <c r="CH719" s="341">
        <f>IFERROR(VLOOKUP(BY719,'RawPL+D'!$O$8:$AB$503,13,FALSE),"-")</f>
        <v>0</v>
      </c>
      <c r="CI719" s="338">
        <f t="shared" si="316"/>
        <v>0</v>
      </c>
    </row>
    <row r="720" spans="1:87" ht="12.75" hidden="1" customHeight="1" x14ac:dyDescent="0.2">
      <c r="A720" s="28">
        <v>4</v>
      </c>
      <c r="B720" s="28">
        <v>4</v>
      </c>
      <c r="C720" s="11">
        <v>24</v>
      </c>
      <c r="D720" s="13" t="s">
        <v>297</v>
      </c>
      <c r="E720" s="10" t="s">
        <v>130</v>
      </c>
      <c r="F720" s="10" t="s">
        <v>209</v>
      </c>
      <c r="G720" s="10"/>
      <c r="H720" s="10"/>
      <c r="I720" s="10"/>
      <c r="J720" s="10"/>
      <c r="K720" s="575"/>
      <c r="L720" s="152"/>
      <c r="M720" s="164"/>
      <c r="N720" s="62"/>
      <c r="O720" s="62"/>
      <c r="P720" s="177"/>
      <c r="Q720" s="171"/>
      <c r="R720" s="94"/>
      <c r="S720" s="431"/>
      <c r="T720" s="62"/>
      <c r="U720" s="64"/>
      <c r="V720" s="164"/>
      <c r="W720" s="62"/>
      <c r="X720" s="62"/>
      <c r="Y720" s="62"/>
      <c r="Z720" s="64"/>
      <c r="AA720" s="164"/>
      <c r="AB720" s="62"/>
      <c r="AC720" s="62"/>
      <c r="AD720" s="64"/>
      <c r="AE720" s="164"/>
      <c r="AF720" s="62"/>
      <c r="AG720" s="62"/>
      <c r="AH720" s="337"/>
      <c r="AI720" s="337"/>
      <c r="AJ720" s="337"/>
      <c r="AK720" s="337"/>
      <c r="AL720" s="412"/>
      <c r="AM720" s="414"/>
      <c r="AN720" s="45"/>
      <c r="AO720" s="45"/>
      <c r="AP720" s="45"/>
      <c r="AQ720" s="485">
        <f>AL720/BI720</f>
        <v>0</v>
      </c>
      <c r="AR720" s="485">
        <f>BL720/BI720</f>
        <v>0</v>
      </c>
      <c r="AS720" s="485"/>
      <c r="AT720" s="24"/>
      <c r="AU720" s="24"/>
      <c r="AV720" s="24"/>
      <c r="AW720" s="18">
        <v>24</v>
      </c>
      <c r="AX720" s="69" t="s">
        <v>297</v>
      </c>
      <c r="AY720" s="243" t="s">
        <v>130</v>
      </c>
      <c r="AZ720" s="243" t="str">
        <f t="shared" si="301"/>
        <v>Chum</v>
      </c>
      <c r="BA720" s="243" t="s">
        <v>419</v>
      </c>
      <c r="BB720" s="246"/>
      <c r="BC720" s="43" t="str">
        <f t="shared" si="302"/>
        <v>-</v>
      </c>
      <c r="BD720" s="43">
        <f t="shared" si="297"/>
        <v>0</v>
      </c>
      <c r="BE720" s="193">
        <f t="shared" si="295"/>
        <v>0</v>
      </c>
      <c r="BF720" s="193">
        <f t="shared" si="303"/>
        <v>0</v>
      </c>
      <c r="BG720" s="193">
        <f t="shared" si="304"/>
        <v>0</v>
      </c>
      <c r="BH720" s="307">
        <f t="shared" si="296"/>
        <v>0</v>
      </c>
      <c r="BI720" s="265">
        <f>CC720</f>
        <v>60</v>
      </c>
      <c r="BJ720" s="26" t="str">
        <f t="shared" si="305"/>
        <v>SYDNEY RIVERChum</v>
      </c>
      <c r="BK720" s="26">
        <f t="shared" si="306"/>
        <v>0</v>
      </c>
      <c r="BL720" s="33">
        <f t="shared" si="298"/>
        <v>0</v>
      </c>
      <c r="BQ720" s="47" t="str">
        <f t="shared" si="307"/>
        <v>SYDNEY RIVERChum</v>
      </c>
      <c r="BR720" s="49">
        <f t="shared" si="308"/>
        <v>0</v>
      </c>
      <c r="BS720" s="49">
        <f t="shared" si="317"/>
        <v>0</v>
      </c>
      <c r="BT720" s="31">
        <v>2013</v>
      </c>
      <c r="BU720" s="188">
        <f t="shared" si="309"/>
        <v>0</v>
      </c>
      <c r="BV720" s="188" t="str">
        <f t="shared" si="310"/>
        <v xml:space="preserve"> </v>
      </c>
      <c r="BW720" s="188" t="str">
        <f t="shared" si="311"/>
        <v xml:space="preserve"> </v>
      </c>
      <c r="BX720" s="188" t="str">
        <f t="shared" si="312"/>
        <v xml:space="preserve"> </v>
      </c>
      <c r="BY720" s="50" t="str">
        <f t="shared" si="300"/>
        <v>SYDNEY RIVER_Chum</v>
      </c>
      <c r="BZ720" s="50" t="str">
        <f>IFERROR(VLOOKUP(BY720,'[1]WCVI Esc'!$C$5:$W$555,18,FALSE),"-")</f>
        <v>-</v>
      </c>
      <c r="CA720" s="50" t="str">
        <f t="shared" si="313"/>
        <v>-</v>
      </c>
      <c r="CB720" s="50">
        <f>IFERROR(VLOOKUP(BY720,'[1]WCVI Esc'!$C$5:$W$555,19,FALSE),"-")</f>
        <v>57</v>
      </c>
      <c r="CC720" s="50">
        <f t="shared" si="314"/>
        <v>60</v>
      </c>
      <c r="CE720" s="342" t="str">
        <f t="shared" si="299"/>
        <v>SYDNEY RIVER_Chum</v>
      </c>
      <c r="CF720" s="341">
        <f>IFERROR(VLOOKUP(BY720,'RawPL+D'!$O$8:$AB$503,12,FALSE),"-")</f>
        <v>0</v>
      </c>
      <c r="CG720" s="338">
        <f t="shared" si="315"/>
        <v>0</v>
      </c>
      <c r="CH720" s="341">
        <f>IFERROR(VLOOKUP(BY720,'RawPL+D'!$O$8:$AB$503,13,FALSE),"-")</f>
        <v>0</v>
      </c>
      <c r="CI720" s="338">
        <f t="shared" si="316"/>
        <v>0</v>
      </c>
    </row>
    <row r="721" spans="1:87" ht="12.75" hidden="1" customHeight="1" x14ac:dyDescent="0.2">
      <c r="A721" s="28">
        <v>4</v>
      </c>
      <c r="B721" s="28">
        <v>5</v>
      </c>
      <c r="C721" s="11">
        <v>24</v>
      </c>
      <c r="D721" s="13" t="s">
        <v>297</v>
      </c>
      <c r="E721" s="10" t="s">
        <v>130</v>
      </c>
      <c r="F721" s="10" t="s">
        <v>210</v>
      </c>
      <c r="G721" s="10"/>
      <c r="H721" s="10"/>
      <c r="I721" s="10"/>
      <c r="J721" s="10"/>
      <c r="K721" s="575"/>
      <c r="L721" s="152"/>
      <c r="M721" s="164"/>
      <c r="N721" s="62"/>
      <c r="O721" s="62"/>
      <c r="P721" s="177"/>
      <c r="Q721" s="171"/>
      <c r="R721" s="94"/>
      <c r="S721" s="62"/>
      <c r="T721" s="62"/>
      <c r="U721" s="64"/>
      <c r="V721" s="164"/>
      <c r="W721" s="62"/>
      <c r="X721" s="62"/>
      <c r="Y721" s="62"/>
      <c r="Z721" s="64"/>
      <c r="AA721" s="164"/>
      <c r="AB721" s="62"/>
      <c r="AC721" s="62"/>
      <c r="AD721" s="64"/>
      <c r="AE721" s="164"/>
      <c r="AF721" s="62"/>
      <c r="AG721" s="62"/>
      <c r="AH721" s="337"/>
      <c r="AI721" s="337"/>
      <c r="AJ721" s="337"/>
      <c r="AK721" s="337"/>
      <c r="AL721" s="412"/>
      <c r="AM721" s="414"/>
      <c r="AN721" s="45"/>
      <c r="AO721" s="45"/>
      <c r="AP721" s="45"/>
      <c r="AQ721" s="485"/>
      <c r="AR721" s="485"/>
      <c r="AS721" s="485"/>
      <c r="AT721" s="24"/>
      <c r="AU721" s="24"/>
      <c r="AV721" s="24"/>
      <c r="AW721" s="18">
        <v>24</v>
      </c>
      <c r="AX721" s="69" t="s">
        <v>297</v>
      </c>
      <c r="AY721" s="243" t="s">
        <v>130</v>
      </c>
      <c r="AZ721" s="243" t="str">
        <f t="shared" si="301"/>
        <v>Chinook</v>
      </c>
      <c r="BA721" s="243" t="s">
        <v>419</v>
      </c>
      <c r="BB721" s="246"/>
      <c r="BC721" s="43" t="str">
        <f t="shared" si="302"/>
        <v>-</v>
      </c>
      <c r="BD721" s="43">
        <f t="shared" si="297"/>
        <v>0</v>
      </c>
      <c r="BE721" s="193">
        <f t="shared" ref="BE721:BE784" si="318">BL721</f>
        <v>0</v>
      </c>
      <c r="BF721" s="193">
        <f t="shared" si="303"/>
        <v>0</v>
      </c>
      <c r="BG721" s="193">
        <f t="shared" si="304"/>
        <v>0</v>
      </c>
      <c r="BH721" s="307" t="str">
        <f t="shared" si="296"/>
        <v>-</v>
      </c>
      <c r="BI721" s="265" t="str">
        <f>CC721</f>
        <v>-</v>
      </c>
      <c r="BJ721" s="26" t="str">
        <f t="shared" si="305"/>
        <v>SYDNEY RIVERChinook</v>
      </c>
      <c r="BK721" s="26">
        <f t="shared" si="306"/>
        <v>0</v>
      </c>
      <c r="BL721" s="33">
        <f t="shared" si="298"/>
        <v>0</v>
      </c>
      <c r="BQ721" s="47" t="str">
        <f t="shared" si="307"/>
        <v>SYDNEY RIVERChinook</v>
      </c>
      <c r="BR721" s="49">
        <f t="shared" si="308"/>
        <v>0</v>
      </c>
      <c r="BS721" s="49">
        <f t="shared" si="317"/>
        <v>0</v>
      </c>
      <c r="BT721" s="31">
        <v>2010</v>
      </c>
      <c r="BU721" s="188">
        <f t="shared" si="309"/>
        <v>0</v>
      </c>
      <c r="BV721" s="188" t="str">
        <f t="shared" si="310"/>
        <v xml:space="preserve"> </v>
      </c>
      <c r="BW721" s="188" t="str">
        <f t="shared" si="311"/>
        <v xml:space="preserve"> </v>
      </c>
      <c r="BX721" s="188" t="str">
        <f t="shared" si="312"/>
        <v xml:space="preserve"> </v>
      </c>
      <c r="BY721" s="50" t="str">
        <f t="shared" si="300"/>
        <v>SYDNEY RIVER_Chinook</v>
      </c>
      <c r="BZ721" s="50" t="str">
        <f>IFERROR(VLOOKUP(BY721,'[1]WCVI Esc'!$C$5:$W$555,18,FALSE),"-")</f>
        <v>-</v>
      </c>
      <c r="CA721" s="50" t="str">
        <f t="shared" si="313"/>
        <v>-</v>
      </c>
      <c r="CB721" s="50" t="str">
        <f>IFERROR(VLOOKUP(BY721,'[1]WCVI Esc'!$C$5:$W$555,19,FALSE),"-")</f>
        <v>-</v>
      </c>
      <c r="CC721" s="50" t="str">
        <f t="shared" si="314"/>
        <v>-</v>
      </c>
      <c r="CE721" s="342" t="str">
        <f t="shared" si="299"/>
        <v>SYDNEY RIVER_Chinook</v>
      </c>
      <c r="CF721" s="341">
        <f>IFERROR(VLOOKUP(BY721,'RawPL+D'!$O$8:$AB$503,12,FALSE),"-")</f>
        <v>0</v>
      </c>
      <c r="CG721" s="338">
        <f t="shared" si="315"/>
        <v>0</v>
      </c>
      <c r="CH721" s="341" t="str">
        <f>IFERROR(VLOOKUP(BY721,'RawPL+D'!$O$8:$AB$503,13,FALSE),"-")</f>
        <v>-</v>
      </c>
      <c r="CI721" s="338" t="str">
        <f t="shared" si="316"/>
        <v>-</v>
      </c>
    </row>
    <row r="722" spans="1:87" ht="12.75" hidden="1" customHeight="1" x14ac:dyDescent="0.2">
      <c r="A722" s="28">
        <v>4</v>
      </c>
      <c r="B722" s="28">
        <v>6</v>
      </c>
      <c r="C722" s="11">
        <v>24</v>
      </c>
      <c r="D722" s="13" t="s">
        <v>297</v>
      </c>
      <c r="E722" s="10" t="s">
        <v>130</v>
      </c>
      <c r="F722" s="10" t="s">
        <v>211</v>
      </c>
      <c r="G722" s="10"/>
      <c r="H722" s="10"/>
      <c r="I722" s="10"/>
      <c r="J722" s="10"/>
      <c r="K722" s="575"/>
      <c r="L722" s="152"/>
      <c r="M722" s="164"/>
      <c r="N722" s="62"/>
      <c r="O722" s="62"/>
      <c r="P722" s="177"/>
      <c r="Q722" s="171"/>
      <c r="R722" s="94"/>
      <c r="S722" s="62"/>
      <c r="T722" s="62"/>
      <c r="U722" s="64"/>
      <c r="V722" s="164"/>
      <c r="W722" s="62"/>
      <c r="X722" s="62"/>
      <c r="Y722" s="62"/>
      <c r="Z722" s="64"/>
      <c r="AA722" s="164"/>
      <c r="AB722" s="62"/>
      <c r="AC722" s="62"/>
      <c r="AD722" s="64"/>
      <c r="AE722" s="164"/>
      <c r="AF722" s="62"/>
      <c r="AG722" s="62"/>
      <c r="AH722" s="337"/>
      <c r="AI722" s="337"/>
      <c r="AJ722" s="337"/>
      <c r="AK722" s="337"/>
      <c r="AL722" s="412"/>
      <c r="AM722" s="414"/>
      <c r="AN722" s="45"/>
      <c r="AO722" s="45"/>
      <c r="AP722" s="45"/>
      <c r="AQ722" s="485"/>
      <c r="AR722" s="485"/>
      <c r="AS722" s="485"/>
      <c r="AT722" s="24"/>
      <c r="AU722" s="24"/>
      <c r="AV722" s="24"/>
      <c r="AW722" s="18">
        <v>24</v>
      </c>
      <c r="AX722" s="69" t="s">
        <v>297</v>
      </c>
      <c r="AY722" s="243" t="s">
        <v>130</v>
      </c>
      <c r="AZ722" s="243" t="str">
        <f t="shared" si="301"/>
        <v>Steelhead</v>
      </c>
      <c r="BA722" s="243" t="s">
        <v>419</v>
      </c>
      <c r="BB722" s="246"/>
      <c r="BC722" s="43" t="str">
        <f t="shared" si="302"/>
        <v>-</v>
      </c>
      <c r="BD722" s="43">
        <f t="shared" si="297"/>
        <v>0</v>
      </c>
      <c r="BE722" s="193">
        <f t="shared" si="318"/>
        <v>0</v>
      </c>
      <c r="BF722" s="193">
        <f t="shared" si="303"/>
        <v>0</v>
      </c>
      <c r="BG722" s="193">
        <f t="shared" si="304"/>
        <v>0</v>
      </c>
      <c r="BH722" s="307" t="str">
        <f t="shared" si="296"/>
        <v>-</v>
      </c>
      <c r="BI722" s="266"/>
      <c r="BJ722" s="26" t="str">
        <f t="shared" si="305"/>
        <v>SYDNEY RIVERSteelhead</v>
      </c>
      <c r="BK722" s="26">
        <f t="shared" si="306"/>
        <v>0</v>
      </c>
      <c r="BL722" s="33">
        <f t="shared" si="298"/>
        <v>0</v>
      </c>
      <c r="BQ722" s="47" t="str">
        <f t="shared" si="307"/>
        <v>SYDNEY RIVERSteelhead</v>
      </c>
      <c r="BR722" s="49">
        <f t="shared" si="308"/>
        <v>0</v>
      </c>
      <c r="BS722" s="49">
        <f t="shared" si="317"/>
        <v>0</v>
      </c>
      <c r="BT722" s="31">
        <v>0</v>
      </c>
      <c r="BU722" s="188">
        <f t="shared" si="309"/>
        <v>0</v>
      </c>
      <c r="BV722" s="188" t="str">
        <f t="shared" si="310"/>
        <v xml:space="preserve"> </v>
      </c>
      <c r="BW722" s="188" t="str">
        <f t="shared" si="311"/>
        <v xml:space="preserve"> </v>
      </c>
      <c r="BX722" s="188" t="str">
        <f t="shared" si="312"/>
        <v xml:space="preserve"> </v>
      </c>
      <c r="BY722" s="50" t="str">
        <f t="shared" si="300"/>
        <v>SYDNEY RIVER_Steelhead</v>
      </c>
      <c r="BZ722" s="50" t="str">
        <f>IFERROR(VLOOKUP(BY722,'[1]WCVI Esc'!$C$5:$W$555,18,FALSE),"-")</f>
        <v>-</v>
      </c>
      <c r="CA722" s="50" t="str">
        <f t="shared" si="313"/>
        <v>-</v>
      </c>
      <c r="CB722" s="50" t="str">
        <f>IFERROR(VLOOKUP(BY722,'[1]WCVI Esc'!$C$5:$W$555,19,FALSE),"-")</f>
        <v>-</v>
      </c>
      <c r="CC722" s="50" t="str">
        <f t="shared" si="314"/>
        <v>-</v>
      </c>
      <c r="CE722" s="342" t="str">
        <f t="shared" si="299"/>
        <v>SYDNEY RIVER_Steelhead</v>
      </c>
      <c r="CF722" s="341" t="str">
        <f>IFERROR(VLOOKUP(BY722,'RawPL+D'!$O$8:$AB$503,12,FALSE),"-")</f>
        <v>-</v>
      </c>
      <c r="CG722" s="338" t="str">
        <f t="shared" si="315"/>
        <v>-</v>
      </c>
      <c r="CH722" s="341" t="str">
        <f>IFERROR(VLOOKUP(BY722,'RawPL+D'!$O$8:$AB$503,13,FALSE),"-")</f>
        <v>-</v>
      </c>
      <c r="CI722" s="338" t="str">
        <f t="shared" si="316"/>
        <v>-</v>
      </c>
    </row>
    <row r="723" spans="1:87" ht="12.75" hidden="1" customHeight="1" x14ac:dyDescent="0.2">
      <c r="A723" s="28">
        <v>4</v>
      </c>
      <c r="B723" s="28">
        <v>1</v>
      </c>
      <c r="C723" s="11">
        <v>24</v>
      </c>
      <c r="D723" s="13" t="s">
        <v>297</v>
      </c>
      <c r="E723" s="10" t="s">
        <v>132</v>
      </c>
      <c r="F723" s="10" t="s">
        <v>207</v>
      </c>
      <c r="G723" s="10"/>
      <c r="H723" s="10"/>
      <c r="I723" s="10"/>
      <c r="J723" s="10"/>
      <c r="K723" s="575"/>
      <c r="L723" s="152"/>
      <c r="M723" s="422"/>
      <c r="N723" s="339"/>
      <c r="O723" s="62"/>
      <c r="P723" s="424"/>
      <c r="Q723" s="683">
        <v>0</v>
      </c>
      <c r="R723" s="94"/>
      <c r="S723" s="643">
        <v>0</v>
      </c>
      <c r="T723" s="62"/>
      <c r="U723" s="423"/>
      <c r="V723" s="164"/>
      <c r="W723" s="62"/>
      <c r="X723" s="62"/>
      <c r="Y723" s="62"/>
      <c r="Z723" s="64"/>
      <c r="AA723" s="164"/>
      <c r="AB723" s="62"/>
      <c r="AC723" s="62"/>
      <c r="AD723" s="64"/>
      <c r="AE723" s="164"/>
      <c r="AF723" s="62"/>
      <c r="AG723" s="62"/>
      <c r="AH723" s="337">
        <v>0</v>
      </c>
      <c r="AI723" s="337">
        <v>0</v>
      </c>
      <c r="AJ723" s="337">
        <v>0</v>
      </c>
      <c r="AK723" s="337">
        <v>0</v>
      </c>
      <c r="AL723" s="555">
        <v>0</v>
      </c>
      <c r="AM723" s="552">
        <v>0</v>
      </c>
      <c r="AN723" s="552" t="s">
        <v>765</v>
      </c>
      <c r="AO723" s="552" t="s">
        <v>773</v>
      </c>
      <c r="AP723" s="45"/>
      <c r="AQ723" s="485"/>
      <c r="AR723" s="12"/>
      <c r="AS723" s="485"/>
      <c r="AT723" s="679"/>
      <c r="AU723" s="679"/>
      <c r="AV723" s="679"/>
      <c r="AW723" s="18">
        <v>24</v>
      </c>
      <c r="AX723" s="69" t="s">
        <v>297</v>
      </c>
      <c r="AY723" s="243" t="s">
        <v>132</v>
      </c>
      <c r="AZ723" s="243" t="str">
        <f t="shared" si="301"/>
        <v>Sockeye</v>
      </c>
      <c r="BA723" s="243" t="s">
        <v>419</v>
      </c>
      <c r="BB723" s="244" t="s">
        <v>497</v>
      </c>
      <c r="BC723" s="43" t="str">
        <f t="shared" si="302"/>
        <v>Oct 15-21</v>
      </c>
      <c r="BD723" s="43">
        <f t="shared" si="297"/>
        <v>2</v>
      </c>
      <c r="BE723" s="193">
        <f t="shared" si="318"/>
        <v>0</v>
      </c>
      <c r="BF723" s="193">
        <f t="shared" si="303"/>
        <v>0</v>
      </c>
      <c r="BG723" s="193">
        <f t="shared" si="304"/>
        <v>0</v>
      </c>
      <c r="BH723" s="307">
        <f t="shared" si="296"/>
        <v>0</v>
      </c>
      <c r="BI723" s="268"/>
      <c r="BJ723" s="26" t="str">
        <f t="shared" si="305"/>
        <v>WARN BAY CREEKSockeye</v>
      </c>
      <c r="BK723" s="26">
        <f t="shared" si="306"/>
        <v>2</v>
      </c>
      <c r="BL723" s="33">
        <f t="shared" si="298"/>
        <v>0</v>
      </c>
      <c r="BQ723" s="47" t="str">
        <f t="shared" si="307"/>
        <v>WARN BAY CREEKSockeye</v>
      </c>
      <c r="BR723" s="49">
        <f t="shared" si="308"/>
        <v>0</v>
      </c>
      <c r="BS723" s="49">
        <f t="shared" si="317"/>
        <v>0</v>
      </c>
      <c r="BT723" s="31">
        <v>0</v>
      </c>
      <c r="BU723" s="188" t="str">
        <f t="shared" si="309"/>
        <v>TSES</v>
      </c>
      <c r="BV723" s="188" t="str">
        <f t="shared" si="310"/>
        <v>Oct 1-7</v>
      </c>
      <c r="BW723" s="188" t="str">
        <f t="shared" si="311"/>
        <v>Oct 15-21</v>
      </c>
      <c r="BX723" s="188" t="str">
        <f t="shared" si="312"/>
        <v xml:space="preserve"> </v>
      </c>
      <c r="BY723" s="50" t="str">
        <f t="shared" si="300"/>
        <v>WARN BAY CREEK_Sockeye</v>
      </c>
      <c r="BZ723" s="50" t="str">
        <f>IFERROR(VLOOKUP(BY723,'[1]WCVI Esc'!$C$5:$W$555,18,FALSE),"-")</f>
        <v>-</v>
      </c>
      <c r="CA723" s="50" t="str">
        <f t="shared" si="313"/>
        <v>-</v>
      </c>
      <c r="CB723" s="50" t="str">
        <f>IFERROR(VLOOKUP(BY723,'[1]WCVI Esc'!$C$5:$W$555,19,FALSE),"-")</f>
        <v>-</v>
      </c>
      <c r="CC723" s="50" t="str">
        <f t="shared" si="314"/>
        <v>-</v>
      </c>
      <c r="CE723" s="342" t="str">
        <f t="shared" si="299"/>
        <v>WARN BAY CREEK_Sockeye</v>
      </c>
      <c r="CF723" s="341">
        <f>IFERROR(VLOOKUP(BY723,'RawPL+D'!$O$8:$AB$503,12,FALSE),"-")</f>
        <v>0</v>
      </c>
      <c r="CG723" s="338">
        <f t="shared" si="315"/>
        <v>0</v>
      </c>
      <c r="CH723" s="341">
        <f>IFERROR(VLOOKUP(BY723,'RawPL+D'!$O$8:$AB$503,13,FALSE),"-")</f>
        <v>0.25</v>
      </c>
      <c r="CI723" s="338">
        <f t="shared" si="316"/>
        <v>0</v>
      </c>
    </row>
    <row r="724" spans="1:87" ht="12.75" hidden="1" customHeight="1" x14ac:dyDescent="0.2">
      <c r="A724" s="28">
        <v>4</v>
      </c>
      <c r="B724" s="28">
        <v>2</v>
      </c>
      <c r="C724" s="11">
        <v>24</v>
      </c>
      <c r="D724" s="13" t="s">
        <v>297</v>
      </c>
      <c r="E724" s="10" t="s">
        <v>132</v>
      </c>
      <c r="F724" s="10" t="s">
        <v>219</v>
      </c>
      <c r="G724" s="10"/>
      <c r="H724" s="10"/>
      <c r="I724" s="10"/>
      <c r="J724" s="10"/>
      <c r="K724" s="575"/>
      <c r="L724" s="152"/>
      <c r="M724" s="422"/>
      <c r="N724" s="339"/>
      <c r="O724" s="62"/>
      <c r="P724" s="424"/>
      <c r="Q724" s="683">
        <v>52</v>
      </c>
      <c r="R724" s="94"/>
      <c r="S724" s="643">
        <v>64</v>
      </c>
      <c r="T724" s="62"/>
      <c r="U724" s="423"/>
      <c r="V724" s="164"/>
      <c r="W724" s="62"/>
      <c r="X724" s="63"/>
      <c r="Y724" s="62"/>
      <c r="Z724" s="64"/>
      <c r="AA724" s="164"/>
      <c r="AB724" s="62"/>
      <c r="AC724" s="62"/>
      <c r="AD724" s="64"/>
      <c r="AE724" s="164"/>
      <c r="AF724" s="62"/>
      <c r="AG724" s="62"/>
      <c r="AH724" s="337">
        <v>71</v>
      </c>
      <c r="AI724" s="337">
        <v>23</v>
      </c>
      <c r="AJ724" s="337">
        <v>0</v>
      </c>
      <c r="AK724" s="337">
        <v>0</v>
      </c>
      <c r="AL724" s="555">
        <v>71</v>
      </c>
      <c r="AM724" s="552">
        <v>94</v>
      </c>
      <c r="AN724" s="552" t="s">
        <v>765</v>
      </c>
      <c r="AO724" s="552" t="s">
        <v>773</v>
      </c>
      <c r="AP724" s="45"/>
      <c r="AQ724" s="485">
        <f>AL724/BI724</f>
        <v>1.42</v>
      </c>
      <c r="AR724" s="485">
        <f>BL724/BH724</f>
        <v>2.1333333333333333</v>
      </c>
      <c r="AS724" s="485">
        <f>BL724/BI724</f>
        <v>1.28</v>
      </c>
      <c r="AT724" s="123"/>
      <c r="AU724" s="123"/>
      <c r="AV724" s="123"/>
      <c r="AW724" s="18">
        <v>24</v>
      </c>
      <c r="AX724" s="69" t="s">
        <v>297</v>
      </c>
      <c r="AY724" s="243" t="s">
        <v>132</v>
      </c>
      <c r="AZ724" s="243" t="str">
        <f t="shared" si="301"/>
        <v>Coho</v>
      </c>
      <c r="BA724" s="243" t="s">
        <v>419</v>
      </c>
      <c r="BB724" s="244" t="s">
        <v>497</v>
      </c>
      <c r="BC724" s="43" t="str">
        <f t="shared" si="302"/>
        <v>Oct 15-21</v>
      </c>
      <c r="BD724" s="43">
        <f t="shared" si="297"/>
        <v>2</v>
      </c>
      <c r="BE724" s="193">
        <f t="shared" si="318"/>
        <v>64</v>
      </c>
      <c r="BF724" s="193">
        <f t="shared" si="303"/>
        <v>71</v>
      </c>
      <c r="BG724" s="193">
        <f t="shared" si="304"/>
        <v>71</v>
      </c>
      <c r="BH724" s="307">
        <f t="shared" si="296"/>
        <v>30</v>
      </c>
      <c r="BI724" s="265">
        <f>CC724</f>
        <v>50</v>
      </c>
      <c r="BJ724" s="26" t="str">
        <f t="shared" si="305"/>
        <v>WARN BAY CREEKCoho</v>
      </c>
      <c r="BK724" s="26">
        <f t="shared" si="306"/>
        <v>2</v>
      </c>
      <c r="BL724" s="33">
        <f t="shared" si="298"/>
        <v>64</v>
      </c>
      <c r="BQ724" s="47" t="str">
        <f t="shared" si="307"/>
        <v>WARN BAY CREEKCoho</v>
      </c>
      <c r="BR724" s="49">
        <f t="shared" si="308"/>
        <v>0</v>
      </c>
      <c r="BS724" s="49">
        <f t="shared" si="317"/>
        <v>71</v>
      </c>
      <c r="BT724" s="31">
        <v>2016</v>
      </c>
      <c r="BU724" s="188" t="str">
        <f t="shared" si="309"/>
        <v>TSES</v>
      </c>
      <c r="BV724" s="188" t="str">
        <f t="shared" si="310"/>
        <v>Oct 1-7</v>
      </c>
      <c r="BW724" s="188" t="str">
        <f t="shared" si="311"/>
        <v>Oct 15-21</v>
      </c>
      <c r="BX724" s="188" t="str">
        <f t="shared" si="312"/>
        <v xml:space="preserve"> </v>
      </c>
      <c r="BY724" s="50" t="str">
        <f t="shared" si="300"/>
        <v>WARN BAY CREEK_Coho</v>
      </c>
      <c r="BZ724" s="50">
        <f>IFERROR(VLOOKUP(BY724,'[1]WCVI Esc'!$C$5:$W$555,18,FALSE),"-")</f>
        <v>28.25</v>
      </c>
      <c r="CA724" s="50">
        <f t="shared" si="313"/>
        <v>30</v>
      </c>
      <c r="CB724" s="50">
        <f>IFERROR(VLOOKUP(BY724,'[1]WCVI Esc'!$C$5:$W$555,19,FALSE),"-")</f>
        <v>46.81818181818182</v>
      </c>
      <c r="CC724" s="50">
        <f t="shared" si="314"/>
        <v>50</v>
      </c>
      <c r="CE724" s="342" t="str">
        <f t="shared" si="299"/>
        <v>WARN BAY CREEK_Coho</v>
      </c>
      <c r="CF724" s="341">
        <f>IFERROR(VLOOKUP(CE724,'RawPL+D'!$O$8:$AB$503,12,FALSE),"-")</f>
        <v>12</v>
      </c>
      <c r="CG724" s="338">
        <f t="shared" si="315"/>
        <v>10</v>
      </c>
      <c r="CH724" s="341">
        <f>IFERROR(VLOOKUP(CE724,'RawPL+D'!$O$8:$AB$503,13,FALSE),"-")</f>
        <v>25.5</v>
      </c>
      <c r="CI724" s="338">
        <f t="shared" si="316"/>
        <v>30</v>
      </c>
    </row>
    <row r="725" spans="1:87" ht="12.75" hidden="1" customHeight="1" x14ac:dyDescent="0.2">
      <c r="A725" s="28">
        <v>4</v>
      </c>
      <c r="B725" s="28">
        <v>3</v>
      </c>
      <c r="C725" s="11">
        <v>24</v>
      </c>
      <c r="D725" s="13" t="s">
        <v>297</v>
      </c>
      <c r="E725" s="10" t="s">
        <v>132</v>
      </c>
      <c r="F725" s="10" t="s">
        <v>208</v>
      </c>
      <c r="G725" s="10"/>
      <c r="H725" s="10"/>
      <c r="I725" s="10"/>
      <c r="J725" s="10"/>
      <c r="K725" s="575"/>
      <c r="L725" s="152"/>
      <c r="M725" s="422"/>
      <c r="N725" s="339"/>
      <c r="O725" s="62"/>
      <c r="P725" s="424"/>
      <c r="Q725" s="683">
        <v>0</v>
      </c>
      <c r="R725" s="94"/>
      <c r="S725" s="643">
        <v>0</v>
      </c>
      <c r="T725" s="62"/>
      <c r="U725" s="423"/>
      <c r="V725" s="164"/>
      <c r="W725" s="62"/>
      <c r="X725" s="62"/>
      <c r="Y725" s="62"/>
      <c r="Z725" s="64"/>
      <c r="AA725" s="164"/>
      <c r="AB725" s="62"/>
      <c r="AC725" s="62"/>
      <c r="AD725" s="64"/>
      <c r="AE725" s="164"/>
      <c r="AF725" s="62"/>
      <c r="AG725" s="62"/>
      <c r="AH725" s="337">
        <v>0</v>
      </c>
      <c r="AI725" s="337">
        <v>0</v>
      </c>
      <c r="AJ725" s="337">
        <v>0</v>
      </c>
      <c r="AK725" s="337">
        <v>0</v>
      </c>
      <c r="AL725" s="555">
        <v>0</v>
      </c>
      <c r="AM725" s="552">
        <v>0</v>
      </c>
      <c r="AN725" s="552" t="s">
        <v>765</v>
      </c>
      <c r="AO725" s="552" t="s">
        <v>773</v>
      </c>
      <c r="AP725" s="45"/>
      <c r="AQ725" s="485"/>
      <c r="AR725" s="485"/>
      <c r="AS725" s="485"/>
      <c r="AT725" s="125"/>
      <c r="AU725" s="125"/>
      <c r="AV725" s="125"/>
      <c r="AW725" s="18">
        <v>24</v>
      </c>
      <c r="AX725" s="69" t="s">
        <v>297</v>
      </c>
      <c r="AY725" s="243" t="s">
        <v>132</v>
      </c>
      <c r="AZ725" s="243" t="str">
        <f t="shared" si="301"/>
        <v>Pink</v>
      </c>
      <c r="BA725" s="243" t="s">
        <v>419</v>
      </c>
      <c r="BB725" s="244" t="s">
        <v>497</v>
      </c>
      <c r="BC725" s="43" t="str">
        <f t="shared" si="302"/>
        <v>Oct 15-21</v>
      </c>
      <c r="BD725" s="43">
        <f t="shared" si="297"/>
        <v>2</v>
      </c>
      <c r="BE725" s="193">
        <f t="shared" si="318"/>
        <v>0</v>
      </c>
      <c r="BF725" s="193">
        <f t="shared" si="303"/>
        <v>0</v>
      </c>
      <c r="BG725" s="193">
        <f t="shared" si="304"/>
        <v>0</v>
      </c>
      <c r="BH725" s="307">
        <f t="shared" si="296"/>
        <v>0</v>
      </c>
      <c r="BI725" s="268"/>
      <c r="BJ725" s="26" t="str">
        <f t="shared" si="305"/>
        <v>WARN BAY CREEKPink</v>
      </c>
      <c r="BK725" s="26">
        <f t="shared" si="306"/>
        <v>2</v>
      </c>
      <c r="BL725" s="33">
        <f t="shared" si="298"/>
        <v>0</v>
      </c>
      <c r="BQ725" s="47" t="str">
        <f t="shared" si="307"/>
        <v>WARN BAY CREEKPink</v>
      </c>
      <c r="BR725" s="49">
        <f t="shared" si="308"/>
        <v>0</v>
      </c>
      <c r="BS725" s="49">
        <f t="shared" si="317"/>
        <v>0</v>
      </c>
      <c r="BT725" s="31">
        <v>0</v>
      </c>
      <c r="BU725" s="188" t="str">
        <f t="shared" si="309"/>
        <v>TSES</v>
      </c>
      <c r="BV725" s="188" t="str">
        <f t="shared" si="310"/>
        <v>Oct 1-7</v>
      </c>
      <c r="BW725" s="188" t="str">
        <f t="shared" si="311"/>
        <v>Oct 15-21</v>
      </c>
      <c r="BX725" s="188" t="str">
        <f t="shared" si="312"/>
        <v xml:space="preserve"> </v>
      </c>
      <c r="BY725" s="50" t="str">
        <f t="shared" si="300"/>
        <v>WARN BAY CREEK_Pink</v>
      </c>
      <c r="BZ725" s="50" t="str">
        <f>IFERROR(VLOOKUP(BY725,'[1]WCVI Esc'!$C$5:$W$555,18,FALSE),"-")</f>
        <v>-</v>
      </c>
      <c r="CA725" s="50" t="str">
        <f t="shared" si="313"/>
        <v>-</v>
      </c>
      <c r="CB725" s="50" t="str">
        <f>IFERROR(VLOOKUP(BY725,'[1]WCVI Esc'!$C$5:$W$555,19,FALSE),"-")</f>
        <v>-</v>
      </c>
      <c r="CC725" s="50" t="str">
        <f t="shared" si="314"/>
        <v>-</v>
      </c>
      <c r="CE725" s="342" t="str">
        <f t="shared" si="299"/>
        <v>WARN BAY CREEK_Pink</v>
      </c>
      <c r="CF725" s="341">
        <f>IFERROR(VLOOKUP(BY725,'RawPL+D'!$O$8:$AB$503,12,FALSE),"-")</f>
        <v>0</v>
      </c>
      <c r="CG725" s="338">
        <f t="shared" si="315"/>
        <v>0</v>
      </c>
      <c r="CH725" s="341">
        <f>IFERROR(VLOOKUP(BY725,'RawPL+D'!$O$8:$AB$503,13,FALSE),"-")</f>
        <v>0</v>
      </c>
      <c r="CI725" s="338">
        <f t="shared" si="316"/>
        <v>0</v>
      </c>
    </row>
    <row r="726" spans="1:87" ht="12.75" hidden="1" customHeight="1" x14ac:dyDescent="0.2">
      <c r="A726" s="28">
        <v>4</v>
      </c>
      <c r="B726" s="28">
        <v>4</v>
      </c>
      <c r="C726" s="11">
        <v>24</v>
      </c>
      <c r="D726" s="13" t="s">
        <v>297</v>
      </c>
      <c r="E726" s="10" t="s">
        <v>132</v>
      </c>
      <c r="F726" s="10" t="s">
        <v>209</v>
      </c>
      <c r="G726" s="10"/>
      <c r="H726" s="10"/>
      <c r="I726" s="10"/>
      <c r="J726" s="10"/>
      <c r="K726" s="575"/>
      <c r="L726" s="152"/>
      <c r="M726" s="422"/>
      <c r="N726" s="339"/>
      <c r="O726" s="62"/>
      <c r="P726" s="424"/>
      <c r="Q726" s="683">
        <v>15</v>
      </c>
      <c r="R726" s="94"/>
      <c r="S726" s="708">
        <f>1233+34</f>
        <v>1267</v>
      </c>
      <c r="T726" s="390"/>
      <c r="U726" s="467"/>
      <c r="V726" s="164"/>
      <c r="W726" s="390"/>
      <c r="X726" s="63"/>
      <c r="Y726" s="62"/>
      <c r="Z726" s="64"/>
      <c r="AA726" s="164"/>
      <c r="AB726" s="62"/>
      <c r="AC726" s="62"/>
      <c r="AD726" s="64"/>
      <c r="AE726" s="164"/>
      <c r="AF726" s="62"/>
      <c r="AG726" s="62"/>
      <c r="AH726" s="337">
        <v>1408</v>
      </c>
      <c r="AI726" s="337">
        <v>0</v>
      </c>
      <c r="AJ726" s="337">
        <v>0</v>
      </c>
      <c r="AK726" s="337">
        <v>0</v>
      </c>
      <c r="AL726" s="555">
        <v>1408</v>
      </c>
      <c r="AM726" s="552">
        <v>1408</v>
      </c>
      <c r="AN726" s="552" t="s">
        <v>765</v>
      </c>
      <c r="AO726" s="552" t="s">
        <v>773</v>
      </c>
      <c r="AP726" s="45"/>
      <c r="AQ726" s="485">
        <f>AL726/BI726</f>
        <v>1.1000000000000001</v>
      </c>
      <c r="AR726" s="485">
        <f>BL726/BH726</f>
        <v>4.8730769230769226</v>
      </c>
      <c r="AS726" s="485">
        <f>BL726/BI726</f>
        <v>0.98984375000000002</v>
      </c>
      <c r="AT726" s="123"/>
      <c r="AU726" s="123"/>
      <c r="AV726" s="123"/>
      <c r="AW726" s="18">
        <v>24</v>
      </c>
      <c r="AX726" s="69" t="s">
        <v>297</v>
      </c>
      <c r="AY726" s="243" t="s">
        <v>132</v>
      </c>
      <c r="AZ726" s="243" t="str">
        <f t="shared" si="301"/>
        <v>Chum</v>
      </c>
      <c r="BA726" s="243" t="s">
        <v>419</v>
      </c>
      <c r="BB726" s="244" t="s">
        <v>497</v>
      </c>
      <c r="BC726" s="43" t="str">
        <f t="shared" si="302"/>
        <v>Oct 15-21</v>
      </c>
      <c r="BD726" s="43">
        <f t="shared" si="297"/>
        <v>2</v>
      </c>
      <c r="BE726" s="193">
        <f t="shared" si="318"/>
        <v>1267</v>
      </c>
      <c r="BF726" s="193">
        <f t="shared" si="303"/>
        <v>1408</v>
      </c>
      <c r="BG726" s="193">
        <f t="shared" si="304"/>
        <v>1408</v>
      </c>
      <c r="BH726" s="307">
        <f t="shared" si="296"/>
        <v>260</v>
      </c>
      <c r="BI726" s="265">
        <f>CC726</f>
        <v>1280</v>
      </c>
      <c r="BJ726" s="26" t="str">
        <f t="shared" si="305"/>
        <v>WARN BAY CREEKChum</v>
      </c>
      <c r="BK726" s="26">
        <f t="shared" si="306"/>
        <v>2</v>
      </c>
      <c r="BL726" s="33">
        <f t="shared" si="298"/>
        <v>1267</v>
      </c>
      <c r="BQ726" s="47" t="str">
        <f t="shared" si="307"/>
        <v>WARN BAY CREEKChum</v>
      </c>
      <c r="BR726" s="49">
        <f t="shared" si="308"/>
        <v>0</v>
      </c>
      <c r="BS726" s="49">
        <f t="shared" si="317"/>
        <v>1408</v>
      </c>
      <c r="BT726" s="31">
        <v>2016</v>
      </c>
      <c r="BU726" s="188" t="str">
        <f t="shared" si="309"/>
        <v>TSES</v>
      </c>
      <c r="BV726" s="188" t="str">
        <f t="shared" si="310"/>
        <v>Oct 1-7</v>
      </c>
      <c r="BW726" s="188" t="str">
        <f t="shared" si="311"/>
        <v>Oct 15-21</v>
      </c>
      <c r="BX726" s="188" t="str">
        <f t="shared" si="312"/>
        <v xml:space="preserve"> </v>
      </c>
      <c r="BY726" s="50" t="str">
        <f t="shared" si="300"/>
        <v>WARN BAY CREEK_Chum</v>
      </c>
      <c r="BZ726" s="50">
        <f>IFERROR(VLOOKUP(BY726,'[1]WCVI Esc'!$C$5:$W$555,18,FALSE),"-")</f>
        <v>294.5</v>
      </c>
      <c r="CA726" s="50">
        <f t="shared" si="313"/>
        <v>290</v>
      </c>
      <c r="CB726" s="50">
        <f>IFERROR(VLOOKUP(BY726,'[1]WCVI Esc'!$C$5:$W$555,19,FALSE),"-")</f>
        <v>1276.5454545454545</v>
      </c>
      <c r="CC726" s="50">
        <f t="shared" si="314"/>
        <v>1280</v>
      </c>
      <c r="CE726" s="342" t="str">
        <f t="shared" si="299"/>
        <v>WARN BAY CREEK_Chum</v>
      </c>
      <c r="CF726" s="341">
        <f>IFERROR(VLOOKUP(CE726,'RawPL+D'!$O$8:$AB$503,12,FALSE),"-")</f>
        <v>146</v>
      </c>
      <c r="CG726" s="338">
        <f t="shared" si="315"/>
        <v>150</v>
      </c>
      <c r="CH726" s="341">
        <f>IFERROR(VLOOKUP(CE726,'RawPL+D'!$O$8:$AB$503,13,FALSE),"-")</f>
        <v>260.5</v>
      </c>
      <c r="CI726" s="338">
        <f t="shared" si="316"/>
        <v>260</v>
      </c>
    </row>
    <row r="727" spans="1:87" ht="12.75" hidden="1" customHeight="1" x14ac:dyDescent="0.2">
      <c r="A727" s="28">
        <v>4</v>
      </c>
      <c r="B727" s="28">
        <v>5</v>
      </c>
      <c r="C727" s="11">
        <v>24</v>
      </c>
      <c r="D727" s="13" t="s">
        <v>297</v>
      </c>
      <c r="E727" s="10" t="s">
        <v>132</v>
      </c>
      <c r="F727" s="10" t="s">
        <v>210</v>
      </c>
      <c r="G727" s="10"/>
      <c r="H727" s="10"/>
      <c r="I727" s="10"/>
      <c r="J727" s="10"/>
      <c r="K727" s="575"/>
      <c r="L727" s="152"/>
      <c r="M727" s="422"/>
      <c r="N727" s="339"/>
      <c r="O727" s="62"/>
      <c r="P727" s="424"/>
      <c r="Q727" s="683">
        <v>2</v>
      </c>
      <c r="R727" s="94"/>
      <c r="S727" s="643">
        <v>3</v>
      </c>
      <c r="T727" s="62"/>
      <c r="U727" s="423"/>
      <c r="V727" s="164"/>
      <c r="W727" s="62"/>
      <c r="X727" s="63"/>
      <c r="Y727" s="62"/>
      <c r="Z727" s="64"/>
      <c r="AA727" s="164"/>
      <c r="AB727" s="62"/>
      <c r="AC727" s="62"/>
      <c r="AD727" s="64"/>
      <c r="AE727" s="164"/>
      <c r="AF727" s="62"/>
      <c r="AG727" s="62"/>
      <c r="AH727" s="337">
        <v>3</v>
      </c>
      <c r="AI727" s="337">
        <v>0</v>
      </c>
      <c r="AJ727" s="337">
        <v>0</v>
      </c>
      <c r="AK727" s="337">
        <v>0</v>
      </c>
      <c r="AL727" s="555">
        <v>3</v>
      </c>
      <c r="AM727" s="552">
        <v>3</v>
      </c>
      <c r="AN727" s="552" t="s">
        <v>765</v>
      </c>
      <c r="AO727" s="552" t="s">
        <v>773</v>
      </c>
      <c r="AP727" s="45"/>
      <c r="AQ727" s="485">
        <f>AL727/BI727</f>
        <v>0.15</v>
      </c>
      <c r="AR727" s="485" t="e">
        <f>BL727/BH727</f>
        <v>#DIV/0!</v>
      </c>
      <c r="AS727" s="485">
        <f>BL727/BI727</f>
        <v>0.15</v>
      </c>
      <c r="AT727" s="123"/>
      <c r="AU727" s="123"/>
      <c r="AV727" s="123">
        <f>AL727</f>
        <v>3</v>
      </c>
      <c r="AW727" s="18">
        <v>24</v>
      </c>
      <c r="AX727" s="69" t="s">
        <v>297</v>
      </c>
      <c r="AY727" s="243" t="s">
        <v>132</v>
      </c>
      <c r="AZ727" s="243" t="str">
        <f t="shared" si="301"/>
        <v>Chinook</v>
      </c>
      <c r="BA727" s="243" t="s">
        <v>419</v>
      </c>
      <c r="BB727" s="244" t="s">
        <v>497</v>
      </c>
      <c r="BC727" s="43" t="str">
        <f t="shared" si="302"/>
        <v>Oct 15-21</v>
      </c>
      <c r="BD727" s="43">
        <f t="shared" si="297"/>
        <v>2</v>
      </c>
      <c r="BE727" s="193">
        <f t="shared" si="318"/>
        <v>3</v>
      </c>
      <c r="BF727" s="193">
        <f t="shared" si="303"/>
        <v>3</v>
      </c>
      <c r="BG727" s="193">
        <f t="shared" si="304"/>
        <v>3</v>
      </c>
      <c r="BH727" s="307">
        <f t="shared" si="296"/>
        <v>0</v>
      </c>
      <c r="BI727" s="265">
        <f>CC727</f>
        <v>20</v>
      </c>
      <c r="BJ727" s="26" t="str">
        <f t="shared" si="305"/>
        <v>WARN BAY CREEKChinook</v>
      </c>
      <c r="BK727" s="26">
        <f t="shared" si="306"/>
        <v>2</v>
      </c>
      <c r="BL727" s="33">
        <f t="shared" si="298"/>
        <v>3</v>
      </c>
      <c r="BQ727" s="47" t="str">
        <f t="shared" si="307"/>
        <v>WARN BAY CREEKChinook</v>
      </c>
      <c r="BR727" s="49">
        <f t="shared" si="308"/>
        <v>0</v>
      </c>
      <c r="BS727" s="49">
        <f t="shared" si="317"/>
        <v>3</v>
      </c>
      <c r="BT727" s="31">
        <v>2016</v>
      </c>
      <c r="BU727" s="188" t="str">
        <f t="shared" si="309"/>
        <v>TSES</v>
      </c>
      <c r="BV727" s="188" t="str">
        <f t="shared" si="310"/>
        <v>Oct 1-7</v>
      </c>
      <c r="BW727" s="188" t="str">
        <f t="shared" si="311"/>
        <v>Oct 15-21</v>
      </c>
      <c r="BX727" s="188" t="str">
        <f t="shared" si="312"/>
        <v xml:space="preserve"> </v>
      </c>
      <c r="BY727" s="50" t="str">
        <f t="shared" si="300"/>
        <v>WARN BAY CREEK_Chinook</v>
      </c>
      <c r="BZ727" s="50">
        <f>IFERROR(VLOOKUP(BY727,'[1]WCVI Esc'!$C$5:$W$555,18,FALSE),"-")</f>
        <v>7</v>
      </c>
      <c r="CA727" s="50">
        <f t="shared" si="313"/>
        <v>10</v>
      </c>
      <c r="CB727" s="50">
        <f>IFERROR(VLOOKUP(BY727,'[1]WCVI Esc'!$C$5:$W$555,19,FALSE),"-")</f>
        <v>22.375</v>
      </c>
      <c r="CC727" s="50">
        <f t="shared" si="314"/>
        <v>20</v>
      </c>
      <c r="CE727" s="342" t="str">
        <f t="shared" si="299"/>
        <v>WARN BAY CREEK_Chinook</v>
      </c>
      <c r="CF727" s="341">
        <f>IFERROR(VLOOKUP(CE727,'RawPL+D'!$O$8:$AB$503,12,FALSE),"-")</f>
        <v>0</v>
      </c>
      <c r="CG727" s="338">
        <f t="shared" si="315"/>
        <v>0</v>
      </c>
      <c r="CH727" s="341">
        <f>IFERROR(VLOOKUP(CE727,'RawPL+D'!$O$8:$AB$503,13,FALSE),"-")</f>
        <v>3.25</v>
      </c>
      <c r="CI727" s="338">
        <f t="shared" si="316"/>
        <v>0</v>
      </c>
    </row>
    <row r="728" spans="1:87" ht="12.75" hidden="1" customHeight="1" x14ac:dyDescent="0.2">
      <c r="A728" s="28">
        <v>4</v>
      </c>
      <c r="B728" s="28">
        <v>6</v>
      </c>
      <c r="C728" s="11">
        <v>24</v>
      </c>
      <c r="D728" s="13" t="s">
        <v>297</v>
      </c>
      <c r="E728" s="10" t="s">
        <v>132</v>
      </c>
      <c r="F728" s="10" t="s">
        <v>211</v>
      </c>
      <c r="G728" s="10"/>
      <c r="H728" s="10"/>
      <c r="I728" s="10"/>
      <c r="J728" s="10"/>
      <c r="K728" s="575"/>
      <c r="L728" s="152"/>
      <c r="M728" s="422"/>
      <c r="N728" s="339"/>
      <c r="O728" s="62"/>
      <c r="P728" s="424"/>
      <c r="Q728" s="683">
        <v>0</v>
      </c>
      <c r="R728" s="94"/>
      <c r="S728" s="643">
        <v>0</v>
      </c>
      <c r="T728" s="62"/>
      <c r="U728" s="423"/>
      <c r="V728" s="164"/>
      <c r="W728" s="62"/>
      <c r="X728" s="62"/>
      <c r="Y728" s="62"/>
      <c r="Z728" s="64"/>
      <c r="AA728" s="164"/>
      <c r="AB728" s="62"/>
      <c r="AC728" s="62"/>
      <c r="AD728" s="64"/>
      <c r="AE728" s="164"/>
      <c r="AF728" s="62"/>
      <c r="AG728" s="62"/>
      <c r="AH728" s="337"/>
      <c r="AI728" s="337"/>
      <c r="AJ728" s="337"/>
      <c r="AK728" s="337"/>
      <c r="AL728" s="555"/>
      <c r="AM728" s="552"/>
      <c r="AN728" s="45"/>
      <c r="AO728" s="45"/>
      <c r="AP728" s="45"/>
      <c r="AQ728" s="485"/>
      <c r="AR728" s="485"/>
      <c r="AS728" s="485"/>
      <c r="AT728" s="125"/>
      <c r="AU728" s="125"/>
      <c r="AV728" s="125"/>
      <c r="AW728" s="18">
        <v>24</v>
      </c>
      <c r="AX728" s="69" t="s">
        <v>297</v>
      </c>
      <c r="AY728" s="243" t="s">
        <v>132</v>
      </c>
      <c r="AZ728" s="243" t="str">
        <f t="shared" si="301"/>
        <v>Steelhead</v>
      </c>
      <c r="BA728" s="243" t="s">
        <v>419</v>
      </c>
      <c r="BB728" s="244" t="s">
        <v>497</v>
      </c>
      <c r="BC728" s="43" t="str">
        <f t="shared" si="302"/>
        <v>Oct 15-21</v>
      </c>
      <c r="BD728" s="43">
        <f t="shared" si="297"/>
        <v>2</v>
      </c>
      <c r="BE728" s="193">
        <f t="shared" si="318"/>
        <v>0</v>
      </c>
      <c r="BF728" s="193">
        <f t="shared" si="303"/>
        <v>0</v>
      </c>
      <c r="BG728" s="193">
        <f t="shared" si="304"/>
        <v>0</v>
      </c>
      <c r="BH728" s="307" t="str">
        <f t="shared" si="296"/>
        <v>-</v>
      </c>
      <c r="BI728" s="267"/>
      <c r="BJ728" s="26" t="str">
        <f t="shared" si="305"/>
        <v>WARN BAY CREEKSteelhead</v>
      </c>
      <c r="BK728" s="26">
        <f t="shared" si="306"/>
        <v>2</v>
      </c>
      <c r="BL728" s="33">
        <f t="shared" si="298"/>
        <v>0</v>
      </c>
      <c r="BQ728" s="47" t="str">
        <f t="shared" si="307"/>
        <v>WARN BAY CREEKSteelhead</v>
      </c>
      <c r="BR728" s="49">
        <f t="shared" si="308"/>
        <v>0</v>
      </c>
      <c r="BS728" s="49">
        <f t="shared" si="317"/>
        <v>0</v>
      </c>
      <c r="BT728" s="31">
        <v>0</v>
      </c>
      <c r="BU728" s="188" t="str">
        <f t="shared" si="309"/>
        <v>TSES</v>
      </c>
      <c r="BV728" s="188" t="str">
        <f t="shared" si="310"/>
        <v>Oct 1-7</v>
      </c>
      <c r="BW728" s="188" t="str">
        <f t="shared" si="311"/>
        <v>Oct 15-21</v>
      </c>
      <c r="BX728" s="188" t="str">
        <f t="shared" si="312"/>
        <v xml:space="preserve"> </v>
      </c>
      <c r="BY728" s="50" t="str">
        <f t="shared" si="300"/>
        <v>WARN BAY CREEK_Steelhead</v>
      </c>
      <c r="BZ728" s="50" t="str">
        <f>IFERROR(VLOOKUP(BY728,'[1]WCVI Esc'!$C$5:$W$555,18,FALSE),"-")</f>
        <v>-</v>
      </c>
      <c r="CA728" s="50" t="str">
        <f t="shared" si="313"/>
        <v>-</v>
      </c>
      <c r="CB728" s="50" t="str">
        <f>IFERROR(VLOOKUP(BY728,'[1]WCVI Esc'!$C$5:$W$555,19,FALSE),"-")</f>
        <v>-</v>
      </c>
      <c r="CC728" s="50" t="str">
        <f t="shared" si="314"/>
        <v>-</v>
      </c>
      <c r="CE728" s="342" t="str">
        <f t="shared" si="299"/>
        <v>WARN BAY CREEK_Steelhead</v>
      </c>
      <c r="CF728" s="341" t="str">
        <f>IFERROR(VLOOKUP(BY728,'RawPL+D'!$O$8:$AB$503,12,FALSE),"-")</f>
        <v>-</v>
      </c>
      <c r="CG728" s="338" t="str">
        <f t="shared" si="315"/>
        <v>-</v>
      </c>
      <c r="CH728" s="341" t="str">
        <f>IFERROR(VLOOKUP(BY728,'RawPL+D'!$O$8:$AB$503,13,FALSE),"-")</f>
        <v>-</v>
      </c>
      <c r="CI728" s="338" t="str">
        <f t="shared" si="316"/>
        <v>-</v>
      </c>
    </row>
    <row r="729" spans="1:87" ht="12.75" hidden="1" customHeight="1" x14ac:dyDescent="0.2">
      <c r="A729" s="28">
        <v>4</v>
      </c>
      <c r="B729" s="28">
        <v>1</v>
      </c>
      <c r="C729" s="11">
        <v>24</v>
      </c>
      <c r="D729" s="13" t="s">
        <v>297</v>
      </c>
      <c r="E729" s="10" t="s">
        <v>133</v>
      </c>
      <c r="F729" s="10" t="s">
        <v>207</v>
      </c>
      <c r="G729" s="10"/>
      <c r="H729" s="10"/>
      <c r="I729" s="10"/>
      <c r="J729" s="10"/>
      <c r="K729" s="575"/>
      <c r="L729" s="152"/>
      <c r="M729" s="164"/>
      <c r="N729" s="62"/>
      <c r="O729" s="62"/>
      <c r="P729" s="177"/>
      <c r="Q729" s="171"/>
      <c r="R729" s="94"/>
      <c r="S729" s="62"/>
      <c r="T729" s="62"/>
      <c r="U729" s="64"/>
      <c r="V729" s="164"/>
      <c r="W729" s="62"/>
      <c r="X729" s="62"/>
      <c r="Y729" s="62"/>
      <c r="Z729" s="64"/>
      <c r="AA729" s="164"/>
      <c r="AB729" s="62"/>
      <c r="AC729" s="62"/>
      <c r="AD729" s="64"/>
      <c r="AE729" s="164"/>
      <c r="AF729" s="62"/>
      <c r="AG729" s="62"/>
      <c r="AH729" s="337"/>
      <c r="AI729" s="337"/>
      <c r="AJ729" s="337"/>
      <c r="AK729" s="337"/>
      <c r="AL729" s="412"/>
      <c r="AM729" s="414"/>
      <c r="AN729" s="45"/>
      <c r="AO729" s="45"/>
      <c r="AP729" s="45"/>
      <c r="AQ729" s="485"/>
      <c r="AR729" s="485"/>
      <c r="AS729" s="485"/>
      <c r="AT729" s="24"/>
      <c r="AU729" s="24"/>
      <c r="AV729" s="24"/>
      <c r="AW729" s="18">
        <v>24</v>
      </c>
      <c r="AX729" s="69" t="s">
        <v>297</v>
      </c>
      <c r="AY729" s="243" t="s">
        <v>133</v>
      </c>
      <c r="AZ729" s="243" t="str">
        <f t="shared" si="301"/>
        <v>Sockeye</v>
      </c>
      <c r="BA729" s="243" t="s">
        <v>419</v>
      </c>
      <c r="BB729" s="246"/>
      <c r="BC729" s="43" t="str">
        <f t="shared" si="302"/>
        <v>-</v>
      </c>
      <c r="BD729" s="43">
        <f t="shared" si="297"/>
        <v>0</v>
      </c>
      <c r="BE729" s="193">
        <f t="shared" si="318"/>
        <v>0</v>
      </c>
      <c r="BF729" s="193">
        <f t="shared" si="303"/>
        <v>0</v>
      </c>
      <c r="BG729" s="193">
        <f t="shared" si="304"/>
        <v>0</v>
      </c>
      <c r="BH729" s="307" t="str">
        <f t="shared" si="296"/>
        <v>-</v>
      </c>
      <c r="BI729" s="271"/>
      <c r="BJ729" s="26" t="str">
        <f t="shared" si="305"/>
        <v>WATTA CREEKSockeye</v>
      </c>
      <c r="BK729" s="26">
        <f t="shared" si="306"/>
        <v>0</v>
      </c>
      <c r="BL729" s="33">
        <f t="shared" si="298"/>
        <v>0</v>
      </c>
      <c r="BQ729" s="47" t="str">
        <f t="shared" si="307"/>
        <v>WATTA CREEKSockeye</v>
      </c>
      <c r="BR729" s="49">
        <f t="shared" si="308"/>
        <v>0</v>
      </c>
      <c r="BS729" s="49">
        <f t="shared" si="317"/>
        <v>0</v>
      </c>
      <c r="BT729" s="31">
        <v>0</v>
      </c>
      <c r="BU729" s="188">
        <f t="shared" si="309"/>
        <v>0</v>
      </c>
      <c r="BV729" s="188" t="str">
        <f t="shared" si="310"/>
        <v xml:space="preserve"> </v>
      </c>
      <c r="BW729" s="188" t="str">
        <f t="shared" si="311"/>
        <v xml:space="preserve"> </v>
      </c>
      <c r="BX729" s="188" t="str">
        <f t="shared" si="312"/>
        <v xml:space="preserve"> </v>
      </c>
      <c r="BY729" s="50" t="str">
        <f t="shared" si="300"/>
        <v>WATTA CREEK_Sockeye</v>
      </c>
      <c r="BZ729" s="50" t="str">
        <f>IFERROR(VLOOKUP(BY729,'[1]WCVI Esc'!$C$5:$W$555,18,FALSE),"-")</f>
        <v>-</v>
      </c>
      <c r="CA729" s="50" t="str">
        <f t="shared" si="313"/>
        <v>-</v>
      </c>
      <c r="CB729" s="50" t="str">
        <f>IFERROR(VLOOKUP(BY729,'[1]WCVI Esc'!$C$5:$W$555,19,FALSE),"-")</f>
        <v>-</v>
      </c>
      <c r="CC729" s="50" t="str">
        <f t="shared" si="314"/>
        <v>-</v>
      </c>
      <c r="CE729" s="342" t="str">
        <f t="shared" si="299"/>
        <v>WATTA CREEK_Sockeye</v>
      </c>
      <c r="CF729" s="341" t="str">
        <f>IFERROR(VLOOKUP(BY729,'RawPL+D'!$O$8:$AB$503,12,FALSE),"-")</f>
        <v>-</v>
      </c>
      <c r="CG729" s="338" t="str">
        <f t="shared" si="315"/>
        <v>-</v>
      </c>
      <c r="CH729" s="341" t="str">
        <f>IFERROR(VLOOKUP(BY729,'RawPL+D'!$O$8:$AB$503,13,FALSE),"-")</f>
        <v>-</v>
      </c>
      <c r="CI729" s="338" t="str">
        <f t="shared" si="316"/>
        <v>-</v>
      </c>
    </row>
    <row r="730" spans="1:87" ht="12.75" hidden="1" customHeight="1" x14ac:dyDescent="0.2">
      <c r="A730" s="28">
        <v>4</v>
      </c>
      <c r="B730" s="28">
        <v>2</v>
      </c>
      <c r="C730" s="11">
        <v>24</v>
      </c>
      <c r="D730" s="13" t="s">
        <v>297</v>
      </c>
      <c r="E730" s="10" t="s">
        <v>133</v>
      </c>
      <c r="F730" s="10" t="s">
        <v>219</v>
      </c>
      <c r="G730" s="10"/>
      <c r="H730" s="10"/>
      <c r="I730" s="10"/>
      <c r="J730" s="10"/>
      <c r="K730" s="575"/>
      <c r="L730" s="152"/>
      <c r="M730" s="164"/>
      <c r="N730" s="62"/>
      <c r="O730" s="62"/>
      <c r="P730" s="177"/>
      <c r="Q730" s="171"/>
      <c r="R730" s="94"/>
      <c r="S730" s="62"/>
      <c r="T730" s="390"/>
      <c r="U730" s="64"/>
      <c r="V730" s="164"/>
      <c r="W730" s="62"/>
      <c r="X730" s="62"/>
      <c r="Y730" s="62"/>
      <c r="Z730" s="64"/>
      <c r="AA730" s="164"/>
      <c r="AB730" s="62"/>
      <c r="AC730" s="62"/>
      <c r="AD730" s="64"/>
      <c r="AE730" s="164"/>
      <c r="AF730" s="62"/>
      <c r="AG730" s="62"/>
      <c r="AH730" s="337"/>
      <c r="AI730" s="337"/>
      <c r="AJ730" s="337"/>
      <c r="AK730" s="337"/>
      <c r="AL730" s="412"/>
      <c r="AM730" s="414"/>
      <c r="AN730" s="45"/>
      <c r="AO730" s="45"/>
      <c r="AP730" s="45"/>
      <c r="AQ730" s="485">
        <f>AL730/BI730</f>
        <v>0</v>
      </c>
      <c r="AR730" s="485" t="e">
        <f>BL730/BH730</f>
        <v>#DIV/0!</v>
      </c>
      <c r="AS730" s="485">
        <f>BL730/BI730</f>
        <v>0</v>
      </c>
      <c r="AT730" s="24"/>
      <c r="AU730" s="24"/>
      <c r="AV730" s="24"/>
      <c r="AW730" s="18">
        <v>24</v>
      </c>
      <c r="AX730" s="69" t="s">
        <v>297</v>
      </c>
      <c r="AY730" s="243" t="s">
        <v>133</v>
      </c>
      <c r="AZ730" s="243" t="str">
        <f t="shared" si="301"/>
        <v>Coho</v>
      </c>
      <c r="BA730" s="243" t="s">
        <v>419</v>
      </c>
      <c r="BB730" s="244" t="s">
        <v>290</v>
      </c>
      <c r="BC730" s="43" t="str">
        <f t="shared" si="302"/>
        <v>-</v>
      </c>
      <c r="BD730" s="43">
        <f t="shared" si="297"/>
        <v>0</v>
      </c>
      <c r="BE730" s="193">
        <f t="shared" si="318"/>
        <v>0</v>
      </c>
      <c r="BF730" s="193">
        <f t="shared" si="303"/>
        <v>0</v>
      </c>
      <c r="BG730" s="193">
        <f t="shared" si="304"/>
        <v>0</v>
      </c>
      <c r="BH730" s="307">
        <f t="shared" si="296"/>
        <v>0</v>
      </c>
      <c r="BI730" s="265">
        <f>CC730</f>
        <v>10</v>
      </c>
      <c r="BJ730" s="26" t="str">
        <f t="shared" si="305"/>
        <v>WATTA CREEKCoho</v>
      </c>
      <c r="BK730" s="26">
        <f t="shared" si="306"/>
        <v>0</v>
      </c>
      <c r="BL730" s="33">
        <f t="shared" si="298"/>
        <v>0</v>
      </c>
      <c r="BQ730" s="47" t="str">
        <f t="shared" si="307"/>
        <v>WATTA CREEKCoho</v>
      </c>
      <c r="BR730" s="49">
        <f t="shared" si="308"/>
        <v>0</v>
      </c>
      <c r="BS730" s="49">
        <f t="shared" si="317"/>
        <v>0</v>
      </c>
      <c r="BT730" s="31">
        <v>2010</v>
      </c>
      <c r="BU730" s="188" t="str">
        <f t="shared" si="309"/>
        <v>NTC</v>
      </c>
      <c r="BV730" s="188" t="str">
        <f t="shared" si="310"/>
        <v xml:space="preserve"> </v>
      </c>
      <c r="BW730" s="188" t="str">
        <f t="shared" si="311"/>
        <v xml:space="preserve"> </v>
      </c>
      <c r="BX730" s="188" t="str">
        <f t="shared" si="312"/>
        <v xml:space="preserve"> </v>
      </c>
      <c r="BY730" s="50" t="str">
        <f t="shared" si="300"/>
        <v>WATTA CREEK_Coho</v>
      </c>
      <c r="BZ730" s="50">
        <f>IFERROR(VLOOKUP(BY730,'[1]WCVI Esc'!$C$5:$W$555,18,FALSE),"-")</f>
        <v>5</v>
      </c>
      <c r="CA730" s="50">
        <f t="shared" si="313"/>
        <v>10</v>
      </c>
      <c r="CB730" s="50">
        <f>IFERROR(VLOOKUP(BY730,'[1]WCVI Esc'!$C$5:$W$555,19,FALSE),"-")</f>
        <v>5</v>
      </c>
      <c r="CC730" s="50">
        <f t="shared" si="314"/>
        <v>10</v>
      </c>
      <c r="CE730" s="342" t="str">
        <f t="shared" si="299"/>
        <v>WATTA CREEK_Coho</v>
      </c>
      <c r="CF730" s="341">
        <f>IFERROR(VLOOKUP(CE730,'RawPL+D'!$O$8:$AB$503,12,FALSE),"-")</f>
        <v>0</v>
      </c>
      <c r="CG730" s="338">
        <f t="shared" si="315"/>
        <v>0</v>
      </c>
      <c r="CH730" s="341">
        <f>IFERROR(VLOOKUP(CE730,'RawPL+D'!$O$8:$AB$503,13,FALSE),"-")</f>
        <v>3</v>
      </c>
      <c r="CI730" s="338">
        <f t="shared" si="316"/>
        <v>0</v>
      </c>
    </row>
    <row r="731" spans="1:87" ht="12.75" hidden="1" customHeight="1" x14ac:dyDescent="0.2">
      <c r="A731" s="28">
        <v>4</v>
      </c>
      <c r="B731" s="28">
        <v>3</v>
      </c>
      <c r="C731" s="11">
        <v>24</v>
      </c>
      <c r="D731" s="13" t="s">
        <v>297</v>
      </c>
      <c r="E731" s="10" t="s">
        <v>133</v>
      </c>
      <c r="F731" s="10" t="s">
        <v>208</v>
      </c>
      <c r="G731" s="10"/>
      <c r="H731" s="10"/>
      <c r="I731" s="10"/>
      <c r="J731" s="10"/>
      <c r="K731" s="575"/>
      <c r="L731" s="152"/>
      <c r="M731" s="164"/>
      <c r="N731" s="62"/>
      <c r="O731" s="62"/>
      <c r="P731" s="177"/>
      <c r="Q731" s="171"/>
      <c r="R731" s="94"/>
      <c r="S731" s="62"/>
      <c r="T731" s="62"/>
      <c r="U731" s="64"/>
      <c r="V731" s="164"/>
      <c r="W731" s="62"/>
      <c r="X731" s="62"/>
      <c r="Y731" s="62"/>
      <c r="Z731" s="64"/>
      <c r="AA731" s="164"/>
      <c r="AB731" s="62"/>
      <c r="AC731" s="62"/>
      <c r="AD731" s="64"/>
      <c r="AE731" s="164"/>
      <c r="AF731" s="62"/>
      <c r="AG731" s="62"/>
      <c r="AH731" s="337"/>
      <c r="AI731" s="337"/>
      <c r="AJ731" s="337"/>
      <c r="AK731" s="337"/>
      <c r="AL731" s="412"/>
      <c r="AM731" s="414"/>
      <c r="AN731" s="45"/>
      <c r="AO731" s="45"/>
      <c r="AP731" s="45"/>
      <c r="AQ731" s="485"/>
      <c r="AR731" s="485"/>
      <c r="AS731" s="485"/>
      <c r="AT731" s="24"/>
      <c r="AU731" s="24"/>
      <c r="AV731" s="24"/>
      <c r="AW731" s="18">
        <v>24</v>
      </c>
      <c r="AX731" s="69" t="s">
        <v>297</v>
      </c>
      <c r="AY731" s="243" t="s">
        <v>133</v>
      </c>
      <c r="AZ731" s="243" t="str">
        <f t="shared" si="301"/>
        <v>Pink</v>
      </c>
      <c r="BA731" s="243" t="s">
        <v>419</v>
      </c>
      <c r="BB731" s="246"/>
      <c r="BC731" s="43" t="str">
        <f t="shared" si="302"/>
        <v>-</v>
      </c>
      <c r="BD731" s="43">
        <f t="shared" si="297"/>
        <v>0</v>
      </c>
      <c r="BE731" s="193">
        <f t="shared" si="318"/>
        <v>0</v>
      </c>
      <c r="BF731" s="193">
        <f t="shared" si="303"/>
        <v>0</v>
      </c>
      <c r="BG731" s="193">
        <f t="shared" si="304"/>
        <v>0</v>
      </c>
      <c r="BH731" s="307" t="str">
        <f t="shared" si="296"/>
        <v>-</v>
      </c>
      <c r="BI731" s="266"/>
      <c r="BJ731" s="26" t="str">
        <f t="shared" si="305"/>
        <v>WATTA CREEKPink</v>
      </c>
      <c r="BK731" s="26">
        <f t="shared" si="306"/>
        <v>0</v>
      </c>
      <c r="BL731" s="33">
        <f t="shared" si="298"/>
        <v>0</v>
      </c>
      <c r="BQ731" s="47" t="str">
        <f t="shared" si="307"/>
        <v>WATTA CREEKPink</v>
      </c>
      <c r="BR731" s="49">
        <f t="shared" si="308"/>
        <v>0</v>
      </c>
      <c r="BS731" s="49">
        <f t="shared" si="317"/>
        <v>0</v>
      </c>
      <c r="BT731" s="31">
        <v>0</v>
      </c>
      <c r="BU731" s="188">
        <f t="shared" si="309"/>
        <v>0</v>
      </c>
      <c r="BV731" s="188" t="str">
        <f t="shared" si="310"/>
        <v xml:space="preserve"> </v>
      </c>
      <c r="BW731" s="188" t="str">
        <f t="shared" si="311"/>
        <v xml:space="preserve"> </v>
      </c>
      <c r="BX731" s="188" t="str">
        <f t="shared" si="312"/>
        <v xml:space="preserve"> </v>
      </c>
      <c r="BY731" s="50" t="str">
        <f t="shared" si="300"/>
        <v>WATTA CREEK_Pink</v>
      </c>
      <c r="BZ731" s="50" t="str">
        <f>IFERROR(VLOOKUP(BY731,'[1]WCVI Esc'!$C$5:$W$555,18,FALSE),"-")</f>
        <v>-</v>
      </c>
      <c r="CA731" s="50" t="str">
        <f t="shared" si="313"/>
        <v>-</v>
      </c>
      <c r="CB731" s="50" t="str">
        <f>IFERROR(VLOOKUP(BY731,'[1]WCVI Esc'!$C$5:$W$555,19,FALSE),"-")</f>
        <v>-</v>
      </c>
      <c r="CC731" s="50" t="str">
        <f t="shared" si="314"/>
        <v>-</v>
      </c>
      <c r="CE731" s="342" t="str">
        <f t="shared" si="299"/>
        <v>WATTA CREEK_Pink</v>
      </c>
      <c r="CF731" s="341" t="str">
        <f>IFERROR(VLOOKUP(BY731,'RawPL+D'!$O$8:$AB$503,12,FALSE),"-")</f>
        <v>-</v>
      </c>
      <c r="CG731" s="338" t="str">
        <f t="shared" si="315"/>
        <v>-</v>
      </c>
      <c r="CH731" s="341" t="str">
        <f>IFERROR(VLOOKUP(BY731,'RawPL+D'!$O$8:$AB$503,13,FALSE),"-")</f>
        <v>-</v>
      </c>
      <c r="CI731" s="338" t="str">
        <f t="shared" si="316"/>
        <v>-</v>
      </c>
    </row>
    <row r="732" spans="1:87" ht="12.75" hidden="1" customHeight="1" x14ac:dyDescent="0.2">
      <c r="A732" s="28">
        <v>4</v>
      </c>
      <c r="B732" s="28">
        <v>4</v>
      </c>
      <c r="C732" s="11">
        <v>24</v>
      </c>
      <c r="D732" s="13" t="s">
        <v>297</v>
      </c>
      <c r="E732" s="10" t="s">
        <v>133</v>
      </c>
      <c r="F732" s="10" t="s">
        <v>209</v>
      </c>
      <c r="G732" s="10"/>
      <c r="H732" s="10"/>
      <c r="I732" s="10"/>
      <c r="J732" s="10"/>
      <c r="K732" s="575"/>
      <c r="L732" s="152"/>
      <c r="M732" s="164"/>
      <c r="N732" s="62"/>
      <c r="O732" s="62"/>
      <c r="P732" s="177"/>
      <c r="Q732" s="171"/>
      <c r="R732" s="94"/>
      <c r="S732" s="62"/>
      <c r="T732" s="62"/>
      <c r="U732" s="64"/>
      <c r="V732" s="164"/>
      <c r="W732" s="62"/>
      <c r="X732" s="62"/>
      <c r="Y732" s="62"/>
      <c r="Z732" s="64"/>
      <c r="AA732" s="164"/>
      <c r="AB732" s="62"/>
      <c r="AC732" s="62"/>
      <c r="AD732" s="64"/>
      <c r="AE732" s="164"/>
      <c r="AF732" s="62"/>
      <c r="AG732" s="62"/>
      <c r="AH732" s="337"/>
      <c r="AI732" s="337"/>
      <c r="AJ732" s="337"/>
      <c r="AK732" s="337"/>
      <c r="AL732" s="412"/>
      <c r="AM732" s="414"/>
      <c r="AN732" s="45"/>
      <c r="AO732" s="45"/>
      <c r="AP732" s="45"/>
      <c r="AQ732" s="485">
        <f>AL732/BI732</f>
        <v>0</v>
      </c>
      <c r="AR732" s="485" t="e">
        <f>BL732/BH732</f>
        <v>#VALUE!</v>
      </c>
      <c r="AS732" s="485">
        <f>BL732/BI732</f>
        <v>0</v>
      </c>
      <c r="AT732" s="24"/>
      <c r="AU732" s="24"/>
      <c r="AV732" s="24"/>
      <c r="AW732" s="18">
        <v>24</v>
      </c>
      <c r="AX732" s="69" t="s">
        <v>297</v>
      </c>
      <c r="AY732" s="243" t="s">
        <v>133</v>
      </c>
      <c r="AZ732" s="243" t="str">
        <f t="shared" si="301"/>
        <v>Chum</v>
      </c>
      <c r="BA732" s="243" t="s">
        <v>419</v>
      </c>
      <c r="BB732" s="244" t="s">
        <v>290</v>
      </c>
      <c r="BC732" s="43" t="str">
        <f t="shared" si="302"/>
        <v>-</v>
      </c>
      <c r="BD732" s="43">
        <f t="shared" si="297"/>
        <v>0</v>
      </c>
      <c r="BE732" s="193">
        <f t="shared" si="318"/>
        <v>0</v>
      </c>
      <c r="BF732" s="193">
        <f t="shared" si="303"/>
        <v>0</v>
      </c>
      <c r="BG732" s="193">
        <f t="shared" si="304"/>
        <v>0</v>
      </c>
      <c r="BH732" s="307" t="str">
        <f t="shared" ref="BH732:BH795" si="319">CI732</f>
        <v>-</v>
      </c>
      <c r="BI732" s="265">
        <f>CC732</f>
        <v>380</v>
      </c>
      <c r="BJ732" s="26" t="str">
        <f t="shared" si="305"/>
        <v>WATTA CREEKChum</v>
      </c>
      <c r="BK732" s="26">
        <f t="shared" si="306"/>
        <v>0</v>
      </c>
      <c r="BL732" s="33">
        <f t="shared" si="298"/>
        <v>0</v>
      </c>
      <c r="BQ732" s="47" t="str">
        <f t="shared" si="307"/>
        <v>WATTA CREEKChum</v>
      </c>
      <c r="BR732" s="49">
        <f t="shared" si="308"/>
        <v>0</v>
      </c>
      <c r="BS732" s="49">
        <f t="shared" si="317"/>
        <v>0</v>
      </c>
      <c r="BT732" s="31">
        <v>2010</v>
      </c>
      <c r="BU732" s="188" t="str">
        <f t="shared" si="309"/>
        <v>NTC</v>
      </c>
      <c r="BV732" s="188" t="str">
        <f t="shared" si="310"/>
        <v xml:space="preserve"> </v>
      </c>
      <c r="BW732" s="188" t="str">
        <f t="shared" si="311"/>
        <v xml:space="preserve"> </v>
      </c>
      <c r="BX732" s="188" t="str">
        <f t="shared" si="312"/>
        <v xml:space="preserve"> </v>
      </c>
      <c r="BY732" s="50" t="str">
        <f t="shared" si="300"/>
        <v>WATTA CREEK_Chum</v>
      </c>
      <c r="BZ732" s="50">
        <f>IFERROR(VLOOKUP(BY732,'[1]WCVI Esc'!$C$5:$W$555,18,FALSE),"-")</f>
        <v>376</v>
      </c>
      <c r="CA732" s="50">
        <f t="shared" si="313"/>
        <v>380</v>
      </c>
      <c r="CB732" s="50">
        <f>IFERROR(VLOOKUP(BY732,'[1]WCVI Esc'!$C$5:$W$555,19,FALSE),"-")</f>
        <v>376</v>
      </c>
      <c r="CC732" s="50">
        <f t="shared" si="314"/>
        <v>380</v>
      </c>
      <c r="CE732" s="342" t="str">
        <f t="shared" si="299"/>
        <v>WATTA CREEK_Chum</v>
      </c>
      <c r="CF732" s="341" t="str">
        <f>IFERROR(VLOOKUP(CE732,'RawPL+D'!$O$8:$AB$503,12,FALSE),"-")</f>
        <v>-</v>
      </c>
      <c r="CG732" s="338" t="str">
        <f t="shared" si="315"/>
        <v>-</v>
      </c>
      <c r="CH732" s="341" t="str">
        <f>IFERROR(VLOOKUP(CE732,'RawPL+D'!$O$8:$AB$503,13,FALSE),"-")</f>
        <v>-</v>
      </c>
      <c r="CI732" s="338" t="str">
        <f t="shared" si="316"/>
        <v>-</v>
      </c>
    </row>
    <row r="733" spans="1:87" ht="12.75" hidden="1" customHeight="1" x14ac:dyDescent="0.2">
      <c r="A733" s="28">
        <v>4</v>
      </c>
      <c r="B733" s="28">
        <v>5</v>
      </c>
      <c r="C733" s="11">
        <v>24</v>
      </c>
      <c r="D733" s="13" t="s">
        <v>297</v>
      </c>
      <c r="E733" s="10" t="s">
        <v>133</v>
      </c>
      <c r="F733" s="10" t="s">
        <v>210</v>
      </c>
      <c r="G733" s="10"/>
      <c r="H733" s="10"/>
      <c r="I733" s="10"/>
      <c r="J733" s="10"/>
      <c r="K733" s="575"/>
      <c r="L733" s="152"/>
      <c r="M733" s="164"/>
      <c r="N733" s="62"/>
      <c r="O733" s="62"/>
      <c r="P733" s="177"/>
      <c r="Q733" s="171"/>
      <c r="R733" s="94"/>
      <c r="S733" s="62"/>
      <c r="T733" s="62"/>
      <c r="U733" s="64"/>
      <c r="V733" s="164"/>
      <c r="W733" s="62"/>
      <c r="X733" s="62"/>
      <c r="Y733" s="62"/>
      <c r="Z733" s="64"/>
      <c r="AA733" s="164"/>
      <c r="AB733" s="62"/>
      <c r="AC733" s="62"/>
      <c r="AD733" s="64"/>
      <c r="AE733" s="164"/>
      <c r="AF733" s="62"/>
      <c r="AG733" s="62"/>
      <c r="AH733" s="337"/>
      <c r="AI733" s="337"/>
      <c r="AJ733" s="337"/>
      <c r="AK733" s="337"/>
      <c r="AL733" s="412"/>
      <c r="AM733" s="414"/>
      <c r="AN733" s="45"/>
      <c r="AO733" s="45"/>
      <c r="AP733" s="45"/>
      <c r="AQ733" s="485"/>
      <c r="AR733" s="485" t="e">
        <f>BL733/BI733</f>
        <v>#DIV/0!</v>
      </c>
      <c r="AS733" s="485"/>
      <c r="AT733" s="24"/>
      <c r="AU733" s="24"/>
      <c r="AV733" s="24"/>
      <c r="AW733" s="18">
        <v>24</v>
      </c>
      <c r="AX733" s="69" t="s">
        <v>297</v>
      </c>
      <c r="AY733" s="243" t="s">
        <v>133</v>
      </c>
      <c r="AZ733" s="243" t="str">
        <f t="shared" si="301"/>
        <v>Chinook</v>
      </c>
      <c r="BA733" s="243" t="s">
        <v>419</v>
      </c>
      <c r="BB733" s="244" t="s">
        <v>290</v>
      </c>
      <c r="BC733" s="43" t="str">
        <f t="shared" si="302"/>
        <v>-</v>
      </c>
      <c r="BD733" s="43">
        <f t="shared" si="297"/>
        <v>0</v>
      </c>
      <c r="BE733" s="193">
        <f t="shared" si="318"/>
        <v>0</v>
      </c>
      <c r="BF733" s="193">
        <f t="shared" si="303"/>
        <v>0</v>
      </c>
      <c r="BG733" s="193">
        <f t="shared" si="304"/>
        <v>0</v>
      </c>
      <c r="BH733" s="307" t="str">
        <f t="shared" si="319"/>
        <v>-</v>
      </c>
      <c r="BI733" s="265"/>
      <c r="BJ733" s="26" t="str">
        <f t="shared" si="305"/>
        <v>WATTA CREEKChinook</v>
      </c>
      <c r="BK733" s="26">
        <f t="shared" si="306"/>
        <v>0</v>
      </c>
      <c r="BL733" s="33">
        <f t="shared" si="298"/>
        <v>0</v>
      </c>
      <c r="BQ733" s="47" t="str">
        <f t="shared" si="307"/>
        <v>WATTA CREEKChinook</v>
      </c>
      <c r="BR733" s="49">
        <f t="shared" si="308"/>
        <v>0</v>
      </c>
      <c r="BS733" s="49">
        <f t="shared" si="317"/>
        <v>0</v>
      </c>
      <c r="BT733" s="31">
        <v>2010</v>
      </c>
      <c r="BU733" s="188" t="str">
        <f t="shared" si="309"/>
        <v>NTC</v>
      </c>
      <c r="BV733" s="188" t="str">
        <f t="shared" si="310"/>
        <v xml:space="preserve"> </v>
      </c>
      <c r="BW733" s="188" t="str">
        <f t="shared" si="311"/>
        <v xml:space="preserve"> </v>
      </c>
      <c r="BX733" s="188" t="str">
        <f t="shared" si="312"/>
        <v xml:space="preserve"> </v>
      </c>
      <c r="BY733" s="50" t="str">
        <f t="shared" si="300"/>
        <v>WATTA CREEK_Chinook</v>
      </c>
      <c r="BZ733" s="50" t="str">
        <f>IFERROR(VLOOKUP(BY733,'[1]WCVI Esc'!$C$5:$W$555,18,FALSE),"-")</f>
        <v>-</v>
      </c>
      <c r="CA733" s="50" t="str">
        <f t="shared" si="313"/>
        <v>-</v>
      </c>
      <c r="CB733" s="50" t="str">
        <f>IFERROR(VLOOKUP(BY733,'[1]WCVI Esc'!$C$5:$W$555,19,FALSE),"-")</f>
        <v>-</v>
      </c>
      <c r="CC733" s="50" t="str">
        <f t="shared" si="314"/>
        <v>-</v>
      </c>
      <c r="CE733" s="342" t="str">
        <f t="shared" si="299"/>
        <v>WATTA CREEK_Chinook</v>
      </c>
      <c r="CF733" s="341" t="str">
        <f>IFERROR(VLOOKUP(BY733,'RawPL+D'!$O$8:$AB$503,12,FALSE),"-")</f>
        <v>-</v>
      </c>
      <c r="CG733" s="338" t="str">
        <f t="shared" si="315"/>
        <v>-</v>
      </c>
      <c r="CH733" s="341" t="str">
        <f>IFERROR(VLOOKUP(BY733,'RawPL+D'!$O$8:$AB$503,13,FALSE),"-")</f>
        <v>-</v>
      </c>
      <c r="CI733" s="338" t="str">
        <f t="shared" si="316"/>
        <v>-</v>
      </c>
    </row>
    <row r="734" spans="1:87" ht="12.75" hidden="1" customHeight="1" x14ac:dyDescent="0.2">
      <c r="A734" s="28">
        <v>4</v>
      </c>
      <c r="B734" s="28">
        <v>6</v>
      </c>
      <c r="C734" s="11">
        <v>24</v>
      </c>
      <c r="D734" s="13" t="s">
        <v>297</v>
      </c>
      <c r="E734" s="10" t="s">
        <v>133</v>
      </c>
      <c r="F734" s="10" t="s">
        <v>211</v>
      </c>
      <c r="G734" s="10"/>
      <c r="H734" s="10"/>
      <c r="I734" s="10"/>
      <c r="J734" s="10"/>
      <c r="K734" s="575"/>
      <c r="L734" s="152"/>
      <c r="M734" s="164"/>
      <c r="N734" s="62"/>
      <c r="O734" s="62"/>
      <c r="P734" s="177"/>
      <c r="Q734" s="171"/>
      <c r="R734" s="94"/>
      <c r="S734" s="62"/>
      <c r="T734" s="62"/>
      <c r="U734" s="64"/>
      <c r="V734" s="164"/>
      <c r="W734" s="62"/>
      <c r="X734" s="62"/>
      <c r="Y734" s="62"/>
      <c r="Z734" s="64"/>
      <c r="AA734" s="164"/>
      <c r="AB734" s="62"/>
      <c r="AC734" s="62"/>
      <c r="AD734" s="64"/>
      <c r="AE734" s="164"/>
      <c r="AF734" s="62"/>
      <c r="AG734" s="62"/>
      <c r="AH734" s="337"/>
      <c r="AI734" s="337"/>
      <c r="AJ734" s="337"/>
      <c r="AK734" s="337"/>
      <c r="AL734" s="412"/>
      <c r="AM734" s="414"/>
      <c r="AN734" s="45"/>
      <c r="AO734" s="45"/>
      <c r="AP734" s="45"/>
      <c r="AQ734" s="485"/>
      <c r="AR734" s="485"/>
      <c r="AS734" s="485"/>
      <c r="AT734" s="24"/>
      <c r="AU734" s="24"/>
      <c r="AV734" s="24"/>
      <c r="AW734" s="18">
        <v>24</v>
      </c>
      <c r="AX734" s="69" t="s">
        <v>297</v>
      </c>
      <c r="AY734" s="243" t="s">
        <v>133</v>
      </c>
      <c r="AZ734" s="243" t="str">
        <f t="shared" si="301"/>
        <v>Steelhead</v>
      </c>
      <c r="BA734" s="243" t="s">
        <v>419</v>
      </c>
      <c r="BB734" s="246"/>
      <c r="BC734" s="43" t="str">
        <f t="shared" si="302"/>
        <v>-</v>
      </c>
      <c r="BD734" s="43">
        <f t="shared" si="297"/>
        <v>0</v>
      </c>
      <c r="BE734" s="193">
        <f t="shared" si="318"/>
        <v>0</v>
      </c>
      <c r="BF734" s="193">
        <f t="shared" si="303"/>
        <v>0</v>
      </c>
      <c r="BG734" s="193">
        <f t="shared" si="304"/>
        <v>0</v>
      </c>
      <c r="BH734" s="307" t="str">
        <f t="shared" si="319"/>
        <v>-</v>
      </c>
      <c r="BI734" s="266"/>
      <c r="BJ734" s="26" t="str">
        <f t="shared" si="305"/>
        <v>WATTA CREEKSteelhead</v>
      </c>
      <c r="BK734" s="26">
        <f t="shared" si="306"/>
        <v>0</v>
      </c>
      <c r="BL734" s="33">
        <f t="shared" si="298"/>
        <v>0</v>
      </c>
      <c r="BQ734" s="47" t="str">
        <f t="shared" si="307"/>
        <v>WATTA CREEKSteelhead</v>
      </c>
      <c r="BR734" s="49">
        <f t="shared" si="308"/>
        <v>0</v>
      </c>
      <c r="BS734" s="49">
        <f t="shared" si="317"/>
        <v>0</v>
      </c>
      <c r="BT734" s="31">
        <v>0</v>
      </c>
      <c r="BU734" s="188">
        <f t="shared" si="309"/>
        <v>0</v>
      </c>
      <c r="BV734" s="188" t="str">
        <f t="shared" si="310"/>
        <v xml:space="preserve"> </v>
      </c>
      <c r="BW734" s="188" t="str">
        <f t="shared" si="311"/>
        <v xml:space="preserve"> </v>
      </c>
      <c r="BX734" s="188" t="str">
        <f t="shared" si="312"/>
        <v xml:space="preserve"> </v>
      </c>
      <c r="BY734" s="50" t="str">
        <f t="shared" si="300"/>
        <v>WATTA CREEK_Steelhead</v>
      </c>
      <c r="BZ734" s="50" t="str">
        <f>IFERROR(VLOOKUP(BY734,'[1]WCVI Esc'!$C$5:$W$555,18,FALSE),"-")</f>
        <v>-</v>
      </c>
      <c r="CA734" s="50" t="str">
        <f t="shared" si="313"/>
        <v>-</v>
      </c>
      <c r="CB734" s="50" t="str">
        <f>IFERROR(VLOOKUP(BY734,'[1]WCVI Esc'!$C$5:$W$555,19,FALSE),"-")</f>
        <v>-</v>
      </c>
      <c r="CC734" s="50" t="str">
        <f t="shared" si="314"/>
        <v>-</v>
      </c>
      <c r="CE734" s="342" t="str">
        <f t="shared" si="299"/>
        <v>WATTA CREEK_Steelhead</v>
      </c>
      <c r="CF734" s="341" t="str">
        <f>IFERROR(VLOOKUP(BY734,'RawPL+D'!$O$8:$AB$503,12,FALSE),"-")</f>
        <v>-</v>
      </c>
      <c r="CG734" s="338" t="str">
        <f t="shared" si="315"/>
        <v>-</v>
      </c>
      <c r="CH734" s="341" t="str">
        <f>IFERROR(VLOOKUP(BY734,'RawPL+D'!$O$8:$AB$503,13,FALSE),"-")</f>
        <v>-</v>
      </c>
      <c r="CI734" s="338" t="str">
        <f t="shared" si="316"/>
        <v>-</v>
      </c>
    </row>
    <row r="735" spans="1:87" ht="12.75" hidden="1" customHeight="1" x14ac:dyDescent="0.2">
      <c r="A735" s="28">
        <v>4</v>
      </c>
      <c r="B735" s="28">
        <v>1</v>
      </c>
      <c r="C735" s="11">
        <v>24</v>
      </c>
      <c r="D735" s="13" t="s">
        <v>297</v>
      </c>
      <c r="E735" s="10" t="s">
        <v>134</v>
      </c>
      <c r="F735" s="10" t="s">
        <v>207</v>
      </c>
      <c r="G735" s="10"/>
      <c r="H735" s="10"/>
      <c r="I735" s="10"/>
      <c r="J735" s="10"/>
      <c r="K735" s="575"/>
      <c r="L735" s="152"/>
      <c r="M735" s="164"/>
      <c r="N735" s="62"/>
      <c r="O735" s="62"/>
      <c r="P735" s="177"/>
      <c r="Q735" s="171"/>
      <c r="R735" s="94"/>
      <c r="S735" s="62"/>
      <c r="T735" s="62"/>
      <c r="U735" s="162"/>
      <c r="V735" s="169"/>
      <c r="W735" s="62"/>
      <c r="X735" s="62"/>
      <c r="Y735" s="62"/>
      <c r="Z735" s="64"/>
      <c r="AA735" s="164"/>
      <c r="AB735" s="62"/>
      <c r="AC735" s="62"/>
      <c r="AD735" s="64"/>
      <c r="AE735" s="164"/>
      <c r="AF735" s="62"/>
      <c r="AG735" s="62"/>
      <c r="AH735" s="337"/>
      <c r="AI735" s="337"/>
      <c r="AJ735" s="337"/>
      <c r="AK735" s="337"/>
      <c r="AL735" s="412"/>
      <c r="AM735" s="414"/>
      <c r="AN735" s="45"/>
      <c r="AO735" s="45"/>
      <c r="AP735" s="45"/>
      <c r="AQ735" s="485"/>
      <c r="AR735" s="485"/>
      <c r="AS735" s="485"/>
      <c r="AT735" s="24"/>
      <c r="AU735" s="24"/>
      <c r="AV735" s="24"/>
      <c r="AW735" s="18">
        <v>24</v>
      </c>
      <c r="AX735" s="69" t="s">
        <v>297</v>
      </c>
      <c r="AY735" s="243" t="s">
        <v>134</v>
      </c>
      <c r="AZ735" s="243" t="str">
        <f t="shared" si="301"/>
        <v>Sockeye</v>
      </c>
      <c r="BA735" s="243" t="s">
        <v>419</v>
      </c>
      <c r="BB735" s="246" t="s">
        <v>594</v>
      </c>
      <c r="BC735" s="43" t="str">
        <f t="shared" si="302"/>
        <v>-</v>
      </c>
      <c r="BD735" s="43">
        <f t="shared" si="297"/>
        <v>0</v>
      </c>
      <c r="BE735" s="193">
        <f t="shared" si="318"/>
        <v>0</v>
      </c>
      <c r="BF735" s="193">
        <f t="shared" si="303"/>
        <v>0</v>
      </c>
      <c r="BG735" s="193">
        <f t="shared" si="304"/>
        <v>0</v>
      </c>
      <c r="BH735" s="307" t="str">
        <f t="shared" si="319"/>
        <v>-</v>
      </c>
      <c r="BI735" s="266"/>
      <c r="BJ735" s="26" t="str">
        <f t="shared" si="305"/>
        <v>WHITE PINE COVE CREEKSockeye</v>
      </c>
      <c r="BK735" s="26">
        <f t="shared" si="306"/>
        <v>0</v>
      </c>
      <c r="BL735" s="33">
        <f t="shared" si="298"/>
        <v>0</v>
      </c>
      <c r="BQ735" s="47" t="str">
        <f t="shared" si="307"/>
        <v>WHITE PINE COVE CREEKSockeye</v>
      </c>
      <c r="BR735" s="49">
        <f t="shared" si="308"/>
        <v>0</v>
      </c>
      <c r="BS735" s="49">
        <f t="shared" si="317"/>
        <v>0</v>
      </c>
      <c r="BT735" s="31">
        <v>0</v>
      </c>
      <c r="BU735" s="188" t="str">
        <f t="shared" si="309"/>
        <v>MHSS</v>
      </c>
      <c r="BV735" s="188" t="str">
        <f t="shared" si="310"/>
        <v xml:space="preserve"> </v>
      </c>
      <c r="BW735" s="188" t="str">
        <f t="shared" si="311"/>
        <v xml:space="preserve"> </v>
      </c>
      <c r="BX735" s="188" t="str">
        <f t="shared" si="312"/>
        <v xml:space="preserve"> </v>
      </c>
      <c r="BY735" s="50" t="str">
        <f t="shared" si="300"/>
        <v>WHITE PINE COVE CREEK_Sockeye</v>
      </c>
      <c r="BZ735" s="50" t="str">
        <f>IFERROR(VLOOKUP(BY735,'[1]WCVI Esc'!$C$5:$W$555,18,FALSE),"-")</f>
        <v>-</v>
      </c>
      <c r="CA735" s="50" t="str">
        <f t="shared" si="313"/>
        <v>-</v>
      </c>
      <c r="CB735" s="50" t="str">
        <f>IFERROR(VLOOKUP(BY735,'[1]WCVI Esc'!$C$5:$W$555,19,FALSE),"-")</f>
        <v>-</v>
      </c>
      <c r="CC735" s="50" t="str">
        <f t="shared" si="314"/>
        <v>-</v>
      </c>
      <c r="CE735" s="342" t="str">
        <f t="shared" si="299"/>
        <v>WHITE PINE COVE CREEK_Sockeye</v>
      </c>
      <c r="CF735" s="341" t="str">
        <f>IFERROR(VLOOKUP(BY735,'RawPL+D'!$O$8:$AB$503,12,FALSE),"-")</f>
        <v>-</v>
      </c>
      <c r="CG735" s="338" t="str">
        <f t="shared" si="315"/>
        <v>-</v>
      </c>
      <c r="CH735" s="341" t="str">
        <f>IFERROR(VLOOKUP(BY735,'RawPL+D'!$O$8:$AB$503,13,FALSE),"-")</f>
        <v>-</v>
      </c>
      <c r="CI735" s="338" t="str">
        <f t="shared" si="316"/>
        <v>-</v>
      </c>
    </row>
    <row r="736" spans="1:87" ht="12.75" hidden="1" customHeight="1" x14ac:dyDescent="0.2">
      <c r="A736" s="28">
        <v>4</v>
      </c>
      <c r="B736" s="28">
        <v>2</v>
      </c>
      <c r="C736" s="11">
        <v>24</v>
      </c>
      <c r="D736" s="13" t="s">
        <v>297</v>
      </c>
      <c r="E736" s="10" t="s">
        <v>134</v>
      </c>
      <c r="F736" s="10" t="s">
        <v>219</v>
      </c>
      <c r="G736" s="10"/>
      <c r="H736" s="10"/>
      <c r="I736" s="10"/>
      <c r="J736" s="10"/>
      <c r="K736" s="575"/>
      <c r="L736" s="152"/>
      <c r="M736" s="164"/>
      <c r="N736" s="62"/>
      <c r="O736" s="62"/>
      <c r="P736" s="177"/>
      <c r="Q736" s="171"/>
      <c r="R736" s="94"/>
      <c r="S736" s="62"/>
      <c r="T736" s="62"/>
      <c r="U736" s="162"/>
      <c r="V736" s="169"/>
      <c r="W736" s="62"/>
      <c r="X736" s="62"/>
      <c r="Y736" s="62"/>
      <c r="Z736" s="64"/>
      <c r="AA736" s="164"/>
      <c r="AB736" s="62"/>
      <c r="AC736" s="62"/>
      <c r="AD736" s="64"/>
      <c r="AE736" s="164"/>
      <c r="AF736" s="62"/>
      <c r="AG736" s="62"/>
      <c r="AH736" s="337"/>
      <c r="AI736" s="337"/>
      <c r="AJ736" s="337"/>
      <c r="AK736" s="337"/>
      <c r="AL736" s="412"/>
      <c r="AM736" s="414"/>
      <c r="AN736" s="45"/>
      <c r="AO736" s="45"/>
      <c r="AP736" s="45"/>
      <c r="AQ736" s="485"/>
      <c r="AR736" s="485"/>
      <c r="AS736" s="485"/>
      <c r="AT736" s="24"/>
      <c r="AU736" s="24"/>
      <c r="AV736" s="24"/>
      <c r="AW736" s="18">
        <v>24</v>
      </c>
      <c r="AX736" s="69" t="s">
        <v>297</v>
      </c>
      <c r="AY736" s="243" t="s">
        <v>134</v>
      </c>
      <c r="AZ736" s="243" t="str">
        <f t="shared" si="301"/>
        <v>Coho</v>
      </c>
      <c r="BA736" s="243" t="s">
        <v>419</v>
      </c>
      <c r="BB736" s="246" t="s">
        <v>594</v>
      </c>
      <c r="BC736" s="43" t="str">
        <f t="shared" si="302"/>
        <v>-</v>
      </c>
      <c r="BD736" s="43">
        <f t="shared" si="297"/>
        <v>0</v>
      </c>
      <c r="BE736" s="193">
        <f t="shared" si="318"/>
        <v>0</v>
      </c>
      <c r="BF736" s="193">
        <f t="shared" si="303"/>
        <v>0</v>
      </c>
      <c r="BG736" s="193">
        <f t="shared" si="304"/>
        <v>0</v>
      </c>
      <c r="BH736" s="307">
        <f t="shared" si="319"/>
        <v>0</v>
      </c>
      <c r="BI736" s="266"/>
      <c r="BJ736" s="26" t="str">
        <f t="shared" si="305"/>
        <v>WHITE PINE COVE CREEKCoho</v>
      </c>
      <c r="BK736" s="26">
        <f t="shared" si="306"/>
        <v>0</v>
      </c>
      <c r="BL736" s="33">
        <f t="shared" si="298"/>
        <v>0</v>
      </c>
      <c r="BQ736" s="47" t="str">
        <f t="shared" si="307"/>
        <v>WHITE PINE COVE CREEKCoho</v>
      </c>
      <c r="BR736" s="49">
        <f t="shared" si="308"/>
        <v>0</v>
      </c>
      <c r="BS736" s="49">
        <f t="shared" si="317"/>
        <v>0</v>
      </c>
      <c r="BT736" s="31">
        <v>1972</v>
      </c>
      <c r="BU736" s="188" t="str">
        <f t="shared" si="309"/>
        <v>MHSS</v>
      </c>
      <c r="BV736" s="188" t="str">
        <f t="shared" si="310"/>
        <v xml:space="preserve"> </v>
      </c>
      <c r="BW736" s="188" t="str">
        <f t="shared" si="311"/>
        <v xml:space="preserve"> </v>
      </c>
      <c r="BX736" s="188" t="str">
        <f t="shared" si="312"/>
        <v xml:space="preserve"> </v>
      </c>
      <c r="BY736" s="50" t="str">
        <f t="shared" si="300"/>
        <v>WHITE PINE COVE CREEK_Coho</v>
      </c>
      <c r="BZ736" s="50" t="str">
        <f>IFERROR(VLOOKUP(BY736,'[1]WCVI Esc'!$C$5:$W$555,18,FALSE),"-")</f>
        <v>-</v>
      </c>
      <c r="CA736" s="50" t="str">
        <f t="shared" si="313"/>
        <v>-</v>
      </c>
      <c r="CB736" s="50" t="str">
        <f>IFERROR(VLOOKUP(BY736,'[1]WCVI Esc'!$C$5:$W$555,19,FALSE),"-")</f>
        <v>-</v>
      </c>
      <c r="CC736" s="50" t="str">
        <f t="shared" si="314"/>
        <v>-</v>
      </c>
      <c r="CE736" s="342" t="str">
        <f t="shared" si="299"/>
        <v>WHITE PINE COVE CREEK_Coho</v>
      </c>
      <c r="CF736" s="341">
        <f>IFERROR(VLOOKUP(BY736,'RawPL+D'!$O$8:$AB$503,12,FALSE),"-")</f>
        <v>0</v>
      </c>
      <c r="CG736" s="338">
        <f t="shared" si="315"/>
        <v>0</v>
      </c>
      <c r="CH736" s="341">
        <f>IFERROR(VLOOKUP(BY736,'RawPL+D'!$O$8:$AB$503,13,FALSE),"-")</f>
        <v>0</v>
      </c>
      <c r="CI736" s="338">
        <f t="shared" si="316"/>
        <v>0</v>
      </c>
    </row>
    <row r="737" spans="1:87" ht="12.75" hidden="1" customHeight="1" x14ac:dyDescent="0.2">
      <c r="A737" s="28">
        <v>4</v>
      </c>
      <c r="B737" s="28">
        <v>3</v>
      </c>
      <c r="C737" s="11">
        <v>24</v>
      </c>
      <c r="D737" s="13" t="s">
        <v>297</v>
      </c>
      <c r="E737" s="10" t="s">
        <v>134</v>
      </c>
      <c r="F737" s="10" t="s">
        <v>208</v>
      </c>
      <c r="G737" s="10"/>
      <c r="H737" s="10"/>
      <c r="I737" s="10"/>
      <c r="J737" s="10"/>
      <c r="K737" s="575"/>
      <c r="L737" s="152"/>
      <c r="M737" s="164"/>
      <c r="N737" s="62"/>
      <c r="O737" s="62"/>
      <c r="P737" s="177"/>
      <c r="Q737" s="171"/>
      <c r="R737" s="94"/>
      <c r="S737" s="62"/>
      <c r="T737" s="62"/>
      <c r="U737" s="162"/>
      <c r="V737" s="169"/>
      <c r="W737" s="62"/>
      <c r="X737" s="62"/>
      <c r="Y737" s="62"/>
      <c r="Z737" s="64"/>
      <c r="AA737" s="164"/>
      <c r="AB737" s="62"/>
      <c r="AC737" s="62"/>
      <c r="AD737" s="64"/>
      <c r="AE737" s="164"/>
      <c r="AF737" s="62"/>
      <c r="AG737" s="62"/>
      <c r="AH737" s="337"/>
      <c r="AI737" s="337"/>
      <c r="AJ737" s="337"/>
      <c r="AK737" s="337"/>
      <c r="AL737" s="412"/>
      <c r="AM737" s="414"/>
      <c r="AN737" s="45"/>
      <c r="AO737" s="45"/>
      <c r="AP737" s="45"/>
      <c r="AQ737" s="485"/>
      <c r="AR737" s="485"/>
      <c r="AS737" s="485"/>
      <c r="AT737" s="24"/>
      <c r="AU737" s="24"/>
      <c r="AV737" s="24"/>
      <c r="AW737" s="18">
        <v>24</v>
      </c>
      <c r="AX737" s="69" t="s">
        <v>297</v>
      </c>
      <c r="AY737" s="243" t="s">
        <v>134</v>
      </c>
      <c r="AZ737" s="243" t="str">
        <f t="shared" si="301"/>
        <v>Pink</v>
      </c>
      <c r="BA737" s="243" t="s">
        <v>419</v>
      </c>
      <c r="BB737" s="246" t="s">
        <v>594</v>
      </c>
      <c r="BC737" s="43" t="str">
        <f t="shared" si="302"/>
        <v>-</v>
      </c>
      <c r="BD737" s="43">
        <f t="shared" ref="BD737:BD800" si="320">BK737</f>
        <v>0</v>
      </c>
      <c r="BE737" s="193">
        <f t="shared" si="318"/>
        <v>0</v>
      </c>
      <c r="BF737" s="193">
        <f t="shared" si="303"/>
        <v>0</v>
      </c>
      <c r="BG737" s="193">
        <f t="shared" si="304"/>
        <v>0</v>
      </c>
      <c r="BH737" s="307" t="str">
        <f t="shared" si="319"/>
        <v>-</v>
      </c>
      <c r="BI737" s="266"/>
      <c r="BJ737" s="26" t="str">
        <f t="shared" si="305"/>
        <v>WHITE PINE COVE CREEKPink</v>
      </c>
      <c r="BK737" s="26">
        <f t="shared" si="306"/>
        <v>0</v>
      </c>
      <c r="BL737" s="33">
        <f t="shared" si="298"/>
        <v>0</v>
      </c>
      <c r="BQ737" s="47" t="str">
        <f t="shared" si="307"/>
        <v>WHITE PINE COVE CREEKPink</v>
      </c>
      <c r="BR737" s="49">
        <f t="shared" si="308"/>
        <v>0</v>
      </c>
      <c r="BS737" s="49">
        <f t="shared" si="317"/>
        <v>0</v>
      </c>
      <c r="BT737" s="31">
        <v>0</v>
      </c>
      <c r="BU737" s="188" t="str">
        <f t="shared" si="309"/>
        <v>MHSS</v>
      </c>
      <c r="BV737" s="188" t="str">
        <f t="shared" si="310"/>
        <v xml:space="preserve"> </v>
      </c>
      <c r="BW737" s="188" t="str">
        <f t="shared" si="311"/>
        <v xml:space="preserve"> </v>
      </c>
      <c r="BX737" s="188" t="str">
        <f t="shared" si="312"/>
        <v xml:space="preserve"> </v>
      </c>
      <c r="BY737" s="50" t="str">
        <f t="shared" si="300"/>
        <v>WHITE PINE COVE CREEK_Pink</v>
      </c>
      <c r="BZ737" s="50" t="str">
        <f>IFERROR(VLOOKUP(BY737,'[1]WCVI Esc'!$C$5:$W$555,18,FALSE),"-")</f>
        <v>-</v>
      </c>
      <c r="CA737" s="50" t="str">
        <f t="shared" si="313"/>
        <v>-</v>
      </c>
      <c r="CB737" s="50" t="str">
        <f>IFERROR(VLOOKUP(BY737,'[1]WCVI Esc'!$C$5:$W$555,19,FALSE),"-")</f>
        <v>-</v>
      </c>
      <c r="CC737" s="50" t="str">
        <f t="shared" si="314"/>
        <v>-</v>
      </c>
      <c r="CE737" s="342" t="str">
        <f t="shared" si="299"/>
        <v>WHITE PINE COVE CREEK_Pink</v>
      </c>
      <c r="CF737" s="341" t="str">
        <f>IFERROR(VLOOKUP(BY737,'RawPL+D'!$O$8:$AB$503,12,FALSE),"-")</f>
        <v>-</v>
      </c>
      <c r="CG737" s="338" t="str">
        <f t="shared" si="315"/>
        <v>-</v>
      </c>
      <c r="CH737" s="341" t="str">
        <f>IFERROR(VLOOKUP(BY737,'RawPL+D'!$O$8:$AB$503,13,FALSE),"-")</f>
        <v>-</v>
      </c>
      <c r="CI737" s="338" t="str">
        <f t="shared" si="316"/>
        <v>-</v>
      </c>
    </row>
    <row r="738" spans="1:87" ht="12.75" hidden="1" customHeight="1" x14ac:dyDescent="0.2">
      <c r="A738" s="28">
        <v>4</v>
      </c>
      <c r="B738" s="28">
        <v>4</v>
      </c>
      <c r="C738" s="11">
        <v>24</v>
      </c>
      <c r="D738" s="13" t="s">
        <v>297</v>
      </c>
      <c r="E738" s="10" t="s">
        <v>134</v>
      </c>
      <c r="F738" s="10" t="s">
        <v>209</v>
      </c>
      <c r="G738" s="10"/>
      <c r="H738" s="10"/>
      <c r="I738" s="10"/>
      <c r="J738" s="10"/>
      <c r="K738" s="575"/>
      <c r="L738" s="152"/>
      <c r="M738" s="164"/>
      <c r="N738" s="62"/>
      <c r="O738" s="62"/>
      <c r="P738" s="177"/>
      <c r="Q738" s="171"/>
      <c r="R738" s="94"/>
      <c r="S738" s="62"/>
      <c r="T738" s="62"/>
      <c r="U738" s="162"/>
      <c r="V738" s="169"/>
      <c r="W738" s="62"/>
      <c r="X738" s="62"/>
      <c r="Y738" s="62"/>
      <c r="Z738" s="64"/>
      <c r="AA738" s="164"/>
      <c r="AB738" s="62"/>
      <c r="AC738" s="62"/>
      <c r="AD738" s="64"/>
      <c r="AE738" s="164"/>
      <c r="AF738" s="62"/>
      <c r="AG738" s="62"/>
      <c r="AH738" s="337"/>
      <c r="AI738" s="337"/>
      <c r="AJ738" s="337"/>
      <c r="AK738" s="337"/>
      <c r="AL738" s="412"/>
      <c r="AM738" s="414"/>
      <c r="AN738" s="45"/>
      <c r="AO738" s="45"/>
      <c r="AP738" s="45"/>
      <c r="AQ738" s="485">
        <f>AL738/BI738</f>
        <v>0</v>
      </c>
      <c r="AR738" s="485">
        <f>BL738/BI738</f>
        <v>0</v>
      </c>
      <c r="AS738" s="485"/>
      <c r="AT738" s="24"/>
      <c r="AU738" s="24"/>
      <c r="AV738" s="24"/>
      <c r="AW738" s="18">
        <v>24</v>
      </c>
      <c r="AX738" s="69" t="s">
        <v>297</v>
      </c>
      <c r="AY738" s="243" t="s">
        <v>134</v>
      </c>
      <c r="AZ738" s="243" t="str">
        <f t="shared" si="301"/>
        <v>Chum</v>
      </c>
      <c r="BA738" s="243" t="s">
        <v>419</v>
      </c>
      <c r="BB738" s="246" t="s">
        <v>594</v>
      </c>
      <c r="BC738" s="43" t="str">
        <f t="shared" si="302"/>
        <v>-</v>
      </c>
      <c r="BD738" s="43">
        <f t="shared" si="320"/>
        <v>0</v>
      </c>
      <c r="BE738" s="193">
        <f t="shared" si="318"/>
        <v>0</v>
      </c>
      <c r="BF738" s="193">
        <f t="shared" si="303"/>
        <v>0</v>
      </c>
      <c r="BG738" s="193">
        <f t="shared" si="304"/>
        <v>0</v>
      </c>
      <c r="BH738" s="307">
        <f t="shared" si="319"/>
        <v>0</v>
      </c>
      <c r="BI738" s="265">
        <f>CC738</f>
        <v>40</v>
      </c>
      <c r="BJ738" s="26" t="str">
        <f t="shared" si="305"/>
        <v>WHITE PINE COVE CREEKChum</v>
      </c>
      <c r="BK738" s="26">
        <f t="shared" si="306"/>
        <v>0</v>
      </c>
      <c r="BL738" s="33">
        <f t="shared" si="298"/>
        <v>0</v>
      </c>
      <c r="BQ738" s="47" t="str">
        <f t="shared" si="307"/>
        <v>WHITE PINE COVE CREEKChum</v>
      </c>
      <c r="BR738" s="49">
        <f t="shared" si="308"/>
        <v>0</v>
      </c>
      <c r="BS738" s="49">
        <f t="shared" si="317"/>
        <v>0</v>
      </c>
      <c r="BT738" s="31">
        <v>2013</v>
      </c>
      <c r="BU738" s="188" t="str">
        <f t="shared" si="309"/>
        <v>MHSS</v>
      </c>
      <c r="BV738" s="188" t="str">
        <f t="shared" si="310"/>
        <v xml:space="preserve"> </v>
      </c>
      <c r="BW738" s="188" t="str">
        <f t="shared" si="311"/>
        <v xml:space="preserve"> </v>
      </c>
      <c r="BX738" s="188" t="str">
        <f t="shared" si="312"/>
        <v xml:space="preserve"> </v>
      </c>
      <c r="BY738" s="50" t="str">
        <f t="shared" si="300"/>
        <v>WHITE PINE COVE CREEK_Chum</v>
      </c>
      <c r="BZ738" s="50" t="str">
        <f>IFERROR(VLOOKUP(BY738,'[1]WCVI Esc'!$C$5:$W$555,18,FALSE),"-")</f>
        <v>-</v>
      </c>
      <c r="CA738" s="50" t="str">
        <f t="shared" si="313"/>
        <v>-</v>
      </c>
      <c r="CB738" s="50">
        <f>IFERROR(VLOOKUP(BY738,'[1]WCVI Esc'!$C$5:$W$555,19,FALSE),"-")</f>
        <v>44</v>
      </c>
      <c r="CC738" s="50">
        <f t="shared" si="314"/>
        <v>40</v>
      </c>
      <c r="CE738" s="342" t="str">
        <f t="shared" si="299"/>
        <v>WHITE PINE COVE CREEK_Chum</v>
      </c>
      <c r="CF738" s="341">
        <f>IFERROR(VLOOKUP(BY738,'RawPL+D'!$O$8:$AB$503,12,FALSE),"-")</f>
        <v>0</v>
      </c>
      <c r="CG738" s="338">
        <f t="shared" si="315"/>
        <v>0</v>
      </c>
      <c r="CH738" s="341">
        <f>IFERROR(VLOOKUP(BY738,'RawPL+D'!$O$8:$AB$503,13,FALSE),"-")</f>
        <v>0</v>
      </c>
      <c r="CI738" s="338">
        <f t="shared" si="316"/>
        <v>0</v>
      </c>
    </row>
    <row r="739" spans="1:87" ht="12.75" hidden="1" customHeight="1" x14ac:dyDescent="0.2">
      <c r="A739" s="28">
        <v>4</v>
      </c>
      <c r="B739" s="28">
        <v>5</v>
      </c>
      <c r="C739" s="11">
        <v>24</v>
      </c>
      <c r="D739" s="13" t="s">
        <v>297</v>
      </c>
      <c r="E739" s="10" t="s">
        <v>134</v>
      </c>
      <c r="F739" s="10" t="s">
        <v>210</v>
      </c>
      <c r="G739" s="10"/>
      <c r="H739" s="10"/>
      <c r="I739" s="10"/>
      <c r="J739" s="10"/>
      <c r="K739" s="575"/>
      <c r="L739" s="152"/>
      <c r="M739" s="164"/>
      <c r="N739" s="62"/>
      <c r="O739" s="62"/>
      <c r="P739" s="177"/>
      <c r="Q739" s="171"/>
      <c r="R739" s="94"/>
      <c r="S739" s="62"/>
      <c r="T739" s="62"/>
      <c r="U739" s="162"/>
      <c r="V739" s="169"/>
      <c r="W739" s="62"/>
      <c r="X739" s="62"/>
      <c r="Y739" s="62"/>
      <c r="Z739" s="64"/>
      <c r="AA739" s="164"/>
      <c r="AB739" s="62"/>
      <c r="AC739" s="62"/>
      <c r="AD739" s="64"/>
      <c r="AE739" s="164"/>
      <c r="AF739" s="62"/>
      <c r="AG739" s="62"/>
      <c r="AH739" s="337"/>
      <c r="AI739" s="337"/>
      <c r="AJ739" s="337"/>
      <c r="AK739" s="337"/>
      <c r="AL739" s="412"/>
      <c r="AM739" s="414"/>
      <c r="AN739" s="45"/>
      <c r="AO739" s="45"/>
      <c r="AP739" s="45"/>
      <c r="AQ739" s="485"/>
      <c r="AR739" s="485"/>
      <c r="AS739" s="485"/>
      <c r="AT739" s="24"/>
      <c r="AU739" s="24"/>
      <c r="AV739" s="24"/>
      <c r="AW739" s="18">
        <v>24</v>
      </c>
      <c r="AX739" s="69" t="s">
        <v>297</v>
      </c>
      <c r="AY739" s="243" t="s">
        <v>134</v>
      </c>
      <c r="AZ739" s="243" t="str">
        <f t="shared" si="301"/>
        <v>Chinook</v>
      </c>
      <c r="BA739" s="243" t="s">
        <v>419</v>
      </c>
      <c r="BB739" s="244" t="s">
        <v>594</v>
      </c>
      <c r="BC739" s="43" t="str">
        <f t="shared" si="302"/>
        <v>-</v>
      </c>
      <c r="BD739" s="43">
        <f t="shared" si="320"/>
        <v>0</v>
      </c>
      <c r="BE739" s="193">
        <f t="shared" si="318"/>
        <v>0</v>
      </c>
      <c r="BF739" s="193">
        <f t="shared" si="303"/>
        <v>0</v>
      </c>
      <c r="BG739" s="193">
        <f t="shared" si="304"/>
        <v>0</v>
      </c>
      <c r="BH739" s="307">
        <f t="shared" si="319"/>
        <v>0</v>
      </c>
      <c r="BI739" s="266"/>
      <c r="BJ739" s="26" t="str">
        <f t="shared" si="305"/>
        <v>WHITE PINE COVE CREEKChinook</v>
      </c>
      <c r="BK739" s="26">
        <f t="shared" si="306"/>
        <v>0</v>
      </c>
      <c r="BL739" s="33">
        <f t="shared" si="298"/>
        <v>0</v>
      </c>
      <c r="BQ739" s="47" t="str">
        <f t="shared" si="307"/>
        <v>WHITE PINE COVE CREEKChinook</v>
      </c>
      <c r="BR739" s="49">
        <f t="shared" si="308"/>
        <v>0</v>
      </c>
      <c r="BS739" s="49">
        <f t="shared" si="317"/>
        <v>0</v>
      </c>
      <c r="BT739" s="31">
        <v>0</v>
      </c>
      <c r="BU739" s="188" t="str">
        <f t="shared" si="309"/>
        <v>MHSS</v>
      </c>
      <c r="BV739" s="188" t="str">
        <f t="shared" si="310"/>
        <v xml:space="preserve"> </v>
      </c>
      <c r="BW739" s="188" t="str">
        <f t="shared" si="311"/>
        <v xml:space="preserve"> </v>
      </c>
      <c r="BX739" s="188" t="str">
        <f t="shared" si="312"/>
        <v xml:space="preserve"> </v>
      </c>
      <c r="BY739" s="50" t="str">
        <f t="shared" si="300"/>
        <v>WHITE PINE COVE CREEK_Chinook</v>
      </c>
      <c r="BZ739" s="50" t="str">
        <f>IFERROR(VLOOKUP(BY739,'[1]WCVI Esc'!$C$5:$W$555,18,FALSE),"-")</f>
        <v>-</v>
      </c>
      <c r="CA739" s="50" t="str">
        <f t="shared" si="313"/>
        <v>-</v>
      </c>
      <c r="CB739" s="50" t="str">
        <f>IFERROR(VLOOKUP(BY739,'[1]WCVI Esc'!$C$5:$W$555,19,FALSE),"-")</f>
        <v>-</v>
      </c>
      <c r="CC739" s="50" t="str">
        <f t="shared" si="314"/>
        <v>-</v>
      </c>
      <c r="CE739" s="342" t="str">
        <f t="shared" si="299"/>
        <v>WHITE PINE COVE CREEK_Chinook</v>
      </c>
      <c r="CF739" s="341">
        <f>IFERROR(VLOOKUP(BY739,'RawPL+D'!$O$8:$AB$503,12,FALSE),"-")</f>
        <v>0</v>
      </c>
      <c r="CG739" s="338">
        <f t="shared" si="315"/>
        <v>0</v>
      </c>
      <c r="CH739" s="341">
        <f>IFERROR(VLOOKUP(BY739,'RawPL+D'!$O$8:$AB$503,13,FALSE),"-")</f>
        <v>0</v>
      </c>
      <c r="CI739" s="338">
        <f t="shared" si="316"/>
        <v>0</v>
      </c>
    </row>
    <row r="740" spans="1:87" ht="12.75" hidden="1" customHeight="1" x14ac:dyDescent="0.2">
      <c r="A740" s="28">
        <v>4</v>
      </c>
      <c r="B740" s="28">
        <v>6</v>
      </c>
      <c r="C740" s="11">
        <v>24</v>
      </c>
      <c r="D740" s="13" t="s">
        <v>297</v>
      </c>
      <c r="E740" s="10" t="s">
        <v>134</v>
      </c>
      <c r="F740" s="10" t="s">
        <v>211</v>
      </c>
      <c r="G740" s="10"/>
      <c r="H740" s="10"/>
      <c r="I740" s="10"/>
      <c r="J740" s="10"/>
      <c r="K740" s="575"/>
      <c r="L740" s="152"/>
      <c r="M740" s="164"/>
      <c r="N740" s="62"/>
      <c r="O740" s="62"/>
      <c r="P740" s="177"/>
      <c r="Q740" s="171"/>
      <c r="R740" s="94"/>
      <c r="S740" s="62"/>
      <c r="T740" s="62"/>
      <c r="U740" s="162"/>
      <c r="V740" s="169"/>
      <c r="W740" s="62"/>
      <c r="X740" s="62"/>
      <c r="Y740" s="62"/>
      <c r="Z740" s="64"/>
      <c r="AA740" s="164"/>
      <c r="AB740" s="62"/>
      <c r="AC740" s="62"/>
      <c r="AD740" s="64"/>
      <c r="AE740" s="164"/>
      <c r="AF740" s="62"/>
      <c r="AG740" s="62"/>
      <c r="AH740" s="337"/>
      <c r="AI740" s="337"/>
      <c r="AJ740" s="337"/>
      <c r="AK740" s="337"/>
      <c r="AL740" s="412"/>
      <c r="AM740" s="414"/>
      <c r="AN740" s="45"/>
      <c r="AO740" s="45"/>
      <c r="AP740" s="45"/>
      <c r="AQ740" s="485"/>
      <c r="AR740" s="485"/>
      <c r="AS740" s="485"/>
      <c r="AT740" s="24"/>
      <c r="AU740" s="24"/>
      <c r="AV740" s="24"/>
      <c r="AW740" s="18">
        <v>24</v>
      </c>
      <c r="AX740" s="69" t="s">
        <v>297</v>
      </c>
      <c r="AY740" s="243" t="s">
        <v>134</v>
      </c>
      <c r="AZ740" s="243" t="str">
        <f t="shared" si="301"/>
        <v>Steelhead</v>
      </c>
      <c r="BA740" s="243" t="s">
        <v>419</v>
      </c>
      <c r="BB740" s="246" t="s">
        <v>594</v>
      </c>
      <c r="BC740" s="43" t="str">
        <f t="shared" si="302"/>
        <v>-</v>
      </c>
      <c r="BD740" s="43">
        <f t="shared" si="320"/>
        <v>0</v>
      </c>
      <c r="BE740" s="193">
        <f t="shared" si="318"/>
        <v>0</v>
      </c>
      <c r="BF740" s="193">
        <f t="shared" si="303"/>
        <v>0</v>
      </c>
      <c r="BG740" s="193">
        <f t="shared" si="304"/>
        <v>0</v>
      </c>
      <c r="BH740" s="307" t="str">
        <f t="shared" si="319"/>
        <v>-</v>
      </c>
      <c r="BI740" s="266"/>
      <c r="BJ740" s="26" t="str">
        <f t="shared" si="305"/>
        <v>WHITE PINE COVE CREEKSteelhead</v>
      </c>
      <c r="BK740" s="26">
        <f t="shared" si="306"/>
        <v>0</v>
      </c>
      <c r="BL740" s="33">
        <f t="shared" si="298"/>
        <v>0</v>
      </c>
      <c r="BQ740" s="47" t="str">
        <f t="shared" si="307"/>
        <v>WHITE PINE COVE CREEKSteelhead</v>
      </c>
      <c r="BR740" s="49">
        <f t="shared" si="308"/>
        <v>0</v>
      </c>
      <c r="BS740" s="49">
        <f t="shared" si="317"/>
        <v>0</v>
      </c>
      <c r="BT740" s="31">
        <v>0</v>
      </c>
      <c r="BU740" s="188" t="str">
        <f t="shared" si="309"/>
        <v>MHSS</v>
      </c>
      <c r="BV740" s="188" t="str">
        <f t="shared" si="310"/>
        <v xml:space="preserve"> </v>
      </c>
      <c r="BW740" s="188" t="str">
        <f t="shared" si="311"/>
        <v xml:space="preserve"> </v>
      </c>
      <c r="BX740" s="188" t="str">
        <f t="shared" si="312"/>
        <v xml:space="preserve"> </v>
      </c>
      <c r="BY740" s="50" t="str">
        <f t="shared" si="300"/>
        <v>WHITE PINE COVE CREEK_Steelhead</v>
      </c>
      <c r="BZ740" s="50" t="str">
        <f>IFERROR(VLOOKUP(BY740,'[1]WCVI Esc'!$C$5:$W$555,18,FALSE),"-")</f>
        <v>-</v>
      </c>
      <c r="CA740" s="50" t="str">
        <f t="shared" si="313"/>
        <v>-</v>
      </c>
      <c r="CB740" s="50" t="str">
        <f>IFERROR(VLOOKUP(BY740,'[1]WCVI Esc'!$C$5:$W$555,19,FALSE),"-")</f>
        <v>-</v>
      </c>
      <c r="CC740" s="50" t="str">
        <f t="shared" si="314"/>
        <v>-</v>
      </c>
      <c r="CE740" s="342" t="str">
        <f t="shared" si="299"/>
        <v>WHITE PINE COVE CREEK_Steelhead</v>
      </c>
      <c r="CF740" s="341" t="str">
        <f>IFERROR(VLOOKUP(BY740,'RawPL+D'!$O$8:$AB$503,12,FALSE),"-")</f>
        <v>-</v>
      </c>
      <c r="CG740" s="338" t="str">
        <f t="shared" si="315"/>
        <v>-</v>
      </c>
      <c r="CH740" s="341" t="str">
        <f>IFERROR(VLOOKUP(BY740,'RawPL+D'!$O$8:$AB$503,13,FALSE),"-")</f>
        <v>-</v>
      </c>
      <c r="CI740" s="338" t="str">
        <f t="shared" si="316"/>
        <v>-</v>
      </c>
    </row>
    <row r="741" spans="1:87" ht="25.5" hidden="1" customHeight="1" x14ac:dyDescent="0.2">
      <c r="A741" s="28">
        <v>4</v>
      </c>
      <c r="B741" s="28">
        <v>1</v>
      </c>
      <c r="C741" s="11">
        <v>24</v>
      </c>
      <c r="D741" s="13" t="s">
        <v>359</v>
      </c>
      <c r="E741" s="10" t="s">
        <v>500</v>
      </c>
      <c r="F741" s="10" t="s">
        <v>207</v>
      </c>
      <c r="G741" s="10"/>
      <c r="H741" s="10"/>
      <c r="I741" s="10"/>
      <c r="J741" s="10"/>
      <c r="K741" s="575"/>
      <c r="L741" s="152"/>
      <c r="M741" s="164"/>
      <c r="N741" s="62"/>
      <c r="O741" s="62"/>
      <c r="P741" s="177"/>
      <c r="Q741" s="171"/>
      <c r="R741" s="62"/>
      <c r="S741" s="62"/>
      <c r="T741" s="62"/>
      <c r="U741" s="64"/>
      <c r="V741" s="164"/>
      <c r="W741" s="62"/>
      <c r="X741" s="62"/>
      <c r="Y741" s="62"/>
      <c r="Z741" s="64"/>
      <c r="AA741" s="164"/>
      <c r="AB741" s="62"/>
      <c r="AC741" s="62"/>
      <c r="AD741" s="64"/>
      <c r="AE741" s="164"/>
      <c r="AF741" s="62"/>
      <c r="AG741" s="62"/>
      <c r="AH741" s="337"/>
      <c r="AI741" s="337"/>
      <c r="AJ741" s="337"/>
      <c r="AK741" s="337"/>
      <c r="AL741" s="412"/>
      <c r="AM741" s="414"/>
      <c r="AN741" s="45"/>
      <c r="AO741" s="45"/>
      <c r="AP741" s="45"/>
      <c r="AQ741" s="485"/>
      <c r="AR741" s="485"/>
      <c r="AS741" s="485"/>
      <c r="AT741" s="24"/>
      <c r="AU741" s="24"/>
      <c r="AV741" s="24"/>
      <c r="AW741" s="18">
        <v>24</v>
      </c>
      <c r="AX741" s="69" t="s">
        <v>359</v>
      </c>
      <c r="AY741" s="195" t="s">
        <v>121</v>
      </c>
      <c r="AZ741" s="243" t="str">
        <f t="shared" si="301"/>
        <v>Sockeye</v>
      </c>
      <c r="BA741" s="243" t="s">
        <v>419</v>
      </c>
      <c r="BB741" s="244" t="s">
        <v>290</v>
      </c>
      <c r="BC741" s="43" t="str">
        <f t="shared" si="302"/>
        <v>-</v>
      </c>
      <c r="BD741" s="43">
        <f t="shared" si="320"/>
        <v>0</v>
      </c>
      <c r="BE741" s="193">
        <f t="shared" si="318"/>
        <v>0</v>
      </c>
      <c r="BF741" s="193">
        <f t="shared" si="303"/>
        <v>0</v>
      </c>
      <c r="BG741" s="193">
        <f t="shared" si="304"/>
        <v>0</v>
      </c>
      <c r="BH741" s="307" t="str">
        <f t="shared" si="319"/>
        <v>-</v>
      </c>
      <c r="BI741" s="271"/>
      <c r="BJ741" s="26" t="str">
        <f t="shared" si="305"/>
        <v>HESQUIAT HARBOUR #1 CREEKS (Ayyisaqh 2)Sockeye</v>
      </c>
      <c r="BK741" s="26">
        <f t="shared" si="306"/>
        <v>0</v>
      </c>
      <c r="BL741" s="33">
        <f t="shared" si="298"/>
        <v>0</v>
      </c>
      <c r="BQ741" s="47" t="str">
        <f t="shared" si="307"/>
        <v>HESQUIAT HARBOUR #1 CREEKS (Ayyisaqh 2)Sockeye</v>
      </c>
      <c r="BR741" s="49">
        <f t="shared" si="308"/>
        <v>0</v>
      </c>
      <c r="BS741" s="49">
        <f t="shared" si="317"/>
        <v>0</v>
      </c>
      <c r="BT741" s="31">
        <v>0</v>
      </c>
      <c r="BU741" s="188" t="str">
        <f t="shared" si="309"/>
        <v>NTC</v>
      </c>
      <c r="BV741" s="188" t="str">
        <f t="shared" si="310"/>
        <v xml:space="preserve"> </v>
      </c>
      <c r="BW741" s="188" t="str">
        <f t="shared" si="311"/>
        <v xml:space="preserve"> </v>
      </c>
      <c r="BX741" s="188" t="str">
        <f t="shared" si="312"/>
        <v xml:space="preserve"> </v>
      </c>
      <c r="BY741" s="50" t="str">
        <f t="shared" si="300"/>
        <v>HESQUIAT HARBOUR #1 CREEKS (Ayyisaqh 2)_Sockeye</v>
      </c>
      <c r="BZ741" s="50" t="str">
        <f>IFERROR(VLOOKUP(BY741,'[1]WCVI Esc'!$C$5:$W$555,18,FALSE),"-")</f>
        <v>-</v>
      </c>
      <c r="CA741" s="50" t="str">
        <f t="shared" si="313"/>
        <v>-</v>
      </c>
      <c r="CB741" s="50" t="str">
        <f>IFERROR(VLOOKUP(BY741,'[1]WCVI Esc'!$C$5:$W$555,19,FALSE),"-")</f>
        <v>-</v>
      </c>
      <c r="CC741" s="50" t="str">
        <f t="shared" si="314"/>
        <v>-</v>
      </c>
      <c r="CE741" s="342" t="str">
        <f t="shared" si="299"/>
        <v>HESQUIAT HARBOUR #1 CREEKS (Ayyisaqh 2)_Sockeye</v>
      </c>
      <c r="CF741" s="341" t="str">
        <f>IFERROR(VLOOKUP(BY741,'RawPL+D'!$O$8:$AB$503,12,FALSE),"-")</f>
        <v>-</v>
      </c>
      <c r="CG741" s="338" t="str">
        <f t="shared" si="315"/>
        <v>-</v>
      </c>
      <c r="CH741" s="341" t="str">
        <f>IFERROR(VLOOKUP(BY741,'RawPL+D'!$O$8:$AB$503,13,FALSE),"-")</f>
        <v>-</v>
      </c>
      <c r="CI741" s="338" t="str">
        <f t="shared" si="316"/>
        <v>-</v>
      </c>
    </row>
    <row r="742" spans="1:87" ht="25.5" hidden="1" customHeight="1" x14ac:dyDescent="0.2">
      <c r="A742" s="28">
        <v>4</v>
      </c>
      <c r="B742" s="28">
        <v>2</v>
      </c>
      <c r="C742" s="11">
        <v>24</v>
      </c>
      <c r="D742" s="13" t="s">
        <v>359</v>
      </c>
      <c r="E742" s="549" t="s">
        <v>500</v>
      </c>
      <c r="F742" s="10" t="s">
        <v>219</v>
      </c>
      <c r="G742" s="10"/>
      <c r="H742" s="10"/>
      <c r="I742" s="10"/>
      <c r="J742" s="10"/>
      <c r="K742" s="575"/>
      <c r="L742" s="152"/>
      <c r="M742" s="164"/>
      <c r="N742" s="62"/>
      <c r="O742" s="62"/>
      <c r="P742" s="177"/>
      <c r="Q742" s="171"/>
      <c r="R742" s="62"/>
      <c r="S742" s="62"/>
      <c r="T742" s="62"/>
      <c r="U742" s="64"/>
      <c r="V742" s="164"/>
      <c r="W742" s="62"/>
      <c r="X742" s="62"/>
      <c r="Y742" s="62"/>
      <c r="Z742" s="64"/>
      <c r="AA742" s="164"/>
      <c r="AB742" s="62"/>
      <c r="AC742" s="62"/>
      <c r="AD742" s="64"/>
      <c r="AE742" s="164"/>
      <c r="AF742" s="62"/>
      <c r="AG742" s="62"/>
      <c r="AH742" s="337"/>
      <c r="AI742" s="337"/>
      <c r="AJ742" s="337"/>
      <c r="AK742" s="337"/>
      <c r="AL742" s="412"/>
      <c r="AM742" s="414"/>
      <c r="AN742" s="45"/>
      <c r="AO742" s="45"/>
      <c r="AP742" s="45"/>
      <c r="AQ742" s="485"/>
      <c r="AR742" s="485"/>
      <c r="AS742" s="485"/>
      <c r="AT742" s="24"/>
      <c r="AU742" s="24"/>
      <c r="AV742" s="24"/>
      <c r="AW742" s="18">
        <v>24</v>
      </c>
      <c r="AX742" s="69" t="s">
        <v>359</v>
      </c>
      <c r="AY742" s="195" t="s">
        <v>121</v>
      </c>
      <c r="AZ742" s="243" t="str">
        <f t="shared" si="301"/>
        <v>Coho</v>
      </c>
      <c r="BA742" s="243" t="s">
        <v>419</v>
      </c>
      <c r="BB742" s="244" t="s">
        <v>290</v>
      </c>
      <c r="BC742" s="43" t="str">
        <f t="shared" si="302"/>
        <v>-</v>
      </c>
      <c r="BD742" s="43">
        <f t="shared" si="320"/>
        <v>0</v>
      </c>
      <c r="BE742" s="193">
        <f t="shared" si="318"/>
        <v>0</v>
      </c>
      <c r="BF742" s="193">
        <f t="shared" si="303"/>
        <v>0</v>
      </c>
      <c r="BG742" s="193">
        <f t="shared" si="304"/>
        <v>0</v>
      </c>
      <c r="BH742" s="307" t="str">
        <f t="shared" si="319"/>
        <v>-</v>
      </c>
      <c r="BI742" s="271"/>
      <c r="BJ742" s="26" t="str">
        <f t="shared" si="305"/>
        <v>HESQUIAT HARBOUR #1 CREEKS (Ayyisaqh 2)Coho</v>
      </c>
      <c r="BK742" s="26">
        <f t="shared" si="306"/>
        <v>0</v>
      </c>
      <c r="BL742" s="33">
        <f t="shared" si="298"/>
        <v>0</v>
      </c>
      <c r="BQ742" s="47" t="str">
        <f t="shared" si="307"/>
        <v>HESQUIAT HARBOUR #1 CREEKS (Ayyisaqh 2)Coho</v>
      </c>
      <c r="BR742" s="49">
        <f t="shared" si="308"/>
        <v>0</v>
      </c>
      <c r="BS742" s="49">
        <f t="shared" si="317"/>
        <v>0</v>
      </c>
      <c r="BT742" s="31">
        <v>1997</v>
      </c>
      <c r="BU742" s="188" t="str">
        <f t="shared" si="309"/>
        <v>NTC</v>
      </c>
      <c r="BV742" s="188" t="str">
        <f t="shared" si="310"/>
        <v xml:space="preserve"> </v>
      </c>
      <c r="BW742" s="188" t="str">
        <f t="shared" si="311"/>
        <v xml:space="preserve"> </v>
      </c>
      <c r="BX742" s="188" t="str">
        <f t="shared" si="312"/>
        <v xml:space="preserve"> </v>
      </c>
      <c r="BY742" s="50" t="str">
        <f t="shared" si="300"/>
        <v>HESQUIAT HARBOUR #1 CREEKS (Ayyisaqh 2)_Coho</v>
      </c>
      <c r="BZ742" s="50" t="str">
        <f>IFERROR(VLOOKUP(BY742,'[1]WCVI Esc'!$C$5:$W$555,18,FALSE),"-")</f>
        <v>-</v>
      </c>
      <c r="CA742" s="50" t="str">
        <f t="shared" si="313"/>
        <v>-</v>
      </c>
      <c r="CB742" s="50" t="str">
        <f>IFERROR(VLOOKUP(BY742,'[1]WCVI Esc'!$C$5:$W$555,19,FALSE),"-")</f>
        <v>-</v>
      </c>
      <c r="CC742" s="50" t="str">
        <f t="shared" si="314"/>
        <v>-</v>
      </c>
      <c r="CE742" s="342" t="str">
        <f t="shared" si="299"/>
        <v>HESQUIAT HARBOUR #1 CREEKS (Ayyisaqh 2)_Coho</v>
      </c>
      <c r="CF742" s="341" t="str">
        <f>IFERROR(VLOOKUP(BY742,'RawPL+D'!$O$8:$AB$503,12,FALSE),"-")</f>
        <v>-</v>
      </c>
      <c r="CG742" s="338" t="str">
        <f t="shared" si="315"/>
        <v>-</v>
      </c>
      <c r="CH742" s="341" t="str">
        <f>IFERROR(VLOOKUP(BY742,'RawPL+D'!$O$8:$AB$503,13,FALSE),"-")</f>
        <v>-</v>
      </c>
      <c r="CI742" s="338" t="str">
        <f t="shared" si="316"/>
        <v>-</v>
      </c>
    </row>
    <row r="743" spans="1:87" ht="25.5" hidden="1" customHeight="1" x14ac:dyDescent="0.2">
      <c r="A743" s="28">
        <v>4</v>
      </c>
      <c r="B743" s="28">
        <v>3</v>
      </c>
      <c r="C743" s="11">
        <v>24</v>
      </c>
      <c r="D743" s="13" t="s">
        <v>359</v>
      </c>
      <c r="E743" s="549" t="s">
        <v>500</v>
      </c>
      <c r="F743" s="10" t="s">
        <v>208</v>
      </c>
      <c r="G743" s="10"/>
      <c r="H743" s="10"/>
      <c r="I743" s="10"/>
      <c r="J743" s="10"/>
      <c r="K743" s="575"/>
      <c r="L743" s="152"/>
      <c r="M743" s="164"/>
      <c r="N743" s="62"/>
      <c r="O743" s="62"/>
      <c r="P743" s="177"/>
      <c r="Q743" s="171"/>
      <c r="R743" s="62"/>
      <c r="S743" s="62"/>
      <c r="T743" s="62"/>
      <c r="U743" s="64"/>
      <c r="V743" s="164"/>
      <c r="W743" s="62"/>
      <c r="X743" s="62"/>
      <c r="Y743" s="62"/>
      <c r="Z743" s="64"/>
      <c r="AA743" s="164"/>
      <c r="AB743" s="62"/>
      <c r="AC743" s="62"/>
      <c r="AD743" s="64"/>
      <c r="AE743" s="164"/>
      <c r="AF743" s="62"/>
      <c r="AG743" s="62"/>
      <c r="AH743" s="337"/>
      <c r="AI743" s="337"/>
      <c r="AJ743" s="337"/>
      <c r="AK743" s="337"/>
      <c r="AL743" s="412"/>
      <c r="AM743" s="414"/>
      <c r="AN743" s="45"/>
      <c r="AO743" s="45"/>
      <c r="AP743" s="45"/>
      <c r="AQ743" s="485"/>
      <c r="AR743" s="485"/>
      <c r="AS743" s="485"/>
      <c r="AT743" s="24"/>
      <c r="AU743" s="24"/>
      <c r="AV743" s="24"/>
      <c r="AW743" s="18">
        <v>24</v>
      </c>
      <c r="AX743" s="69" t="s">
        <v>359</v>
      </c>
      <c r="AY743" s="195" t="s">
        <v>121</v>
      </c>
      <c r="AZ743" s="243" t="str">
        <f t="shared" si="301"/>
        <v>Pink</v>
      </c>
      <c r="BA743" s="243" t="s">
        <v>419</v>
      </c>
      <c r="BB743" s="244" t="s">
        <v>290</v>
      </c>
      <c r="BC743" s="43" t="str">
        <f t="shared" si="302"/>
        <v>-</v>
      </c>
      <c r="BD743" s="43">
        <f t="shared" si="320"/>
        <v>0</v>
      </c>
      <c r="BE743" s="193">
        <f t="shared" si="318"/>
        <v>0</v>
      </c>
      <c r="BF743" s="193">
        <f t="shared" si="303"/>
        <v>0</v>
      </c>
      <c r="BG743" s="193">
        <f t="shared" si="304"/>
        <v>0</v>
      </c>
      <c r="BH743" s="307" t="str">
        <f t="shared" si="319"/>
        <v>-</v>
      </c>
      <c r="BI743" s="266"/>
      <c r="BJ743" s="26" t="str">
        <f t="shared" si="305"/>
        <v>HESQUIAT HARBOUR #1 CREEKS (Ayyisaqh 2)Pink</v>
      </c>
      <c r="BK743" s="26">
        <f t="shared" si="306"/>
        <v>0</v>
      </c>
      <c r="BL743" s="33">
        <f t="shared" ref="BL743:BL806" si="321">MAX(K743:AB743)</f>
        <v>0</v>
      </c>
      <c r="BQ743" s="47" t="str">
        <f t="shared" si="307"/>
        <v>HESQUIAT HARBOUR #1 CREEKS (Ayyisaqh 2)Pink</v>
      </c>
      <c r="BR743" s="49">
        <f t="shared" si="308"/>
        <v>0</v>
      </c>
      <c r="BS743" s="49">
        <f t="shared" si="317"/>
        <v>0</v>
      </c>
      <c r="BT743" s="31">
        <v>0</v>
      </c>
      <c r="BU743" s="188" t="str">
        <f t="shared" si="309"/>
        <v>NTC</v>
      </c>
      <c r="BV743" s="188" t="str">
        <f t="shared" si="310"/>
        <v xml:space="preserve"> </v>
      </c>
      <c r="BW743" s="188" t="str">
        <f t="shared" si="311"/>
        <v xml:space="preserve"> </v>
      </c>
      <c r="BX743" s="188" t="str">
        <f t="shared" si="312"/>
        <v xml:space="preserve"> </v>
      </c>
      <c r="BY743" s="50" t="str">
        <f t="shared" si="300"/>
        <v>HESQUIAT HARBOUR #1 CREEKS (Ayyisaqh 2)_Pink</v>
      </c>
      <c r="BZ743" s="50" t="str">
        <f>IFERROR(VLOOKUP(BY743,'[1]WCVI Esc'!$C$5:$W$555,18,FALSE),"-")</f>
        <v>-</v>
      </c>
      <c r="CA743" s="50" t="str">
        <f t="shared" si="313"/>
        <v>-</v>
      </c>
      <c r="CB743" s="50" t="str">
        <f>IFERROR(VLOOKUP(BY743,'[1]WCVI Esc'!$C$5:$W$555,19,FALSE),"-")</f>
        <v>-</v>
      </c>
      <c r="CC743" s="50" t="str">
        <f t="shared" si="314"/>
        <v>-</v>
      </c>
      <c r="CE743" s="342" t="str">
        <f t="shared" si="299"/>
        <v>HESQUIAT HARBOUR #1 CREEKS (Ayyisaqh 2)_Pink</v>
      </c>
      <c r="CF743" s="341" t="str">
        <f>IFERROR(VLOOKUP(BY743,'RawPL+D'!$O$8:$AB$503,12,FALSE),"-")</f>
        <v>-</v>
      </c>
      <c r="CG743" s="338" t="str">
        <f t="shared" si="315"/>
        <v>-</v>
      </c>
      <c r="CH743" s="341" t="str">
        <f>IFERROR(VLOOKUP(BY743,'RawPL+D'!$O$8:$AB$503,13,FALSE),"-")</f>
        <v>-</v>
      </c>
      <c r="CI743" s="338" t="str">
        <f t="shared" si="316"/>
        <v>-</v>
      </c>
    </row>
    <row r="744" spans="1:87" ht="25.5" hidden="1" customHeight="1" x14ac:dyDescent="0.2">
      <c r="A744" s="28">
        <v>4</v>
      </c>
      <c r="B744" s="28">
        <v>4</v>
      </c>
      <c r="C744" s="11">
        <v>24</v>
      </c>
      <c r="D744" s="13" t="s">
        <v>359</v>
      </c>
      <c r="E744" s="549" t="s">
        <v>500</v>
      </c>
      <c r="F744" s="10" t="s">
        <v>209</v>
      </c>
      <c r="G744" s="10"/>
      <c r="H744" s="10"/>
      <c r="I744" s="10"/>
      <c r="J744" s="10"/>
      <c r="K744" s="575"/>
      <c r="L744" s="152"/>
      <c r="M744" s="164"/>
      <c r="N744" s="62"/>
      <c r="O744" s="62"/>
      <c r="P744" s="177"/>
      <c r="Q744" s="171"/>
      <c r="R744" s="62"/>
      <c r="S744" s="62"/>
      <c r="T744" s="62"/>
      <c r="U744" s="64"/>
      <c r="V744" s="164"/>
      <c r="W744" s="62"/>
      <c r="X744" s="62"/>
      <c r="Y744" s="62"/>
      <c r="Z744" s="64"/>
      <c r="AA744" s="164"/>
      <c r="AB744" s="62"/>
      <c r="AC744" s="62"/>
      <c r="AD744" s="64"/>
      <c r="AE744" s="164"/>
      <c r="AF744" s="62"/>
      <c r="AG744" s="62"/>
      <c r="AH744" s="337"/>
      <c r="AI744" s="337"/>
      <c r="AJ744" s="337"/>
      <c r="AK744" s="337"/>
      <c r="AL744" s="412"/>
      <c r="AM744" s="414"/>
      <c r="AN744" s="45"/>
      <c r="AO744" s="45"/>
      <c r="AP744" s="45"/>
      <c r="AQ744" s="485"/>
      <c r="AR744" s="485"/>
      <c r="AS744" s="485"/>
      <c r="AT744" s="24"/>
      <c r="AU744" s="24"/>
      <c r="AV744" s="24"/>
      <c r="AW744" s="18">
        <v>24</v>
      </c>
      <c r="AX744" s="69" t="s">
        <v>359</v>
      </c>
      <c r="AY744" s="195" t="s">
        <v>121</v>
      </c>
      <c r="AZ744" s="243" t="str">
        <f t="shared" si="301"/>
        <v>Chum</v>
      </c>
      <c r="BA744" s="243" t="s">
        <v>419</v>
      </c>
      <c r="BB744" s="244" t="s">
        <v>290</v>
      </c>
      <c r="BC744" s="43" t="str">
        <f t="shared" si="302"/>
        <v>-</v>
      </c>
      <c r="BD744" s="43">
        <f t="shared" si="320"/>
        <v>0</v>
      </c>
      <c r="BE744" s="193">
        <f t="shared" si="318"/>
        <v>0</v>
      </c>
      <c r="BF744" s="193">
        <f t="shared" si="303"/>
        <v>0</v>
      </c>
      <c r="BG744" s="193">
        <f t="shared" si="304"/>
        <v>0</v>
      </c>
      <c r="BH744" s="307" t="str">
        <f t="shared" si="319"/>
        <v>-</v>
      </c>
      <c r="BI744" s="271"/>
      <c r="BJ744" s="26" t="str">
        <f t="shared" si="305"/>
        <v>HESQUIAT HARBOUR #1 CREEKS (Ayyisaqh 2)Chum</v>
      </c>
      <c r="BK744" s="26">
        <f t="shared" si="306"/>
        <v>0</v>
      </c>
      <c r="BL744" s="33">
        <f t="shared" si="321"/>
        <v>0</v>
      </c>
      <c r="BQ744" s="47" t="str">
        <f t="shared" si="307"/>
        <v>HESQUIAT HARBOUR #1 CREEKS (Ayyisaqh 2)Chum</v>
      </c>
      <c r="BR744" s="49">
        <f t="shared" si="308"/>
        <v>0</v>
      </c>
      <c r="BS744" s="49">
        <f t="shared" si="317"/>
        <v>0</v>
      </c>
      <c r="BT744" s="31">
        <v>1997</v>
      </c>
      <c r="BU744" s="188" t="str">
        <f t="shared" si="309"/>
        <v>NTC</v>
      </c>
      <c r="BV744" s="188" t="str">
        <f t="shared" si="310"/>
        <v xml:space="preserve"> </v>
      </c>
      <c r="BW744" s="188" t="str">
        <f t="shared" si="311"/>
        <v xml:space="preserve"> </v>
      </c>
      <c r="BX744" s="188" t="str">
        <f t="shared" si="312"/>
        <v xml:space="preserve"> </v>
      </c>
      <c r="BY744" s="50" t="str">
        <f t="shared" si="300"/>
        <v>HESQUIAT HARBOUR #1 CREEKS (Ayyisaqh 2)_Chum</v>
      </c>
      <c r="BZ744" s="50" t="str">
        <f>IFERROR(VLOOKUP(BY744,'[1]WCVI Esc'!$C$5:$W$555,18,FALSE),"-")</f>
        <v>-</v>
      </c>
      <c r="CA744" s="50" t="str">
        <f t="shared" si="313"/>
        <v>-</v>
      </c>
      <c r="CB744" s="50" t="str">
        <f>IFERROR(VLOOKUP(BY744,'[1]WCVI Esc'!$C$5:$W$555,19,FALSE),"-")</f>
        <v>-</v>
      </c>
      <c r="CC744" s="50" t="str">
        <f t="shared" si="314"/>
        <v>-</v>
      </c>
      <c r="CE744" s="342" t="str">
        <f t="shared" si="299"/>
        <v>HESQUIAT HARBOUR #1 CREEKS (Ayyisaqh 2)_Chum</v>
      </c>
      <c r="CF744" s="341" t="str">
        <f>IFERROR(VLOOKUP(BY744,'RawPL+D'!$O$8:$AB$503,12,FALSE),"-")</f>
        <v>-</v>
      </c>
      <c r="CG744" s="338" t="str">
        <f t="shared" si="315"/>
        <v>-</v>
      </c>
      <c r="CH744" s="341" t="str">
        <f>IFERROR(VLOOKUP(BY744,'RawPL+D'!$O$8:$AB$503,13,FALSE),"-")</f>
        <v>-</v>
      </c>
      <c r="CI744" s="338" t="str">
        <f t="shared" si="316"/>
        <v>-</v>
      </c>
    </row>
    <row r="745" spans="1:87" ht="25.5" hidden="1" customHeight="1" x14ac:dyDescent="0.2">
      <c r="A745" s="28">
        <v>4</v>
      </c>
      <c r="B745" s="28">
        <v>5</v>
      </c>
      <c r="C745" s="11">
        <v>24</v>
      </c>
      <c r="D745" s="13" t="s">
        <v>359</v>
      </c>
      <c r="E745" s="549" t="s">
        <v>500</v>
      </c>
      <c r="F745" s="10" t="s">
        <v>210</v>
      </c>
      <c r="G745" s="10"/>
      <c r="H745" s="10"/>
      <c r="I745" s="10"/>
      <c r="J745" s="10"/>
      <c r="K745" s="575"/>
      <c r="L745" s="152"/>
      <c r="M745" s="164"/>
      <c r="N745" s="62"/>
      <c r="O745" s="62"/>
      <c r="P745" s="177"/>
      <c r="Q745" s="171"/>
      <c r="R745" s="62"/>
      <c r="S745" s="62"/>
      <c r="T745" s="62"/>
      <c r="U745" s="64"/>
      <c r="V745" s="164"/>
      <c r="W745" s="62"/>
      <c r="X745" s="62"/>
      <c r="Y745" s="62"/>
      <c r="Z745" s="64"/>
      <c r="AA745" s="164"/>
      <c r="AB745" s="62"/>
      <c r="AC745" s="62"/>
      <c r="AD745" s="64"/>
      <c r="AE745" s="164"/>
      <c r="AF745" s="62"/>
      <c r="AG745" s="62"/>
      <c r="AH745" s="337"/>
      <c r="AI745" s="337"/>
      <c r="AJ745" s="337"/>
      <c r="AK745" s="337"/>
      <c r="AL745" s="412"/>
      <c r="AM745" s="414"/>
      <c r="AN745" s="45"/>
      <c r="AO745" s="45"/>
      <c r="AP745" s="45"/>
      <c r="AQ745" s="485"/>
      <c r="AR745" s="485"/>
      <c r="AS745" s="485"/>
      <c r="AT745" s="24"/>
      <c r="AU745" s="24"/>
      <c r="AV745" s="24"/>
      <c r="AW745" s="18">
        <v>24</v>
      </c>
      <c r="AX745" s="69" t="s">
        <v>359</v>
      </c>
      <c r="AY745" s="195" t="s">
        <v>121</v>
      </c>
      <c r="AZ745" s="243" t="str">
        <f t="shared" si="301"/>
        <v>Chinook</v>
      </c>
      <c r="BA745" s="243" t="s">
        <v>419</v>
      </c>
      <c r="BB745" s="244" t="s">
        <v>290</v>
      </c>
      <c r="BC745" s="43" t="str">
        <f t="shared" si="302"/>
        <v>-</v>
      </c>
      <c r="BD745" s="43">
        <f t="shared" si="320"/>
        <v>0</v>
      </c>
      <c r="BE745" s="193">
        <f t="shared" si="318"/>
        <v>0</v>
      </c>
      <c r="BF745" s="193">
        <f t="shared" si="303"/>
        <v>0</v>
      </c>
      <c r="BG745" s="193">
        <f t="shared" si="304"/>
        <v>0</v>
      </c>
      <c r="BH745" s="307" t="str">
        <f t="shared" si="319"/>
        <v>-</v>
      </c>
      <c r="BI745" s="271"/>
      <c r="BJ745" s="26" t="str">
        <f t="shared" si="305"/>
        <v>HESQUIAT HARBOUR #1 CREEKS (Ayyisaqh 2)Chinook</v>
      </c>
      <c r="BK745" s="26">
        <f t="shared" si="306"/>
        <v>0</v>
      </c>
      <c r="BL745" s="33">
        <f t="shared" si="321"/>
        <v>0</v>
      </c>
      <c r="BQ745" s="47" t="str">
        <f t="shared" si="307"/>
        <v>HESQUIAT HARBOUR #1 CREEKS (Ayyisaqh 2)Chinook</v>
      </c>
      <c r="BR745" s="49">
        <f t="shared" si="308"/>
        <v>0</v>
      </c>
      <c r="BS745" s="49">
        <f t="shared" si="317"/>
        <v>0</v>
      </c>
      <c r="BT745" s="31">
        <v>0</v>
      </c>
      <c r="BU745" s="188" t="str">
        <f t="shared" si="309"/>
        <v>NTC</v>
      </c>
      <c r="BV745" s="188" t="str">
        <f t="shared" si="310"/>
        <v xml:space="preserve"> </v>
      </c>
      <c r="BW745" s="188" t="str">
        <f t="shared" si="311"/>
        <v xml:space="preserve"> </v>
      </c>
      <c r="BX745" s="188" t="str">
        <f t="shared" si="312"/>
        <v xml:space="preserve"> </v>
      </c>
      <c r="BY745" s="50" t="str">
        <f t="shared" si="300"/>
        <v>HESQUIAT HARBOUR #1 CREEKS (Ayyisaqh 2)_Chinook</v>
      </c>
      <c r="BZ745" s="50" t="str">
        <f>IFERROR(VLOOKUP(BY745,'[1]WCVI Esc'!$C$5:$W$555,18,FALSE),"-")</f>
        <v>-</v>
      </c>
      <c r="CA745" s="50" t="str">
        <f t="shared" si="313"/>
        <v>-</v>
      </c>
      <c r="CB745" s="50" t="str">
        <f>IFERROR(VLOOKUP(BY745,'[1]WCVI Esc'!$C$5:$W$555,19,FALSE),"-")</f>
        <v>-</v>
      </c>
      <c r="CC745" s="50" t="str">
        <f t="shared" si="314"/>
        <v>-</v>
      </c>
      <c r="CE745" s="342" t="str">
        <f t="shared" si="299"/>
        <v>HESQUIAT HARBOUR #1 CREEKS (Ayyisaqh 2)_Chinook</v>
      </c>
      <c r="CF745" s="341" t="str">
        <f>IFERROR(VLOOKUP(BY745,'RawPL+D'!$O$8:$AB$503,12,FALSE),"-")</f>
        <v>-</v>
      </c>
      <c r="CG745" s="338" t="str">
        <f t="shared" si="315"/>
        <v>-</v>
      </c>
      <c r="CH745" s="341" t="str">
        <f>IFERROR(VLOOKUP(BY745,'RawPL+D'!$O$8:$AB$503,13,FALSE),"-")</f>
        <v>-</v>
      </c>
      <c r="CI745" s="338" t="str">
        <f t="shared" si="316"/>
        <v>-</v>
      </c>
    </row>
    <row r="746" spans="1:87" ht="25.5" hidden="1" customHeight="1" x14ac:dyDescent="0.2">
      <c r="A746" s="28">
        <v>4</v>
      </c>
      <c r="B746" s="28">
        <v>6</v>
      </c>
      <c r="C746" s="11">
        <v>24</v>
      </c>
      <c r="D746" s="13" t="s">
        <v>359</v>
      </c>
      <c r="E746" s="549" t="s">
        <v>500</v>
      </c>
      <c r="F746" s="10" t="s">
        <v>211</v>
      </c>
      <c r="G746" s="10"/>
      <c r="H746" s="10"/>
      <c r="I746" s="10"/>
      <c r="J746" s="10"/>
      <c r="K746" s="575"/>
      <c r="L746" s="152"/>
      <c r="M746" s="164"/>
      <c r="N746" s="62"/>
      <c r="O746" s="62"/>
      <c r="P746" s="177"/>
      <c r="Q746" s="171"/>
      <c r="R746" s="62"/>
      <c r="S746" s="62"/>
      <c r="T746" s="62"/>
      <c r="U746" s="64"/>
      <c r="V746" s="164"/>
      <c r="W746" s="62"/>
      <c r="X746" s="62"/>
      <c r="Y746" s="62"/>
      <c r="Z746" s="64"/>
      <c r="AA746" s="164"/>
      <c r="AB746" s="62"/>
      <c r="AC746" s="62"/>
      <c r="AD746" s="64"/>
      <c r="AE746" s="164"/>
      <c r="AF746" s="62"/>
      <c r="AG746" s="62"/>
      <c r="AH746" s="337"/>
      <c r="AI746" s="337"/>
      <c r="AJ746" s="337"/>
      <c r="AK746" s="337"/>
      <c r="AL746" s="412"/>
      <c r="AM746" s="414"/>
      <c r="AN746" s="45"/>
      <c r="AO746" s="45"/>
      <c r="AP746" s="45"/>
      <c r="AQ746" s="485"/>
      <c r="AR746" s="485"/>
      <c r="AS746" s="485"/>
      <c r="AT746" s="24"/>
      <c r="AU746" s="24"/>
      <c r="AV746" s="24"/>
      <c r="AW746" s="18">
        <v>24</v>
      </c>
      <c r="AX746" s="69" t="s">
        <v>359</v>
      </c>
      <c r="AY746" s="195" t="s">
        <v>121</v>
      </c>
      <c r="AZ746" s="243" t="str">
        <f t="shared" si="301"/>
        <v>Steelhead</v>
      </c>
      <c r="BA746" s="243" t="s">
        <v>419</v>
      </c>
      <c r="BB746" s="244" t="s">
        <v>290</v>
      </c>
      <c r="BC746" s="43" t="str">
        <f t="shared" si="302"/>
        <v>-</v>
      </c>
      <c r="BD746" s="43">
        <f t="shared" si="320"/>
        <v>0</v>
      </c>
      <c r="BE746" s="193">
        <f t="shared" si="318"/>
        <v>0</v>
      </c>
      <c r="BF746" s="193">
        <f t="shared" si="303"/>
        <v>0</v>
      </c>
      <c r="BG746" s="193">
        <f t="shared" si="304"/>
        <v>0</v>
      </c>
      <c r="BH746" s="307" t="str">
        <f t="shared" si="319"/>
        <v>-</v>
      </c>
      <c r="BI746" s="266"/>
      <c r="BJ746" s="26" t="str">
        <f t="shared" si="305"/>
        <v>HESQUIAT HARBOUR #1 CREEKS (Ayyisaqh 2)Steelhead</v>
      </c>
      <c r="BK746" s="26">
        <f t="shared" si="306"/>
        <v>0</v>
      </c>
      <c r="BL746" s="33">
        <f t="shared" si="321"/>
        <v>0</v>
      </c>
      <c r="BQ746" s="47" t="str">
        <f t="shared" si="307"/>
        <v>HESQUIAT HARBOUR #1 CREEKS (Ayyisaqh 2)Steelhead</v>
      </c>
      <c r="BR746" s="49">
        <f t="shared" si="308"/>
        <v>0</v>
      </c>
      <c r="BS746" s="49">
        <f t="shared" si="317"/>
        <v>0</v>
      </c>
      <c r="BT746" s="31">
        <v>0</v>
      </c>
      <c r="BU746" s="188" t="str">
        <f t="shared" si="309"/>
        <v>NTC</v>
      </c>
      <c r="BV746" s="188" t="str">
        <f t="shared" si="310"/>
        <v xml:space="preserve"> </v>
      </c>
      <c r="BW746" s="188" t="str">
        <f t="shared" si="311"/>
        <v xml:space="preserve"> </v>
      </c>
      <c r="BX746" s="188" t="str">
        <f t="shared" si="312"/>
        <v xml:space="preserve"> </v>
      </c>
      <c r="BY746" s="50" t="str">
        <f t="shared" si="300"/>
        <v>HESQUIAT HARBOUR #1 CREEKS (Ayyisaqh 2)_Steelhead</v>
      </c>
      <c r="BZ746" s="50" t="str">
        <f>IFERROR(VLOOKUP(BY746,'[1]WCVI Esc'!$C$5:$W$555,18,FALSE),"-")</f>
        <v>-</v>
      </c>
      <c r="CA746" s="50" t="str">
        <f t="shared" si="313"/>
        <v>-</v>
      </c>
      <c r="CB746" s="50" t="str">
        <f>IFERROR(VLOOKUP(BY746,'[1]WCVI Esc'!$C$5:$W$555,19,FALSE),"-")</f>
        <v>-</v>
      </c>
      <c r="CC746" s="50" t="str">
        <f t="shared" si="314"/>
        <v>-</v>
      </c>
      <c r="CE746" s="342" t="str">
        <f t="shared" si="299"/>
        <v>HESQUIAT HARBOUR #1 CREEKS (Ayyisaqh 2)_Steelhead</v>
      </c>
      <c r="CF746" s="341" t="str">
        <f>IFERROR(VLOOKUP(BY746,'RawPL+D'!$O$8:$AB$503,12,FALSE),"-")</f>
        <v>-</v>
      </c>
      <c r="CG746" s="338" t="str">
        <f t="shared" si="315"/>
        <v>-</v>
      </c>
      <c r="CH746" s="341" t="str">
        <f>IFERROR(VLOOKUP(BY746,'RawPL+D'!$O$8:$AB$503,13,FALSE),"-")</f>
        <v>-</v>
      </c>
      <c r="CI746" s="338" t="str">
        <f t="shared" si="316"/>
        <v>-</v>
      </c>
    </row>
    <row r="747" spans="1:87" ht="25.5" hidden="1" customHeight="1" x14ac:dyDescent="0.2">
      <c r="A747" s="28">
        <v>4</v>
      </c>
      <c r="B747" s="28">
        <v>1</v>
      </c>
      <c r="C747" s="11">
        <v>24</v>
      </c>
      <c r="D747" s="13" t="s">
        <v>359</v>
      </c>
      <c r="E747" s="549" t="s">
        <v>501</v>
      </c>
      <c r="F747" s="10" t="s">
        <v>207</v>
      </c>
      <c r="G747" s="10"/>
      <c r="H747" s="10"/>
      <c r="I747" s="10"/>
      <c r="J747" s="10"/>
      <c r="K747" s="575"/>
      <c r="L747" s="152"/>
      <c r="M747" s="164"/>
      <c r="N747" s="62"/>
      <c r="O747" s="62"/>
      <c r="P747" s="177"/>
      <c r="Q747" s="171"/>
      <c r="R747" s="62"/>
      <c r="S747" s="62"/>
      <c r="T747" s="64"/>
      <c r="U747" s="64"/>
      <c r="V747" s="164"/>
      <c r="W747" s="62"/>
      <c r="X747" s="62"/>
      <c r="Y747" s="62"/>
      <c r="Z747" s="64"/>
      <c r="AA747" s="164"/>
      <c r="AB747" s="62"/>
      <c r="AC747" s="62"/>
      <c r="AD747" s="64"/>
      <c r="AE747" s="164"/>
      <c r="AF747" s="62"/>
      <c r="AG747" s="62"/>
      <c r="AH747" s="337"/>
      <c r="AI747" s="337"/>
      <c r="AJ747" s="337"/>
      <c r="AK747" s="337"/>
      <c r="AL747" s="555"/>
      <c r="AM747" s="552"/>
      <c r="AN747" s="45"/>
      <c r="AO747" s="45"/>
      <c r="AP747" s="45"/>
      <c r="AQ747" s="485"/>
      <c r="AR747" s="12"/>
      <c r="AS747" s="485"/>
      <c r="AT747" s="24"/>
      <c r="AU747" s="24"/>
      <c r="AV747" s="24"/>
      <c r="AW747" s="18">
        <v>24</v>
      </c>
      <c r="AX747" s="69" t="s">
        <v>359</v>
      </c>
      <c r="AY747" s="195" t="s">
        <v>246</v>
      </c>
      <c r="AZ747" s="243" t="str">
        <f t="shared" si="301"/>
        <v>Sockeye</v>
      </c>
      <c r="BA747" s="243" t="s">
        <v>419</v>
      </c>
      <c r="BB747" s="244" t="s">
        <v>290</v>
      </c>
      <c r="BC747" s="43" t="str">
        <f t="shared" si="302"/>
        <v>-</v>
      </c>
      <c r="BD747" s="43">
        <f t="shared" si="320"/>
        <v>0</v>
      </c>
      <c r="BE747" s="193">
        <f t="shared" si="318"/>
        <v>0</v>
      </c>
      <c r="BF747" s="193">
        <f t="shared" si="303"/>
        <v>0</v>
      </c>
      <c r="BG747" s="193">
        <f t="shared" si="304"/>
        <v>0</v>
      </c>
      <c r="BH747" s="307" t="str">
        <f t="shared" si="319"/>
        <v>-</v>
      </c>
      <c r="BI747" s="266"/>
      <c r="BJ747" s="26" t="str">
        <f t="shared" si="305"/>
        <v>HESQUIAT HARBOUR #2 CREEKS (Ayyisaqh 1)Sockeye</v>
      </c>
      <c r="BK747" s="26">
        <f t="shared" si="306"/>
        <v>0</v>
      </c>
      <c r="BL747" s="33">
        <f t="shared" si="321"/>
        <v>0</v>
      </c>
      <c r="BQ747" s="47" t="str">
        <f t="shared" si="307"/>
        <v>HESQUIAT HARBOUR #2 CREEKS (Ayyisaqh 1)Sockeye</v>
      </c>
      <c r="BR747" s="49">
        <f t="shared" si="308"/>
        <v>0</v>
      </c>
      <c r="BS747" s="49">
        <f t="shared" si="317"/>
        <v>0</v>
      </c>
      <c r="BT747" s="31">
        <v>0</v>
      </c>
      <c r="BU747" s="188" t="str">
        <f t="shared" si="309"/>
        <v>NTC</v>
      </c>
      <c r="BV747" s="188" t="str">
        <f t="shared" si="310"/>
        <v xml:space="preserve"> </v>
      </c>
      <c r="BW747" s="188" t="str">
        <f t="shared" si="311"/>
        <v xml:space="preserve"> </v>
      </c>
      <c r="BX747" s="188" t="str">
        <f t="shared" si="312"/>
        <v xml:space="preserve"> </v>
      </c>
      <c r="BY747" s="50" t="str">
        <f t="shared" si="300"/>
        <v>HESQUIAT HARBOUR #2 CREEKS (Ayyisaqh 1)_Sockeye</v>
      </c>
      <c r="BZ747" s="50" t="str">
        <f>IFERROR(VLOOKUP(BY747,'[1]WCVI Esc'!$C$5:$W$555,18,FALSE),"-")</f>
        <v>-</v>
      </c>
      <c r="CA747" s="50" t="str">
        <f t="shared" si="313"/>
        <v>-</v>
      </c>
      <c r="CB747" s="50" t="str">
        <f>IFERROR(VLOOKUP(BY747,'[1]WCVI Esc'!$C$5:$W$555,19,FALSE),"-")</f>
        <v>-</v>
      </c>
      <c r="CC747" s="50" t="str">
        <f t="shared" si="314"/>
        <v>-</v>
      </c>
      <c r="CE747" s="342" t="str">
        <f t="shared" si="299"/>
        <v>HESQUIAT HARBOUR #2 CREEKS (Ayyisaqh 1)_Sockeye</v>
      </c>
      <c r="CF747" s="341" t="str">
        <f>IFERROR(VLOOKUP(BY747,'RawPL+D'!$O$8:$AB$503,12,FALSE),"-")</f>
        <v>-</v>
      </c>
      <c r="CG747" s="338" t="str">
        <f t="shared" si="315"/>
        <v>-</v>
      </c>
      <c r="CH747" s="341" t="str">
        <f>IFERROR(VLOOKUP(BY747,'RawPL+D'!$O$8:$AB$503,13,FALSE),"-")</f>
        <v>-</v>
      </c>
      <c r="CI747" s="338" t="str">
        <f t="shared" si="316"/>
        <v>-</v>
      </c>
    </row>
    <row r="748" spans="1:87" ht="25.5" hidden="1" customHeight="1" x14ac:dyDescent="0.2">
      <c r="A748" s="28">
        <v>4</v>
      </c>
      <c r="B748" s="28">
        <v>2</v>
      </c>
      <c r="C748" s="11">
        <v>24</v>
      </c>
      <c r="D748" s="13" t="s">
        <v>359</v>
      </c>
      <c r="E748" s="549" t="s">
        <v>501</v>
      </c>
      <c r="F748" s="10" t="s">
        <v>219</v>
      </c>
      <c r="G748" s="10"/>
      <c r="H748" s="10"/>
      <c r="I748" s="10"/>
      <c r="J748" s="10"/>
      <c r="K748" s="575"/>
      <c r="L748" s="152"/>
      <c r="M748" s="164"/>
      <c r="N748" s="62"/>
      <c r="O748" s="62"/>
      <c r="P748" s="177"/>
      <c r="Q748" s="171"/>
      <c r="R748" s="62"/>
      <c r="S748" s="62"/>
      <c r="T748" s="64"/>
      <c r="U748" s="64"/>
      <c r="V748" s="164"/>
      <c r="W748" s="431"/>
      <c r="X748" s="62"/>
      <c r="Y748" s="62"/>
      <c r="Z748" s="64"/>
      <c r="AA748" s="164"/>
      <c r="AB748" s="62"/>
      <c r="AC748" s="62"/>
      <c r="AD748" s="64"/>
      <c r="AE748" s="164"/>
      <c r="AF748" s="62"/>
      <c r="AG748" s="62"/>
      <c r="AH748" s="337"/>
      <c r="AI748" s="337"/>
      <c r="AJ748" s="337"/>
      <c r="AK748" s="337"/>
      <c r="AL748" s="555"/>
      <c r="AM748" s="552"/>
      <c r="AN748" s="45"/>
      <c r="AO748" s="45"/>
      <c r="AP748" s="45"/>
      <c r="AQ748" s="485"/>
      <c r="AR748" s="12"/>
      <c r="AS748" s="485"/>
      <c r="AT748" s="24"/>
      <c r="AU748" s="24"/>
      <c r="AV748" s="24"/>
      <c r="AW748" s="18">
        <v>24</v>
      </c>
      <c r="AX748" s="69" t="s">
        <v>359</v>
      </c>
      <c r="AY748" s="195" t="s">
        <v>246</v>
      </c>
      <c r="AZ748" s="243" t="str">
        <f t="shared" si="301"/>
        <v>Coho</v>
      </c>
      <c r="BA748" s="243" t="s">
        <v>419</v>
      </c>
      <c r="BB748" s="244" t="s">
        <v>290</v>
      </c>
      <c r="BC748" s="43" t="str">
        <f t="shared" si="302"/>
        <v>-</v>
      </c>
      <c r="BD748" s="43">
        <f t="shared" si="320"/>
        <v>0</v>
      </c>
      <c r="BE748" s="193">
        <f t="shared" si="318"/>
        <v>0</v>
      </c>
      <c r="BF748" s="193">
        <f t="shared" si="303"/>
        <v>0</v>
      </c>
      <c r="BG748" s="193">
        <f t="shared" si="304"/>
        <v>0</v>
      </c>
      <c r="BH748" s="307" t="str">
        <f t="shared" si="319"/>
        <v>-</v>
      </c>
      <c r="BI748" s="308" t="s">
        <v>242</v>
      </c>
      <c r="BJ748" s="26" t="str">
        <f t="shared" si="305"/>
        <v>HESQUIAT HARBOUR #2 CREEKS (Ayyisaqh 1)Coho</v>
      </c>
      <c r="BK748" s="26">
        <f t="shared" si="306"/>
        <v>0</v>
      </c>
      <c r="BL748" s="33">
        <f t="shared" si="321"/>
        <v>0</v>
      </c>
      <c r="BQ748" s="47" t="str">
        <f t="shared" si="307"/>
        <v>HESQUIAT HARBOUR #2 CREEKS (Ayyisaqh 1)Coho</v>
      </c>
      <c r="BR748" s="49">
        <f t="shared" si="308"/>
        <v>0</v>
      </c>
      <c r="BS748" s="49">
        <f t="shared" si="317"/>
        <v>0</v>
      </c>
      <c r="BT748" s="31">
        <v>2013</v>
      </c>
      <c r="BU748" s="188" t="str">
        <f t="shared" si="309"/>
        <v>NTC</v>
      </c>
      <c r="BV748" s="188" t="str">
        <f t="shared" si="310"/>
        <v xml:space="preserve"> </v>
      </c>
      <c r="BW748" s="188" t="str">
        <f t="shared" si="311"/>
        <v xml:space="preserve"> </v>
      </c>
      <c r="BX748" s="188" t="str">
        <f t="shared" si="312"/>
        <v xml:space="preserve"> </v>
      </c>
      <c r="BY748" s="50" t="str">
        <f t="shared" si="300"/>
        <v>HESQUIAT HARBOUR #2 CREEKS (Ayyisaqh 1)_Coho</v>
      </c>
      <c r="BZ748" s="50" t="str">
        <f>IFERROR(VLOOKUP(BY748,'[1]WCVI Esc'!$C$5:$W$555,18,FALSE),"-")</f>
        <v>-</v>
      </c>
      <c r="CA748" s="50" t="str">
        <f t="shared" si="313"/>
        <v>-</v>
      </c>
      <c r="CB748" s="50" t="str">
        <f>IFERROR(VLOOKUP(BY748,'[1]WCVI Esc'!$C$5:$W$555,19,FALSE),"-")</f>
        <v>-</v>
      </c>
      <c r="CC748" s="50" t="str">
        <f t="shared" si="314"/>
        <v>-</v>
      </c>
      <c r="CE748" s="342" t="str">
        <f t="shared" si="299"/>
        <v>HESQUIAT HARBOUR #2 CREEKS (Ayyisaqh 1)_Coho</v>
      </c>
      <c r="CF748" s="341" t="str">
        <f>IFERROR(VLOOKUP(BY748,'RawPL+D'!$O$8:$AB$503,12,FALSE),"-")</f>
        <v>-</v>
      </c>
      <c r="CG748" s="338" t="str">
        <f t="shared" si="315"/>
        <v>-</v>
      </c>
      <c r="CH748" s="341" t="str">
        <f>IFERROR(VLOOKUP(BY748,'RawPL+D'!$O$8:$AB$503,13,FALSE),"-")</f>
        <v>-</v>
      </c>
      <c r="CI748" s="338" t="str">
        <f t="shared" si="316"/>
        <v>-</v>
      </c>
    </row>
    <row r="749" spans="1:87" ht="25.5" hidden="1" customHeight="1" x14ac:dyDescent="0.2">
      <c r="A749" s="28">
        <v>4</v>
      </c>
      <c r="B749" s="28">
        <v>3</v>
      </c>
      <c r="C749" s="11">
        <v>24</v>
      </c>
      <c r="D749" s="13" t="s">
        <v>359</v>
      </c>
      <c r="E749" s="549" t="s">
        <v>501</v>
      </c>
      <c r="F749" s="10" t="s">
        <v>208</v>
      </c>
      <c r="G749" s="10"/>
      <c r="H749" s="10"/>
      <c r="I749" s="10"/>
      <c r="J749" s="10"/>
      <c r="K749" s="575"/>
      <c r="L749" s="152"/>
      <c r="M749" s="164"/>
      <c r="N749" s="62"/>
      <c r="O749" s="62"/>
      <c r="P749" s="177"/>
      <c r="Q749" s="171"/>
      <c r="R749" s="62"/>
      <c r="S749" s="62"/>
      <c r="T749" s="64"/>
      <c r="U749" s="64"/>
      <c r="V749" s="164"/>
      <c r="W749" s="62"/>
      <c r="X749" s="62"/>
      <c r="Y749" s="62"/>
      <c r="Z749" s="64"/>
      <c r="AA749" s="164"/>
      <c r="AB749" s="62"/>
      <c r="AC749" s="62"/>
      <c r="AD749" s="64"/>
      <c r="AE749" s="164"/>
      <c r="AF749" s="62"/>
      <c r="AG749" s="62"/>
      <c r="AH749" s="337"/>
      <c r="AI749" s="337"/>
      <c r="AJ749" s="337"/>
      <c r="AK749" s="337"/>
      <c r="AL749" s="555"/>
      <c r="AM749" s="552"/>
      <c r="AN749" s="45"/>
      <c r="AO749" s="45"/>
      <c r="AP749" s="45"/>
      <c r="AQ749" s="485"/>
      <c r="AR749" s="485"/>
      <c r="AS749" s="485"/>
      <c r="AT749" s="24"/>
      <c r="AU749" s="24"/>
      <c r="AV749" s="24"/>
      <c r="AW749" s="18">
        <v>24</v>
      </c>
      <c r="AX749" s="69" t="s">
        <v>359</v>
      </c>
      <c r="AY749" s="195" t="s">
        <v>246</v>
      </c>
      <c r="AZ749" s="243" t="str">
        <f t="shared" si="301"/>
        <v>Pink</v>
      </c>
      <c r="BA749" s="243" t="s">
        <v>419</v>
      </c>
      <c r="BB749" s="244" t="s">
        <v>290</v>
      </c>
      <c r="BC749" s="43" t="str">
        <f t="shared" si="302"/>
        <v>-</v>
      </c>
      <c r="BD749" s="43">
        <f t="shared" si="320"/>
        <v>0</v>
      </c>
      <c r="BE749" s="193">
        <f t="shared" si="318"/>
        <v>0</v>
      </c>
      <c r="BF749" s="193">
        <f t="shared" si="303"/>
        <v>0</v>
      </c>
      <c r="BG749" s="193">
        <f t="shared" si="304"/>
        <v>0</v>
      </c>
      <c r="BH749" s="307" t="str">
        <f t="shared" si="319"/>
        <v>-</v>
      </c>
      <c r="BI749" s="266"/>
      <c r="BJ749" s="26" t="str">
        <f t="shared" si="305"/>
        <v>HESQUIAT HARBOUR #2 CREEKS (Ayyisaqh 1)Pink</v>
      </c>
      <c r="BK749" s="26">
        <f t="shared" si="306"/>
        <v>0</v>
      </c>
      <c r="BL749" s="33">
        <f t="shared" si="321"/>
        <v>0</v>
      </c>
      <c r="BQ749" s="47" t="str">
        <f t="shared" si="307"/>
        <v>HESQUIAT HARBOUR #2 CREEKS (Ayyisaqh 1)Pink</v>
      </c>
      <c r="BR749" s="49">
        <f t="shared" si="308"/>
        <v>0</v>
      </c>
      <c r="BS749" s="49">
        <f t="shared" si="317"/>
        <v>0</v>
      </c>
      <c r="BT749" s="31">
        <v>0</v>
      </c>
      <c r="BU749" s="188" t="str">
        <f t="shared" si="309"/>
        <v>NTC</v>
      </c>
      <c r="BV749" s="188" t="str">
        <f t="shared" si="310"/>
        <v xml:space="preserve"> </v>
      </c>
      <c r="BW749" s="188" t="str">
        <f t="shared" si="311"/>
        <v xml:space="preserve"> </v>
      </c>
      <c r="BX749" s="188" t="str">
        <f t="shared" si="312"/>
        <v xml:space="preserve"> </v>
      </c>
      <c r="BY749" s="50" t="str">
        <f t="shared" si="300"/>
        <v>HESQUIAT HARBOUR #2 CREEKS (Ayyisaqh 1)_Pink</v>
      </c>
      <c r="BZ749" s="50" t="str">
        <f>IFERROR(VLOOKUP(BY749,'[1]WCVI Esc'!$C$5:$W$555,18,FALSE),"-")</f>
        <v>-</v>
      </c>
      <c r="CA749" s="50" t="str">
        <f t="shared" si="313"/>
        <v>-</v>
      </c>
      <c r="CB749" s="50" t="str">
        <f>IFERROR(VLOOKUP(BY749,'[1]WCVI Esc'!$C$5:$W$555,19,FALSE),"-")</f>
        <v>-</v>
      </c>
      <c r="CC749" s="50" t="str">
        <f t="shared" si="314"/>
        <v>-</v>
      </c>
      <c r="CE749" s="342" t="str">
        <f t="shared" si="299"/>
        <v>HESQUIAT HARBOUR #2 CREEKS (Ayyisaqh 1)_Pink</v>
      </c>
      <c r="CF749" s="341" t="str">
        <f>IFERROR(VLOOKUP(BY749,'RawPL+D'!$O$8:$AB$503,12,FALSE),"-")</f>
        <v>-</v>
      </c>
      <c r="CG749" s="338" t="str">
        <f t="shared" si="315"/>
        <v>-</v>
      </c>
      <c r="CH749" s="341" t="str">
        <f>IFERROR(VLOOKUP(BY749,'RawPL+D'!$O$8:$AB$503,13,FALSE),"-")</f>
        <v>-</v>
      </c>
      <c r="CI749" s="338" t="str">
        <f t="shared" si="316"/>
        <v>-</v>
      </c>
    </row>
    <row r="750" spans="1:87" ht="25.5" hidden="1" customHeight="1" x14ac:dyDescent="0.2">
      <c r="A750" s="28">
        <v>4</v>
      </c>
      <c r="B750" s="28">
        <v>4</v>
      </c>
      <c r="C750" s="11">
        <v>24</v>
      </c>
      <c r="D750" s="13" t="s">
        <v>359</v>
      </c>
      <c r="E750" s="549" t="s">
        <v>501</v>
      </c>
      <c r="F750" s="10" t="s">
        <v>209</v>
      </c>
      <c r="G750" s="10"/>
      <c r="H750" s="10"/>
      <c r="I750" s="10"/>
      <c r="J750" s="10"/>
      <c r="K750" s="575"/>
      <c r="L750" s="152"/>
      <c r="M750" s="164"/>
      <c r="N750" s="62"/>
      <c r="O750" s="62"/>
      <c r="P750" s="177"/>
      <c r="Q750" s="171"/>
      <c r="R750" s="62"/>
      <c r="S750" s="62"/>
      <c r="T750" s="62"/>
      <c r="U750" s="64"/>
      <c r="V750" s="164"/>
      <c r="W750" s="390"/>
      <c r="X750" s="62"/>
      <c r="Y750" s="62"/>
      <c r="Z750" s="64"/>
      <c r="AA750" s="164"/>
      <c r="AB750" s="62"/>
      <c r="AC750" s="62"/>
      <c r="AD750" s="64"/>
      <c r="AE750" s="164"/>
      <c r="AF750" s="62"/>
      <c r="AG750" s="62"/>
      <c r="AH750" s="337"/>
      <c r="AI750" s="337"/>
      <c r="AJ750" s="337"/>
      <c r="AK750" s="337"/>
      <c r="AL750" s="555"/>
      <c r="AM750" s="552"/>
      <c r="AN750" s="45"/>
      <c r="AO750" s="45"/>
      <c r="AP750" s="45"/>
      <c r="AQ750" s="485"/>
      <c r="AR750" s="12"/>
      <c r="AS750" s="485"/>
      <c r="AT750" s="24"/>
      <c r="AU750" s="24"/>
      <c r="AV750" s="24"/>
      <c r="AW750" s="18">
        <v>24</v>
      </c>
      <c r="AX750" s="69" t="s">
        <v>359</v>
      </c>
      <c r="AY750" s="195" t="s">
        <v>246</v>
      </c>
      <c r="AZ750" s="243" t="str">
        <f t="shared" si="301"/>
        <v>Chum</v>
      </c>
      <c r="BA750" s="243" t="s">
        <v>419</v>
      </c>
      <c r="BB750" s="244" t="s">
        <v>290</v>
      </c>
      <c r="BC750" s="43" t="str">
        <f t="shared" si="302"/>
        <v>-</v>
      </c>
      <c r="BD750" s="43">
        <f t="shared" si="320"/>
        <v>0</v>
      </c>
      <c r="BE750" s="193">
        <f t="shared" si="318"/>
        <v>0</v>
      </c>
      <c r="BF750" s="193">
        <f t="shared" si="303"/>
        <v>0</v>
      </c>
      <c r="BG750" s="193">
        <f t="shared" si="304"/>
        <v>0</v>
      </c>
      <c r="BH750" s="307" t="str">
        <f t="shared" si="319"/>
        <v>-</v>
      </c>
      <c r="BI750" s="308" t="s">
        <v>242</v>
      </c>
      <c r="BJ750" s="26" t="str">
        <f t="shared" si="305"/>
        <v>HESQUIAT HARBOUR #2 CREEKS (Ayyisaqh 1)Chum</v>
      </c>
      <c r="BK750" s="26">
        <f t="shared" si="306"/>
        <v>0</v>
      </c>
      <c r="BL750" s="33">
        <f t="shared" si="321"/>
        <v>0</v>
      </c>
      <c r="BQ750" s="47" t="str">
        <f t="shared" si="307"/>
        <v>HESQUIAT HARBOUR #2 CREEKS (Ayyisaqh 1)Chum</v>
      </c>
      <c r="BR750" s="49">
        <f t="shared" si="308"/>
        <v>0</v>
      </c>
      <c r="BS750" s="49">
        <f t="shared" si="317"/>
        <v>0</v>
      </c>
      <c r="BT750" s="31">
        <v>2013</v>
      </c>
      <c r="BU750" s="188" t="str">
        <f t="shared" si="309"/>
        <v>NTC</v>
      </c>
      <c r="BV750" s="188" t="str">
        <f t="shared" si="310"/>
        <v xml:space="preserve"> </v>
      </c>
      <c r="BW750" s="188" t="str">
        <f t="shared" si="311"/>
        <v xml:space="preserve"> </v>
      </c>
      <c r="BX750" s="188" t="str">
        <f t="shared" si="312"/>
        <v xml:space="preserve"> </v>
      </c>
      <c r="BY750" s="50" t="str">
        <f t="shared" si="300"/>
        <v>HESQUIAT HARBOUR #2 CREEKS (Ayyisaqh 1)_Chum</v>
      </c>
      <c r="BZ750" s="50" t="str">
        <f>IFERROR(VLOOKUP(BY750,'[1]WCVI Esc'!$C$5:$W$555,18,FALSE),"-")</f>
        <v>-</v>
      </c>
      <c r="CA750" s="50" t="str">
        <f t="shared" si="313"/>
        <v>-</v>
      </c>
      <c r="CB750" s="50" t="str">
        <f>IFERROR(VLOOKUP(BY750,'[1]WCVI Esc'!$C$5:$W$555,19,FALSE),"-")</f>
        <v>-</v>
      </c>
      <c r="CC750" s="50" t="str">
        <f t="shared" si="314"/>
        <v>-</v>
      </c>
      <c r="CE750" s="342" t="str">
        <f t="shared" si="299"/>
        <v>HESQUIAT HARBOUR #2 CREEKS (Ayyisaqh 1)_Chum</v>
      </c>
      <c r="CF750" s="341" t="str">
        <f>IFERROR(VLOOKUP(BY750,'RawPL+D'!$O$8:$AB$503,12,FALSE),"-")</f>
        <v>-</v>
      </c>
      <c r="CG750" s="338" t="str">
        <f t="shared" si="315"/>
        <v>-</v>
      </c>
      <c r="CH750" s="341" t="str">
        <f>IFERROR(VLOOKUP(BY750,'RawPL+D'!$O$8:$AB$503,13,FALSE),"-")</f>
        <v>-</v>
      </c>
      <c r="CI750" s="338" t="str">
        <f t="shared" si="316"/>
        <v>-</v>
      </c>
    </row>
    <row r="751" spans="1:87" ht="25.5" hidden="1" customHeight="1" x14ac:dyDescent="0.2">
      <c r="A751" s="28">
        <v>4</v>
      </c>
      <c r="B751" s="28">
        <v>5</v>
      </c>
      <c r="C751" s="11">
        <v>24</v>
      </c>
      <c r="D751" s="13" t="s">
        <v>359</v>
      </c>
      <c r="E751" s="549" t="s">
        <v>501</v>
      </c>
      <c r="F751" s="10" t="s">
        <v>210</v>
      </c>
      <c r="G751" s="10"/>
      <c r="H751" s="10"/>
      <c r="I751" s="10"/>
      <c r="J751" s="10"/>
      <c r="K751" s="575"/>
      <c r="L751" s="152"/>
      <c r="M751" s="164"/>
      <c r="N751" s="62"/>
      <c r="O751" s="62"/>
      <c r="P751" s="177"/>
      <c r="Q751" s="171"/>
      <c r="R751" s="62"/>
      <c r="S751" s="62"/>
      <c r="T751" s="62"/>
      <c r="U751" s="64"/>
      <c r="V751" s="164"/>
      <c r="W751" s="62"/>
      <c r="X751" s="62"/>
      <c r="Y751" s="62"/>
      <c r="Z751" s="64"/>
      <c r="AA751" s="164"/>
      <c r="AB751" s="62"/>
      <c r="AC751" s="62"/>
      <c r="AD751" s="64"/>
      <c r="AE751" s="164"/>
      <c r="AF751" s="62"/>
      <c r="AG751" s="62"/>
      <c r="AH751" s="337"/>
      <c r="AI751" s="337"/>
      <c r="AJ751" s="337"/>
      <c r="AK751" s="337"/>
      <c r="AL751" s="555"/>
      <c r="AM751" s="552"/>
      <c r="AN751" s="45"/>
      <c r="AO751" s="45"/>
      <c r="AP751" s="45"/>
      <c r="AQ751" s="485"/>
      <c r="AR751" s="485"/>
      <c r="AS751" s="485"/>
      <c r="AT751" s="24"/>
      <c r="AU751" s="24"/>
      <c r="AV751" s="24"/>
      <c r="AW751" s="18">
        <v>24</v>
      </c>
      <c r="AX751" s="69" t="s">
        <v>359</v>
      </c>
      <c r="AY751" s="195" t="s">
        <v>246</v>
      </c>
      <c r="AZ751" s="243" t="str">
        <f t="shared" si="301"/>
        <v>Chinook</v>
      </c>
      <c r="BA751" s="243" t="s">
        <v>419</v>
      </c>
      <c r="BB751" s="244" t="s">
        <v>290</v>
      </c>
      <c r="BC751" s="43" t="str">
        <f t="shared" si="302"/>
        <v>-</v>
      </c>
      <c r="BD751" s="43">
        <f t="shared" si="320"/>
        <v>0</v>
      </c>
      <c r="BE751" s="193">
        <f t="shared" si="318"/>
        <v>0</v>
      </c>
      <c r="BF751" s="193">
        <f t="shared" si="303"/>
        <v>0</v>
      </c>
      <c r="BG751" s="193">
        <f t="shared" si="304"/>
        <v>0</v>
      </c>
      <c r="BH751" s="307" t="str">
        <f t="shared" si="319"/>
        <v>-</v>
      </c>
      <c r="BI751" s="266"/>
      <c r="BJ751" s="26" t="str">
        <f t="shared" si="305"/>
        <v>HESQUIAT HARBOUR #2 CREEKS (Ayyisaqh 1)Chinook</v>
      </c>
      <c r="BK751" s="26">
        <f t="shared" si="306"/>
        <v>0</v>
      </c>
      <c r="BL751" s="33">
        <f t="shared" si="321"/>
        <v>0</v>
      </c>
      <c r="BQ751" s="47" t="str">
        <f t="shared" si="307"/>
        <v>HESQUIAT HARBOUR #2 CREEKS (Ayyisaqh 1)Chinook</v>
      </c>
      <c r="BR751" s="49">
        <f t="shared" si="308"/>
        <v>0</v>
      </c>
      <c r="BS751" s="49">
        <f t="shared" si="317"/>
        <v>0</v>
      </c>
      <c r="BT751" s="31">
        <v>0</v>
      </c>
      <c r="BU751" s="188" t="str">
        <f t="shared" si="309"/>
        <v>NTC</v>
      </c>
      <c r="BV751" s="188" t="str">
        <f t="shared" si="310"/>
        <v xml:space="preserve"> </v>
      </c>
      <c r="BW751" s="188" t="str">
        <f t="shared" si="311"/>
        <v xml:space="preserve"> </v>
      </c>
      <c r="BX751" s="188" t="str">
        <f t="shared" si="312"/>
        <v xml:space="preserve"> </v>
      </c>
      <c r="BY751" s="50" t="str">
        <f t="shared" si="300"/>
        <v>HESQUIAT HARBOUR #2 CREEKS (Ayyisaqh 1)_Chinook</v>
      </c>
      <c r="BZ751" s="50" t="str">
        <f>IFERROR(VLOOKUP(BY751,'[1]WCVI Esc'!$C$5:$W$555,18,FALSE),"-")</f>
        <v>-</v>
      </c>
      <c r="CA751" s="50" t="str">
        <f t="shared" si="313"/>
        <v>-</v>
      </c>
      <c r="CB751" s="50" t="str">
        <f>IFERROR(VLOOKUP(BY751,'[1]WCVI Esc'!$C$5:$W$555,19,FALSE),"-")</f>
        <v>-</v>
      </c>
      <c r="CC751" s="50" t="str">
        <f t="shared" si="314"/>
        <v>-</v>
      </c>
      <c r="CE751" s="342" t="str">
        <f t="shared" si="299"/>
        <v>HESQUIAT HARBOUR #2 CREEKS (Ayyisaqh 1)_Chinook</v>
      </c>
      <c r="CF751" s="341" t="str">
        <f>IFERROR(VLOOKUP(BY751,'RawPL+D'!$O$8:$AB$503,12,FALSE),"-")</f>
        <v>-</v>
      </c>
      <c r="CG751" s="338" t="str">
        <f t="shared" si="315"/>
        <v>-</v>
      </c>
      <c r="CH751" s="341" t="str">
        <f>IFERROR(VLOOKUP(BY751,'RawPL+D'!$O$8:$AB$503,13,FALSE),"-")</f>
        <v>-</v>
      </c>
      <c r="CI751" s="338" t="str">
        <f t="shared" si="316"/>
        <v>-</v>
      </c>
    </row>
    <row r="752" spans="1:87" ht="25.5" hidden="1" customHeight="1" x14ac:dyDescent="0.2">
      <c r="A752" s="28">
        <v>4</v>
      </c>
      <c r="B752" s="28">
        <v>6</v>
      </c>
      <c r="C752" s="11">
        <v>24</v>
      </c>
      <c r="D752" s="13" t="s">
        <v>359</v>
      </c>
      <c r="E752" s="549" t="s">
        <v>501</v>
      </c>
      <c r="F752" s="10" t="s">
        <v>211</v>
      </c>
      <c r="G752" s="10"/>
      <c r="H752" s="10"/>
      <c r="I752" s="10"/>
      <c r="J752" s="10"/>
      <c r="K752" s="575"/>
      <c r="L752" s="152"/>
      <c r="M752" s="164"/>
      <c r="N752" s="62"/>
      <c r="O752" s="62"/>
      <c r="P752" s="177"/>
      <c r="Q752" s="171"/>
      <c r="R752" s="62"/>
      <c r="S752" s="62"/>
      <c r="T752" s="62"/>
      <c r="U752" s="64"/>
      <c r="V752" s="164"/>
      <c r="W752" s="62"/>
      <c r="X752" s="62"/>
      <c r="Y752" s="62"/>
      <c r="Z752" s="64"/>
      <c r="AA752" s="164"/>
      <c r="AB752" s="62"/>
      <c r="AC752" s="62"/>
      <c r="AD752" s="64"/>
      <c r="AE752" s="164"/>
      <c r="AF752" s="62"/>
      <c r="AG752" s="62"/>
      <c r="AH752" s="337"/>
      <c r="AI752" s="337"/>
      <c r="AJ752" s="337"/>
      <c r="AK752" s="337"/>
      <c r="AL752" s="555"/>
      <c r="AM752" s="552"/>
      <c r="AN752" s="45"/>
      <c r="AO752" s="45"/>
      <c r="AP752" s="45"/>
      <c r="AQ752" s="485"/>
      <c r="AR752" s="485"/>
      <c r="AS752" s="485"/>
      <c r="AT752" s="24"/>
      <c r="AU752" s="24"/>
      <c r="AV752" s="24"/>
      <c r="AW752" s="18">
        <v>24</v>
      </c>
      <c r="AX752" s="69" t="s">
        <v>359</v>
      </c>
      <c r="AY752" s="195" t="s">
        <v>246</v>
      </c>
      <c r="AZ752" s="243" t="str">
        <f t="shared" si="301"/>
        <v>Steelhead</v>
      </c>
      <c r="BA752" s="243" t="s">
        <v>419</v>
      </c>
      <c r="BB752" s="244" t="s">
        <v>290</v>
      </c>
      <c r="BC752" s="43" t="str">
        <f t="shared" si="302"/>
        <v>-</v>
      </c>
      <c r="BD752" s="43">
        <f t="shared" si="320"/>
        <v>0</v>
      </c>
      <c r="BE752" s="193">
        <f t="shared" si="318"/>
        <v>0</v>
      </c>
      <c r="BF752" s="193">
        <f t="shared" si="303"/>
        <v>0</v>
      </c>
      <c r="BG752" s="193">
        <f t="shared" si="304"/>
        <v>0</v>
      </c>
      <c r="BH752" s="307" t="str">
        <f t="shared" si="319"/>
        <v>-</v>
      </c>
      <c r="BI752" s="266"/>
      <c r="BJ752" s="26" t="str">
        <f t="shared" si="305"/>
        <v>HESQUIAT HARBOUR #2 CREEKS (Ayyisaqh 1)Steelhead</v>
      </c>
      <c r="BK752" s="26">
        <f t="shared" si="306"/>
        <v>0</v>
      </c>
      <c r="BL752" s="33">
        <f t="shared" si="321"/>
        <v>0</v>
      </c>
      <c r="BQ752" s="47" t="str">
        <f t="shared" si="307"/>
        <v>HESQUIAT HARBOUR #2 CREEKS (Ayyisaqh 1)Steelhead</v>
      </c>
      <c r="BR752" s="49">
        <f t="shared" si="308"/>
        <v>0</v>
      </c>
      <c r="BS752" s="49">
        <f t="shared" si="317"/>
        <v>0</v>
      </c>
      <c r="BT752" s="31">
        <v>0</v>
      </c>
      <c r="BU752" s="188" t="str">
        <f t="shared" si="309"/>
        <v>NTC</v>
      </c>
      <c r="BV752" s="188" t="str">
        <f t="shared" si="310"/>
        <v xml:space="preserve"> </v>
      </c>
      <c r="BW752" s="188" t="str">
        <f t="shared" si="311"/>
        <v xml:space="preserve"> </v>
      </c>
      <c r="BX752" s="188" t="str">
        <f t="shared" si="312"/>
        <v xml:space="preserve"> </v>
      </c>
      <c r="BY752" s="50" t="str">
        <f t="shared" si="300"/>
        <v>HESQUIAT HARBOUR #2 CREEKS (Ayyisaqh 1)_Steelhead</v>
      </c>
      <c r="BZ752" s="50" t="str">
        <f>IFERROR(VLOOKUP(BY752,'[1]WCVI Esc'!$C$5:$W$555,18,FALSE),"-")</f>
        <v>-</v>
      </c>
      <c r="CA752" s="50" t="str">
        <f t="shared" si="313"/>
        <v>-</v>
      </c>
      <c r="CB752" s="50" t="str">
        <f>IFERROR(VLOOKUP(BY752,'[1]WCVI Esc'!$C$5:$W$555,19,FALSE),"-")</f>
        <v>-</v>
      </c>
      <c r="CC752" s="50" t="str">
        <f t="shared" si="314"/>
        <v>-</v>
      </c>
      <c r="CE752" s="342" t="str">
        <f t="shared" si="299"/>
        <v>HESQUIAT HARBOUR #2 CREEKS (Ayyisaqh 1)_Steelhead</v>
      </c>
      <c r="CF752" s="341" t="str">
        <f>IFERROR(VLOOKUP(BY752,'RawPL+D'!$O$8:$AB$503,12,FALSE),"-")</f>
        <v>-</v>
      </c>
      <c r="CG752" s="338" t="str">
        <f t="shared" si="315"/>
        <v>-</v>
      </c>
      <c r="CH752" s="341" t="str">
        <f>IFERROR(VLOOKUP(BY752,'RawPL+D'!$O$8:$AB$503,13,FALSE),"-")</f>
        <v>-</v>
      </c>
      <c r="CI752" s="338" t="str">
        <f t="shared" si="316"/>
        <v>-</v>
      </c>
    </row>
    <row r="753" spans="1:87" ht="25.5" hidden="1" customHeight="1" x14ac:dyDescent="0.2">
      <c r="A753" s="28">
        <v>4</v>
      </c>
      <c r="B753" s="28">
        <v>1</v>
      </c>
      <c r="C753" s="11">
        <v>24</v>
      </c>
      <c r="D753" s="13" t="s">
        <v>359</v>
      </c>
      <c r="E753" s="10" t="s">
        <v>248</v>
      </c>
      <c r="F753" s="10" t="s">
        <v>207</v>
      </c>
      <c r="G753" s="10"/>
      <c r="H753" s="10"/>
      <c r="I753" s="10"/>
      <c r="J753" s="10"/>
      <c r="K753" s="575"/>
      <c r="L753" s="152"/>
      <c r="M753" s="164"/>
      <c r="N753" s="62"/>
      <c r="O753" s="62"/>
      <c r="P753" s="177"/>
      <c r="Q753" s="171"/>
      <c r="R753" s="62"/>
      <c r="S753" s="62"/>
      <c r="T753" s="62"/>
      <c r="U753" s="64"/>
      <c r="V753" s="164"/>
      <c r="W753" s="62"/>
      <c r="X753" s="62"/>
      <c r="Y753" s="62"/>
      <c r="Z753" s="64"/>
      <c r="AA753" s="164"/>
      <c r="AB753" s="62"/>
      <c r="AC753" s="62"/>
      <c r="AD753" s="64"/>
      <c r="AE753" s="164"/>
      <c r="AF753" s="62"/>
      <c r="AG753" s="64"/>
      <c r="AH753" s="337"/>
      <c r="AI753" s="337"/>
      <c r="AJ753" s="337"/>
      <c r="AK753" s="337"/>
      <c r="AL753" s="412"/>
      <c r="AM753" s="414"/>
      <c r="AN753" s="45"/>
      <c r="AO753" s="45"/>
      <c r="AP753" s="45"/>
      <c r="AQ753" s="485"/>
      <c r="AR753" s="485"/>
      <c r="AS753" s="485"/>
      <c r="AT753" s="24"/>
      <c r="AU753" s="24"/>
      <c r="AV753" s="24"/>
      <c r="AW753" s="18">
        <v>24</v>
      </c>
      <c r="AX753" s="69" t="s">
        <v>359</v>
      </c>
      <c r="AY753" s="195" t="s">
        <v>248</v>
      </c>
      <c r="AZ753" s="243" t="str">
        <f t="shared" si="301"/>
        <v>Sockeye</v>
      </c>
      <c r="BA753" s="243" t="s">
        <v>419</v>
      </c>
      <c r="BB753" s="246"/>
      <c r="BC753" s="43" t="str">
        <f t="shared" si="302"/>
        <v>-</v>
      </c>
      <c r="BD753" s="43">
        <f t="shared" si="320"/>
        <v>0</v>
      </c>
      <c r="BE753" s="193">
        <f t="shared" si="318"/>
        <v>0</v>
      </c>
      <c r="BF753" s="193">
        <f t="shared" si="303"/>
        <v>0</v>
      </c>
      <c r="BG753" s="193">
        <f t="shared" si="304"/>
        <v>0</v>
      </c>
      <c r="BH753" s="307" t="str">
        <f t="shared" si="319"/>
        <v>-</v>
      </c>
      <c r="BI753" s="266"/>
      <c r="BJ753" s="26" t="str">
        <f t="shared" si="305"/>
        <v>HESQUIAT HARBOUR #3 CREEKS (Ya-ksis)Sockeye</v>
      </c>
      <c r="BK753" s="26">
        <f t="shared" si="306"/>
        <v>0</v>
      </c>
      <c r="BL753" s="33">
        <f t="shared" si="321"/>
        <v>0</v>
      </c>
      <c r="BQ753" s="47" t="str">
        <f t="shared" si="307"/>
        <v>HESQUIAT HARBOUR #3 CREEKS (Ya-ksis)Sockeye</v>
      </c>
      <c r="BR753" s="49">
        <f t="shared" si="308"/>
        <v>0</v>
      </c>
      <c r="BS753" s="49">
        <f t="shared" si="317"/>
        <v>0</v>
      </c>
      <c r="BT753" s="31">
        <v>0</v>
      </c>
      <c r="BU753" s="188">
        <f t="shared" si="309"/>
        <v>0</v>
      </c>
      <c r="BV753" s="188" t="str">
        <f t="shared" si="310"/>
        <v xml:space="preserve"> </v>
      </c>
      <c r="BW753" s="188" t="str">
        <f t="shared" si="311"/>
        <v xml:space="preserve"> </v>
      </c>
      <c r="BX753" s="188" t="str">
        <f t="shared" si="312"/>
        <v xml:space="preserve"> </v>
      </c>
      <c r="BY753" s="50" t="str">
        <f t="shared" si="300"/>
        <v>HESQUIAT HARBOUR #3 CREEKS (Ya-ksis)_Sockeye</v>
      </c>
      <c r="BZ753" s="50" t="str">
        <f>IFERROR(VLOOKUP(BY753,'[1]WCVI Esc'!$C$5:$W$555,18,FALSE),"-")</f>
        <v>-</v>
      </c>
      <c r="CA753" s="50" t="str">
        <f t="shared" si="313"/>
        <v>-</v>
      </c>
      <c r="CB753" s="50" t="str">
        <f>IFERROR(VLOOKUP(BY753,'[1]WCVI Esc'!$C$5:$W$555,19,FALSE),"-")</f>
        <v>-</v>
      </c>
      <c r="CC753" s="50" t="str">
        <f t="shared" si="314"/>
        <v>-</v>
      </c>
      <c r="CE753" s="342" t="str">
        <f t="shared" si="299"/>
        <v>HESQUIAT HARBOUR #3 CREEKS (Ya-ksis)_Sockeye</v>
      </c>
      <c r="CF753" s="341" t="str">
        <f>IFERROR(VLOOKUP(BY753,'RawPL+D'!$O$8:$AB$503,12,FALSE),"-")</f>
        <v>-</v>
      </c>
      <c r="CG753" s="338" t="str">
        <f t="shared" si="315"/>
        <v>-</v>
      </c>
      <c r="CH753" s="341" t="str">
        <f>IFERROR(VLOOKUP(BY753,'RawPL+D'!$O$8:$AB$503,13,FALSE),"-")</f>
        <v>-</v>
      </c>
      <c r="CI753" s="338" t="str">
        <f t="shared" si="316"/>
        <v>-</v>
      </c>
    </row>
    <row r="754" spans="1:87" ht="25.5" hidden="1" customHeight="1" x14ac:dyDescent="0.2">
      <c r="A754" s="28">
        <v>4</v>
      </c>
      <c r="B754" s="28">
        <v>2</v>
      </c>
      <c r="C754" s="11">
        <v>24</v>
      </c>
      <c r="D754" s="13" t="s">
        <v>359</v>
      </c>
      <c r="E754" s="549" t="s">
        <v>248</v>
      </c>
      <c r="F754" s="10" t="s">
        <v>219</v>
      </c>
      <c r="G754" s="10"/>
      <c r="H754" s="10"/>
      <c r="I754" s="10"/>
      <c r="J754" s="10"/>
      <c r="K754" s="575"/>
      <c r="L754" s="152"/>
      <c r="M754" s="164"/>
      <c r="N754" s="62"/>
      <c r="O754" s="62"/>
      <c r="P754" s="177"/>
      <c r="Q754" s="171"/>
      <c r="R754" s="62"/>
      <c r="S754" s="62"/>
      <c r="T754" s="62"/>
      <c r="U754" s="64"/>
      <c r="V754" s="164"/>
      <c r="W754" s="62"/>
      <c r="X754" s="62"/>
      <c r="Y754" s="62"/>
      <c r="Z754" s="64"/>
      <c r="AA754" s="164"/>
      <c r="AB754" s="62"/>
      <c r="AC754" s="62"/>
      <c r="AD754" s="64"/>
      <c r="AE754" s="164"/>
      <c r="AF754" s="62"/>
      <c r="AG754" s="62"/>
      <c r="AH754" s="337"/>
      <c r="AI754" s="337"/>
      <c r="AJ754" s="337"/>
      <c r="AK754" s="337"/>
      <c r="AL754" s="412"/>
      <c r="AM754" s="414"/>
      <c r="AN754" s="45"/>
      <c r="AO754" s="45"/>
      <c r="AP754" s="45"/>
      <c r="AQ754" s="485"/>
      <c r="AR754" s="485"/>
      <c r="AS754" s="485"/>
      <c r="AT754" s="24"/>
      <c r="AU754" s="24"/>
      <c r="AV754" s="24"/>
      <c r="AW754" s="18">
        <v>24</v>
      </c>
      <c r="AX754" s="69" t="s">
        <v>359</v>
      </c>
      <c r="AY754" s="195" t="s">
        <v>248</v>
      </c>
      <c r="AZ754" s="243" t="str">
        <f t="shared" si="301"/>
        <v>Coho</v>
      </c>
      <c r="BA754" s="243" t="s">
        <v>419</v>
      </c>
      <c r="BB754" s="246"/>
      <c r="BC754" s="43" t="str">
        <f t="shared" si="302"/>
        <v>-</v>
      </c>
      <c r="BD754" s="43">
        <f t="shared" si="320"/>
        <v>0</v>
      </c>
      <c r="BE754" s="193">
        <f t="shared" si="318"/>
        <v>0</v>
      </c>
      <c r="BF754" s="193">
        <f t="shared" si="303"/>
        <v>0</v>
      </c>
      <c r="BG754" s="193">
        <f t="shared" si="304"/>
        <v>0</v>
      </c>
      <c r="BH754" s="307" t="str">
        <f t="shared" si="319"/>
        <v>-</v>
      </c>
      <c r="BI754" s="266"/>
      <c r="BJ754" s="26" t="str">
        <f t="shared" si="305"/>
        <v>HESQUIAT HARBOUR #3 CREEKS (Ya-ksis)Coho</v>
      </c>
      <c r="BK754" s="26">
        <f t="shared" si="306"/>
        <v>0</v>
      </c>
      <c r="BL754" s="33">
        <f t="shared" si="321"/>
        <v>0</v>
      </c>
      <c r="BQ754" s="47" t="str">
        <f t="shared" si="307"/>
        <v>HESQUIAT HARBOUR #3 CREEKS (Ya-ksis)Coho</v>
      </c>
      <c r="BR754" s="49">
        <f t="shared" si="308"/>
        <v>0</v>
      </c>
      <c r="BS754" s="49">
        <f t="shared" si="317"/>
        <v>0</v>
      </c>
      <c r="BT754" s="31">
        <v>2011</v>
      </c>
      <c r="BU754" s="188">
        <f t="shared" si="309"/>
        <v>0</v>
      </c>
      <c r="BV754" s="188" t="str">
        <f t="shared" si="310"/>
        <v xml:space="preserve"> </v>
      </c>
      <c r="BW754" s="188" t="str">
        <f t="shared" si="311"/>
        <v xml:space="preserve"> </v>
      </c>
      <c r="BX754" s="188" t="str">
        <f t="shared" si="312"/>
        <v xml:space="preserve"> </v>
      </c>
      <c r="BY754" s="50" t="str">
        <f t="shared" si="300"/>
        <v>HESQUIAT HARBOUR #3 CREEKS (Ya-ksis)_Coho</v>
      </c>
      <c r="BZ754" s="50" t="str">
        <f>IFERROR(VLOOKUP(BY754,'[1]WCVI Esc'!$C$5:$W$555,18,FALSE),"-")</f>
        <v>-</v>
      </c>
      <c r="CA754" s="50" t="str">
        <f t="shared" si="313"/>
        <v>-</v>
      </c>
      <c r="CB754" s="50" t="str">
        <f>IFERROR(VLOOKUP(BY754,'[1]WCVI Esc'!$C$5:$W$555,19,FALSE),"-")</f>
        <v>-</v>
      </c>
      <c r="CC754" s="50" t="str">
        <f t="shared" si="314"/>
        <v>-</v>
      </c>
      <c r="CE754" s="342" t="str">
        <f t="shared" si="299"/>
        <v>HESQUIAT HARBOUR #3 CREEKS (Ya-ksis)_Coho</v>
      </c>
      <c r="CF754" s="341" t="str">
        <f>IFERROR(VLOOKUP(BY754,'RawPL+D'!$O$8:$AB$503,12,FALSE),"-")</f>
        <v>-</v>
      </c>
      <c r="CG754" s="338" t="str">
        <f t="shared" si="315"/>
        <v>-</v>
      </c>
      <c r="CH754" s="341" t="str">
        <f>IFERROR(VLOOKUP(BY754,'RawPL+D'!$O$8:$AB$503,13,FALSE),"-")</f>
        <v>-</v>
      </c>
      <c r="CI754" s="338" t="str">
        <f t="shared" si="316"/>
        <v>-</v>
      </c>
    </row>
    <row r="755" spans="1:87" ht="25.5" hidden="1" customHeight="1" x14ac:dyDescent="0.2">
      <c r="A755" s="28">
        <v>4</v>
      </c>
      <c r="B755" s="28">
        <v>3</v>
      </c>
      <c r="C755" s="11">
        <v>24</v>
      </c>
      <c r="D755" s="13" t="s">
        <v>359</v>
      </c>
      <c r="E755" s="10" t="s">
        <v>248</v>
      </c>
      <c r="F755" s="10" t="s">
        <v>208</v>
      </c>
      <c r="G755" s="10"/>
      <c r="H755" s="10"/>
      <c r="I755" s="10"/>
      <c r="J755" s="10"/>
      <c r="K755" s="575"/>
      <c r="L755" s="152"/>
      <c r="M755" s="164"/>
      <c r="N755" s="62"/>
      <c r="O755" s="62"/>
      <c r="P755" s="177"/>
      <c r="Q755" s="171"/>
      <c r="R755" s="62"/>
      <c r="S755" s="62"/>
      <c r="T755" s="62"/>
      <c r="U755" s="64"/>
      <c r="V755" s="164"/>
      <c r="W755" s="62"/>
      <c r="X755" s="62"/>
      <c r="Y755" s="62"/>
      <c r="Z755" s="64"/>
      <c r="AA755" s="164"/>
      <c r="AB755" s="62"/>
      <c r="AC755" s="62"/>
      <c r="AD755" s="64"/>
      <c r="AE755" s="164"/>
      <c r="AF755" s="62"/>
      <c r="AG755" s="62"/>
      <c r="AH755" s="337"/>
      <c r="AI755" s="337"/>
      <c r="AJ755" s="337"/>
      <c r="AK755" s="337"/>
      <c r="AL755" s="412"/>
      <c r="AM755" s="414"/>
      <c r="AN755" s="45"/>
      <c r="AO755" s="45"/>
      <c r="AP755" s="45"/>
      <c r="AQ755" s="485"/>
      <c r="AR755" s="485"/>
      <c r="AS755" s="485"/>
      <c r="AT755" s="24"/>
      <c r="AU755" s="24"/>
      <c r="AV755" s="24"/>
      <c r="AW755" s="18">
        <v>24</v>
      </c>
      <c r="AX755" s="69" t="s">
        <v>359</v>
      </c>
      <c r="AY755" s="195" t="s">
        <v>248</v>
      </c>
      <c r="AZ755" s="243" t="str">
        <f t="shared" si="301"/>
        <v>Pink</v>
      </c>
      <c r="BA755" s="243" t="s">
        <v>419</v>
      </c>
      <c r="BB755" s="246"/>
      <c r="BC755" s="43" t="str">
        <f t="shared" si="302"/>
        <v>-</v>
      </c>
      <c r="BD755" s="43">
        <f t="shared" si="320"/>
        <v>0</v>
      </c>
      <c r="BE755" s="193">
        <f t="shared" si="318"/>
        <v>0</v>
      </c>
      <c r="BF755" s="193">
        <f t="shared" si="303"/>
        <v>0</v>
      </c>
      <c r="BG755" s="193">
        <f t="shared" si="304"/>
        <v>0</v>
      </c>
      <c r="BH755" s="307" t="str">
        <f t="shared" si="319"/>
        <v>-</v>
      </c>
      <c r="BI755" s="266"/>
      <c r="BJ755" s="26" t="str">
        <f t="shared" si="305"/>
        <v>HESQUIAT HARBOUR #3 CREEKS (Ya-ksis)Pink</v>
      </c>
      <c r="BK755" s="26">
        <f t="shared" si="306"/>
        <v>0</v>
      </c>
      <c r="BL755" s="33">
        <f t="shared" si="321"/>
        <v>0</v>
      </c>
      <c r="BQ755" s="47" t="str">
        <f t="shared" si="307"/>
        <v>HESQUIAT HARBOUR #3 CREEKS (Ya-ksis)Pink</v>
      </c>
      <c r="BR755" s="49">
        <f t="shared" si="308"/>
        <v>0</v>
      </c>
      <c r="BS755" s="49">
        <f t="shared" si="317"/>
        <v>0</v>
      </c>
      <c r="BT755" s="31">
        <v>0</v>
      </c>
      <c r="BU755" s="188">
        <f t="shared" si="309"/>
        <v>0</v>
      </c>
      <c r="BV755" s="188" t="str">
        <f t="shared" si="310"/>
        <v xml:space="preserve"> </v>
      </c>
      <c r="BW755" s="188" t="str">
        <f t="shared" si="311"/>
        <v xml:space="preserve"> </v>
      </c>
      <c r="BX755" s="188" t="str">
        <f t="shared" si="312"/>
        <v xml:space="preserve"> </v>
      </c>
      <c r="BY755" s="50" t="str">
        <f t="shared" si="300"/>
        <v>HESQUIAT HARBOUR #3 CREEKS (Ya-ksis)_Pink</v>
      </c>
      <c r="BZ755" s="50" t="str">
        <f>IFERROR(VLOOKUP(BY755,'[1]WCVI Esc'!$C$5:$W$555,18,FALSE),"-")</f>
        <v>-</v>
      </c>
      <c r="CA755" s="50" t="str">
        <f t="shared" si="313"/>
        <v>-</v>
      </c>
      <c r="CB755" s="50" t="str">
        <f>IFERROR(VLOOKUP(BY755,'[1]WCVI Esc'!$C$5:$W$555,19,FALSE),"-")</f>
        <v>-</v>
      </c>
      <c r="CC755" s="50" t="str">
        <f t="shared" si="314"/>
        <v>-</v>
      </c>
      <c r="CE755" s="342" t="str">
        <f t="shared" si="299"/>
        <v>HESQUIAT HARBOUR #3 CREEKS (Ya-ksis)_Pink</v>
      </c>
      <c r="CF755" s="341" t="str">
        <f>IFERROR(VLOOKUP(BY755,'RawPL+D'!$O$8:$AB$503,12,FALSE),"-")</f>
        <v>-</v>
      </c>
      <c r="CG755" s="338" t="str">
        <f t="shared" si="315"/>
        <v>-</v>
      </c>
      <c r="CH755" s="341" t="str">
        <f>IFERROR(VLOOKUP(BY755,'RawPL+D'!$O$8:$AB$503,13,FALSE),"-")</f>
        <v>-</v>
      </c>
      <c r="CI755" s="338" t="str">
        <f t="shared" si="316"/>
        <v>-</v>
      </c>
    </row>
    <row r="756" spans="1:87" ht="25.5" hidden="1" customHeight="1" x14ac:dyDescent="0.2">
      <c r="A756" s="28">
        <v>4</v>
      </c>
      <c r="B756" s="28">
        <v>4</v>
      </c>
      <c r="C756" s="11">
        <v>24</v>
      </c>
      <c r="D756" s="13" t="s">
        <v>359</v>
      </c>
      <c r="E756" s="10" t="s">
        <v>248</v>
      </c>
      <c r="F756" s="10" t="s">
        <v>209</v>
      </c>
      <c r="G756" s="10"/>
      <c r="H756" s="10"/>
      <c r="I756" s="10"/>
      <c r="J756" s="10"/>
      <c r="K756" s="575"/>
      <c r="L756" s="152"/>
      <c r="M756" s="164"/>
      <c r="N756" s="62"/>
      <c r="O756" s="62"/>
      <c r="P756" s="177"/>
      <c r="Q756" s="171"/>
      <c r="R756" s="62"/>
      <c r="S756" s="62"/>
      <c r="T756" s="62"/>
      <c r="U756" s="64"/>
      <c r="V756" s="164"/>
      <c r="W756" s="62"/>
      <c r="X756" s="62"/>
      <c r="Y756" s="62"/>
      <c r="Z756" s="64"/>
      <c r="AA756" s="164"/>
      <c r="AB756" s="62"/>
      <c r="AC756" s="62"/>
      <c r="AD756" s="64"/>
      <c r="AE756" s="164"/>
      <c r="AF756" s="62"/>
      <c r="AG756" s="62"/>
      <c r="AH756" s="337"/>
      <c r="AI756" s="337"/>
      <c r="AJ756" s="337"/>
      <c r="AK756" s="337"/>
      <c r="AL756" s="412"/>
      <c r="AM756" s="414"/>
      <c r="AN756" s="45"/>
      <c r="AO756" s="45"/>
      <c r="AP756" s="45"/>
      <c r="AQ756" s="485"/>
      <c r="AR756" s="485"/>
      <c r="AS756" s="485"/>
      <c r="AT756" s="24"/>
      <c r="AU756" s="24"/>
      <c r="AV756" s="24"/>
      <c r="AW756" s="18">
        <v>24</v>
      </c>
      <c r="AX756" s="69" t="s">
        <v>359</v>
      </c>
      <c r="AY756" s="195" t="s">
        <v>248</v>
      </c>
      <c r="AZ756" s="243" t="str">
        <f t="shared" si="301"/>
        <v>Chum</v>
      </c>
      <c r="BA756" s="243" t="s">
        <v>419</v>
      </c>
      <c r="BB756" s="246"/>
      <c r="BC756" s="43" t="str">
        <f t="shared" si="302"/>
        <v>-</v>
      </c>
      <c r="BD756" s="43">
        <f t="shared" si="320"/>
        <v>0</v>
      </c>
      <c r="BE756" s="193">
        <f t="shared" si="318"/>
        <v>0</v>
      </c>
      <c r="BF756" s="193">
        <f t="shared" si="303"/>
        <v>0</v>
      </c>
      <c r="BG756" s="193">
        <f t="shared" si="304"/>
        <v>0</v>
      </c>
      <c r="BH756" s="307" t="str">
        <f t="shared" si="319"/>
        <v>-</v>
      </c>
      <c r="BI756" s="266"/>
      <c r="BJ756" s="26" t="str">
        <f t="shared" si="305"/>
        <v>HESQUIAT HARBOUR #3 CREEKS (Ya-ksis)Chum</v>
      </c>
      <c r="BK756" s="26">
        <f t="shared" si="306"/>
        <v>0</v>
      </c>
      <c r="BL756" s="33">
        <f t="shared" si="321"/>
        <v>0</v>
      </c>
      <c r="BQ756" s="47" t="str">
        <f t="shared" si="307"/>
        <v>HESQUIAT HARBOUR #3 CREEKS (Ya-ksis)Chum</v>
      </c>
      <c r="BR756" s="49">
        <f t="shared" si="308"/>
        <v>0</v>
      </c>
      <c r="BS756" s="49">
        <f t="shared" si="317"/>
        <v>0</v>
      </c>
      <c r="BT756" s="31">
        <v>2011</v>
      </c>
      <c r="BU756" s="188">
        <f t="shared" si="309"/>
        <v>0</v>
      </c>
      <c r="BV756" s="188" t="str">
        <f t="shared" si="310"/>
        <v xml:space="preserve"> </v>
      </c>
      <c r="BW756" s="188" t="str">
        <f t="shared" si="311"/>
        <v xml:space="preserve"> </v>
      </c>
      <c r="BX756" s="188" t="str">
        <f t="shared" si="312"/>
        <v xml:space="preserve"> </v>
      </c>
      <c r="BY756" s="50" t="str">
        <f t="shared" si="300"/>
        <v>HESQUIAT HARBOUR #3 CREEKS (Ya-ksis)_Chum</v>
      </c>
      <c r="BZ756" s="50" t="str">
        <f>IFERROR(VLOOKUP(BY756,'[1]WCVI Esc'!$C$5:$W$555,18,FALSE),"-")</f>
        <v>-</v>
      </c>
      <c r="CA756" s="50" t="str">
        <f t="shared" si="313"/>
        <v>-</v>
      </c>
      <c r="CB756" s="50" t="str">
        <f>IFERROR(VLOOKUP(BY756,'[1]WCVI Esc'!$C$5:$W$555,19,FALSE),"-")</f>
        <v>-</v>
      </c>
      <c r="CC756" s="50" t="str">
        <f t="shared" si="314"/>
        <v>-</v>
      </c>
      <c r="CE756" s="342" t="str">
        <f t="shared" si="299"/>
        <v>HESQUIAT HARBOUR #3 CREEKS (Ya-ksis)_Chum</v>
      </c>
      <c r="CF756" s="341" t="str">
        <f>IFERROR(VLOOKUP(BY756,'RawPL+D'!$O$8:$AB$503,12,FALSE),"-")</f>
        <v>-</v>
      </c>
      <c r="CG756" s="338" t="str">
        <f t="shared" si="315"/>
        <v>-</v>
      </c>
      <c r="CH756" s="341" t="str">
        <f>IFERROR(VLOOKUP(BY756,'RawPL+D'!$O$8:$AB$503,13,FALSE),"-")</f>
        <v>-</v>
      </c>
      <c r="CI756" s="338" t="str">
        <f t="shared" si="316"/>
        <v>-</v>
      </c>
    </row>
    <row r="757" spans="1:87" ht="25.5" hidden="1" customHeight="1" x14ac:dyDescent="0.2">
      <c r="A757" s="28">
        <v>4</v>
      </c>
      <c r="B757" s="28">
        <v>5</v>
      </c>
      <c r="C757" s="11">
        <v>24</v>
      </c>
      <c r="D757" s="13" t="s">
        <v>359</v>
      </c>
      <c r="E757" s="10" t="s">
        <v>248</v>
      </c>
      <c r="F757" s="10" t="s">
        <v>210</v>
      </c>
      <c r="G757" s="10"/>
      <c r="H757" s="10"/>
      <c r="I757" s="10"/>
      <c r="J757" s="10"/>
      <c r="K757" s="575"/>
      <c r="L757" s="152"/>
      <c r="M757" s="164"/>
      <c r="N757" s="62"/>
      <c r="O757" s="62"/>
      <c r="P757" s="177"/>
      <c r="Q757" s="171"/>
      <c r="R757" s="62"/>
      <c r="S757" s="62"/>
      <c r="T757" s="62"/>
      <c r="U757" s="64"/>
      <c r="V757" s="164"/>
      <c r="W757" s="62"/>
      <c r="X757" s="62"/>
      <c r="Y757" s="62"/>
      <c r="Z757" s="64"/>
      <c r="AA757" s="164"/>
      <c r="AB757" s="62"/>
      <c r="AC757" s="62"/>
      <c r="AD757" s="64"/>
      <c r="AE757" s="164"/>
      <c r="AF757" s="62"/>
      <c r="AG757" s="62"/>
      <c r="AH757" s="337"/>
      <c r="AI757" s="337"/>
      <c r="AJ757" s="337"/>
      <c r="AK757" s="337"/>
      <c r="AL757" s="412"/>
      <c r="AM757" s="414"/>
      <c r="AN757" s="45"/>
      <c r="AO757" s="45"/>
      <c r="AP757" s="45"/>
      <c r="AQ757" s="485"/>
      <c r="AR757" s="485"/>
      <c r="AS757" s="485"/>
      <c r="AT757" s="24"/>
      <c r="AU757" s="24"/>
      <c r="AV757" s="24"/>
      <c r="AW757" s="18">
        <v>24</v>
      </c>
      <c r="AX757" s="69" t="s">
        <v>359</v>
      </c>
      <c r="AY757" s="195" t="s">
        <v>248</v>
      </c>
      <c r="AZ757" s="243" t="str">
        <f t="shared" si="301"/>
        <v>Chinook</v>
      </c>
      <c r="BA757" s="243" t="s">
        <v>419</v>
      </c>
      <c r="BB757" s="246"/>
      <c r="BC757" s="43" t="str">
        <f t="shared" si="302"/>
        <v>-</v>
      </c>
      <c r="BD757" s="43">
        <f t="shared" si="320"/>
        <v>0</v>
      </c>
      <c r="BE757" s="193">
        <f t="shared" si="318"/>
        <v>0</v>
      </c>
      <c r="BF757" s="193">
        <f t="shared" si="303"/>
        <v>0</v>
      </c>
      <c r="BG757" s="193">
        <f t="shared" si="304"/>
        <v>0</v>
      </c>
      <c r="BH757" s="307" t="str">
        <f t="shared" si="319"/>
        <v>-</v>
      </c>
      <c r="BI757" s="266"/>
      <c r="BJ757" s="26" t="str">
        <f t="shared" si="305"/>
        <v>HESQUIAT HARBOUR #3 CREEKS (Ya-ksis)Chinook</v>
      </c>
      <c r="BK757" s="26">
        <f t="shared" si="306"/>
        <v>0</v>
      </c>
      <c r="BL757" s="33">
        <f t="shared" si="321"/>
        <v>0</v>
      </c>
      <c r="BQ757" s="47" t="str">
        <f t="shared" si="307"/>
        <v>HESQUIAT HARBOUR #3 CREEKS (Ya-ksis)Chinook</v>
      </c>
      <c r="BR757" s="49">
        <f t="shared" si="308"/>
        <v>0</v>
      </c>
      <c r="BS757" s="49">
        <f t="shared" si="317"/>
        <v>0</v>
      </c>
      <c r="BT757" s="31">
        <v>0</v>
      </c>
      <c r="BU757" s="188">
        <f t="shared" si="309"/>
        <v>0</v>
      </c>
      <c r="BV757" s="188" t="str">
        <f t="shared" si="310"/>
        <v xml:space="preserve"> </v>
      </c>
      <c r="BW757" s="188" t="str">
        <f t="shared" si="311"/>
        <v xml:space="preserve"> </v>
      </c>
      <c r="BX757" s="188" t="str">
        <f t="shared" si="312"/>
        <v xml:space="preserve"> </v>
      </c>
      <c r="BY757" s="50" t="str">
        <f t="shared" si="300"/>
        <v>HESQUIAT HARBOUR #3 CREEKS (Ya-ksis)_Chinook</v>
      </c>
      <c r="BZ757" s="50" t="str">
        <f>IFERROR(VLOOKUP(BY757,'[1]WCVI Esc'!$C$5:$W$555,18,FALSE),"-")</f>
        <v>-</v>
      </c>
      <c r="CA757" s="50" t="str">
        <f t="shared" si="313"/>
        <v>-</v>
      </c>
      <c r="CB757" s="50" t="str">
        <f>IFERROR(VLOOKUP(BY757,'[1]WCVI Esc'!$C$5:$W$555,19,FALSE),"-")</f>
        <v>-</v>
      </c>
      <c r="CC757" s="50" t="str">
        <f t="shared" si="314"/>
        <v>-</v>
      </c>
      <c r="CE757" s="342" t="str">
        <f t="shared" si="299"/>
        <v>HESQUIAT HARBOUR #3 CREEKS (Ya-ksis)_Chinook</v>
      </c>
      <c r="CF757" s="341" t="str">
        <f>IFERROR(VLOOKUP(BY757,'RawPL+D'!$O$8:$AB$503,12,FALSE),"-")</f>
        <v>-</v>
      </c>
      <c r="CG757" s="338" t="str">
        <f t="shared" si="315"/>
        <v>-</v>
      </c>
      <c r="CH757" s="341" t="str">
        <f>IFERROR(VLOOKUP(BY757,'RawPL+D'!$O$8:$AB$503,13,FALSE),"-")</f>
        <v>-</v>
      </c>
      <c r="CI757" s="338" t="str">
        <f t="shared" si="316"/>
        <v>-</v>
      </c>
    </row>
    <row r="758" spans="1:87" ht="25.5" hidden="1" customHeight="1" x14ac:dyDescent="0.2">
      <c r="A758" s="28">
        <v>4</v>
      </c>
      <c r="B758" s="28">
        <v>6</v>
      </c>
      <c r="C758" s="11">
        <v>24</v>
      </c>
      <c r="D758" s="13" t="s">
        <v>359</v>
      </c>
      <c r="E758" s="10" t="s">
        <v>248</v>
      </c>
      <c r="F758" s="10" t="s">
        <v>211</v>
      </c>
      <c r="G758" s="10"/>
      <c r="H758" s="10"/>
      <c r="I758" s="10"/>
      <c r="J758" s="10"/>
      <c r="K758" s="575"/>
      <c r="L758" s="152"/>
      <c r="M758" s="164"/>
      <c r="N758" s="62"/>
      <c r="O758" s="62"/>
      <c r="P758" s="177"/>
      <c r="Q758" s="171"/>
      <c r="R758" s="62"/>
      <c r="S758" s="62"/>
      <c r="T758" s="62"/>
      <c r="U758" s="64"/>
      <c r="V758" s="164"/>
      <c r="W758" s="62"/>
      <c r="X758" s="62"/>
      <c r="Y758" s="62"/>
      <c r="Z758" s="64"/>
      <c r="AA758" s="164"/>
      <c r="AB758" s="62"/>
      <c r="AC758" s="62"/>
      <c r="AD758" s="64"/>
      <c r="AE758" s="164"/>
      <c r="AF758" s="62"/>
      <c r="AG758" s="62"/>
      <c r="AH758" s="337"/>
      <c r="AI758" s="337"/>
      <c r="AJ758" s="337"/>
      <c r="AK758" s="337"/>
      <c r="AL758" s="412"/>
      <c r="AM758" s="414"/>
      <c r="AN758" s="45"/>
      <c r="AO758" s="45"/>
      <c r="AP758" s="45"/>
      <c r="AQ758" s="485"/>
      <c r="AR758" s="485"/>
      <c r="AS758" s="485"/>
      <c r="AT758" s="24"/>
      <c r="AU758" s="24"/>
      <c r="AV758" s="24"/>
      <c r="AW758" s="18">
        <v>24</v>
      </c>
      <c r="AX758" s="69" t="s">
        <v>359</v>
      </c>
      <c r="AY758" s="195" t="s">
        <v>248</v>
      </c>
      <c r="AZ758" s="243" t="str">
        <f t="shared" si="301"/>
        <v>Steelhead</v>
      </c>
      <c r="BA758" s="243" t="s">
        <v>419</v>
      </c>
      <c r="BB758" s="246"/>
      <c r="BC758" s="43" t="str">
        <f t="shared" si="302"/>
        <v>-</v>
      </c>
      <c r="BD758" s="43">
        <f t="shared" si="320"/>
        <v>0</v>
      </c>
      <c r="BE758" s="193">
        <f t="shared" si="318"/>
        <v>0</v>
      </c>
      <c r="BF758" s="193">
        <f t="shared" si="303"/>
        <v>0</v>
      </c>
      <c r="BG758" s="193">
        <f t="shared" si="304"/>
        <v>0</v>
      </c>
      <c r="BH758" s="307" t="str">
        <f t="shared" si="319"/>
        <v>-</v>
      </c>
      <c r="BI758" s="266"/>
      <c r="BJ758" s="26" t="str">
        <f t="shared" si="305"/>
        <v>HESQUIAT HARBOUR #3 CREEKS (Ya-ksis)Steelhead</v>
      </c>
      <c r="BK758" s="26">
        <f t="shared" si="306"/>
        <v>0</v>
      </c>
      <c r="BL758" s="33">
        <f t="shared" si="321"/>
        <v>0</v>
      </c>
      <c r="BQ758" s="47" t="str">
        <f t="shared" si="307"/>
        <v>HESQUIAT HARBOUR #3 CREEKS (Ya-ksis)Steelhead</v>
      </c>
      <c r="BR758" s="49">
        <f t="shared" si="308"/>
        <v>0</v>
      </c>
      <c r="BS758" s="49">
        <f t="shared" si="317"/>
        <v>0</v>
      </c>
      <c r="BT758" s="31">
        <v>0</v>
      </c>
      <c r="BU758" s="188">
        <f t="shared" si="309"/>
        <v>0</v>
      </c>
      <c r="BV758" s="188" t="str">
        <f t="shared" si="310"/>
        <v xml:space="preserve"> </v>
      </c>
      <c r="BW758" s="188" t="str">
        <f t="shared" si="311"/>
        <v xml:space="preserve"> </v>
      </c>
      <c r="BX758" s="188" t="str">
        <f t="shared" si="312"/>
        <v xml:space="preserve"> </v>
      </c>
      <c r="BY758" s="50" t="str">
        <f t="shared" si="300"/>
        <v>HESQUIAT HARBOUR #3 CREEKS (Ya-ksis)_Steelhead</v>
      </c>
      <c r="BZ758" s="50" t="str">
        <f>IFERROR(VLOOKUP(BY758,'[1]WCVI Esc'!$C$5:$W$555,18,FALSE),"-")</f>
        <v>-</v>
      </c>
      <c r="CA758" s="50" t="str">
        <f t="shared" si="313"/>
        <v>-</v>
      </c>
      <c r="CB758" s="50" t="str">
        <f>IFERROR(VLOOKUP(BY758,'[1]WCVI Esc'!$C$5:$W$555,19,FALSE),"-")</f>
        <v>-</v>
      </c>
      <c r="CC758" s="50" t="str">
        <f t="shared" si="314"/>
        <v>-</v>
      </c>
      <c r="CE758" s="342" t="str">
        <f t="shared" si="299"/>
        <v>HESQUIAT HARBOUR #3 CREEKS (Ya-ksis)_Steelhead</v>
      </c>
      <c r="CF758" s="341" t="str">
        <f>IFERROR(VLOOKUP(BY758,'RawPL+D'!$O$8:$AB$503,12,FALSE),"-")</f>
        <v>-</v>
      </c>
      <c r="CG758" s="338" t="str">
        <f t="shared" si="315"/>
        <v>-</v>
      </c>
      <c r="CH758" s="341" t="str">
        <f>IFERROR(VLOOKUP(BY758,'RawPL+D'!$O$8:$AB$503,13,FALSE),"-")</f>
        <v>-</v>
      </c>
      <c r="CI758" s="338" t="str">
        <f t="shared" si="316"/>
        <v>-</v>
      </c>
    </row>
    <row r="759" spans="1:87" ht="25.5" hidden="1" customHeight="1" x14ac:dyDescent="0.2">
      <c r="A759" s="28">
        <v>4</v>
      </c>
      <c r="B759" s="28">
        <v>1</v>
      </c>
      <c r="C759" s="11">
        <v>24</v>
      </c>
      <c r="D759" s="13" t="s">
        <v>359</v>
      </c>
      <c r="E759" s="10" t="s">
        <v>250</v>
      </c>
      <c r="F759" s="10" t="s">
        <v>207</v>
      </c>
      <c r="G759" s="10"/>
      <c r="H759" s="10"/>
      <c r="I759" s="10"/>
      <c r="J759" s="10"/>
      <c r="K759" s="575"/>
      <c r="L759" s="152"/>
      <c r="M759" s="164"/>
      <c r="N759" s="62"/>
      <c r="O759" s="62"/>
      <c r="P759" s="177"/>
      <c r="Q759" s="62"/>
      <c r="R759" s="62"/>
      <c r="S759" s="62"/>
      <c r="T759" s="62"/>
      <c r="U759" s="62"/>
      <c r="V759" s="164"/>
      <c r="W759" s="62"/>
      <c r="X759" s="62"/>
      <c r="Y759" s="62"/>
      <c r="Z759" s="64"/>
      <c r="AA759" s="164"/>
      <c r="AB759" s="62"/>
      <c r="AC759" s="62"/>
      <c r="AD759" s="64"/>
      <c r="AE759" s="164"/>
      <c r="AF759" s="62"/>
      <c r="AG759" s="62"/>
      <c r="AH759" s="337"/>
      <c r="AI759" s="337"/>
      <c r="AJ759" s="337"/>
      <c r="AK759" s="337"/>
      <c r="AL759" s="412"/>
      <c r="AM759" s="414"/>
      <c r="AN759" s="45"/>
      <c r="AO759" s="45"/>
      <c r="AP759" s="45"/>
      <c r="AQ759" s="485"/>
      <c r="AR759" s="485"/>
      <c r="AS759" s="485"/>
      <c r="AT759" s="24"/>
      <c r="AU759" s="24"/>
      <c r="AV759" s="24"/>
      <c r="AW759" s="18">
        <v>24</v>
      </c>
      <c r="AX759" s="69" t="s">
        <v>359</v>
      </c>
      <c r="AY759" s="195" t="s">
        <v>250</v>
      </c>
      <c r="AZ759" s="243" t="str">
        <f t="shared" si="301"/>
        <v>Sockeye</v>
      </c>
      <c r="BA759" s="243" t="s">
        <v>419</v>
      </c>
      <c r="BB759" s="246"/>
      <c r="BC759" s="43" t="str">
        <f t="shared" si="302"/>
        <v>-</v>
      </c>
      <c r="BD759" s="43">
        <f t="shared" si="320"/>
        <v>0</v>
      </c>
      <c r="BE759" s="193">
        <f t="shared" si="318"/>
        <v>0</v>
      </c>
      <c r="BF759" s="193">
        <f t="shared" si="303"/>
        <v>0</v>
      </c>
      <c r="BG759" s="193">
        <f t="shared" si="304"/>
        <v>0</v>
      </c>
      <c r="BH759" s="307" t="str">
        <f t="shared" si="319"/>
        <v>-</v>
      </c>
      <c r="BI759" s="266"/>
      <c r="BJ759" s="26" t="str">
        <f t="shared" si="305"/>
        <v>HESQUIAT HARBOUR #4 CREEKS (Ma-api)Sockeye</v>
      </c>
      <c r="BK759" s="26">
        <f t="shared" si="306"/>
        <v>0</v>
      </c>
      <c r="BL759" s="33">
        <f t="shared" si="321"/>
        <v>0</v>
      </c>
      <c r="BQ759" s="47" t="str">
        <f t="shared" si="307"/>
        <v>HESQUIAT HARBOUR #4 CREEKS (Ma-api)Sockeye</v>
      </c>
      <c r="BR759" s="49">
        <f t="shared" si="308"/>
        <v>0</v>
      </c>
      <c r="BS759" s="49">
        <f t="shared" si="317"/>
        <v>0</v>
      </c>
      <c r="BT759" s="31">
        <v>0</v>
      </c>
      <c r="BU759" s="188">
        <f t="shared" si="309"/>
        <v>0</v>
      </c>
      <c r="BV759" s="188" t="str">
        <f t="shared" si="310"/>
        <v xml:space="preserve"> </v>
      </c>
      <c r="BW759" s="188" t="str">
        <f t="shared" si="311"/>
        <v xml:space="preserve"> </v>
      </c>
      <c r="BX759" s="188" t="str">
        <f t="shared" si="312"/>
        <v xml:space="preserve"> </v>
      </c>
      <c r="BY759" s="50" t="str">
        <f t="shared" si="300"/>
        <v>HESQUIAT HARBOUR #4 CREEKS (Ma-api)_Sockeye</v>
      </c>
      <c r="BZ759" s="50" t="str">
        <f>IFERROR(VLOOKUP(BY759,'[1]WCVI Esc'!$C$5:$W$555,18,FALSE),"-")</f>
        <v>-</v>
      </c>
      <c r="CA759" s="50" t="str">
        <f t="shared" si="313"/>
        <v>-</v>
      </c>
      <c r="CB759" s="50" t="str">
        <f>IFERROR(VLOOKUP(BY759,'[1]WCVI Esc'!$C$5:$W$555,19,FALSE),"-")</f>
        <v>-</v>
      </c>
      <c r="CC759" s="50" t="str">
        <f t="shared" si="314"/>
        <v>-</v>
      </c>
      <c r="CE759" s="342" t="str">
        <f t="shared" si="299"/>
        <v>HESQUIAT HARBOUR #4 CREEKS (Ma-api)_Sockeye</v>
      </c>
      <c r="CF759" s="341" t="str">
        <f>IFERROR(VLOOKUP(BY759,'RawPL+D'!$O$8:$AB$503,12,FALSE),"-")</f>
        <v>-</v>
      </c>
      <c r="CG759" s="338" t="str">
        <f t="shared" si="315"/>
        <v>-</v>
      </c>
      <c r="CH759" s="341" t="str">
        <f>IFERROR(VLOOKUP(BY759,'RawPL+D'!$O$8:$AB$503,13,FALSE),"-")</f>
        <v>-</v>
      </c>
      <c r="CI759" s="338" t="str">
        <f t="shared" si="316"/>
        <v>-</v>
      </c>
    </row>
    <row r="760" spans="1:87" ht="25.5" hidden="1" customHeight="1" x14ac:dyDescent="0.2">
      <c r="A760" s="28">
        <v>4</v>
      </c>
      <c r="B760" s="28">
        <v>2</v>
      </c>
      <c r="C760" s="11">
        <v>24</v>
      </c>
      <c r="D760" s="13" t="s">
        <v>359</v>
      </c>
      <c r="E760" s="549" t="s">
        <v>250</v>
      </c>
      <c r="F760" s="10" t="s">
        <v>219</v>
      </c>
      <c r="G760" s="10"/>
      <c r="H760" s="10"/>
      <c r="I760" s="10"/>
      <c r="J760" s="10"/>
      <c r="K760" s="575"/>
      <c r="L760" s="152"/>
      <c r="M760" s="164"/>
      <c r="N760" s="62"/>
      <c r="O760" s="62"/>
      <c r="P760" s="177"/>
      <c r="Q760" s="62"/>
      <c r="R760" s="62"/>
      <c r="S760" s="62"/>
      <c r="T760" s="62"/>
      <c r="U760" s="62"/>
      <c r="V760" s="164"/>
      <c r="W760" s="62"/>
      <c r="X760" s="62"/>
      <c r="Y760" s="62"/>
      <c r="Z760" s="64"/>
      <c r="AA760" s="164"/>
      <c r="AB760" s="62"/>
      <c r="AC760" s="62"/>
      <c r="AD760" s="64"/>
      <c r="AE760" s="164"/>
      <c r="AF760" s="62"/>
      <c r="AG760" s="62"/>
      <c r="AH760" s="337"/>
      <c r="AI760" s="337"/>
      <c r="AJ760" s="337"/>
      <c r="AK760" s="337"/>
      <c r="AL760" s="412"/>
      <c r="AM760" s="414"/>
      <c r="AN760" s="45"/>
      <c r="AO760" s="45"/>
      <c r="AP760" s="45"/>
      <c r="AQ760" s="485"/>
      <c r="AR760" s="485"/>
      <c r="AS760" s="485"/>
      <c r="AT760" s="24"/>
      <c r="AU760" s="24"/>
      <c r="AV760" s="24"/>
      <c r="AW760" s="18">
        <v>24</v>
      </c>
      <c r="AX760" s="69" t="s">
        <v>359</v>
      </c>
      <c r="AY760" s="195" t="s">
        <v>250</v>
      </c>
      <c r="AZ760" s="243" t="str">
        <f t="shared" si="301"/>
        <v>Coho</v>
      </c>
      <c r="BA760" s="243" t="s">
        <v>419</v>
      </c>
      <c r="BB760" s="246"/>
      <c r="BC760" s="43" t="str">
        <f t="shared" si="302"/>
        <v>-</v>
      </c>
      <c r="BD760" s="43">
        <f t="shared" si="320"/>
        <v>0</v>
      </c>
      <c r="BE760" s="193">
        <f t="shared" si="318"/>
        <v>0</v>
      </c>
      <c r="BF760" s="193">
        <f t="shared" si="303"/>
        <v>0</v>
      </c>
      <c r="BG760" s="193">
        <f t="shared" si="304"/>
        <v>0</v>
      </c>
      <c r="BH760" s="307" t="str">
        <f t="shared" si="319"/>
        <v>-</v>
      </c>
      <c r="BI760" s="266"/>
      <c r="BJ760" s="26" t="str">
        <f t="shared" si="305"/>
        <v>HESQUIAT HARBOUR #4 CREEKS (Ma-api)Coho</v>
      </c>
      <c r="BK760" s="26">
        <f t="shared" si="306"/>
        <v>0</v>
      </c>
      <c r="BL760" s="33">
        <f t="shared" si="321"/>
        <v>0</v>
      </c>
      <c r="BQ760" s="47" t="str">
        <f t="shared" si="307"/>
        <v>HESQUIAT HARBOUR #4 CREEKS (Ma-api)Coho</v>
      </c>
      <c r="BR760" s="49">
        <f t="shared" si="308"/>
        <v>0</v>
      </c>
      <c r="BS760" s="49">
        <f t="shared" si="317"/>
        <v>0</v>
      </c>
      <c r="BT760" s="31">
        <v>2011</v>
      </c>
      <c r="BU760" s="188">
        <f t="shared" si="309"/>
        <v>0</v>
      </c>
      <c r="BV760" s="188" t="str">
        <f t="shared" si="310"/>
        <v xml:space="preserve"> </v>
      </c>
      <c r="BW760" s="188" t="str">
        <f t="shared" si="311"/>
        <v xml:space="preserve"> </v>
      </c>
      <c r="BX760" s="188" t="str">
        <f t="shared" si="312"/>
        <v xml:space="preserve"> </v>
      </c>
      <c r="BY760" s="50" t="str">
        <f t="shared" si="300"/>
        <v>HESQUIAT HARBOUR #4 CREEKS (Ma-api)_Coho</v>
      </c>
      <c r="BZ760" s="50" t="str">
        <f>IFERROR(VLOOKUP(BY760,'[1]WCVI Esc'!$C$5:$W$555,18,FALSE),"-")</f>
        <v>-</v>
      </c>
      <c r="CA760" s="50" t="str">
        <f t="shared" si="313"/>
        <v>-</v>
      </c>
      <c r="CB760" s="50" t="str">
        <f>IFERROR(VLOOKUP(BY760,'[1]WCVI Esc'!$C$5:$W$555,19,FALSE),"-")</f>
        <v>-</v>
      </c>
      <c r="CC760" s="50" t="str">
        <f t="shared" si="314"/>
        <v>-</v>
      </c>
      <c r="CE760" s="342" t="str">
        <f t="shared" ref="CE760:CE823" si="322">CONCATENATE(E760,"_",F760)</f>
        <v>HESQUIAT HARBOUR #4 CREEKS (Ma-api)_Coho</v>
      </c>
      <c r="CF760" s="341" t="str">
        <f>IFERROR(VLOOKUP(BY760,'RawPL+D'!$O$8:$AB$503,12,FALSE),"-")</f>
        <v>-</v>
      </c>
      <c r="CG760" s="338" t="str">
        <f t="shared" si="315"/>
        <v>-</v>
      </c>
      <c r="CH760" s="341" t="str">
        <f>IFERROR(VLOOKUP(BY760,'RawPL+D'!$O$8:$AB$503,13,FALSE),"-")</f>
        <v>-</v>
      </c>
      <c r="CI760" s="338" t="str">
        <f t="shared" si="316"/>
        <v>-</v>
      </c>
    </row>
    <row r="761" spans="1:87" ht="25.5" hidden="1" customHeight="1" x14ac:dyDescent="0.2">
      <c r="A761" s="28">
        <v>4</v>
      </c>
      <c r="B761" s="28">
        <v>3</v>
      </c>
      <c r="C761" s="11">
        <v>24</v>
      </c>
      <c r="D761" s="13" t="s">
        <v>359</v>
      </c>
      <c r="E761" s="10" t="s">
        <v>250</v>
      </c>
      <c r="F761" s="10" t="s">
        <v>208</v>
      </c>
      <c r="G761" s="10"/>
      <c r="H761" s="10"/>
      <c r="I761" s="10"/>
      <c r="J761" s="10"/>
      <c r="K761" s="575"/>
      <c r="L761" s="152"/>
      <c r="M761" s="164"/>
      <c r="N761" s="62"/>
      <c r="O761" s="62"/>
      <c r="P761" s="177"/>
      <c r="Q761" s="62"/>
      <c r="R761" s="62"/>
      <c r="S761" s="62"/>
      <c r="T761" s="62"/>
      <c r="U761" s="62"/>
      <c r="V761" s="164"/>
      <c r="W761" s="62"/>
      <c r="X761" s="62"/>
      <c r="Y761" s="62"/>
      <c r="Z761" s="64"/>
      <c r="AA761" s="164"/>
      <c r="AB761" s="62"/>
      <c r="AC761" s="62"/>
      <c r="AD761" s="64"/>
      <c r="AE761" s="164"/>
      <c r="AF761" s="62"/>
      <c r="AG761" s="62"/>
      <c r="AH761" s="337"/>
      <c r="AI761" s="337"/>
      <c r="AJ761" s="337"/>
      <c r="AK761" s="337"/>
      <c r="AL761" s="412"/>
      <c r="AM761" s="414"/>
      <c r="AN761" s="45"/>
      <c r="AO761" s="45"/>
      <c r="AP761" s="45"/>
      <c r="AQ761" s="485"/>
      <c r="AR761" s="485"/>
      <c r="AS761" s="485"/>
      <c r="AT761" s="24"/>
      <c r="AU761" s="24"/>
      <c r="AV761" s="24"/>
      <c r="AW761" s="18">
        <v>24</v>
      </c>
      <c r="AX761" s="69" t="s">
        <v>359</v>
      </c>
      <c r="AY761" s="195" t="s">
        <v>250</v>
      </c>
      <c r="AZ761" s="243" t="str">
        <f t="shared" si="301"/>
        <v>Pink</v>
      </c>
      <c r="BA761" s="243" t="s">
        <v>419</v>
      </c>
      <c r="BB761" s="246"/>
      <c r="BC761" s="43" t="str">
        <f t="shared" si="302"/>
        <v>-</v>
      </c>
      <c r="BD761" s="43">
        <f t="shared" si="320"/>
        <v>0</v>
      </c>
      <c r="BE761" s="193">
        <f t="shared" si="318"/>
        <v>0</v>
      </c>
      <c r="BF761" s="193">
        <f t="shared" si="303"/>
        <v>0</v>
      </c>
      <c r="BG761" s="193">
        <f t="shared" si="304"/>
        <v>0</v>
      </c>
      <c r="BH761" s="307" t="str">
        <f t="shared" si="319"/>
        <v>-</v>
      </c>
      <c r="BI761" s="266"/>
      <c r="BJ761" s="26" t="str">
        <f t="shared" si="305"/>
        <v>HESQUIAT HARBOUR #4 CREEKS (Ma-api)Pink</v>
      </c>
      <c r="BK761" s="26">
        <f t="shared" si="306"/>
        <v>0</v>
      </c>
      <c r="BL761" s="33">
        <f t="shared" si="321"/>
        <v>0</v>
      </c>
      <c r="BQ761" s="47" t="str">
        <f t="shared" si="307"/>
        <v>HESQUIAT HARBOUR #4 CREEKS (Ma-api)Pink</v>
      </c>
      <c r="BR761" s="49">
        <f t="shared" si="308"/>
        <v>0</v>
      </c>
      <c r="BS761" s="49">
        <f t="shared" si="317"/>
        <v>0</v>
      </c>
      <c r="BT761" s="31">
        <v>0</v>
      </c>
      <c r="BU761" s="188">
        <f t="shared" si="309"/>
        <v>0</v>
      </c>
      <c r="BV761" s="188" t="str">
        <f t="shared" si="310"/>
        <v xml:space="preserve"> </v>
      </c>
      <c r="BW761" s="188" t="str">
        <f t="shared" si="311"/>
        <v xml:space="preserve"> </v>
      </c>
      <c r="BX761" s="188" t="str">
        <f t="shared" si="312"/>
        <v xml:space="preserve"> </v>
      </c>
      <c r="BY761" s="50" t="str">
        <f t="shared" si="300"/>
        <v>HESQUIAT HARBOUR #4 CREEKS (Ma-api)_Pink</v>
      </c>
      <c r="BZ761" s="50" t="str">
        <f>IFERROR(VLOOKUP(BY761,'[1]WCVI Esc'!$C$5:$W$555,18,FALSE),"-")</f>
        <v>-</v>
      </c>
      <c r="CA761" s="50" t="str">
        <f t="shared" si="313"/>
        <v>-</v>
      </c>
      <c r="CB761" s="50" t="str">
        <f>IFERROR(VLOOKUP(BY761,'[1]WCVI Esc'!$C$5:$W$555,19,FALSE),"-")</f>
        <v>-</v>
      </c>
      <c r="CC761" s="50" t="str">
        <f t="shared" si="314"/>
        <v>-</v>
      </c>
      <c r="CE761" s="342" t="str">
        <f t="shared" si="322"/>
        <v>HESQUIAT HARBOUR #4 CREEKS (Ma-api)_Pink</v>
      </c>
      <c r="CF761" s="341" t="str">
        <f>IFERROR(VLOOKUP(BY761,'RawPL+D'!$O$8:$AB$503,12,FALSE),"-")</f>
        <v>-</v>
      </c>
      <c r="CG761" s="338" t="str">
        <f t="shared" si="315"/>
        <v>-</v>
      </c>
      <c r="CH761" s="341" t="str">
        <f>IFERROR(VLOOKUP(BY761,'RawPL+D'!$O$8:$AB$503,13,FALSE),"-")</f>
        <v>-</v>
      </c>
      <c r="CI761" s="338" t="str">
        <f t="shared" si="316"/>
        <v>-</v>
      </c>
    </row>
    <row r="762" spans="1:87" ht="25.5" hidden="1" customHeight="1" x14ac:dyDescent="0.2">
      <c r="A762" s="28">
        <v>4</v>
      </c>
      <c r="B762" s="28">
        <v>4</v>
      </c>
      <c r="C762" s="11">
        <v>24</v>
      </c>
      <c r="D762" s="13" t="s">
        <v>359</v>
      </c>
      <c r="E762" s="10" t="s">
        <v>250</v>
      </c>
      <c r="F762" s="10" t="s">
        <v>209</v>
      </c>
      <c r="G762" s="10"/>
      <c r="H762" s="10"/>
      <c r="I762" s="10"/>
      <c r="J762" s="10"/>
      <c r="K762" s="575"/>
      <c r="L762" s="152"/>
      <c r="M762" s="164"/>
      <c r="N762" s="62"/>
      <c r="O762" s="62"/>
      <c r="P762" s="177"/>
      <c r="Q762" s="62"/>
      <c r="R762" s="62"/>
      <c r="S762" s="62"/>
      <c r="T762" s="62"/>
      <c r="U762" s="62"/>
      <c r="V762" s="164"/>
      <c r="W762" s="62"/>
      <c r="X762" s="62"/>
      <c r="Y762" s="62"/>
      <c r="Z762" s="64"/>
      <c r="AA762" s="164"/>
      <c r="AB762" s="62"/>
      <c r="AC762" s="62"/>
      <c r="AD762" s="64"/>
      <c r="AE762" s="164"/>
      <c r="AF762" s="62"/>
      <c r="AG762" s="62"/>
      <c r="AH762" s="337"/>
      <c r="AI762" s="337"/>
      <c r="AJ762" s="337"/>
      <c r="AK762" s="337"/>
      <c r="AL762" s="412"/>
      <c r="AM762" s="414"/>
      <c r="AN762" s="45"/>
      <c r="AO762" s="45"/>
      <c r="AP762" s="45"/>
      <c r="AQ762" s="485"/>
      <c r="AR762" s="485"/>
      <c r="AS762" s="485"/>
      <c r="AT762" s="24"/>
      <c r="AU762" s="24"/>
      <c r="AV762" s="24"/>
      <c r="AW762" s="18">
        <v>24</v>
      </c>
      <c r="AX762" s="69" t="s">
        <v>359</v>
      </c>
      <c r="AY762" s="195" t="s">
        <v>250</v>
      </c>
      <c r="AZ762" s="243" t="str">
        <f t="shared" si="301"/>
        <v>Chum</v>
      </c>
      <c r="BA762" s="243" t="s">
        <v>419</v>
      </c>
      <c r="BB762" s="246"/>
      <c r="BC762" s="43" t="str">
        <f t="shared" si="302"/>
        <v>-</v>
      </c>
      <c r="BD762" s="43">
        <f t="shared" si="320"/>
        <v>0</v>
      </c>
      <c r="BE762" s="193">
        <f t="shared" si="318"/>
        <v>0</v>
      </c>
      <c r="BF762" s="193">
        <f t="shared" si="303"/>
        <v>0</v>
      </c>
      <c r="BG762" s="193">
        <f t="shared" si="304"/>
        <v>0</v>
      </c>
      <c r="BH762" s="307" t="str">
        <f t="shared" si="319"/>
        <v>-</v>
      </c>
      <c r="BI762" s="266"/>
      <c r="BJ762" s="26" t="str">
        <f t="shared" si="305"/>
        <v>HESQUIAT HARBOUR #4 CREEKS (Ma-api)Chum</v>
      </c>
      <c r="BK762" s="26">
        <f t="shared" si="306"/>
        <v>0</v>
      </c>
      <c r="BL762" s="33">
        <f t="shared" si="321"/>
        <v>0</v>
      </c>
      <c r="BQ762" s="47" t="str">
        <f t="shared" si="307"/>
        <v>HESQUIAT HARBOUR #4 CREEKS (Ma-api)Chum</v>
      </c>
      <c r="BR762" s="49">
        <f t="shared" si="308"/>
        <v>0</v>
      </c>
      <c r="BS762" s="49">
        <f t="shared" si="317"/>
        <v>0</v>
      </c>
      <c r="BT762" s="31">
        <v>2015</v>
      </c>
      <c r="BU762" s="188">
        <f t="shared" si="309"/>
        <v>0</v>
      </c>
      <c r="BV762" s="188" t="str">
        <f t="shared" si="310"/>
        <v xml:space="preserve"> </v>
      </c>
      <c r="BW762" s="188" t="str">
        <f t="shared" si="311"/>
        <v xml:space="preserve"> </v>
      </c>
      <c r="BX762" s="188" t="str">
        <f t="shared" si="312"/>
        <v xml:space="preserve"> </v>
      </c>
      <c r="BY762" s="50" t="str">
        <f t="shared" si="300"/>
        <v>HESQUIAT HARBOUR #4 CREEKS (Ma-api)_Chum</v>
      </c>
      <c r="BZ762" s="50" t="str">
        <f>IFERROR(VLOOKUP(BY762,'[1]WCVI Esc'!$C$5:$W$555,18,FALSE),"-")</f>
        <v>-</v>
      </c>
      <c r="CA762" s="50" t="str">
        <f t="shared" si="313"/>
        <v>-</v>
      </c>
      <c r="CB762" s="50" t="str">
        <f>IFERROR(VLOOKUP(BY762,'[1]WCVI Esc'!$C$5:$W$555,19,FALSE),"-")</f>
        <v>-</v>
      </c>
      <c r="CC762" s="50" t="str">
        <f t="shared" si="314"/>
        <v>-</v>
      </c>
      <c r="CE762" s="342" t="str">
        <f t="shared" si="322"/>
        <v>HESQUIAT HARBOUR #4 CREEKS (Ma-api)_Chum</v>
      </c>
      <c r="CF762" s="341" t="str">
        <f>IFERROR(VLOOKUP(BY762,'RawPL+D'!$O$8:$AB$503,12,FALSE),"-")</f>
        <v>-</v>
      </c>
      <c r="CG762" s="338" t="str">
        <f t="shared" si="315"/>
        <v>-</v>
      </c>
      <c r="CH762" s="341" t="str">
        <f>IFERROR(VLOOKUP(BY762,'RawPL+D'!$O$8:$AB$503,13,FALSE),"-")</f>
        <v>-</v>
      </c>
      <c r="CI762" s="338" t="str">
        <f t="shared" si="316"/>
        <v>-</v>
      </c>
    </row>
    <row r="763" spans="1:87" ht="25.5" hidden="1" customHeight="1" x14ac:dyDescent="0.2">
      <c r="A763" s="28">
        <v>4</v>
      </c>
      <c r="B763" s="28">
        <v>5</v>
      </c>
      <c r="C763" s="11">
        <v>24</v>
      </c>
      <c r="D763" s="13" t="s">
        <v>359</v>
      </c>
      <c r="E763" s="10" t="s">
        <v>250</v>
      </c>
      <c r="F763" s="10" t="s">
        <v>210</v>
      </c>
      <c r="G763" s="10"/>
      <c r="H763" s="10"/>
      <c r="I763" s="10"/>
      <c r="J763" s="10"/>
      <c r="K763" s="575"/>
      <c r="L763" s="152"/>
      <c r="M763" s="164"/>
      <c r="N763" s="62"/>
      <c r="O763" s="62"/>
      <c r="P763" s="177"/>
      <c r="Q763" s="62"/>
      <c r="R763" s="62"/>
      <c r="S763" s="62"/>
      <c r="T763" s="62"/>
      <c r="U763" s="62"/>
      <c r="V763" s="164"/>
      <c r="W763" s="62"/>
      <c r="X763" s="62"/>
      <c r="Y763" s="62"/>
      <c r="Z763" s="64"/>
      <c r="AA763" s="164"/>
      <c r="AB763" s="62"/>
      <c r="AC763" s="62"/>
      <c r="AD763" s="64"/>
      <c r="AE763" s="164"/>
      <c r="AF763" s="62"/>
      <c r="AG763" s="62"/>
      <c r="AH763" s="337"/>
      <c r="AI763" s="337"/>
      <c r="AJ763" s="337"/>
      <c r="AK763" s="337"/>
      <c r="AL763" s="412"/>
      <c r="AM763" s="414"/>
      <c r="AN763" s="45"/>
      <c r="AO763" s="45"/>
      <c r="AP763" s="45"/>
      <c r="AQ763" s="485"/>
      <c r="AR763" s="485"/>
      <c r="AS763" s="485"/>
      <c r="AT763" s="24"/>
      <c r="AU763" s="24"/>
      <c r="AV763" s="24"/>
      <c r="AW763" s="18">
        <v>24</v>
      </c>
      <c r="AX763" s="69" t="s">
        <v>359</v>
      </c>
      <c r="AY763" s="195" t="s">
        <v>250</v>
      </c>
      <c r="AZ763" s="243" t="str">
        <f t="shared" si="301"/>
        <v>Chinook</v>
      </c>
      <c r="BA763" s="243" t="s">
        <v>419</v>
      </c>
      <c r="BB763" s="246"/>
      <c r="BC763" s="43" t="str">
        <f t="shared" si="302"/>
        <v>-</v>
      </c>
      <c r="BD763" s="43">
        <f t="shared" si="320"/>
        <v>0</v>
      </c>
      <c r="BE763" s="193">
        <f t="shared" si="318"/>
        <v>0</v>
      </c>
      <c r="BF763" s="193">
        <f t="shared" si="303"/>
        <v>0</v>
      </c>
      <c r="BG763" s="193">
        <f t="shared" si="304"/>
        <v>0</v>
      </c>
      <c r="BH763" s="307" t="str">
        <f t="shared" si="319"/>
        <v>-</v>
      </c>
      <c r="BI763" s="266"/>
      <c r="BJ763" s="26" t="str">
        <f t="shared" si="305"/>
        <v>HESQUIAT HARBOUR #4 CREEKS (Ma-api)Chinook</v>
      </c>
      <c r="BK763" s="26">
        <f t="shared" si="306"/>
        <v>0</v>
      </c>
      <c r="BL763" s="33">
        <f t="shared" si="321"/>
        <v>0</v>
      </c>
      <c r="BQ763" s="47" t="str">
        <f t="shared" si="307"/>
        <v>HESQUIAT HARBOUR #4 CREEKS (Ma-api)Chinook</v>
      </c>
      <c r="BR763" s="49">
        <f t="shared" si="308"/>
        <v>0</v>
      </c>
      <c r="BS763" s="49">
        <f t="shared" si="317"/>
        <v>0</v>
      </c>
      <c r="BT763" s="31">
        <v>0</v>
      </c>
      <c r="BU763" s="188">
        <f t="shared" si="309"/>
        <v>0</v>
      </c>
      <c r="BV763" s="188" t="str">
        <f t="shared" si="310"/>
        <v xml:space="preserve"> </v>
      </c>
      <c r="BW763" s="188" t="str">
        <f t="shared" si="311"/>
        <v xml:space="preserve"> </v>
      </c>
      <c r="BX763" s="188" t="str">
        <f t="shared" si="312"/>
        <v xml:space="preserve"> </v>
      </c>
      <c r="BY763" s="50" t="str">
        <f t="shared" si="300"/>
        <v>HESQUIAT HARBOUR #4 CREEKS (Ma-api)_Chinook</v>
      </c>
      <c r="BZ763" s="50" t="str">
        <f>IFERROR(VLOOKUP(BY763,'[1]WCVI Esc'!$C$5:$W$555,18,FALSE),"-")</f>
        <v>-</v>
      </c>
      <c r="CA763" s="50" t="str">
        <f t="shared" si="313"/>
        <v>-</v>
      </c>
      <c r="CB763" s="50" t="str">
        <f>IFERROR(VLOOKUP(BY763,'[1]WCVI Esc'!$C$5:$W$555,19,FALSE),"-")</f>
        <v>-</v>
      </c>
      <c r="CC763" s="50" t="str">
        <f t="shared" si="314"/>
        <v>-</v>
      </c>
      <c r="CE763" s="342" t="str">
        <f t="shared" si="322"/>
        <v>HESQUIAT HARBOUR #4 CREEKS (Ma-api)_Chinook</v>
      </c>
      <c r="CF763" s="341" t="str">
        <f>IFERROR(VLOOKUP(BY763,'RawPL+D'!$O$8:$AB$503,12,FALSE),"-")</f>
        <v>-</v>
      </c>
      <c r="CG763" s="338" t="str">
        <f t="shared" si="315"/>
        <v>-</v>
      </c>
      <c r="CH763" s="341" t="str">
        <f>IFERROR(VLOOKUP(BY763,'RawPL+D'!$O$8:$AB$503,13,FALSE),"-")</f>
        <v>-</v>
      </c>
      <c r="CI763" s="338" t="str">
        <f t="shared" si="316"/>
        <v>-</v>
      </c>
    </row>
    <row r="764" spans="1:87" ht="26.25" hidden="1" customHeight="1" x14ac:dyDescent="0.2">
      <c r="A764" s="28">
        <v>4</v>
      </c>
      <c r="B764" s="28">
        <v>6</v>
      </c>
      <c r="C764" s="11">
        <v>24</v>
      </c>
      <c r="D764" s="13" t="s">
        <v>359</v>
      </c>
      <c r="E764" s="10" t="s">
        <v>250</v>
      </c>
      <c r="F764" s="10" t="s">
        <v>211</v>
      </c>
      <c r="G764" s="10"/>
      <c r="H764" s="10"/>
      <c r="I764" s="10"/>
      <c r="J764" s="10"/>
      <c r="K764" s="575"/>
      <c r="L764" s="152"/>
      <c r="M764" s="164"/>
      <c r="N764" s="62"/>
      <c r="O764" s="62"/>
      <c r="P764" s="177"/>
      <c r="Q764" s="62"/>
      <c r="R764" s="62"/>
      <c r="S764" s="62"/>
      <c r="T764" s="62"/>
      <c r="U764" s="62"/>
      <c r="V764" s="164"/>
      <c r="W764" s="62"/>
      <c r="X764" s="62"/>
      <c r="Y764" s="62"/>
      <c r="Z764" s="64"/>
      <c r="AA764" s="164"/>
      <c r="AB764" s="62"/>
      <c r="AC764" s="62"/>
      <c r="AD764" s="64"/>
      <c r="AE764" s="164"/>
      <c r="AF764" s="62"/>
      <c r="AG764" s="62"/>
      <c r="AH764" s="337"/>
      <c r="AI764" s="337"/>
      <c r="AJ764" s="337"/>
      <c r="AK764" s="337"/>
      <c r="AL764" s="412"/>
      <c r="AM764" s="414"/>
      <c r="AN764" s="45"/>
      <c r="AO764" s="45"/>
      <c r="AP764" s="45"/>
      <c r="AQ764" s="485"/>
      <c r="AR764" s="485"/>
      <c r="AS764" s="485"/>
      <c r="AT764" s="24"/>
      <c r="AU764" s="24"/>
      <c r="AV764" s="24"/>
      <c r="AW764" s="18">
        <v>24</v>
      </c>
      <c r="AX764" s="69" t="s">
        <v>359</v>
      </c>
      <c r="AY764" s="195" t="s">
        <v>250</v>
      </c>
      <c r="AZ764" s="243" t="str">
        <f t="shared" si="301"/>
        <v>Steelhead</v>
      </c>
      <c r="BA764" s="243" t="s">
        <v>419</v>
      </c>
      <c r="BB764" s="246"/>
      <c r="BC764" s="43" t="str">
        <f t="shared" si="302"/>
        <v>-</v>
      </c>
      <c r="BD764" s="43">
        <f t="shared" si="320"/>
        <v>0</v>
      </c>
      <c r="BE764" s="193">
        <f t="shared" si="318"/>
        <v>0</v>
      </c>
      <c r="BF764" s="193">
        <f t="shared" si="303"/>
        <v>0</v>
      </c>
      <c r="BG764" s="193">
        <f t="shared" si="304"/>
        <v>0</v>
      </c>
      <c r="BH764" s="307" t="str">
        <f t="shared" si="319"/>
        <v>-</v>
      </c>
      <c r="BI764" s="266"/>
      <c r="BJ764" s="26" t="str">
        <f t="shared" si="305"/>
        <v>HESQUIAT HARBOUR #4 CREEKS (Ma-api)Steelhead</v>
      </c>
      <c r="BK764" s="26">
        <f t="shared" si="306"/>
        <v>0</v>
      </c>
      <c r="BL764" s="33">
        <f t="shared" si="321"/>
        <v>0</v>
      </c>
      <c r="BQ764" s="47" t="str">
        <f t="shared" si="307"/>
        <v>HESQUIAT HARBOUR #4 CREEKS (Ma-api)Steelhead</v>
      </c>
      <c r="BR764" s="49">
        <f t="shared" si="308"/>
        <v>0</v>
      </c>
      <c r="BS764" s="49">
        <f t="shared" si="317"/>
        <v>0</v>
      </c>
      <c r="BT764" s="31">
        <v>0</v>
      </c>
      <c r="BU764" s="188">
        <f t="shared" si="309"/>
        <v>0</v>
      </c>
      <c r="BV764" s="188" t="str">
        <f t="shared" si="310"/>
        <v xml:space="preserve"> </v>
      </c>
      <c r="BW764" s="188" t="str">
        <f t="shared" si="311"/>
        <v xml:space="preserve"> </v>
      </c>
      <c r="BX764" s="188" t="str">
        <f t="shared" si="312"/>
        <v xml:space="preserve"> </v>
      </c>
      <c r="BY764" s="50" t="str">
        <f t="shared" si="300"/>
        <v>HESQUIAT HARBOUR #4 CREEKS (Ma-api)_Steelhead</v>
      </c>
      <c r="BZ764" s="50" t="str">
        <f>IFERROR(VLOOKUP(BY764,'[1]WCVI Esc'!$C$5:$W$555,18,FALSE),"-")</f>
        <v>-</v>
      </c>
      <c r="CA764" s="50" t="str">
        <f t="shared" si="313"/>
        <v>-</v>
      </c>
      <c r="CB764" s="50" t="str">
        <f>IFERROR(VLOOKUP(BY764,'[1]WCVI Esc'!$C$5:$W$555,19,FALSE),"-")</f>
        <v>-</v>
      </c>
      <c r="CC764" s="50" t="str">
        <f t="shared" si="314"/>
        <v>-</v>
      </c>
      <c r="CE764" s="342" t="str">
        <f t="shared" si="322"/>
        <v>HESQUIAT HARBOUR #4 CREEKS (Ma-api)_Steelhead</v>
      </c>
      <c r="CF764" s="341" t="str">
        <f>IFERROR(VLOOKUP(BY764,'RawPL+D'!$O$8:$AB$503,12,FALSE),"-")</f>
        <v>-</v>
      </c>
      <c r="CG764" s="338" t="str">
        <f t="shared" si="315"/>
        <v>-</v>
      </c>
      <c r="CH764" s="341" t="str">
        <f>IFERROR(VLOOKUP(BY764,'RawPL+D'!$O$8:$AB$503,13,FALSE),"-")</f>
        <v>-</v>
      </c>
      <c r="CI764" s="338" t="str">
        <f t="shared" si="316"/>
        <v>-</v>
      </c>
    </row>
    <row r="765" spans="1:87" ht="12.75" hidden="1" customHeight="1" x14ac:dyDescent="0.2">
      <c r="A765" s="28">
        <v>4</v>
      </c>
      <c r="B765" s="28">
        <v>1</v>
      </c>
      <c r="C765" s="11">
        <v>24</v>
      </c>
      <c r="D765" s="13" t="s">
        <v>359</v>
      </c>
      <c r="E765" s="10" t="s">
        <v>249</v>
      </c>
      <c r="F765" s="10" t="s">
        <v>207</v>
      </c>
      <c r="G765" s="10"/>
      <c r="H765" s="10"/>
      <c r="I765" s="10"/>
      <c r="J765" s="10"/>
      <c r="K765" s="575"/>
      <c r="L765" s="152"/>
      <c r="M765" s="164"/>
      <c r="N765" s="62"/>
      <c r="O765" s="62"/>
      <c r="P765" s="177"/>
      <c r="Q765" s="171"/>
      <c r="R765" s="62"/>
      <c r="S765" s="62"/>
      <c r="T765" s="62"/>
      <c r="U765" s="598"/>
      <c r="V765" s="164"/>
      <c r="W765" s="62"/>
      <c r="X765" s="62"/>
      <c r="Y765" s="62"/>
      <c r="Z765" s="64"/>
      <c r="AA765" s="164"/>
      <c r="AB765" s="62"/>
      <c r="AC765" s="62"/>
      <c r="AD765" s="64"/>
      <c r="AE765" s="164"/>
      <c r="AF765" s="62"/>
      <c r="AG765" s="62"/>
      <c r="AH765" s="337"/>
      <c r="AI765" s="337"/>
      <c r="AJ765" s="337"/>
      <c r="AK765" s="337"/>
      <c r="AL765" s="555"/>
      <c r="AM765" s="552"/>
      <c r="AN765" s="45"/>
      <c r="AO765" s="45"/>
      <c r="AP765" s="45"/>
      <c r="AQ765" s="485"/>
      <c r="AR765" s="485"/>
      <c r="AS765" s="485"/>
      <c r="AT765" s="24"/>
      <c r="AU765" s="24"/>
      <c r="AV765" s="24"/>
      <c r="AW765" s="18">
        <v>24</v>
      </c>
      <c r="AX765" s="69" t="s">
        <v>359</v>
      </c>
      <c r="AY765" s="243" t="s">
        <v>249</v>
      </c>
      <c r="AZ765" s="243" t="str">
        <f t="shared" si="301"/>
        <v>Sockeye</v>
      </c>
      <c r="BA765" s="243" t="s">
        <v>419</v>
      </c>
      <c r="BB765" s="244" t="s">
        <v>290</v>
      </c>
      <c r="BC765" s="43" t="str">
        <f t="shared" si="302"/>
        <v>-</v>
      </c>
      <c r="BD765" s="43">
        <f t="shared" si="320"/>
        <v>0</v>
      </c>
      <c r="BE765" s="193">
        <f t="shared" si="318"/>
        <v>0</v>
      </c>
      <c r="BF765" s="193">
        <f t="shared" si="303"/>
        <v>0</v>
      </c>
      <c r="BG765" s="193">
        <f t="shared" si="304"/>
        <v>0</v>
      </c>
      <c r="BH765" s="307" t="str">
        <f t="shared" si="319"/>
        <v>-</v>
      </c>
      <c r="BI765" s="268"/>
      <c r="BJ765" s="26" t="str">
        <f t="shared" si="305"/>
        <v>HESQUIAT LAKE CREEK (Tsa-ya)Sockeye</v>
      </c>
      <c r="BK765" s="26">
        <f t="shared" si="306"/>
        <v>0</v>
      </c>
      <c r="BL765" s="33">
        <f t="shared" si="321"/>
        <v>0</v>
      </c>
      <c r="BQ765" s="47" t="str">
        <f t="shared" si="307"/>
        <v>HESQUIAT LAKE CREEK (Tsa-ya)Sockeye</v>
      </c>
      <c r="BR765" s="49">
        <f t="shared" si="308"/>
        <v>0</v>
      </c>
      <c r="BS765" s="49">
        <f t="shared" si="317"/>
        <v>0</v>
      </c>
      <c r="BT765" s="31">
        <v>0</v>
      </c>
      <c r="BU765" s="188" t="str">
        <f t="shared" si="309"/>
        <v>NTC</v>
      </c>
      <c r="BV765" s="188" t="str">
        <f t="shared" si="310"/>
        <v xml:space="preserve"> </v>
      </c>
      <c r="BW765" s="188" t="str">
        <f t="shared" si="311"/>
        <v xml:space="preserve"> </v>
      </c>
      <c r="BX765" s="188" t="str">
        <f t="shared" si="312"/>
        <v xml:space="preserve"> </v>
      </c>
      <c r="BY765" s="50" t="str">
        <f t="shared" si="300"/>
        <v>HESQUIAT LAKE CREEK (Tsa-ya)_Sockeye</v>
      </c>
      <c r="BZ765" s="50" t="str">
        <f>IFERROR(VLOOKUP(BY765,'[1]WCVI Esc'!$C$5:$W$555,18,FALSE),"-")</f>
        <v>-</v>
      </c>
      <c r="CA765" s="50" t="str">
        <f t="shared" si="313"/>
        <v>-</v>
      </c>
      <c r="CB765" s="50" t="str">
        <f>IFERROR(VLOOKUP(BY765,'[1]WCVI Esc'!$C$5:$W$555,19,FALSE),"-")</f>
        <v>-</v>
      </c>
      <c r="CC765" s="50" t="str">
        <f t="shared" si="314"/>
        <v>-</v>
      </c>
      <c r="CE765" s="342" t="str">
        <f t="shared" si="322"/>
        <v>HESQUIAT LAKE CREEK (Tsa-ya)_Sockeye</v>
      </c>
      <c r="CF765" s="341" t="str">
        <f>IFERROR(VLOOKUP(BY765,'RawPL+D'!$O$8:$AB$503,12,FALSE),"-")</f>
        <v>-</v>
      </c>
      <c r="CG765" s="338" t="str">
        <f t="shared" si="315"/>
        <v>-</v>
      </c>
      <c r="CH765" s="341" t="str">
        <f>IFERROR(VLOOKUP(BY765,'RawPL+D'!$O$8:$AB$503,13,FALSE),"-")</f>
        <v>-</v>
      </c>
      <c r="CI765" s="338" t="str">
        <f t="shared" si="316"/>
        <v>-</v>
      </c>
    </row>
    <row r="766" spans="1:87" ht="12.75" hidden="1" customHeight="1" x14ac:dyDescent="0.2">
      <c r="A766" s="28">
        <v>4</v>
      </c>
      <c r="B766" s="28">
        <v>2</v>
      </c>
      <c r="C766" s="11">
        <v>24</v>
      </c>
      <c r="D766" s="13" t="s">
        <v>359</v>
      </c>
      <c r="E766" s="10" t="s">
        <v>249</v>
      </c>
      <c r="F766" s="10" t="s">
        <v>219</v>
      </c>
      <c r="G766" s="10"/>
      <c r="H766" s="10"/>
      <c r="I766" s="10"/>
      <c r="J766" s="10"/>
      <c r="K766" s="575"/>
      <c r="L766" s="152"/>
      <c r="M766" s="164"/>
      <c r="N766" s="62"/>
      <c r="O766" s="62"/>
      <c r="P766" s="177"/>
      <c r="Q766" s="171"/>
      <c r="R766" s="62"/>
      <c r="S766" s="62"/>
      <c r="T766" s="62"/>
      <c r="U766" s="598"/>
      <c r="V766" s="164"/>
      <c r="W766" s="62"/>
      <c r="X766" s="62"/>
      <c r="Y766" s="62"/>
      <c r="Z766" s="64"/>
      <c r="AA766" s="164"/>
      <c r="AB766" s="62"/>
      <c r="AC766" s="62"/>
      <c r="AD766" s="64"/>
      <c r="AE766" s="164"/>
      <c r="AF766" s="62"/>
      <c r="AG766" s="62"/>
      <c r="AH766" s="337"/>
      <c r="AI766" s="337"/>
      <c r="AJ766" s="337"/>
      <c r="AK766" s="337"/>
      <c r="AL766" s="555"/>
      <c r="AM766" s="552"/>
      <c r="AN766" s="45"/>
      <c r="AO766" s="45"/>
      <c r="AP766" s="45"/>
      <c r="AQ766" s="485"/>
      <c r="AR766" s="485"/>
      <c r="AS766" s="485"/>
      <c r="AT766" s="24"/>
      <c r="AU766" s="24"/>
      <c r="AV766" s="24"/>
      <c r="AW766" s="18">
        <v>24</v>
      </c>
      <c r="AX766" s="69" t="s">
        <v>359</v>
      </c>
      <c r="AY766" s="243" t="s">
        <v>249</v>
      </c>
      <c r="AZ766" s="243" t="str">
        <f t="shared" si="301"/>
        <v>Coho</v>
      </c>
      <c r="BA766" s="243" t="s">
        <v>419</v>
      </c>
      <c r="BB766" s="244" t="s">
        <v>290</v>
      </c>
      <c r="BC766" s="43" t="str">
        <f t="shared" si="302"/>
        <v>-</v>
      </c>
      <c r="BD766" s="43">
        <f t="shared" si="320"/>
        <v>0</v>
      </c>
      <c r="BE766" s="193">
        <f t="shared" si="318"/>
        <v>0</v>
      </c>
      <c r="BF766" s="193">
        <f t="shared" si="303"/>
        <v>0</v>
      </c>
      <c r="BG766" s="193">
        <f t="shared" si="304"/>
        <v>0</v>
      </c>
      <c r="BH766" s="307" t="str">
        <f t="shared" si="319"/>
        <v>-</v>
      </c>
      <c r="BI766" s="309" t="s">
        <v>242</v>
      </c>
      <c r="BJ766" s="26" t="str">
        <f t="shared" si="305"/>
        <v>HESQUIAT LAKE CREEK (Tsa-ya)Coho</v>
      </c>
      <c r="BK766" s="26">
        <f t="shared" si="306"/>
        <v>0</v>
      </c>
      <c r="BL766" s="33">
        <f t="shared" si="321"/>
        <v>0</v>
      </c>
      <c r="BQ766" s="47" t="str">
        <f t="shared" si="307"/>
        <v>HESQUIAT LAKE CREEK (Tsa-ya)Coho</v>
      </c>
      <c r="BR766" s="49">
        <f t="shared" si="308"/>
        <v>0</v>
      </c>
      <c r="BS766" s="49">
        <f t="shared" si="317"/>
        <v>0</v>
      </c>
      <c r="BT766" s="31">
        <v>2014</v>
      </c>
      <c r="BU766" s="188" t="str">
        <f t="shared" si="309"/>
        <v>NTC</v>
      </c>
      <c r="BV766" s="188" t="str">
        <f t="shared" si="310"/>
        <v xml:space="preserve"> </v>
      </c>
      <c r="BW766" s="188" t="str">
        <f t="shared" si="311"/>
        <v xml:space="preserve"> </v>
      </c>
      <c r="BX766" s="188" t="str">
        <f t="shared" si="312"/>
        <v xml:space="preserve"> </v>
      </c>
      <c r="BY766" s="50" t="str">
        <f t="shared" si="300"/>
        <v>HESQUIAT LAKE CREEK (Tsa-ya)_Coho</v>
      </c>
      <c r="BZ766" s="50" t="str">
        <f>IFERROR(VLOOKUP(BY766,'[1]WCVI Esc'!$C$5:$W$555,18,FALSE),"-")</f>
        <v>-</v>
      </c>
      <c r="CA766" s="50" t="str">
        <f t="shared" si="313"/>
        <v>-</v>
      </c>
      <c r="CB766" s="50" t="str">
        <f>IFERROR(VLOOKUP(BY766,'[1]WCVI Esc'!$C$5:$W$555,19,FALSE),"-")</f>
        <v>-</v>
      </c>
      <c r="CC766" s="50" t="str">
        <f t="shared" si="314"/>
        <v>-</v>
      </c>
      <c r="CE766" s="342" t="str">
        <f t="shared" si="322"/>
        <v>HESQUIAT LAKE CREEK (Tsa-ya)_Coho</v>
      </c>
      <c r="CF766" s="341" t="str">
        <f>IFERROR(VLOOKUP(BY766,'RawPL+D'!$O$8:$AB$503,12,FALSE),"-")</f>
        <v>-</v>
      </c>
      <c r="CG766" s="338" t="str">
        <f t="shared" si="315"/>
        <v>-</v>
      </c>
      <c r="CH766" s="341" t="str">
        <f>IFERROR(VLOOKUP(BY766,'RawPL+D'!$O$8:$AB$503,13,FALSE),"-")</f>
        <v>-</v>
      </c>
      <c r="CI766" s="338" t="str">
        <f t="shared" si="316"/>
        <v>-</v>
      </c>
    </row>
    <row r="767" spans="1:87" ht="12.75" hidden="1" customHeight="1" x14ac:dyDescent="0.2">
      <c r="A767" s="28">
        <v>4</v>
      </c>
      <c r="B767" s="28">
        <v>3</v>
      </c>
      <c r="C767" s="11">
        <v>24</v>
      </c>
      <c r="D767" s="13" t="s">
        <v>359</v>
      </c>
      <c r="E767" s="10" t="s">
        <v>249</v>
      </c>
      <c r="F767" s="10" t="s">
        <v>208</v>
      </c>
      <c r="G767" s="10"/>
      <c r="H767" s="10"/>
      <c r="I767" s="10"/>
      <c r="J767" s="10"/>
      <c r="K767" s="575"/>
      <c r="L767" s="152"/>
      <c r="M767" s="164"/>
      <c r="N767" s="62"/>
      <c r="O767" s="62"/>
      <c r="P767" s="177"/>
      <c r="Q767" s="171"/>
      <c r="R767" s="62"/>
      <c r="S767" s="62"/>
      <c r="T767" s="62"/>
      <c r="U767" s="598"/>
      <c r="V767" s="164"/>
      <c r="W767" s="62"/>
      <c r="X767" s="62"/>
      <c r="Y767" s="62"/>
      <c r="Z767" s="64"/>
      <c r="AA767" s="164"/>
      <c r="AB767" s="62"/>
      <c r="AC767" s="62"/>
      <c r="AD767" s="64"/>
      <c r="AE767" s="164"/>
      <c r="AF767" s="62"/>
      <c r="AG767" s="62"/>
      <c r="AH767" s="337"/>
      <c r="AI767" s="337"/>
      <c r="AJ767" s="337"/>
      <c r="AK767" s="337"/>
      <c r="AL767" s="555"/>
      <c r="AM767" s="552"/>
      <c r="AN767" s="45"/>
      <c r="AO767" s="45"/>
      <c r="AP767" s="45"/>
      <c r="AQ767" s="485"/>
      <c r="AR767" s="485"/>
      <c r="AS767" s="485"/>
      <c r="AT767" s="24"/>
      <c r="AU767" s="24"/>
      <c r="AV767" s="24"/>
      <c r="AW767" s="18">
        <v>24</v>
      </c>
      <c r="AX767" s="69" t="s">
        <v>359</v>
      </c>
      <c r="AY767" s="243" t="s">
        <v>249</v>
      </c>
      <c r="AZ767" s="243" t="str">
        <f t="shared" si="301"/>
        <v>Pink</v>
      </c>
      <c r="BA767" s="243" t="s">
        <v>419</v>
      </c>
      <c r="BB767" s="244" t="s">
        <v>290</v>
      </c>
      <c r="BC767" s="43" t="str">
        <f t="shared" si="302"/>
        <v>-</v>
      </c>
      <c r="BD767" s="43">
        <f t="shared" si="320"/>
        <v>0</v>
      </c>
      <c r="BE767" s="193">
        <f t="shared" si="318"/>
        <v>0</v>
      </c>
      <c r="BF767" s="193">
        <f t="shared" si="303"/>
        <v>0</v>
      </c>
      <c r="BG767" s="193">
        <f t="shared" si="304"/>
        <v>0</v>
      </c>
      <c r="BH767" s="307" t="str">
        <f t="shared" si="319"/>
        <v>-</v>
      </c>
      <c r="BI767" s="267"/>
      <c r="BJ767" s="26" t="str">
        <f t="shared" si="305"/>
        <v>HESQUIAT LAKE CREEK (Tsa-ya)Pink</v>
      </c>
      <c r="BK767" s="26">
        <f t="shared" si="306"/>
        <v>0</v>
      </c>
      <c r="BL767" s="33">
        <f t="shared" si="321"/>
        <v>0</v>
      </c>
      <c r="BQ767" s="47" t="str">
        <f t="shared" si="307"/>
        <v>HESQUIAT LAKE CREEK (Tsa-ya)Pink</v>
      </c>
      <c r="BR767" s="49">
        <f t="shared" si="308"/>
        <v>0</v>
      </c>
      <c r="BS767" s="49">
        <f t="shared" si="317"/>
        <v>0</v>
      </c>
      <c r="BT767" s="31">
        <v>0</v>
      </c>
      <c r="BU767" s="188" t="str">
        <f t="shared" si="309"/>
        <v>NTC</v>
      </c>
      <c r="BV767" s="188" t="str">
        <f t="shared" si="310"/>
        <v xml:space="preserve"> </v>
      </c>
      <c r="BW767" s="188" t="str">
        <f t="shared" si="311"/>
        <v xml:space="preserve"> </v>
      </c>
      <c r="BX767" s="188" t="str">
        <f t="shared" si="312"/>
        <v xml:space="preserve"> </v>
      </c>
      <c r="BY767" s="50" t="str">
        <f t="shared" ref="BY767:BY830" si="323">CONCATENATE(E767,"_",F767)</f>
        <v>HESQUIAT LAKE CREEK (Tsa-ya)_Pink</v>
      </c>
      <c r="BZ767" s="50" t="str">
        <f>IFERROR(VLOOKUP(BY767,'[1]WCVI Esc'!$C$5:$W$555,18,FALSE),"-")</f>
        <v>-</v>
      </c>
      <c r="CA767" s="50" t="str">
        <f t="shared" si="313"/>
        <v>-</v>
      </c>
      <c r="CB767" s="50" t="str">
        <f>IFERROR(VLOOKUP(BY767,'[1]WCVI Esc'!$C$5:$W$555,19,FALSE),"-")</f>
        <v>-</v>
      </c>
      <c r="CC767" s="50" t="str">
        <f t="shared" si="314"/>
        <v>-</v>
      </c>
      <c r="CE767" s="342" t="str">
        <f t="shared" si="322"/>
        <v>HESQUIAT LAKE CREEK (Tsa-ya)_Pink</v>
      </c>
      <c r="CF767" s="341" t="str">
        <f>IFERROR(VLOOKUP(BY767,'RawPL+D'!$O$8:$AB$503,12,FALSE),"-")</f>
        <v>-</v>
      </c>
      <c r="CG767" s="338" t="str">
        <f t="shared" si="315"/>
        <v>-</v>
      </c>
      <c r="CH767" s="341" t="str">
        <f>IFERROR(VLOOKUP(BY767,'RawPL+D'!$O$8:$AB$503,13,FALSE),"-")</f>
        <v>-</v>
      </c>
      <c r="CI767" s="338" t="str">
        <f t="shared" si="316"/>
        <v>-</v>
      </c>
    </row>
    <row r="768" spans="1:87" ht="12.75" hidden="1" customHeight="1" x14ac:dyDescent="0.2">
      <c r="A768" s="28">
        <v>4</v>
      </c>
      <c r="B768" s="28">
        <v>4</v>
      </c>
      <c r="C768" s="11">
        <v>24</v>
      </c>
      <c r="D768" s="13" t="s">
        <v>359</v>
      </c>
      <c r="E768" s="10" t="s">
        <v>249</v>
      </c>
      <c r="F768" s="10" t="s">
        <v>209</v>
      </c>
      <c r="G768" s="10"/>
      <c r="H768" s="10"/>
      <c r="I768" s="10"/>
      <c r="J768" s="10"/>
      <c r="K768" s="575"/>
      <c r="L768" s="152"/>
      <c r="M768" s="164"/>
      <c r="N768" s="62"/>
      <c r="O768" s="62"/>
      <c r="P768" s="177"/>
      <c r="Q768" s="171"/>
      <c r="R768" s="62"/>
      <c r="S768" s="62"/>
      <c r="T768" s="62"/>
      <c r="U768" s="604"/>
      <c r="V768" s="164"/>
      <c r="W768" s="62"/>
      <c r="X768" s="62"/>
      <c r="Y768" s="62"/>
      <c r="Z768" s="64"/>
      <c r="AA768" s="164"/>
      <c r="AB768" s="62"/>
      <c r="AC768" s="62"/>
      <c r="AD768" s="64"/>
      <c r="AE768" s="164"/>
      <c r="AF768" s="62"/>
      <c r="AG768" s="62"/>
      <c r="AH768" s="337"/>
      <c r="AI768" s="337"/>
      <c r="AJ768" s="337"/>
      <c r="AK768" s="337"/>
      <c r="AL768" s="555"/>
      <c r="AM768" s="552"/>
      <c r="AN768" s="45"/>
      <c r="AO768" s="45"/>
      <c r="AP768" s="45"/>
      <c r="AQ768" s="485"/>
      <c r="AR768" s="12"/>
      <c r="AS768" s="485"/>
      <c r="AT768" s="24"/>
      <c r="AU768" s="24"/>
      <c r="AV768" s="24"/>
      <c r="AW768" s="18">
        <v>24</v>
      </c>
      <c r="AX768" s="69" t="s">
        <v>359</v>
      </c>
      <c r="AY768" s="243" t="s">
        <v>249</v>
      </c>
      <c r="AZ768" s="243" t="str">
        <f t="shared" si="301"/>
        <v>Chum</v>
      </c>
      <c r="BA768" s="243" t="s">
        <v>419</v>
      </c>
      <c r="BB768" s="244" t="s">
        <v>290</v>
      </c>
      <c r="BC768" s="43" t="str">
        <f t="shared" si="302"/>
        <v>-</v>
      </c>
      <c r="BD768" s="43">
        <f t="shared" si="320"/>
        <v>0</v>
      </c>
      <c r="BE768" s="193">
        <f t="shared" si="318"/>
        <v>0</v>
      </c>
      <c r="BF768" s="193">
        <f t="shared" si="303"/>
        <v>0</v>
      </c>
      <c r="BG768" s="193">
        <f t="shared" si="304"/>
        <v>0</v>
      </c>
      <c r="BH768" s="307" t="str">
        <f t="shared" si="319"/>
        <v>-</v>
      </c>
      <c r="BI768" s="309" t="s">
        <v>242</v>
      </c>
      <c r="BJ768" s="26" t="str">
        <f t="shared" si="305"/>
        <v>HESQUIAT LAKE CREEK (Tsa-ya)Chum</v>
      </c>
      <c r="BK768" s="26">
        <f t="shared" si="306"/>
        <v>0</v>
      </c>
      <c r="BL768" s="33">
        <f t="shared" si="321"/>
        <v>0</v>
      </c>
      <c r="BQ768" s="47" t="str">
        <f t="shared" si="307"/>
        <v>HESQUIAT LAKE CREEK (Tsa-ya)Chum</v>
      </c>
      <c r="BR768" s="49">
        <f t="shared" si="308"/>
        <v>0</v>
      </c>
      <c r="BS768" s="49">
        <f t="shared" si="317"/>
        <v>0</v>
      </c>
      <c r="BT768" s="31">
        <v>2015</v>
      </c>
      <c r="BU768" s="188" t="str">
        <f t="shared" si="309"/>
        <v>NTC</v>
      </c>
      <c r="BV768" s="188" t="str">
        <f t="shared" si="310"/>
        <v xml:space="preserve"> </v>
      </c>
      <c r="BW768" s="188" t="str">
        <f t="shared" si="311"/>
        <v xml:space="preserve"> </v>
      </c>
      <c r="BX768" s="188" t="str">
        <f t="shared" si="312"/>
        <v xml:space="preserve"> </v>
      </c>
      <c r="BY768" s="50" t="str">
        <f t="shared" si="323"/>
        <v>HESQUIAT LAKE CREEK (Tsa-ya)_Chum</v>
      </c>
      <c r="BZ768" s="50" t="str">
        <f>IFERROR(VLOOKUP(BY768,'[1]WCVI Esc'!$C$5:$W$555,18,FALSE),"-")</f>
        <v>-</v>
      </c>
      <c r="CA768" s="50" t="str">
        <f t="shared" si="313"/>
        <v>-</v>
      </c>
      <c r="CB768" s="50" t="str">
        <f>IFERROR(VLOOKUP(BY768,'[1]WCVI Esc'!$C$5:$W$555,19,FALSE),"-")</f>
        <v>-</v>
      </c>
      <c r="CC768" s="50" t="str">
        <f t="shared" si="314"/>
        <v>-</v>
      </c>
      <c r="CE768" s="342" t="str">
        <f t="shared" si="322"/>
        <v>HESQUIAT LAKE CREEK (Tsa-ya)_Chum</v>
      </c>
      <c r="CF768" s="341" t="str">
        <f>IFERROR(VLOOKUP(BY768,'RawPL+D'!$O$8:$AB$503,12,FALSE),"-")</f>
        <v>-</v>
      </c>
      <c r="CG768" s="338" t="str">
        <f t="shared" si="315"/>
        <v>-</v>
      </c>
      <c r="CH768" s="341" t="str">
        <f>IFERROR(VLOOKUP(BY768,'RawPL+D'!$O$8:$AB$503,13,FALSE),"-")</f>
        <v>-</v>
      </c>
      <c r="CI768" s="338" t="str">
        <f t="shared" si="316"/>
        <v>-</v>
      </c>
    </row>
    <row r="769" spans="1:87" ht="12.75" hidden="1" customHeight="1" x14ac:dyDescent="0.2">
      <c r="A769" s="28">
        <v>4</v>
      </c>
      <c r="B769" s="28">
        <v>5</v>
      </c>
      <c r="C769" s="11">
        <v>24</v>
      </c>
      <c r="D769" s="13" t="s">
        <v>359</v>
      </c>
      <c r="E769" s="10" t="s">
        <v>249</v>
      </c>
      <c r="F769" s="10" t="s">
        <v>210</v>
      </c>
      <c r="G769" s="10"/>
      <c r="H769" s="10"/>
      <c r="I769" s="10"/>
      <c r="J769" s="10"/>
      <c r="K769" s="575"/>
      <c r="L769" s="152"/>
      <c r="M769" s="164"/>
      <c r="N769" s="62"/>
      <c r="O769" s="62"/>
      <c r="P769" s="177"/>
      <c r="Q769" s="171"/>
      <c r="R769" s="62"/>
      <c r="S769" s="62"/>
      <c r="T769" s="62"/>
      <c r="U769" s="598"/>
      <c r="V769" s="164"/>
      <c r="W769" s="62"/>
      <c r="X769" s="62"/>
      <c r="Y769" s="62"/>
      <c r="Z769" s="64"/>
      <c r="AA769" s="164"/>
      <c r="AB769" s="62"/>
      <c r="AC769" s="62"/>
      <c r="AD769" s="64"/>
      <c r="AE769" s="164"/>
      <c r="AF769" s="62"/>
      <c r="AG769" s="62"/>
      <c r="AH769" s="337"/>
      <c r="AI769" s="337"/>
      <c r="AJ769" s="337"/>
      <c r="AK769" s="337"/>
      <c r="AL769" s="555"/>
      <c r="AM769" s="552"/>
      <c r="AN769" s="45"/>
      <c r="AO769" s="45"/>
      <c r="AP769" s="45"/>
      <c r="AQ769" s="485"/>
      <c r="AR769" s="485"/>
      <c r="AS769" s="485"/>
      <c r="AT769" s="24"/>
      <c r="AU769" s="24"/>
      <c r="AV769" s="24"/>
      <c r="AW769" s="18">
        <v>24</v>
      </c>
      <c r="AX769" s="69" t="s">
        <v>359</v>
      </c>
      <c r="AY769" s="243" t="s">
        <v>249</v>
      </c>
      <c r="AZ769" s="243" t="str">
        <f t="shared" si="301"/>
        <v>Chinook</v>
      </c>
      <c r="BA769" s="243" t="s">
        <v>419</v>
      </c>
      <c r="BB769" s="244" t="s">
        <v>290</v>
      </c>
      <c r="BC769" s="43" t="str">
        <f t="shared" si="302"/>
        <v>-</v>
      </c>
      <c r="BD769" s="43">
        <f t="shared" si="320"/>
        <v>0</v>
      </c>
      <c r="BE769" s="193">
        <f t="shared" si="318"/>
        <v>0</v>
      </c>
      <c r="BF769" s="193">
        <f t="shared" si="303"/>
        <v>0</v>
      </c>
      <c r="BG769" s="193">
        <f t="shared" si="304"/>
        <v>0</v>
      </c>
      <c r="BH769" s="307" t="str">
        <f t="shared" si="319"/>
        <v>-</v>
      </c>
      <c r="BI769" s="268"/>
      <c r="BJ769" s="26" t="str">
        <f t="shared" si="305"/>
        <v>HESQUIAT LAKE CREEK (Tsa-ya)Chinook</v>
      </c>
      <c r="BK769" s="26">
        <f t="shared" si="306"/>
        <v>0</v>
      </c>
      <c r="BL769" s="33">
        <f t="shared" si="321"/>
        <v>0</v>
      </c>
      <c r="BQ769" s="47" t="str">
        <f t="shared" si="307"/>
        <v>HESQUIAT LAKE CREEK (Tsa-ya)Chinook</v>
      </c>
      <c r="BR769" s="49">
        <f t="shared" si="308"/>
        <v>0</v>
      </c>
      <c r="BS769" s="49">
        <f t="shared" si="317"/>
        <v>0</v>
      </c>
      <c r="BT769" s="31">
        <v>0</v>
      </c>
      <c r="BU769" s="188" t="str">
        <f t="shared" si="309"/>
        <v>NTC</v>
      </c>
      <c r="BV769" s="188" t="str">
        <f t="shared" si="310"/>
        <v xml:space="preserve"> </v>
      </c>
      <c r="BW769" s="188" t="str">
        <f t="shared" si="311"/>
        <v xml:space="preserve"> </v>
      </c>
      <c r="BX769" s="188" t="str">
        <f t="shared" si="312"/>
        <v xml:space="preserve"> </v>
      </c>
      <c r="BY769" s="50" t="str">
        <f t="shared" si="323"/>
        <v>HESQUIAT LAKE CREEK (Tsa-ya)_Chinook</v>
      </c>
      <c r="BZ769" s="50" t="str">
        <f>IFERROR(VLOOKUP(BY769,'[1]WCVI Esc'!$C$5:$W$555,18,FALSE),"-")</f>
        <v>-</v>
      </c>
      <c r="CA769" s="50" t="str">
        <f t="shared" si="313"/>
        <v>-</v>
      </c>
      <c r="CB769" s="50" t="str">
        <f>IFERROR(VLOOKUP(BY769,'[1]WCVI Esc'!$C$5:$W$555,19,FALSE),"-")</f>
        <v>-</v>
      </c>
      <c r="CC769" s="50" t="str">
        <f t="shared" si="314"/>
        <v>-</v>
      </c>
      <c r="CE769" s="342" t="str">
        <f t="shared" si="322"/>
        <v>HESQUIAT LAKE CREEK (Tsa-ya)_Chinook</v>
      </c>
      <c r="CF769" s="341" t="str">
        <f>IFERROR(VLOOKUP(BY769,'RawPL+D'!$O$8:$AB$503,12,FALSE),"-")</f>
        <v>-</v>
      </c>
      <c r="CG769" s="338" t="str">
        <f t="shared" si="315"/>
        <v>-</v>
      </c>
      <c r="CH769" s="341" t="str">
        <f>IFERROR(VLOOKUP(BY769,'RawPL+D'!$O$8:$AB$503,13,FALSE),"-")</f>
        <v>-</v>
      </c>
      <c r="CI769" s="338" t="str">
        <f t="shared" si="316"/>
        <v>-</v>
      </c>
    </row>
    <row r="770" spans="1:87" ht="12.75" hidden="1" customHeight="1" x14ac:dyDescent="0.2">
      <c r="A770" s="28">
        <v>4</v>
      </c>
      <c r="B770" s="28">
        <v>6</v>
      </c>
      <c r="C770" s="11">
        <v>24</v>
      </c>
      <c r="D770" s="13" t="s">
        <v>359</v>
      </c>
      <c r="E770" s="10" t="s">
        <v>249</v>
      </c>
      <c r="F770" s="10" t="s">
        <v>211</v>
      </c>
      <c r="G770" s="10"/>
      <c r="H770" s="10"/>
      <c r="I770" s="10"/>
      <c r="J770" s="10"/>
      <c r="K770" s="575"/>
      <c r="L770" s="152"/>
      <c r="M770" s="164"/>
      <c r="N770" s="62"/>
      <c r="O770" s="62"/>
      <c r="P770" s="177"/>
      <c r="Q770" s="171"/>
      <c r="R770" s="62"/>
      <c r="S770" s="62"/>
      <c r="T770" s="62"/>
      <c r="U770" s="598"/>
      <c r="V770" s="164"/>
      <c r="W770" s="62"/>
      <c r="X770" s="62"/>
      <c r="Y770" s="62"/>
      <c r="Z770" s="64"/>
      <c r="AA770" s="164"/>
      <c r="AB770" s="62"/>
      <c r="AC770" s="62"/>
      <c r="AD770" s="64"/>
      <c r="AE770" s="164"/>
      <c r="AF770" s="62"/>
      <c r="AG770" s="62"/>
      <c r="AH770" s="337"/>
      <c r="AI770" s="337"/>
      <c r="AJ770" s="337"/>
      <c r="AK770" s="337"/>
      <c r="AL770" s="555"/>
      <c r="AM770" s="552"/>
      <c r="AN770" s="45"/>
      <c r="AO770" s="45"/>
      <c r="AP770" s="45"/>
      <c r="AQ770" s="485"/>
      <c r="AR770" s="485"/>
      <c r="AS770" s="485"/>
      <c r="AT770" s="24"/>
      <c r="AU770" s="24"/>
      <c r="AV770" s="24"/>
      <c r="AW770" s="18">
        <v>24</v>
      </c>
      <c r="AX770" s="69" t="s">
        <v>359</v>
      </c>
      <c r="AY770" s="243" t="s">
        <v>249</v>
      </c>
      <c r="AZ770" s="243" t="str">
        <f t="shared" si="301"/>
        <v>Steelhead</v>
      </c>
      <c r="BA770" s="243" t="s">
        <v>419</v>
      </c>
      <c r="BB770" s="244" t="s">
        <v>290</v>
      </c>
      <c r="BC770" s="43" t="str">
        <f t="shared" si="302"/>
        <v>-</v>
      </c>
      <c r="BD770" s="43">
        <f t="shared" si="320"/>
        <v>0</v>
      </c>
      <c r="BE770" s="193">
        <f t="shared" si="318"/>
        <v>0</v>
      </c>
      <c r="BF770" s="193">
        <f t="shared" si="303"/>
        <v>0</v>
      </c>
      <c r="BG770" s="193">
        <f t="shared" si="304"/>
        <v>0</v>
      </c>
      <c r="BH770" s="307" t="str">
        <f t="shared" si="319"/>
        <v>-</v>
      </c>
      <c r="BI770" s="267"/>
      <c r="BJ770" s="26" t="str">
        <f t="shared" si="305"/>
        <v>HESQUIAT LAKE CREEK (Tsa-ya)Steelhead</v>
      </c>
      <c r="BK770" s="26">
        <f t="shared" si="306"/>
        <v>0</v>
      </c>
      <c r="BL770" s="33">
        <f t="shared" si="321"/>
        <v>0</v>
      </c>
      <c r="BQ770" s="47" t="str">
        <f t="shared" si="307"/>
        <v>HESQUIAT LAKE CREEK (Tsa-ya)Steelhead</v>
      </c>
      <c r="BR770" s="49">
        <f t="shared" si="308"/>
        <v>0</v>
      </c>
      <c r="BS770" s="49">
        <f t="shared" si="317"/>
        <v>0</v>
      </c>
      <c r="BT770" s="31">
        <v>0</v>
      </c>
      <c r="BU770" s="188" t="str">
        <f t="shared" si="309"/>
        <v>NTC</v>
      </c>
      <c r="BV770" s="188" t="str">
        <f t="shared" si="310"/>
        <v xml:space="preserve"> </v>
      </c>
      <c r="BW770" s="188" t="str">
        <f t="shared" si="311"/>
        <v xml:space="preserve"> </v>
      </c>
      <c r="BX770" s="188" t="str">
        <f t="shared" si="312"/>
        <v xml:space="preserve"> </v>
      </c>
      <c r="BY770" s="50" t="str">
        <f t="shared" si="323"/>
        <v>HESQUIAT LAKE CREEK (Tsa-ya)_Steelhead</v>
      </c>
      <c r="BZ770" s="50" t="str">
        <f>IFERROR(VLOOKUP(BY770,'[1]WCVI Esc'!$C$5:$W$555,18,FALSE),"-")</f>
        <v>-</v>
      </c>
      <c r="CA770" s="50" t="str">
        <f t="shared" si="313"/>
        <v>-</v>
      </c>
      <c r="CB770" s="50" t="str">
        <f>IFERROR(VLOOKUP(BY770,'[1]WCVI Esc'!$C$5:$W$555,19,FALSE),"-")</f>
        <v>-</v>
      </c>
      <c r="CC770" s="50" t="str">
        <f t="shared" si="314"/>
        <v>-</v>
      </c>
      <c r="CE770" s="342" t="str">
        <f t="shared" si="322"/>
        <v>HESQUIAT LAKE CREEK (Tsa-ya)_Steelhead</v>
      </c>
      <c r="CF770" s="341" t="str">
        <f>IFERROR(VLOOKUP(BY770,'RawPL+D'!$O$8:$AB$503,12,FALSE),"-")</f>
        <v>-</v>
      </c>
      <c r="CG770" s="338" t="str">
        <f t="shared" si="315"/>
        <v>-</v>
      </c>
      <c r="CH770" s="341" t="str">
        <f>IFERROR(VLOOKUP(BY770,'RawPL+D'!$O$8:$AB$503,13,FALSE),"-")</f>
        <v>-</v>
      </c>
      <c r="CI770" s="338" t="str">
        <f t="shared" si="316"/>
        <v>-</v>
      </c>
    </row>
    <row r="771" spans="1:87" ht="12.75" hidden="1" customHeight="1" x14ac:dyDescent="0.2">
      <c r="A771" s="28">
        <v>4</v>
      </c>
      <c r="B771" s="28">
        <v>1</v>
      </c>
      <c r="C771" s="11">
        <v>24</v>
      </c>
      <c r="D771" s="13" t="s">
        <v>359</v>
      </c>
      <c r="E771" s="10" t="s">
        <v>252</v>
      </c>
      <c r="F771" s="10" t="s">
        <v>207</v>
      </c>
      <c r="G771" s="10"/>
      <c r="H771" s="10"/>
      <c r="I771" s="10"/>
      <c r="J771" s="10"/>
      <c r="K771" s="575"/>
      <c r="L771" s="152"/>
      <c r="M771" s="164"/>
      <c r="N771" s="62"/>
      <c r="O771" s="62"/>
      <c r="P771" s="177"/>
      <c r="Q771" s="171"/>
      <c r="R771" s="62"/>
      <c r="S771" s="62"/>
      <c r="T771" s="62"/>
      <c r="U771" s="64"/>
      <c r="V771" s="164"/>
      <c r="W771" s="62"/>
      <c r="X771" s="62"/>
      <c r="Y771" s="62"/>
      <c r="Z771" s="64"/>
      <c r="AA771" s="164"/>
      <c r="AB771" s="62"/>
      <c r="AC771" s="62"/>
      <c r="AD771" s="64"/>
      <c r="AE771" s="164"/>
      <c r="AF771" s="62"/>
      <c r="AG771" s="62"/>
      <c r="AH771" s="337"/>
      <c r="AI771" s="337"/>
      <c r="AJ771" s="337"/>
      <c r="AK771" s="337"/>
      <c r="AL771" s="412"/>
      <c r="AM771" s="414"/>
      <c r="AN771" s="45"/>
      <c r="AO771" s="45"/>
      <c r="AP771" s="45"/>
      <c r="AQ771" s="485"/>
      <c r="AR771" s="485"/>
      <c r="AS771" s="485"/>
      <c r="AT771" s="24"/>
      <c r="AU771" s="24"/>
      <c r="AV771" s="24"/>
      <c r="AW771" s="18">
        <v>24</v>
      </c>
      <c r="AX771" s="69" t="s">
        <v>359</v>
      </c>
      <c r="AY771" s="243" t="s">
        <v>252</v>
      </c>
      <c r="AZ771" s="243" t="str">
        <f t="shared" si="301"/>
        <v>Sockeye</v>
      </c>
      <c r="BA771" s="243" t="s">
        <v>419</v>
      </c>
      <c r="BB771" s="246"/>
      <c r="BC771" s="43" t="str">
        <f t="shared" si="302"/>
        <v>-</v>
      </c>
      <c r="BD771" s="43">
        <f t="shared" si="320"/>
        <v>0</v>
      </c>
      <c r="BE771" s="193">
        <f t="shared" si="318"/>
        <v>0</v>
      </c>
      <c r="BF771" s="193">
        <f t="shared" si="303"/>
        <v>0</v>
      </c>
      <c r="BG771" s="193">
        <f t="shared" si="304"/>
        <v>0</v>
      </c>
      <c r="BH771" s="307" t="str">
        <f t="shared" si="319"/>
        <v>-</v>
      </c>
      <c r="BI771" s="273"/>
      <c r="BJ771" s="26" t="str">
        <f t="shared" si="305"/>
        <v>HESQUIAT POINT CREEK (Ihata)Sockeye</v>
      </c>
      <c r="BK771" s="26">
        <f t="shared" si="306"/>
        <v>0</v>
      </c>
      <c r="BL771" s="33">
        <f t="shared" si="321"/>
        <v>0</v>
      </c>
      <c r="BQ771" s="47" t="str">
        <f t="shared" si="307"/>
        <v>HESQUIAT POINT CREEK (Ihata)Sockeye</v>
      </c>
      <c r="BR771" s="49">
        <f t="shared" si="308"/>
        <v>0</v>
      </c>
      <c r="BS771" s="49">
        <f t="shared" si="317"/>
        <v>0</v>
      </c>
      <c r="BT771" s="31">
        <v>0</v>
      </c>
      <c r="BU771" s="188">
        <f t="shared" si="309"/>
        <v>0</v>
      </c>
      <c r="BV771" s="188" t="str">
        <f t="shared" si="310"/>
        <v xml:space="preserve"> </v>
      </c>
      <c r="BW771" s="188" t="str">
        <f t="shared" si="311"/>
        <v xml:space="preserve"> </v>
      </c>
      <c r="BX771" s="188" t="str">
        <f t="shared" si="312"/>
        <v xml:space="preserve"> </v>
      </c>
      <c r="BY771" s="50" t="str">
        <f t="shared" si="323"/>
        <v>HESQUIAT POINT CREEK (Ihata)_Sockeye</v>
      </c>
      <c r="BZ771" s="50" t="str">
        <f>IFERROR(VLOOKUP(BY771,'[1]WCVI Esc'!$C$5:$W$555,18,FALSE),"-")</f>
        <v>-</v>
      </c>
      <c r="CA771" s="50" t="str">
        <f t="shared" si="313"/>
        <v>-</v>
      </c>
      <c r="CB771" s="50" t="str">
        <f>IFERROR(VLOOKUP(BY771,'[1]WCVI Esc'!$C$5:$W$555,19,FALSE),"-")</f>
        <v>-</v>
      </c>
      <c r="CC771" s="50" t="str">
        <f t="shared" si="314"/>
        <v>-</v>
      </c>
      <c r="CE771" s="342" t="str">
        <f t="shared" si="322"/>
        <v>HESQUIAT POINT CREEK (Ihata)_Sockeye</v>
      </c>
      <c r="CF771" s="341" t="str">
        <f>IFERROR(VLOOKUP(BY771,'RawPL+D'!$O$8:$AB$503,12,FALSE),"-")</f>
        <v>-</v>
      </c>
      <c r="CG771" s="338" t="str">
        <f t="shared" si="315"/>
        <v>-</v>
      </c>
      <c r="CH771" s="341" t="str">
        <f>IFERROR(VLOOKUP(BY771,'RawPL+D'!$O$8:$AB$503,13,FALSE),"-")</f>
        <v>-</v>
      </c>
      <c r="CI771" s="338" t="str">
        <f t="shared" si="316"/>
        <v>-</v>
      </c>
    </row>
    <row r="772" spans="1:87" ht="12.75" hidden="1" customHeight="1" x14ac:dyDescent="0.2">
      <c r="A772" s="28">
        <v>4</v>
      </c>
      <c r="B772" s="28">
        <v>2</v>
      </c>
      <c r="C772" s="11">
        <v>24</v>
      </c>
      <c r="D772" s="13" t="s">
        <v>359</v>
      </c>
      <c r="E772" s="10" t="s">
        <v>252</v>
      </c>
      <c r="F772" s="10" t="s">
        <v>219</v>
      </c>
      <c r="G772" s="10"/>
      <c r="H772" s="10"/>
      <c r="I772" s="10"/>
      <c r="J772" s="10"/>
      <c r="K772" s="575"/>
      <c r="L772" s="152"/>
      <c r="M772" s="164"/>
      <c r="N772" s="62"/>
      <c r="O772" s="62"/>
      <c r="P772" s="177"/>
      <c r="Q772" s="171"/>
      <c r="R772" s="62"/>
      <c r="S772" s="62"/>
      <c r="T772" s="62"/>
      <c r="U772" s="64"/>
      <c r="V772" s="164"/>
      <c r="W772" s="62"/>
      <c r="X772" s="62"/>
      <c r="Y772" s="62"/>
      <c r="Z772" s="64"/>
      <c r="AA772" s="164"/>
      <c r="AB772" s="62"/>
      <c r="AC772" s="62"/>
      <c r="AD772" s="64"/>
      <c r="AE772" s="164"/>
      <c r="AF772" s="62"/>
      <c r="AG772" s="62"/>
      <c r="AH772" s="337"/>
      <c r="AI772" s="337"/>
      <c r="AJ772" s="337"/>
      <c r="AK772" s="337"/>
      <c r="AL772" s="412"/>
      <c r="AM772" s="414"/>
      <c r="AN772" s="45"/>
      <c r="AO772" s="45"/>
      <c r="AP772" s="45"/>
      <c r="AQ772" s="485"/>
      <c r="AR772" s="485"/>
      <c r="AS772" s="485"/>
      <c r="AT772" s="24"/>
      <c r="AU772" s="24"/>
      <c r="AV772" s="24"/>
      <c r="AW772" s="18">
        <v>24</v>
      </c>
      <c r="AX772" s="69" t="s">
        <v>359</v>
      </c>
      <c r="AY772" s="243" t="s">
        <v>252</v>
      </c>
      <c r="AZ772" s="243" t="str">
        <f t="shared" si="301"/>
        <v>Coho</v>
      </c>
      <c r="BA772" s="243" t="s">
        <v>419</v>
      </c>
      <c r="BB772" s="246"/>
      <c r="BC772" s="43" t="str">
        <f t="shared" si="302"/>
        <v>-</v>
      </c>
      <c r="BD772" s="43">
        <f t="shared" si="320"/>
        <v>0</v>
      </c>
      <c r="BE772" s="193">
        <f t="shared" si="318"/>
        <v>0</v>
      </c>
      <c r="BF772" s="193">
        <f t="shared" si="303"/>
        <v>0</v>
      </c>
      <c r="BG772" s="193">
        <f t="shared" si="304"/>
        <v>0</v>
      </c>
      <c r="BH772" s="307" t="str">
        <f t="shared" si="319"/>
        <v>-</v>
      </c>
      <c r="BI772" s="273"/>
      <c r="BJ772" s="26" t="str">
        <f t="shared" si="305"/>
        <v>HESQUIAT POINT CREEK (Ihata)Coho</v>
      </c>
      <c r="BK772" s="26">
        <f t="shared" si="306"/>
        <v>0</v>
      </c>
      <c r="BL772" s="33">
        <f t="shared" si="321"/>
        <v>0</v>
      </c>
      <c r="BQ772" s="47" t="str">
        <f t="shared" si="307"/>
        <v>HESQUIAT POINT CREEK (Ihata)Coho</v>
      </c>
      <c r="BR772" s="49">
        <f t="shared" si="308"/>
        <v>0</v>
      </c>
      <c r="BS772" s="49">
        <f t="shared" si="317"/>
        <v>0</v>
      </c>
      <c r="BT772" s="31">
        <v>2011</v>
      </c>
      <c r="BU772" s="188">
        <f t="shared" si="309"/>
        <v>0</v>
      </c>
      <c r="BV772" s="188" t="str">
        <f t="shared" si="310"/>
        <v xml:space="preserve"> </v>
      </c>
      <c r="BW772" s="188" t="str">
        <f t="shared" si="311"/>
        <v xml:space="preserve"> </v>
      </c>
      <c r="BX772" s="188" t="str">
        <f t="shared" si="312"/>
        <v xml:space="preserve"> </v>
      </c>
      <c r="BY772" s="50" t="str">
        <f t="shared" si="323"/>
        <v>HESQUIAT POINT CREEK (Ihata)_Coho</v>
      </c>
      <c r="BZ772" s="50" t="str">
        <f>IFERROR(VLOOKUP(BY772,'[1]WCVI Esc'!$C$5:$W$555,18,FALSE),"-")</f>
        <v>-</v>
      </c>
      <c r="CA772" s="50" t="str">
        <f t="shared" si="313"/>
        <v>-</v>
      </c>
      <c r="CB772" s="50" t="str">
        <f>IFERROR(VLOOKUP(BY772,'[1]WCVI Esc'!$C$5:$W$555,19,FALSE),"-")</f>
        <v>-</v>
      </c>
      <c r="CC772" s="50" t="str">
        <f t="shared" si="314"/>
        <v>-</v>
      </c>
      <c r="CE772" s="342" t="str">
        <f t="shared" si="322"/>
        <v>HESQUIAT POINT CREEK (Ihata)_Coho</v>
      </c>
      <c r="CF772" s="341" t="str">
        <f>IFERROR(VLOOKUP(BY772,'RawPL+D'!$O$8:$AB$503,12,FALSE),"-")</f>
        <v>-</v>
      </c>
      <c r="CG772" s="338" t="str">
        <f t="shared" si="315"/>
        <v>-</v>
      </c>
      <c r="CH772" s="341" t="str">
        <f>IFERROR(VLOOKUP(BY772,'RawPL+D'!$O$8:$AB$503,13,FALSE),"-")</f>
        <v>-</v>
      </c>
      <c r="CI772" s="338" t="str">
        <f t="shared" si="316"/>
        <v>-</v>
      </c>
    </row>
    <row r="773" spans="1:87" ht="12.75" hidden="1" customHeight="1" x14ac:dyDescent="0.2">
      <c r="A773" s="28">
        <v>4</v>
      </c>
      <c r="B773" s="28">
        <v>3</v>
      </c>
      <c r="C773" s="11">
        <v>24</v>
      </c>
      <c r="D773" s="13" t="s">
        <v>359</v>
      </c>
      <c r="E773" s="10" t="s">
        <v>252</v>
      </c>
      <c r="F773" s="10" t="s">
        <v>208</v>
      </c>
      <c r="G773" s="10"/>
      <c r="H773" s="10"/>
      <c r="I773" s="10"/>
      <c r="J773" s="10"/>
      <c r="K773" s="575"/>
      <c r="L773" s="152"/>
      <c r="M773" s="164"/>
      <c r="N773" s="62"/>
      <c r="O773" s="62"/>
      <c r="P773" s="177"/>
      <c r="Q773" s="171"/>
      <c r="R773" s="62"/>
      <c r="S773" s="62"/>
      <c r="T773" s="62"/>
      <c r="U773" s="64"/>
      <c r="V773" s="164"/>
      <c r="W773" s="62"/>
      <c r="X773" s="62"/>
      <c r="Y773" s="62"/>
      <c r="Z773" s="64"/>
      <c r="AA773" s="164"/>
      <c r="AB773" s="62"/>
      <c r="AC773" s="62"/>
      <c r="AD773" s="64"/>
      <c r="AE773" s="164"/>
      <c r="AF773" s="62"/>
      <c r="AG773" s="62"/>
      <c r="AH773" s="337"/>
      <c r="AI773" s="337"/>
      <c r="AJ773" s="337"/>
      <c r="AK773" s="337"/>
      <c r="AL773" s="412"/>
      <c r="AM773" s="414"/>
      <c r="AN773" s="45"/>
      <c r="AO773" s="45"/>
      <c r="AP773" s="45"/>
      <c r="AQ773" s="485"/>
      <c r="AR773" s="485"/>
      <c r="AS773" s="485"/>
      <c r="AT773" s="24"/>
      <c r="AU773" s="24"/>
      <c r="AV773" s="24"/>
      <c r="AW773" s="18">
        <v>24</v>
      </c>
      <c r="AX773" s="69" t="s">
        <v>359</v>
      </c>
      <c r="AY773" s="243" t="s">
        <v>252</v>
      </c>
      <c r="AZ773" s="243" t="str">
        <f t="shared" si="301"/>
        <v>Pink</v>
      </c>
      <c r="BA773" s="243" t="s">
        <v>419</v>
      </c>
      <c r="BB773" s="246"/>
      <c r="BC773" s="43" t="str">
        <f t="shared" si="302"/>
        <v>-</v>
      </c>
      <c r="BD773" s="43">
        <f t="shared" si="320"/>
        <v>0</v>
      </c>
      <c r="BE773" s="193">
        <f t="shared" si="318"/>
        <v>0</v>
      </c>
      <c r="BF773" s="193">
        <f t="shared" si="303"/>
        <v>0</v>
      </c>
      <c r="BG773" s="193">
        <f t="shared" si="304"/>
        <v>0</v>
      </c>
      <c r="BH773" s="307" t="str">
        <f t="shared" si="319"/>
        <v>-</v>
      </c>
      <c r="BI773" s="273"/>
      <c r="BJ773" s="26" t="str">
        <f t="shared" si="305"/>
        <v>HESQUIAT POINT CREEK (Ihata)Pink</v>
      </c>
      <c r="BK773" s="26">
        <f t="shared" si="306"/>
        <v>0</v>
      </c>
      <c r="BL773" s="33">
        <f t="shared" si="321"/>
        <v>0</v>
      </c>
      <c r="BQ773" s="47" t="str">
        <f t="shared" si="307"/>
        <v>HESQUIAT POINT CREEK (Ihata)Pink</v>
      </c>
      <c r="BR773" s="49">
        <f t="shared" si="308"/>
        <v>0</v>
      </c>
      <c r="BS773" s="49">
        <f t="shared" si="317"/>
        <v>0</v>
      </c>
      <c r="BT773" s="31">
        <v>0</v>
      </c>
      <c r="BU773" s="188">
        <f t="shared" si="309"/>
        <v>0</v>
      </c>
      <c r="BV773" s="188" t="str">
        <f t="shared" si="310"/>
        <v xml:space="preserve"> </v>
      </c>
      <c r="BW773" s="188" t="str">
        <f t="shared" si="311"/>
        <v xml:space="preserve"> </v>
      </c>
      <c r="BX773" s="188" t="str">
        <f t="shared" si="312"/>
        <v xml:space="preserve"> </v>
      </c>
      <c r="BY773" s="50" t="str">
        <f t="shared" si="323"/>
        <v>HESQUIAT POINT CREEK (Ihata)_Pink</v>
      </c>
      <c r="BZ773" s="50" t="str">
        <f>IFERROR(VLOOKUP(BY773,'[1]WCVI Esc'!$C$5:$W$555,18,FALSE),"-")</f>
        <v>-</v>
      </c>
      <c r="CA773" s="50" t="str">
        <f t="shared" si="313"/>
        <v>-</v>
      </c>
      <c r="CB773" s="50" t="str">
        <f>IFERROR(VLOOKUP(BY773,'[1]WCVI Esc'!$C$5:$W$555,19,FALSE),"-")</f>
        <v>-</v>
      </c>
      <c r="CC773" s="50" t="str">
        <f t="shared" si="314"/>
        <v>-</v>
      </c>
      <c r="CE773" s="342" t="str">
        <f t="shared" si="322"/>
        <v>HESQUIAT POINT CREEK (Ihata)_Pink</v>
      </c>
      <c r="CF773" s="341" t="str">
        <f>IFERROR(VLOOKUP(BY773,'RawPL+D'!$O$8:$AB$503,12,FALSE),"-")</f>
        <v>-</v>
      </c>
      <c r="CG773" s="338" t="str">
        <f t="shared" si="315"/>
        <v>-</v>
      </c>
      <c r="CH773" s="341" t="str">
        <f>IFERROR(VLOOKUP(BY773,'RawPL+D'!$O$8:$AB$503,13,FALSE),"-")</f>
        <v>-</v>
      </c>
      <c r="CI773" s="338" t="str">
        <f t="shared" si="316"/>
        <v>-</v>
      </c>
    </row>
    <row r="774" spans="1:87" ht="12.75" hidden="1" customHeight="1" x14ac:dyDescent="0.2">
      <c r="A774" s="28">
        <v>4</v>
      </c>
      <c r="B774" s="28">
        <v>4</v>
      </c>
      <c r="C774" s="11">
        <v>24</v>
      </c>
      <c r="D774" s="13" t="s">
        <v>359</v>
      </c>
      <c r="E774" s="10" t="s">
        <v>252</v>
      </c>
      <c r="F774" s="10" t="s">
        <v>209</v>
      </c>
      <c r="G774" s="10"/>
      <c r="H774" s="10"/>
      <c r="I774" s="10"/>
      <c r="J774" s="10"/>
      <c r="K774" s="575"/>
      <c r="L774" s="152"/>
      <c r="M774" s="164"/>
      <c r="N774" s="62"/>
      <c r="O774" s="62"/>
      <c r="P774" s="177"/>
      <c r="Q774" s="171"/>
      <c r="R774" s="62"/>
      <c r="S774" s="62"/>
      <c r="T774" s="62"/>
      <c r="U774" s="64"/>
      <c r="V774" s="164"/>
      <c r="W774" s="62"/>
      <c r="X774" s="62"/>
      <c r="Y774" s="62"/>
      <c r="Z774" s="64"/>
      <c r="AA774" s="164"/>
      <c r="AB774" s="62"/>
      <c r="AC774" s="62"/>
      <c r="AD774" s="64"/>
      <c r="AE774" s="164"/>
      <c r="AF774" s="62"/>
      <c r="AG774" s="62"/>
      <c r="AH774" s="337"/>
      <c r="AI774" s="337"/>
      <c r="AJ774" s="337"/>
      <c r="AK774" s="337"/>
      <c r="AL774" s="412"/>
      <c r="AM774" s="414"/>
      <c r="AN774" s="45"/>
      <c r="AO774" s="45"/>
      <c r="AP774" s="45"/>
      <c r="AQ774" s="485"/>
      <c r="AR774" s="485"/>
      <c r="AS774" s="485"/>
      <c r="AT774" s="24"/>
      <c r="AU774" s="24"/>
      <c r="AV774" s="24"/>
      <c r="AW774" s="18">
        <v>24</v>
      </c>
      <c r="AX774" s="69" t="s">
        <v>359</v>
      </c>
      <c r="AY774" s="243" t="s">
        <v>252</v>
      </c>
      <c r="AZ774" s="243" t="str">
        <f t="shared" si="301"/>
        <v>Chum</v>
      </c>
      <c r="BA774" s="243" t="s">
        <v>419</v>
      </c>
      <c r="BB774" s="246"/>
      <c r="BC774" s="43" t="str">
        <f t="shared" si="302"/>
        <v>-</v>
      </c>
      <c r="BD774" s="43">
        <f t="shared" si="320"/>
        <v>0</v>
      </c>
      <c r="BE774" s="193">
        <f t="shared" si="318"/>
        <v>0</v>
      </c>
      <c r="BF774" s="193">
        <f t="shared" si="303"/>
        <v>0</v>
      </c>
      <c r="BG774" s="193">
        <f t="shared" si="304"/>
        <v>0</v>
      </c>
      <c r="BH774" s="307" t="str">
        <f t="shared" si="319"/>
        <v>-</v>
      </c>
      <c r="BI774" s="273"/>
      <c r="BJ774" s="26" t="str">
        <f t="shared" si="305"/>
        <v>HESQUIAT POINT CREEK (Ihata)Chum</v>
      </c>
      <c r="BK774" s="26">
        <f t="shared" si="306"/>
        <v>0</v>
      </c>
      <c r="BL774" s="33">
        <f t="shared" si="321"/>
        <v>0</v>
      </c>
      <c r="BQ774" s="47" t="str">
        <f t="shared" si="307"/>
        <v>HESQUIAT POINT CREEK (Ihata)Chum</v>
      </c>
      <c r="BR774" s="49">
        <f t="shared" si="308"/>
        <v>0</v>
      </c>
      <c r="BS774" s="49">
        <f t="shared" si="317"/>
        <v>0</v>
      </c>
      <c r="BT774" s="31">
        <v>0</v>
      </c>
      <c r="BU774" s="188">
        <f t="shared" si="309"/>
        <v>0</v>
      </c>
      <c r="BV774" s="188" t="str">
        <f t="shared" si="310"/>
        <v xml:space="preserve"> </v>
      </c>
      <c r="BW774" s="188" t="str">
        <f t="shared" si="311"/>
        <v xml:space="preserve"> </v>
      </c>
      <c r="BX774" s="188" t="str">
        <f t="shared" si="312"/>
        <v xml:space="preserve"> </v>
      </c>
      <c r="BY774" s="50" t="str">
        <f t="shared" si="323"/>
        <v>HESQUIAT POINT CREEK (Ihata)_Chum</v>
      </c>
      <c r="BZ774" s="50" t="str">
        <f>IFERROR(VLOOKUP(BY774,'[1]WCVI Esc'!$C$5:$W$555,18,FALSE),"-")</f>
        <v>-</v>
      </c>
      <c r="CA774" s="50" t="str">
        <f t="shared" si="313"/>
        <v>-</v>
      </c>
      <c r="CB774" s="50" t="str">
        <f>IFERROR(VLOOKUP(BY774,'[1]WCVI Esc'!$C$5:$W$555,19,FALSE),"-")</f>
        <v>-</v>
      </c>
      <c r="CC774" s="50" t="str">
        <f t="shared" si="314"/>
        <v>-</v>
      </c>
      <c r="CE774" s="342" t="str">
        <f t="shared" si="322"/>
        <v>HESQUIAT POINT CREEK (Ihata)_Chum</v>
      </c>
      <c r="CF774" s="341" t="str">
        <f>IFERROR(VLOOKUP(BY774,'RawPL+D'!$O$8:$AB$503,12,FALSE),"-")</f>
        <v>-</v>
      </c>
      <c r="CG774" s="338" t="str">
        <f t="shared" si="315"/>
        <v>-</v>
      </c>
      <c r="CH774" s="341" t="str">
        <f>IFERROR(VLOOKUP(BY774,'RawPL+D'!$O$8:$AB$503,13,FALSE),"-")</f>
        <v>-</v>
      </c>
      <c r="CI774" s="338" t="str">
        <f t="shared" si="316"/>
        <v>-</v>
      </c>
    </row>
    <row r="775" spans="1:87" ht="12.75" hidden="1" customHeight="1" x14ac:dyDescent="0.2">
      <c r="A775" s="28">
        <v>4</v>
      </c>
      <c r="B775" s="28">
        <v>5</v>
      </c>
      <c r="C775" s="11">
        <v>24</v>
      </c>
      <c r="D775" s="13" t="s">
        <v>359</v>
      </c>
      <c r="E775" s="10" t="s">
        <v>252</v>
      </c>
      <c r="F775" s="10" t="s">
        <v>210</v>
      </c>
      <c r="G775" s="10"/>
      <c r="H775" s="10"/>
      <c r="I775" s="10"/>
      <c r="J775" s="10"/>
      <c r="K775" s="575"/>
      <c r="L775" s="152"/>
      <c r="M775" s="164"/>
      <c r="N775" s="62"/>
      <c r="O775" s="62"/>
      <c r="P775" s="177"/>
      <c r="Q775" s="171"/>
      <c r="R775" s="62"/>
      <c r="S775" s="62"/>
      <c r="T775" s="62"/>
      <c r="U775" s="64"/>
      <c r="V775" s="164"/>
      <c r="W775" s="62"/>
      <c r="X775" s="62"/>
      <c r="Y775" s="62"/>
      <c r="Z775" s="64"/>
      <c r="AA775" s="164"/>
      <c r="AB775" s="62"/>
      <c r="AC775" s="62"/>
      <c r="AD775" s="64"/>
      <c r="AE775" s="164"/>
      <c r="AF775" s="62"/>
      <c r="AG775" s="62"/>
      <c r="AH775" s="337"/>
      <c r="AI775" s="337"/>
      <c r="AJ775" s="337"/>
      <c r="AK775" s="337"/>
      <c r="AL775" s="412"/>
      <c r="AM775" s="414"/>
      <c r="AN775" s="45"/>
      <c r="AO775" s="45"/>
      <c r="AP775" s="45"/>
      <c r="AQ775" s="485"/>
      <c r="AR775" s="485"/>
      <c r="AS775" s="485"/>
      <c r="AT775" s="24"/>
      <c r="AU775" s="24"/>
      <c r="AV775" s="24"/>
      <c r="AW775" s="18">
        <v>24</v>
      </c>
      <c r="AX775" s="69" t="s">
        <v>359</v>
      </c>
      <c r="AY775" s="243" t="s">
        <v>252</v>
      </c>
      <c r="AZ775" s="243" t="str">
        <f t="shared" si="301"/>
        <v>Chinook</v>
      </c>
      <c r="BA775" s="243" t="s">
        <v>419</v>
      </c>
      <c r="BB775" s="246"/>
      <c r="BC775" s="43" t="str">
        <f t="shared" si="302"/>
        <v>-</v>
      </c>
      <c r="BD775" s="43">
        <f t="shared" si="320"/>
        <v>0</v>
      </c>
      <c r="BE775" s="193">
        <f t="shared" si="318"/>
        <v>0</v>
      </c>
      <c r="BF775" s="193">
        <f t="shared" si="303"/>
        <v>0</v>
      </c>
      <c r="BG775" s="193">
        <f t="shared" si="304"/>
        <v>0</v>
      </c>
      <c r="BH775" s="307" t="str">
        <f t="shared" si="319"/>
        <v>-</v>
      </c>
      <c r="BI775" s="273"/>
      <c r="BJ775" s="26" t="str">
        <f t="shared" si="305"/>
        <v>HESQUIAT POINT CREEK (Ihata)Chinook</v>
      </c>
      <c r="BK775" s="26">
        <f t="shared" si="306"/>
        <v>0</v>
      </c>
      <c r="BL775" s="33">
        <f t="shared" si="321"/>
        <v>0</v>
      </c>
      <c r="BQ775" s="47" t="str">
        <f t="shared" si="307"/>
        <v>HESQUIAT POINT CREEK (Ihata)Chinook</v>
      </c>
      <c r="BR775" s="49">
        <f t="shared" si="308"/>
        <v>0</v>
      </c>
      <c r="BS775" s="49">
        <f t="shared" si="317"/>
        <v>0</v>
      </c>
      <c r="BT775" s="31">
        <v>0</v>
      </c>
      <c r="BU775" s="188">
        <f t="shared" si="309"/>
        <v>0</v>
      </c>
      <c r="BV775" s="188" t="str">
        <f t="shared" si="310"/>
        <v xml:space="preserve"> </v>
      </c>
      <c r="BW775" s="188" t="str">
        <f t="shared" si="311"/>
        <v xml:space="preserve"> </v>
      </c>
      <c r="BX775" s="188" t="str">
        <f t="shared" si="312"/>
        <v xml:space="preserve"> </v>
      </c>
      <c r="BY775" s="50" t="str">
        <f t="shared" si="323"/>
        <v>HESQUIAT POINT CREEK (Ihata)_Chinook</v>
      </c>
      <c r="BZ775" s="50" t="str">
        <f>IFERROR(VLOOKUP(BY775,'[1]WCVI Esc'!$C$5:$W$555,18,FALSE),"-")</f>
        <v>-</v>
      </c>
      <c r="CA775" s="50" t="str">
        <f t="shared" si="313"/>
        <v>-</v>
      </c>
      <c r="CB775" s="50" t="str">
        <f>IFERROR(VLOOKUP(BY775,'[1]WCVI Esc'!$C$5:$W$555,19,FALSE),"-")</f>
        <v>-</v>
      </c>
      <c r="CC775" s="50" t="str">
        <f t="shared" si="314"/>
        <v>-</v>
      </c>
      <c r="CE775" s="342" t="str">
        <f t="shared" si="322"/>
        <v>HESQUIAT POINT CREEK (Ihata)_Chinook</v>
      </c>
      <c r="CF775" s="341" t="str">
        <f>IFERROR(VLOOKUP(BY775,'RawPL+D'!$O$8:$AB$503,12,FALSE),"-")</f>
        <v>-</v>
      </c>
      <c r="CG775" s="338" t="str">
        <f t="shared" si="315"/>
        <v>-</v>
      </c>
      <c r="CH775" s="341" t="str">
        <f>IFERROR(VLOOKUP(BY775,'RawPL+D'!$O$8:$AB$503,13,FALSE),"-")</f>
        <v>-</v>
      </c>
      <c r="CI775" s="338" t="str">
        <f t="shared" si="316"/>
        <v>-</v>
      </c>
    </row>
    <row r="776" spans="1:87" ht="12.75" hidden="1" customHeight="1" x14ac:dyDescent="0.2">
      <c r="A776" s="28">
        <v>4</v>
      </c>
      <c r="B776" s="28">
        <v>6</v>
      </c>
      <c r="C776" s="11">
        <v>24</v>
      </c>
      <c r="D776" s="13" t="s">
        <v>359</v>
      </c>
      <c r="E776" s="10" t="s">
        <v>252</v>
      </c>
      <c r="F776" s="10" t="s">
        <v>211</v>
      </c>
      <c r="G776" s="10"/>
      <c r="H776" s="10"/>
      <c r="I776" s="10"/>
      <c r="J776" s="10"/>
      <c r="K776" s="575"/>
      <c r="L776" s="152"/>
      <c r="M776" s="164"/>
      <c r="N776" s="62"/>
      <c r="O776" s="62"/>
      <c r="P776" s="177"/>
      <c r="Q776" s="171"/>
      <c r="R776" s="62"/>
      <c r="S776" s="62"/>
      <c r="T776" s="62"/>
      <c r="U776" s="64"/>
      <c r="V776" s="164"/>
      <c r="W776" s="62"/>
      <c r="X776" s="62"/>
      <c r="Y776" s="62"/>
      <c r="Z776" s="64"/>
      <c r="AA776" s="164"/>
      <c r="AB776" s="62"/>
      <c r="AC776" s="62"/>
      <c r="AD776" s="64"/>
      <c r="AE776" s="164"/>
      <c r="AF776" s="62"/>
      <c r="AG776" s="62"/>
      <c r="AH776" s="337"/>
      <c r="AI776" s="337"/>
      <c r="AJ776" s="337"/>
      <c r="AK776" s="337"/>
      <c r="AL776" s="412"/>
      <c r="AM776" s="414"/>
      <c r="AN776" s="45"/>
      <c r="AO776" s="45"/>
      <c r="AP776" s="45"/>
      <c r="AQ776" s="485"/>
      <c r="AR776" s="485"/>
      <c r="AS776" s="485"/>
      <c r="AT776" s="24"/>
      <c r="AU776" s="24"/>
      <c r="AV776" s="24"/>
      <c r="AW776" s="18">
        <v>24</v>
      </c>
      <c r="AX776" s="69" t="s">
        <v>359</v>
      </c>
      <c r="AY776" s="243" t="s">
        <v>252</v>
      </c>
      <c r="AZ776" s="243" t="str">
        <f t="shared" si="301"/>
        <v>Steelhead</v>
      </c>
      <c r="BA776" s="243" t="s">
        <v>419</v>
      </c>
      <c r="BB776" s="246"/>
      <c r="BC776" s="43" t="str">
        <f t="shared" si="302"/>
        <v>-</v>
      </c>
      <c r="BD776" s="43">
        <f t="shared" si="320"/>
        <v>0</v>
      </c>
      <c r="BE776" s="193">
        <f t="shared" si="318"/>
        <v>0</v>
      </c>
      <c r="BF776" s="193">
        <f t="shared" si="303"/>
        <v>0</v>
      </c>
      <c r="BG776" s="193">
        <f t="shared" si="304"/>
        <v>0</v>
      </c>
      <c r="BH776" s="307" t="str">
        <f t="shared" si="319"/>
        <v>-</v>
      </c>
      <c r="BI776" s="266"/>
      <c r="BJ776" s="26" t="str">
        <f t="shared" si="305"/>
        <v>HESQUIAT POINT CREEK (Ihata)Steelhead</v>
      </c>
      <c r="BK776" s="26">
        <f t="shared" si="306"/>
        <v>0</v>
      </c>
      <c r="BL776" s="33">
        <f t="shared" si="321"/>
        <v>0</v>
      </c>
      <c r="BQ776" s="47" t="str">
        <f t="shared" si="307"/>
        <v>HESQUIAT POINT CREEK (Ihata)Steelhead</v>
      </c>
      <c r="BR776" s="49">
        <f t="shared" si="308"/>
        <v>0</v>
      </c>
      <c r="BS776" s="49">
        <f t="shared" si="317"/>
        <v>0</v>
      </c>
      <c r="BT776" s="31">
        <v>0</v>
      </c>
      <c r="BU776" s="188">
        <f t="shared" si="309"/>
        <v>0</v>
      </c>
      <c r="BV776" s="188" t="str">
        <f t="shared" si="310"/>
        <v xml:space="preserve"> </v>
      </c>
      <c r="BW776" s="188" t="str">
        <f t="shared" si="311"/>
        <v xml:space="preserve"> </v>
      </c>
      <c r="BX776" s="188" t="str">
        <f t="shared" si="312"/>
        <v xml:space="preserve"> </v>
      </c>
      <c r="BY776" s="50" t="str">
        <f t="shared" si="323"/>
        <v>HESQUIAT POINT CREEK (Ihata)_Steelhead</v>
      </c>
      <c r="BZ776" s="50" t="str">
        <f>IFERROR(VLOOKUP(BY776,'[1]WCVI Esc'!$C$5:$W$555,18,FALSE),"-")</f>
        <v>-</v>
      </c>
      <c r="CA776" s="50" t="str">
        <f t="shared" si="313"/>
        <v>-</v>
      </c>
      <c r="CB776" s="50" t="str">
        <f>IFERROR(VLOOKUP(BY776,'[1]WCVI Esc'!$C$5:$W$555,19,FALSE),"-")</f>
        <v>-</v>
      </c>
      <c r="CC776" s="50" t="str">
        <f t="shared" si="314"/>
        <v>-</v>
      </c>
      <c r="CE776" s="342" t="str">
        <f t="shared" si="322"/>
        <v>HESQUIAT POINT CREEK (Ihata)_Steelhead</v>
      </c>
      <c r="CF776" s="341" t="str">
        <f>IFERROR(VLOOKUP(BY776,'RawPL+D'!$O$8:$AB$503,12,FALSE),"-")</f>
        <v>-</v>
      </c>
      <c r="CG776" s="338" t="str">
        <f t="shared" si="315"/>
        <v>-</v>
      </c>
      <c r="CH776" s="341" t="str">
        <f>IFERROR(VLOOKUP(BY776,'RawPL+D'!$O$8:$AB$503,13,FALSE),"-")</f>
        <v>-</v>
      </c>
      <c r="CI776" s="338" t="str">
        <f t="shared" si="316"/>
        <v>-</v>
      </c>
    </row>
    <row r="777" spans="1:87" ht="12.75" hidden="1" customHeight="1" x14ac:dyDescent="0.2">
      <c r="A777" s="28">
        <v>4</v>
      </c>
      <c r="B777" s="28">
        <v>1</v>
      </c>
      <c r="C777" s="11">
        <v>24</v>
      </c>
      <c r="D777" s="13" t="s">
        <v>359</v>
      </c>
      <c r="E777" s="10" t="s">
        <v>122</v>
      </c>
      <c r="F777" s="10" t="s">
        <v>207</v>
      </c>
      <c r="G777" s="10"/>
      <c r="H777" s="10"/>
      <c r="I777" s="10"/>
      <c r="J777" s="10"/>
      <c r="K777" s="575"/>
      <c r="L777" s="152"/>
      <c r="M777" s="164"/>
      <c r="N777" s="62"/>
      <c r="O777" s="62"/>
      <c r="P777" s="177"/>
      <c r="Q777" s="171"/>
      <c r="R777" s="62"/>
      <c r="S777" s="62"/>
      <c r="T777" s="62"/>
      <c r="U777" s="64"/>
      <c r="V777" s="164"/>
      <c r="W777" s="62"/>
      <c r="X777" s="62"/>
      <c r="Y777" s="62"/>
      <c r="Z777" s="64"/>
      <c r="AA777" s="164"/>
      <c r="AB777" s="62"/>
      <c r="AC777" s="62"/>
      <c r="AD777" s="64"/>
      <c r="AE777" s="164"/>
      <c r="AF777" s="62"/>
      <c r="AG777" s="62"/>
      <c r="AH777" s="337"/>
      <c r="AI777" s="337"/>
      <c r="AJ777" s="337"/>
      <c r="AK777" s="337"/>
      <c r="AL777" s="412"/>
      <c r="AM777" s="414"/>
      <c r="AN777" s="45"/>
      <c r="AO777" s="45"/>
      <c r="AP777" s="45"/>
      <c r="AQ777" s="485"/>
      <c r="AR777" s="485"/>
      <c r="AS777" s="485"/>
      <c r="AT777" s="24"/>
      <c r="AU777" s="24"/>
      <c r="AV777" s="24"/>
      <c r="AW777" s="18">
        <v>24</v>
      </c>
      <c r="AX777" s="69" t="s">
        <v>359</v>
      </c>
      <c r="AY777" s="243" t="s">
        <v>122</v>
      </c>
      <c r="AZ777" s="243" t="str">
        <f t="shared" ref="AZ777:AZ840" si="324">F777</f>
        <v>Sockeye</v>
      </c>
      <c r="BA777" s="243" t="s">
        <v>419</v>
      </c>
      <c r="BB777" s="246"/>
      <c r="BC777" s="43" t="str">
        <f t="shared" ref="BC777:BC840" si="325">IF(BX777=" ",IF(BW777=" ", IF(BV777=" ","-",BV777),BW777), BX777)</f>
        <v>-</v>
      </c>
      <c r="BD777" s="43">
        <f t="shared" si="320"/>
        <v>0</v>
      </c>
      <c r="BE777" s="193">
        <f t="shared" si="318"/>
        <v>0</v>
      </c>
      <c r="BF777" s="193">
        <f t="shared" ref="BF777:BF840" si="326">AL777</f>
        <v>0</v>
      </c>
      <c r="BG777" s="193">
        <f t="shared" ref="BG777:BG840" si="327">AH777</f>
        <v>0</v>
      </c>
      <c r="BH777" s="307" t="str">
        <f t="shared" si="319"/>
        <v>-</v>
      </c>
      <c r="BI777" s="266"/>
      <c r="BJ777" s="26" t="str">
        <f t="shared" ref="BJ777:BJ840" si="328">CONCATENATE(E777,F777)</f>
        <v>HOOTLA KOOTLA CREEKSockeye</v>
      </c>
      <c r="BK777" s="26">
        <f t="shared" ref="BK777:BK840" si="329">COUNT(K777:AB777)</f>
        <v>0</v>
      </c>
      <c r="BL777" s="33">
        <f t="shared" si="321"/>
        <v>0</v>
      </c>
      <c r="BQ777" s="47" t="str">
        <f t="shared" ref="BQ777:BQ840" si="330">CONCATENATE(E777,F777)</f>
        <v>HOOTLA KOOTLA CREEKSockeye</v>
      </c>
      <c r="BR777" s="49">
        <f t="shared" ref="BR777:BR840" si="331">AP777</f>
        <v>0</v>
      </c>
      <c r="BS777" s="49">
        <f t="shared" si="317"/>
        <v>0</v>
      </c>
      <c r="BT777" s="31">
        <v>0</v>
      </c>
      <c r="BU777" s="188">
        <f t="shared" ref="BU777:BU840" si="332">BB777</f>
        <v>0</v>
      </c>
      <c r="BV777" s="188" t="str">
        <f t="shared" ref="BV777:BV840" si="333">IF(ISNUMBER(Q777),Q$8,IF(ISNUMBER(P777),P$8,IF(ISNUMBER(O777),O$8,IF(ISNUMBER(N777),N$8,IF(ISNUMBER(M777),M$8,IF(ISNUMBER(L777),L$8, IF(ISNUMBER(K777),K$8," ")))))))</f>
        <v xml:space="preserve"> </v>
      </c>
      <c r="BW777" s="188" t="str">
        <f t="shared" ref="BW777:BW840" si="334">IF(ISNUMBER(W777),W$8,IF(ISNUMBER(V777),V$8,IF(ISNUMBER(U777),U$8,IF(ISNUMBER(T777),T$8,IF(ISNUMBER(S777),S$8,IF(ISNUMBER(R777),R$8," "))))))</f>
        <v xml:space="preserve"> </v>
      </c>
      <c r="BX777" s="188" t="str">
        <f t="shared" ref="BX777:BX840" si="335">IF(ISNUMBER(AB777),AB$8,IF(ISNUMBER(AA777),AA$8,IF(ISNUMBER(Z777),Z$8,IF(ISNUMBER(Y777),Y$8,IF(ISNUMBER(X777),X$8," ")))))</f>
        <v xml:space="preserve"> </v>
      </c>
      <c r="BY777" s="50" t="str">
        <f t="shared" si="323"/>
        <v>HOOTLA KOOTLA CREEK_Sockeye</v>
      </c>
      <c r="BZ777" s="50" t="str">
        <f>IFERROR(VLOOKUP(BY777,'[1]WCVI Esc'!$C$5:$W$555,18,FALSE),"-")</f>
        <v>-</v>
      </c>
      <c r="CA777" s="50" t="str">
        <f t="shared" ref="CA777:CA840" si="336">IFERROR(ROUND(BZ777,-1),"-")</f>
        <v>-</v>
      </c>
      <c r="CB777" s="50" t="str">
        <f>IFERROR(VLOOKUP(BY777,'[1]WCVI Esc'!$C$5:$W$555,19,FALSE),"-")</f>
        <v>-</v>
      </c>
      <c r="CC777" s="50" t="str">
        <f t="shared" ref="CC777:CC840" si="337">IFERROR(ROUND(CB777,-1),"-")</f>
        <v>-</v>
      </c>
      <c r="CE777" s="342" t="str">
        <f t="shared" si="322"/>
        <v>HOOTLA KOOTLA CREEK_Sockeye</v>
      </c>
      <c r="CF777" s="341" t="str">
        <f>IFERROR(VLOOKUP(BY777,'RawPL+D'!$O$8:$AB$503,12,FALSE),"-")</f>
        <v>-</v>
      </c>
      <c r="CG777" s="338" t="str">
        <f t="shared" ref="CG777:CG840" si="338">IFERROR(ROUND(CF777,-1),"-")</f>
        <v>-</v>
      </c>
      <c r="CH777" s="341" t="str">
        <f>IFERROR(VLOOKUP(BY777,'RawPL+D'!$O$8:$AB$503,13,FALSE),"-")</f>
        <v>-</v>
      </c>
      <c r="CI777" s="338" t="str">
        <f t="shared" ref="CI777:CI840" si="339">IFERROR(ROUND(CH777,-1),"-")</f>
        <v>-</v>
      </c>
    </row>
    <row r="778" spans="1:87" ht="12.75" hidden="1" customHeight="1" x14ac:dyDescent="0.2">
      <c r="A778" s="28">
        <v>4</v>
      </c>
      <c r="B778" s="28">
        <v>2</v>
      </c>
      <c r="C778" s="11">
        <v>24</v>
      </c>
      <c r="D778" s="13" t="s">
        <v>359</v>
      </c>
      <c r="E778" s="10" t="s">
        <v>122</v>
      </c>
      <c r="F778" s="10" t="s">
        <v>219</v>
      </c>
      <c r="G778" s="10"/>
      <c r="H778" s="10"/>
      <c r="I778" s="10"/>
      <c r="J778" s="10"/>
      <c r="K778" s="575"/>
      <c r="L778" s="152"/>
      <c r="M778" s="164"/>
      <c r="N778" s="62"/>
      <c r="O778" s="62"/>
      <c r="P778" s="177"/>
      <c r="Q778" s="171"/>
      <c r="R778" s="62"/>
      <c r="S778" s="62"/>
      <c r="T778" s="62"/>
      <c r="U778" s="64"/>
      <c r="V778" s="164"/>
      <c r="W778" s="62"/>
      <c r="X778" s="62"/>
      <c r="Y778" s="62"/>
      <c r="Z778" s="64"/>
      <c r="AA778" s="164"/>
      <c r="AB778" s="62"/>
      <c r="AC778" s="62"/>
      <c r="AD778" s="64"/>
      <c r="AE778" s="164"/>
      <c r="AF778" s="62"/>
      <c r="AG778" s="62"/>
      <c r="AH778" s="337"/>
      <c r="AI778" s="337"/>
      <c r="AJ778" s="337"/>
      <c r="AK778" s="337"/>
      <c r="AL778" s="412"/>
      <c r="AM778" s="414"/>
      <c r="AN778" s="45"/>
      <c r="AO778" s="45"/>
      <c r="AP778" s="45"/>
      <c r="AQ778" s="485"/>
      <c r="AR778" s="485"/>
      <c r="AS778" s="485"/>
      <c r="AT778" s="24"/>
      <c r="AU778" s="24"/>
      <c r="AV778" s="24"/>
      <c r="AW778" s="18">
        <v>24</v>
      </c>
      <c r="AX778" s="69" t="s">
        <v>359</v>
      </c>
      <c r="AY778" s="243" t="s">
        <v>122</v>
      </c>
      <c r="AZ778" s="243" t="str">
        <f t="shared" si="324"/>
        <v>Coho</v>
      </c>
      <c r="BA778" s="243" t="s">
        <v>419</v>
      </c>
      <c r="BB778" s="246"/>
      <c r="BC778" s="43" t="str">
        <f t="shared" si="325"/>
        <v>-</v>
      </c>
      <c r="BD778" s="43">
        <f t="shared" si="320"/>
        <v>0</v>
      </c>
      <c r="BE778" s="193">
        <f t="shared" si="318"/>
        <v>0</v>
      </c>
      <c r="BF778" s="193">
        <f t="shared" si="326"/>
        <v>0</v>
      </c>
      <c r="BG778" s="193">
        <f t="shared" si="327"/>
        <v>0</v>
      </c>
      <c r="BH778" s="307">
        <f t="shared" si="319"/>
        <v>0</v>
      </c>
      <c r="BI778" s="266"/>
      <c r="BJ778" s="26" t="str">
        <f t="shared" si="328"/>
        <v>HOOTLA KOOTLA CREEKCoho</v>
      </c>
      <c r="BK778" s="26">
        <f t="shared" si="329"/>
        <v>0</v>
      </c>
      <c r="BL778" s="33">
        <f t="shared" si="321"/>
        <v>0</v>
      </c>
      <c r="BQ778" s="47" t="str">
        <f t="shared" si="330"/>
        <v>HOOTLA KOOTLA CREEKCoho</v>
      </c>
      <c r="BR778" s="49">
        <f t="shared" si="331"/>
        <v>0</v>
      </c>
      <c r="BS778" s="49">
        <f t="shared" si="317"/>
        <v>0</v>
      </c>
      <c r="BT778" s="31">
        <v>2001</v>
      </c>
      <c r="BU778" s="188">
        <f t="shared" si="332"/>
        <v>0</v>
      </c>
      <c r="BV778" s="188" t="str">
        <f t="shared" si="333"/>
        <v xml:space="preserve"> </v>
      </c>
      <c r="BW778" s="188" t="str">
        <f t="shared" si="334"/>
        <v xml:space="preserve"> </v>
      </c>
      <c r="BX778" s="188" t="str">
        <f t="shared" si="335"/>
        <v xml:space="preserve"> </v>
      </c>
      <c r="BY778" s="50" t="str">
        <f t="shared" si="323"/>
        <v>HOOTLA KOOTLA CREEK_Coho</v>
      </c>
      <c r="BZ778" s="50" t="str">
        <f>IFERROR(VLOOKUP(BY778,'[1]WCVI Esc'!$C$5:$W$555,18,FALSE),"-")</f>
        <v>-</v>
      </c>
      <c r="CA778" s="50" t="str">
        <f t="shared" si="336"/>
        <v>-</v>
      </c>
      <c r="CB778" s="50" t="str">
        <f>IFERROR(VLOOKUP(BY778,'[1]WCVI Esc'!$C$5:$W$555,19,FALSE),"-")</f>
        <v>-</v>
      </c>
      <c r="CC778" s="50" t="str">
        <f t="shared" si="337"/>
        <v>-</v>
      </c>
      <c r="CE778" s="342" t="str">
        <f t="shared" si="322"/>
        <v>HOOTLA KOOTLA CREEK_Coho</v>
      </c>
      <c r="CF778" s="341">
        <f>IFERROR(VLOOKUP(BY778,'RawPL+D'!$O$8:$AB$503,12,FALSE),"-")</f>
        <v>0</v>
      </c>
      <c r="CG778" s="338">
        <f t="shared" si="338"/>
        <v>0</v>
      </c>
      <c r="CH778" s="341">
        <f>IFERROR(VLOOKUP(BY778,'RawPL+D'!$O$8:$AB$503,13,FALSE),"-")</f>
        <v>0</v>
      </c>
      <c r="CI778" s="338">
        <f t="shared" si="339"/>
        <v>0</v>
      </c>
    </row>
    <row r="779" spans="1:87" ht="12.75" hidden="1" customHeight="1" x14ac:dyDescent="0.2">
      <c r="A779" s="28">
        <v>4</v>
      </c>
      <c r="B779" s="28">
        <v>3</v>
      </c>
      <c r="C779" s="11">
        <v>24</v>
      </c>
      <c r="D779" s="13" t="s">
        <v>359</v>
      </c>
      <c r="E779" s="10" t="s">
        <v>122</v>
      </c>
      <c r="F779" s="10" t="s">
        <v>208</v>
      </c>
      <c r="G779" s="10"/>
      <c r="H779" s="10"/>
      <c r="I779" s="10"/>
      <c r="J779" s="10"/>
      <c r="K779" s="575"/>
      <c r="L779" s="152"/>
      <c r="M779" s="164"/>
      <c r="N779" s="62"/>
      <c r="O779" s="62"/>
      <c r="P779" s="177"/>
      <c r="Q779" s="171"/>
      <c r="R779" s="62"/>
      <c r="S779" s="62"/>
      <c r="T779" s="62"/>
      <c r="U779" s="64"/>
      <c r="V779" s="164"/>
      <c r="W779" s="62"/>
      <c r="X779" s="62"/>
      <c r="Y779" s="62"/>
      <c r="Z779" s="64"/>
      <c r="AA779" s="164"/>
      <c r="AB779" s="62"/>
      <c r="AC779" s="62"/>
      <c r="AD779" s="64"/>
      <c r="AE779" s="164"/>
      <c r="AF779" s="62"/>
      <c r="AG779" s="62"/>
      <c r="AH779" s="337"/>
      <c r="AI779" s="337"/>
      <c r="AJ779" s="337"/>
      <c r="AK779" s="337"/>
      <c r="AL779" s="412"/>
      <c r="AM779" s="414"/>
      <c r="AN779" s="45"/>
      <c r="AO779" s="45"/>
      <c r="AP779" s="45"/>
      <c r="AQ779" s="485"/>
      <c r="AR779" s="485"/>
      <c r="AS779" s="485"/>
      <c r="AT779" s="24"/>
      <c r="AU779" s="24"/>
      <c r="AV779" s="24"/>
      <c r="AW779" s="18">
        <v>24</v>
      </c>
      <c r="AX779" s="69" t="s">
        <v>359</v>
      </c>
      <c r="AY779" s="243" t="s">
        <v>122</v>
      </c>
      <c r="AZ779" s="243" t="str">
        <f t="shared" si="324"/>
        <v>Pink</v>
      </c>
      <c r="BA779" s="243" t="s">
        <v>419</v>
      </c>
      <c r="BB779" s="246"/>
      <c r="BC779" s="43" t="str">
        <f t="shared" si="325"/>
        <v>-</v>
      </c>
      <c r="BD779" s="43">
        <f t="shared" si="320"/>
        <v>0</v>
      </c>
      <c r="BE779" s="193">
        <f t="shared" si="318"/>
        <v>0</v>
      </c>
      <c r="BF779" s="193">
        <f t="shared" si="326"/>
        <v>0</v>
      </c>
      <c r="BG779" s="193">
        <f t="shared" si="327"/>
        <v>0</v>
      </c>
      <c r="BH779" s="307" t="str">
        <f t="shared" si="319"/>
        <v>-</v>
      </c>
      <c r="BI779" s="266"/>
      <c r="BJ779" s="26" t="str">
        <f t="shared" si="328"/>
        <v>HOOTLA KOOTLA CREEKPink</v>
      </c>
      <c r="BK779" s="26">
        <f t="shared" si="329"/>
        <v>0</v>
      </c>
      <c r="BL779" s="33">
        <f t="shared" si="321"/>
        <v>0</v>
      </c>
      <c r="BQ779" s="47" t="str">
        <f t="shared" si="330"/>
        <v>HOOTLA KOOTLA CREEKPink</v>
      </c>
      <c r="BR779" s="49">
        <f t="shared" si="331"/>
        <v>0</v>
      </c>
      <c r="BS779" s="49">
        <f t="shared" si="317"/>
        <v>0</v>
      </c>
      <c r="BT779" s="31">
        <v>0</v>
      </c>
      <c r="BU779" s="188">
        <f t="shared" si="332"/>
        <v>0</v>
      </c>
      <c r="BV779" s="188" t="str">
        <f t="shared" si="333"/>
        <v xml:space="preserve"> </v>
      </c>
      <c r="BW779" s="188" t="str">
        <f t="shared" si="334"/>
        <v xml:space="preserve"> </v>
      </c>
      <c r="BX779" s="188" t="str">
        <f t="shared" si="335"/>
        <v xml:space="preserve"> </v>
      </c>
      <c r="BY779" s="50" t="str">
        <f t="shared" si="323"/>
        <v>HOOTLA KOOTLA CREEK_Pink</v>
      </c>
      <c r="BZ779" s="50" t="str">
        <f>IFERROR(VLOOKUP(BY779,'[1]WCVI Esc'!$C$5:$W$555,18,FALSE),"-")</f>
        <v>-</v>
      </c>
      <c r="CA779" s="50" t="str">
        <f t="shared" si="336"/>
        <v>-</v>
      </c>
      <c r="CB779" s="50" t="str">
        <f>IFERROR(VLOOKUP(BY779,'[1]WCVI Esc'!$C$5:$W$555,19,FALSE),"-")</f>
        <v>-</v>
      </c>
      <c r="CC779" s="50" t="str">
        <f t="shared" si="337"/>
        <v>-</v>
      </c>
      <c r="CE779" s="342" t="str">
        <f t="shared" si="322"/>
        <v>HOOTLA KOOTLA CREEK_Pink</v>
      </c>
      <c r="CF779" s="341" t="str">
        <f>IFERROR(VLOOKUP(BY779,'RawPL+D'!$O$8:$AB$503,12,FALSE),"-")</f>
        <v>-</v>
      </c>
      <c r="CG779" s="338" t="str">
        <f t="shared" si="338"/>
        <v>-</v>
      </c>
      <c r="CH779" s="341" t="str">
        <f>IFERROR(VLOOKUP(BY779,'RawPL+D'!$O$8:$AB$503,13,FALSE),"-")</f>
        <v>-</v>
      </c>
      <c r="CI779" s="338" t="str">
        <f t="shared" si="339"/>
        <v>-</v>
      </c>
    </row>
    <row r="780" spans="1:87" ht="12.75" hidden="1" customHeight="1" x14ac:dyDescent="0.2">
      <c r="A780" s="28">
        <v>4</v>
      </c>
      <c r="B780" s="28">
        <v>4</v>
      </c>
      <c r="C780" s="11">
        <v>24</v>
      </c>
      <c r="D780" s="13" t="s">
        <v>359</v>
      </c>
      <c r="E780" s="10" t="s">
        <v>122</v>
      </c>
      <c r="F780" s="10" t="s">
        <v>209</v>
      </c>
      <c r="G780" s="10"/>
      <c r="H780" s="10"/>
      <c r="I780" s="10"/>
      <c r="J780" s="10"/>
      <c r="K780" s="575"/>
      <c r="L780" s="152"/>
      <c r="M780" s="164"/>
      <c r="N780" s="62"/>
      <c r="O780" s="62"/>
      <c r="P780" s="177"/>
      <c r="Q780" s="171"/>
      <c r="R780" s="62"/>
      <c r="S780" s="62"/>
      <c r="T780" s="62"/>
      <c r="U780" s="64"/>
      <c r="V780" s="164"/>
      <c r="W780" s="62"/>
      <c r="X780" s="62"/>
      <c r="Y780" s="62"/>
      <c r="Z780" s="64"/>
      <c r="AA780" s="164"/>
      <c r="AB780" s="62"/>
      <c r="AC780" s="62"/>
      <c r="AD780" s="64"/>
      <c r="AE780" s="164"/>
      <c r="AF780" s="62"/>
      <c r="AG780" s="62"/>
      <c r="AH780" s="337"/>
      <c r="AI780" s="337"/>
      <c r="AJ780" s="337"/>
      <c r="AK780" s="337"/>
      <c r="AL780" s="412"/>
      <c r="AM780" s="414"/>
      <c r="AN780" s="45"/>
      <c r="AO780" s="45"/>
      <c r="AP780" s="45"/>
      <c r="AQ780" s="485"/>
      <c r="AR780" s="485"/>
      <c r="AS780" s="485"/>
      <c r="AT780" s="24"/>
      <c r="AU780" s="24"/>
      <c r="AV780" s="24"/>
      <c r="AW780" s="18">
        <v>24</v>
      </c>
      <c r="AX780" s="69" t="s">
        <v>359</v>
      </c>
      <c r="AY780" s="243" t="s">
        <v>122</v>
      </c>
      <c r="AZ780" s="243" t="str">
        <f t="shared" si="324"/>
        <v>Chum</v>
      </c>
      <c r="BA780" s="243" t="s">
        <v>419</v>
      </c>
      <c r="BB780" s="246"/>
      <c r="BC780" s="43" t="str">
        <f t="shared" si="325"/>
        <v>-</v>
      </c>
      <c r="BD780" s="43">
        <f t="shared" si="320"/>
        <v>0</v>
      </c>
      <c r="BE780" s="193">
        <f t="shared" si="318"/>
        <v>0</v>
      </c>
      <c r="BF780" s="193">
        <f t="shared" si="326"/>
        <v>0</v>
      </c>
      <c r="BG780" s="193">
        <f t="shared" si="327"/>
        <v>0</v>
      </c>
      <c r="BH780" s="307">
        <f t="shared" si="319"/>
        <v>0</v>
      </c>
      <c r="BI780" s="266"/>
      <c r="BJ780" s="26" t="str">
        <f t="shared" si="328"/>
        <v>HOOTLA KOOTLA CREEKChum</v>
      </c>
      <c r="BK780" s="26">
        <f t="shared" si="329"/>
        <v>0</v>
      </c>
      <c r="BL780" s="33">
        <f t="shared" si="321"/>
        <v>0</v>
      </c>
      <c r="BQ780" s="47" t="str">
        <f t="shared" si="330"/>
        <v>HOOTLA KOOTLA CREEKChum</v>
      </c>
      <c r="BR780" s="49">
        <f t="shared" si="331"/>
        <v>0</v>
      </c>
      <c r="BS780" s="49">
        <f t="shared" si="317"/>
        <v>0</v>
      </c>
      <c r="BT780" s="31">
        <v>2001</v>
      </c>
      <c r="BU780" s="188">
        <f t="shared" si="332"/>
        <v>0</v>
      </c>
      <c r="BV780" s="188" t="str">
        <f t="shared" si="333"/>
        <v xml:space="preserve"> </v>
      </c>
      <c r="BW780" s="188" t="str">
        <f t="shared" si="334"/>
        <v xml:space="preserve"> </v>
      </c>
      <c r="BX780" s="188" t="str">
        <f t="shared" si="335"/>
        <v xml:space="preserve"> </v>
      </c>
      <c r="BY780" s="50" t="str">
        <f t="shared" si="323"/>
        <v>HOOTLA KOOTLA CREEK_Chum</v>
      </c>
      <c r="BZ780" s="50" t="str">
        <f>IFERROR(VLOOKUP(BY780,'[1]WCVI Esc'!$C$5:$W$555,18,FALSE),"-")</f>
        <v>-</v>
      </c>
      <c r="CA780" s="50" t="str">
        <f t="shared" si="336"/>
        <v>-</v>
      </c>
      <c r="CB780" s="50" t="str">
        <f>IFERROR(VLOOKUP(BY780,'[1]WCVI Esc'!$C$5:$W$555,19,FALSE),"-")</f>
        <v>-</v>
      </c>
      <c r="CC780" s="50" t="str">
        <f t="shared" si="337"/>
        <v>-</v>
      </c>
      <c r="CE780" s="342" t="str">
        <f t="shared" si="322"/>
        <v>HOOTLA KOOTLA CREEK_Chum</v>
      </c>
      <c r="CF780" s="341">
        <f>IFERROR(VLOOKUP(BY780,'RawPL+D'!$O$8:$AB$503,12,FALSE),"-")</f>
        <v>0</v>
      </c>
      <c r="CG780" s="338">
        <f t="shared" si="338"/>
        <v>0</v>
      </c>
      <c r="CH780" s="341">
        <f>IFERROR(VLOOKUP(BY780,'RawPL+D'!$O$8:$AB$503,13,FALSE),"-")</f>
        <v>0</v>
      </c>
      <c r="CI780" s="338">
        <f t="shared" si="339"/>
        <v>0</v>
      </c>
    </row>
    <row r="781" spans="1:87" ht="12.75" hidden="1" customHeight="1" x14ac:dyDescent="0.2">
      <c r="A781" s="28">
        <v>4</v>
      </c>
      <c r="B781" s="28">
        <v>5</v>
      </c>
      <c r="C781" s="11">
        <v>24</v>
      </c>
      <c r="D781" s="13" t="s">
        <v>359</v>
      </c>
      <c r="E781" s="10" t="s">
        <v>122</v>
      </c>
      <c r="F781" s="10" t="s">
        <v>210</v>
      </c>
      <c r="G781" s="10"/>
      <c r="H781" s="10"/>
      <c r="I781" s="10"/>
      <c r="J781" s="10"/>
      <c r="K781" s="575"/>
      <c r="L781" s="152"/>
      <c r="M781" s="164"/>
      <c r="N781" s="62"/>
      <c r="O781" s="62"/>
      <c r="P781" s="177"/>
      <c r="Q781" s="171"/>
      <c r="R781" s="62"/>
      <c r="S781" s="62"/>
      <c r="T781" s="62"/>
      <c r="U781" s="64"/>
      <c r="V781" s="164"/>
      <c r="W781" s="62"/>
      <c r="X781" s="62"/>
      <c r="Y781" s="62"/>
      <c r="Z781" s="64"/>
      <c r="AA781" s="164"/>
      <c r="AB781" s="62"/>
      <c r="AC781" s="62"/>
      <c r="AD781" s="64"/>
      <c r="AE781" s="164"/>
      <c r="AF781" s="62"/>
      <c r="AG781" s="62"/>
      <c r="AH781" s="337"/>
      <c r="AI781" s="337"/>
      <c r="AJ781" s="337"/>
      <c r="AK781" s="337"/>
      <c r="AL781" s="412"/>
      <c r="AM781" s="414"/>
      <c r="AN781" s="45"/>
      <c r="AO781" s="45"/>
      <c r="AP781" s="45"/>
      <c r="AQ781" s="485"/>
      <c r="AR781" s="485"/>
      <c r="AS781" s="485"/>
      <c r="AT781" s="24"/>
      <c r="AU781" s="24"/>
      <c r="AV781" s="24"/>
      <c r="AW781" s="18">
        <v>24</v>
      </c>
      <c r="AX781" s="69" t="s">
        <v>359</v>
      </c>
      <c r="AY781" s="243" t="s">
        <v>122</v>
      </c>
      <c r="AZ781" s="243" t="str">
        <f t="shared" si="324"/>
        <v>Chinook</v>
      </c>
      <c r="BA781" s="243" t="s">
        <v>419</v>
      </c>
      <c r="BB781" s="246"/>
      <c r="BC781" s="43" t="str">
        <f t="shared" si="325"/>
        <v>-</v>
      </c>
      <c r="BD781" s="43">
        <f t="shared" si="320"/>
        <v>0</v>
      </c>
      <c r="BE781" s="193">
        <f t="shared" si="318"/>
        <v>0</v>
      </c>
      <c r="BF781" s="193">
        <f t="shared" si="326"/>
        <v>0</v>
      </c>
      <c r="BG781" s="193">
        <f t="shared" si="327"/>
        <v>0</v>
      </c>
      <c r="BH781" s="307" t="str">
        <f t="shared" si="319"/>
        <v>-</v>
      </c>
      <c r="BI781" s="266"/>
      <c r="BJ781" s="26" t="str">
        <f t="shared" si="328"/>
        <v>HOOTLA KOOTLA CREEKChinook</v>
      </c>
      <c r="BK781" s="26">
        <f t="shared" si="329"/>
        <v>0</v>
      </c>
      <c r="BL781" s="33">
        <f t="shared" si="321"/>
        <v>0</v>
      </c>
      <c r="BQ781" s="47" t="str">
        <f t="shared" si="330"/>
        <v>HOOTLA KOOTLA CREEKChinook</v>
      </c>
      <c r="BR781" s="49">
        <f t="shared" si="331"/>
        <v>0</v>
      </c>
      <c r="BS781" s="49">
        <f t="shared" ref="BS781:BS844" si="340">AL781</f>
        <v>0</v>
      </c>
      <c r="BT781" s="31">
        <v>0</v>
      </c>
      <c r="BU781" s="188">
        <f t="shared" si="332"/>
        <v>0</v>
      </c>
      <c r="BV781" s="188" t="str">
        <f t="shared" si="333"/>
        <v xml:space="preserve"> </v>
      </c>
      <c r="BW781" s="188" t="str">
        <f t="shared" si="334"/>
        <v xml:space="preserve"> </v>
      </c>
      <c r="BX781" s="188" t="str">
        <f t="shared" si="335"/>
        <v xml:space="preserve"> </v>
      </c>
      <c r="BY781" s="50" t="str">
        <f t="shared" si="323"/>
        <v>HOOTLA KOOTLA CREEK_Chinook</v>
      </c>
      <c r="BZ781" s="50" t="str">
        <f>IFERROR(VLOOKUP(BY781,'[1]WCVI Esc'!$C$5:$W$555,18,FALSE),"-")</f>
        <v>-</v>
      </c>
      <c r="CA781" s="50" t="str">
        <f t="shared" si="336"/>
        <v>-</v>
      </c>
      <c r="CB781" s="50" t="str">
        <f>IFERROR(VLOOKUP(BY781,'[1]WCVI Esc'!$C$5:$W$555,19,FALSE),"-")</f>
        <v>-</v>
      </c>
      <c r="CC781" s="50" t="str">
        <f t="shared" si="337"/>
        <v>-</v>
      </c>
      <c r="CE781" s="342" t="str">
        <f t="shared" si="322"/>
        <v>HOOTLA KOOTLA CREEK_Chinook</v>
      </c>
      <c r="CF781" s="341" t="str">
        <f>IFERROR(VLOOKUP(BY781,'RawPL+D'!$O$8:$AB$503,12,FALSE),"-")</f>
        <v>-</v>
      </c>
      <c r="CG781" s="338" t="str">
        <f t="shared" si="338"/>
        <v>-</v>
      </c>
      <c r="CH781" s="341" t="str">
        <f>IFERROR(VLOOKUP(BY781,'RawPL+D'!$O$8:$AB$503,13,FALSE),"-")</f>
        <v>-</v>
      </c>
      <c r="CI781" s="338" t="str">
        <f t="shared" si="339"/>
        <v>-</v>
      </c>
    </row>
    <row r="782" spans="1:87" ht="12.75" hidden="1" customHeight="1" x14ac:dyDescent="0.2">
      <c r="A782" s="28">
        <v>4</v>
      </c>
      <c r="B782" s="28">
        <v>6</v>
      </c>
      <c r="C782" s="11">
        <v>24</v>
      </c>
      <c r="D782" s="13" t="s">
        <v>359</v>
      </c>
      <c r="E782" s="10" t="s">
        <v>122</v>
      </c>
      <c r="F782" s="10" t="s">
        <v>211</v>
      </c>
      <c r="G782" s="10"/>
      <c r="H782" s="10"/>
      <c r="I782" s="10"/>
      <c r="J782" s="10"/>
      <c r="K782" s="575"/>
      <c r="L782" s="152"/>
      <c r="M782" s="164"/>
      <c r="N782" s="62"/>
      <c r="O782" s="62"/>
      <c r="P782" s="177"/>
      <c r="Q782" s="171"/>
      <c r="R782" s="62"/>
      <c r="S782" s="62"/>
      <c r="T782" s="62"/>
      <c r="U782" s="64"/>
      <c r="V782" s="164"/>
      <c r="W782" s="62"/>
      <c r="X782" s="62"/>
      <c r="Y782" s="62"/>
      <c r="Z782" s="64"/>
      <c r="AA782" s="164"/>
      <c r="AB782" s="62"/>
      <c r="AC782" s="62"/>
      <c r="AD782" s="64"/>
      <c r="AE782" s="164"/>
      <c r="AF782" s="62"/>
      <c r="AG782" s="62"/>
      <c r="AH782" s="337"/>
      <c r="AI782" s="337"/>
      <c r="AJ782" s="337"/>
      <c r="AK782" s="337"/>
      <c r="AL782" s="412"/>
      <c r="AM782" s="414"/>
      <c r="AN782" s="45"/>
      <c r="AO782" s="45"/>
      <c r="AP782" s="45"/>
      <c r="AQ782" s="485"/>
      <c r="AR782" s="485"/>
      <c r="AS782" s="485"/>
      <c r="AT782" s="24"/>
      <c r="AU782" s="24"/>
      <c r="AV782" s="24"/>
      <c r="AW782" s="18">
        <v>24</v>
      </c>
      <c r="AX782" s="69" t="s">
        <v>359</v>
      </c>
      <c r="AY782" s="243" t="s">
        <v>122</v>
      </c>
      <c r="AZ782" s="243" t="str">
        <f t="shared" si="324"/>
        <v>Steelhead</v>
      </c>
      <c r="BA782" s="243" t="s">
        <v>419</v>
      </c>
      <c r="BB782" s="246"/>
      <c r="BC782" s="43" t="str">
        <f t="shared" si="325"/>
        <v>-</v>
      </c>
      <c r="BD782" s="43">
        <f t="shared" si="320"/>
        <v>0</v>
      </c>
      <c r="BE782" s="193">
        <f t="shared" si="318"/>
        <v>0</v>
      </c>
      <c r="BF782" s="193">
        <f t="shared" si="326"/>
        <v>0</v>
      </c>
      <c r="BG782" s="193">
        <f t="shared" si="327"/>
        <v>0</v>
      </c>
      <c r="BH782" s="307" t="str">
        <f t="shared" si="319"/>
        <v>-</v>
      </c>
      <c r="BI782" s="266"/>
      <c r="BJ782" s="26" t="str">
        <f t="shared" si="328"/>
        <v>HOOTLA KOOTLA CREEKSteelhead</v>
      </c>
      <c r="BK782" s="26">
        <f t="shared" si="329"/>
        <v>0</v>
      </c>
      <c r="BL782" s="33">
        <f t="shared" si="321"/>
        <v>0</v>
      </c>
      <c r="BQ782" s="47" t="str">
        <f t="shared" si="330"/>
        <v>HOOTLA KOOTLA CREEKSteelhead</v>
      </c>
      <c r="BR782" s="49">
        <f t="shared" si="331"/>
        <v>0</v>
      </c>
      <c r="BS782" s="49">
        <f t="shared" si="340"/>
        <v>0</v>
      </c>
      <c r="BT782" s="31">
        <v>0</v>
      </c>
      <c r="BU782" s="188">
        <f t="shared" si="332"/>
        <v>0</v>
      </c>
      <c r="BV782" s="188" t="str">
        <f t="shared" si="333"/>
        <v xml:space="preserve"> </v>
      </c>
      <c r="BW782" s="188" t="str">
        <f t="shared" si="334"/>
        <v xml:space="preserve"> </v>
      </c>
      <c r="BX782" s="188" t="str">
        <f t="shared" si="335"/>
        <v xml:space="preserve"> </v>
      </c>
      <c r="BY782" s="50" t="str">
        <f t="shared" si="323"/>
        <v>HOOTLA KOOTLA CREEK_Steelhead</v>
      </c>
      <c r="BZ782" s="50" t="str">
        <f>IFERROR(VLOOKUP(BY782,'[1]WCVI Esc'!$C$5:$W$555,18,FALSE),"-")</f>
        <v>-</v>
      </c>
      <c r="CA782" s="50" t="str">
        <f t="shared" si="336"/>
        <v>-</v>
      </c>
      <c r="CB782" s="50" t="str">
        <f>IFERROR(VLOOKUP(BY782,'[1]WCVI Esc'!$C$5:$W$555,19,FALSE),"-")</f>
        <v>-</v>
      </c>
      <c r="CC782" s="50" t="str">
        <f t="shared" si="337"/>
        <v>-</v>
      </c>
      <c r="CE782" s="342" t="str">
        <f t="shared" si="322"/>
        <v>HOOTLA KOOTLA CREEK_Steelhead</v>
      </c>
      <c r="CF782" s="341" t="str">
        <f>IFERROR(VLOOKUP(BY782,'RawPL+D'!$O$8:$AB$503,12,FALSE),"-")</f>
        <v>-</v>
      </c>
      <c r="CG782" s="338" t="str">
        <f t="shared" si="338"/>
        <v>-</v>
      </c>
      <c r="CH782" s="341" t="str">
        <f>IFERROR(VLOOKUP(BY782,'RawPL+D'!$O$8:$AB$503,13,FALSE),"-")</f>
        <v>-</v>
      </c>
      <c r="CI782" s="338" t="str">
        <f t="shared" si="339"/>
        <v>-</v>
      </c>
    </row>
    <row r="783" spans="1:87" ht="12.75" hidden="1" customHeight="1" x14ac:dyDescent="0.2">
      <c r="A783" s="28">
        <v>4</v>
      </c>
      <c r="B783" s="28">
        <v>1</v>
      </c>
      <c r="C783" s="11">
        <v>24</v>
      </c>
      <c r="D783" s="13" t="s">
        <v>359</v>
      </c>
      <c r="E783" s="10" t="s">
        <v>251</v>
      </c>
      <c r="F783" s="10" t="s">
        <v>207</v>
      </c>
      <c r="G783" s="10"/>
      <c r="H783" s="10"/>
      <c r="I783" s="10"/>
      <c r="J783" s="10"/>
      <c r="K783" s="575"/>
      <c r="L783" s="152"/>
      <c r="M783" s="164"/>
      <c r="N783" s="62"/>
      <c r="O783" s="62"/>
      <c r="P783" s="177"/>
      <c r="Q783" s="171"/>
      <c r="R783" s="62"/>
      <c r="S783" s="62"/>
      <c r="T783" s="62"/>
      <c r="U783" s="64"/>
      <c r="V783" s="164"/>
      <c r="W783" s="62"/>
      <c r="X783" s="62"/>
      <c r="Y783" s="62"/>
      <c r="Z783" s="64"/>
      <c r="AA783" s="164"/>
      <c r="AB783" s="62"/>
      <c r="AC783" s="62"/>
      <c r="AD783" s="64"/>
      <c r="AE783" s="164"/>
      <c r="AF783" s="62"/>
      <c r="AG783" s="62"/>
      <c r="AH783" s="337"/>
      <c r="AI783" s="337"/>
      <c r="AJ783" s="337"/>
      <c r="AK783" s="337"/>
      <c r="AL783" s="412"/>
      <c r="AM783" s="414"/>
      <c r="AN783" s="45"/>
      <c r="AO783" s="45"/>
      <c r="AP783" s="45"/>
      <c r="AQ783" s="485"/>
      <c r="AR783" s="485"/>
      <c r="AS783" s="485"/>
      <c r="AT783" s="24"/>
      <c r="AU783" s="24"/>
      <c r="AV783" s="24"/>
      <c r="AW783" s="18">
        <v>24</v>
      </c>
      <c r="AX783" s="69" t="s">
        <v>359</v>
      </c>
      <c r="AY783" s="243" t="s">
        <v>251</v>
      </c>
      <c r="AZ783" s="243" t="str">
        <f t="shared" si="324"/>
        <v>Sockeye</v>
      </c>
      <c r="BA783" s="243" t="s">
        <v>419</v>
      </c>
      <c r="BB783" s="246"/>
      <c r="BC783" s="43" t="str">
        <f t="shared" si="325"/>
        <v>-</v>
      </c>
      <c r="BD783" s="43">
        <f t="shared" si="320"/>
        <v>0</v>
      </c>
      <c r="BE783" s="193">
        <f t="shared" si="318"/>
        <v>0</v>
      </c>
      <c r="BF783" s="193">
        <f t="shared" si="326"/>
        <v>0</v>
      </c>
      <c r="BG783" s="193">
        <f t="shared" si="327"/>
        <v>0</v>
      </c>
      <c r="BH783" s="307" t="str">
        <f t="shared" si="319"/>
        <v>-</v>
      </c>
      <c r="BI783" s="266"/>
      <c r="BJ783" s="26" t="str">
        <f t="shared" si="328"/>
        <v>HOT SPRINGS COVE CREEK (Ahtaapq)Sockeye</v>
      </c>
      <c r="BK783" s="26">
        <f t="shared" si="329"/>
        <v>0</v>
      </c>
      <c r="BL783" s="33">
        <f t="shared" si="321"/>
        <v>0</v>
      </c>
      <c r="BQ783" s="47" t="str">
        <f t="shared" si="330"/>
        <v>HOT SPRINGS COVE CREEK (Ahtaapq)Sockeye</v>
      </c>
      <c r="BR783" s="49">
        <f t="shared" si="331"/>
        <v>0</v>
      </c>
      <c r="BS783" s="49">
        <f t="shared" si="340"/>
        <v>0</v>
      </c>
      <c r="BT783" s="31">
        <v>0</v>
      </c>
      <c r="BU783" s="188">
        <f t="shared" si="332"/>
        <v>0</v>
      </c>
      <c r="BV783" s="188" t="str">
        <f t="shared" si="333"/>
        <v xml:space="preserve"> </v>
      </c>
      <c r="BW783" s="188" t="str">
        <f t="shared" si="334"/>
        <v xml:space="preserve"> </v>
      </c>
      <c r="BX783" s="188" t="str">
        <f t="shared" si="335"/>
        <v xml:space="preserve"> </v>
      </c>
      <c r="BY783" s="50" t="str">
        <f t="shared" si="323"/>
        <v>HOT SPRINGS COVE CREEK (Ahtaapq)_Sockeye</v>
      </c>
      <c r="BZ783" s="50" t="str">
        <f>IFERROR(VLOOKUP(BY783,'[1]WCVI Esc'!$C$5:$W$555,18,FALSE),"-")</f>
        <v>-</v>
      </c>
      <c r="CA783" s="50" t="str">
        <f t="shared" si="336"/>
        <v>-</v>
      </c>
      <c r="CB783" s="50" t="str">
        <f>IFERROR(VLOOKUP(BY783,'[1]WCVI Esc'!$C$5:$W$555,19,FALSE),"-")</f>
        <v>-</v>
      </c>
      <c r="CC783" s="50" t="str">
        <f t="shared" si="337"/>
        <v>-</v>
      </c>
      <c r="CE783" s="342" t="str">
        <f t="shared" si="322"/>
        <v>HOT SPRINGS COVE CREEK (Ahtaapq)_Sockeye</v>
      </c>
      <c r="CF783" s="341" t="str">
        <f>IFERROR(VLOOKUP(BY783,'RawPL+D'!$O$8:$AB$503,12,FALSE),"-")</f>
        <v>-</v>
      </c>
      <c r="CG783" s="338" t="str">
        <f t="shared" si="338"/>
        <v>-</v>
      </c>
      <c r="CH783" s="341" t="str">
        <f>IFERROR(VLOOKUP(BY783,'RawPL+D'!$O$8:$AB$503,13,FALSE),"-")</f>
        <v>-</v>
      </c>
      <c r="CI783" s="338" t="str">
        <f t="shared" si="339"/>
        <v>-</v>
      </c>
    </row>
    <row r="784" spans="1:87" ht="12.75" hidden="1" customHeight="1" x14ac:dyDescent="0.2">
      <c r="A784" s="28">
        <v>4</v>
      </c>
      <c r="B784" s="28">
        <v>2</v>
      </c>
      <c r="C784" s="11">
        <v>24</v>
      </c>
      <c r="D784" s="13" t="s">
        <v>359</v>
      </c>
      <c r="E784" s="10" t="s">
        <v>251</v>
      </c>
      <c r="F784" s="10" t="s">
        <v>219</v>
      </c>
      <c r="G784" s="10"/>
      <c r="H784" s="10"/>
      <c r="I784" s="10"/>
      <c r="J784" s="10"/>
      <c r="K784" s="575"/>
      <c r="L784" s="152"/>
      <c r="M784" s="164"/>
      <c r="N784" s="62"/>
      <c r="O784" s="62"/>
      <c r="P784" s="177"/>
      <c r="Q784" s="171"/>
      <c r="R784" s="62"/>
      <c r="S784" s="62"/>
      <c r="T784" s="62"/>
      <c r="U784" s="64"/>
      <c r="V784" s="164"/>
      <c r="W784" s="62"/>
      <c r="X784" s="62"/>
      <c r="Y784" s="62"/>
      <c r="Z784" s="64"/>
      <c r="AA784" s="164"/>
      <c r="AB784" s="62"/>
      <c r="AC784" s="62"/>
      <c r="AD784" s="64"/>
      <c r="AE784" s="164"/>
      <c r="AF784" s="62"/>
      <c r="AG784" s="62"/>
      <c r="AH784" s="337"/>
      <c r="AI784" s="337"/>
      <c r="AJ784" s="337"/>
      <c r="AK784" s="337"/>
      <c r="AL784" s="412"/>
      <c r="AM784" s="414"/>
      <c r="AN784" s="45"/>
      <c r="AO784" s="45"/>
      <c r="AP784" s="45"/>
      <c r="AQ784" s="485"/>
      <c r="AR784" s="485"/>
      <c r="AS784" s="485"/>
      <c r="AT784" s="24"/>
      <c r="AU784" s="24"/>
      <c r="AV784" s="24"/>
      <c r="AW784" s="18">
        <v>24</v>
      </c>
      <c r="AX784" s="69" t="s">
        <v>359</v>
      </c>
      <c r="AY784" s="243" t="s">
        <v>251</v>
      </c>
      <c r="AZ784" s="243" t="str">
        <f t="shared" si="324"/>
        <v>Coho</v>
      </c>
      <c r="BA784" s="243" t="s">
        <v>419</v>
      </c>
      <c r="BB784" s="246"/>
      <c r="BC784" s="43" t="str">
        <f t="shared" si="325"/>
        <v>-</v>
      </c>
      <c r="BD784" s="43">
        <f t="shared" si="320"/>
        <v>0</v>
      </c>
      <c r="BE784" s="193">
        <f t="shared" si="318"/>
        <v>0</v>
      </c>
      <c r="BF784" s="193">
        <f t="shared" si="326"/>
        <v>0</v>
      </c>
      <c r="BG784" s="193">
        <f t="shared" si="327"/>
        <v>0</v>
      </c>
      <c r="BH784" s="307" t="str">
        <f t="shared" si="319"/>
        <v>-</v>
      </c>
      <c r="BI784" s="266"/>
      <c r="BJ784" s="26" t="str">
        <f t="shared" si="328"/>
        <v>HOT SPRINGS COVE CREEK (Ahtaapq)Coho</v>
      </c>
      <c r="BK784" s="26">
        <f t="shared" si="329"/>
        <v>0</v>
      </c>
      <c r="BL784" s="33">
        <f t="shared" si="321"/>
        <v>0</v>
      </c>
      <c r="BQ784" s="47" t="str">
        <f t="shared" si="330"/>
        <v>HOT SPRINGS COVE CREEK (Ahtaapq)Coho</v>
      </c>
      <c r="BR784" s="49">
        <f t="shared" si="331"/>
        <v>0</v>
      </c>
      <c r="BS784" s="49">
        <f t="shared" si="340"/>
        <v>0</v>
      </c>
      <c r="BT784" s="31">
        <v>2002</v>
      </c>
      <c r="BU784" s="188">
        <f t="shared" si="332"/>
        <v>0</v>
      </c>
      <c r="BV784" s="188" t="str">
        <f t="shared" si="333"/>
        <v xml:space="preserve"> </v>
      </c>
      <c r="BW784" s="188" t="str">
        <f t="shared" si="334"/>
        <v xml:space="preserve"> </v>
      </c>
      <c r="BX784" s="188" t="str">
        <f t="shared" si="335"/>
        <v xml:space="preserve"> </v>
      </c>
      <c r="BY784" s="50" t="str">
        <f t="shared" si="323"/>
        <v>HOT SPRINGS COVE CREEK (Ahtaapq)_Coho</v>
      </c>
      <c r="BZ784" s="50" t="str">
        <f>IFERROR(VLOOKUP(BY784,'[1]WCVI Esc'!$C$5:$W$555,18,FALSE),"-")</f>
        <v>-</v>
      </c>
      <c r="CA784" s="50" t="str">
        <f t="shared" si="336"/>
        <v>-</v>
      </c>
      <c r="CB784" s="50" t="str">
        <f>IFERROR(VLOOKUP(BY784,'[1]WCVI Esc'!$C$5:$W$555,19,FALSE),"-")</f>
        <v>-</v>
      </c>
      <c r="CC784" s="50" t="str">
        <f t="shared" si="337"/>
        <v>-</v>
      </c>
      <c r="CE784" s="342" t="str">
        <f t="shared" si="322"/>
        <v>HOT SPRINGS COVE CREEK (Ahtaapq)_Coho</v>
      </c>
      <c r="CF784" s="341" t="str">
        <f>IFERROR(VLOOKUP(BY784,'RawPL+D'!$O$8:$AB$503,12,FALSE),"-")</f>
        <v>-</v>
      </c>
      <c r="CG784" s="338" t="str">
        <f t="shared" si="338"/>
        <v>-</v>
      </c>
      <c r="CH784" s="341" t="str">
        <f>IFERROR(VLOOKUP(BY784,'RawPL+D'!$O$8:$AB$503,13,FALSE),"-")</f>
        <v>-</v>
      </c>
      <c r="CI784" s="338" t="str">
        <f t="shared" si="339"/>
        <v>-</v>
      </c>
    </row>
    <row r="785" spans="1:87" ht="12.75" hidden="1" customHeight="1" x14ac:dyDescent="0.2">
      <c r="A785" s="28">
        <v>4</v>
      </c>
      <c r="B785" s="28">
        <v>3</v>
      </c>
      <c r="C785" s="11">
        <v>24</v>
      </c>
      <c r="D785" s="13" t="s">
        <v>359</v>
      </c>
      <c r="E785" s="10" t="s">
        <v>251</v>
      </c>
      <c r="F785" s="10" t="s">
        <v>208</v>
      </c>
      <c r="G785" s="10"/>
      <c r="H785" s="10"/>
      <c r="I785" s="10"/>
      <c r="J785" s="10"/>
      <c r="K785" s="575"/>
      <c r="L785" s="152"/>
      <c r="M785" s="164"/>
      <c r="N785" s="62"/>
      <c r="O785" s="62"/>
      <c r="P785" s="177"/>
      <c r="Q785" s="171"/>
      <c r="R785" s="62"/>
      <c r="S785" s="62"/>
      <c r="T785" s="62"/>
      <c r="U785" s="64"/>
      <c r="V785" s="164"/>
      <c r="W785" s="62"/>
      <c r="X785" s="62"/>
      <c r="Y785" s="62"/>
      <c r="Z785" s="64"/>
      <c r="AA785" s="164"/>
      <c r="AB785" s="62"/>
      <c r="AC785" s="62"/>
      <c r="AD785" s="64"/>
      <c r="AE785" s="164"/>
      <c r="AF785" s="62"/>
      <c r="AG785" s="62"/>
      <c r="AH785" s="337"/>
      <c r="AI785" s="337"/>
      <c r="AJ785" s="337"/>
      <c r="AK785" s="337"/>
      <c r="AL785" s="412"/>
      <c r="AM785" s="414"/>
      <c r="AN785" s="45"/>
      <c r="AO785" s="45"/>
      <c r="AP785" s="45"/>
      <c r="AQ785" s="485"/>
      <c r="AR785" s="485"/>
      <c r="AS785" s="485"/>
      <c r="AT785" s="24"/>
      <c r="AU785" s="24"/>
      <c r="AV785" s="24"/>
      <c r="AW785" s="18">
        <v>24</v>
      </c>
      <c r="AX785" s="69" t="s">
        <v>359</v>
      </c>
      <c r="AY785" s="243" t="s">
        <v>251</v>
      </c>
      <c r="AZ785" s="243" t="str">
        <f t="shared" si="324"/>
        <v>Pink</v>
      </c>
      <c r="BA785" s="243" t="s">
        <v>419</v>
      </c>
      <c r="BB785" s="246"/>
      <c r="BC785" s="43" t="str">
        <f t="shared" si="325"/>
        <v>-</v>
      </c>
      <c r="BD785" s="43">
        <f t="shared" si="320"/>
        <v>0</v>
      </c>
      <c r="BE785" s="193">
        <f t="shared" ref="BE785:BE848" si="341">BL785</f>
        <v>0</v>
      </c>
      <c r="BF785" s="193">
        <f t="shared" si="326"/>
        <v>0</v>
      </c>
      <c r="BG785" s="193">
        <f t="shared" si="327"/>
        <v>0</v>
      </c>
      <c r="BH785" s="307" t="str">
        <f t="shared" si="319"/>
        <v>-</v>
      </c>
      <c r="BI785" s="266"/>
      <c r="BJ785" s="26" t="str">
        <f t="shared" si="328"/>
        <v>HOT SPRINGS COVE CREEK (Ahtaapq)Pink</v>
      </c>
      <c r="BK785" s="26">
        <f t="shared" si="329"/>
        <v>0</v>
      </c>
      <c r="BL785" s="33">
        <f t="shared" si="321"/>
        <v>0</v>
      </c>
      <c r="BQ785" s="47" t="str">
        <f t="shared" si="330"/>
        <v>HOT SPRINGS COVE CREEK (Ahtaapq)Pink</v>
      </c>
      <c r="BR785" s="49">
        <f t="shared" si="331"/>
        <v>0</v>
      </c>
      <c r="BS785" s="49">
        <f t="shared" si="340"/>
        <v>0</v>
      </c>
      <c r="BT785" s="31">
        <v>0</v>
      </c>
      <c r="BU785" s="188">
        <f t="shared" si="332"/>
        <v>0</v>
      </c>
      <c r="BV785" s="188" t="str">
        <f t="shared" si="333"/>
        <v xml:space="preserve"> </v>
      </c>
      <c r="BW785" s="188" t="str">
        <f t="shared" si="334"/>
        <v xml:space="preserve"> </v>
      </c>
      <c r="BX785" s="188" t="str">
        <f t="shared" si="335"/>
        <v xml:space="preserve"> </v>
      </c>
      <c r="BY785" s="50" t="str">
        <f t="shared" si="323"/>
        <v>HOT SPRINGS COVE CREEK (Ahtaapq)_Pink</v>
      </c>
      <c r="BZ785" s="50" t="str">
        <f>IFERROR(VLOOKUP(BY785,'[1]WCVI Esc'!$C$5:$W$555,18,FALSE),"-")</f>
        <v>-</v>
      </c>
      <c r="CA785" s="50" t="str">
        <f t="shared" si="336"/>
        <v>-</v>
      </c>
      <c r="CB785" s="50" t="str">
        <f>IFERROR(VLOOKUP(BY785,'[1]WCVI Esc'!$C$5:$W$555,19,FALSE),"-")</f>
        <v>-</v>
      </c>
      <c r="CC785" s="50" t="str">
        <f t="shared" si="337"/>
        <v>-</v>
      </c>
      <c r="CE785" s="342" t="str">
        <f t="shared" si="322"/>
        <v>HOT SPRINGS COVE CREEK (Ahtaapq)_Pink</v>
      </c>
      <c r="CF785" s="341" t="str">
        <f>IFERROR(VLOOKUP(BY785,'RawPL+D'!$O$8:$AB$503,12,FALSE),"-")</f>
        <v>-</v>
      </c>
      <c r="CG785" s="338" t="str">
        <f t="shared" si="338"/>
        <v>-</v>
      </c>
      <c r="CH785" s="341" t="str">
        <f>IFERROR(VLOOKUP(BY785,'RawPL+D'!$O$8:$AB$503,13,FALSE),"-")</f>
        <v>-</v>
      </c>
      <c r="CI785" s="338" t="str">
        <f t="shared" si="339"/>
        <v>-</v>
      </c>
    </row>
    <row r="786" spans="1:87" ht="12.75" hidden="1" customHeight="1" x14ac:dyDescent="0.2">
      <c r="A786" s="28">
        <v>4</v>
      </c>
      <c r="B786" s="28">
        <v>4</v>
      </c>
      <c r="C786" s="11">
        <v>24</v>
      </c>
      <c r="D786" s="13" t="s">
        <v>359</v>
      </c>
      <c r="E786" s="10" t="s">
        <v>251</v>
      </c>
      <c r="F786" s="10" t="s">
        <v>209</v>
      </c>
      <c r="G786" s="10"/>
      <c r="H786" s="10"/>
      <c r="I786" s="10"/>
      <c r="J786" s="10"/>
      <c r="K786" s="575"/>
      <c r="L786" s="152"/>
      <c r="M786" s="164"/>
      <c r="N786" s="62"/>
      <c r="O786" s="62"/>
      <c r="P786" s="177"/>
      <c r="Q786" s="171"/>
      <c r="R786" s="62"/>
      <c r="S786" s="62"/>
      <c r="T786" s="62"/>
      <c r="U786" s="64"/>
      <c r="V786" s="164"/>
      <c r="W786" s="62"/>
      <c r="X786" s="62"/>
      <c r="Y786" s="62"/>
      <c r="Z786" s="64"/>
      <c r="AA786" s="164"/>
      <c r="AB786" s="62"/>
      <c r="AC786" s="62"/>
      <c r="AD786" s="64"/>
      <c r="AE786" s="164"/>
      <c r="AF786" s="62"/>
      <c r="AG786" s="62"/>
      <c r="AH786" s="337"/>
      <c r="AI786" s="337"/>
      <c r="AJ786" s="337"/>
      <c r="AK786" s="337"/>
      <c r="AL786" s="412"/>
      <c r="AM786" s="414"/>
      <c r="AN786" s="45"/>
      <c r="AO786" s="45"/>
      <c r="AP786" s="45"/>
      <c r="AQ786" s="485"/>
      <c r="AR786" s="485"/>
      <c r="AS786" s="485"/>
      <c r="AT786" s="24"/>
      <c r="AU786" s="24"/>
      <c r="AV786" s="24"/>
      <c r="AW786" s="18">
        <v>24</v>
      </c>
      <c r="AX786" s="69" t="s">
        <v>359</v>
      </c>
      <c r="AY786" s="243" t="s">
        <v>251</v>
      </c>
      <c r="AZ786" s="243" t="str">
        <f t="shared" si="324"/>
        <v>Chum</v>
      </c>
      <c r="BA786" s="243" t="s">
        <v>419</v>
      </c>
      <c r="BB786" s="246"/>
      <c r="BC786" s="43" t="str">
        <f t="shared" si="325"/>
        <v>-</v>
      </c>
      <c r="BD786" s="43">
        <f t="shared" si="320"/>
        <v>0</v>
      </c>
      <c r="BE786" s="193">
        <f t="shared" si="341"/>
        <v>0</v>
      </c>
      <c r="BF786" s="193">
        <f t="shared" si="326"/>
        <v>0</v>
      </c>
      <c r="BG786" s="193">
        <f t="shared" si="327"/>
        <v>0</v>
      </c>
      <c r="BH786" s="307" t="str">
        <f t="shared" si="319"/>
        <v>-</v>
      </c>
      <c r="BI786" s="266"/>
      <c r="BJ786" s="26" t="str">
        <f t="shared" si="328"/>
        <v>HOT SPRINGS COVE CREEK (Ahtaapq)Chum</v>
      </c>
      <c r="BK786" s="26">
        <f t="shared" si="329"/>
        <v>0</v>
      </c>
      <c r="BL786" s="33">
        <f t="shared" si="321"/>
        <v>0</v>
      </c>
      <c r="BQ786" s="47" t="str">
        <f t="shared" si="330"/>
        <v>HOT SPRINGS COVE CREEK (Ahtaapq)Chum</v>
      </c>
      <c r="BR786" s="49">
        <f t="shared" si="331"/>
        <v>0</v>
      </c>
      <c r="BS786" s="49">
        <f t="shared" si="340"/>
        <v>0</v>
      </c>
      <c r="BT786" s="31">
        <v>2014</v>
      </c>
      <c r="BU786" s="188">
        <f t="shared" si="332"/>
        <v>0</v>
      </c>
      <c r="BV786" s="188" t="str">
        <f t="shared" si="333"/>
        <v xml:space="preserve"> </v>
      </c>
      <c r="BW786" s="188" t="str">
        <f t="shared" si="334"/>
        <v xml:space="preserve"> </v>
      </c>
      <c r="BX786" s="188" t="str">
        <f t="shared" si="335"/>
        <v xml:space="preserve"> </v>
      </c>
      <c r="BY786" s="50" t="str">
        <f t="shared" si="323"/>
        <v>HOT SPRINGS COVE CREEK (Ahtaapq)_Chum</v>
      </c>
      <c r="BZ786" s="50" t="str">
        <f>IFERROR(VLOOKUP(BY786,'[1]WCVI Esc'!$C$5:$W$555,18,FALSE),"-")</f>
        <v>-</v>
      </c>
      <c r="CA786" s="50" t="str">
        <f t="shared" si="336"/>
        <v>-</v>
      </c>
      <c r="CB786" s="50" t="str">
        <f>IFERROR(VLOOKUP(BY786,'[1]WCVI Esc'!$C$5:$W$555,19,FALSE),"-")</f>
        <v>-</v>
      </c>
      <c r="CC786" s="50" t="str">
        <f t="shared" si="337"/>
        <v>-</v>
      </c>
      <c r="CE786" s="342" t="str">
        <f t="shared" si="322"/>
        <v>HOT SPRINGS COVE CREEK (Ahtaapq)_Chum</v>
      </c>
      <c r="CF786" s="341" t="str">
        <f>IFERROR(VLOOKUP(BY786,'RawPL+D'!$O$8:$AB$503,12,FALSE),"-")</f>
        <v>-</v>
      </c>
      <c r="CG786" s="338" t="str">
        <f t="shared" si="338"/>
        <v>-</v>
      </c>
      <c r="CH786" s="341" t="str">
        <f>IFERROR(VLOOKUP(BY786,'RawPL+D'!$O$8:$AB$503,13,FALSE),"-")</f>
        <v>-</v>
      </c>
      <c r="CI786" s="338" t="str">
        <f t="shared" si="339"/>
        <v>-</v>
      </c>
    </row>
    <row r="787" spans="1:87" ht="12.75" hidden="1" customHeight="1" x14ac:dyDescent="0.2">
      <c r="A787" s="28">
        <v>4</v>
      </c>
      <c r="B787" s="28">
        <v>5</v>
      </c>
      <c r="C787" s="11">
        <v>24</v>
      </c>
      <c r="D787" s="13" t="s">
        <v>359</v>
      </c>
      <c r="E787" s="10" t="s">
        <v>251</v>
      </c>
      <c r="F787" s="10" t="s">
        <v>210</v>
      </c>
      <c r="G787" s="10"/>
      <c r="H787" s="10"/>
      <c r="I787" s="10"/>
      <c r="J787" s="10"/>
      <c r="K787" s="575"/>
      <c r="L787" s="152"/>
      <c r="M787" s="164"/>
      <c r="N787" s="62"/>
      <c r="O787" s="62"/>
      <c r="P787" s="177"/>
      <c r="Q787" s="171"/>
      <c r="R787" s="62"/>
      <c r="S787" s="62"/>
      <c r="T787" s="62"/>
      <c r="U787" s="64"/>
      <c r="V787" s="164"/>
      <c r="W787" s="62"/>
      <c r="X787" s="62"/>
      <c r="Y787" s="62"/>
      <c r="Z787" s="64"/>
      <c r="AA787" s="164"/>
      <c r="AB787" s="62"/>
      <c r="AC787" s="62"/>
      <c r="AD787" s="64"/>
      <c r="AE787" s="164"/>
      <c r="AF787" s="62"/>
      <c r="AG787" s="62"/>
      <c r="AH787" s="337"/>
      <c r="AI787" s="337"/>
      <c r="AJ787" s="337"/>
      <c r="AK787" s="337"/>
      <c r="AL787" s="412"/>
      <c r="AM787" s="414"/>
      <c r="AN787" s="45"/>
      <c r="AO787" s="45"/>
      <c r="AP787" s="45"/>
      <c r="AQ787" s="485"/>
      <c r="AR787" s="485"/>
      <c r="AS787" s="485"/>
      <c r="AT787" s="24"/>
      <c r="AU787" s="24"/>
      <c r="AV787" s="24"/>
      <c r="AW787" s="18">
        <v>24</v>
      </c>
      <c r="AX787" s="69" t="s">
        <v>359</v>
      </c>
      <c r="AY787" s="243" t="s">
        <v>251</v>
      </c>
      <c r="AZ787" s="243" t="str">
        <f t="shared" si="324"/>
        <v>Chinook</v>
      </c>
      <c r="BA787" s="243" t="s">
        <v>419</v>
      </c>
      <c r="BB787" s="246"/>
      <c r="BC787" s="43" t="str">
        <f t="shared" si="325"/>
        <v>-</v>
      </c>
      <c r="BD787" s="43">
        <f t="shared" si="320"/>
        <v>0</v>
      </c>
      <c r="BE787" s="193">
        <f t="shared" si="341"/>
        <v>0</v>
      </c>
      <c r="BF787" s="193">
        <f t="shared" si="326"/>
        <v>0</v>
      </c>
      <c r="BG787" s="193">
        <f t="shared" si="327"/>
        <v>0</v>
      </c>
      <c r="BH787" s="307" t="str">
        <f t="shared" si="319"/>
        <v>-</v>
      </c>
      <c r="BI787" s="266"/>
      <c r="BJ787" s="26" t="str">
        <f t="shared" si="328"/>
        <v>HOT SPRINGS COVE CREEK (Ahtaapq)Chinook</v>
      </c>
      <c r="BK787" s="26">
        <f t="shared" si="329"/>
        <v>0</v>
      </c>
      <c r="BL787" s="33">
        <f t="shared" si="321"/>
        <v>0</v>
      </c>
      <c r="BQ787" s="47" t="str">
        <f t="shared" si="330"/>
        <v>HOT SPRINGS COVE CREEK (Ahtaapq)Chinook</v>
      </c>
      <c r="BR787" s="49">
        <f t="shared" si="331"/>
        <v>0</v>
      </c>
      <c r="BS787" s="49">
        <f t="shared" si="340"/>
        <v>0</v>
      </c>
      <c r="BT787" s="31">
        <v>0</v>
      </c>
      <c r="BU787" s="188">
        <f t="shared" si="332"/>
        <v>0</v>
      </c>
      <c r="BV787" s="188" t="str">
        <f t="shared" si="333"/>
        <v xml:space="preserve"> </v>
      </c>
      <c r="BW787" s="188" t="str">
        <f t="shared" si="334"/>
        <v xml:space="preserve"> </v>
      </c>
      <c r="BX787" s="188" t="str">
        <f t="shared" si="335"/>
        <v xml:space="preserve"> </v>
      </c>
      <c r="BY787" s="50" t="str">
        <f t="shared" si="323"/>
        <v>HOT SPRINGS COVE CREEK (Ahtaapq)_Chinook</v>
      </c>
      <c r="BZ787" s="50" t="str">
        <f>IFERROR(VLOOKUP(BY787,'[1]WCVI Esc'!$C$5:$W$555,18,FALSE),"-")</f>
        <v>-</v>
      </c>
      <c r="CA787" s="50" t="str">
        <f t="shared" si="336"/>
        <v>-</v>
      </c>
      <c r="CB787" s="50" t="str">
        <f>IFERROR(VLOOKUP(BY787,'[1]WCVI Esc'!$C$5:$W$555,19,FALSE),"-")</f>
        <v>-</v>
      </c>
      <c r="CC787" s="50" t="str">
        <f t="shared" si="337"/>
        <v>-</v>
      </c>
      <c r="CE787" s="342" t="str">
        <f t="shared" si="322"/>
        <v>HOT SPRINGS COVE CREEK (Ahtaapq)_Chinook</v>
      </c>
      <c r="CF787" s="341" t="str">
        <f>IFERROR(VLOOKUP(BY787,'RawPL+D'!$O$8:$AB$503,12,FALSE),"-")</f>
        <v>-</v>
      </c>
      <c r="CG787" s="338" t="str">
        <f t="shared" si="338"/>
        <v>-</v>
      </c>
      <c r="CH787" s="341" t="str">
        <f>IFERROR(VLOOKUP(BY787,'RawPL+D'!$O$8:$AB$503,13,FALSE),"-")</f>
        <v>-</v>
      </c>
      <c r="CI787" s="338" t="str">
        <f t="shared" si="339"/>
        <v>-</v>
      </c>
    </row>
    <row r="788" spans="1:87" ht="12.75" hidden="1" customHeight="1" x14ac:dyDescent="0.2">
      <c r="A788" s="28">
        <v>4</v>
      </c>
      <c r="B788" s="28">
        <v>6</v>
      </c>
      <c r="C788" s="11">
        <v>24</v>
      </c>
      <c r="D788" s="13" t="s">
        <v>359</v>
      </c>
      <c r="E788" s="10" t="s">
        <v>251</v>
      </c>
      <c r="F788" s="10" t="s">
        <v>211</v>
      </c>
      <c r="G788" s="10"/>
      <c r="H788" s="10"/>
      <c r="I788" s="10"/>
      <c r="J788" s="10"/>
      <c r="K788" s="575"/>
      <c r="L788" s="152"/>
      <c r="M788" s="164"/>
      <c r="N788" s="62"/>
      <c r="O788" s="62"/>
      <c r="P788" s="177"/>
      <c r="Q788" s="171"/>
      <c r="R788" s="62"/>
      <c r="S788" s="62"/>
      <c r="T788" s="62"/>
      <c r="U788" s="64"/>
      <c r="V788" s="164"/>
      <c r="W788" s="62"/>
      <c r="X788" s="62"/>
      <c r="Y788" s="62"/>
      <c r="Z788" s="64"/>
      <c r="AA788" s="164"/>
      <c r="AB788" s="62"/>
      <c r="AC788" s="62"/>
      <c r="AD788" s="64"/>
      <c r="AE788" s="164"/>
      <c r="AF788" s="62"/>
      <c r="AG788" s="62"/>
      <c r="AH788" s="337"/>
      <c r="AI788" s="337"/>
      <c r="AJ788" s="337"/>
      <c r="AK788" s="337"/>
      <c r="AL788" s="412"/>
      <c r="AM788" s="414"/>
      <c r="AN788" s="45"/>
      <c r="AO788" s="45"/>
      <c r="AP788" s="45"/>
      <c r="AQ788" s="485"/>
      <c r="AR788" s="485"/>
      <c r="AS788" s="485"/>
      <c r="AT788" s="24"/>
      <c r="AU788" s="24"/>
      <c r="AV788" s="24"/>
      <c r="AW788" s="18">
        <v>24</v>
      </c>
      <c r="AX788" s="69" t="s">
        <v>359</v>
      </c>
      <c r="AY788" s="243" t="s">
        <v>251</v>
      </c>
      <c r="AZ788" s="243" t="str">
        <f t="shared" si="324"/>
        <v>Steelhead</v>
      </c>
      <c r="BA788" s="243" t="s">
        <v>419</v>
      </c>
      <c r="BB788" s="246"/>
      <c r="BC788" s="43" t="str">
        <f t="shared" si="325"/>
        <v>-</v>
      </c>
      <c r="BD788" s="43">
        <f t="shared" si="320"/>
        <v>0</v>
      </c>
      <c r="BE788" s="193">
        <f t="shared" si="341"/>
        <v>0</v>
      </c>
      <c r="BF788" s="193">
        <f t="shared" si="326"/>
        <v>0</v>
      </c>
      <c r="BG788" s="193">
        <f t="shared" si="327"/>
        <v>0</v>
      </c>
      <c r="BH788" s="307" t="str">
        <f t="shared" si="319"/>
        <v>-</v>
      </c>
      <c r="BI788" s="266"/>
      <c r="BJ788" s="26" t="str">
        <f t="shared" si="328"/>
        <v>HOT SPRINGS COVE CREEK (Ahtaapq)Steelhead</v>
      </c>
      <c r="BK788" s="26">
        <f t="shared" si="329"/>
        <v>0</v>
      </c>
      <c r="BL788" s="33">
        <f t="shared" si="321"/>
        <v>0</v>
      </c>
      <c r="BQ788" s="47" t="str">
        <f t="shared" si="330"/>
        <v>HOT SPRINGS COVE CREEK (Ahtaapq)Steelhead</v>
      </c>
      <c r="BR788" s="49">
        <f t="shared" si="331"/>
        <v>0</v>
      </c>
      <c r="BS788" s="49">
        <f t="shared" si="340"/>
        <v>0</v>
      </c>
      <c r="BT788" s="31">
        <v>0</v>
      </c>
      <c r="BU788" s="188">
        <f t="shared" si="332"/>
        <v>0</v>
      </c>
      <c r="BV788" s="188" t="str">
        <f t="shared" si="333"/>
        <v xml:space="preserve"> </v>
      </c>
      <c r="BW788" s="188" t="str">
        <f t="shared" si="334"/>
        <v xml:space="preserve"> </v>
      </c>
      <c r="BX788" s="188" t="str">
        <f t="shared" si="335"/>
        <v xml:space="preserve"> </v>
      </c>
      <c r="BY788" s="50" t="str">
        <f t="shared" si="323"/>
        <v>HOT SPRINGS COVE CREEK (Ahtaapq)_Steelhead</v>
      </c>
      <c r="BZ788" s="50" t="str">
        <f>IFERROR(VLOOKUP(BY788,'[1]WCVI Esc'!$C$5:$W$555,18,FALSE),"-")</f>
        <v>-</v>
      </c>
      <c r="CA788" s="50" t="str">
        <f t="shared" si="336"/>
        <v>-</v>
      </c>
      <c r="CB788" s="50" t="str">
        <f>IFERROR(VLOOKUP(BY788,'[1]WCVI Esc'!$C$5:$W$555,19,FALSE),"-")</f>
        <v>-</v>
      </c>
      <c r="CC788" s="50" t="str">
        <f t="shared" si="337"/>
        <v>-</v>
      </c>
      <c r="CE788" s="342" t="str">
        <f t="shared" si="322"/>
        <v>HOT SPRINGS COVE CREEK (Ahtaapq)_Steelhead</v>
      </c>
      <c r="CF788" s="341" t="str">
        <f>IFERROR(VLOOKUP(BY788,'RawPL+D'!$O$8:$AB$503,12,FALSE),"-")</f>
        <v>-</v>
      </c>
      <c r="CG788" s="338" t="str">
        <f t="shared" si="338"/>
        <v>-</v>
      </c>
      <c r="CH788" s="341" t="str">
        <f>IFERROR(VLOOKUP(BY788,'RawPL+D'!$O$8:$AB$503,13,FALSE),"-")</f>
        <v>-</v>
      </c>
      <c r="CI788" s="338" t="str">
        <f t="shared" si="339"/>
        <v>-</v>
      </c>
    </row>
    <row r="789" spans="1:87" ht="12.75" hidden="1" customHeight="1" x14ac:dyDescent="0.2">
      <c r="A789" s="28">
        <v>4</v>
      </c>
      <c r="B789" s="28">
        <v>1</v>
      </c>
      <c r="C789" s="11">
        <v>24</v>
      </c>
      <c r="D789" s="13" t="s">
        <v>359</v>
      </c>
      <c r="E789" s="10" t="s">
        <v>253</v>
      </c>
      <c r="F789" s="10" t="s">
        <v>207</v>
      </c>
      <c r="G789" s="10"/>
      <c r="H789" s="10"/>
      <c r="I789" s="10"/>
      <c r="J789" s="10"/>
      <c r="K789" s="575"/>
      <c r="L789" s="152"/>
      <c r="M789" s="164"/>
      <c r="N789" s="62"/>
      <c r="O789" s="62"/>
      <c r="P789" s="177"/>
      <c r="Q789" s="171"/>
      <c r="R789" s="62"/>
      <c r="S789" s="62"/>
      <c r="T789" s="62"/>
      <c r="U789" s="64"/>
      <c r="V789" s="164"/>
      <c r="W789" s="62"/>
      <c r="X789" s="62"/>
      <c r="Y789" s="62"/>
      <c r="Z789" s="64"/>
      <c r="AA789" s="164"/>
      <c r="AB789" s="62"/>
      <c r="AC789" s="62"/>
      <c r="AD789" s="64"/>
      <c r="AE789" s="164"/>
      <c r="AF789" s="62"/>
      <c r="AG789" s="62"/>
      <c r="AH789" s="337"/>
      <c r="AI789" s="337"/>
      <c r="AJ789" s="337"/>
      <c r="AK789" s="337"/>
      <c r="AL789" s="412"/>
      <c r="AM789" s="414"/>
      <c r="AN789" s="45"/>
      <c r="AO789" s="45"/>
      <c r="AP789" s="45"/>
      <c r="AQ789" s="485"/>
      <c r="AR789" s="485"/>
      <c r="AS789" s="485"/>
      <c r="AT789" s="24"/>
      <c r="AU789" s="24"/>
      <c r="AV789" s="24"/>
      <c r="AW789" s="18">
        <v>24</v>
      </c>
      <c r="AX789" s="69" t="s">
        <v>359</v>
      </c>
      <c r="AY789" s="243" t="s">
        <v>253</v>
      </c>
      <c r="AZ789" s="243" t="str">
        <f t="shared" si="324"/>
        <v>Sockeye</v>
      </c>
      <c r="BA789" s="243" t="s">
        <v>419</v>
      </c>
      <c r="BB789" s="246"/>
      <c r="BC789" s="43" t="str">
        <f t="shared" si="325"/>
        <v>-</v>
      </c>
      <c r="BD789" s="43">
        <f t="shared" si="320"/>
        <v>0</v>
      </c>
      <c r="BE789" s="193">
        <f t="shared" si="341"/>
        <v>0</v>
      </c>
      <c r="BF789" s="193">
        <f t="shared" si="326"/>
        <v>0</v>
      </c>
      <c r="BG789" s="193">
        <f t="shared" si="327"/>
        <v>0</v>
      </c>
      <c r="BH789" s="307" t="str">
        <f t="shared" si="319"/>
        <v>-</v>
      </c>
      <c r="BI789" s="266"/>
      <c r="BJ789" s="26" t="str">
        <f t="shared" si="328"/>
        <v>PACILTH CREEKSockeye</v>
      </c>
      <c r="BK789" s="26">
        <f t="shared" si="329"/>
        <v>0</v>
      </c>
      <c r="BL789" s="33">
        <f t="shared" si="321"/>
        <v>0</v>
      </c>
      <c r="BQ789" s="47" t="str">
        <f t="shared" si="330"/>
        <v>PACILTH CREEKSockeye</v>
      </c>
      <c r="BR789" s="49">
        <f t="shared" si="331"/>
        <v>0</v>
      </c>
      <c r="BS789" s="49">
        <f t="shared" si="340"/>
        <v>0</v>
      </c>
      <c r="BT789" s="31">
        <v>0</v>
      </c>
      <c r="BU789" s="188">
        <f t="shared" si="332"/>
        <v>0</v>
      </c>
      <c r="BV789" s="188" t="str">
        <f t="shared" si="333"/>
        <v xml:space="preserve"> </v>
      </c>
      <c r="BW789" s="188" t="str">
        <f t="shared" si="334"/>
        <v xml:space="preserve"> </v>
      </c>
      <c r="BX789" s="188" t="str">
        <f t="shared" si="335"/>
        <v xml:space="preserve"> </v>
      </c>
      <c r="BY789" s="50" t="str">
        <f t="shared" si="323"/>
        <v>PACILTH CREEK_Sockeye</v>
      </c>
      <c r="BZ789" s="50" t="str">
        <f>IFERROR(VLOOKUP(BY789,'[1]WCVI Esc'!$C$5:$W$555,18,FALSE),"-")</f>
        <v>-</v>
      </c>
      <c r="CA789" s="50" t="str">
        <f t="shared" si="336"/>
        <v>-</v>
      </c>
      <c r="CB789" s="50" t="str">
        <f>IFERROR(VLOOKUP(BY789,'[1]WCVI Esc'!$C$5:$W$555,19,FALSE),"-")</f>
        <v>-</v>
      </c>
      <c r="CC789" s="50" t="str">
        <f t="shared" si="337"/>
        <v>-</v>
      </c>
      <c r="CE789" s="342" t="str">
        <f t="shared" si="322"/>
        <v>PACILTH CREEK_Sockeye</v>
      </c>
      <c r="CF789" s="341" t="str">
        <f>IFERROR(VLOOKUP(BY789,'RawPL+D'!$O$8:$AB$503,12,FALSE),"-")</f>
        <v>-</v>
      </c>
      <c r="CG789" s="338" t="str">
        <f t="shared" si="338"/>
        <v>-</v>
      </c>
      <c r="CH789" s="341" t="str">
        <f>IFERROR(VLOOKUP(BY789,'RawPL+D'!$O$8:$AB$503,13,FALSE),"-")</f>
        <v>-</v>
      </c>
      <c r="CI789" s="338" t="str">
        <f t="shared" si="339"/>
        <v>-</v>
      </c>
    </row>
    <row r="790" spans="1:87" ht="12.75" hidden="1" customHeight="1" x14ac:dyDescent="0.2">
      <c r="A790" s="28">
        <v>4</v>
      </c>
      <c r="B790" s="28">
        <v>2</v>
      </c>
      <c r="C790" s="11">
        <v>24</v>
      </c>
      <c r="D790" s="13" t="s">
        <v>359</v>
      </c>
      <c r="E790" s="10" t="s">
        <v>253</v>
      </c>
      <c r="F790" s="10" t="s">
        <v>219</v>
      </c>
      <c r="G790" s="10"/>
      <c r="H790" s="10"/>
      <c r="I790" s="10"/>
      <c r="J790" s="10"/>
      <c r="K790" s="575"/>
      <c r="L790" s="152"/>
      <c r="M790" s="164"/>
      <c r="N790" s="62"/>
      <c r="O790" s="62"/>
      <c r="P790" s="177"/>
      <c r="Q790" s="171"/>
      <c r="R790" s="62"/>
      <c r="S790" s="62"/>
      <c r="T790" s="62"/>
      <c r="U790" s="64"/>
      <c r="V790" s="164"/>
      <c r="W790" s="62"/>
      <c r="X790" s="62"/>
      <c r="Y790" s="62"/>
      <c r="Z790" s="64"/>
      <c r="AA790" s="164"/>
      <c r="AB790" s="62"/>
      <c r="AC790" s="62"/>
      <c r="AD790" s="64"/>
      <c r="AE790" s="164"/>
      <c r="AF790" s="62"/>
      <c r="AG790" s="62"/>
      <c r="AH790" s="337"/>
      <c r="AI790" s="337"/>
      <c r="AJ790" s="337"/>
      <c r="AK790" s="337"/>
      <c r="AL790" s="412"/>
      <c r="AM790" s="414"/>
      <c r="AN790" s="45"/>
      <c r="AO790" s="45"/>
      <c r="AP790" s="45"/>
      <c r="AQ790" s="485"/>
      <c r="AR790" s="485"/>
      <c r="AS790" s="485"/>
      <c r="AT790" s="24"/>
      <c r="AU790" s="24"/>
      <c r="AV790" s="24"/>
      <c r="AW790" s="18">
        <v>24</v>
      </c>
      <c r="AX790" s="69" t="s">
        <v>359</v>
      </c>
      <c r="AY790" s="243" t="s">
        <v>253</v>
      </c>
      <c r="AZ790" s="243" t="str">
        <f t="shared" si="324"/>
        <v>Coho</v>
      </c>
      <c r="BA790" s="243" t="s">
        <v>419</v>
      </c>
      <c r="BB790" s="246"/>
      <c r="BC790" s="43" t="str">
        <f t="shared" si="325"/>
        <v>-</v>
      </c>
      <c r="BD790" s="43">
        <f t="shared" si="320"/>
        <v>0</v>
      </c>
      <c r="BE790" s="193">
        <f t="shared" si="341"/>
        <v>0</v>
      </c>
      <c r="BF790" s="193">
        <f t="shared" si="326"/>
        <v>0</v>
      </c>
      <c r="BG790" s="193">
        <f t="shared" si="327"/>
        <v>0</v>
      </c>
      <c r="BH790" s="307">
        <f t="shared" si="319"/>
        <v>0</v>
      </c>
      <c r="BI790" s="266"/>
      <c r="BJ790" s="26" t="str">
        <f t="shared" si="328"/>
        <v>PACILTH CREEKCoho</v>
      </c>
      <c r="BK790" s="26">
        <f t="shared" si="329"/>
        <v>0</v>
      </c>
      <c r="BL790" s="33">
        <f t="shared" si="321"/>
        <v>0</v>
      </c>
      <c r="BQ790" s="47" t="str">
        <f t="shared" si="330"/>
        <v>PACILTH CREEKCoho</v>
      </c>
      <c r="BR790" s="49">
        <f t="shared" si="331"/>
        <v>0</v>
      </c>
      <c r="BS790" s="49">
        <f t="shared" si="340"/>
        <v>0</v>
      </c>
      <c r="BT790" s="31">
        <v>0</v>
      </c>
      <c r="BU790" s="188">
        <f t="shared" si="332"/>
        <v>0</v>
      </c>
      <c r="BV790" s="188" t="str">
        <f t="shared" si="333"/>
        <v xml:space="preserve"> </v>
      </c>
      <c r="BW790" s="188" t="str">
        <f t="shared" si="334"/>
        <v xml:space="preserve"> </v>
      </c>
      <c r="BX790" s="188" t="str">
        <f t="shared" si="335"/>
        <v xml:space="preserve"> </v>
      </c>
      <c r="BY790" s="50" t="str">
        <f t="shared" si="323"/>
        <v>PACILTH CREEK_Coho</v>
      </c>
      <c r="BZ790" s="50" t="str">
        <f>IFERROR(VLOOKUP(BY790,'[1]WCVI Esc'!$C$5:$W$555,18,FALSE),"-")</f>
        <v>-</v>
      </c>
      <c r="CA790" s="50" t="str">
        <f t="shared" si="336"/>
        <v>-</v>
      </c>
      <c r="CB790" s="50" t="str">
        <f>IFERROR(VLOOKUP(BY790,'[1]WCVI Esc'!$C$5:$W$555,19,FALSE),"-")</f>
        <v>-</v>
      </c>
      <c r="CC790" s="50" t="str">
        <f t="shared" si="337"/>
        <v>-</v>
      </c>
      <c r="CE790" s="342" t="str">
        <f t="shared" si="322"/>
        <v>PACILTH CREEK_Coho</v>
      </c>
      <c r="CF790" s="341">
        <f>IFERROR(VLOOKUP(BY790,'RawPL+D'!$O$8:$AB$503,12,FALSE),"-")</f>
        <v>0</v>
      </c>
      <c r="CG790" s="338">
        <f t="shared" si="338"/>
        <v>0</v>
      </c>
      <c r="CH790" s="341">
        <f>IFERROR(VLOOKUP(BY790,'RawPL+D'!$O$8:$AB$503,13,FALSE),"-")</f>
        <v>0</v>
      </c>
      <c r="CI790" s="338">
        <f t="shared" si="339"/>
        <v>0</v>
      </c>
    </row>
    <row r="791" spans="1:87" ht="12.75" hidden="1" customHeight="1" x14ac:dyDescent="0.2">
      <c r="A791" s="28">
        <v>4</v>
      </c>
      <c r="B791" s="28">
        <v>3</v>
      </c>
      <c r="C791" s="11">
        <v>24</v>
      </c>
      <c r="D791" s="13" t="s">
        <v>359</v>
      </c>
      <c r="E791" s="10" t="s">
        <v>253</v>
      </c>
      <c r="F791" s="10" t="s">
        <v>208</v>
      </c>
      <c r="G791" s="10"/>
      <c r="H791" s="10"/>
      <c r="I791" s="10"/>
      <c r="J791" s="10"/>
      <c r="K791" s="575"/>
      <c r="L791" s="152"/>
      <c r="M791" s="164"/>
      <c r="N791" s="62"/>
      <c r="O791" s="62"/>
      <c r="P791" s="177"/>
      <c r="Q791" s="171"/>
      <c r="R791" s="62"/>
      <c r="S791" s="62"/>
      <c r="T791" s="62"/>
      <c r="U791" s="64"/>
      <c r="V791" s="164"/>
      <c r="W791" s="62"/>
      <c r="X791" s="62"/>
      <c r="Y791" s="62"/>
      <c r="Z791" s="64"/>
      <c r="AA791" s="164"/>
      <c r="AB791" s="62"/>
      <c r="AC791" s="62"/>
      <c r="AD791" s="64"/>
      <c r="AE791" s="164"/>
      <c r="AF791" s="62"/>
      <c r="AG791" s="62"/>
      <c r="AH791" s="337"/>
      <c r="AI791" s="337"/>
      <c r="AJ791" s="337"/>
      <c r="AK791" s="337"/>
      <c r="AL791" s="412"/>
      <c r="AM791" s="414"/>
      <c r="AN791" s="45"/>
      <c r="AO791" s="45"/>
      <c r="AP791" s="45"/>
      <c r="AQ791" s="485"/>
      <c r="AR791" s="485"/>
      <c r="AS791" s="485"/>
      <c r="AT791" s="24"/>
      <c r="AU791" s="24"/>
      <c r="AV791" s="24"/>
      <c r="AW791" s="18">
        <v>24</v>
      </c>
      <c r="AX791" s="69" t="s">
        <v>359</v>
      </c>
      <c r="AY791" s="243" t="s">
        <v>253</v>
      </c>
      <c r="AZ791" s="243" t="str">
        <f t="shared" si="324"/>
        <v>Pink</v>
      </c>
      <c r="BA791" s="243" t="s">
        <v>419</v>
      </c>
      <c r="BB791" s="246"/>
      <c r="BC791" s="43" t="str">
        <f t="shared" si="325"/>
        <v>-</v>
      </c>
      <c r="BD791" s="43">
        <f t="shared" si="320"/>
        <v>0</v>
      </c>
      <c r="BE791" s="193">
        <f t="shared" si="341"/>
        <v>0</v>
      </c>
      <c r="BF791" s="193">
        <f t="shared" si="326"/>
        <v>0</v>
      </c>
      <c r="BG791" s="193">
        <f t="shared" si="327"/>
        <v>0</v>
      </c>
      <c r="BH791" s="307" t="str">
        <f t="shared" si="319"/>
        <v>-</v>
      </c>
      <c r="BI791" s="266"/>
      <c r="BJ791" s="26" t="str">
        <f t="shared" si="328"/>
        <v>PACILTH CREEKPink</v>
      </c>
      <c r="BK791" s="26">
        <f t="shared" si="329"/>
        <v>0</v>
      </c>
      <c r="BL791" s="33">
        <f t="shared" si="321"/>
        <v>0</v>
      </c>
      <c r="BQ791" s="47" t="str">
        <f t="shared" si="330"/>
        <v>PACILTH CREEKPink</v>
      </c>
      <c r="BR791" s="49">
        <f t="shared" si="331"/>
        <v>0</v>
      </c>
      <c r="BS791" s="49">
        <f t="shared" si="340"/>
        <v>0</v>
      </c>
      <c r="BT791" s="31">
        <v>0</v>
      </c>
      <c r="BU791" s="188">
        <f t="shared" si="332"/>
        <v>0</v>
      </c>
      <c r="BV791" s="188" t="str">
        <f t="shared" si="333"/>
        <v xml:space="preserve"> </v>
      </c>
      <c r="BW791" s="188" t="str">
        <f t="shared" si="334"/>
        <v xml:space="preserve"> </v>
      </c>
      <c r="BX791" s="188" t="str">
        <f t="shared" si="335"/>
        <v xml:space="preserve"> </v>
      </c>
      <c r="BY791" s="50" t="str">
        <f t="shared" si="323"/>
        <v>PACILTH CREEK_Pink</v>
      </c>
      <c r="BZ791" s="50" t="str">
        <f>IFERROR(VLOOKUP(BY791,'[1]WCVI Esc'!$C$5:$W$555,18,FALSE),"-")</f>
        <v>-</v>
      </c>
      <c r="CA791" s="50" t="str">
        <f t="shared" si="336"/>
        <v>-</v>
      </c>
      <c r="CB791" s="50" t="str">
        <f>IFERROR(VLOOKUP(BY791,'[1]WCVI Esc'!$C$5:$W$555,19,FALSE),"-")</f>
        <v>-</v>
      </c>
      <c r="CC791" s="50" t="str">
        <f t="shared" si="337"/>
        <v>-</v>
      </c>
      <c r="CE791" s="342" t="str">
        <f t="shared" si="322"/>
        <v>PACILTH CREEK_Pink</v>
      </c>
      <c r="CF791" s="341" t="str">
        <f>IFERROR(VLOOKUP(BY791,'RawPL+D'!$O$8:$AB$503,12,FALSE),"-")</f>
        <v>-</v>
      </c>
      <c r="CG791" s="338" t="str">
        <f t="shared" si="338"/>
        <v>-</v>
      </c>
      <c r="CH791" s="341" t="str">
        <f>IFERROR(VLOOKUP(BY791,'RawPL+D'!$O$8:$AB$503,13,FALSE),"-")</f>
        <v>-</v>
      </c>
      <c r="CI791" s="338" t="str">
        <f t="shared" si="339"/>
        <v>-</v>
      </c>
    </row>
    <row r="792" spans="1:87" ht="12.75" hidden="1" customHeight="1" x14ac:dyDescent="0.2">
      <c r="A792" s="28">
        <v>4</v>
      </c>
      <c r="B792" s="28">
        <v>4</v>
      </c>
      <c r="C792" s="11">
        <v>24</v>
      </c>
      <c r="D792" s="13" t="s">
        <v>359</v>
      </c>
      <c r="E792" s="10" t="s">
        <v>253</v>
      </c>
      <c r="F792" s="10" t="s">
        <v>209</v>
      </c>
      <c r="G792" s="10"/>
      <c r="H792" s="10"/>
      <c r="I792" s="10"/>
      <c r="J792" s="10"/>
      <c r="K792" s="575"/>
      <c r="L792" s="152"/>
      <c r="M792" s="164"/>
      <c r="N792" s="62"/>
      <c r="O792" s="62"/>
      <c r="P792" s="177"/>
      <c r="Q792" s="171"/>
      <c r="R792" s="62"/>
      <c r="S792" s="62"/>
      <c r="T792" s="62"/>
      <c r="U792" s="64"/>
      <c r="V792" s="164"/>
      <c r="W792" s="62"/>
      <c r="X792" s="62"/>
      <c r="Y792" s="62"/>
      <c r="Z792" s="64"/>
      <c r="AA792" s="164"/>
      <c r="AB792" s="62"/>
      <c r="AC792" s="62"/>
      <c r="AD792" s="64"/>
      <c r="AE792" s="164"/>
      <c r="AF792" s="62"/>
      <c r="AG792" s="62"/>
      <c r="AH792" s="337"/>
      <c r="AI792" s="337"/>
      <c r="AJ792" s="337"/>
      <c r="AK792" s="337"/>
      <c r="AL792" s="412"/>
      <c r="AM792" s="414"/>
      <c r="AN792" s="45"/>
      <c r="AO792" s="45"/>
      <c r="AP792" s="45"/>
      <c r="AQ792" s="485"/>
      <c r="AR792" s="485"/>
      <c r="AS792" s="485"/>
      <c r="AT792" s="24"/>
      <c r="AU792" s="24"/>
      <c r="AV792" s="24"/>
      <c r="AW792" s="18">
        <v>24</v>
      </c>
      <c r="AX792" s="69" t="s">
        <v>359</v>
      </c>
      <c r="AY792" s="243" t="s">
        <v>253</v>
      </c>
      <c r="AZ792" s="243" t="str">
        <f t="shared" si="324"/>
        <v>Chum</v>
      </c>
      <c r="BA792" s="243" t="s">
        <v>419</v>
      </c>
      <c r="BB792" s="246"/>
      <c r="BC792" s="43" t="str">
        <f t="shared" si="325"/>
        <v>-</v>
      </c>
      <c r="BD792" s="43">
        <f t="shared" si="320"/>
        <v>0</v>
      </c>
      <c r="BE792" s="193">
        <f t="shared" si="341"/>
        <v>0</v>
      </c>
      <c r="BF792" s="193">
        <f t="shared" si="326"/>
        <v>0</v>
      </c>
      <c r="BG792" s="193">
        <f t="shared" si="327"/>
        <v>0</v>
      </c>
      <c r="BH792" s="307">
        <f t="shared" si="319"/>
        <v>0</v>
      </c>
      <c r="BI792" s="266"/>
      <c r="BJ792" s="26" t="str">
        <f t="shared" si="328"/>
        <v>PACILTH CREEKChum</v>
      </c>
      <c r="BK792" s="26">
        <f t="shared" si="329"/>
        <v>0</v>
      </c>
      <c r="BL792" s="33">
        <f t="shared" si="321"/>
        <v>0</v>
      </c>
      <c r="BQ792" s="47" t="str">
        <f t="shared" si="330"/>
        <v>PACILTH CREEKChum</v>
      </c>
      <c r="BR792" s="49">
        <f t="shared" si="331"/>
        <v>0</v>
      </c>
      <c r="BS792" s="49">
        <f t="shared" si="340"/>
        <v>0</v>
      </c>
      <c r="BT792" s="31">
        <v>0</v>
      </c>
      <c r="BU792" s="188">
        <f t="shared" si="332"/>
        <v>0</v>
      </c>
      <c r="BV792" s="188" t="str">
        <f t="shared" si="333"/>
        <v xml:space="preserve"> </v>
      </c>
      <c r="BW792" s="188" t="str">
        <f t="shared" si="334"/>
        <v xml:space="preserve"> </v>
      </c>
      <c r="BX792" s="188" t="str">
        <f t="shared" si="335"/>
        <v xml:space="preserve"> </v>
      </c>
      <c r="BY792" s="50" t="str">
        <f t="shared" si="323"/>
        <v>PACILTH CREEK_Chum</v>
      </c>
      <c r="BZ792" s="50" t="str">
        <f>IFERROR(VLOOKUP(BY792,'[1]WCVI Esc'!$C$5:$W$555,18,FALSE),"-")</f>
        <v>-</v>
      </c>
      <c r="CA792" s="50" t="str">
        <f t="shared" si="336"/>
        <v>-</v>
      </c>
      <c r="CB792" s="50" t="str">
        <f>IFERROR(VLOOKUP(BY792,'[1]WCVI Esc'!$C$5:$W$555,19,FALSE),"-")</f>
        <v>-</v>
      </c>
      <c r="CC792" s="50" t="str">
        <f t="shared" si="337"/>
        <v>-</v>
      </c>
      <c r="CE792" s="342" t="str">
        <f t="shared" si="322"/>
        <v>PACILTH CREEK_Chum</v>
      </c>
      <c r="CF792" s="341">
        <f>IFERROR(VLOOKUP(BY792,'RawPL+D'!$O$8:$AB$503,12,FALSE),"-")</f>
        <v>0</v>
      </c>
      <c r="CG792" s="338">
        <f t="shared" si="338"/>
        <v>0</v>
      </c>
      <c r="CH792" s="341">
        <f>IFERROR(VLOOKUP(BY792,'RawPL+D'!$O$8:$AB$503,13,FALSE),"-")</f>
        <v>0</v>
      </c>
      <c r="CI792" s="338">
        <f t="shared" si="339"/>
        <v>0</v>
      </c>
    </row>
    <row r="793" spans="1:87" ht="12.75" hidden="1" customHeight="1" x14ac:dyDescent="0.2">
      <c r="A793" s="28">
        <v>4</v>
      </c>
      <c r="B793" s="28">
        <v>5</v>
      </c>
      <c r="C793" s="11">
        <v>24</v>
      </c>
      <c r="D793" s="13" t="s">
        <v>359</v>
      </c>
      <c r="E793" s="10" t="s">
        <v>253</v>
      </c>
      <c r="F793" s="10" t="s">
        <v>210</v>
      </c>
      <c r="G793" s="10"/>
      <c r="H793" s="10"/>
      <c r="I793" s="10"/>
      <c r="J793" s="10"/>
      <c r="K793" s="575"/>
      <c r="L793" s="152"/>
      <c r="M793" s="164"/>
      <c r="N793" s="62"/>
      <c r="O793" s="62"/>
      <c r="P793" s="177"/>
      <c r="Q793" s="171"/>
      <c r="R793" s="62"/>
      <c r="S793" s="62"/>
      <c r="T793" s="62"/>
      <c r="U793" s="64"/>
      <c r="V793" s="164"/>
      <c r="W793" s="62"/>
      <c r="X793" s="62"/>
      <c r="Y793" s="62"/>
      <c r="Z793" s="64"/>
      <c r="AA793" s="164"/>
      <c r="AB793" s="62"/>
      <c r="AC793" s="62"/>
      <c r="AD793" s="64"/>
      <c r="AE793" s="164"/>
      <c r="AF793" s="62"/>
      <c r="AG793" s="62"/>
      <c r="AH793" s="337"/>
      <c r="AI793" s="337"/>
      <c r="AJ793" s="337"/>
      <c r="AK793" s="337"/>
      <c r="AL793" s="412"/>
      <c r="AM793" s="414"/>
      <c r="AN793" s="45"/>
      <c r="AO793" s="45"/>
      <c r="AP793" s="45"/>
      <c r="AQ793" s="485"/>
      <c r="AR793" s="485"/>
      <c r="AS793" s="485"/>
      <c r="AT793" s="24"/>
      <c r="AU793" s="24"/>
      <c r="AV793" s="24"/>
      <c r="AW793" s="18">
        <v>24</v>
      </c>
      <c r="AX793" s="69" t="s">
        <v>359</v>
      </c>
      <c r="AY793" s="243" t="s">
        <v>253</v>
      </c>
      <c r="AZ793" s="243" t="str">
        <f t="shared" si="324"/>
        <v>Chinook</v>
      </c>
      <c r="BA793" s="243" t="s">
        <v>419</v>
      </c>
      <c r="BB793" s="246"/>
      <c r="BC793" s="43" t="str">
        <f t="shared" si="325"/>
        <v>-</v>
      </c>
      <c r="BD793" s="43">
        <f t="shared" si="320"/>
        <v>0</v>
      </c>
      <c r="BE793" s="193">
        <f t="shared" si="341"/>
        <v>0</v>
      </c>
      <c r="BF793" s="193">
        <f t="shared" si="326"/>
        <v>0</v>
      </c>
      <c r="BG793" s="193">
        <f t="shared" si="327"/>
        <v>0</v>
      </c>
      <c r="BH793" s="307" t="str">
        <f t="shared" si="319"/>
        <v>-</v>
      </c>
      <c r="BI793" s="266"/>
      <c r="BJ793" s="26" t="str">
        <f t="shared" si="328"/>
        <v>PACILTH CREEKChinook</v>
      </c>
      <c r="BK793" s="26">
        <f t="shared" si="329"/>
        <v>0</v>
      </c>
      <c r="BL793" s="33">
        <f t="shared" si="321"/>
        <v>0</v>
      </c>
      <c r="BQ793" s="47" t="str">
        <f t="shared" si="330"/>
        <v>PACILTH CREEKChinook</v>
      </c>
      <c r="BR793" s="49">
        <f t="shared" si="331"/>
        <v>0</v>
      </c>
      <c r="BS793" s="49">
        <f t="shared" si="340"/>
        <v>0</v>
      </c>
      <c r="BT793" s="31">
        <v>0</v>
      </c>
      <c r="BU793" s="188">
        <f t="shared" si="332"/>
        <v>0</v>
      </c>
      <c r="BV793" s="188" t="str">
        <f t="shared" si="333"/>
        <v xml:space="preserve"> </v>
      </c>
      <c r="BW793" s="188" t="str">
        <f t="shared" si="334"/>
        <v xml:space="preserve"> </v>
      </c>
      <c r="BX793" s="188" t="str">
        <f t="shared" si="335"/>
        <v xml:space="preserve"> </v>
      </c>
      <c r="BY793" s="50" t="str">
        <f t="shared" si="323"/>
        <v>PACILTH CREEK_Chinook</v>
      </c>
      <c r="BZ793" s="50" t="str">
        <f>IFERROR(VLOOKUP(BY793,'[1]WCVI Esc'!$C$5:$W$555,18,FALSE),"-")</f>
        <v>-</v>
      </c>
      <c r="CA793" s="50" t="str">
        <f t="shared" si="336"/>
        <v>-</v>
      </c>
      <c r="CB793" s="50" t="str">
        <f>IFERROR(VLOOKUP(BY793,'[1]WCVI Esc'!$C$5:$W$555,19,FALSE),"-")</f>
        <v>-</v>
      </c>
      <c r="CC793" s="50" t="str">
        <f t="shared" si="337"/>
        <v>-</v>
      </c>
      <c r="CE793" s="342" t="str">
        <f t="shared" si="322"/>
        <v>PACILTH CREEK_Chinook</v>
      </c>
      <c r="CF793" s="341" t="str">
        <f>IFERROR(VLOOKUP(BY793,'RawPL+D'!$O$8:$AB$503,12,FALSE),"-")</f>
        <v>-</v>
      </c>
      <c r="CG793" s="338" t="str">
        <f t="shared" si="338"/>
        <v>-</v>
      </c>
      <c r="CH793" s="341" t="str">
        <f>IFERROR(VLOOKUP(BY793,'RawPL+D'!$O$8:$AB$503,13,FALSE),"-")</f>
        <v>-</v>
      </c>
      <c r="CI793" s="338" t="str">
        <f t="shared" si="339"/>
        <v>-</v>
      </c>
    </row>
    <row r="794" spans="1:87" ht="12.75" hidden="1" customHeight="1" x14ac:dyDescent="0.2">
      <c r="A794" s="28">
        <v>4</v>
      </c>
      <c r="B794" s="28">
        <v>6</v>
      </c>
      <c r="C794" s="11">
        <v>24</v>
      </c>
      <c r="D794" s="13" t="s">
        <v>359</v>
      </c>
      <c r="E794" s="10" t="s">
        <v>253</v>
      </c>
      <c r="F794" s="10" t="s">
        <v>211</v>
      </c>
      <c r="G794" s="10"/>
      <c r="H794" s="10"/>
      <c r="I794" s="10"/>
      <c r="J794" s="10"/>
      <c r="K794" s="575"/>
      <c r="L794" s="152"/>
      <c r="M794" s="164"/>
      <c r="N794" s="62"/>
      <c r="O794" s="62"/>
      <c r="P794" s="177"/>
      <c r="Q794" s="171"/>
      <c r="R794" s="62"/>
      <c r="S794" s="62"/>
      <c r="T794" s="62"/>
      <c r="U794" s="64"/>
      <c r="V794" s="164"/>
      <c r="W794" s="62"/>
      <c r="X794" s="62"/>
      <c r="Y794" s="62"/>
      <c r="Z794" s="64"/>
      <c r="AA794" s="164"/>
      <c r="AB794" s="62"/>
      <c r="AC794" s="62"/>
      <c r="AD794" s="64"/>
      <c r="AE794" s="164"/>
      <c r="AF794" s="62"/>
      <c r="AG794" s="64"/>
      <c r="AH794" s="337"/>
      <c r="AI794" s="337"/>
      <c r="AJ794" s="337"/>
      <c r="AK794" s="337"/>
      <c r="AL794" s="412"/>
      <c r="AM794" s="414"/>
      <c r="AN794" s="45"/>
      <c r="AO794" s="45"/>
      <c r="AP794" s="45"/>
      <c r="AQ794" s="485"/>
      <c r="AR794" s="485"/>
      <c r="AS794" s="485"/>
      <c r="AT794" s="24"/>
      <c r="AU794" s="24"/>
      <c r="AV794" s="24"/>
      <c r="AW794" s="18">
        <v>24</v>
      </c>
      <c r="AX794" s="69" t="s">
        <v>359</v>
      </c>
      <c r="AY794" s="243" t="s">
        <v>253</v>
      </c>
      <c r="AZ794" s="243" t="str">
        <f t="shared" si="324"/>
        <v>Steelhead</v>
      </c>
      <c r="BA794" s="243" t="s">
        <v>419</v>
      </c>
      <c r="BB794" s="246"/>
      <c r="BC794" s="43" t="str">
        <f t="shared" si="325"/>
        <v>-</v>
      </c>
      <c r="BD794" s="43">
        <f t="shared" si="320"/>
        <v>0</v>
      </c>
      <c r="BE794" s="193">
        <f t="shared" si="341"/>
        <v>0</v>
      </c>
      <c r="BF794" s="193">
        <f t="shared" si="326"/>
        <v>0</v>
      </c>
      <c r="BG794" s="193">
        <f t="shared" si="327"/>
        <v>0</v>
      </c>
      <c r="BH794" s="307" t="str">
        <f t="shared" si="319"/>
        <v>-</v>
      </c>
      <c r="BI794" s="266"/>
      <c r="BJ794" s="26" t="str">
        <f t="shared" si="328"/>
        <v>PACILTH CREEKSteelhead</v>
      </c>
      <c r="BK794" s="26">
        <f t="shared" si="329"/>
        <v>0</v>
      </c>
      <c r="BL794" s="33">
        <f t="shared" si="321"/>
        <v>0</v>
      </c>
      <c r="BQ794" s="47" t="str">
        <f t="shared" si="330"/>
        <v>PACILTH CREEKSteelhead</v>
      </c>
      <c r="BR794" s="49">
        <f t="shared" si="331"/>
        <v>0</v>
      </c>
      <c r="BS794" s="49">
        <f t="shared" si="340"/>
        <v>0</v>
      </c>
      <c r="BT794" s="31">
        <v>0</v>
      </c>
      <c r="BU794" s="188">
        <f t="shared" si="332"/>
        <v>0</v>
      </c>
      <c r="BV794" s="188" t="str">
        <f t="shared" si="333"/>
        <v xml:space="preserve"> </v>
      </c>
      <c r="BW794" s="188" t="str">
        <f t="shared" si="334"/>
        <v xml:space="preserve"> </v>
      </c>
      <c r="BX794" s="188" t="str">
        <f t="shared" si="335"/>
        <v xml:space="preserve"> </v>
      </c>
      <c r="BY794" s="50" t="str">
        <f t="shared" si="323"/>
        <v>PACILTH CREEK_Steelhead</v>
      </c>
      <c r="BZ794" s="50" t="str">
        <f>IFERROR(VLOOKUP(BY794,'[1]WCVI Esc'!$C$5:$W$555,18,FALSE),"-")</f>
        <v>-</v>
      </c>
      <c r="CA794" s="50" t="str">
        <f t="shared" si="336"/>
        <v>-</v>
      </c>
      <c r="CB794" s="50" t="str">
        <f>IFERROR(VLOOKUP(BY794,'[1]WCVI Esc'!$C$5:$W$555,19,FALSE),"-")</f>
        <v>-</v>
      </c>
      <c r="CC794" s="50" t="str">
        <f t="shared" si="337"/>
        <v>-</v>
      </c>
      <c r="CE794" s="342" t="str">
        <f t="shared" si="322"/>
        <v>PACILTH CREEK_Steelhead</v>
      </c>
      <c r="CF794" s="341" t="str">
        <f>IFERROR(VLOOKUP(BY794,'RawPL+D'!$O$8:$AB$503,12,FALSE),"-")</f>
        <v>-</v>
      </c>
      <c r="CG794" s="338" t="str">
        <f t="shared" si="338"/>
        <v>-</v>
      </c>
      <c r="CH794" s="341" t="str">
        <f>IFERROR(VLOOKUP(BY794,'RawPL+D'!$O$8:$AB$503,13,FALSE),"-")</f>
        <v>-</v>
      </c>
      <c r="CI794" s="338" t="str">
        <f t="shared" si="339"/>
        <v>-</v>
      </c>
    </row>
    <row r="795" spans="1:87" ht="12.75" hidden="1" customHeight="1" x14ac:dyDescent="0.2">
      <c r="A795" s="28">
        <v>4</v>
      </c>
      <c r="B795" s="28">
        <v>1</v>
      </c>
      <c r="C795" s="11">
        <v>24</v>
      </c>
      <c r="D795" s="13" t="s">
        <v>359</v>
      </c>
      <c r="E795" s="10" t="s">
        <v>254</v>
      </c>
      <c r="F795" s="10" t="s">
        <v>207</v>
      </c>
      <c r="G795" s="10"/>
      <c r="H795" s="10"/>
      <c r="I795" s="10"/>
      <c r="J795" s="10"/>
      <c r="K795" s="575"/>
      <c r="L795" s="152"/>
      <c r="M795" s="164"/>
      <c r="N795" s="62"/>
      <c r="O795" s="62"/>
      <c r="P795" s="177"/>
      <c r="Q795" s="171"/>
      <c r="R795" s="62"/>
      <c r="S795" s="62"/>
      <c r="T795" s="62"/>
      <c r="U795" s="62"/>
      <c r="V795" s="164"/>
      <c r="W795" s="62"/>
      <c r="X795" s="62"/>
      <c r="Y795" s="62"/>
      <c r="Z795" s="64"/>
      <c r="AA795" s="164"/>
      <c r="AB795" s="62"/>
      <c r="AC795" s="62"/>
      <c r="AD795" s="64"/>
      <c r="AE795" s="164"/>
      <c r="AF795" s="62"/>
      <c r="AG795" s="64"/>
      <c r="AH795" s="337"/>
      <c r="AI795" s="337"/>
      <c r="AJ795" s="337"/>
      <c r="AK795" s="337"/>
      <c r="AL795" s="412"/>
      <c r="AM795" s="414"/>
      <c r="AN795" s="45"/>
      <c r="AO795" s="45"/>
      <c r="AP795" s="45"/>
      <c r="AQ795" s="485"/>
      <c r="AR795" s="485"/>
      <c r="AS795" s="485"/>
      <c r="AT795" s="24"/>
      <c r="AU795" s="24"/>
      <c r="AV795" s="24"/>
      <c r="AW795" s="18">
        <v>24</v>
      </c>
      <c r="AX795" s="69" t="s">
        <v>359</v>
      </c>
      <c r="AY795" s="243" t="s">
        <v>254</v>
      </c>
      <c r="AZ795" s="243" t="str">
        <f t="shared" si="324"/>
        <v>Sockeye</v>
      </c>
      <c r="BA795" s="243" t="s">
        <v>419</v>
      </c>
      <c r="BB795" s="246"/>
      <c r="BC795" s="43" t="str">
        <f t="shared" si="325"/>
        <v>-</v>
      </c>
      <c r="BD795" s="43">
        <f t="shared" si="320"/>
        <v>0</v>
      </c>
      <c r="BE795" s="193">
        <f t="shared" si="341"/>
        <v>0</v>
      </c>
      <c r="BF795" s="193">
        <f t="shared" si="326"/>
        <v>0</v>
      </c>
      <c r="BG795" s="193">
        <f t="shared" si="327"/>
        <v>0</v>
      </c>
      <c r="BH795" s="307" t="str">
        <f t="shared" si="319"/>
        <v>-</v>
      </c>
      <c r="BI795" s="266"/>
      <c r="BJ795" s="26" t="str">
        <f t="shared" si="328"/>
        <v>PURDON CREEK (Tsa-ako)Sockeye</v>
      </c>
      <c r="BK795" s="26">
        <f t="shared" si="329"/>
        <v>0</v>
      </c>
      <c r="BL795" s="33">
        <f t="shared" si="321"/>
        <v>0</v>
      </c>
      <c r="BQ795" s="47" t="str">
        <f t="shared" si="330"/>
        <v>PURDON CREEK (Tsa-ako)Sockeye</v>
      </c>
      <c r="BR795" s="49">
        <f t="shared" si="331"/>
        <v>0</v>
      </c>
      <c r="BS795" s="49">
        <f t="shared" si="340"/>
        <v>0</v>
      </c>
      <c r="BT795" s="31">
        <v>0</v>
      </c>
      <c r="BU795" s="188">
        <f t="shared" si="332"/>
        <v>0</v>
      </c>
      <c r="BV795" s="188" t="str">
        <f t="shared" si="333"/>
        <v xml:space="preserve"> </v>
      </c>
      <c r="BW795" s="188" t="str">
        <f t="shared" si="334"/>
        <v xml:space="preserve"> </v>
      </c>
      <c r="BX795" s="188" t="str">
        <f t="shared" si="335"/>
        <v xml:space="preserve"> </v>
      </c>
      <c r="BY795" s="50" t="str">
        <f t="shared" si="323"/>
        <v>PURDON CREEK (Tsa-ako)_Sockeye</v>
      </c>
      <c r="BZ795" s="50" t="str">
        <f>IFERROR(VLOOKUP(BY795,'[1]WCVI Esc'!$C$5:$W$555,18,FALSE),"-")</f>
        <v>-</v>
      </c>
      <c r="CA795" s="50" t="str">
        <f t="shared" si="336"/>
        <v>-</v>
      </c>
      <c r="CB795" s="50" t="str">
        <f>IFERROR(VLOOKUP(BY795,'[1]WCVI Esc'!$C$5:$W$555,19,FALSE),"-")</f>
        <v>-</v>
      </c>
      <c r="CC795" s="50" t="str">
        <f t="shared" si="337"/>
        <v>-</v>
      </c>
      <c r="CE795" s="342" t="str">
        <f t="shared" si="322"/>
        <v>PURDON CREEK (Tsa-ako)_Sockeye</v>
      </c>
      <c r="CF795" s="341" t="str">
        <f>IFERROR(VLOOKUP(BY795,'RawPL+D'!$O$8:$AB$503,12,FALSE),"-")</f>
        <v>-</v>
      </c>
      <c r="CG795" s="338" t="str">
        <f t="shared" si="338"/>
        <v>-</v>
      </c>
      <c r="CH795" s="341" t="str">
        <f>IFERROR(VLOOKUP(BY795,'RawPL+D'!$O$8:$AB$503,13,FALSE),"-")</f>
        <v>-</v>
      </c>
      <c r="CI795" s="338" t="str">
        <f t="shared" si="339"/>
        <v>-</v>
      </c>
    </row>
    <row r="796" spans="1:87" ht="12.75" hidden="1" customHeight="1" x14ac:dyDescent="0.2">
      <c r="A796" s="28">
        <v>4</v>
      </c>
      <c r="B796" s="28">
        <v>2</v>
      </c>
      <c r="C796" s="11">
        <v>24</v>
      </c>
      <c r="D796" s="13" t="s">
        <v>359</v>
      </c>
      <c r="E796" s="10" t="s">
        <v>254</v>
      </c>
      <c r="F796" s="10" t="s">
        <v>219</v>
      </c>
      <c r="G796" s="10"/>
      <c r="H796" s="10"/>
      <c r="I796" s="10"/>
      <c r="J796" s="10"/>
      <c r="K796" s="575"/>
      <c r="L796" s="152"/>
      <c r="M796" s="164"/>
      <c r="N796" s="62"/>
      <c r="O796" s="62"/>
      <c r="P796" s="177"/>
      <c r="Q796" s="171"/>
      <c r="R796" s="62"/>
      <c r="S796" s="62"/>
      <c r="T796" s="62"/>
      <c r="U796" s="62"/>
      <c r="V796" s="164"/>
      <c r="W796" s="62"/>
      <c r="X796" s="62"/>
      <c r="Y796" s="62"/>
      <c r="Z796" s="64"/>
      <c r="AA796" s="164"/>
      <c r="AB796" s="62"/>
      <c r="AC796" s="62"/>
      <c r="AD796" s="64"/>
      <c r="AE796" s="164"/>
      <c r="AF796" s="62"/>
      <c r="AG796" s="64"/>
      <c r="AH796" s="337"/>
      <c r="AI796" s="337"/>
      <c r="AJ796" s="337"/>
      <c r="AK796" s="337"/>
      <c r="AL796" s="412"/>
      <c r="AM796" s="414"/>
      <c r="AN796" s="45"/>
      <c r="AO796" s="45"/>
      <c r="AP796" s="45"/>
      <c r="AQ796" s="485"/>
      <c r="AR796" s="485"/>
      <c r="AS796" s="485"/>
      <c r="AT796" s="24"/>
      <c r="AU796" s="24"/>
      <c r="AV796" s="24"/>
      <c r="AW796" s="18">
        <v>24</v>
      </c>
      <c r="AX796" s="69" t="s">
        <v>359</v>
      </c>
      <c r="AY796" s="243" t="s">
        <v>254</v>
      </c>
      <c r="AZ796" s="243" t="str">
        <f t="shared" si="324"/>
        <v>Coho</v>
      </c>
      <c r="BA796" s="243" t="s">
        <v>419</v>
      </c>
      <c r="BB796" s="246"/>
      <c r="BC796" s="43" t="str">
        <f t="shared" si="325"/>
        <v>-</v>
      </c>
      <c r="BD796" s="43">
        <f t="shared" si="320"/>
        <v>0</v>
      </c>
      <c r="BE796" s="193">
        <f t="shared" si="341"/>
        <v>0</v>
      </c>
      <c r="BF796" s="193">
        <f t="shared" si="326"/>
        <v>0</v>
      </c>
      <c r="BG796" s="193">
        <f t="shared" si="327"/>
        <v>0</v>
      </c>
      <c r="BH796" s="307" t="str">
        <f t="shared" ref="BH796:BH859" si="342">CI796</f>
        <v>-</v>
      </c>
      <c r="BI796" s="266"/>
      <c r="BJ796" s="26" t="str">
        <f t="shared" si="328"/>
        <v>PURDON CREEK (Tsa-ako)Coho</v>
      </c>
      <c r="BK796" s="26">
        <f t="shared" si="329"/>
        <v>0</v>
      </c>
      <c r="BL796" s="33">
        <f t="shared" si="321"/>
        <v>0</v>
      </c>
      <c r="BQ796" s="47" t="str">
        <f t="shared" si="330"/>
        <v>PURDON CREEK (Tsa-ako)Coho</v>
      </c>
      <c r="BR796" s="49">
        <f t="shared" si="331"/>
        <v>0</v>
      </c>
      <c r="BS796" s="49">
        <f t="shared" si="340"/>
        <v>0</v>
      </c>
      <c r="BT796" s="31">
        <v>0</v>
      </c>
      <c r="BU796" s="188">
        <f t="shared" si="332"/>
        <v>0</v>
      </c>
      <c r="BV796" s="188" t="str">
        <f t="shared" si="333"/>
        <v xml:space="preserve"> </v>
      </c>
      <c r="BW796" s="188" t="str">
        <f t="shared" si="334"/>
        <v xml:space="preserve"> </v>
      </c>
      <c r="BX796" s="188" t="str">
        <f t="shared" si="335"/>
        <v xml:space="preserve"> </v>
      </c>
      <c r="BY796" s="50" t="str">
        <f t="shared" si="323"/>
        <v>PURDON CREEK (Tsa-ako)_Coho</v>
      </c>
      <c r="BZ796" s="50" t="str">
        <f>IFERROR(VLOOKUP(BY796,'[1]WCVI Esc'!$C$5:$W$555,18,FALSE),"-")</f>
        <v>-</v>
      </c>
      <c r="CA796" s="50" t="str">
        <f t="shared" si="336"/>
        <v>-</v>
      </c>
      <c r="CB796" s="50" t="str">
        <f>IFERROR(VLOOKUP(BY796,'[1]WCVI Esc'!$C$5:$W$555,19,FALSE),"-")</f>
        <v>-</v>
      </c>
      <c r="CC796" s="50" t="str">
        <f t="shared" si="337"/>
        <v>-</v>
      </c>
      <c r="CE796" s="342" t="str">
        <f t="shared" si="322"/>
        <v>PURDON CREEK (Tsa-ako)_Coho</v>
      </c>
      <c r="CF796" s="341" t="str">
        <f>IFERROR(VLOOKUP(BY796,'RawPL+D'!$O$8:$AB$503,12,FALSE),"-")</f>
        <v>-</v>
      </c>
      <c r="CG796" s="338" t="str">
        <f t="shared" si="338"/>
        <v>-</v>
      </c>
      <c r="CH796" s="341" t="str">
        <f>IFERROR(VLOOKUP(BY796,'RawPL+D'!$O$8:$AB$503,13,FALSE),"-")</f>
        <v>-</v>
      </c>
      <c r="CI796" s="338" t="str">
        <f t="shared" si="339"/>
        <v>-</v>
      </c>
    </row>
    <row r="797" spans="1:87" ht="12.75" hidden="1" customHeight="1" x14ac:dyDescent="0.2">
      <c r="A797" s="28">
        <v>4</v>
      </c>
      <c r="B797" s="28">
        <v>3</v>
      </c>
      <c r="C797" s="11">
        <v>24</v>
      </c>
      <c r="D797" s="13" t="s">
        <v>359</v>
      </c>
      <c r="E797" s="10" t="s">
        <v>254</v>
      </c>
      <c r="F797" s="10" t="s">
        <v>208</v>
      </c>
      <c r="G797" s="10"/>
      <c r="H797" s="10"/>
      <c r="I797" s="10"/>
      <c r="J797" s="10"/>
      <c r="K797" s="575"/>
      <c r="L797" s="152"/>
      <c r="M797" s="164"/>
      <c r="N797" s="62"/>
      <c r="O797" s="62"/>
      <c r="P797" s="177"/>
      <c r="Q797" s="171"/>
      <c r="R797" s="62"/>
      <c r="S797" s="62"/>
      <c r="T797" s="62"/>
      <c r="U797" s="62"/>
      <c r="V797" s="164"/>
      <c r="W797" s="62"/>
      <c r="X797" s="62"/>
      <c r="Y797" s="62"/>
      <c r="Z797" s="64"/>
      <c r="AA797" s="164"/>
      <c r="AB797" s="62"/>
      <c r="AC797" s="62"/>
      <c r="AD797" s="64"/>
      <c r="AE797" s="164"/>
      <c r="AF797" s="62"/>
      <c r="AG797" s="64"/>
      <c r="AH797" s="337"/>
      <c r="AI797" s="337"/>
      <c r="AJ797" s="337"/>
      <c r="AK797" s="337"/>
      <c r="AL797" s="412"/>
      <c r="AM797" s="414"/>
      <c r="AN797" s="45"/>
      <c r="AO797" s="45"/>
      <c r="AP797" s="45"/>
      <c r="AQ797" s="485"/>
      <c r="AR797" s="485"/>
      <c r="AS797" s="485"/>
      <c r="AT797" s="24"/>
      <c r="AU797" s="24"/>
      <c r="AV797" s="24"/>
      <c r="AW797" s="18">
        <v>24</v>
      </c>
      <c r="AX797" s="69" t="s">
        <v>359</v>
      </c>
      <c r="AY797" s="243" t="s">
        <v>254</v>
      </c>
      <c r="AZ797" s="243" t="str">
        <f t="shared" si="324"/>
        <v>Pink</v>
      </c>
      <c r="BA797" s="243" t="s">
        <v>419</v>
      </c>
      <c r="BB797" s="246"/>
      <c r="BC797" s="43" t="str">
        <f t="shared" si="325"/>
        <v>-</v>
      </c>
      <c r="BD797" s="43">
        <f t="shared" si="320"/>
        <v>0</v>
      </c>
      <c r="BE797" s="193">
        <f t="shared" si="341"/>
        <v>0</v>
      </c>
      <c r="BF797" s="193">
        <f t="shared" si="326"/>
        <v>0</v>
      </c>
      <c r="BG797" s="193">
        <f t="shared" si="327"/>
        <v>0</v>
      </c>
      <c r="BH797" s="307" t="str">
        <f t="shared" si="342"/>
        <v>-</v>
      </c>
      <c r="BI797" s="266"/>
      <c r="BJ797" s="26" t="str">
        <f t="shared" si="328"/>
        <v>PURDON CREEK (Tsa-ako)Pink</v>
      </c>
      <c r="BK797" s="26">
        <f t="shared" si="329"/>
        <v>0</v>
      </c>
      <c r="BL797" s="33">
        <f t="shared" si="321"/>
        <v>0</v>
      </c>
      <c r="BQ797" s="47" t="str">
        <f t="shared" si="330"/>
        <v>PURDON CREEK (Tsa-ako)Pink</v>
      </c>
      <c r="BR797" s="49">
        <f t="shared" si="331"/>
        <v>0</v>
      </c>
      <c r="BS797" s="49">
        <f t="shared" si="340"/>
        <v>0</v>
      </c>
      <c r="BT797" s="31">
        <v>0</v>
      </c>
      <c r="BU797" s="188">
        <f t="shared" si="332"/>
        <v>0</v>
      </c>
      <c r="BV797" s="188" t="str">
        <f t="shared" si="333"/>
        <v xml:space="preserve"> </v>
      </c>
      <c r="BW797" s="188" t="str">
        <f t="shared" si="334"/>
        <v xml:space="preserve"> </v>
      </c>
      <c r="BX797" s="188" t="str">
        <f t="shared" si="335"/>
        <v xml:space="preserve"> </v>
      </c>
      <c r="BY797" s="50" t="str">
        <f t="shared" si="323"/>
        <v>PURDON CREEK (Tsa-ako)_Pink</v>
      </c>
      <c r="BZ797" s="50" t="str">
        <f>IFERROR(VLOOKUP(BY797,'[1]WCVI Esc'!$C$5:$W$555,18,FALSE),"-")</f>
        <v>-</v>
      </c>
      <c r="CA797" s="50" t="str">
        <f t="shared" si="336"/>
        <v>-</v>
      </c>
      <c r="CB797" s="50" t="str">
        <f>IFERROR(VLOOKUP(BY797,'[1]WCVI Esc'!$C$5:$W$555,19,FALSE),"-")</f>
        <v>-</v>
      </c>
      <c r="CC797" s="50" t="str">
        <f t="shared" si="337"/>
        <v>-</v>
      </c>
      <c r="CE797" s="342" t="str">
        <f t="shared" si="322"/>
        <v>PURDON CREEK (Tsa-ako)_Pink</v>
      </c>
      <c r="CF797" s="341" t="str">
        <f>IFERROR(VLOOKUP(BY797,'RawPL+D'!$O$8:$AB$503,12,FALSE),"-")</f>
        <v>-</v>
      </c>
      <c r="CG797" s="338" t="str">
        <f t="shared" si="338"/>
        <v>-</v>
      </c>
      <c r="CH797" s="341" t="str">
        <f>IFERROR(VLOOKUP(BY797,'RawPL+D'!$O$8:$AB$503,13,FALSE),"-")</f>
        <v>-</v>
      </c>
      <c r="CI797" s="338" t="str">
        <f t="shared" si="339"/>
        <v>-</v>
      </c>
    </row>
    <row r="798" spans="1:87" ht="12.75" hidden="1" customHeight="1" x14ac:dyDescent="0.2">
      <c r="A798" s="28">
        <v>4</v>
      </c>
      <c r="B798" s="28">
        <v>4</v>
      </c>
      <c r="C798" s="11">
        <v>24</v>
      </c>
      <c r="D798" s="13" t="s">
        <v>359</v>
      </c>
      <c r="E798" s="10" t="s">
        <v>254</v>
      </c>
      <c r="F798" s="10" t="s">
        <v>209</v>
      </c>
      <c r="G798" s="10"/>
      <c r="H798" s="10"/>
      <c r="I798" s="10"/>
      <c r="J798" s="10"/>
      <c r="K798" s="575"/>
      <c r="L798" s="152"/>
      <c r="M798" s="164"/>
      <c r="N798" s="62"/>
      <c r="O798" s="62"/>
      <c r="P798" s="177"/>
      <c r="Q798" s="171"/>
      <c r="R798" s="62"/>
      <c r="S798" s="62"/>
      <c r="T798" s="62"/>
      <c r="U798" s="62"/>
      <c r="V798" s="164"/>
      <c r="W798" s="62"/>
      <c r="X798" s="62"/>
      <c r="Y798" s="62"/>
      <c r="Z798" s="64"/>
      <c r="AA798" s="164"/>
      <c r="AB798" s="62"/>
      <c r="AC798" s="62"/>
      <c r="AD798" s="64"/>
      <c r="AE798" s="164"/>
      <c r="AF798" s="62"/>
      <c r="AG798" s="64"/>
      <c r="AH798" s="337"/>
      <c r="AI798" s="337"/>
      <c r="AJ798" s="337"/>
      <c r="AK798" s="337"/>
      <c r="AL798" s="412"/>
      <c r="AM798" s="414"/>
      <c r="AN798" s="45"/>
      <c r="AO798" s="45"/>
      <c r="AP798" s="45"/>
      <c r="AQ798" s="485"/>
      <c r="AR798" s="485"/>
      <c r="AS798" s="485"/>
      <c r="AT798" s="24"/>
      <c r="AU798" s="24"/>
      <c r="AV798" s="24"/>
      <c r="AW798" s="18">
        <v>24</v>
      </c>
      <c r="AX798" s="69" t="s">
        <v>359</v>
      </c>
      <c r="AY798" s="243" t="s">
        <v>254</v>
      </c>
      <c r="AZ798" s="243" t="str">
        <f t="shared" si="324"/>
        <v>Chum</v>
      </c>
      <c r="BA798" s="243" t="s">
        <v>419</v>
      </c>
      <c r="BB798" s="246"/>
      <c r="BC798" s="43" t="str">
        <f t="shared" si="325"/>
        <v>-</v>
      </c>
      <c r="BD798" s="43">
        <f t="shared" si="320"/>
        <v>0</v>
      </c>
      <c r="BE798" s="193">
        <f t="shared" si="341"/>
        <v>0</v>
      </c>
      <c r="BF798" s="193">
        <f t="shared" si="326"/>
        <v>0</v>
      </c>
      <c r="BG798" s="193">
        <f t="shared" si="327"/>
        <v>0</v>
      </c>
      <c r="BH798" s="307" t="str">
        <f t="shared" si="342"/>
        <v>-</v>
      </c>
      <c r="BI798" s="266"/>
      <c r="BJ798" s="26" t="str">
        <f t="shared" si="328"/>
        <v>PURDON CREEK (Tsa-ako)Chum</v>
      </c>
      <c r="BK798" s="26">
        <f t="shared" si="329"/>
        <v>0</v>
      </c>
      <c r="BL798" s="33">
        <f t="shared" si="321"/>
        <v>0</v>
      </c>
      <c r="BQ798" s="47" t="str">
        <f t="shared" si="330"/>
        <v>PURDON CREEK (Tsa-ako)Chum</v>
      </c>
      <c r="BR798" s="49">
        <f t="shared" si="331"/>
        <v>0</v>
      </c>
      <c r="BS798" s="49">
        <f t="shared" si="340"/>
        <v>0</v>
      </c>
      <c r="BT798" s="31">
        <v>0</v>
      </c>
      <c r="BU798" s="188">
        <f t="shared" si="332"/>
        <v>0</v>
      </c>
      <c r="BV798" s="188" t="str">
        <f t="shared" si="333"/>
        <v xml:space="preserve"> </v>
      </c>
      <c r="BW798" s="188" t="str">
        <f t="shared" si="334"/>
        <v xml:space="preserve"> </v>
      </c>
      <c r="BX798" s="188" t="str">
        <f t="shared" si="335"/>
        <v xml:space="preserve"> </v>
      </c>
      <c r="BY798" s="50" t="str">
        <f t="shared" si="323"/>
        <v>PURDON CREEK (Tsa-ako)_Chum</v>
      </c>
      <c r="BZ798" s="50" t="str">
        <f>IFERROR(VLOOKUP(BY798,'[1]WCVI Esc'!$C$5:$W$555,18,FALSE),"-")</f>
        <v>-</v>
      </c>
      <c r="CA798" s="50" t="str">
        <f t="shared" si="336"/>
        <v>-</v>
      </c>
      <c r="CB798" s="50" t="str">
        <f>IFERROR(VLOOKUP(BY798,'[1]WCVI Esc'!$C$5:$W$555,19,FALSE),"-")</f>
        <v>-</v>
      </c>
      <c r="CC798" s="50" t="str">
        <f t="shared" si="337"/>
        <v>-</v>
      </c>
      <c r="CE798" s="342" t="str">
        <f t="shared" si="322"/>
        <v>PURDON CREEK (Tsa-ako)_Chum</v>
      </c>
      <c r="CF798" s="341" t="str">
        <f>IFERROR(VLOOKUP(BY798,'RawPL+D'!$O$8:$AB$503,12,FALSE),"-")</f>
        <v>-</v>
      </c>
      <c r="CG798" s="338" t="str">
        <f t="shared" si="338"/>
        <v>-</v>
      </c>
      <c r="CH798" s="341" t="str">
        <f>IFERROR(VLOOKUP(BY798,'RawPL+D'!$O$8:$AB$503,13,FALSE),"-")</f>
        <v>-</v>
      </c>
      <c r="CI798" s="338" t="str">
        <f t="shared" si="339"/>
        <v>-</v>
      </c>
    </row>
    <row r="799" spans="1:87" ht="12.75" hidden="1" customHeight="1" x14ac:dyDescent="0.2">
      <c r="A799" s="28">
        <v>4</v>
      </c>
      <c r="B799" s="28">
        <v>5</v>
      </c>
      <c r="C799" s="11">
        <v>24</v>
      </c>
      <c r="D799" s="13" t="s">
        <v>359</v>
      </c>
      <c r="E799" s="10" t="s">
        <v>254</v>
      </c>
      <c r="F799" s="10" t="s">
        <v>210</v>
      </c>
      <c r="G799" s="10"/>
      <c r="H799" s="10"/>
      <c r="I799" s="10"/>
      <c r="J799" s="10"/>
      <c r="K799" s="575"/>
      <c r="L799" s="152"/>
      <c r="M799" s="164"/>
      <c r="N799" s="62"/>
      <c r="O799" s="62"/>
      <c r="P799" s="177"/>
      <c r="Q799" s="171"/>
      <c r="R799" s="62"/>
      <c r="S799" s="62"/>
      <c r="T799" s="62"/>
      <c r="U799" s="62"/>
      <c r="V799" s="164"/>
      <c r="W799" s="62"/>
      <c r="X799" s="62"/>
      <c r="Y799" s="62"/>
      <c r="Z799" s="64"/>
      <c r="AA799" s="164"/>
      <c r="AB799" s="62"/>
      <c r="AC799" s="62"/>
      <c r="AD799" s="64"/>
      <c r="AE799" s="164"/>
      <c r="AF799" s="62"/>
      <c r="AG799" s="64"/>
      <c r="AH799" s="337"/>
      <c r="AI799" s="337"/>
      <c r="AJ799" s="337"/>
      <c r="AK799" s="337"/>
      <c r="AL799" s="412"/>
      <c r="AM799" s="414"/>
      <c r="AN799" s="45"/>
      <c r="AO799" s="45"/>
      <c r="AP799" s="45"/>
      <c r="AQ799" s="485"/>
      <c r="AR799" s="485"/>
      <c r="AS799" s="485"/>
      <c r="AT799" s="24"/>
      <c r="AU799" s="24"/>
      <c r="AV799" s="24"/>
      <c r="AW799" s="18">
        <v>24</v>
      </c>
      <c r="AX799" s="69" t="s">
        <v>359</v>
      </c>
      <c r="AY799" s="243" t="s">
        <v>254</v>
      </c>
      <c r="AZ799" s="243" t="str">
        <f t="shared" si="324"/>
        <v>Chinook</v>
      </c>
      <c r="BA799" s="243" t="s">
        <v>419</v>
      </c>
      <c r="BB799" s="246"/>
      <c r="BC799" s="43" t="str">
        <f t="shared" si="325"/>
        <v>-</v>
      </c>
      <c r="BD799" s="43">
        <f t="shared" si="320"/>
        <v>0</v>
      </c>
      <c r="BE799" s="193">
        <f t="shared" si="341"/>
        <v>0</v>
      </c>
      <c r="BF799" s="193">
        <f t="shared" si="326"/>
        <v>0</v>
      </c>
      <c r="BG799" s="193">
        <f t="shared" si="327"/>
        <v>0</v>
      </c>
      <c r="BH799" s="307" t="str">
        <f t="shared" si="342"/>
        <v>-</v>
      </c>
      <c r="BI799" s="266"/>
      <c r="BJ799" s="26" t="str">
        <f t="shared" si="328"/>
        <v>PURDON CREEK (Tsa-ako)Chinook</v>
      </c>
      <c r="BK799" s="26">
        <f t="shared" si="329"/>
        <v>0</v>
      </c>
      <c r="BL799" s="33">
        <f t="shared" si="321"/>
        <v>0</v>
      </c>
      <c r="BQ799" s="47" t="str">
        <f t="shared" si="330"/>
        <v>PURDON CREEK (Tsa-ako)Chinook</v>
      </c>
      <c r="BR799" s="49">
        <f t="shared" si="331"/>
        <v>0</v>
      </c>
      <c r="BS799" s="49">
        <f t="shared" si="340"/>
        <v>0</v>
      </c>
      <c r="BT799" s="31">
        <v>0</v>
      </c>
      <c r="BU799" s="188">
        <f t="shared" si="332"/>
        <v>0</v>
      </c>
      <c r="BV799" s="188" t="str">
        <f t="shared" si="333"/>
        <v xml:space="preserve"> </v>
      </c>
      <c r="BW799" s="188" t="str">
        <f t="shared" si="334"/>
        <v xml:space="preserve"> </v>
      </c>
      <c r="BX799" s="188" t="str">
        <f t="shared" si="335"/>
        <v xml:space="preserve"> </v>
      </c>
      <c r="BY799" s="50" t="str">
        <f t="shared" si="323"/>
        <v>PURDON CREEK (Tsa-ako)_Chinook</v>
      </c>
      <c r="BZ799" s="50" t="str">
        <f>IFERROR(VLOOKUP(BY799,'[1]WCVI Esc'!$C$5:$W$555,18,FALSE),"-")</f>
        <v>-</v>
      </c>
      <c r="CA799" s="50" t="str">
        <f t="shared" si="336"/>
        <v>-</v>
      </c>
      <c r="CB799" s="50" t="str">
        <f>IFERROR(VLOOKUP(BY799,'[1]WCVI Esc'!$C$5:$W$555,19,FALSE),"-")</f>
        <v>-</v>
      </c>
      <c r="CC799" s="50" t="str">
        <f t="shared" si="337"/>
        <v>-</v>
      </c>
      <c r="CE799" s="342" t="str">
        <f t="shared" si="322"/>
        <v>PURDON CREEK (Tsa-ako)_Chinook</v>
      </c>
      <c r="CF799" s="341" t="str">
        <f>IFERROR(VLOOKUP(BY799,'RawPL+D'!$O$8:$AB$503,12,FALSE),"-")</f>
        <v>-</v>
      </c>
      <c r="CG799" s="338" t="str">
        <f t="shared" si="338"/>
        <v>-</v>
      </c>
      <c r="CH799" s="341" t="str">
        <f>IFERROR(VLOOKUP(BY799,'RawPL+D'!$O$8:$AB$503,13,FALSE),"-")</f>
        <v>-</v>
      </c>
      <c r="CI799" s="338" t="str">
        <f t="shared" si="339"/>
        <v>-</v>
      </c>
    </row>
    <row r="800" spans="1:87" ht="12.75" hidden="1" customHeight="1" x14ac:dyDescent="0.2">
      <c r="A800" s="28">
        <v>4</v>
      </c>
      <c r="B800" s="28">
        <v>6</v>
      </c>
      <c r="C800" s="11">
        <v>24</v>
      </c>
      <c r="D800" s="13" t="s">
        <v>359</v>
      </c>
      <c r="E800" s="10" t="s">
        <v>254</v>
      </c>
      <c r="F800" s="10" t="s">
        <v>211</v>
      </c>
      <c r="G800" s="10"/>
      <c r="H800" s="10"/>
      <c r="I800" s="10"/>
      <c r="J800" s="10"/>
      <c r="K800" s="575"/>
      <c r="L800" s="152"/>
      <c r="M800" s="164"/>
      <c r="N800" s="62"/>
      <c r="O800" s="62"/>
      <c r="P800" s="177"/>
      <c r="Q800" s="171"/>
      <c r="R800" s="62"/>
      <c r="S800" s="62"/>
      <c r="T800" s="62"/>
      <c r="U800" s="62"/>
      <c r="V800" s="164"/>
      <c r="W800" s="62"/>
      <c r="X800" s="62"/>
      <c r="Y800" s="62"/>
      <c r="Z800" s="64"/>
      <c r="AA800" s="164"/>
      <c r="AB800" s="62"/>
      <c r="AC800" s="62"/>
      <c r="AD800" s="64"/>
      <c r="AE800" s="164"/>
      <c r="AF800" s="62"/>
      <c r="AG800" s="64"/>
      <c r="AH800" s="337"/>
      <c r="AI800" s="337"/>
      <c r="AJ800" s="337"/>
      <c r="AK800" s="337"/>
      <c r="AL800" s="412"/>
      <c r="AM800" s="414"/>
      <c r="AN800" s="45"/>
      <c r="AO800" s="45"/>
      <c r="AP800" s="45"/>
      <c r="AQ800" s="485"/>
      <c r="AR800" s="485"/>
      <c r="AS800" s="485"/>
      <c r="AT800" s="24"/>
      <c r="AU800" s="24"/>
      <c r="AV800" s="24"/>
      <c r="AW800" s="18">
        <v>24</v>
      </c>
      <c r="AX800" s="69" t="s">
        <v>359</v>
      </c>
      <c r="AY800" s="243" t="s">
        <v>254</v>
      </c>
      <c r="AZ800" s="243" t="str">
        <f t="shared" si="324"/>
        <v>Steelhead</v>
      </c>
      <c r="BA800" s="243" t="s">
        <v>419</v>
      </c>
      <c r="BB800" s="246"/>
      <c r="BC800" s="43" t="str">
        <f t="shared" si="325"/>
        <v>-</v>
      </c>
      <c r="BD800" s="43">
        <f t="shared" si="320"/>
        <v>0</v>
      </c>
      <c r="BE800" s="193">
        <f t="shared" si="341"/>
        <v>0</v>
      </c>
      <c r="BF800" s="193">
        <f t="shared" si="326"/>
        <v>0</v>
      </c>
      <c r="BG800" s="193">
        <f t="shared" si="327"/>
        <v>0</v>
      </c>
      <c r="BH800" s="307" t="str">
        <f t="shared" si="342"/>
        <v>-</v>
      </c>
      <c r="BI800" s="266"/>
      <c r="BJ800" s="26" t="str">
        <f t="shared" si="328"/>
        <v>PURDON CREEK (Tsa-ako)Steelhead</v>
      </c>
      <c r="BK800" s="26">
        <f t="shared" si="329"/>
        <v>0</v>
      </c>
      <c r="BL800" s="33">
        <f t="shared" si="321"/>
        <v>0</v>
      </c>
      <c r="BQ800" s="47" t="str">
        <f t="shared" si="330"/>
        <v>PURDON CREEK (Tsa-ako)Steelhead</v>
      </c>
      <c r="BR800" s="49">
        <f t="shared" si="331"/>
        <v>0</v>
      </c>
      <c r="BS800" s="49">
        <f t="shared" si="340"/>
        <v>0</v>
      </c>
      <c r="BT800" s="31">
        <v>0</v>
      </c>
      <c r="BU800" s="188">
        <f t="shared" si="332"/>
        <v>0</v>
      </c>
      <c r="BV800" s="188" t="str">
        <f t="shared" si="333"/>
        <v xml:space="preserve"> </v>
      </c>
      <c r="BW800" s="188" t="str">
        <f t="shared" si="334"/>
        <v xml:space="preserve"> </v>
      </c>
      <c r="BX800" s="188" t="str">
        <f t="shared" si="335"/>
        <v xml:space="preserve"> </v>
      </c>
      <c r="BY800" s="50" t="str">
        <f t="shared" si="323"/>
        <v>PURDON CREEK (Tsa-ako)_Steelhead</v>
      </c>
      <c r="BZ800" s="50" t="str">
        <f>IFERROR(VLOOKUP(BY800,'[1]WCVI Esc'!$C$5:$W$555,18,FALSE),"-")</f>
        <v>-</v>
      </c>
      <c r="CA800" s="50" t="str">
        <f t="shared" si="336"/>
        <v>-</v>
      </c>
      <c r="CB800" s="50" t="str">
        <f>IFERROR(VLOOKUP(BY800,'[1]WCVI Esc'!$C$5:$W$555,19,FALSE),"-")</f>
        <v>-</v>
      </c>
      <c r="CC800" s="50" t="str">
        <f t="shared" si="337"/>
        <v>-</v>
      </c>
      <c r="CE800" s="342" t="str">
        <f t="shared" si="322"/>
        <v>PURDON CREEK (Tsa-ako)_Steelhead</v>
      </c>
      <c r="CF800" s="341" t="str">
        <f>IFERROR(VLOOKUP(BY800,'RawPL+D'!$O$8:$AB$503,12,FALSE),"-")</f>
        <v>-</v>
      </c>
      <c r="CG800" s="338" t="str">
        <f t="shared" si="338"/>
        <v>-</v>
      </c>
      <c r="CH800" s="341" t="str">
        <f>IFERROR(VLOOKUP(BY800,'RawPL+D'!$O$8:$AB$503,13,FALSE),"-")</f>
        <v>-</v>
      </c>
      <c r="CI800" s="338" t="str">
        <f t="shared" si="339"/>
        <v>-</v>
      </c>
    </row>
    <row r="801" spans="1:87" ht="12.75" hidden="1" customHeight="1" x14ac:dyDescent="0.2">
      <c r="A801" s="29">
        <v>2</v>
      </c>
      <c r="B801" s="29">
        <v>1</v>
      </c>
      <c r="C801" s="13">
        <v>24</v>
      </c>
      <c r="D801" s="13" t="s">
        <v>296</v>
      </c>
      <c r="E801" s="10" t="s">
        <v>43</v>
      </c>
      <c r="F801" s="10" t="s">
        <v>207</v>
      </c>
      <c r="G801" s="10"/>
      <c r="H801" s="10"/>
      <c r="I801" s="10"/>
      <c r="J801" s="10"/>
      <c r="K801" s="575"/>
      <c r="L801" s="152"/>
      <c r="M801" s="422"/>
      <c r="N801" s="642">
        <v>16</v>
      </c>
      <c r="O801" s="642">
        <v>17</v>
      </c>
      <c r="P801" s="177"/>
      <c r="Q801" s="685">
        <v>14</v>
      </c>
      <c r="R801" s="642">
        <v>4</v>
      </c>
      <c r="S801" s="642">
        <v>1</v>
      </c>
      <c r="T801" s="431"/>
      <c r="U801" s="777">
        <v>2</v>
      </c>
      <c r="V801" s="421"/>
      <c r="W801" s="632">
        <v>0</v>
      </c>
      <c r="X801" s="390"/>
      <c r="Y801" s="62"/>
      <c r="Z801" s="64"/>
      <c r="AA801" s="164"/>
      <c r="AB801" s="62"/>
      <c r="AC801" s="62"/>
      <c r="AD801" s="64"/>
      <c r="AE801" s="164"/>
      <c r="AF801" s="62"/>
      <c r="AG801" s="64"/>
      <c r="AH801" s="337">
        <v>19</v>
      </c>
      <c r="AI801" s="337">
        <v>1</v>
      </c>
      <c r="AJ801" s="337">
        <v>0</v>
      </c>
      <c r="AK801" s="337">
        <v>0</v>
      </c>
      <c r="AL801" s="555">
        <v>19</v>
      </c>
      <c r="AM801" s="552">
        <v>20</v>
      </c>
      <c r="AN801" s="552" t="s">
        <v>765</v>
      </c>
      <c r="AO801" s="552" t="s">
        <v>775</v>
      </c>
      <c r="AP801" s="44"/>
      <c r="AQ801" s="485">
        <f>AL801/BI801</f>
        <v>6.7857142857142852E-2</v>
      </c>
      <c r="AR801" s="485">
        <f>BL801/BH801</f>
        <v>0.85</v>
      </c>
      <c r="AS801" s="485">
        <f>BL801/BI801</f>
        <v>6.0714285714285714E-2</v>
      </c>
      <c r="AT801" s="123"/>
      <c r="AU801" s="123"/>
      <c r="AV801" s="123"/>
      <c r="AW801" s="69">
        <v>24</v>
      </c>
      <c r="AX801" s="69" t="s">
        <v>296</v>
      </c>
      <c r="AY801" s="243" t="s">
        <v>43</v>
      </c>
      <c r="AZ801" s="243" t="str">
        <f t="shared" si="324"/>
        <v>Sockeye</v>
      </c>
      <c r="BA801" s="243" t="s">
        <v>419</v>
      </c>
      <c r="BB801" s="244" t="s">
        <v>497</v>
      </c>
      <c r="BC801" s="43" t="str">
        <f t="shared" si="325"/>
        <v>Nov 12-18</v>
      </c>
      <c r="BD801" s="43">
        <f t="shared" ref="BD801:BD864" si="343">BK801</f>
        <v>7</v>
      </c>
      <c r="BE801" s="193">
        <f t="shared" si="341"/>
        <v>17</v>
      </c>
      <c r="BF801" s="193">
        <f t="shared" si="326"/>
        <v>19</v>
      </c>
      <c r="BG801" s="193">
        <f t="shared" si="327"/>
        <v>19</v>
      </c>
      <c r="BH801" s="307">
        <f t="shared" si="342"/>
        <v>20</v>
      </c>
      <c r="BI801" s="265">
        <f t="shared" ref="BI801:BI806" si="344">CC801</f>
        <v>280</v>
      </c>
      <c r="BJ801" s="26" t="str">
        <f t="shared" si="328"/>
        <v>TRANQUIL CREEKSockeye</v>
      </c>
      <c r="BK801" s="33">
        <f t="shared" si="329"/>
        <v>7</v>
      </c>
      <c r="BL801" s="33">
        <f t="shared" si="321"/>
        <v>17</v>
      </c>
      <c r="BO801"/>
      <c r="BP801" s="34"/>
      <c r="BQ801" s="47" t="str">
        <f t="shared" si="330"/>
        <v>TRANQUIL CREEKSockeye</v>
      </c>
      <c r="BR801" s="49">
        <f t="shared" si="331"/>
        <v>0</v>
      </c>
      <c r="BS801" s="49">
        <f t="shared" si="340"/>
        <v>19</v>
      </c>
      <c r="BT801" s="31">
        <v>2016</v>
      </c>
      <c r="BU801" s="188" t="str">
        <f t="shared" si="332"/>
        <v>TSES</v>
      </c>
      <c r="BV801" s="188" t="str">
        <f t="shared" si="333"/>
        <v>Oct 1-7</v>
      </c>
      <c r="BW801" s="188" t="str">
        <f t="shared" si="334"/>
        <v>Nov 12-18</v>
      </c>
      <c r="BX801" s="188" t="str">
        <f t="shared" si="335"/>
        <v xml:space="preserve"> </v>
      </c>
      <c r="BY801" s="50" t="str">
        <f t="shared" si="323"/>
        <v>TRANQUIL CREEK_Sockeye</v>
      </c>
      <c r="BZ801" s="50">
        <f>IFERROR(VLOOKUP(BY801,'[1]WCVI Esc'!$C$5:$W$555,18,FALSE),"-")</f>
        <v>29.25</v>
      </c>
      <c r="CA801" s="50">
        <f t="shared" si="336"/>
        <v>30</v>
      </c>
      <c r="CB801" s="50">
        <f>IFERROR(VLOOKUP(BY801,'[1]WCVI Esc'!$C$5:$W$555,19,FALSE),"-")</f>
        <v>276.66666666666669</v>
      </c>
      <c r="CC801" s="50">
        <f t="shared" si="337"/>
        <v>280</v>
      </c>
      <c r="CE801" s="342" t="str">
        <f t="shared" si="322"/>
        <v>TRANQUIL CREEK_Sockeye</v>
      </c>
      <c r="CF801" s="341">
        <f>IFERROR(VLOOKUP(CE801,'RawPL+D'!$O$8:$AB$503,12,FALSE),"-")</f>
        <v>21</v>
      </c>
      <c r="CG801" s="338">
        <f t="shared" si="338"/>
        <v>20</v>
      </c>
      <c r="CH801" s="341">
        <f>IFERROR(VLOOKUP(CE801,'RawPL+D'!$O$8:$AB$503,13,FALSE),"-")</f>
        <v>18.75</v>
      </c>
      <c r="CI801" s="338">
        <f t="shared" si="339"/>
        <v>20</v>
      </c>
    </row>
    <row r="802" spans="1:87" ht="12.75" hidden="1" customHeight="1" x14ac:dyDescent="0.2">
      <c r="A802" s="29">
        <v>2</v>
      </c>
      <c r="B802" s="29">
        <v>2</v>
      </c>
      <c r="C802" s="13">
        <v>24</v>
      </c>
      <c r="D802" s="13" t="s">
        <v>296</v>
      </c>
      <c r="E802" s="10" t="s">
        <v>43</v>
      </c>
      <c r="F802" s="10" t="s">
        <v>219</v>
      </c>
      <c r="G802" s="10"/>
      <c r="H802" s="10"/>
      <c r="I802" s="10"/>
      <c r="J802" s="10"/>
      <c r="K802" s="575"/>
      <c r="L802" s="152"/>
      <c r="M802" s="422"/>
      <c r="N802" s="642">
        <v>0</v>
      </c>
      <c r="O802" s="642">
        <v>27</v>
      </c>
      <c r="P802" s="177"/>
      <c r="Q802" s="683">
        <v>94</v>
      </c>
      <c r="R802" s="642">
        <v>133</v>
      </c>
      <c r="S802" s="642">
        <v>283</v>
      </c>
      <c r="T802" s="62"/>
      <c r="U802" s="632">
        <v>280</v>
      </c>
      <c r="V802" s="164"/>
      <c r="W802" s="632">
        <v>306</v>
      </c>
      <c r="X802" s="431"/>
      <c r="Y802" s="62"/>
      <c r="Z802" s="64"/>
      <c r="AA802" s="164"/>
      <c r="AB802" s="62"/>
      <c r="AC802" s="62"/>
      <c r="AD802" s="64"/>
      <c r="AE802" s="164"/>
      <c r="AF802" s="62"/>
      <c r="AG802" s="64"/>
      <c r="AH802" s="337">
        <v>340</v>
      </c>
      <c r="AI802" s="337">
        <v>58</v>
      </c>
      <c r="AJ802" s="337">
        <v>0</v>
      </c>
      <c r="AK802" s="337">
        <v>0</v>
      </c>
      <c r="AL802" s="555">
        <v>340</v>
      </c>
      <c r="AM802" s="552">
        <v>398</v>
      </c>
      <c r="AN802" s="552" t="s">
        <v>765</v>
      </c>
      <c r="AO802" s="552" t="s">
        <v>775</v>
      </c>
      <c r="AP802" s="44"/>
      <c r="AQ802" s="485">
        <f>AL802/BI802</f>
        <v>0.40963855421686746</v>
      </c>
      <c r="AR802" s="485">
        <f>BL802/BH802</f>
        <v>0.66521739130434787</v>
      </c>
      <c r="AS802" s="485">
        <f>BL802/BI802</f>
        <v>0.36867469879518072</v>
      </c>
      <c r="AT802" s="100"/>
      <c r="AU802" s="100"/>
      <c r="AV802" s="100"/>
      <c r="AW802" s="69">
        <v>24</v>
      </c>
      <c r="AX802" s="69" t="s">
        <v>296</v>
      </c>
      <c r="AY802" s="243" t="s">
        <v>43</v>
      </c>
      <c r="AZ802" s="243" t="str">
        <f t="shared" si="324"/>
        <v>Coho</v>
      </c>
      <c r="BA802" s="243" t="s">
        <v>419</v>
      </c>
      <c r="BB802" s="244" t="s">
        <v>497</v>
      </c>
      <c r="BC802" s="43" t="str">
        <f t="shared" si="325"/>
        <v>Nov 12-18</v>
      </c>
      <c r="BD802" s="43">
        <f t="shared" si="343"/>
        <v>7</v>
      </c>
      <c r="BE802" s="193">
        <f t="shared" si="341"/>
        <v>306</v>
      </c>
      <c r="BF802" s="193">
        <f t="shared" si="326"/>
        <v>340</v>
      </c>
      <c r="BG802" s="193">
        <f t="shared" si="327"/>
        <v>340</v>
      </c>
      <c r="BH802" s="307">
        <f t="shared" si="342"/>
        <v>460</v>
      </c>
      <c r="BI802" s="265">
        <f t="shared" si="344"/>
        <v>830</v>
      </c>
      <c r="BJ802" s="26" t="str">
        <f t="shared" si="328"/>
        <v>TRANQUIL CREEKCoho</v>
      </c>
      <c r="BK802" s="33">
        <f t="shared" si="329"/>
        <v>7</v>
      </c>
      <c r="BL802" s="33">
        <f t="shared" si="321"/>
        <v>306</v>
      </c>
      <c r="BO802"/>
      <c r="BP802" s="34"/>
      <c r="BQ802" s="47" t="str">
        <f t="shared" si="330"/>
        <v>TRANQUIL CREEKCoho</v>
      </c>
      <c r="BR802" s="49">
        <f t="shared" si="331"/>
        <v>0</v>
      </c>
      <c r="BS802" s="49">
        <f t="shared" si="340"/>
        <v>340</v>
      </c>
      <c r="BT802" s="31">
        <v>2016</v>
      </c>
      <c r="BU802" s="188" t="str">
        <f t="shared" si="332"/>
        <v>TSES</v>
      </c>
      <c r="BV802" s="188" t="str">
        <f t="shared" si="333"/>
        <v>Oct 1-7</v>
      </c>
      <c r="BW802" s="188" t="str">
        <f t="shared" si="334"/>
        <v>Nov 12-18</v>
      </c>
      <c r="BX802" s="188" t="str">
        <f t="shared" si="335"/>
        <v xml:space="preserve"> </v>
      </c>
      <c r="BY802" s="50" t="str">
        <f t="shared" si="323"/>
        <v>TRANQUIL CREEK_Coho</v>
      </c>
      <c r="BZ802" s="50">
        <f>IFERROR(VLOOKUP(BY802,'[1]WCVI Esc'!$C$5:$W$555,18,FALSE),"-")</f>
        <v>682.75</v>
      </c>
      <c r="CA802" s="50">
        <f t="shared" si="336"/>
        <v>680</v>
      </c>
      <c r="CB802" s="50">
        <f>IFERROR(VLOOKUP(BY802,'[1]WCVI Esc'!$C$5:$W$555,19,FALSE),"-")</f>
        <v>833.91666666666663</v>
      </c>
      <c r="CC802" s="50">
        <f t="shared" si="337"/>
        <v>830</v>
      </c>
      <c r="CE802" s="342" t="str">
        <f t="shared" si="322"/>
        <v>TRANQUIL CREEK_Coho</v>
      </c>
      <c r="CF802" s="341">
        <f>IFERROR(VLOOKUP(CE802,'RawPL+D'!$O$8:$AB$503,12,FALSE),"-")</f>
        <v>460</v>
      </c>
      <c r="CG802" s="338">
        <f t="shared" si="338"/>
        <v>460</v>
      </c>
      <c r="CH802" s="341">
        <f>IFERROR(VLOOKUP(CE802,'RawPL+D'!$O$8:$AB$503,13,FALSE),"-")</f>
        <v>461</v>
      </c>
      <c r="CI802" s="338">
        <f t="shared" si="339"/>
        <v>460</v>
      </c>
    </row>
    <row r="803" spans="1:87" ht="12.75" hidden="1" customHeight="1" x14ac:dyDescent="0.2">
      <c r="A803" s="29">
        <v>2</v>
      </c>
      <c r="B803" s="29">
        <v>3</v>
      </c>
      <c r="C803" s="13">
        <v>24</v>
      </c>
      <c r="D803" s="13" t="s">
        <v>296</v>
      </c>
      <c r="E803" s="10" t="s">
        <v>43</v>
      </c>
      <c r="F803" s="10" t="s">
        <v>208</v>
      </c>
      <c r="G803" s="10"/>
      <c r="H803" s="10"/>
      <c r="I803" s="10"/>
      <c r="J803" s="10"/>
      <c r="K803" s="575"/>
      <c r="L803" s="152"/>
      <c r="M803" s="422"/>
      <c r="N803" s="642">
        <v>0</v>
      </c>
      <c r="O803" s="642">
        <v>1</v>
      </c>
      <c r="P803" s="177"/>
      <c r="Q803" s="683">
        <v>0</v>
      </c>
      <c r="R803" s="642">
        <v>0</v>
      </c>
      <c r="S803" s="642">
        <v>0</v>
      </c>
      <c r="T803" s="62"/>
      <c r="U803" s="632">
        <v>0</v>
      </c>
      <c r="V803" s="164"/>
      <c r="W803" s="632">
        <v>0</v>
      </c>
      <c r="X803" s="62"/>
      <c r="Y803" s="62"/>
      <c r="Z803" s="64"/>
      <c r="AA803" s="164"/>
      <c r="AB803" s="62"/>
      <c r="AC803" s="62"/>
      <c r="AD803" s="64"/>
      <c r="AE803" s="164"/>
      <c r="AF803" s="62"/>
      <c r="AG803" s="62"/>
      <c r="AH803" s="337">
        <v>1</v>
      </c>
      <c r="AI803" s="337">
        <v>0</v>
      </c>
      <c r="AJ803" s="337">
        <v>0</v>
      </c>
      <c r="AK803" s="337">
        <v>0</v>
      </c>
      <c r="AL803" s="555">
        <v>1</v>
      </c>
      <c r="AM803" s="552">
        <v>1</v>
      </c>
      <c r="AN803" s="552" t="s">
        <v>765</v>
      </c>
      <c r="AO803" s="552" t="s">
        <v>775</v>
      </c>
      <c r="AP803" s="44"/>
      <c r="AQ803" s="485"/>
      <c r="AR803" s="485"/>
      <c r="AS803" s="485"/>
      <c r="AT803" s="100"/>
      <c r="AU803" s="100"/>
      <c r="AV803" s="100"/>
      <c r="AW803" s="69">
        <v>24</v>
      </c>
      <c r="AX803" s="69" t="s">
        <v>296</v>
      </c>
      <c r="AY803" s="243" t="s">
        <v>43</v>
      </c>
      <c r="AZ803" s="243" t="str">
        <f t="shared" si="324"/>
        <v>Pink</v>
      </c>
      <c r="BA803" s="243" t="s">
        <v>419</v>
      </c>
      <c r="BB803" s="244" t="s">
        <v>497</v>
      </c>
      <c r="BC803" s="43" t="str">
        <f t="shared" si="325"/>
        <v>Nov 12-18</v>
      </c>
      <c r="BD803" s="43">
        <f t="shared" si="343"/>
        <v>7</v>
      </c>
      <c r="BE803" s="193">
        <f t="shared" si="341"/>
        <v>1</v>
      </c>
      <c r="BF803" s="193">
        <f t="shared" si="326"/>
        <v>1</v>
      </c>
      <c r="BG803" s="193">
        <f t="shared" si="327"/>
        <v>1</v>
      </c>
      <c r="BH803" s="307">
        <f t="shared" si="342"/>
        <v>0</v>
      </c>
      <c r="BI803" s="265" t="str">
        <f t="shared" si="344"/>
        <v>-</v>
      </c>
      <c r="BJ803" s="26" t="str">
        <f t="shared" si="328"/>
        <v>TRANQUIL CREEKPink</v>
      </c>
      <c r="BK803" s="33">
        <f t="shared" si="329"/>
        <v>7</v>
      </c>
      <c r="BL803" s="33">
        <f t="shared" si="321"/>
        <v>1</v>
      </c>
      <c r="BO803"/>
      <c r="BP803" s="34"/>
      <c r="BQ803" s="47" t="str">
        <f t="shared" si="330"/>
        <v>TRANQUIL CREEKPink</v>
      </c>
      <c r="BR803" s="49">
        <f t="shared" si="331"/>
        <v>0</v>
      </c>
      <c r="BS803" s="49">
        <f t="shared" si="340"/>
        <v>1</v>
      </c>
      <c r="BT803" s="31">
        <v>0</v>
      </c>
      <c r="BU803" s="188" t="str">
        <f t="shared" si="332"/>
        <v>TSES</v>
      </c>
      <c r="BV803" s="188" t="str">
        <f t="shared" si="333"/>
        <v>Oct 1-7</v>
      </c>
      <c r="BW803" s="188" t="str">
        <f t="shared" si="334"/>
        <v>Nov 12-18</v>
      </c>
      <c r="BX803" s="188" t="str">
        <f t="shared" si="335"/>
        <v xml:space="preserve"> </v>
      </c>
      <c r="BY803" s="50" t="str">
        <f t="shared" si="323"/>
        <v>TRANQUIL CREEK_Pink</v>
      </c>
      <c r="BZ803" s="50" t="str">
        <f>IFERROR(VLOOKUP(BY803,'[1]WCVI Esc'!$C$5:$W$555,18,FALSE),"-")</f>
        <v>-</v>
      </c>
      <c r="CA803" s="50" t="str">
        <f t="shared" si="336"/>
        <v>-</v>
      </c>
      <c r="CB803" s="50" t="str">
        <f>IFERROR(VLOOKUP(BY803,'[1]WCVI Esc'!$C$5:$W$555,19,FALSE),"-")</f>
        <v>-</v>
      </c>
      <c r="CC803" s="50" t="str">
        <f t="shared" si="337"/>
        <v>-</v>
      </c>
      <c r="CE803" s="342" t="str">
        <f t="shared" si="322"/>
        <v>TRANQUIL CREEK_Pink</v>
      </c>
      <c r="CF803" s="341">
        <f>IFERROR(VLOOKUP(BY803,'RawPL+D'!$O$8:$AB$503,12,FALSE),"-")</f>
        <v>1</v>
      </c>
      <c r="CG803" s="338">
        <f t="shared" si="338"/>
        <v>0</v>
      </c>
      <c r="CH803" s="341">
        <f>IFERROR(VLOOKUP(BY803,'RawPL+D'!$O$8:$AB$503,13,FALSE),"-")</f>
        <v>0.75</v>
      </c>
      <c r="CI803" s="338">
        <f t="shared" si="339"/>
        <v>0</v>
      </c>
    </row>
    <row r="804" spans="1:87" ht="12.75" hidden="1" customHeight="1" x14ac:dyDescent="0.2">
      <c r="A804" s="29">
        <v>2</v>
      </c>
      <c r="B804" s="29">
        <v>4</v>
      </c>
      <c r="C804" s="13">
        <v>24</v>
      </c>
      <c r="D804" s="13" t="s">
        <v>296</v>
      </c>
      <c r="E804" s="10" t="s">
        <v>43</v>
      </c>
      <c r="F804" s="10" t="s">
        <v>209</v>
      </c>
      <c r="G804" s="10"/>
      <c r="H804" s="10"/>
      <c r="I804" s="10"/>
      <c r="J804" s="10"/>
      <c r="K804" s="575"/>
      <c r="L804" s="152"/>
      <c r="M804" s="422"/>
      <c r="N804" s="642">
        <v>0</v>
      </c>
      <c r="O804" s="646">
        <v>265</v>
      </c>
      <c r="P804" s="177"/>
      <c r="Q804" s="685">
        <v>2831</v>
      </c>
      <c r="R804" s="675">
        <f>5471+11</f>
        <v>5482</v>
      </c>
      <c r="S804" s="676">
        <f>4848+39</f>
        <v>4887</v>
      </c>
      <c r="T804" s="390"/>
      <c r="U804" s="777">
        <f>2843+311</f>
        <v>3154</v>
      </c>
      <c r="V804" s="421"/>
      <c r="W804" s="632">
        <v>20</v>
      </c>
      <c r="X804" s="62"/>
      <c r="Y804" s="62"/>
      <c r="Z804" s="64"/>
      <c r="AA804" s="164"/>
      <c r="AB804" s="62"/>
      <c r="AC804" s="62"/>
      <c r="AD804" s="64"/>
      <c r="AE804" s="164"/>
      <c r="AF804" s="62"/>
      <c r="AG804" s="62"/>
      <c r="AH804" s="337">
        <v>12263</v>
      </c>
      <c r="AI804" s="337">
        <v>0</v>
      </c>
      <c r="AJ804" s="337">
        <v>0</v>
      </c>
      <c r="AK804" s="337">
        <v>0</v>
      </c>
      <c r="AL804" s="555">
        <v>12263</v>
      </c>
      <c r="AM804" s="552">
        <v>12263</v>
      </c>
      <c r="AN804" s="552" t="s">
        <v>768</v>
      </c>
      <c r="AO804" s="552" t="s">
        <v>775</v>
      </c>
      <c r="AP804" s="44"/>
      <c r="AQ804" s="485">
        <f>AL804/BI804</f>
        <v>1.9101246105919003</v>
      </c>
      <c r="AR804" s="485">
        <f>BL804/BH804</f>
        <v>2.6355769230769233</v>
      </c>
      <c r="AS804" s="485">
        <f>BL804/BI804</f>
        <v>0.85389408099688469</v>
      </c>
      <c r="AT804" s="123"/>
      <c r="AU804" s="123"/>
      <c r="AV804" s="123"/>
      <c r="AW804" s="69">
        <v>24</v>
      </c>
      <c r="AX804" s="69" t="s">
        <v>296</v>
      </c>
      <c r="AY804" s="243" t="s">
        <v>43</v>
      </c>
      <c r="AZ804" s="243" t="str">
        <f t="shared" si="324"/>
        <v>Chum</v>
      </c>
      <c r="BA804" s="243" t="s">
        <v>419</v>
      </c>
      <c r="BB804" s="244" t="s">
        <v>497</v>
      </c>
      <c r="BC804" s="43" t="str">
        <f t="shared" si="325"/>
        <v>Nov 12-18</v>
      </c>
      <c r="BD804" s="43">
        <f t="shared" si="343"/>
        <v>7</v>
      </c>
      <c r="BE804" s="193">
        <f t="shared" si="341"/>
        <v>5482</v>
      </c>
      <c r="BF804" s="193">
        <f t="shared" si="326"/>
        <v>12263</v>
      </c>
      <c r="BG804" s="193">
        <f t="shared" si="327"/>
        <v>12263</v>
      </c>
      <c r="BH804" s="307">
        <f t="shared" si="342"/>
        <v>2080</v>
      </c>
      <c r="BI804" s="265">
        <f t="shared" si="344"/>
        <v>6420</v>
      </c>
      <c r="BJ804" s="26" t="str">
        <f t="shared" si="328"/>
        <v>TRANQUIL CREEKChum</v>
      </c>
      <c r="BK804" s="33">
        <f t="shared" si="329"/>
        <v>7</v>
      </c>
      <c r="BL804" s="33">
        <f t="shared" si="321"/>
        <v>5482</v>
      </c>
      <c r="BO804"/>
      <c r="BP804" s="34"/>
      <c r="BQ804" s="47" t="str">
        <f t="shared" si="330"/>
        <v>TRANQUIL CREEKChum</v>
      </c>
      <c r="BR804" s="49">
        <f t="shared" si="331"/>
        <v>0</v>
      </c>
      <c r="BS804" s="49">
        <f t="shared" si="340"/>
        <v>12263</v>
      </c>
      <c r="BT804" s="31">
        <v>2016</v>
      </c>
      <c r="BU804" s="188" t="str">
        <f t="shared" si="332"/>
        <v>TSES</v>
      </c>
      <c r="BV804" s="188" t="str">
        <f t="shared" si="333"/>
        <v>Oct 1-7</v>
      </c>
      <c r="BW804" s="188" t="str">
        <f t="shared" si="334"/>
        <v>Nov 12-18</v>
      </c>
      <c r="BX804" s="188" t="str">
        <f t="shared" si="335"/>
        <v xml:space="preserve"> </v>
      </c>
      <c r="BY804" s="50" t="str">
        <f t="shared" si="323"/>
        <v>TRANQUIL CREEK_Chum</v>
      </c>
      <c r="BZ804" s="50">
        <f>IFERROR(VLOOKUP(BY804,'[1]WCVI Esc'!$C$5:$W$555,18,FALSE),"-")</f>
        <v>3711</v>
      </c>
      <c r="CA804" s="50">
        <f t="shared" si="336"/>
        <v>3710</v>
      </c>
      <c r="CB804" s="50">
        <f>IFERROR(VLOOKUP(BY804,'[1]WCVI Esc'!$C$5:$W$555,19,FALSE),"-")</f>
        <v>6418.333333333333</v>
      </c>
      <c r="CC804" s="50">
        <f t="shared" si="337"/>
        <v>6420</v>
      </c>
      <c r="CE804" s="342" t="str">
        <f t="shared" si="322"/>
        <v>TRANQUIL CREEK_Chum</v>
      </c>
      <c r="CF804" s="341">
        <f>IFERROR(VLOOKUP(CE804,'RawPL+D'!$O$8:$AB$503,12,FALSE),"-")</f>
        <v>1158</v>
      </c>
      <c r="CG804" s="338">
        <f t="shared" si="338"/>
        <v>1160</v>
      </c>
      <c r="CH804" s="341">
        <f>IFERROR(VLOOKUP(CE804,'RawPL+D'!$O$8:$AB$503,13,FALSE),"-")</f>
        <v>2080.75</v>
      </c>
      <c r="CI804" s="338">
        <f t="shared" si="339"/>
        <v>2080</v>
      </c>
    </row>
    <row r="805" spans="1:87" ht="12.75" hidden="1" customHeight="1" x14ac:dyDescent="0.2">
      <c r="A805" s="29">
        <v>2</v>
      </c>
      <c r="B805" s="29">
        <v>5</v>
      </c>
      <c r="C805" s="13">
        <v>24</v>
      </c>
      <c r="D805" s="13" t="s">
        <v>296</v>
      </c>
      <c r="E805" s="10" t="s">
        <v>43</v>
      </c>
      <c r="F805" s="10" t="s">
        <v>210</v>
      </c>
      <c r="G805" s="10"/>
      <c r="H805" s="10"/>
      <c r="I805" s="10"/>
      <c r="J805" s="10"/>
      <c r="K805" s="575"/>
      <c r="L805" s="152"/>
      <c r="M805" s="422"/>
      <c r="N805" s="642">
        <v>0</v>
      </c>
      <c r="O805" s="642">
        <v>12</v>
      </c>
      <c r="P805" s="177"/>
      <c r="Q805" s="683">
        <v>31</v>
      </c>
      <c r="R805" s="642">
        <v>39</v>
      </c>
      <c r="S805" s="676">
        <f>42+1</f>
        <v>43</v>
      </c>
      <c r="T805" s="62"/>
      <c r="U805" s="632">
        <f>18+4</f>
        <v>22</v>
      </c>
      <c r="V805" s="421"/>
      <c r="W805" s="632">
        <v>4</v>
      </c>
      <c r="X805" s="62"/>
      <c r="Y805" s="62"/>
      <c r="Z805" s="64"/>
      <c r="AA805" s="164"/>
      <c r="AB805" s="62"/>
      <c r="AC805" s="62"/>
      <c r="AD805" s="64"/>
      <c r="AE805" s="164"/>
      <c r="AF805" s="62"/>
      <c r="AG805" s="62"/>
      <c r="AH805" s="337">
        <v>68</v>
      </c>
      <c r="AI805" s="337">
        <v>29</v>
      </c>
      <c r="AJ805" s="337">
        <v>0</v>
      </c>
      <c r="AK805" s="337">
        <v>0</v>
      </c>
      <c r="AL805" s="555">
        <v>68</v>
      </c>
      <c r="AM805" s="552">
        <v>97</v>
      </c>
      <c r="AN805" s="552" t="s">
        <v>768</v>
      </c>
      <c r="AO805" s="552" t="s">
        <v>775</v>
      </c>
      <c r="AP805" s="44"/>
      <c r="AQ805" s="485">
        <f>AL805/BI805</f>
        <v>0.29565217391304349</v>
      </c>
      <c r="AR805" s="485">
        <f>BL805/BH805</f>
        <v>0.35833333333333334</v>
      </c>
      <c r="AS805" s="485">
        <f>BL805/BI805</f>
        <v>0.18695652173913044</v>
      </c>
      <c r="AT805" s="123">
        <v>320</v>
      </c>
      <c r="AU805" s="123">
        <v>94</v>
      </c>
      <c r="AV805" s="123">
        <f>AL805</f>
        <v>68</v>
      </c>
      <c r="AW805" s="69">
        <v>24</v>
      </c>
      <c r="AX805" s="69" t="s">
        <v>296</v>
      </c>
      <c r="AY805" s="243" t="s">
        <v>43</v>
      </c>
      <c r="AZ805" s="243" t="str">
        <f t="shared" si="324"/>
        <v>Chinook</v>
      </c>
      <c r="BA805" s="243" t="s">
        <v>419</v>
      </c>
      <c r="BB805" s="244" t="s">
        <v>497</v>
      </c>
      <c r="BC805" s="43" t="str">
        <f t="shared" si="325"/>
        <v>Nov 12-18</v>
      </c>
      <c r="BD805" s="43">
        <f t="shared" si="343"/>
        <v>7</v>
      </c>
      <c r="BE805" s="193">
        <f t="shared" si="341"/>
        <v>43</v>
      </c>
      <c r="BF805" s="193">
        <f t="shared" si="326"/>
        <v>68</v>
      </c>
      <c r="BG805" s="193">
        <f t="shared" si="327"/>
        <v>68</v>
      </c>
      <c r="BH805" s="307">
        <f t="shared" si="342"/>
        <v>120</v>
      </c>
      <c r="BI805" s="265">
        <f t="shared" si="344"/>
        <v>230</v>
      </c>
      <c r="BJ805" s="26" t="str">
        <f t="shared" si="328"/>
        <v>TRANQUIL CREEKChinook</v>
      </c>
      <c r="BK805" s="33">
        <f t="shared" si="329"/>
        <v>7</v>
      </c>
      <c r="BL805" s="33">
        <f t="shared" si="321"/>
        <v>43</v>
      </c>
      <c r="BM805" s="34">
        <f>BL805*1.14</f>
        <v>49.019999999999996</v>
      </c>
      <c r="BN805" s="34">
        <f>BL805*2.88</f>
        <v>123.83999999999999</v>
      </c>
      <c r="BO805" s="36"/>
      <c r="BP805" s="34">
        <f>SUM(BM805:BN805)/2</f>
        <v>86.429999999999993</v>
      </c>
      <c r="BQ805" s="47" t="str">
        <f t="shared" si="330"/>
        <v>TRANQUIL CREEKChinook</v>
      </c>
      <c r="BR805" s="49">
        <f t="shared" si="331"/>
        <v>0</v>
      </c>
      <c r="BS805" s="49">
        <f t="shared" si="340"/>
        <v>68</v>
      </c>
      <c r="BT805" s="31">
        <v>2016</v>
      </c>
      <c r="BU805" s="188" t="str">
        <f t="shared" si="332"/>
        <v>TSES</v>
      </c>
      <c r="BV805" s="188" t="str">
        <f t="shared" si="333"/>
        <v>Oct 1-7</v>
      </c>
      <c r="BW805" s="188" t="str">
        <f t="shared" si="334"/>
        <v>Nov 12-18</v>
      </c>
      <c r="BX805" s="188" t="str">
        <f t="shared" si="335"/>
        <v xml:space="preserve"> </v>
      </c>
      <c r="BY805" s="50" t="str">
        <f t="shared" si="323"/>
        <v>TRANQUIL CREEK_Chinook</v>
      </c>
      <c r="BZ805" s="50">
        <f>IFERROR(VLOOKUP(BY805,'[1]WCVI Esc'!$C$5:$W$555,18,FALSE),"-")</f>
        <v>174</v>
      </c>
      <c r="CA805" s="50">
        <f t="shared" si="336"/>
        <v>170</v>
      </c>
      <c r="CB805" s="50">
        <f>IFERROR(VLOOKUP(BY805,'[1]WCVI Esc'!$C$5:$W$555,19,FALSE),"-")</f>
        <v>233.08333333333334</v>
      </c>
      <c r="CC805" s="50">
        <f t="shared" si="337"/>
        <v>230</v>
      </c>
      <c r="CE805" s="342" t="str">
        <f t="shared" si="322"/>
        <v>TRANQUIL CREEK_Chinook</v>
      </c>
      <c r="CF805" s="341">
        <f>IFERROR(VLOOKUP(CE805,'RawPL+D'!$O$8:$AB$503,12,FALSE),"-")</f>
        <v>24</v>
      </c>
      <c r="CG805" s="338">
        <f t="shared" si="338"/>
        <v>20</v>
      </c>
      <c r="CH805" s="341">
        <f>IFERROR(VLOOKUP(CE805,'RawPL+D'!$O$8:$AB$503,13,FALSE),"-")</f>
        <v>119.5</v>
      </c>
      <c r="CI805" s="338">
        <f t="shared" si="339"/>
        <v>120</v>
      </c>
    </row>
    <row r="806" spans="1:87" ht="12.75" hidden="1" customHeight="1" x14ac:dyDescent="0.2">
      <c r="A806" s="29">
        <v>2</v>
      </c>
      <c r="B806" s="29">
        <v>6</v>
      </c>
      <c r="C806" s="13">
        <v>24</v>
      </c>
      <c r="D806" s="13" t="s">
        <v>296</v>
      </c>
      <c r="E806" s="10" t="s">
        <v>43</v>
      </c>
      <c r="F806" s="10" t="s">
        <v>211</v>
      </c>
      <c r="G806" s="10"/>
      <c r="H806" s="10"/>
      <c r="I806" s="10"/>
      <c r="J806" s="10"/>
      <c r="K806" s="575"/>
      <c r="L806" s="152"/>
      <c r="M806" s="422"/>
      <c r="N806" s="642">
        <v>0</v>
      </c>
      <c r="O806" s="642">
        <v>0</v>
      </c>
      <c r="P806" s="177"/>
      <c r="Q806" s="683">
        <v>0</v>
      </c>
      <c r="R806" s="642">
        <v>0</v>
      </c>
      <c r="S806" s="642">
        <v>0</v>
      </c>
      <c r="T806" s="62"/>
      <c r="U806" s="632">
        <v>0</v>
      </c>
      <c r="V806" s="164"/>
      <c r="W806" s="632">
        <v>0</v>
      </c>
      <c r="X806" s="62"/>
      <c r="Y806" s="62"/>
      <c r="Z806" s="64"/>
      <c r="AA806" s="164"/>
      <c r="AB806" s="62"/>
      <c r="AC806" s="62"/>
      <c r="AD806" s="64"/>
      <c r="AE806" s="164"/>
      <c r="AF806" s="62"/>
      <c r="AG806" s="62"/>
      <c r="AH806" s="337"/>
      <c r="AI806" s="337"/>
      <c r="AJ806" s="337"/>
      <c r="AK806" s="337"/>
      <c r="AL806" s="555"/>
      <c r="AM806" s="552"/>
      <c r="AN806" s="45"/>
      <c r="AO806" s="45"/>
      <c r="AP806" s="44"/>
      <c r="AQ806" s="485"/>
      <c r="AR806" s="120"/>
      <c r="AS806" s="485"/>
      <c r="AT806" s="100"/>
      <c r="AU806" s="100"/>
      <c r="AV806" s="100"/>
      <c r="AW806" s="69">
        <v>24</v>
      </c>
      <c r="AX806" s="69" t="s">
        <v>296</v>
      </c>
      <c r="AY806" s="243" t="s">
        <v>43</v>
      </c>
      <c r="AZ806" s="243" t="str">
        <f t="shared" si="324"/>
        <v>Steelhead</v>
      </c>
      <c r="BA806" s="243" t="s">
        <v>419</v>
      </c>
      <c r="BB806" s="244" t="s">
        <v>497</v>
      </c>
      <c r="BC806" s="43" t="str">
        <f t="shared" si="325"/>
        <v>Nov 12-18</v>
      </c>
      <c r="BD806" s="43">
        <f t="shared" si="343"/>
        <v>7</v>
      </c>
      <c r="BE806" s="193">
        <f t="shared" si="341"/>
        <v>0</v>
      </c>
      <c r="BF806" s="193">
        <f t="shared" si="326"/>
        <v>0</v>
      </c>
      <c r="BG806" s="193">
        <f t="shared" si="327"/>
        <v>0</v>
      </c>
      <c r="BH806" s="307" t="str">
        <f t="shared" si="342"/>
        <v>-</v>
      </c>
      <c r="BI806" s="265" t="str">
        <f t="shared" si="344"/>
        <v>-</v>
      </c>
      <c r="BJ806" s="26" t="str">
        <f t="shared" si="328"/>
        <v>TRANQUIL CREEKSteelhead</v>
      </c>
      <c r="BK806" s="33">
        <f t="shared" si="329"/>
        <v>7</v>
      </c>
      <c r="BL806" s="33">
        <f t="shared" si="321"/>
        <v>0</v>
      </c>
      <c r="BO806"/>
      <c r="BP806" s="34"/>
      <c r="BQ806" s="47" t="str">
        <f t="shared" si="330"/>
        <v>TRANQUIL CREEKSteelhead</v>
      </c>
      <c r="BR806" s="49">
        <f t="shared" si="331"/>
        <v>0</v>
      </c>
      <c r="BS806" s="49">
        <f t="shared" si="340"/>
        <v>0</v>
      </c>
      <c r="BT806" s="31">
        <v>0</v>
      </c>
      <c r="BU806" s="188" t="str">
        <f t="shared" si="332"/>
        <v>TSES</v>
      </c>
      <c r="BV806" s="188" t="str">
        <f t="shared" si="333"/>
        <v>Oct 1-7</v>
      </c>
      <c r="BW806" s="188" t="str">
        <f t="shared" si="334"/>
        <v>Nov 12-18</v>
      </c>
      <c r="BX806" s="188" t="str">
        <f t="shared" si="335"/>
        <v xml:space="preserve"> </v>
      </c>
      <c r="BY806" s="50" t="str">
        <f t="shared" si="323"/>
        <v>TRANQUIL CREEK_Steelhead</v>
      </c>
      <c r="BZ806" s="50" t="str">
        <f>IFERROR(VLOOKUP(BY806,'[1]WCVI Esc'!$C$5:$W$555,18,FALSE),"-")</f>
        <v>-</v>
      </c>
      <c r="CA806" s="50" t="str">
        <f t="shared" si="336"/>
        <v>-</v>
      </c>
      <c r="CB806" s="50" t="str">
        <f>IFERROR(VLOOKUP(BY806,'[1]WCVI Esc'!$C$5:$W$555,19,FALSE),"-")</f>
        <v>-</v>
      </c>
      <c r="CC806" s="50" t="str">
        <f t="shared" si="337"/>
        <v>-</v>
      </c>
      <c r="CE806" s="342" t="str">
        <f t="shared" si="322"/>
        <v>TRANQUIL CREEK_Steelhead</v>
      </c>
      <c r="CF806" s="341" t="str">
        <f>IFERROR(VLOOKUP(BY806,'RawPL+D'!$O$8:$AB$503,12,FALSE),"-")</f>
        <v>-</v>
      </c>
      <c r="CG806" s="338" t="str">
        <f t="shared" si="338"/>
        <v>-</v>
      </c>
      <c r="CH806" s="341" t="str">
        <f>IFERROR(VLOOKUP(BY806,'RawPL+D'!$O$8:$AB$503,13,FALSE),"-")</f>
        <v>-</v>
      </c>
      <c r="CI806" s="338" t="str">
        <f t="shared" si="339"/>
        <v>-</v>
      </c>
    </row>
    <row r="807" spans="1:87" ht="12.75" hidden="1" customHeight="1" x14ac:dyDescent="0.2">
      <c r="A807" s="28">
        <v>4</v>
      </c>
      <c r="B807" s="28">
        <v>1</v>
      </c>
      <c r="C807" s="11">
        <v>24</v>
      </c>
      <c r="D807" s="13" t="s">
        <v>296</v>
      </c>
      <c r="E807" s="10" t="s">
        <v>187</v>
      </c>
      <c r="F807" s="10" t="s">
        <v>207</v>
      </c>
      <c r="G807" s="10"/>
      <c r="H807" s="10"/>
      <c r="I807" s="10"/>
      <c r="J807" s="10"/>
      <c r="K807" s="575"/>
      <c r="L807" s="152"/>
      <c r="M807" s="164"/>
      <c r="N807" s="62"/>
      <c r="O807" s="62"/>
      <c r="P807" s="177"/>
      <c r="Q807" s="171"/>
      <c r="R807" s="62"/>
      <c r="S807" s="94"/>
      <c r="T807" s="94"/>
      <c r="U807" s="186"/>
      <c r="V807" s="169"/>
      <c r="W807" s="62"/>
      <c r="X807" s="62"/>
      <c r="Y807" s="62"/>
      <c r="Z807" s="64"/>
      <c r="AA807" s="164"/>
      <c r="AB807" s="62"/>
      <c r="AC807" s="62"/>
      <c r="AD807" s="64"/>
      <c r="AE807" s="164"/>
      <c r="AF807" s="62"/>
      <c r="AG807" s="62"/>
      <c r="AH807" s="337"/>
      <c r="AI807" s="337"/>
      <c r="AJ807" s="337"/>
      <c r="AK807" s="337"/>
      <c r="AL807" s="412"/>
      <c r="AM807" s="414"/>
      <c r="AN807" s="44"/>
      <c r="AO807" s="44"/>
      <c r="AP807" s="45"/>
      <c r="AQ807" s="485"/>
      <c r="AR807" s="100"/>
      <c r="AS807" s="485"/>
      <c r="AT807" s="24"/>
      <c r="AU807" s="24"/>
      <c r="AV807" s="24"/>
      <c r="AW807" s="18">
        <v>24</v>
      </c>
      <c r="AX807" s="69" t="s">
        <v>296</v>
      </c>
      <c r="AY807" s="243" t="s">
        <v>187</v>
      </c>
      <c r="AZ807" s="243" t="str">
        <f t="shared" si="324"/>
        <v>Sockeye</v>
      </c>
      <c r="BA807" s="243" t="s">
        <v>419</v>
      </c>
      <c r="BB807" s="246"/>
      <c r="BC807" s="43" t="str">
        <f t="shared" si="325"/>
        <v>-</v>
      </c>
      <c r="BD807" s="43">
        <f t="shared" si="343"/>
        <v>0</v>
      </c>
      <c r="BE807" s="193">
        <f t="shared" si="341"/>
        <v>0</v>
      </c>
      <c r="BF807" s="193">
        <f t="shared" si="326"/>
        <v>0</v>
      </c>
      <c r="BG807" s="193">
        <f t="shared" si="327"/>
        <v>0</v>
      </c>
      <c r="BH807" s="307" t="str">
        <f t="shared" si="342"/>
        <v>-</v>
      </c>
      <c r="BI807" s="266"/>
      <c r="BJ807" s="26" t="str">
        <f t="shared" si="328"/>
        <v>ANGORA CREEKSockeye</v>
      </c>
      <c r="BK807" s="26">
        <f t="shared" si="329"/>
        <v>0</v>
      </c>
      <c r="BL807" s="33">
        <f t="shared" ref="BL807:BL870" si="345">MAX(K807:AB807)</f>
        <v>0</v>
      </c>
      <c r="BQ807" s="47" t="str">
        <f t="shared" si="330"/>
        <v>ANGORA CREEKSockeye</v>
      </c>
      <c r="BR807" s="49">
        <f t="shared" si="331"/>
        <v>0</v>
      </c>
      <c r="BS807" s="49">
        <f t="shared" si="340"/>
        <v>0</v>
      </c>
      <c r="BT807" s="31">
        <v>0</v>
      </c>
      <c r="BU807" s="188">
        <f t="shared" si="332"/>
        <v>0</v>
      </c>
      <c r="BV807" s="188" t="str">
        <f t="shared" si="333"/>
        <v xml:space="preserve"> </v>
      </c>
      <c r="BW807" s="188" t="str">
        <f t="shared" si="334"/>
        <v xml:space="preserve"> </v>
      </c>
      <c r="BX807" s="188" t="str">
        <f t="shared" si="335"/>
        <v xml:space="preserve"> </v>
      </c>
      <c r="BY807" s="50" t="str">
        <f t="shared" si="323"/>
        <v>ANGORA CREEK_Sockeye</v>
      </c>
      <c r="BZ807" s="50" t="str">
        <f>IFERROR(VLOOKUP(BY807,'[1]WCVI Esc'!$C$5:$W$555,18,FALSE),"-")</f>
        <v>-</v>
      </c>
      <c r="CA807" s="50" t="str">
        <f t="shared" si="336"/>
        <v>-</v>
      </c>
      <c r="CB807" s="50" t="str">
        <f>IFERROR(VLOOKUP(BY807,'[1]WCVI Esc'!$C$5:$W$555,19,FALSE),"-")</f>
        <v>-</v>
      </c>
      <c r="CC807" s="50" t="str">
        <f t="shared" si="337"/>
        <v>-</v>
      </c>
      <c r="CE807" s="342" t="str">
        <f t="shared" si="322"/>
        <v>ANGORA CREEK_Sockeye</v>
      </c>
      <c r="CF807" s="341" t="str">
        <f>IFERROR(VLOOKUP(BY807,'RawPL+D'!$O$8:$AB$503,12,FALSE),"-")</f>
        <v>-</v>
      </c>
      <c r="CG807" s="338" t="str">
        <f t="shared" si="338"/>
        <v>-</v>
      </c>
      <c r="CH807" s="341" t="str">
        <f>IFERROR(VLOOKUP(BY807,'RawPL+D'!$O$8:$AB$503,13,FALSE),"-")</f>
        <v>-</v>
      </c>
      <c r="CI807" s="338" t="str">
        <f t="shared" si="339"/>
        <v>-</v>
      </c>
    </row>
    <row r="808" spans="1:87" ht="12.75" hidden="1" customHeight="1" x14ac:dyDescent="0.2">
      <c r="A808" s="28">
        <v>4</v>
      </c>
      <c r="B808" s="28">
        <v>2</v>
      </c>
      <c r="C808" s="11">
        <v>24</v>
      </c>
      <c r="D808" s="13" t="s">
        <v>296</v>
      </c>
      <c r="E808" s="10" t="s">
        <v>187</v>
      </c>
      <c r="F808" s="10" t="s">
        <v>219</v>
      </c>
      <c r="G808" s="10"/>
      <c r="H808" s="10"/>
      <c r="I808" s="10"/>
      <c r="J808" s="10"/>
      <c r="K808" s="575"/>
      <c r="L808" s="152"/>
      <c r="M808" s="164"/>
      <c r="N808" s="62"/>
      <c r="O808" s="62"/>
      <c r="P808" s="177"/>
      <c r="Q808" s="171"/>
      <c r="R808" s="62"/>
      <c r="S808" s="94"/>
      <c r="T808" s="94"/>
      <c r="U808" s="186"/>
      <c r="V808" s="169"/>
      <c r="W808" s="62"/>
      <c r="X808" s="62"/>
      <c r="Y808" s="62"/>
      <c r="Z808" s="64"/>
      <c r="AA808" s="164"/>
      <c r="AB808" s="62"/>
      <c r="AC808" s="62"/>
      <c r="AD808" s="64"/>
      <c r="AE808" s="164"/>
      <c r="AF808" s="62"/>
      <c r="AG808" s="62"/>
      <c r="AH808" s="337"/>
      <c r="AI808" s="337"/>
      <c r="AJ808" s="337"/>
      <c r="AK808" s="337"/>
      <c r="AL808" s="412"/>
      <c r="AM808" s="414"/>
      <c r="AN808" s="45"/>
      <c r="AO808" s="45"/>
      <c r="AP808" s="45"/>
      <c r="AQ808" s="485">
        <f>AL808/BI808</f>
        <v>0</v>
      </c>
      <c r="AR808" s="100">
        <f>BL808/BI808</f>
        <v>0</v>
      </c>
      <c r="AS808" s="485"/>
      <c r="AT808" s="24"/>
      <c r="AU808" s="24"/>
      <c r="AV808" s="24"/>
      <c r="AW808" s="18">
        <v>24</v>
      </c>
      <c r="AX808" s="69" t="s">
        <v>296</v>
      </c>
      <c r="AY808" s="243" t="s">
        <v>187</v>
      </c>
      <c r="AZ808" s="243" t="str">
        <f t="shared" si="324"/>
        <v>Coho</v>
      </c>
      <c r="BA808" s="243" t="s">
        <v>419</v>
      </c>
      <c r="BB808" s="246"/>
      <c r="BC808" s="43" t="str">
        <f t="shared" si="325"/>
        <v>-</v>
      </c>
      <c r="BD808" s="43">
        <f t="shared" si="343"/>
        <v>0</v>
      </c>
      <c r="BE808" s="193">
        <f t="shared" si="341"/>
        <v>0</v>
      </c>
      <c r="BF808" s="193">
        <f t="shared" si="326"/>
        <v>0</v>
      </c>
      <c r="BG808" s="193">
        <f t="shared" si="327"/>
        <v>0</v>
      </c>
      <c r="BH808" s="307">
        <f t="shared" si="342"/>
        <v>400</v>
      </c>
      <c r="BI808" s="265">
        <f>CC808</f>
        <v>390</v>
      </c>
      <c r="BJ808" s="26" t="str">
        <f t="shared" si="328"/>
        <v>ANGORA CREEKCoho</v>
      </c>
      <c r="BK808" s="26">
        <f t="shared" si="329"/>
        <v>0</v>
      </c>
      <c r="BL808" s="33">
        <f t="shared" si="345"/>
        <v>0</v>
      </c>
      <c r="BQ808" s="47" t="str">
        <f t="shared" si="330"/>
        <v>ANGORA CREEKCoho</v>
      </c>
      <c r="BR808" s="49">
        <f t="shared" si="331"/>
        <v>0</v>
      </c>
      <c r="BS808" s="49">
        <f t="shared" si="340"/>
        <v>0</v>
      </c>
      <c r="BT808" s="31">
        <v>2014</v>
      </c>
      <c r="BU808" s="188">
        <f t="shared" si="332"/>
        <v>0</v>
      </c>
      <c r="BV808" s="188" t="str">
        <f t="shared" si="333"/>
        <v xml:space="preserve"> </v>
      </c>
      <c r="BW808" s="188" t="str">
        <f t="shared" si="334"/>
        <v xml:space="preserve"> </v>
      </c>
      <c r="BX808" s="188" t="str">
        <f t="shared" si="335"/>
        <v xml:space="preserve"> </v>
      </c>
      <c r="BY808" s="50" t="str">
        <f t="shared" si="323"/>
        <v>ANGORA CREEK_Coho</v>
      </c>
      <c r="BZ808" s="50" t="str">
        <f>IFERROR(VLOOKUP(BY808,'[1]WCVI Esc'!$C$5:$W$555,18,FALSE),"-")</f>
        <v>-</v>
      </c>
      <c r="CA808" s="50" t="str">
        <f t="shared" si="336"/>
        <v>-</v>
      </c>
      <c r="CB808" s="50">
        <f>IFERROR(VLOOKUP(BY808,'[1]WCVI Esc'!$C$5:$W$555,19,FALSE),"-")</f>
        <v>388.5</v>
      </c>
      <c r="CC808" s="50">
        <f t="shared" si="337"/>
        <v>390</v>
      </c>
      <c r="CE808" s="342" t="str">
        <f t="shared" si="322"/>
        <v>ANGORA CREEK_Coho</v>
      </c>
      <c r="CF808" s="341">
        <f>IFERROR(VLOOKUP(BY808,'RawPL+D'!$O$8:$AB$503,12,FALSE),"-")</f>
        <v>0</v>
      </c>
      <c r="CG808" s="338">
        <f t="shared" si="338"/>
        <v>0</v>
      </c>
      <c r="CH808" s="341">
        <f>IFERROR(VLOOKUP(BY808,'RawPL+D'!$O$8:$AB$503,13,FALSE),"-")</f>
        <v>397</v>
      </c>
      <c r="CI808" s="338">
        <f t="shared" si="339"/>
        <v>400</v>
      </c>
    </row>
    <row r="809" spans="1:87" ht="12.75" hidden="1" customHeight="1" x14ac:dyDescent="0.2">
      <c r="A809" s="28">
        <v>4</v>
      </c>
      <c r="B809" s="28">
        <v>3</v>
      </c>
      <c r="C809" s="11">
        <v>24</v>
      </c>
      <c r="D809" s="13" t="s">
        <v>296</v>
      </c>
      <c r="E809" s="10" t="s">
        <v>187</v>
      </c>
      <c r="F809" s="10" t="s">
        <v>208</v>
      </c>
      <c r="G809" s="10"/>
      <c r="H809" s="10"/>
      <c r="I809" s="10"/>
      <c r="J809" s="10"/>
      <c r="K809" s="575"/>
      <c r="L809" s="152"/>
      <c r="M809" s="164"/>
      <c r="N809" s="62"/>
      <c r="O809" s="62"/>
      <c r="P809" s="177"/>
      <c r="Q809" s="171"/>
      <c r="R809" s="62"/>
      <c r="S809" s="94"/>
      <c r="T809" s="94"/>
      <c r="U809" s="186"/>
      <c r="V809" s="169"/>
      <c r="W809" s="62"/>
      <c r="X809" s="62"/>
      <c r="Y809" s="62"/>
      <c r="Z809" s="64"/>
      <c r="AA809" s="164"/>
      <c r="AB809" s="62"/>
      <c r="AC809" s="62"/>
      <c r="AD809" s="64"/>
      <c r="AE809" s="164"/>
      <c r="AF809" s="62"/>
      <c r="AG809" s="62"/>
      <c r="AH809" s="337"/>
      <c r="AI809" s="337"/>
      <c r="AJ809" s="337"/>
      <c r="AK809" s="337"/>
      <c r="AL809" s="412"/>
      <c r="AM809" s="414"/>
      <c r="AN809" s="45"/>
      <c r="AO809" s="45"/>
      <c r="AP809" s="45"/>
      <c r="AQ809" s="485"/>
      <c r="AR809" s="100"/>
      <c r="AS809" s="485"/>
      <c r="AT809" s="24"/>
      <c r="AU809" s="24"/>
      <c r="AV809" s="24"/>
      <c r="AW809" s="18">
        <v>24</v>
      </c>
      <c r="AX809" s="69" t="s">
        <v>296</v>
      </c>
      <c r="AY809" s="243" t="s">
        <v>187</v>
      </c>
      <c r="AZ809" s="243" t="str">
        <f t="shared" si="324"/>
        <v>Pink</v>
      </c>
      <c r="BA809" s="243" t="s">
        <v>419</v>
      </c>
      <c r="BB809" s="246"/>
      <c r="BC809" s="43" t="str">
        <f t="shared" si="325"/>
        <v>-</v>
      </c>
      <c r="BD809" s="43">
        <f t="shared" si="343"/>
        <v>0</v>
      </c>
      <c r="BE809" s="193">
        <f t="shared" si="341"/>
        <v>0</v>
      </c>
      <c r="BF809" s="193">
        <f t="shared" si="326"/>
        <v>0</v>
      </c>
      <c r="BG809" s="193">
        <f t="shared" si="327"/>
        <v>0</v>
      </c>
      <c r="BH809" s="307" t="str">
        <f t="shared" si="342"/>
        <v>-</v>
      </c>
      <c r="BI809" s="266"/>
      <c r="BJ809" s="26" t="str">
        <f t="shared" si="328"/>
        <v>ANGORA CREEKPink</v>
      </c>
      <c r="BK809" s="26">
        <f t="shared" si="329"/>
        <v>0</v>
      </c>
      <c r="BL809" s="33">
        <f t="shared" si="345"/>
        <v>0</v>
      </c>
      <c r="BQ809" s="47" t="str">
        <f t="shared" si="330"/>
        <v>ANGORA CREEKPink</v>
      </c>
      <c r="BR809" s="49">
        <f t="shared" si="331"/>
        <v>0</v>
      </c>
      <c r="BS809" s="49">
        <f t="shared" si="340"/>
        <v>0</v>
      </c>
      <c r="BT809" s="31">
        <v>0</v>
      </c>
      <c r="BU809" s="188">
        <f t="shared" si="332"/>
        <v>0</v>
      </c>
      <c r="BV809" s="188" t="str">
        <f t="shared" si="333"/>
        <v xml:space="preserve"> </v>
      </c>
      <c r="BW809" s="188" t="str">
        <f t="shared" si="334"/>
        <v xml:space="preserve"> </v>
      </c>
      <c r="BX809" s="188" t="str">
        <f t="shared" si="335"/>
        <v xml:space="preserve"> </v>
      </c>
      <c r="BY809" s="50" t="str">
        <f t="shared" si="323"/>
        <v>ANGORA CREEK_Pink</v>
      </c>
      <c r="BZ809" s="50" t="str">
        <f>IFERROR(VLOOKUP(BY809,'[1]WCVI Esc'!$C$5:$W$555,18,FALSE),"-")</f>
        <v>-</v>
      </c>
      <c r="CA809" s="50" t="str">
        <f t="shared" si="336"/>
        <v>-</v>
      </c>
      <c r="CB809" s="50" t="str">
        <f>IFERROR(VLOOKUP(BY809,'[1]WCVI Esc'!$C$5:$W$555,19,FALSE),"-")</f>
        <v>-</v>
      </c>
      <c r="CC809" s="50" t="str">
        <f t="shared" si="337"/>
        <v>-</v>
      </c>
      <c r="CE809" s="342" t="str">
        <f t="shared" si="322"/>
        <v>ANGORA CREEK_Pink</v>
      </c>
      <c r="CF809" s="341" t="str">
        <f>IFERROR(VLOOKUP(BY809,'RawPL+D'!$O$8:$AB$503,12,FALSE),"-")</f>
        <v>-</v>
      </c>
      <c r="CG809" s="338" t="str">
        <f t="shared" si="338"/>
        <v>-</v>
      </c>
      <c r="CH809" s="341" t="str">
        <f>IFERROR(VLOOKUP(BY809,'RawPL+D'!$O$8:$AB$503,13,FALSE),"-")</f>
        <v>-</v>
      </c>
      <c r="CI809" s="338" t="str">
        <f t="shared" si="339"/>
        <v>-</v>
      </c>
    </row>
    <row r="810" spans="1:87" ht="12.75" hidden="1" customHeight="1" x14ac:dyDescent="0.2">
      <c r="A810" s="28">
        <v>4</v>
      </c>
      <c r="B810" s="28">
        <v>4</v>
      </c>
      <c r="C810" s="11">
        <v>24</v>
      </c>
      <c r="D810" s="13" t="s">
        <v>296</v>
      </c>
      <c r="E810" s="10" t="s">
        <v>187</v>
      </c>
      <c r="F810" s="10" t="s">
        <v>209</v>
      </c>
      <c r="G810" s="10"/>
      <c r="H810" s="10"/>
      <c r="I810" s="10"/>
      <c r="J810" s="10"/>
      <c r="K810" s="575"/>
      <c r="L810" s="152"/>
      <c r="M810" s="164"/>
      <c r="N810" s="62"/>
      <c r="O810" s="62"/>
      <c r="P810" s="177"/>
      <c r="Q810" s="171"/>
      <c r="R810" s="62"/>
      <c r="S810" s="94"/>
      <c r="T810" s="94"/>
      <c r="U810" s="186"/>
      <c r="V810" s="169"/>
      <c r="W810" s="62"/>
      <c r="X810" s="62"/>
      <c r="Y810" s="62"/>
      <c r="Z810" s="64"/>
      <c r="AA810" s="164"/>
      <c r="AB810" s="62"/>
      <c r="AC810" s="62"/>
      <c r="AD810" s="64"/>
      <c r="AE810" s="164"/>
      <c r="AF810" s="62"/>
      <c r="AG810" s="62"/>
      <c r="AH810" s="337"/>
      <c r="AI810" s="337"/>
      <c r="AJ810" s="337"/>
      <c r="AK810" s="337"/>
      <c r="AL810" s="412"/>
      <c r="AM810" s="414"/>
      <c r="AN810" s="45"/>
      <c r="AO810" s="45"/>
      <c r="AP810" s="45"/>
      <c r="AQ810" s="485"/>
      <c r="AR810" s="100"/>
      <c r="AS810" s="485"/>
      <c r="AT810" s="24"/>
      <c r="AU810" s="24"/>
      <c r="AV810" s="24"/>
      <c r="AW810" s="18">
        <v>24</v>
      </c>
      <c r="AX810" s="69" t="s">
        <v>296</v>
      </c>
      <c r="AY810" s="243" t="s">
        <v>187</v>
      </c>
      <c r="AZ810" s="243" t="str">
        <f t="shared" si="324"/>
        <v>Chum</v>
      </c>
      <c r="BA810" s="243" t="s">
        <v>419</v>
      </c>
      <c r="BB810" s="246"/>
      <c r="BC810" s="43" t="str">
        <f t="shared" si="325"/>
        <v>-</v>
      </c>
      <c r="BD810" s="43">
        <f t="shared" si="343"/>
        <v>0</v>
      </c>
      <c r="BE810" s="193">
        <f t="shared" si="341"/>
        <v>0</v>
      </c>
      <c r="BF810" s="193">
        <f t="shared" si="326"/>
        <v>0</v>
      </c>
      <c r="BG810" s="193">
        <f t="shared" si="327"/>
        <v>0</v>
      </c>
      <c r="BH810" s="307">
        <f t="shared" si="342"/>
        <v>0</v>
      </c>
      <c r="BI810" s="266"/>
      <c r="BJ810" s="26" t="str">
        <f t="shared" si="328"/>
        <v>ANGORA CREEKChum</v>
      </c>
      <c r="BK810" s="26">
        <f t="shared" si="329"/>
        <v>0</v>
      </c>
      <c r="BL810" s="33">
        <f t="shared" si="345"/>
        <v>0</v>
      </c>
      <c r="BQ810" s="47" t="str">
        <f t="shared" si="330"/>
        <v>ANGORA CREEKChum</v>
      </c>
      <c r="BR810" s="49">
        <f t="shared" si="331"/>
        <v>0</v>
      </c>
      <c r="BS810" s="49">
        <f t="shared" si="340"/>
        <v>0</v>
      </c>
      <c r="BT810" s="31">
        <v>0</v>
      </c>
      <c r="BU810" s="188">
        <f t="shared" si="332"/>
        <v>0</v>
      </c>
      <c r="BV810" s="188" t="str">
        <f t="shared" si="333"/>
        <v xml:space="preserve"> </v>
      </c>
      <c r="BW810" s="188" t="str">
        <f t="shared" si="334"/>
        <v xml:space="preserve"> </v>
      </c>
      <c r="BX810" s="188" t="str">
        <f t="shared" si="335"/>
        <v xml:space="preserve"> </v>
      </c>
      <c r="BY810" s="50" t="str">
        <f t="shared" si="323"/>
        <v>ANGORA CREEK_Chum</v>
      </c>
      <c r="BZ810" s="50" t="str">
        <f>IFERROR(VLOOKUP(BY810,'[1]WCVI Esc'!$C$5:$W$555,18,FALSE),"-")</f>
        <v>-</v>
      </c>
      <c r="CA810" s="50" t="str">
        <f t="shared" si="336"/>
        <v>-</v>
      </c>
      <c r="CB810" s="50" t="str">
        <f>IFERROR(VLOOKUP(BY810,'[1]WCVI Esc'!$C$5:$W$555,19,FALSE),"-")</f>
        <v>-</v>
      </c>
      <c r="CC810" s="50" t="str">
        <f t="shared" si="337"/>
        <v>-</v>
      </c>
      <c r="CE810" s="342" t="str">
        <f t="shared" si="322"/>
        <v>ANGORA CREEK_Chum</v>
      </c>
      <c r="CF810" s="341">
        <f>IFERROR(VLOOKUP(BY810,'RawPL+D'!$O$8:$AB$503,12,FALSE),"-")</f>
        <v>0</v>
      </c>
      <c r="CG810" s="338">
        <f t="shared" si="338"/>
        <v>0</v>
      </c>
      <c r="CH810" s="341">
        <f>IFERROR(VLOOKUP(BY810,'RawPL+D'!$O$8:$AB$503,13,FALSE),"-")</f>
        <v>0</v>
      </c>
      <c r="CI810" s="338">
        <f t="shared" si="339"/>
        <v>0</v>
      </c>
    </row>
    <row r="811" spans="1:87" ht="12.75" hidden="1" customHeight="1" x14ac:dyDescent="0.2">
      <c r="A811" s="28">
        <v>4</v>
      </c>
      <c r="B811" s="28">
        <v>5</v>
      </c>
      <c r="C811" s="11">
        <v>24</v>
      </c>
      <c r="D811" s="13" t="s">
        <v>296</v>
      </c>
      <c r="E811" s="10" t="s">
        <v>187</v>
      </c>
      <c r="F811" s="10" t="s">
        <v>210</v>
      </c>
      <c r="G811" s="10"/>
      <c r="H811" s="10"/>
      <c r="I811" s="10"/>
      <c r="J811" s="10"/>
      <c r="K811" s="575"/>
      <c r="L811" s="152"/>
      <c r="M811" s="164"/>
      <c r="N811" s="62"/>
      <c r="O811" s="62"/>
      <c r="P811" s="177"/>
      <c r="Q811" s="171"/>
      <c r="R811" s="62"/>
      <c r="S811" s="94"/>
      <c r="T811" s="94"/>
      <c r="U811" s="186"/>
      <c r="V811" s="169"/>
      <c r="W811" s="62"/>
      <c r="X811" s="62"/>
      <c r="Y811" s="62"/>
      <c r="Z811" s="64"/>
      <c r="AA811" s="164"/>
      <c r="AB811" s="62"/>
      <c r="AC811" s="62"/>
      <c r="AD811" s="64"/>
      <c r="AE811" s="164"/>
      <c r="AF811" s="62"/>
      <c r="AG811" s="62"/>
      <c r="AH811" s="337"/>
      <c r="AI811" s="337"/>
      <c r="AJ811" s="337"/>
      <c r="AK811" s="337"/>
      <c r="AL811" s="412"/>
      <c r="AM811" s="414"/>
      <c r="AN811" s="44"/>
      <c r="AO811" s="44"/>
      <c r="AP811" s="45"/>
      <c r="AQ811" s="485"/>
      <c r="AR811" s="100"/>
      <c r="AS811" s="485"/>
      <c r="AT811" s="24"/>
      <c r="AU811" s="24"/>
      <c r="AV811" s="24"/>
      <c r="AW811" s="18">
        <v>24</v>
      </c>
      <c r="AX811" s="69" t="s">
        <v>296</v>
      </c>
      <c r="AY811" s="243" t="s">
        <v>187</v>
      </c>
      <c r="AZ811" s="243" t="str">
        <f t="shared" si="324"/>
        <v>Chinook</v>
      </c>
      <c r="BA811" s="243" t="s">
        <v>419</v>
      </c>
      <c r="BB811" s="246"/>
      <c r="BC811" s="43" t="str">
        <f t="shared" si="325"/>
        <v>-</v>
      </c>
      <c r="BD811" s="43">
        <f t="shared" si="343"/>
        <v>0</v>
      </c>
      <c r="BE811" s="193">
        <f t="shared" si="341"/>
        <v>0</v>
      </c>
      <c r="BF811" s="193">
        <f t="shared" si="326"/>
        <v>0</v>
      </c>
      <c r="BG811" s="193">
        <f t="shared" si="327"/>
        <v>0</v>
      </c>
      <c r="BH811" s="307" t="str">
        <f t="shared" si="342"/>
        <v>-</v>
      </c>
      <c r="BI811" s="266"/>
      <c r="BJ811" s="26" t="str">
        <f t="shared" si="328"/>
        <v>ANGORA CREEKChinook</v>
      </c>
      <c r="BK811" s="26">
        <f t="shared" si="329"/>
        <v>0</v>
      </c>
      <c r="BL811" s="33">
        <f t="shared" si="345"/>
        <v>0</v>
      </c>
      <c r="BQ811" s="47" t="str">
        <f t="shared" si="330"/>
        <v>ANGORA CREEKChinook</v>
      </c>
      <c r="BR811" s="49">
        <f t="shared" si="331"/>
        <v>0</v>
      </c>
      <c r="BS811" s="49">
        <f t="shared" si="340"/>
        <v>0</v>
      </c>
      <c r="BT811" s="31">
        <v>0</v>
      </c>
      <c r="BU811" s="188">
        <f t="shared" si="332"/>
        <v>0</v>
      </c>
      <c r="BV811" s="188" t="str">
        <f t="shared" si="333"/>
        <v xml:space="preserve"> </v>
      </c>
      <c r="BW811" s="188" t="str">
        <f t="shared" si="334"/>
        <v xml:space="preserve"> </v>
      </c>
      <c r="BX811" s="188" t="str">
        <f t="shared" si="335"/>
        <v xml:space="preserve"> </v>
      </c>
      <c r="BY811" s="50" t="str">
        <f t="shared" si="323"/>
        <v>ANGORA CREEK_Chinook</v>
      </c>
      <c r="BZ811" s="50" t="str">
        <f>IFERROR(VLOOKUP(BY811,'[1]WCVI Esc'!$C$5:$W$555,18,FALSE),"-")</f>
        <v>-</v>
      </c>
      <c r="CA811" s="50" t="str">
        <f t="shared" si="336"/>
        <v>-</v>
      </c>
      <c r="CB811" s="50" t="str">
        <f>IFERROR(VLOOKUP(BY811,'[1]WCVI Esc'!$C$5:$W$555,19,FALSE),"-")</f>
        <v>-</v>
      </c>
      <c r="CC811" s="50" t="str">
        <f t="shared" si="337"/>
        <v>-</v>
      </c>
      <c r="CE811" s="342" t="str">
        <f t="shared" si="322"/>
        <v>ANGORA CREEK_Chinook</v>
      </c>
      <c r="CF811" s="341" t="str">
        <f>IFERROR(VLOOKUP(BY811,'RawPL+D'!$O$8:$AB$503,12,FALSE),"-")</f>
        <v>-</v>
      </c>
      <c r="CG811" s="338" t="str">
        <f t="shared" si="338"/>
        <v>-</v>
      </c>
      <c r="CH811" s="341" t="str">
        <f>IFERROR(VLOOKUP(BY811,'RawPL+D'!$O$8:$AB$503,13,FALSE),"-")</f>
        <v>-</v>
      </c>
      <c r="CI811" s="338" t="str">
        <f t="shared" si="339"/>
        <v>-</v>
      </c>
    </row>
    <row r="812" spans="1:87" ht="12.75" hidden="1" customHeight="1" x14ac:dyDescent="0.2">
      <c r="A812" s="28">
        <v>4</v>
      </c>
      <c r="B812" s="28">
        <v>6</v>
      </c>
      <c r="C812" s="11">
        <v>24</v>
      </c>
      <c r="D812" s="13" t="s">
        <v>296</v>
      </c>
      <c r="E812" s="10" t="s">
        <v>187</v>
      </c>
      <c r="F812" s="10" t="s">
        <v>211</v>
      </c>
      <c r="G812" s="10"/>
      <c r="H812" s="10"/>
      <c r="I812" s="10"/>
      <c r="J812" s="10"/>
      <c r="K812" s="575"/>
      <c r="L812" s="152"/>
      <c r="M812" s="164"/>
      <c r="N812" s="62"/>
      <c r="O812" s="62"/>
      <c r="P812" s="177"/>
      <c r="Q812" s="171"/>
      <c r="R812" s="62"/>
      <c r="S812" s="94"/>
      <c r="T812" s="94"/>
      <c r="U812" s="186"/>
      <c r="V812" s="169"/>
      <c r="W812" s="62"/>
      <c r="X812" s="62"/>
      <c r="Y812" s="62"/>
      <c r="Z812" s="64"/>
      <c r="AA812" s="164"/>
      <c r="AB812" s="62"/>
      <c r="AC812" s="62"/>
      <c r="AD812" s="64"/>
      <c r="AE812" s="164"/>
      <c r="AF812" s="62"/>
      <c r="AG812" s="62"/>
      <c r="AH812" s="337"/>
      <c r="AI812" s="337"/>
      <c r="AJ812" s="337"/>
      <c r="AK812" s="337"/>
      <c r="AL812" s="412"/>
      <c r="AM812" s="414"/>
      <c r="AN812" s="45"/>
      <c r="AO812" s="45"/>
      <c r="AP812" s="45"/>
      <c r="AQ812" s="485"/>
      <c r="AR812" s="100"/>
      <c r="AS812" s="485"/>
      <c r="AT812" s="24"/>
      <c r="AU812" s="24"/>
      <c r="AV812" s="24"/>
      <c r="AW812" s="18">
        <v>24</v>
      </c>
      <c r="AX812" s="69" t="s">
        <v>296</v>
      </c>
      <c r="AY812" s="243" t="s">
        <v>187</v>
      </c>
      <c r="AZ812" s="243" t="str">
        <f t="shared" si="324"/>
        <v>Steelhead</v>
      </c>
      <c r="BA812" s="243" t="s">
        <v>419</v>
      </c>
      <c r="BB812" s="246"/>
      <c r="BC812" s="43" t="str">
        <f t="shared" si="325"/>
        <v>-</v>
      </c>
      <c r="BD812" s="43">
        <f t="shared" si="343"/>
        <v>0</v>
      </c>
      <c r="BE812" s="193">
        <f t="shared" si="341"/>
        <v>0</v>
      </c>
      <c r="BF812" s="193">
        <f t="shared" si="326"/>
        <v>0</v>
      </c>
      <c r="BG812" s="193">
        <f t="shared" si="327"/>
        <v>0</v>
      </c>
      <c r="BH812" s="307" t="str">
        <f t="shared" si="342"/>
        <v>-</v>
      </c>
      <c r="BI812" s="266"/>
      <c r="BJ812" s="26" t="str">
        <f t="shared" si="328"/>
        <v>ANGORA CREEKSteelhead</v>
      </c>
      <c r="BK812" s="26">
        <f t="shared" si="329"/>
        <v>0</v>
      </c>
      <c r="BL812" s="33">
        <f t="shared" si="345"/>
        <v>0</v>
      </c>
      <c r="BQ812" s="47" t="str">
        <f t="shared" si="330"/>
        <v>ANGORA CREEKSteelhead</v>
      </c>
      <c r="BR812" s="49">
        <f t="shared" si="331"/>
        <v>0</v>
      </c>
      <c r="BS812" s="49">
        <f t="shared" si="340"/>
        <v>0</v>
      </c>
      <c r="BT812" s="31">
        <v>0</v>
      </c>
      <c r="BU812" s="188">
        <f t="shared" si="332"/>
        <v>0</v>
      </c>
      <c r="BV812" s="188" t="str">
        <f t="shared" si="333"/>
        <v xml:space="preserve"> </v>
      </c>
      <c r="BW812" s="188" t="str">
        <f t="shared" si="334"/>
        <v xml:space="preserve"> </v>
      </c>
      <c r="BX812" s="188" t="str">
        <f t="shared" si="335"/>
        <v xml:space="preserve"> </v>
      </c>
      <c r="BY812" s="50" t="str">
        <f t="shared" si="323"/>
        <v>ANGORA CREEK_Steelhead</v>
      </c>
      <c r="BZ812" s="50" t="str">
        <f>IFERROR(VLOOKUP(BY812,'[1]WCVI Esc'!$C$5:$W$555,18,FALSE),"-")</f>
        <v>-</v>
      </c>
      <c r="CA812" s="50" t="str">
        <f t="shared" si="336"/>
        <v>-</v>
      </c>
      <c r="CB812" s="50" t="str">
        <f>IFERROR(VLOOKUP(BY812,'[1]WCVI Esc'!$C$5:$W$555,19,FALSE),"-")</f>
        <v>-</v>
      </c>
      <c r="CC812" s="50" t="str">
        <f t="shared" si="337"/>
        <v>-</v>
      </c>
      <c r="CE812" s="342" t="str">
        <f t="shared" si="322"/>
        <v>ANGORA CREEK_Steelhead</v>
      </c>
      <c r="CF812" s="341" t="str">
        <f>IFERROR(VLOOKUP(BY812,'RawPL+D'!$O$8:$AB$503,12,FALSE),"-")</f>
        <v>-</v>
      </c>
      <c r="CG812" s="338" t="str">
        <f t="shared" si="338"/>
        <v>-</v>
      </c>
      <c r="CH812" s="341" t="str">
        <f>IFERROR(VLOOKUP(BY812,'RawPL+D'!$O$8:$AB$503,13,FALSE),"-")</f>
        <v>-</v>
      </c>
      <c r="CI812" s="338" t="str">
        <f t="shared" si="339"/>
        <v>-</v>
      </c>
    </row>
    <row r="813" spans="1:87" ht="12.75" hidden="1" customHeight="1" x14ac:dyDescent="0.2">
      <c r="A813" s="28">
        <v>4</v>
      </c>
      <c r="B813" s="28">
        <v>1</v>
      </c>
      <c r="C813" s="11">
        <v>24</v>
      </c>
      <c r="D813" s="13" t="s">
        <v>296</v>
      </c>
      <c r="E813" s="10" t="s">
        <v>118</v>
      </c>
      <c r="F813" s="10" t="s">
        <v>207</v>
      </c>
      <c r="G813" s="10"/>
      <c r="H813" s="10"/>
      <c r="I813" s="10"/>
      <c r="J813" s="10"/>
      <c r="K813" s="575"/>
      <c r="L813" s="152"/>
      <c r="M813" s="164"/>
      <c r="N813" s="62"/>
      <c r="O813" s="62"/>
      <c r="P813" s="177"/>
      <c r="Q813" s="171"/>
      <c r="R813" s="62"/>
      <c r="S813" s="62"/>
      <c r="T813" s="62"/>
      <c r="U813" s="64"/>
      <c r="V813" s="164"/>
      <c r="W813" s="62"/>
      <c r="X813" s="62"/>
      <c r="Y813" s="62"/>
      <c r="Z813" s="64"/>
      <c r="AA813" s="164"/>
      <c r="AB813" s="62"/>
      <c r="AC813" s="62"/>
      <c r="AD813" s="64"/>
      <c r="AE813" s="164"/>
      <c r="AF813" s="62"/>
      <c r="AG813" s="64"/>
      <c r="AH813" s="337"/>
      <c r="AI813" s="337"/>
      <c r="AJ813" s="337"/>
      <c r="AK813" s="337"/>
      <c r="AL813" s="412"/>
      <c r="AM813" s="414"/>
      <c r="AN813" s="45"/>
      <c r="AO813" s="45"/>
      <c r="AP813" s="45"/>
      <c r="AQ813" s="485"/>
      <c r="AR813" s="100"/>
      <c r="AS813" s="485"/>
      <c r="AT813" s="24"/>
      <c r="AU813" s="24"/>
      <c r="AV813" s="24"/>
      <c r="AW813" s="18">
        <v>24</v>
      </c>
      <c r="AX813" s="69" t="s">
        <v>296</v>
      </c>
      <c r="AY813" s="243" t="s">
        <v>118</v>
      </c>
      <c r="AZ813" s="243" t="str">
        <f t="shared" si="324"/>
        <v>Sockeye</v>
      </c>
      <c r="BA813" s="243" t="s">
        <v>419</v>
      </c>
      <c r="BB813" s="244" t="s">
        <v>497</v>
      </c>
      <c r="BC813" s="43" t="str">
        <f t="shared" si="325"/>
        <v>-</v>
      </c>
      <c r="BD813" s="43">
        <f t="shared" si="343"/>
        <v>0</v>
      </c>
      <c r="BE813" s="193">
        <f t="shared" si="341"/>
        <v>0</v>
      </c>
      <c r="BF813" s="193">
        <f t="shared" si="326"/>
        <v>0</v>
      </c>
      <c r="BG813" s="193">
        <f t="shared" si="327"/>
        <v>0</v>
      </c>
      <c r="BH813" s="307" t="str">
        <f t="shared" si="342"/>
        <v>-</v>
      </c>
      <c r="BI813" s="266"/>
      <c r="BJ813" s="26" t="str">
        <f t="shared" si="328"/>
        <v>CLAYOQUOT ARM BEACHESSockeye</v>
      </c>
      <c r="BK813" s="26">
        <f t="shared" si="329"/>
        <v>0</v>
      </c>
      <c r="BL813" s="33">
        <f t="shared" si="345"/>
        <v>0</v>
      </c>
      <c r="BQ813" s="47" t="str">
        <f t="shared" si="330"/>
        <v>CLAYOQUOT ARM BEACHESSockeye</v>
      </c>
      <c r="BR813" s="49">
        <f t="shared" si="331"/>
        <v>0</v>
      </c>
      <c r="BS813" s="49">
        <f t="shared" si="340"/>
        <v>0</v>
      </c>
      <c r="BT813" s="31">
        <v>2010</v>
      </c>
      <c r="BU813" s="188" t="str">
        <f t="shared" si="332"/>
        <v>TSES</v>
      </c>
      <c r="BV813" s="188" t="str">
        <f t="shared" si="333"/>
        <v xml:space="preserve"> </v>
      </c>
      <c r="BW813" s="188" t="str">
        <f t="shared" si="334"/>
        <v xml:space="preserve"> </v>
      </c>
      <c r="BX813" s="188" t="str">
        <f t="shared" si="335"/>
        <v xml:space="preserve"> </v>
      </c>
      <c r="BY813" s="50" t="str">
        <f t="shared" si="323"/>
        <v>CLAYOQUOT ARM BEACHES_Sockeye</v>
      </c>
      <c r="BZ813" s="50" t="str">
        <f>IFERROR(VLOOKUP(BY813,'[1]WCVI Esc'!$C$5:$W$555,18,FALSE),"-")</f>
        <v>-</v>
      </c>
      <c r="CA813" s="50" t="str">
        <f t="shared" si="336"/>
        <v>-</v>
      </c>
      <c r="CB813" s="50" t="str">
        <f>IFERROR(VLOOKUP(BY813,'[1]WCVI Esc'!$C$5:$W$555,19,FALSE),"-")</f>
        <v>-</v>
      </c>
      <c r="CC813" s="50" t="str">
        <f t="shared" si="337"/>
        <v>-</v>
      </c>
      <c r="CE813" s="342" t="str">
        <f t="shared" si="322"/>
        <v>CLAYOQUOT ARM BEACHES_Sockeye</v>
      </c>
      <c r="CF813" s="341" t="str">
        <f>IFERROR(VLOOKUP(BY813,'RawPL+D'!$O$8:$AB$503,12,FALSE),"-")</f>
        <v>-</v>
      </c>
      <c r="CG813" s="338" t="str">
        <f t="shared" si="338"/>
        <v>-</v>
      </c>
      <c r="CH813" s="341" t="str">
        <f>IFERROR(VLOOKUP(BY813,'RawPL+D'!$O$8:$AB$503,13,FALSE),"-")</f>
        <v>-</v>
      </c>
      <c r="CI813" s="338" t="str">
        <f t="shared" si="339"/>
        <v>-</v>
      </c>
    </row>
    <row r="814" spans="1:87" ht="12.75" hidden="1" customHeight="1" x14ac:dyDescent="0.2">
      <c r="A814" s="28">
        <v>4</v>
      </c>
      <c r="B814" s="28">
        <v>2</v>
      </c>
      <c r="C814" s="11">
        <v>24</v>
      </c>
      <c r="D814" s="13" t="s">
        <v>296</v>
      </c>
      <c r="E814" s="10" t="s">
        <v>118</v>
      </c>
      <c r="F814" s="10" t="s">
        <v>219</v>
      </c>
      <c r="G814" s="10"/>
      <c r="H814" s="10"/>
      <c r="I814" s="10"/>
      <c r="J814" s="10"/>
      <c r="K814" s="575"/>
      <c r="L814" s="152"/>
      <c r="M814" s="164"/>
      <c r="N814" s="62"/>
      <c r="O814" s="62"/>
      <c r="P814" s="177"/>
      <c r="Q814" s="171"/>
      <c r="R814" s="62"/>
      <c r="S814" s="62"/>
      <c r="T814" s="62"/>
      <c r="U814" s="64"/>
      <c r="V814" s="164"/>
      <c r="W814" s="62"/>
      <c r="X814" s="62"/>
      <c r="Y814" s="62"/>
      <c r="Z814" s="64"/>
      <c r="AA814" s="164"/>
      <c r="AB814" s="62"/>
      <c r="AC814" s="62"/>
      <c r="AD814" s="64"/>
      <c r="AE814" s="164"/>
      <c r="AF814" s="62"/>
      <c r="AG814" s="64"/>
      <c r="AH814" s="337"/>
      <c r="AI814" s="337"/>
      <c r="AJ814" s="337"/>
      <c r="AK814" s="337"/>
      <c r="AL814" s="412"/>
      <c r="AM814" s="414"/>
      <c r="AN814" s="45"/>
      <c r="AO814" s="45"/>
      <c r="AP814" s="45"/>
      <c r="AQ814" s="485"/>
      <c r="AR814" s="100"/>
      <c r="AS814" s="485"/>
      <c r="AT814" s="24"/>
      <c r="AU814" s="24"/>
      <c r="AV814" s="24"/>
      <c r="AW814" s="18">
        <v>24</v>
      </c>
      <c r="AX814" s="69" t="s">
        <v>296</v>
      </c>
      <c r="AY814" s="243" t="s">
        <v>118</v>
      </c>
      <c r="AZ814" s="243" t="str">
        <f t="shared" si="324"/>
        <v>Coho</v>
      </c>
      <c r="BA814" s="243" t="s">
        <v>419</v>
      </c>
      <c r="BB814" s="244" t="s">
        <v>497</v>
      </c>
      <c r="BC814" s="43" t="str">
        <f t="shared" si="325"/>
        <v>-</v>
      </c>
      <c r="BD814" s="43">
        <f t="shared" si="343"/>
        <v>0</v>
      </c>
      <c r="BE814" s="193">
        <f t="shared" si="341"/>
        <v>0</v>
      </c>
      <c r="BF814" s="193">
        <f t="shared" si="326"/>
        <v>0</v>
      </c>
      <c r="BG814" s="193">
        <f t="shared" si="327"/>
        <v>0</v>
      </c>
      <c r="BH814" s="307" t="str">
        <f t="shared" si="342"/>
        <v>-</v>
      </c>
      <c r="BI814" s="266"/>
      <c r="BJ814" s="26" t="str">
        <f t="shared" si="328"/>
        <v>CLAYOQUOT ARM BEACHESCoho</v>
      </c>
      <c r="BK814" s="26">
        <f t="shared" si="329"/>
        <v>0</v>
      </c>
      <c r="BL814" s="33">
        <f t="shared" si="345"/>
        <v>0</v>
      </c>
      <c r="BQ814" s="47" t="str">
        <f t="shared" si="330"/>
        <v>CLAYOQUOT ARM BEACHESCoho</v>
      </c>
      <c r="BR814" s="49">
        <f t="shared" si="331"/>
        <v>0</v>
      </c>
      <c r="BS814" s="49">
        <f t="shared" si="340"/>
        <v>0</v>
      </c>
      <c r="BT814" s="31">
        <v>2002</v>
      </c>
      <c r="BU814" s="188" t="str">
        <f t="shared" si="332"/>
        <v>TSES</v>
      </c>
      <c r="BV814" s="188" t="str">
        <f t="shared" si="333"/>
        <v xml:space="preserve"> </v>
      </c>
      <c r="BW814" s="188" t="str">
        <f t="shared" si="334"/>
        <v xml:space="preserve"> </v>
      </c>
      <c r="BX814" s="188" t="str">
        <f t="shared" si="335"/>
        <v xml:space="preserve"> </v>
      </c>
      <c r="BY814" s="50" t="str">
        <f t="shared" si="323"/>
        <v>CLAYOQUOT ARM BEACHES_Coho</v>
      </c>
      <c r="BZ814" s="50" t="str">
        <f>IFERROR(VLOOKUP(BY814,'[1]WCVI Esc'!$C$5:$W$555,18,FALSE),"-")</f>
        <v>-</v>
      </c>
      <c r="CA814" s="50" t="str">
        <f t="shared" si="336"/>
        <v>-</v>
      </c>
      <c r="CB814" s="50" t="str">
        <f>IFERROR(VLOOKUP(BY814,'[1]WCVI Esc'!$C$5:$W$555,19,FALSE),"-")</f>
        <v>-</v>
      </c>
      <c r="CC814" s="50" t="str">
        <f t="shared" si="337"/>
        <v>-</v>
      </c>
      <c r="CE814" s="342" t="str">
        <f t="shared" si="322"/>
        <v>CLAYOQUOT ARM BEACHES_Coho</v>
      </c>
      <c r="CF814" s="341" t="str">
        <f>IFERROR(VLOOKUP(BY814,'RawPL+D'!$O$8:$AB$503,12,FALSE),"-")</f>
        <v>-</v>
      </c>
      <c r="CG814" s="338" t="str">
        <f t="shared" si="338"/>
        <v>-</v>
      </c>
      <c r="CH814" s="341" t="str">
        <f>IFERROR(VLOOKUP(BY814,'RawPL+D'!$O$8:$AB$503,13,FALSE),"-")</f>
        <v>-</v>
      </c>
      <c r="CI814" s="338" t="str">
        <f t="shared" si="339"/>
        <v>-</v>
      </c>
    </row>
    <row r="815" spans="1:87" ht="12.75" hidden="1" customHeight="1" x14ac:dyDescent="0.2">
      <c r="A815" s="28">
        <v>4</v>
      </c>
      <c r="B815" s="28">
        <v>3</v>
      </c>
      <c r="C815" s="11">
        <v>24</v>
      </c>
      <c r="D815" s="13" t="s">
        <v>296</v>
      </c>
      <c r="E815" s="10" t="s">
        <v>118</v>
      </c>
      <c r="F815" s="10" t="s">
        <v>208</v>
      </c>
      <c r="G815" s="10"/>
      <c r="H815" s="10"/>
      <c r="I815" s="10"/>
      <c r="J815" s="10"/>
      <c r="K815" s="575"/>
      <c r="L815" s="152"/>
      <c r="M815" s="164"/>
      <c r="N815" s="62"/>
      <c r="O815" s="62"/>
      <c r="P815" s="177"/>
      <c r="Q815" s="171"/>
      <c r="R815" s="62"/>
      <c r="S815" s="62"/>
      <c r="T815" s="62"/>
      <c r="U815" s="64"/>
      <c r="V815" s="164"/>
      <c r="W815" s="62"/>
      <c r="X815" s="62"/>
      <c r="Y815" s="62"/>
      <c r="Z815" s="64"/>
      <c r="AA815" s="164"/>
      <c r="AB815" s="62"/>
      <c r="AC815" s="62"/>
      <c r="AD815" s="64"/>
      <c r="AE815" s="164"/>
      <c r="AF815" s="62"/>
      <c r="AG815" s="64"/>
      <c r="AH815" s="337"/>
      <c r="AI815" s="337"/>
      <c r="AJ815" s="337"/>
      <c r="AK815" s="337"/>
      <c r="AL815" s="412"/>
      <c r="AM815" s="414"/>
      <c r="AN815" s="45"/>
      <c r="AO815" s="45"/>
      <c r="AP815" s="45"/>
      <c r="AQ815" s="485"/>
      <c r="AR815" s="100"/>
      <c r="AS815" s="485"/>
      <c r="AT815" s="24"/>
      <c r="AU815" s="24"/>
      <c r="AV815" s="24"/>
      <c r="AW815" s="18">
        <v>24</v>
      </c>
      <c r="AX815" s="69" t="s">
        <v>296</v>
      </c>
      <c r="AY815" s="243" t="s">
        <v>118</v>
      </c>
      <c r="AZ815" s="243" t="str">
        <f t="shared" si="324"/>
        <v>Pink</v>
      </c>
      <c r="BA815" s="243" t="s">
        <v>419</v>
      </c>
      <c r="BB815" s="244" t="s">
        <v>497</v>
      </c>
      <c r="BC815" s="43" t="str">
        <f t="shared" si="325"/>
        <v>-</v>
      </c>
      <c r="BD815" s="43">
        <f t="shared" si="343"/>
        <v>0</v>
      </c>
      <c r="BE815" s="193">
        <f t="shared" si="341"/>
        <v>0</v>
      </c>
      <c r="BF815" s="193">
        <f t="shared" si="326"/>
        <v>0</v>
      </c>
      <c r="BG815" s="193">
        <f t="shared" si="327"/>
        <v>0</v>
      </c>
      <c r="BH815" s="307" t="str">
        <f t="shared" si="342"/>
        <v>-</v>
      </c>
      <c r="BI815" s="266"/>
      <c r="BJ815" s="26" t="str">
        <f t="shared" si="328"/>
        <v>CLAYOQUOT ARM BEACHESPink</v>
      </c>
      <c r="BK815" s="26">
        <f t="shared" si="329"/>
        <v>0</v>
      </c>
      <c r="BL815" s="33">
        <f t="shared" si="345"/>
        <v>0</v>
      </c>
      <c r="BQ815" s="47" t="str">
        <f t="shared" si="330"/>
        <v>CLAYOQUOT ARM BEACHESPink</v>
      </c>
      <c r="BR815" s="49">
        <f t="shared" si="331"/>
        <v>0</v>
      </c>
      <c r="BS815" s="49">
        <f t="shared" si="340"/>
        <v>0</v>
      </c>
      <c r="BT815" s="31">
        <v>0</v>
      </c>
      <c r="BU815" s="188" t="str">
        <f t="shared" si="332"/>
        <v>TSES</v>
      </c>
      <c r="BV815" s="188" t="str">
        <f t="shared" si="333"/>
        <v xml:space="preserve"> </v>
      </c>
      <c r="BW815" s="188" t="str">
        <f t="shared" si="334"/>
        <v xml:space="preserve"> </v>
      </c>
      <c r="BX815" s="188" t="str">
        <f t="shared" si="335"/>
        <v xml:space="preserve"> </v>
      </c>
      <c r="BY815" s="50" t="str">
        <f t="shared" si="323"/>
        <v>CLAYOQUOT ARM BEACHES_Pink</v>
      </c>
      <c r="BZ815" s="50" t="str">
        <f>IFERROR(VLOOKUP(BY815,'[1]WCVI Esc'!$C$5:$W$555,18,FALSE),"-")</f>
        <v>-</v>
      </c>
      <c r="CA815" s="50" t="str">
        <f t="shared" si="336"/>
        <v>-</v>
      </c>
      <c r="CB815" s="50" t="str">
        <f>IFERROR(VLOOKUP(BY815,'[1]WCVI Esc'!$C$5:$W$555,19,FALSE),"-")</f>
        <v>-</v>
      </c>
      <c r="CC815" s="50" t="str">
        <f t="shared" si="337"/>
        <v>-</v>
      </c>
      <c r="CE815" s="342" t="str">
        <f t="shared" si="322"/>
        <v>CLAYOQUOT ARM BEACHES_Pink</v>
      </c>
      <c r="CF815" s="341" t="str">
        <f>IFERROR(VLOOKUP(BY815,'RawPL+D'!$O$8:$AB$503,12,FALSE),"-")</f>
        <v>-</v>
      </c>
      <c r="CG815" s="338" t="str">
        <f t="shared" si="338"/>
        <v>-</v>
      </c>
      <c r="CH815" s="341" t="str">
        <f>IFERROR(VLOOKUP(BY815,'RawPL+D'!$O$8:$AB$503,13,FALSE),"-")</f>
        <v>-</v>
      </c>
      <c r="CI815" s="338" t="str">
        <f t="shared" si="339"/>
        <v>-</v>
      </c>
    </row>
    <row r="816" spans="1:87" ht="12.75" hidden="1" customHeight="1" x14ac:dyDescent="0.2">
      <c r="A816" s="28">
        <v>4</v>
      </c>
      <c r="B816" s="28">
        <v>4</v>
      </c>
      <c r="C816" s="11">
        <v>24</v>
      </c>
      <c r="D816" s="13" t="s">
        <v>296</v>
      </c>
      <c r="E816" s="10" t="s">
        <v>118</v>
      </c>
      <c r="F816" s="10" t="s">
        <v>209</v>
      </c>
      <c r="G816" s="10"/>
      <c r="H816" s="10"/>
      <c r="I816" s="10"/>
      <c r="J816" s="10"/>
      <c r="K816" s="575"/>
      <c r="L816" s="152"/>
      <c r="M816" s="164"/>
      <c r="N816" s="62"/>
      <c r="O816" s="62"/>
      <c r="P816" s="177"/>
      <c r="Q816" s="171"/>
      <c r="R816" s="62"/>
      <c r="S816" s="62"/>
      <c r="T816" s="62"/>
      <c r="U816" s="64"/>
      <c r="V816" s="164"/>
      <c r="W816" s="62"/>
      <c r="X816" s="62"/>
      <c r="Y816" s="62"/>
      <c r="Z816" s="64"/>
      <c r="AA816" s="164"/>
      <c r="AB816" s="62"/>
      <c r="AC816" s="62"/>
      <c r="AD816" s="64"/>
      <c r="AE816" s="164"/>
      <c r="AF816" s="62"/>
      <c r="AG816" s="64"/>
      <c r="AH816" s="337"/>
      <c r="AI816" s="337"/>
      <c r="AJ816" s="337"/>
      <c r="AK816" s="337"/>
      <c r="AL816" s="412"/>
      <c r="AM816" s="414"/>
      <c r="AN816" s="45"/>
      <c r="AO816" s="45"/>
      <c r="AP816" s="45"/>
      <c r="AQ816" s="485"/>
      <c r="AR816" s="100"/>
      <c r="AS816" s="485"/>
      <c r="AT816" s="24"/>
      <c r="AU816" s="24"/>
      <c r="AV816" s="24"/>
      <c r="AW816" s="18">
        <v>24</v>
      </c>
      <c r="AX816" s="69" t="s">
        <v>296</v>
      </c>
      <c r="AY816" s="243" t="s">
        <v>118</v>
      </c>
      <c r="AZ816" s="243" t="str">
        <f t="shared" si="324"/>
        <v>Chum</v>
      </c>
      <c r="BA816" s="243" t="s">
        <v>419</v>
      </c>
      <c r="BB816" s="244" t="s">
        <v>497</v>
      </c>
      <c r="BC816" s="43" t="str">
        <f t="shared" si="325"/>
        <v>-</v>
      </c>
      <c r="BD816" s="43">
        <f t="shared" si="343"/>
        <v>0</v>
      </c>
      <c r="BE816" s="193">
        <f t="shared" si="341"/>
        <v>0</v>
      </c>
      <c r="BF816" s="193">
        <f t="shared" si="326"/>
        <v>0</v>
      </c>
      <c r="BG816" s="193">
        <f t="shared" si="327"/>
        <v>0</v>
      </c>
      <c r="BH816" s="307" t="str">
        <f t="shared" si="342"/>
        <v>-</v>
      </c>
      <c r="BI816" s="266"/>
      <c r="BJ816" s="26" t="str">
        <f t="shared" si="328"/>
        <v>CLAYOQUOT ARM BEACHESChum</v>
      </c>
      <c r="BK816" s="26">
        <f t="shared" si="329"/>
        <v>0</v>
      </c>
      <c r="BL816" s="33">
        <f t="shared" si="345"/>
        <v>0</v>
      </c>
      <c r="BQ816" s="47" t="str">
        <f t="shared" si="330"/>
        <v>CLAYOQUOT ARM BEACHESChum</v>
      </c>
      <c r="BR816" s="49">
        <f t="shared" si="331"/>
        <v>0</v>
      </c>
      <c r="BS816" s="49">
        <f t="shared" si="340"/>
        <v>0</v>
      </c>
      <c r="BT816" s="31">
        <v>2002</v>
      </c>
      <c r="BU816" s="188" t="str">
        <f t="shared" si="332"/>
        <v>TSES</v>
      </c>
      <c r="BV816" s="188" t="str">
        <f t="shared" si="333"/>
        <v xml:space="preserve"> </v>
      </c>
      <c r="BW816" s="188" t="str">
        <f t="shared" si="334"/>
        <v xml:space="preserve"> </v>
      </c>
      <c r="BX816" s="188" t="str">
        <f t="shared" si="335"/>
        <v xml:space="preserve"> </v>
      </c>
      <c r="BY816" s="50" t="str">
        <f t="shared" si="323"/>
        <v>CLAYOQUOT ARM BEACHES_Chum</v>
      </c>
      <c r="BZ816" s="50" t="str">
        <f>IFERROR(VLOOKUP(BY816,'[1]WCVI Esc'!$C$5:$W$555,18,FALSE),"-")</f>
        <v>-</v>
      </c>
      <c r="CA816" s="50" t="str">
        <f t="shared" si="336"/>
        <v>-</v>
      </c>
      <c r="CB816" s="50" t="str">
        <f>IFERROR(VLOOKUP(BY816,'[1]WCVI Esc'!$C$5:$W$555,19,FALSE),"-")</f>
        <v>-</v>
      </c>
      <c r="CC816" s="50" t="str">
        <f t="shared" si="337"/>
        <v>-</v>
      </c>
      <c r="CE816" s="342" t="str">
        <f t="shared" si="322"/>
        <v>CLAYOQUOT ARM BEACHES_Chum</v>
      </c>
      <c r="CF816" s="341" t="str">
        <f>IFERROR(VLOOKUP(BY816,'RawPL+D'!$O$8:$AB$503,12,FALSE),"-")</f>
        <v>-</v>
      </c>
      <c r="CG816" s="338" t="str">
        <f t="shared" si="338"/>
        <v>-</v>
      </c>
      <c r="CH816" s="341" t="str">
        <f>IFERROR(VLOOKUP(BY816,'RawPL+D'!$O$8:$AB$503,13,FALSE),"-")</f>
        <v>-</v>
      </c>
      <c r="CI816" s="338" t="str">
        <f t="shared" si="339"/>
        <v>-</v>
      </c>
    </row>
    <row r="817" spans="1:87" ht="12.75" hidden="1" customHeight="1" x14ac:dyDescent="0.2">
      <c r="A817" s="28">
        <v>4</v>
      </c>
      <c r="B817" s="28">
        <v>5</v>
      </c>
      <c r="C817" s="11">
        <v>24</v>
      </c>
      <c r="D817" s="13" t="s">
        <v>296</v>
      </c>
      <c r="E817" s="10" t="s">
        <v>118</v>
      </c>
      <c r="F817" s="10" t="s">
        <v>210</v>
      </c>
      <c r="G817" s="10"/>
      <c r="H817" s="10"/>
      <c r="I817" s="10"/>
      <c r="J817" s="10"/>
      <c r="K817" s="575"/>
      <c r="L817" s="152"/>
      <c r="M817" s="164"/>
      <c r="N817" s="62"/>
      <c r="O817" s="62"/>
      <c r="P817" s="177"/>
      <c r="Q817" s="171"/>
      <c r="R817" s="62"/>
      <c r="S817" s="62"/>
      <c r="T817" s="62"/>
      <c r="U817" s="64"/>
      <c r="V817" s="164"/>
      <c r="W817" s="62"/>
      <c r="X817" s="62"/>
      <c r="Y817" s="62"/>
      <c r="Z817" s="64"/>
      <c r="AA817" s="164"/>
      <c r="AB817" s="62"/>
      <c r="AC817" s="62"/>
      <c r="AD817" s="64"/>
      <c r="AE817" s="164"/>
      <c r="AF817" s="62"/>
      <c r="AG817" s="64"/>
      <c r="AH817" s="337"/>
      <c r="AI817" s="337"/>
      <c r="AJ817" s="337"/>
      <c r="AK817" s="337"/>
      <c r="AL817" s="412"/>
      <c r="AM817" s="414"/>
      <c r="AN817" s="45"/>
      <c r="AO817" s="45"/>
      <c r="AP817" s="45"/>
      <c r="AQ817" s="485"/>
      <c r="AR817"/>
      <c r="AS817" s="485"/>
      <c r="AT817" s="24"/>
      <c r="AU817" s="24"/>
      <c r="AV817" s="24"/>
      <c r="AW817" s="18">
        <v>24</v>
      </c>
      <c r="AX817" s="69" t="s">
        <v>296</v>
      </c>
      <c r="AY817" s="243" t="s">
        <v>118</v>
      </c>
      <c r="AZ817" s="243" t="str">
        <f t="shared" si="324"/>
        <v>Chinook</v>
      </c>
      <c r="BA817" s="243" t="s">
        <v>419</v>
      </c>
      <c r="BB817" s="244" t="s">
        <v>497</v>
      </c>
      <c r="BC817" s="43" t="str">
        <f t="shared" si="325"/>
        <v>-</v>
      </c>
      <c r="BD817" s="43">
        <f t="shared" si="343"/>
        <v>0</v>
      </c>
      <c r="BE817" s="193">
        <f t="shared" si="341"/>
        <v>0</v>
      </c>
      <c r="BF817" s="193">
        <f t="shared" si="326"/>
        <v>0</v>
      </c>
      <c r="BG817" s="193">
        <f t="shared" si="327"/>
        <v>0</v>
      </c>
      <c r="BH817" s="307" t="str">
        <f t="shared" si="342"/>
        <v>-</v>
      </c>
      <c r="BI817" s="266"/>
      <c r="BJ817" s="26" t="str">
        <f t="shared" si="328"/>
        <v>CLAYOQUOT ARM BEACHESChinook</v>
      </c>
      <c r="BK817" s="26">
        <f t="shared" si="329"/>
        <v>0</v>
      </c>
      <c r="BL817" s="33">
        <f t="shared" si="345"/>
        <v>0</v>
      </c>
      <c r="BQ817" s="47" t="str">
        <f t="shared" si="330"/>
        <v>CLAYOQUOT ARM BEACHESChinook</v>
      </c>
      <c r="BR817" s="49">
        <f t="shared" si="331"/>
        <v>0</v>
      </c>
      <c r="BS817" s="49">
        <f t="shared" si="340"/>
        <v>0</v>
      </c>
      <c r="BT817" s="31">
        <v>2002</v>
      </c>
      <c r="BU817" s="188" t="str">
        <f t="shared" si="332"/>
        <v>TSES</v>
      </c>
      <c r="BV817" s="188" t="str">
        <f t="shared" si="333"/>
        <v xml:space="preserve"> </v>
      </c>
      <c r="BW817" s="188" t="str">
        <f t="shared" si="334"/>
        <v xml:space="preserve"> </v>
      </c>
      <c r="BX817" s="188" t="str">
        <f t="shared" si="335"/>
        <v xml:space="preserve"> </v>
      </c>
      <c r="BY817" s="50" t="str">
        <f t="shared" si="323"/>
        <v>CLAYOQUOT ARM BEACHES_Chinook</v>
      </c>
      <c r="BZ817" s="50" t="str">
        <f>IFERROR(VLOOKUP(BY817,'[1]WCVI Esc'!$C$5:$W$555,18,FALSE),"-")</f>
        <v>-</v>
      </c>
      <c r="CA817" s="50" t="str">
        <f t="shared" si="336"/>
        <v>-</v>
      </c>
      <c r="CB817" s="50" t="str">
        <f>IFERROR(VLOOKUP(BY817,'[1]WCVI Esc'!$C$5:$W$555,19,FALSE),"-")</f>
        <v>-</v>
      </c>
      <c r="CC817" s="50" t="str">
        <f t="shared" si="337"/>
        <v>-</v>
      </c>
      <c r="CE817" s="342" t="str">
        <f t="shared" si="322"/>
        <v>CLAYOQUOT ARM BEACHES_Chinook</v>
      </c>
      <c r="CF817" s="341" t="str">
        <f>IFERROR(VLOOKUP(BY817,'RawPL+D'!$O$8:$AB$503,12,FALSE),"-")</f>
        <v>-</v>
      </c>
      <c r="CG817" s="338" t="str">
        <f t="shared" si="338"/>
        <v>-</v>
      </c>
      <c r="CH817" s="341" t="str">
        <f>IFERROR(VLOOKUP(BY817,'RawPL+D'!$O$8:$AB$503,13,FALSE),"-")</f>
        <v>-</v>
      </c>
      <c r="CI817" s="338" t="str">
        <f t="shared" si="339"/>
        <v>-</v>
      </c>
    </row>
    <row r="818" spans="1:87" ht="12.75" hidden="1" customHeight="1" x14ac:dyDescent="0.2">
      <c r="A818" s="28">
        <v>4</v>
      </c>
      <c r="B818" s="28">
        <v>6</v>
      </c>
      <c r="C818" s="11">
        <v>24</v>
      </c>
      <c r="D818" s="13" t="s">
        <v>296</v>
      </c>
      <c r="E818" s="10" t="s">
        <v>118</v>
      </c>
      <c r="F818" s="10" t="s">
        <v>211</v>
      </c>
      <c r="G818" s="10"/>
      <c r="H818" s="10"/>
      <c r="I818" s="10"/>
      <c r="J818" s="10"/>
      <c r="K818" s="575"/>
      <c r="L818" s="152"/>
      <c r="M818" s="164"/>
      <c r="N818" s="62"/>
      <c r="O818" s="62"/>
      <c r="P818" s="177"/>
      <c r="Q818" s="171"/>
      <c r="R818" s="62"/>
      <c r="S818" s="62"/>
      <c r="T818" s="62"/>
      <c r="U818" s="64"/>
      <c r="V818" s="164"/>
      <c r="W818" s="62"/>
      <c r="X818" s="62"/>
      <c r="Y818" s="62"/>
      <c r="Z818" s="64"/>
      <c r="AA818" s="164"/>
      <c r="AB818" s="62"/>
      <c r="AC818" s="62"/>
      <c r="AD818" s="64"/>
      <c r="AE818" s="164"/>
      <c r="AF818" s="62"/>
      <c r="AG818" s="64"/>
      <c r="AH818" s="337"/>
      <c r="AI818" s="337"/>
      <c r="AJ818" s="337"/>
      <c r="AK818" s="337"/>
      <c r="AL818" s="412"/>
      <c r="AM818" s="414"/>
      <c r="AN818" s="45"/>
      <c r="AO818" s="45"/>
      <c r="AP818" s="45"/>
      <c r="AQ818" s="485"/>
      <c r="AR818" s="100"/>
      <c r="AS818" s="485"/>
      <c r="AT818" s="24"/>
      <c r="AU818" s="24"/>
      <c r="AV818" s="24"/>
      <c r="AW818" s="18">
        <v>24</v>
      </c>
      <c r="AX818" s="69" t="s">
        <v>296</v>
      </c>
      <c r="AY818" s="243" t="s">
        <v>118</v>
      </c>
      <c r="AZ818" s="243" t="str">
        <f t="shared" si="324"/>
        <v>Steelhead</v>
      </c>
      <c r="BA818" s="243" t="s">
        <v>419</v>
      </c>
      <c r="BB818" s="244" t="s">
        <v>497</v>
      </c>
      <c r="BC818" s="43" t="str">
        <f t="shared" si="325"/>
        <v>-</v>
      </c>
      <c r="BD818" s="43">
        <f t="shared" si="343"/>
        <v>0</v>
      </c>
      <c r="BE818" s="193">
        <f t="shared" si="341"/>
        <v>0</v>
      </c>
      <c r="BF818" s="193">
        <f t="shared" si="326"/>
        <v>0</v>
      </c>
      <c r="BG818" s="193">
        <f t="shared" si="327"/>
        <v>0</v>
      </c>
      <c r="BH818" s="307" t="str">
        <f t="shared" si="342"/>
        <v>-</v>
      </c>
      <c r="BI818" s="266"/>
      <c r="BJ818" s="26" t="str">
        <f t="shared" si="328"/>
        <v>CLAYOQUOT ARM BEACHESSteelhead</v>
      </c>
      <c r="BK818" s="26">
        <f t="shared" si="329"/>
        <v>0</v>
      </c>
      <c r="BL818" s="33">
        <f t="shared" si="345"/>
        <v>0</v>
      </c>
      <c r="BQ818" s="47" t="str">
        <f t="shared" si="330"/>
        <v>CLAYOQUOT ARM BEACHESSteelhead</v>
      </c>
      <c r="BR818" s="49">
        <f t="shared" si="331"/>
        <v>0</v>
      </c>
      <c r="BS818" s="49">
        <f t="shared" si="340"/>
        <v>0</v>
      </c>
      <c r="BT818" s="31">
        <v>0</v>
      </c>
      <c r="BU818" s="188" t="str">
        <f t="shared" si="332"/>
        <v>TSES</v>
      </c>
      <c r="BV818" s="188" t="str">
        <f t="shared" si="333"/>
        <v xml:space="preserve"> </v>
      </c>
      <c r="BW818" s="188" t="str">
        <f t="shared" si="334"/>
        <v xml:space="preserve"> </v>
      </c>
      <c r="BX818" s="188" t="str">
        <f t="shared" si="335"/>
        <v xml:space="preserve"> </v>
      </c>
      <c r="BY818" s="50" t="str">
        <f t="shared" si="323"/>
        <v>CLAYOQUOT ARM BEACHES_Steelhead</v>
      </c>
      <c r="BZ818" s="50" t="str">
        <f>IFERROR(VLOOKUP(BY818,'[1]WCVI Esc'!$C$5:$W$555,18,FALSE),"-")</f>
        <v>-</v>
      </c>
      <c r="CA818" s="50" t="str">
        <f t="shared" si="336"/>
        <v>-</v>
      </c>
      <c r="CB818" s="50" t="str">
        <f>IFERROR(VLOOKUP(BY818,'[1]WCVI Esc'!$C$5:$W$555,19,FALSE),"-")</f>
        <v>-</v>
      </c>
      <c r="CC818" s="50" t="str">
        <f t="shared" si="337"/>
        <v>-</v>
      </c>
      <c r="CE818" s="342" t="str">
        <f t="shared" si="322"/>
        <v>CLAYOQUOT ARM BEACHES_Steelhead</v>
      </c>
      <c r="CF818" s="341" t="str">
        <f>IFERROR(VLOOKUP(BY818,'RawPL+D'!$O$8:$AB$503,12,FALSE),"-")</f>
        <v>-</v>
      </c>
      <c r="CG818" s="338" t="str">
        <f t="shared" si="338"/>
        <v>-</v>
      </c>
      <c r="CH818" s="341" t="str">
        <f>IFERROR(VLOOKUP(BY818,'RawPL+D'!$O$8:$AB$503,13,FALSE),"-")</f>
        <v>-</v>
      </c>
      <c r="CI818" s="338" t="str">
        <f t="shared" si="339"/>
        <v>-</v>
      </c>
    </row>
    <row r="819" spans="1:87" ht="12.75" hidden="1" customHeight="1" x14ac:dyDescent="0.2">
      <c r="A819" s="28">
        <v>4</v>
      </c>
      <c r="B819" s="28">
        <v>1</v>
      </c>
      <c r="C819" s="11">
        <v>24</v>
      </c>
      <c r="D819" s="13" t="s">
        <v>296</v>
      </c>
      <c r="E819" s="10" t="s">
        <v>36</v>
      </c>
      <c r="F819" s="10" t="s">
        <v>207</v>
      </c>
      <c r="G819" s="10"/>
      <c r="H819" s="10"/>
      <c r="I819" s="10"/>
      <c r="J819" s="10"/>
      <c r="K819" s="848">
        <v>0</v>
      </c>
      <c r="L819" s="152"/>
      <c r="M819" s="164"/>
      <c r="N819" s="62"/>
      <c r="O819" s="62"/>
      <c r="P819" s="177"/>
      <c r="Q819" s="171"/>
      <c r="R819" s="62"/>
      <c r="S819" s="62"/>
      <c r="T819" s="62"/>
      <c r="U819" s="64"/>
      <c r="V819" s="164"/>
      <c r="W819" s="62"/>
      <c r="X819" s="62"/>
      <c r="Y819" s="62"/>
      <c r="Z819" s="64"/>
      <c r="AA819" s="164"/>
      <c r="AB819" s="62"/>
      <c r="AC819" s="62"/>
      <c r="AD819" s="64"/>
      <c r="AE819" s="164"/>
      <c r="AF819" s="62"/>
      <c r="AG819" s="64"/>
      <c r="AH819" s="337">
        <v>0</v>
      </c>
      <c r="AI819" s="337">
        <v>0</v>
      </c>
      <c r="AJ819" s="337">
        <v>0</v>
      </c>
      <c r="AK819" s="337">
        <v>0</v>
      </c>
      <c r="AL819" s="555">
        <v>0</v>
      </c>
      <c r="AM819" s="552">
        <v>0</v>
      </c>
      <c r="AN819" s="552" t="s">
        <v>765</v>
      </c>
      <c r="AO819" s="552" t="s">
        <v>772</v>
      </c>
      <c r="AP819" s="45"/>
      <c r="AQ819" s="485">
        <f>AL819/BI819</f>
        <v>0</v>
      </c>
      <c r="AR819" s="100">
        <f>BL819/BI819</f>
        <v>0</v>
      </c>
      <c r="AS819" s="485"/>
      <c r="AT819" s="24"/>
      <c r="AU819" s="24"/>
      <c r="AV819" s="24"/>
      <c r="AW819" s="18">
        <v>24</v>
      </c>
      <c r="AX819" s="69" t="s">
        <v>296</v>
      </c>
      <c r="AY819" s="243" t="s">
        <v>36</v>
      </c>
      <c r="AZ819" s="243" t="str">
        <f t="shared" si="324"/>
        <v>Sockeye</v>
      </c>
      <c r="BA819" s="243" t="s">
        <v>419</v>
      </c>
      <c r="BB819" s="246" t="s">
        <v>497</v>
      </c>
      <c r="BC819" s="43" t="str">
        <f t="shared" si="325"/>
        <v>Aug 20-26</v>
      </c>
      <c r="BD819" s="43">
        <f t="shared" si="343"/>
        <v>1</v>
      </c>
      <c r="BE819" s="193">
        <f t="shared" si="341"/>
        <v>0</v>
      </c>
      <c r="BF819" s="193">
        <f t="shared" si="326"/>
        <v>0</v>
      </c>
      <c r="BG819" s="193">
        <f t="shared" si="327"/>
        <v>0</v>
      </c>
      <c r="BH819" s="307">
        <f t="shared" si="342"/>
        <v>1610</v>
      </c>
      <c r="BI819" s="265">
        <f>CC819</f>
        <v>1570</v>
      </c>
      <c r="BJ819" s="26" t="str">
        <f t="shared" si="328"/>
        <v>CLAYOQUOT RIVERSockeye</v>
      </c>
      <c r="BK819" s="26">
        <f t="shared" si="329"/>
        <v>1</v>
      </c>
      <c r="BL819" s="33">
        <f t="shared" si="345"/>
        <v>0</v>
      </c>
      <c r="BQ819" s="47" t="str">
        <f t="shared" si="330"/>
        <v>CLAYOQUOT RIVERSockeye</v>
      </c>
      <c r="BR819" s="49">
        <f t="shared" si="331"/>
        <v>0</v>
      </c>
      <c r="BS819" s="49">
        <f t="shared" si="340"/>
        <v>0</v>
      </c>
      <c r="BT819" s="31">
        <v>2010</v>
      </c>
      <c r="BU819" s="188" t="str">
        <f t="shared" si="332"/>
        <v>TSES</v>
      </c>
      <c r="BV819" s="188" t="str">
        <f t="shared" si="333"/>
        <v>Aug 20-26</v>
      </c>
      <c r="BW819" s="188" t="str">
        <f t="shared" si="334"/>
        <v xml:space="preserve"> </v>
      </c>
      <c r="BX819" s="188" t="str">
        <f t="shared" si="335"/>
        <v xml:space="preserve"> </v>
      </c>
      <c r="BY819" s="50" t="str">
        <f t="shared" si="323"/>
        <v>CLAYOQUOT RIVER_Sockeye</v>
      </c>
      <c r="BZ819" s="50">
        <f>IFERROR(VLOOKUP(BY819,'[1]WCVI Esc'!$C$5:$W$555,18,FALSE),"-")</f>
        <v>1970</v>
      </c>
      <c r="CA819" s="50">
        <f t="shared" si="336"/>
        <v>1970</v>
      </c>
      <c r="CB819" s="50">
        <f>IFERROR(VLOOKUP(BY819,'[1]WCVI Esc'!$C$5:$W$555,19,FALSE),"-")</f>
        <v>1567.3333333333333</v>
      </c>
      <c r="CC819" s="50">
        <f t="shared" si="337"/>
        <v>1570</v>
      </c>
      <c r="CE819" s="342" t="str">
        <f t="shared" si="322"/>
        <v>CLAYOQUOT RIVER_Sockeye</v>
      </c>
      <c r="CF819" s="341">
        <f>IFERROR(VLOOKUP(BY819,'RawPL+D'!$O$8:$AB$503,12,FALSE),"-")</f>
        <v>1619</v>
      </c>
      <c r="CG819" s="338">
        <f t="shared" si="338"/>
        <v>1620</v>
      </c>
      <c r="CH819" s="341">
        <f>IFERROR(VLOOKUP(BY819,'RawPL+D'!$O$8:$AB$503,13,FALSE),"-")</f>
        <v>1614</v>
      </c>
      <c r="CI819" s="338">
        <f t="shared" si="339"/>
        <v>1610</v>
      </c>
    </row>
    <row r="820" spans="1:87" ht="12.75" hidden="1" customHeight="1" x14ac:dyDescent="0.2">
      <c r="A820" s="28">
        <v>4</v>
      </c>
      <c r="B820" s="28">
        <v>2</v>
      </c>
      <c r="C820" s="11">
        <v>24</v>
      </c>
      <c r="D820" s="13" t="s">
        <v>296</v>
      </c>
      <c r="E820" s="10" t="s">
        <v>36</v>
      </c>
      <c r="F820" s="10" t="s">
        <v>219</v>
      </c>
      <c r="G820" s="10"/>
      <c r="H820" s="10"/>
      <c r="I820" s="10"/>
      <c r="J820" s="10"/>
      <c r="K820" s="848">
        <v>260</v>
      </c>
      <c r="L820" s="152"/>
      <c r="M820" s="164"/>
      <c r="N820" s="62"/>
      <c r="O820" s="62"/>
      <c r="P820" s="177"/>
      <c r="Q820" s="171"/>
      <c r="R820" s="62"/>
      <c r="S820" s="62"/>
      <c r="T820" s="62"/>
      <c r="U820" s="64"/>
      <c r="V820" s="164"/>
      <c r="W820" s="62"/>
      <c r="X820" s="62"/>
      <c r="Y820" s="62"/>
      <c r="Z820" s="64"/>
      <c r="AA820" s="164"/>
      <c r="AB820" s="62"/>
      <c r="AC820" s="62"/>
      <c r="AD820" s="64"/>
      <c r="AE820" s="164"/>
      <c r="AF820" s="62"/>
      <c r="AG820" s="64"/>
      <c r="AH820" s="337">
        <v>325</v>
      </c>
      <c r="AI820" s="337">
        <v>0</v>
      </c>
      <c r="AJ820" s="337">
        <v>0</v>
      </c>
      <c r="AK820" s="337">
        <v>0</v>
      </c>
      <c r="AL820" s="555">
        <v>325</v>
      </c>
      <c r="AM820" s="552">
        <v>325</v>
      </c>
      <c r="AN820" s="552" t="s">
        <v>765</v>
      </c>
      <c r="AO820" s="552" t="s">
        <v>772</v>
      </c>
      <c r="AP820" s="45"/>
      <c r="AQ820" s="485"/>
      <c r="AR820" s="100"/>
      <c r="AS820" s="485"/>
      <c r="AT820" s="24"/>
      <c r="AU820" s="24"/>
      <c r="AV820" s="24"/>
      <c r="AW820" s="18">
        <v>24</v>
      </c>
      <c r="AX820" s="69" t="s">
        <v>296</v>
      </c>
      <c r="AY820" s="243" t="s">
        <v>36</v>
      </c>
      <c r="AZ820" s="243" t="str">
        <f t="shared" si="324"/>
        <v>Coho</v>
      </c>
      <c r="BA820" s="243" t="s">
        <v>419</v>
      </c>
      <c r="BB820" s="246" t="s">
        <v>497</v>
      </c>
      <c r="BC820" s="43" t="str">
        <f t="shared" si="325"/>
        <v>Aug 20-26</v>
      </c>
      <c r="BD820" s="43">
        <f t="shared" si="343"/>
        <v>1</v>
      </c>
      <c r="BE820" s="193">
        <f t="shared" si="341"/>
        <v>260</v>
      </c>
      <c r="BF820" s="193">
        <f t="shared" si="326"/>
        <v>325</v>
      </c>
      <c r="BG820" s="193">
        <f t="shared" si="327"/>
        <v>325</v>
      </c>
      <c r="BH820" s="307">
        <f t="shared" si="342"/>
        <v>720</v>
      </c>
      <c r="BI820" s="266"/>
      <c r="BJ820" s="26" t="str">
        <f t="shared" si="328"/>
        <v>CLAYOQUOT RIVERCoho</v>
      </c>
      <c r="BK820" s="26">
        <f t="shared" si="329"/>
        <v>1</v>
      </c>
      <c r="BL820" s="33">
        <f t="shared" si="345"/>
        <v>260</v>
      </c>
      <c r="BQ820" s="47" t="str">
        <f t="shared" si="330"/>
        <v>CLAYOQUOT RIVERCoho</v>
      </c>
      <c r="BR820" s="49">
        <f t="shared" si="331"/>
        <v>0</v>
      </c>
      <c r="BS820" s="49">
        <f t="shared" si="340"/>
        <v>325</v>
      </c>
      <c r="BT820" s="31">
        <v>2002</v>
      </c>
      <c r="BU820" s="188" t="str">
        <f t="shared" si="332"/>
        <v>TSES</v>
      </c>
      <c r="BV820" s="188" t="str">
        <f t="shared" si="333"/>
        <v>Aug 20-26</v>
      </c>
      <c r="BW820" s="188" t="str">
        <f t="shared" si="334"/>
        <v xml:space="preserve"> </v>
      </c>
      <c r="BX820" s="188" t="str">
        <f t="shared" si="335"/>
        <v xml:space="preserve"> </v>
      </c>
      <c r="BY820" s="50" t="str">
        <f t="shared" si="323"/>
        <v>CLAYOQUOT RIVER_Coho</v>
      </c>
      <c r="BZ820" s="50">
        <f>IFERROR(VLOOKUP(BY820,'[1]WCVI Esc'!$C$5:$W$555,18,FALSE),"-")</f>
        <v>924</v>
      </c>
      <c r="CA820" s="50">
        <f t="shared" si="336"/>
        <v>920</v>
      </c>
      <c r="CB820" s="50">
        <f>IFERROR(VLOOKUP(BY820,'[1]WCVI Esc'!$C$5:$W$555,19,FALSE),"-")</f>
        <v>758.66666666666663</v>
      </c>
      <c r="CC820" s="50">
        <f t="shared" si="337"/>
        <v>760</v>
      </c>
      <c r="CE820" s="342" t="str">
        <f t="shared" si="322"/>
        <v>CLAYOQUOT RIVER_Coho</v>
      </c>
      <c r="CF820" s="341">
        <f>IFERROR(VLOOKUP(BY820,'RawPL+D'!$O$8:$AB$503,12,FALSE),"-")</f>
        <v>591</v>
      </c>
      <c r="CG820" s="338">
        <f t="shared" si="338"/>
        <v>590</v>
      </c>
      <c r="CH820" s="341">
        <f>IFERROR(VLOOKUP(BY820,'RawPL+D'!$O$8:$AB$503,13,FALSE),"-")</f>
        <v>719.5</v>
      </c>
      <c r="CI820" s="338">
        <f t="shared" si="339"/>
        <v>720</v>
      </c>
    </row>
    <row r="821" spans="1:87" ht="12.75" hidden="1" customHeight="1" x14ac:dyDescent="0.2">
      <c r="A821" s="28">
        <v>4</v>
      </c>
      <c r="B821" s="28">
        <v>3</v>
      </c>
      <c r="C821" s="11">
        <v>24</v>
      </c>
      <c r="D821" s="13" t="s">
        <v>296</v>
      </c>
      <c r="E821" s="10" t="s">
        <v>36</v>
      </c>
      <c r="F821" s="10" t="s">
        <v>208</v>
      </c>
      <c r="G821" s="10"/>
      <c r="H821" s="10"/>
      <c r="I821" s="10"/>
      <c r="J821" s="10"/>
      <c r="K821" s="848">
        <v>0</v>
      </c>
      <c r="L821" s="152"/>
      <c r="M821" s="164"/>
      <c r="N821" s="62"/>
      <c r="O821" s="62"/>
      <c r="P821" s="177"/>
      <c r="Q821" s="171"/>
      <c r="R821" s="62"/>
      <c r="S821" s="62"/>
      <c r="T821" s="62"/>
      <c r="U821" s="64"/>
      <c r="V821" s="164"/>
      <c r="W821" s="62"/>
      <c r="X821" s="62"/>
      <c r="Y821" s="62"/>
      <c r="Z821" s="64"/>
      <c r="AA821" s="164"/>
      <c r="AB821" s="62"/>
      <c r="AC821" s="62"/>
      <c r="AD821" s="64"/>
      <c r="AE821" s="164"/>
      <c r="AF821" s="62"/>
      <c r="AG821" s="64"/>
      <c r="AH821" s="337">
        <v>0</v>
      </c>
      <c r="AI821" s="337">
        <v>0</v>
      </c>
      <c r="AJ821" s="337">
        <v>0</v>
      </c>
      <c r="AK821" s="337">
        <v>0</v>
      </c>
      <c r="AL821" s="555">
        <v>0</v>
      </c>
      <c r="AM821" s="552">
        <v>0</v>
      </c>
      <c r="AN821" s="552" t="s">
        <v>765</v>
      </c>
      <c r="AO821" s="552" t="s">
        <v>772</v>
      </c>
      <c r="AP821" s="45"/>
      <c r="AQ821" s="485"/>
      <c r="AR821" s="100"/>
      <c r="AS821" s="485"/>
      <c r="AT821" s="24"/>
      <c r="AU821" s="24"/>
      <c r="AV821" s="24"/>
      <c r="AW821" s="18">
        <v>24</v>
      </c>
      <c r="AX821" s="69" t="s">
        <v>296</v>
      </c>
      <c r="AY821" s="243" t="s">
        <v>36</v>
      </c>
      <c r="AZ821" s="243" t="str">
        <f t="shared" si="324"/>
        <v>Pink</v>
      </c>
      <c r="BA821" s="243" t="s">
        <v>419</v>
      </c>
      <c r="BB821" s="246" t="s">
        <v>497</v>
      </c>
      <c r="BC821" s="43" t="str">
        <f t="shared" si="325"/>
        <v>Aug 20-26</v>
      </c>
      <c r="BD821" s="43">
        <f t="shared" si="343"/>
        <v>1</v>
      </c>
      <c r="BE821" s="193">
        <f t="shared" si="341"/>
        <v>0</v>
      </c>
      <c r="BF821" s="193">
        <f t="shared" si="326"/>
        <v>0</v>
      </c>
      <c r="BG821" s="193">
        <f t="shared" si="327"/>
        <v>0</v>
      </c>
      <c r="BH821" s="307">
        <f t="shared" si="342"/>
        <v>0</v>
      </c>
      <c r="BI821" s="266"/>
      <c r="BJ821" s="26" t="str">
        <f t="shared" si="328"/>
        <v>CLAYOQUOT RIVERPink</v>
      </c>
      <c r="BK821" s="26">
        <f t="shared" si="329"/>
        <v>1</v>
      </c>
      <c r="BL821" s="33">
        <f t="shared" si="345"/>
        <v>0</v>
      </c>
      <c r="BQ821" s="47" t="str">
        <f t="shared" si="330"/>
        <v>CLAYOQUOT RIVERPink</v>
      </c>
      <c r="BR821" s="49">
        <f t="shared" si="331"/>
        <v>0</v>
      </c>
      <c r="BS821" s="49">
        <f t="shared" si="340"/>
        <v>0</v>
      </c>
      <c r="BT821" s="31">
        <v>0</v>
      </c>
      <c r="BU821" s="188" t="str">
        <f t="shared" si="332"/>
        <v>TSES</v>
      </c>
      <c r="BV821" s="188" t="str">
        <f t="shared" si="333"/>
        <v>Aug 20-26</v>
      </c>
      <c r="BW821" s="188" t="str">
        <f t="shared" si="334"/>
        <v xml:space="preserve"> </v>
      </c>
      <c r="BX821" s="188" t="str">
        <f t="shared" si="335"/>
        <v xml:space="preserve"> </v>
      </c>
      <c r="BY821" s="50" t="str">
        <f t="shared" si="323"/>
        <v>CLAYOQUOT RIVER_Pink</v>
      </c>
      <c r="BZ821" s="50" t="str">
        <f>IFERROR(VLOOKUP(BY821,'[1]WCVI Esc'!$C$5:$W$555,18,FALSE),"-")</f>
        <v>-</v>
      </c>
      <c r="CA821" s="50" t="str">
        <f t="shared" si="336"/>
        <v>-</v>
      </c>
      <c r="CB821" s="50" t="str">
        <f>IFERROR(VLOOKUP(BY821,'[1]WCVI Esc'!$C$5:$W$555,19,FALSE),"-")</f>
        <v>-</v>
      </c>
      <c r="CC821" s="50" t="str">
        <f t="shared" si="337"/>
        <v>-</v>
      </c>
      <c r="CE821" s="342" t="str">
        <f t="shared" si="322"/>
        <v>CLAYOQUOT RIVER_Pink</v>
      </c>
      <c r="CF821" s="341">
        <f>IFERROR(VLOOKUP(BY821,'RawPL+D'!$O$8:$AB$503,12,FALSE),"-")</f>
        <v>0</v>
      </c>
      <c r="CG821" s="338">
        <f t="shared" si="338"/>
        <v>0</v>
      </c>
      <c r="CH821" s="341">
        <f>IFERROR(VLOOKUP(BY821,'RawPL+D'!$O$8:$AB$503,13,FALSE),"-")</f>
        <v>0</v>
      </c>
      <c r="CI821" s="338">
        <f t="shared" si="339"/>
        <v>0</v>
      </c>
    </row>
    <row r="822" spans="1:87" ht="12.75" hidden="1" customHeight="1" x14ac:dyDescent="0.2">
      <c r="A822" s="28">
        <v>4</v>
      </c>
      <c r="B822" s="28">
        <v>4</v>
      </c>
      <c r="C822" s="11">
        <v>24</v>
      </c>
      <c r="D822" s="13" t="s">
        <v>296</v>
      </c>
      <c r="E822" s="10" t="s">
        <v>36</v>
      </c>
      <c r="F822" s="10" t="s">
        <v>209</v>
      </c>
      <c r="G822" s="10"/>
      <c r="H822" s="10"/>
      <c r="I822" s="10"/>
      <c r="J822" s="10"/>
      <c r="K822" s="848">
        <v>0</v>
      </c>
      <c r="L822" s="152"/>
      <c r="M822" s="164"/>
      <c r="N822" s="62"/>
      <c r="O822" s="62"/>
      <c r="P822" s="177"/>
      <c r="Q822" s="171"/>
      <c r="R822" s="62"/>
      <c r="S822" s="62"/>
      <c r="T822" s="62"/>
      <c r="U822" s="64"/>
      <c r="V822" s="164"/>
      <c r="W822" s="62"/>
      <c r="X822" s="62"/>
      <c r="Y822" s="62"/>
      <c r="Z822" s="64"/>
      <c r="AA822" s="164"/>
      <c r="AB822" s="62"/>
      <c r="AC822" s="62"/>
      <c r="AD822" s="64"/>
      <c r="AE822" s="164"/>
      <c r="AF822" s="62"/>
      <c r="AG822" s="64"/>
      <c r="AH822" s="337">
        <v>0</v>
      </c>
      <c r="AI822" s="337">
        <v>0</v>
      </c>
      <c r="AJ822" s="337">
        <v>0</v>
      </c>
      <c r="AK822" s="337">
        <v>0</v>
      </c>
      <c r="AL822" s="555">
        <v>0</v>
      </c>
      <c r="AM822" s="552">
        <v>0</v>
      </c>
      <c r="AN822" s="552" t="s">
        <v>765</v>
      </c>
      <c r="AO822" s="552" t="s">
        <v>772</v>
      </c>
      <c r="AP822" s="45"/>
      <c r="AQ822" s="485"/>
      <c r="AR822" s="100"/>
      <c r="AS822" s="485"/>
      <c r="AT822" s="24"/>
      <c r="AU822" s="24"/>
      <c r="AV822" s="24"/>
      <c r="AW822" s="18">
        <v>24</v>
      </c>
      <c r="AX822" s="69" t="s">
        <v>296</v>
      </c>
      <c r="AY822" s="243" t="s">
        <v>36</v>
      </c>
      <c r="AZ822" s="243" t="str">
        <f t="shared" si="324"/>
        <v>Chum</v>
      </c>
      <c r="BA822" s="243" t="s">
        <v>419</v>
      </c>
      <c r="BB822" s="246" t="s">
        <v>497</v>
      </c>
      <c r="BC822" s="43" t="str">
        <f t="shared" si="325"/>
        <v>Aug 20-26</v>
      </c>
      <c r="BD822" s="43">
        <f t="shared" si="343"/>
        <v>1</v>
      </c>
      <c r="BE822" s="193">
        <f t="shared" si="341"/>
        <v>0</v>
      </c>
      <c r="BF822" s="193">
        <f t="shared" si="326"/>
        <v>0</v>
      </c>
      <c r="BG822" s="193">
        <f t="shared" si="327"/>
        <v>0</v>
      </c>
      <c r="BH822" s="307">
        <f t="shared" si="342"/>
        <v>0</v>
      </c>
      <c r="BI822" s="266"/>
      <c r="BJ822" s="26" t="str">
        <f t="shared" si="328"/>
        <v>CLAYOQUOT RIVERChum</v>
      </c>
      <c r="BK822" s="26">
        <f t="shared" si="329"/>
        <v>1</v>
      </c>
      <c r="BL822" s="33">
        <f t="shared" si="345"/>
        <v>0</v>
      </c>
      <c r="BQ822" s="47" t="str">
        <f t="shared" si="330"/>
        <v>CLAYOQUOT RIVERChum</v>
      </c>
      <c r="BR822" s="49">
        <f t="shared" si="331"/>
        <v>0</v>
      </c>
      <c r="BS822" s="49">
        <f t="shared" si="340"/>
        <v>0</v>
      </c>
      <c r="BT822" s="31">
        <v>2002</v>
      </c>
      <c r="BU822" s="188" t="str">
        <f t="shared" si="332"/>
        <v>TSES</v>
      </c>
      <c r="BV822" s="188" t="str">
        <f t="shared" si="333"/>
        <v>Aug 20-26</v>
      </c>
      <c r="BW822" s="188" t="str">
        <f t="shared" si="334"/>
        <v xml:space="preserve"> </v>
      </c>
      <c r="BX822" s="188" t="str">
        <f t="shared" si="335"/>
        <v xml:space="preserve"> </v>
      </c>
      <c r="BY822" s="50" t="str">
        <f t="shared" si="323"/>
        <v>CLAYOQUOT RIVER_Chum</v>
      </c>
      <c r="BZ822" s="50" t="str">
        <f>IFERROR(VLOOKUP(BY822,'[1]WCVI Esc'!$C$5:$W$555,18,FALSE),"-")</f>
        <v>-</v>
      </c>
      <c r="CA822" s="50" t="str">
        <f t="shared" si="336"/>
        <v>-</v>
      </c>
      <c r="CB822" s="50" t="str">
        <f>IFERROR(VLOOKUP(BY822,'[1]WCVI Esc'!$C$5:$W$555,19,FALSE),"-")</f>
        <v>-</v>
      </c>
      <c r="CC822" s="50" t="str">
        <f t="shared" si="337"/>
        <v>-</v>
      </c>
      <c r="CE822" s="342" t="str">
        <f t="shared" si="322"/>
        <v>CLAYOQUOT RIVER_Chum</v>
      </c>
      <c r="CF822" s="341">
        <f>IFERROR(VLOOKUP(BY822,'RawPL+D'!$O$8:$AB$503,12,FALSE),"-")</f>
        <v>0</v>
      </c>
      <c r="CG822" s="338">
        <f t="shared" si="338"/>
        <v>0</v>
      </c>
      <c r="CH822" s="341">
        <f>IFERROR(VLOOKUP(BY822,'RawPL+D'!$O$8:$AB$503,13,FALSE),"-")</f>
        <v>0</v>
      </c>
      <c r="CI822" s="338">
        <f t="shared" si="339"/>
        <v>0</v>
      </c>
    </row>
    <row r="823" spans="1:87" ht="12.75" hidden="1" customHeight="1" x14ac:dyDescent="0.2">
      <c r="A823" s="28">
        <v>4</v>
      </c>
      <c r="B823" s="28">
        <v>5</v>
      </c>
      <c r="C823" s="11">
        <v>24</v>
      </c>
      <c r="D823" s="13" t="s">
        <v>296</v>
      </c>
      <c r="E823" s="10" t="s">
        <v>36</v>
      </c>
      <c r="F823" s="10" t="s">
        <v>210</v>
      </c>
      <c r="G823" s="10"/>
      <c r="H823" s="10"/>
      <c r="I823" s="10"/>
      <c r="J823" s="10"/>
      <c r="K823" s="848">
        <v>0</v>
      </c>
      <c r="L823" s="152"/>
      <c r="M823" s="164"/>
      <c r="N823" s="62"/>
      <c r="O823" s="62"/>
      <c r="P823" s="177"/>
      <c r="Q823" s="171"/>
      <c r="R823" s="62"/>
      <c r="S823" s="62"/>
      <c r="T823" s="62"/>
      <c r="U823" s="64"/>
      <c r="V823" s="164"/>
      <c r="W823" s="62"/>
      <c r="X823" s="62"/>
      <c r="Y823" s="62"/>
      <c r="Z823" s="64"/>
      <c r="AA823" s="164"/>
      <c r="AB823" s="62"/>
      <c r="AC823" s="62"/>
      <c r="AD823" s="64"/>
      <c r="AE823" s="164"/>
      <c r="AF823" s="62"/>
      <c r="AG823" s="64"/>
      <c r="AH823" s="337">
        <v>0</v>
      </c>
      <c r="AI823" s="337">
        <v>0</v>
      </c>
      <c r="AJ823" s="337">
        <v>0</v>
      </c>
      <c r="AK823" s="337">
        <v>0</v>
      </c>
      <c r="AL823" s="555">
        <v>0</v>
      </c>
      <c r="AM823" s="552">
        <v>0</v>
      </c>
      <c r="AN823" s="552" t="s">
        <v>765</v>
      </c>
      <c r="AO823" s="552" t="s">
        <v>772</v>
      </c>
      <c r="AP823" s="45"/>
      <c r="AQ823" s="485"/>
      <c r="AR823" s="100"/>
      <c r="AS823" s="485"/>
      <c r="AT823" s="24"/>
      <c r="AU823" s="24"/>
      <c r="AV823" s="24"/>
      <c r="AW823" s="18">
        <v>24</v>
      </c>
      <c r="AX823" s="69" t="s">
        <v>296</v>
      </c>
      <c r="AY823" s="243" t="s">
        <v>36</v>
      </c>
      <c r="AZ823" s="243" t="str">
        <f t="shared" si="324"/>
        <v>Chinook</v>
      </c>
      <c r="BA823" s="243" t="s">
        <v>419</v>
      </c>
      <c r="BB823" s="246" t="s">
        <v>497</v>
      </c>
      <c r="BC823" s="43" t="str">
        <f t="shared" si="325"/>
        <v>Aug 20-26</v>
      </c>
      <c r="BD823" s="43">
        <f t="shared" si="343"/>
        <v>1</v>
      </c>
      <c r="BE823" s="193">
        <f t="shared" si="341"/>
        <v>0</v>
      </c>
      <c r="BF823" s="193">
        <f t="shared" si="326"/>
        <v>0</v>
      </c>
      <c r="BG823" s="193">
        <f t="shared" si="327"/>
        <v>0</v>
      </c>
      <c r="BH823" s="307">
        <f t="shared" si="342"/>
        <v>0</v>
      </c>
      <c r="BI823" s="266"/>
      <c r="BJ823" s="26" t="str">
        <f t="shared" si="328"/>
        <v>CLAYOQUOT RIVERChinook</v>
      </c>
      <c r="BK823" s="26">
        <f t="shared" si="329"/>
        <v>1</v>
      </c>
      <c r="BL823" s="33">
        <f t="shared" si="345"/>
        <v>0</v>
      </c>
      <c r="BQ823" s="47" t="str">
        <f t="shared" si="330"/>
        <v>CLAYOQUOT RIVERChinook</v>
      </c>
      <c r="BR823" s="49">
        <f t="shared" si="331"/>
        <v>0</v>
      </c>
      <c r="BS823" s="49">
        <f t="shared" si="340"/>
        <v>0</v>
      </c>
      <c r="BT823" s="31">
        <v>2002</v>
      </c>
      <c r="BU823" s="188" t="str">
        <f t="shared" si="332"/>
        <v>TSES</v>
      </c>
      <c r="BV823" s="188" t="str">
        <f t="shared" si="333"/>
        <v>Aug 20-26</v>
      </c>
      <c r="BW823" s="188" t="str">
        <f t="shared" si="334"/>
        <v xml:space="preserve"> </v>
      </c>
      <c r="BX823" s="188" t="str">
        <f t="shared" si="335"/>
        <v xml:space="preserve"> </v>
      </c>
      <c r="BY823" s="50" t="str">
        <f t="shared" si="323"/>
        <v>CLAYOQUOT RIVER_Chinook</v>
      </c>
      <c r="BZ823" s="50">
        <f>IFERROR(VLOOKUP(BY823,'[1]WCVI Esc'!$C$5:$W$555,18,FALSE),"-")</f>
        <v>2</v>
      </c>
      <c r="CA823" s="50">
        <f t="shared" si="336"/>
        <v>0</v>
      </c>
      <c r="CB823" s="50">
        <f>IFERROR(VLOOKUP(BY823,'[1]WCVI Esc'!$C$5:$W$555,19,FALSE),"-")</f>
        <v>4</v>
      </c>
      <c r="CC823" s="50">
        <f t="shared" si="337"/>
        <v>0</v>
      </c>
      <c r="CE823" s="342" t="str">
        <f t="shared" si="322"/>
        <v>CLAYOQUOT RIVER_Chinook</v>
      </c>
      <c r="CF823" s="341">
        <f>IFERROR(VLOOKUP(BY823,'RawPL+D'!$O$8:$AB$503,12,FALSE),"-")</f>
        <v>0</v>
      </c>
      <c r="CG823" s="338">
        <f t="shared" si="338"/>
        <v>0</v>
      </c>
      <c r="CH823" s="341">
        <f>IFERROR(VLOOKUP(BY823,'RawPL+D'!$O$8:$AB$503,13,FALSE),"-")</f>
        <v>1</v>
      </c>
      <c r="CI823" s="338">
        <f t="shared" si="339"/>
        <v>0</v>
      </c>
    </row>
    <row r="824" spans="1:87" ht="12.75" hidden="1" customHeight="1" x14ac:dyDescent="0.2">
      <c r="A824" s="28">
        <v>4</v>
      </c>
      <c r="B824" s="28">
        <v>6</v>
      </c>
      <c r="C824" s="11">
        <v>24</v>
      </c>
      <c r="D824" s="13" t="s">
        <v>296</v>
      </c>
      <c r="E824" s="10" t="s">
        <v>36</v>
      </c>
      <c r="F824" s="10" t="s">
        <v>211</v>
      </c>
      <c r="G824" s="10"/>
      <c r="H824" s="10"/>
      <c r="I824" s="10"/>
      <c r="J824" s="10"/>
      <c r="K824" s="848"/>
      <c r="L824" s="152"/>
      <c r="M824" s="164"/>
      <c r="N824" s="62"/>
      <c r="O824" s="62"/>
      <c r="P824" s="177"/>
      <c r="Q824" s="171"/>
      <c r="R824" s="62"/>
      <c r="S824" s="62"/>
      <c r="T824" s="62"/>
      <c r="U824" s="64"/>
      <c r="V824" s="164"/>
      <c r="W824" s="62"/>
      <c r="X824" s="62"/>
      <c r="Y824" s="62"/>
      <c r="Z824" s="64"/>
      <c r="AA824" s="164"/>
      <c r="AB824" s="62"/>
      <c r="AC824" s="62"/>
      <c r="AD824" s="64"/>
      <c r="AE824" s="164"/>
      <c r="AF824" s="62"/>
      <c r="AG824" s="64"/>
      <c r="AH824" s="337"/>
      <c r="AI824" s="337"/>
      <c r="AJ824" s="337"/>
      <c r="AK824" s="337"/>
      <c r="AL824" s="412"/>
      <c r="AM824" s="414"/>
      <c r="AN824" s="45"/>
      <c r="AO824" s="45"/>
      <c r="AP824" s="45"/>
      <c r="AQ824" s="485"/>
      <c r="AR824" s="100"/>
      <c r="AS824" s="485"/>
      <c r="AT824" s="24"/>
      <c r="AU824" s="24"/>
      <c r="AV824" s="24"/>
      <c r="AW824" s="18">
        <v>24</v>
      </c>
      <c r="AX824" s="69" t="s">
        <v>296</v>
      </c>
      <c r="AY824" s="243" t="s">
        <v>36</v>
      </c>
      <c r="AZ824" s="243" t="str">
        <f t="shared" si="324"/>
        <v>Steelhead</v>
      </c>
      <c r="BA824" s="243" t="s">
        <v>419</v>
      </c>
      <c r="BB824" s="246" t="s">
        <v>497</v>
      </c>
      <c r="BC824" s="43" t="str">
        <f t="shared" si="325"/>
        <v>-</v>
      </c>
      <c r="BD824" s="43">
        <f t="shared" si="343"/>
        <v>0</v>
      </c>
      <c r="BE824" s="193">
        <f t="shared" si="341"/>
        <v>0</v>
      </c>
      <c r="BF824" s="193">
        <f t="shared" si="326"/>
        <v>0</v>
      </c>
      <c r="BG824" s="193">
        <f t="shared" si="327"/>
        <v>0</v>
      </c>
      <c r="BH824" s="307" t="str">
        <f t="shared" si="342"/>
        <v>-</v>
      </c>
      <c r="BI824" s="266"/>
      <c r="BJ824" s="26" t="str">
        <f t="shared" si="328"/>
        <v>CLAYOQUOT RIVERSteelhead</v>
      </c>
      <c r="BK824" s="26">
        <f t="shared" si="329"/>
        <v>0</v>
      </c>
      <c r="BL824" s="33">
        <f t="shared" si="345"/>
        <v>0</v>
      </c>
      <c r="BQ824" s="47" t="str">
        <f t="shared" si="330"/>
        <v>CLAYOQUOT RIVERSteelhead</v>
      </c>
      <c r="BR824" s="49">
        <f t="shared" si="331"/>
        <v>0</v>
      </c>
      <c r="BS824" s="49">
        <f t="shared" si="340"/>
        <v>0</v>
      </c>
      <c r="BT824" s="31">
        <v>0</v>
      </c>
      <c r="BU824" s="188" t="str">
        <f t="shared" si="332"/>
        <v>TSES</v>
      </c>
      <c r="BV824" s="188" t="str">
        <f t="shared" si="333"/>
        <v xml:space="preserve"> </v>
      </c>
      <c r="BW824" s="188" t="str">
        <f t="shared" si="334"/>
        <v xml:space="preserve"> </v>
      </c>
      <c r="BX824" s="188" t="str">
        <f t="shared" si="335"/>
        <v xml:space="preserve"> </v>
      </c>
      <c r="BY824" s="50" t="str">
        <f t="shared" si="323"/>
        <v>CLAYOQUOT RIVER_Steelhead</v>
      </c>
      <c r="BZ824" s="50" t="str">
        <f>IFERROR(VLOOKUP(BY824,'[1]WCVI Esc'!$C$5:$W$555,18,FALSE),"-")</f>
        <v>-</v>
      </c>
      <c r="CA824" s="50" t="str">
        <f t="shared" si="336"/>
        <v>-</v>
      </c>
      <c r="CB824" s="50" t="str">
        <f>IFERROR(VLOOKUP(BY824,'[1]WCVI Esc'!$C$5:$W$555,19,FALSE),"-")</f>
        <v>-</v>
      </c>
      <c r="CC824" s="50" t="str">
        <f t="shared" si="337"/>
        <v>-</v>
      </c>
      <c r="CE824" s="342" t="str">
        <f t="shared" ref="CE824:CE887" si="346">CONCATENATE(E824,"_",F824)</f>
        <v>CLAYOQUOT RIVER_Steelhead</v>
      </c>
      <c r="CF824" s="341" t="str">
        <f>IFERROR(VLOOKUP(BY824,'RawPL+D'!$O$8:$AB$503,12,FALSE),"-")</f>
        <v>-</v>
      </c>
      <c r="CG824" s="338" t="str">
        <f t="shared" si="338"/>
        <v>-</v>
      </c>
      <c r="CH824" s="341" t="str">
        <f>IFERROR(VLOOKUP(BY824,'RawPL+D'!$O$8:$AB$503,13,FALSE),"-")</f>
        <v>-</v>
      </c>
      <c r="CI824" s="338" t="str">
        <f t="shared" si="339"/>
        <v>-</v>
      </c>
    </row>
    <row r="825" spans="1:87" ht="12.75" hidden="1" customHeight="1" x14ac:dyDescent="0.2">
      <c r="A825" s="28">
        <v>4</v>
      </c>
      <c r="B825" s="28">
        <v>1</v>
      </c>
      <c r="C825" s="11">
        <v>24</v>
      </c>
      <c r="D825" s="13" t="s">
        <v>296</v>
      </c>
      <c r="E825" s="10" t="s">
        <v>37</v>
      </c>
      <c r="F825" s="10" t="s">
        <v>207</v>
      </c>
      <c r="G825" s="10"/>
      <c r="H825" s="10"/>
      <c r="I825" s="10"/>
      <c r="J825" s="10"/>
      <c r="K825" s="575"/>
      <c r="L825" s="152"/>
      <c r="M825" s="164"/>
      <c r="N825" s="62"/>
      <c r="O825" s="62"/>
      <c r="P825" s="177"/>
      <c r="Q825" s="171"/>
      <c r="R825" s="62"/>
      <c r="S825" s="62"/>
      <c r="T825" s="62"/>
      <c r="U825" s="64"/>
      <c r="V825" s="164"/>
      <c r="W825" s="62"/>
      <c r="X825" s="62"/>
      <c r="Y825" s="62"/>
      <c r="Z825" s="64"/>
      <c r="AA825" s="164"/>
      <c r="AB825" s="62"/>
      <c r="AC825" s="62"/>
      <c r="AD825" s="64"/>
      <c r="AE825" s="164"/>
      <c r="AF825" s="62"/>
      <c r="AG825" s="64"/>
      <c r="AH825" s="337"/>
      <c r="AI825" s="337"/>
      <c r="AJ825" s="337"/>
      <c r="AK825" s="337"/>
      <c r="AL825" s="412"/>
      <c r="AM825" s="414"/>
      <c r="AN825" s="45"/>
      <c r="AO825" s="45"/>
      <c r="AP825" s="45"/>
      <c r="AQ825" s="485"/>
      <c r="AR825" s="100"/>
      <c r="AS825" s="485"/>
      <c r="AT825" s="24"/>
      <c r="AU825" s="24"/>
      <c r="AV825" s="24"/>
      <c r="AW825" s="18">
        <v>24</v>
      </c>
      <c r="AX825" s="69" t="s">
        <v>296</v>
      </c>
      <c r="AY825" s="243" t="s">
        <v>37</v>
      </c>
      <c r="AZ825" s="243" t="str">
        <f t="shared" si="324"/>
        <v>Sockeye</v>
      </c>
      <c r="BA825" s="243" t="s">
        <v>419</v>
      </c>
      <c r="BB825" s="246" t="s">
        <v>497</v>
      </c>
      <c r="BC825" s="43" t="str">
        <f t="shared" si="325"/>
        <v>-</v>
      </c>
      <c r="BD825" s="43">
        <f t="shared" si="343"/>
        <v>0</v>
      </c>
      <c r="BE825" s="193">
        <f t="shared" si="341"/>
        <v>0</v>
      </c>
      <c r="BF825" s="193">
        <f t="shared" si="326"/>
        <v>0</v>
      </c>
      <c r="BG825" s="193">
        <f t="shared" si="327"/>
        <v>0</v>
      </c>
      <c r="BH825" s="307" t="str">
        <f t="shared" si="342"/>
        <v>-</v>
      </c>
      <c r="BI825" s="266"/>
      <c r="BJ825" s="26" t="str">
        <f t="shared" si="328"/>
        <v>CLAYOQUOT RIVER (LOWER)Sockeye</v>
      </c>
      <c r="BK825" s="26">
        <f t="shared" si="329"/>
        <v>0</v>
      </c>
      <c r="BL825" s="33">
        <f t="shared" si="345"/>
        <v>0</v>
      </c>
      <c r="BQ825" s="47" t="str">
        <f t="shared" si="330"/>
        <v>CLAYOQUOT RIVER (LOWER)Sockeye</v>
      </c>
      <c r="BR825" s="49">
        <f t="shared" si="331"/>
        <v>0</v>
      </c>
      <c r="BS825" s="49">
        <f t="shared" si="340"/>
        <v>0</v>
      </c>
      <c r="BT825" s="31">
        <v>2002</v>
      </c>
      <c r="BU825" s="188" t="str">
        <f t="shared" si="332"/>
        <v>TSES</v>
      </c>
      <c r="BV825" s="188" t="str">
        <f t="shared" si="333"/>
        <v xml:space="preserve"> </v>
      </c>
      <c r="BW825" s="188" t="str">
        <f t="shared" si="334"/>
        <v xml:space="preserve"> </v>
      </c>
      <c r="BX825" s="188" t="str">
        <f t="shared" si="335"/>
        <v xml:space="preserve"> </v>
      </c>
      <c r="BY825" s="50" t="str">
        <f t="shared" si="323"/>
        <v>CLAYOQUOT RIVER (LOWER)_Sockeye</v>
      </c>
      <c r="BZ825" s="50" t="str">
        <f>IFERROR(VLOOKUP(BY825,'[1]WCVI Esc'!$C$5:$W$555,18,FALSE),"-")</f>
        <v>-</v>
      </c>
      <c r="CA825" s="50" t="str">
        <f t="shared" si="336"/>
        <v>-</v>
      </c>
      <c r="CB825" s="50" t="str">
        <f>IFERROR(VLOOKUP(BY825,'[1]WCVI Esc'!$C$5:$W$555,19,FALSE),"-")</f>
        <v>-</v>
      </c>
      <c r="CC825" s="50" t="str">
        <f t="shared" si="337"/>
        <v>-</v>
      </c>
      <c r="CE825" s="342" t="str">
        <f t="shared" si="346"/>
        <v>CLAYOQUOT RIVER (LOWER)_Sockeye</v>
      </c>
      <c r="CF825" s="341" t="str">
        <f>IFERROR(VLOOKUP(BY825,'RawPL+D'!$O$8:$AB$503,12,FALSE),"-")</f>
        <v>-</v>
      </c>
      <c r="CG825" s="338" t="str">
        <f t="shared" si="338"/>
        <v>-</v>
      </c>
      <c r="CH825" s="341" t="str">
        <f>IFERROR(VLOOKUP(BY825,'RawPL+D'!$O$8:$AB$503,13,FALSE),"-")</f>
        <v>-</v>
      </c>
      <c r="CI825" s="338" t="str">
        <f t="shared" si="339"/>
        <v>-</v>
      </c>
    </row>
    <row r="826" spans="1:87" ht="12.75" hidden="1" customHeight="1" x14ac:dyDescent="0.2">
      <c r="A826" s="28">
        <v>4</v>
      </c>
      <c r="B826" s="28">
        <v>2</v>
      </c>
      <c r="C826" s="11">
        <v>24</v>
      </c>
      <c r="D826" s="13" t="s">
        <v>296</v>
      </c>
      <c r="E826" s="10" t="s">
        <v>37</v>
      </c>
      <c r="F826" s="10" t="s">
        <v>219</v>
      </c>
      <c r="G826" s="10"/>
      <c r="H826" s="10"/>
      <c r="I826" s="10"/>
      <c r="J826" s="10"/>
      <c r="K826" s="575"/>
      <c r="L826" s="152"/>
      <c r="M826" s="164"/>
      <c r="N826" s="62"/>
      <c r="O826" s="62"/>
      <c r="P826" s="177"/>
      <c r="Q826" s="171"/>
      <c r="R826" s="62"/>
      <c r="S826" s="62"/>
      <c r="T826" s="62"/>
      <c r="U826" s="64"/>
      <c r="V826" s="164"/>
      <c r="W826" s="62"/>
      <c r="X826" s="62"/>
      <c r="Y826" s="62"/>
      <c r="Z826" s="64"/>
      <c r="AA826" s="164"/>
      <c r="AB826" s="62"/>
      <c r="AC826" s="62"/>
      <c r="AD826" s="64"/>
      <c r="AE826" s="164"/>
      <c r="AF826" s="62"/>
      <c r="AG826" s="64"/>
      <c r="AH826" s="337"/>
      <c r="AI826" s="337"/>
      <c r="AJ826" s="337"/>
      <c r="AK826" s="337"/>
      <c r="AL826" s="412"/>
      <c r="AM826" s="414"/>
      <c r="AN826" s="45"/>
      <c r="AO826" s="45"/>
      <c r="AP826" s="45"/>
      <c r="AQ826" s="485"/>
      <c r="AR826" s="100"/>
      <c r="AS826" s="485"/>
      <c r="AT826" s="24"/>
      <c r="AU826" s="24"/>
      <c r="AV826" s="24"/>
      <c r="AW826" s="18">
        <v>24</v>
      </c>
      <c r="AX826" s="69" t="s">
        <v>296</v>
      </c>
      <c r="AY826" s="243" t="s">
        <v>37</v>
      </c>
      <c r="AZ826" s="243" t="str">
        <f t="shared" si="324"/>
        <v>Coho</v>
      </c>
      <c r="BA826" s="243" t="s">
        <v>419</v>
      </c>
      <c r="BB826" s="246" t="s">
        <v>497</v>
      </c>
      <c r="BC826" s="43" t="str">
        <f t="shared" si="325"/>
        <v>-</v>
      </c>
      <c r="BD826" s="43">
        <f t="shared" si="343"/>
        <v>0</v>
      </c>
      <c r="BE826" s="193">
        <f t="shared" si="341"/>
        <v>0</v>
      </c>
      <c r="BF826" s="193">
        <f t="shared" si="326"/>
        <v>0</v>
      </c>
      <c r="BG826" s="193">
        <f t="shared" si="327"/>
        <v>0</v>
      </c>
      <c r="BH826" s="307" t="str">
        <f t="shared" si="342"/>
        <v>-</v>
      </c>
      <c r="BI826" s="266"/>
      <c r="BJ826" s="26" t="str">
        <f t="shared" si="328"/>
        <v>CLAYOQUOT RIVER (LOWER)Coho</v>
      </c>
      <c r="BK826" s="26">
        <f t="shared" si="329"/>
        <v>0</v>
      </c>
      <c r="BL826" s="33">
        <f t="shared" si="345"/>
        <v>0</v>
      </c>
      <c r="BQ826" s="47" t="str">
        <f t="shared" si="330"/>
        <v>CLAYOQUOT RIVER (LOWER)Coho</v>
      </c>
      <c r="BR826" s="49">
        <f t="shared" si="331"/>
        <v>0</v>
      </c>
      <c r="BS826" s="49">
        <f t="shared" si="340"/>
        <v>0</v>
      </c>
      <c r="BT826" s="31">
        <v>2002</v>
      </c>
      <c r="BU826" s="188" t="str">
        <f t="shared" si="332"/>
        <v>TSES</v>
      </c>
      <c r="BV826" s="188" t="str">
        <f t="shared" si="333"/>
        <v xml:space="preserve"> </v>
      </c>
      <c r="BW826" s="188" t="str">
        <f t="shared" si="334"/>
        <v xml:space="preserve"> </v>
      </c>
      <c r="BX826" s="188" t="str">
        <f t="shared" si="335"/>
        <v xml:space="preserve"> </v>
      </c>
      <c r="BY826" s="50" t="str">
        <f t="shared" si="323"/>
        <v>CLAYOQUOT RIVER (LOWER)_Coho</v>
      </c>
      <c r="BZ826" s="50" t="str">
        <f>IFERROR(VLOOKUP(BY826,'[1]WCVI Esc'!$C$5:$W$555,18,FALSE),"-")</f>
        <v>-</v>
      </c>
      <c r="CA826" s="50" t="str">
        <f t="shared" si="336"/>
        <v>-</v>
      </c>
      <c r="CB826" s="50" t="str">
        <f>IFERROR(VLOOKUP(BY826,'[1]WCVI Esc'!$C$5:$W$555,19,FALSE),"-")</f>
        <v>-</v>
      </c>
      <c r="CC826" s="50" t="str">
        <f t="shared" si="337"/>
        <v>-</v>
      </c>
      <c r="CE826" s="342" t="str">
        <f t="shared" si="346"/>
        <v>CLAYOQUOT RIVER (LOWER)_Coho</v>
      </c>
      <c r="CF826" s="341" t="str">
        <f>IFERROR(VLOOKUP(BY826,'RawPL+D'!$O$8:$AB$503,12,FALSE),"-")</f>
        <v>-</v>
      </c>
      <c r="CG826" s="338" t="str">
        <f t="shared" si="338"/>
        <v>-</v>
      </c>
      <c r="CH826" s="341" t="str">
        <f>IFERROR(VLOOKUP(BY826,'RawPL+D'!$O$8:$AB$503,13,FALSE),"-")</f>
        <v>-</v>
      </c>
      <c r="CI826" s="338" t="str">
        <f t="shared" si="339"/>
        <v>-</v>
      </c>
    </row>
    <row r="827" spans="1:87" ht="12.75" hidden="1" customHeight="1" x14ac:dyDescent="0.2">
      <c r="A827" s="28">
        <v>4</v>
      </c>
      <c r="B827" s="28">
        <v>3</v>
      </c>
      <c r="C827" s="11">
        <v>24</v>
      </c>
      <c r="D827" s="13" t="s">
        <v>296</v>
      </c>
      <c r="E827" s="10" t="s">
        <v>37</v>
      </c>
      <c r="F827" s="10" t="s">
        <v>208</v>
      </c>
      <c r="G827" s="10"/>
      <c r="H827" s="10"/>
      <c r="I827" s="10"/>
      <c r="J827" s="10"/>
      <c r="K827" s="575"/>
      <c r="L827" s="152"/>
      <c r="M827" s="164"/>
      <c r="N827" s="62"/>
      <c r="O827" s="62"/>
      <c r="P827" s="177"/>
      <c r="Q827" s="171"/>
      <c r="R827" s="62"/>
      <c r="S827" s="62"/>
      <c r="T827" s="62"/>
      <c r="U827" s="64"/>
      <c r="V827" s="164"/>
      <c r="W827" s="62"/>
      <c r="X827" s="62"/>
      <c r="Y827" s="62"/>
      <c r="Z827" s="64"/>
      <c r="AA827" s="164"/>
      <c r="AB827" s="62"/>
      <c r="AC827" s="62"/>
      <c r="AD827" s="64"/>
      <c r="AE827" s="164"/>
      <c r="AF827" s="62"/>
      <c r="AG827" s="64"/>
      <c r="AH827" s="337"/>
      <c r="AI827" s="337"/>
      <c r="AJ827" s="337"/>
      <c r="AK827" s="337"/>
      <c r="AL827" s="412"/>
      <c r="AM827" s="414"/>
      <c r="AN827" s="45"/>
      <c r="AO827" s="45"/>
      <c r="AP827" s="45"/>
      <c r="AQ827" s="485"/>
      <c r="AR827" s="100"/>
      <c r="AS827" s="485"/>
      <c r="AT827" s="24"/>
      <c r="AU827" s="24"/>
      <c r="AV827" s="24"/>
      <c r="AW827" s="18">
        <v>24</v>
      </c>
      <c r="AX827" s="69" t="s">
        <v>296</v>
      </c>
      <c r="AY827" s="243" t="s">
        <v>37</v>
      </c>
      <c r="AZ827" s="243" t="str">
        <f t="shared" si="324"/>
        <v>Pink</v>
      </c>
      <c r="BA827" s="243" t="s">
        <v>419</v>
      </c>
      <c r="BB827" s="246" t="s">
        <v>497</v>
      </c>
      <c r="BC827" s="43" t="str">
        <f t="shared" si="325"/>
        <v>-</v>
      </c>
      <c r="BD827" s="43">
        <f t="shared" si="343"/>
        <v>0</v>
      </c>
      <c r="BE827" s="193">
        <f t="shared" si="341"/>
        <v>0</v>
      </c>
      <c r="BF827" s="193">
        <f t="shared" si="326"/>
        <v>0</v>
      </c>
      <c r="BG827" s="193">
        <f t="shared" si="327"/>
        <v>0</v>
      </c>
      <c r="BH827" s="307" t="str">
        <f t="shared" si="342"/>
        <v>-</v>
      </c>
      <c r="BI827" s="266"/>
      <c r="BJ827" s="26" t="str">
        <f t="shared" si="328"/>
        <v>CLAYOQUOT RIVER (LOWER)Pink</v>
      </c>
      <c r="BK827" s="26">
        <f t="shared" si="329"/>
        <v>0</v>
      </c>
      <c r="BL827" s="33">
        <f t="shared" si="345"/>
        <v>0</v>
      </c>
      <c r="BQ827" s="47" t="str">
        <f t="shared" si="330"/>
        <v>CLAYOQUOT RIVER (LOWER)Pink</v>
      </c>
      <c r="BR827" s="49">
        <f t="shared" si="331"/>
        <v>0</v>
      </c>
      <c r="BS827" s="49">
        <f t="shared" si="340"/>
        <v>0</v>
      </c>
      <c r="BT827" s="31">
        <v>0</v>
      </c>
      <c r="BU827" s="188" t="str">
        <f t="shared" si="332"/>
        <v>TSES</v>
      </c>
      <c r="BV827" s="188" t="str">
        <f t="shared" si="333"/>
        <v xml:space="preserve"> </v>
      </c>
      <c r="BW827" s="188" t="str">
        <f t="shared" si="334"/>
        <v xml:space="preserve"> </v>
      </c>
      <c r="BX827" s="188" t="str">
        <f t="shared" si="335"/>
        <v xml:space="preserve"> </v>
      </c>
      <c r="BY827" s="50" t="str">
        <f t="shared" si="323"/>
        <v>CLAYOQUOT RIVER (LOWER)_Pink</v>
      </c>
      <c r="BZ827" s="50" t="str">
        <f>IFERROR(VLOOKUP(BY827,'[1]WCVI Esc'!$C$5:$W$555,18,FALSE),"-")</f>
        <v>-</v>
      </c>
      <c r="CA827" s="50" t="str">
        <f t="shared" si="336"/>
        <v>-</v>
      </c>
      <c r="CB827" s="50" t="str">
        <f>IFERROR(VLOOKUP(BY827,'[1]WCVI Esc'!$C$5:$W$555,19,FALSE),"-")</f>
        <v>-</v>
      </c>
      <c r="CC827" s="50" t="str">
        <f t="shared" si="337"/>
        <v>-</v>
      </c>
      <c r="CE827" s="342" t="str">
        <f t="shared" si="346"/>
        <v>CLAYOQUOT RIVER (LOWER)_Pink</v>
      </c>
      <c r="CF827" s="341" t="str">
        <f>IFERROR(VLOOKUP(BY827,'RawPL+D'!$O$8:$AB$503,12,FALSE),"-")</f>
        <v>-</v>
      </c>
      <c r="CG827" s="338" t="str">
        <f t="shared" si="338"/>
        <v>-</v>
      </c>
      <c r="CH827" s="341" t="str">
        <f>IFERROR(VLOOKUP(BY827,'RawPL+D'!$O$8:$AB$503,13,FALSE),"-")</f>
        <v>-</v>
      </c>
      <c r="CI827" s="338" t="str">
        <f t="shared" si="339"/>
        <v>-</v>
      </c>
    </row>
    <row r="828" spans="1:87" ht="12.75" hidden="1" customHeight="1" x14ac:dyDescent="0.2">
      <c r="A828" s="28">
        <v>4</v>
      </c>
      <c r="B828" s="28">
        <v>4</v>
      </c>
      <c r="C828" s="11">
        <v>24</v>
      </c>
      <c r="D828" s="13" t="s">
        <v>296</v>
      </c>
      <c r="E828" s="10" t="s">
        <v>37</v>
      </c>
      <c r="F828" s="10" t="s">
        <v>209</v>
      </c>
      <c r="G828" s="10"/>
      <c r="H828" s="10"/>
      <c r="I828" s="10"/>
      <c r="J828" s="10"/>
      <c r="K828" s="575"/>
      <c r="L828" s="152"/>
      <c r="M828" s="164"/>
      <c r="N828" s="62"/>
      <c r="O828" s="62"/>
      <c r="P828" s="177"/>
      <c r="Q828" s="171"/>
      <c r="R828" s="62"/>
      <c r="S828" s="62"/>
      <c r="T828" s="62"/>
      <c r="U828" s="64"/>
      <c r="V828" s="164"/>
      <c r="W828" s="62"/>
      <c r="X828" s="62"/>
      <c r="Y828" s="62"/>
      <c r="Z828" s="64"/>
      <c r="AA828" s="164"/>
      <c r="AB828" s="62"/>
      <c r="AC828" s="62"/>
      <c r="AD828" s="64"/>
      <c r="AE828" s="164"/>
      <c r="AF828" s="62"/>
      <c r="AG828" s="64"/>
      <c r="AH828" s="337"/>
      <c r="AI828" s="337"/>
      <c r="AJ828" s="337"/>
      <c r="AK828" s="337"/>
      <c r="AL828" s="412"/>
      <c r="AM828" s="414"/>
      <c r="AN828" s="45"/>
      <c r="AO828" s="45"/>
      <c r="AP828" s="45"/>
      <c r="AQ828" s="485"/>
      <c r="AR828" s="100"/>
      <c r="AS828" s="485"/>
      <c r="AT828" s="24"/>
      <c r="AU828" s="24"/>
      <c r="AV828" s="24"/>
      <c r="AW828" s="18">
        <v>24</v>
      </c>
      <c r="AX828" s="69" t="s">
        <v>296</v>
      </c>
      <c r="AY828" s="243" t="s">
        <v>37</v>
      </c>
      <c r="AZ828" s="243" t="str">
        <f t="shared" si="324"/>
        <v>Chum</v>
      </c>
      <c r="BA828" s="243" t="s">
        <v>419</v>
      </c>
      <c r="BB828" s="246" t="s">
        <v>497</v>
      </c>
      <c r="BC828" s="43" t="str">
        <f t="shared" si="325"/>
        <v>-</v>
      </c>
      <c r="BD828" s="43">
        <f t="shared" si="343"/>
        <v>0</v>
      </c>
      <c r="BE828" s="193">
        <f t="shared" si="341"/>
        <v>0</v>
      </c>
      <c r="BF828" s="193">
        <f t="shared" si="326"/>
        <v>0</v>
      </c>
      <c r="BG828" s="193">
        <f t="shared" si="327"/>
        <v>0</v>
      </c>
      <c r="BH828" s="307" t="str">
        <f t="shared" si="342"/>
        <v>-</v>
      </c>
      <c r="BI828" s="266"/>
      <c r="BJ828" s="26" t="str">
        <f t="shared" si="328"/>
        <v>CLAYOQUOT RIVER (LOWER)Chum</v>
      </c>
      <c r="BK828" s="26">
        <f t="shared" si="329"/>
        <v>0</v>
      </c>
      <c r="BL828" s="33">
        <f t="shared" si="345"/>
        <v>0</v>
      </c>
      <c r="BQ828" s="47" t="str">
        <f t="shared" si="330"/>
        <v>CLAYOQUOT RIVER (LOWER)Chum</v>
      </c>
      <c r="BR828" s="49">
        <f t="shared" si="331"/>
        <v>0</v>
      </c>
      <c r="BS828" s="49">
        <f t="shared" si="340"/>
        <v>0</v>
      </c>
      <c r="BT828" s="31">
        <v>2002</v>
      </c>
      <c r="BU828" s="188" t="str">
        <f t="shared" si="332"/>
        <v>TSES</v>
      </c>
      <c r="BV828" s="188" t="str">
        <f t="shared" si="333"/>
        <v xml:space="preserve"> </v>
      </c>
      <c r="BW828" s="188" t="str">
        <f t="shared" si="334"/>
        <v xml:space="preserve"> </v>
      </c>
      <c r="BX828" s="188" t="str">
        <f t="shared" si="335"/>
        <v xml:space="preserve"> </v>
      </c>
      <c r="BY828" s="50" t="str">
        <f t="shared" si="323"/>
        <v>CLAYOQUOT RIVER (LOWER)_Chum</v>
      </c>
      <c r="BZ828" s="50" t="str">
        <f>IFERROR(VLOOKUP(BY828,'[1]WCVI Esc'!$C$5:$W$555,18,FALSE),"-")</f>
        <v>-</v>
      </c>
      <c r="CA828" s="50" t="str">
        <f t="shared" si="336"/>
        <v>-</v>
      </c>
      <c r="CB828" s="50" t="str">
        <f>IFERROR(VLOOKUP(BY828,'[1]WCVI Esc'!$C$5:$W$555,19,FALSE),"-")</f>
        <v>-</v>
      </c>
      <c r="CC828" s="50" t="str">
        <f t="shared" si="337"/>
        <v>-</v>
      </c>
      <c r="CE828" s="342" t="str">
        <f t="shared" si="346"/>
        <v>CLAYOQUOT RIVER (LOWER)_Chum</v>
      </c>
      <c r="CF828" s="341" t="str">
        <f>IFERROR(VLOOKUP(BY828,'RawPL+D'!$O$8:$AB$503,12,FALSE),"-")</f>
        <v>-</v>
      </c>
      <c r="CG828" s="338" t="str">
        <f t="shared" si="338"/>
        <v>-</v>
      </c>
      <c r="CH828" s="341" t="str">
        <f>IFERROR(VLOOKUP(BY828,'RawPL+D'!$O$8:$AB$503,13,FALSE),"-")</f>
        <v>-</v>
      </c>
      <c r="CI828" s="338" t="str">
        <f t="shared" si="339"/>
        <v>-</v>
      </c>
    </row>
    <row r="829" spans="1:87" ht="12.75" hidden="1" customHeight="1" x14ac:dyDescent="0.2">
      <c r="A829" s="28">
        <v>4</v>
      </c>
      <c r="B829" s="28">
        <v>5</v>
      </c>
      <c r="C829" s="11">
        <v>24</v>
      </c>
      <c r="D829" s="13" t="s">
        <v>296</v>
      </c>
      <c r="E829" s="10" t="s">
        <v>37</v>
      </c>
      <c r="F829" s="10" t="s">
        <v>210</v>
      </c>
      <c r="G829" s="10"/>
      <c r="H829" s="10"/>
      <c r="I829" s="10"/>
      <c r="J829" s="10"/>
      <c r="K829" s="575"/>
      <c r="L829" s="152"/>
      <c r="M829" s="164"/>
      <c r="N829" s="62"/>
      <c r="O829" s="62"/>
      <c r="P829" s="177"/>
      <c r="Q829" s="171"/>
      <c r="R829" s="62"/>
      <c r="S829" s="62"/>
      <c r="T829" s="62"/>
      <c r="U829" s="64"/>
      <c r="V829" s="164"/>
      <c r="W829" s="62"/>
      <c r="X829" s="62"/>
      <c r="Y829" s="62"/>
      <c r="Z829" s="64"/>
      <c r="AA829" s="164"/>
      <c r="AB829" s="62"/>
      <c r="AC829" s="62"/>
      <c r="AD829" s="64"/>
      <c r="AE829" s="164"/>
      <c r="AF829" s="62"/>
      <c r="AG829" s="64"/>
      <c r="AH829" s="337"/>
      <c r="AI829" s="337"/>
      <c r="AJ829" s="337"/>
      <c r="AK829" s="337"/>
      <c r="AL829" s="412"/>
      <c r="AM829" s="414"/>
      <c r="AN829" s="45"/>
      <c r="AO829" s="45"/>
      <c r="AP829" s="45"/>
      <c r="AQ829" s="485"/>
      <c r="AR829" s="100"/>
      <c r="AS829" s="485"/>
      <c r="AT829" s="24"/>
      <c r="AU829" s="24"/>
      <c r="AV829" s="24"/>
      <c r="AW829" s="18">
        <v>24</v>
      </c>
      <c r="AX829" s="69" t="s">
        <v>296</v>
      </c>
      <c r="AY829" s="243" t="s">
        <v>37</v>
      </c>
      <c r="AZ829" s="243" t="str">
        <f t="shared" si="324"/>
        <v>Chinook</v>
      </c>
      <c r="BA829" s="243" t="s">
        <v>419</v>
      </c>
      <c r="BB829" s="246" t="s">
        <v>497</v>
      </c>
      <c r="BC829" s="43" t="str">
        <f t="shared" si="325"/>
        <v>-</v>
      </c>
      <c r="BD829" s="43">
        <f t="shared" si="343"/>
        <v>0</v>
      </c>
      <c r="BE829" s="193">
        <f t="shared" si="341"/>
        <v>0</v>
      </c>
      <c r="BF829" s="193">
        <f t="shared" si="326"/>
        <v>0</v>
      </c>
      <c r="BG829" s="193">
        <f t="shared" si="327"/>
        <v>0</v>
      </c>
      <c r="BH829" s="307" t="str">
        <f t="shared" si="342"/>
        <v>-</v>
      </c>
      <c r="BI829" s="266"/>
      <c r="BJ829" s="26" t="str">
        <f t="shared" si="328"/>
        <v>CLAYOQUOT RIVER (LOWER)Chinook</v>
      </c>
      <c r="BK829" s="26">
        <f t="shared" si="329"/>
        <v>0</v>
      </c>
      <c r="BL829" s="33">
        <f t="shared" si="345"/>
        <v>0</v>
      </c>
      <c r="BQ829" s="47" t="str">
        <f t="shared" si="330"/>
        <v>CLAYOQUOT RIVER (LOWER)Chinook</v>
      </c>
      <c r="BR829" s="49">
        <f t="shared" si="331"/>
        <v>0</v>
      </c>
      <c r="BS829" s="49">
        <f t="shared" si="340"/>
        <v>0</v>
      </c>
      <c r="BT829" s="31">
        <v>0</v>
      </c>
      <c r="BU829" s="188" t="str">
        <f t="shared" si="332"/>
        <v>TSES</v>
      </c>
      <c r="BV829" s="188" t="str">
        <f t="shared" si="333"/>
        <v xml:space="preserve"> </v>
      </c>
      <c r="BW829" s="188" t="str">
        <f t="shared" si="334"/>
        <v xml:space="preserve"> </v>
      </c>
      <c r="BX829" s="188" t="str">
        <f t="shared" si="335"/>
        <v xml:space="preserve"> </v>
      </c>
      <c r="BY829" s="50" t="str">
        <f t="shared" si="323"/>
        <v>CLAYOQUOT RIVER (LOWER)_Chinook</v>
      </c>
      <c r="BZ829" s="50" t="str">
        <f>IFERROR(VLOOKUP(BY829,'[1]WCVI Esc'!$C$5:$W$555,18,FALSE),"-")</f>
        <v>-</v>
      </c>
      <c r="CA829" s="50" t="str">
        <f t="shared" si="336"/>
        <v>-</v>
      </c>
      <c r="CB829" s="50" t="str">
        <f>IFERROR(VLOOKUP(BY829,'[1]WCVI Esc'!$C$5:$W$555,19,FALSE),"-")</f>
        <v>-</v>
      </c>
      <c r="CC829" s="50" t="str">
        <f t="shared" si="337"/>
        <v>-</v>
      </c>
      <c r="CE829" s="342" t="str">
        <f t="shared" si="346"/>
        <v>CLAYOQUOT RIVER (LOWER)_Chinook</v>
      </c>
      <c r="CF829" s="341" t="str">
        <f>IFERROR(VLOOKUP(BY829,'RawPL+D'!$O$8:$AB$503,12,FALSE),"-")</f>
        <v>-</v>
      </c>
      <c r="CG829" s="338" t="str">
        <f t="shared" si="338"/>
        <v>-</v>
      </c>
      <c r="CH829" s="341" t="str">
        <f>IFERROR(VLOOKUP(BY829,'RawPL+D'!$O$8:$AB$503,13,FALSE),"-")</f>
        <v>-</v>
      </c>
      <c r="CI829" s="338" t="str">
        <f t="shared" si="339"/>
        <v>-</v>
      </c>
    </row>
    <row r="830" spans="1:87" ht="12.75" hidden="1" customHeight="1" x14ac:dyDescent="0.2">
      <c r="A830" s="28">
        <v>4</v>
      </c>
      <c r="B830" s="28">
        <v>6</v>
      </c>
      <c r="C830" s="11">
        <v>24</v>
      </c>
      <c r="D830" s="13" t="s">
        <v>296</v>
      </c>
      <c r="E830" s="10" t="s">
        <v>37</v>
      </c>
      <c r="F830" s="10" t="s">
        <v>211</v>
      </c>
      <c r="G830" s="10"/>
      <c r="H830" s="10"/>
      <c r="I830" s="10"/>
      <c r="J830" s="10"/>
      <c r="K830" s="575"/>
      <c r="L830" s="152"/>
      <c r="M830" s="164"/>
      <c r="N830" s="62"/>
      <c r="O830" s="62"/>
      <c r="P830" s="177"/>
      <c r="Q830" s="171"/>
      <c r="R830" s="62"/>
      <c r="S830" s="62"/>
      <c r="T830" s="62"/>
      <c r="U830" s="64"/>
      <c r="V830" s="164"/>
      <c r="W830" s="62"/>
      <c r="X830" s="62"/>
      <c r="Y830" s="62"/>
      <c r="Z830" s="64"/>
      <c r="AA830" s="164"/>
      <c r="AB830" s="62"/>
      <c r="AC830" s="62"/>
      <c r="AD830" s="64"/>
      <c r="AE830" s="164"/>
      <c r="AF830" s="62"/>
      <c r="AG830" s="64"/>
      <c r="AH830" s="337"/>
      <c r="AI830" s="337"/>
      <c r="AJ830" s="337"/>
      <c r="AK830" s="337"/>
      <c r="AL830" s="412"/>
      <c r="AM830" s="414"/>
      <c r="AN830" s="45"/>
      <c r="AO830" s="45"/>
      <c r="AP830" s="45"/>
      <c r="AQ830" s="485"/>
      <c r="AR830" s="100"/>
      <c r="AS830" s="485"/>
      <c r="AT830" s="24"/>
      <c r="AU830" s="24"/>
      <c r="AV830" s="24"/>
      <c r="AW830" s="18">
        <v>24</v>
      </c>
      <c r="AX830" s="69" t="s">
        <v>296</v>
      </c>
      <c r="AY830" s="243" t="s">
        <v>37</v>
      </c>
      <c r="AZ830" s="243" t="str">
        <f t="shared" si="324"/>
        <v>Steelhead</v>
      </c>
      <c r="BA830" s="243" t="s">
        <v>419</v>
      </c>
      <c r="BB830" s="246" t="s">
        <v>497</v>
      </c>
      <c r="BC830" s="43" t="str">
        <f t="shared" si="325"/>
        <v>-</v>
      </c>
      <c r="BD830" s="43">
        <f t="shared" si="343"/>
        <v>0</v>
      </c>
      <c r="BE830" s="193">
        <f t="shared" si="341"/>
        <v>0</v>
      </c>
      <c r="BF830" s="193">
        <f t="shared" si="326"/>
        <v>0</v>
      </c>
      <c r="BG830" s="193">
        <f t="shared" si="327"/>
        <v>0</v>
      </c>
      <c r="BH830" s="307" t="str">
        <f t="shared" si="342"/>
        <v>-</v>
      </c>
      <c r="BI830" s="266"/>
      <c r="BJ830" s="26" t="str">
        <f t="shared" si="328"/>
        <v>CLAYOQUOT RIVER (LOWER)Steelhead</v>
      </c>
      <c r="BK830" s="26">
        <f t="shared" si="329"/>
        <v>0</v>
      </c>
      <c r="BL830" s="33">
        <f t="shared" si="345"/>
        <v>0</v>
      </c>
      <c r="BQ830" s="47" t="str">
        <f t="shared" si="330"/>
        <v>CLAYOQUOT RIVER (LOWER)Steelhead</v>
      </c>
      <c r="BR830" s="49">
        <f t="shared" si="331"/>
        <v>0</v>
      </c>
      <c r="BS830" s="49">
        <f t="shared" si="340"/>
        <v>0</v>
      </c>
      <c r="BT830" s="31">
        <v>0</v>
      </c>
      <c r="BU830" s="188" t="str">
        <f t="shared" si="332"/>
        <v>TSES</v>
      </c>
      <c r="BV830" s="188" t="str">
        <f t="shared" si="333"/>
        <v xml:space="preserve"> </v>
      </c>
      <c r="BW830" s="188" t="str">
        <f t="shared" si="334"/>
        <v xml:space="preserve"> </v>
      </c>
      <c r="BX830" s="188" t="str">
        <f t="shared" si="335"/>
        <v xml:space="preserve"> </v>
      </c>
      <c r="BY830" s="50" t="str">
        <f t="shared" si="323"/>
        <v>CLAYOQUOT RIVER (LOWER)_Steelhead</v>
      </c>
      <c r="BZ830" s="50" t="str">
        <f>IFERROR(VLOOKUP(BY830,'[1]WCVI Esc'!$C$5:$W$555,18,FALSE),"-")</f>
        <v>-</v>
      </c>
      <c r="CA830" s="50" t="str">
        <f t="shared" si="336"/>
        <v>-</v>
      </c>
      <c r="CB830" s="50" t="str">
        <f>IFERROR(VLOOKUP(BY830,'[1]WCVI Esc'!$C$5:$W$555,19,FALSE),"-")</f>
        <v>-</v>
      </c>
      <c r="CC830" s="50" t="str">
        <f t="shared" si="337"/>
        <v>-</v>
      </c>
      <c r="CE830" s="342" t="str">
        <f t="shared" si="346"/>
        <v>CLAYOQUOT RIVER (LOWER)_Steelhead</v>
      </c>
      <c r="CF830" s="341" t="str">
        <f>IFERROR(VLOOKUP(BY830,'RawPL+D'!$O$8:$AB$503,12,FALSE),"-")</f>
        <v>-</v>
      </c>
      <c r="CG830" s="338" t="str">
        <f t="shared" si="338"/>
        <v>-</v>
      </c>
      <c r="CH830" s="341" t="str">
        <f>IFERROR(VLOOKUP(BY830,'RawPL+D'!$O$8:$AB$503,13,FALSE),"-")</f>
        <v>-</v>
      </c>
      <c r="CI830" s="338" t="str">
        <f t="shared" si="339"/>
        <v>-</v>
      </c>
    </row>
    <row r="831" spans="1:87" ht="12.75" hidden="1" customHeight="1" x14ac:dyDescent="0.2">
      <c r="A831" s="28">
        <v>4</v>
      </c>
      <c r="B831" s="28">
        <v>1</v>
      </c>
      <c r="C831" s="11">
        <v>24</v>
      </c>
      <c r="D831" s="13" t="s">
        <v>296</v>
      </c>
      <c r="E831" s="10" t="s">
        <v>38</v>
      </c>
      <c r="F831" s="10" t="s">
        <v>207</v>
      </c>
      <c r="G831" s="10"/>
      <c r="H831" s="10"/>
      <c r="I831" s="10"/>
      <c r="J831" s="10"/>
      <c r="K831" s="575"/>
      <c r="L831" s="152"/>
      <c r="M831" s="164"/>
      <c r="N831" s="62"/>
      <c r="O831" s="62"/>
      <c r="P831" s="177"/>
      <c r="Q831" s="458"/>
      <c r="R831" s="62"/>
      <c r="S831" s="62"/>
      <c r="T831" s="62"/>
      <c r="U831" s="390"/>
      <c r="V831" s="62"/>
      <c r="W831" s="390"/>
      <c r="X831" s="62"/>
      <c r="Y831" s="62"/>
      <c r="Z831" s="64"/>
      <c r="AA831" s="164"/>
      <c r="AB831" s="62"/>
      <c r="AC831" s="62"/>
      <c r="AD831" s="64"/>
      <c r="AE831" s="164"/>
      <c r="AF831" s="62"/>
      <c r="AG831" s="64"/>
      <c r="AH831" s="337"/>
      <c r="AI831" s="337"/>
      <c r="AJ831" s="337"/>
      <c r="AK831" s="337"/>
      <c r="AL831" s="555"/>
      <c r="AM831" s="552"/>
      <c r="AN831" s="45"/>
      <c r="AO831" s="45"/>
      <c r="AP831" s="45"/>
      <c r="AQ831" s="485"/>
      <c r="AR831"/>
      <c r="AS831" s="485"/>
      <c r="AT831" s="24"/>
      <c r="AU831" s="24"/>
      <c r="AV831" s="24"/>
      <c r="AW831" s="18">
        <v>24</v>
      </c>
      <c r="AX831" s="69" t="s">
        <v>296</v>
      </c>
      <c r="AY831" s="243" t="s">
        <v>38</v>
      </c>
      <c r="AZ831" s="243" t="str">
        <f t="shared" si="324"/>
        <v>Sockeye</v>
      </c>
      <c r="BA831" s="243" t="s">
        <v>419</v>
      </c>
      <c r="BB831" s="244" t="s">
        <v>497</v>
      </c>
      <c r="BC831" s="43" t="str">
        <f t="shared" si="325"/>
        <v>-</v>
      </c>
      <c r="BD831" s="43">
        <f t="shared" si="343"/>
        <v>0</v>
      </c>
      <c r="BE831" s="193">
        <f t="shared" si="341"/>
        <v>0</v>
      </c>
      <c r="BF831" s="193">
        <f t="shared" si="326"/>
        <v>0</v>
      </c>
      <c r="BG831" s="193">
        <f t="shared" si="327"/>
        <v>0</v>
      </c>
      <c r="BH831" s="307" t="str">
        <f t="shared" si="342"/>
        <v>-</v>
      </c>
      <c r="BI831" s="311" t="s">
        <v>242</v>
      </c>
      <c r="BJ831" s="26" t="str">
        <f t="shared" si="328"/>
        <v>CLAYOQUOT RIVER (UPPER)Sockeye</v>
      </c>
      <c r="BK831" s="26">
        <f t="shared" si="329"/>
        <v>0</v>
      </c>
      <c r="BL831" s="33">
        <f t="shared" si="345"/>
        <v>0</v>
      </c>
      <c r="BQ831" s="47" t="str">
        <f t="shared" si="330"/>
        <v>CLAYOQUOT RIVER (UPPER)Sockeye</v>
      </c>
      <c r="BR831" s="49">
        <f t="shared" si="331"/>
        <v>0</v>
      </c>
      <c r="BS831" s="49">
        <f t="shared" si="340"/>
        <v>0</v>
      </c>
      <c r="BT831" s="31">
        <v>2010</v>
      </c>
      <c r="BU831" s="188" t="str">
        <f t="shared" si="332"/>
        <v>TSES</v>
      </c>
      <c r="BV831" s="188" t="str">
        <f t="shared" si="333"/>
        <v xml:space="preserve"> </v>
      </c>
      <c r="BW831" s="188" t="str">
        <f t="shared" si="334"/>
        <v xml:space="preserve"> </v>
      </c>
      <c r="BX831" s="188" t="str">
        <f t="shared" si="335"/>
        <v xml:space="preserve"> </v>
      </c>
      <c r="BY831" s="50" t="str">
        <f t="shared" ref="BY831:BY894" si="347">CONCATENATE(E831,"_",F831)</f>
        <v>CLAYOQUOT RIVER (UPPER)_Sockeye</v>
      </c>
      <c r="BZ831" s="50" t="str">
        <f>IFERROR(VLOOKUP(BY831,'[1]WCVI Esc'!$C$5:$W$555,18,FALSE),"-")</f>
        <v>-</v>
      </c>
      <c r="CA831" s="50" t="str">
        <f t="shared" si="336"/>
        <v>-</v>
      </c>
      <c r="CB831" s="50" t="str">
        <f>IFERROR(VLOOKUP(BY831,'[1]WCVI Esc'!$C$5:$W$555,19,FALSE),"-")</f>
        <v>-</v>
      </c>
      <c r="CC831" s="50" t="str">
        <f t="shared" si="337"/>
        <v>-</v>
      </c>
      <c r="CE831" s="342" t="str">
        <f t="shared" si="346"/>
        <v>CLAYOQUOT RIVER (UPPER)_Sockeye</v>
      </c>
      <c r="CF831" s="341" t="str">
        <f>IFERROR(VLOOKUP(BY831,'RawPL+D'!$O$8:$AB$503,12,FALSE),"-")</f>
        <v>-</v>
      </c>
      <c r="CG831" s="338" t="str">
        <f t="shared" si="338"/>
        <v>-</v>
      </c>
      <c r="CH831" s="341" t="str">
        <f>IFERROR(VLOOKUP(BY831,'RawPL+D'!$O$8:$AB$503,13,FALSE),"-")</f>
        <v>-</v>
      </c>
      <c r="CI831" s="338" t="str">
        <f t="shared" si="339"/>
        <v>-</v>
      </c>
    </row>
    <row r="832" spans="1:87" ht="12.75" hidden="1" customHeight="1" x14ac:dyDescent="0.2">
      <c r="A832" s="28">
        <v>4</v>
      </c>
      <c r="B832" s="28">
        <v>2</v>
      </c>
      <c r="C832" s="11">
        <v>24</v>
      </c>
      <c r="D832" s="13" t="s">
        <v>296</v>
      </c>
      <c r="E832" s="10" t="s">
        <v>38</v>
      </c>
      <c r="F832" s="10" t="s">
        <v>219</v>
      </c>
      <c r="G832" s="10"/>
      <c r="H832" s="10"/>
      <c r="I832" s="10"/>
      <c r="J832" s="10"/>
      <c r="K832" s="575"/>
      <c r="L832" s="152"/>
      <c r="M832" s="164"/>
      <c r="N832" s="62"/>
      <c r="O832" s="62"/>
      <c r="P832" s="177"/>
      <c r="Q832" s="171"/>
      <c r="R832" s="62"/>
      <c r="S832" s="62"/>
      <c r="T832" s="62"/>
      <c r="U832" s="432"/>
      <c r="V832" s="164"/>
      <c r="W832" s="432"/>
      <c r="X832" s="62"/>
      <c r="Y832" s="62"/>
      <c r="Z832" s="64"/>
      <c r="AA832" s="164"/>
      <c r="AB832" s="62"/>
      <c r="AC832" s="62"/>
      <c r="AD832" s="64"/>
      <c r="AE832" s="164"/>
      <c r="AF832" s="62"/>
      <c r="AG832" s="64"/>
      <c r="AH832" s="337"/>
      <c r="AI832" s="337"/>
      <c r="AJ832" s="337"/>
      <c r="AK832" s="337"/>
      <c r="AL832" s="555"/>
      <c r="AM832" s="552"/>
      <c r="AN832" s="45"/>
      <c r="AO832" s="45"/>
      <c r="AP832" s="45"/>
      <c r="AQ832" s="485"/>
      <c r="AR832" s="100"/>
      <c r="AS832" s="485"/>
      <c r="AT832" s="24"/>
      <c r="AU832" s="24"/>
      <c r="AV832" s="24"/>
      <c r="AW832" s="18">
        <v>24</v>
      </c>
      <c r="AX832" s="69" t="s">
        <v>296</v>
      </c>
      <c r="AY832" s="243" t="s">
        <v>38</v>
      </c>
      <c r="AZ832" s="243" t="str">
        <f t="shared" si="324"/>
        <v>Coho</v>
      </c>
      <c r="BA832" s="243" t="s">
        <v>419</v>
      </c>
      <c r="BB832" s="244" t="s">
        <v>497</v>
      </c>
      <c r="BC832" s="43" t="str">
        <f t="shared" si="325"/>
        <v>-</v>
      </c>
      <c r="BD832" s="43">
        <f t="shared" si="343"/>
        <v>0</v>
      </c>
      <c r="BE832" s="193">
        <f t="shared" si="341"/>
        <v>0</v>
      </c>
      <c r="BF832" s="193">
        <f t="shared" si="326"/>
        <v>0</v>
      </c>
      <c r="BG832" s="193">
        <f t="shared" si="327"/>
        <v>0</v>
      </c>
      <c r="BH832" s="307" t="str">
        <f t="shared" si="342"/>
        <v>-</v>
      </c>
      <c r="BI832" s="265" t="str">
        <f>CC832</f>
        <v>-</v>
      </c>
      <c r="BJ832" s="26" t="str">
        <f t="shared" si="328"/>
        <v>CLAYOQUOT RIVER (UPPER)Coho</v>
      </c>
      <c r="BK832" s="26">
        <f t="shared" si="329"/>
        <v>0</v>
      </c>
      <c r="BL832" s="33">
        <f t="shared" si="345"/>
        <v>0</v>
      </c>
      <c r="BQ832" s="47" t="str">
        <f t="shared" si="330"/>
        <v>CLAYOQUOT RIVER (UPPER)Coho</v>
      </c>
      <c r="BR832" s="49">
        <f t="shared" si="331"/>
        <v>0</v>
      </c>
      <c r="BS832" s="49">
        <f t="shared" si="340"/>
        <v>0</v>
      </c>
      <c r="BT832" s="31">
        <v>2002</v>
      </c>
      <c r="BU832" s="188" t="str">
        <f t="shared" si="332"/>
        <v>TSES</v>
      </c>
      <c r="BV832" s="188" t="str">
        <f t="shared" si="333"/>
        <v xml:space="preserve"> </v>
      </c>
      <c r="BW832" s="188" t="str">
        <f t="shared" si="334"/>
        <v xml:space="preserve"> </v>
      </c>
      <c r="BX832" s="188" t="str">
        <f t="shared" si="335"/>
        <v xml:space="preserve"> </v>
      </c>
      <c r="BY832" s="50" t="str">
        <f t="shared" si="347"/>
        <v>CLAYOQUOT RIVER (UPPER)_Coho</v>
      </c>
      <c r="BZ832" s="50" t="str">
        <f>IFERROR(VLOOKUP(BY832,'[1]WCVI Esc'!$C$5:$W$555,18,FALSE),"-")</f>
        <v>-</v>
      </c>
      <c r="CA832" s="50" t="str">
        <f t="shared" si="336"/>
        <v>-</v>
      </c>
      <c r="CB832" s="50" t="str">
        <f>IFERROR(VLOOKUP(BY832,'[1]WCVI Esc'!$C$5:$W$555,19,FALSE),"-")</f>
        <v>-</v>
      </c>
      <c r="CC832" s="50" t="str">
        <f t="shared" si="337"/>
        <v>-</v>
      </c>
      <c r="CE832" s="342" t="str">
        <f t="shared" si="346"/>
        <v>CLAYOQUOT RIVER (UPPER)_Coho</v>
      </c>
      <c r="CF832" s="341" t="str">
        <f>IFERROR(VLOOKUP(BY832,'RawPL+D'!$O$8:$AB$503,12,FALSE),"-")</f>
        <v>-</v>
      </c>
      <c r="CG832" s="338" t="str">
        <f t="shared" si="338"/>
        <v>-</v>
      </c>
      <c r="CH832" s="341" t="str">
        <f>IFERROR(VLOOKUP(BY832,'RawPL+D'!$O$8:$AB$503,13,FALSE),"-")</f>
        <v>-</v>
      </c>
      <c r="CI832" s="338" t="str">
        <f t="shared" si="339"/>
        <v>-</v>
      </c>
    </row>
    <row r="833" spans="1:87" ht="12.75" hidden="1" customHeight="1" x14ac:dyDescent="0.2">
      <c r="A833" s="28">
        <v>4</v>
      </c>
      <c r="B833" s="28">
        <v>3</v>
      </c>
      <c r="C833" s="11">
        <v>24</v>
      </c>
      <c r="D833" s="13" t="s">
        <v>296</v>
      </c>
      <c r="E833" s="10" t="s">
        <v>38</v>
      </c>
      <c r="F833" s="10" t="s">
        <v>208</v>
      </c>
      <c r="G833" s="10"/>
      <c r="H833" s="10"/>
      <c r="I833" s="10"/>
      <c r="J833" s="10"/>
      <c r="K833" s="575"/>
      <c r="L833" s="152"/>
      <c r="M833" s="164"/>
      <c r="N833" s="62"/>
      <c r="O833" s="62"/>
      <c r="P833" s="177"/>
      <c r="Q833" s="171"/>
      <c r="R833" s="62"/>
      <c r="S833" s="62"/>
      <c r="T833" s="62"/>
      <c r="U833" s="62"/>
      <c r="V833" s="164"/>
      <c r="W833" s="62"/>
      <c r="X833" s="62"/>
      <c r="Y833" s="62"/>
      <c r="Z833" s="64"/>
      <c r="AA833" s="164"/>
      <c r="AB833" s="62"/>
      <c r="AC833" s="62"/>
      <c r="AD833" s="64"/>
      <c r="AE833" s="164"/>
      <c r="AF833" s="62"/>
      <c r="AG833" s="64"/>
      <c r="AH833" s="337"/>
      <c r="AI833" s="337"/>
      <c r="AJ833" s="337"/>
      <c r="AK833" s="337"/>
      <c r="AL833" s="555"/>
      <c r="AM833" s="552"/>
      <c r="AN833" s="45"/>
      <c r="AO833" s="45"/>
      <c r="AP833" s="45"/>
      <c r="AQ833" s="485"/>
      <c r="AR833" s="100"/>
      <c r="AS833" s="485"/>
      <c r="AT833" s="24"/>
      <c r="AU833" s="24"/>
      <c r="AV833" s="24"/>
      <c r="AW833" s="18">
        <v>24</v>
      </c>
      <c r="AX833" s="69" t="s">
        <v>296</v>
      </c>
      <c r="AY833" s="243" t="s">
        <v>38</v>
      </c>
      <c r="AZ833" s="243" t="str">
        <f t="shared" si="324"/>
        <v>Pink</v>
      </c>
      <c r="BA833" s="243" t="s">
        <v>419</v>
      </c>
      <c r="BB833" s="244" t="s">
        <v>497</v>
      </c>
      <c r="BC833" s="43" t="str">
        <f t="shared" si="325"/>
        <v>-</v>
      </c>
      <c r="BD833" s="43">
        <f t="shared" si="343"/>
        <v>0</v>
      </c>
      <c r="BE833" s="193">
        <f t="shared" si="341"/>
        <v>0</v>
      </c>
      <c r="BF833" s="193">
        <f t="shared" si="326"/>
        <v>0</v>
      </c>
      <c r="BG833" s="193">
        <f t="shared" si="327"/>
        <v>0</v>
      </c>
      <c r="BH833" s="307" t="str">
        <f t="shared" si="342"/>
        <v>-</v>
      </c>
      <c r="BI833" s="266"/>
      <c r="BJ833" s="26" t="str">
        <f t="shared" si="328"/>
        <v>CLAYOQUOT RIVER (UPPER)Pink</v>
      </c>
      <c r="BK833" s="26">
        <f t="shared" si="329"/>
        <v>0</v>
      </c>
      <c r="BL833" s="33">
        <f t="shared" si="345"/>
        <v>0</v>
      </c>
      <c r="BQ833" s="47" t="str">
        <f t="shared" si="330"/>
        <v>CLAYOQUOT RIVER (UPPER)Pink</v>
      </c>
      <c r="BR833" s="49">
        <f t="shared" si="331"/>
        <v>0</v>
      </c>
      <c r="BS833" s="49">
        <f t="shared" si="340"/>
        <v>0</v>
      </c>
      <c r="BT833" s="31">
        <v>0</v>
      </c>
      <c r="BU833" s="188" t="str">
        <f t="shared" si="332"/>
        <v>TSES</v>
      </c>
      <c r="BV833" s="188" t="str">
        <f t="shared" si="333"/>
        <v xml:space="preserve"> </v>
      </c>
      <c r="BW833" s="188" t="str">
        <f t="shared" si="334"/>
        <v xml:space="preserve"> </v>
      </c>
      <c r="BX833" s="188" t="str">
        <f t="shared" si="335"/>
        <v xml:space="preserve"> </v>
      </c>
      <c r="BY833" s="50" t="str">
        <f t="shared" si="347"/>
        <v>CLAYOQUOT RIVER (UPPER)_Pink</v>
      </c>
      <c r="BZ833" s="50" t="str">
        <f>IFERROR(VLOOKUP(BY833,'[1]WCVI Esc'!$C$5:$W$555,18,FALSE),"-")</f>
        <v>-</v>
      </c>
      <c r="CA833" s="50" t="str">
        <f t="shared" si="336"/>
        <v>-</v>
      </c>
      <c r="CB833" s="50" t="str">
        <f>IFERROR(VLOOKUP(BY833,'[1]WCVI Esc'!$C$5:$W$555,19,FALSE),"-")</f>
        <v>-</v>
      </c>
      <c r="CC833" s="50" t="str">
        <f t="shared" si="337"/>
        <v>-</v>
      </c>
      <c r="CE833" s="342" t="str">
        <f t="shared" si="346"/>
        <v>CLAYOQUOT RIVER (UPPER)_Pink</v>
      </c>
      <c r="CF833" s="341" t="str">
        <f>IFERROR(VLOOKUP(BY833,'RawPL+D'!$O$8:$AB$503,12,FALSE),"-")</f>
        <v>-</v>
      </c>
      <c r="CG833" s="338" t="str">
        <f t="shared" si="338"/>
        <v>-</v>
      </c>
      <c r="CH833" s="341" t="str">
        <f>IFERROR(VLOOKUP(BY833,'RawPL+D'!$O$8:$AB$503,13,FALSE),"-")</f>
        <v>-</v>
      </c>
      <c r="CI833" s="338" t="str">
        <f t="shared" si="339"/>
        <v>-</v>
      </c>
    </row>
    <row r="834" spans="1:87" ht="12.75" hidden="1" customHeight="1" x14ac:dyDescent="0.2">
      <c r="A834" s="28">
        <v>4</v>
      </c>
      <c r="B834" s="28">
        <v>4</v>
      </c>
      <c r="C834" s="11">
        <v>24</v>
      </c>
      <c r="D834" s="13" t="s">
        <v>296</v>
      </c>
      <c r="E834" s="10" t="s">
        <v>38</v>
      </c>
      <c r="F834" s="10" t="s">
        <v>209</v>
      </c>
      <c r="G834" s="10"/>
      <c r="H834" s="10"/>
      <c r="I834" s="10"/>
      <c r="J834" s="10"/>
      <c r="K834" s="575"/>
      <c r="L834" s="152"/>
      <c r="M834" s="164"/>
      <c r="N834" s="62"/>
      <c r="O834" s="62"/>
      <c r="P834" s="177"/>
      <c r="Q834" s="171"/>
      <c r="R834" s="62"/>
      <c r="S834" s="62"/>
      <c r="T834" s="62"/>
      <c r="U834" s="62"/>
      <c r="V834" s="164"/>
      <c r="W834" s="62"/>
      <c r="X834" s="62"/>
      <c r="Y834" s="62"/>
      <c r="Z834" s="64"/>
      <c r="AA834" s="164"/>
      <c r="AB834" s="62"/>
      <c r="AC834" s="62"/>
      <c r="AD834" s="64"/>
      <c r="AE834" s="164"/>
      <c r="AF834" s="62"/>
      <c r="AG834" s="64"/>
      <c r="AH834" s="337"/>
      <c r="AI834" s="337"/>
      <c r="AJ834" s="337"/>
      <c r="AK834" s="337"/>
      <c r="AL834" s="555"/>
      <c r="AM834" s="552"/>
      <c r="AN834" s="45"/>
      <c r="AO834" s="45"/>
      <c r="AP834" s="45"/>
      <c r="AQ834" s="485"/>
      <c r="AR834" s="100"/>
      <c r="AS834" s="485"/>
      <c r="AT834" s="24"/>
      <c r="AU834" s="24"/>
      <c r="AV834" s="24"/>
      <c r="AW834" s="18">
        <v>24</v>
      </c>
      <c r="AX834" s="69" t="s">
        <v>296</v>
      </c>
      <c r="AY834" s="243" t="s">
        <v>38</v>
      </c>
      <c r="AZ834" s="243" t="str">
        <f t="shared" si="324"/>
        <v>Chum</v>
      </c>
      <c r="BA834" s="243" t="s">
        <v>419</v>
      </c>
      <c r="BB834" s="244" t="s">
        <v>497</v>
      </c>
      <c r="BC834" s="43" t="str">
        <f t="shared" si="325"/>
        <v>-</v>
      </c>
      <c r="BD834" s="43">
        <f t="shared" si="343"/>
        <v>0</v>
      </c>
      <c r="BE834" s="193">
        <f t="shared" si="341"/>
        <v>0</v>
      </c>
      <c r="BF834" s="193">
        <f t="shared" si="326"/>
        <v>0</v>
      </c>
      <c r="BG834" s="193">
        <f t="shared" si="327"/>
        <v>0</v>
      </c>
      <c r="BH834" s="307" t="str">
        <f t="shared" si="342"/>
        <v>-</v>
      </c>
      <c r="BI834" s="266"/>
      <c r="BJ834" s="26" t="str">
        <f t="shared" si="328"/>
        <v>CLAYOQUOT RIVER (UPPER)Chum</v>
      </c>
      <c r="BK834" s="26">
        <f t="shared" si="329"/>
        <v>0</v>
      </c>
      <c r="BL834" s="33">
        <f t="shared" si="345"/>
        <v>0</v>
      </c>
      <c r="BQ834" s="47" t="str">
        <f t="shared" si="330"/>
        <v>CLAYOQUOT RIVER (UPPER)Chum</v>
      </c>
      <c r="BR834" s="49">
        <f t="shared" si="331"/>
        <v>0</v>
      </c>
      <c r="BS834" s="49">
        <f t="shared" si="340"/>
        <v>0</v>
      </c>
      <c r="BT834" s="31">
        <v>2002</v>
      </c>
      <c r="BU834" s="188" t="str">
        <f t="shared" si="332"/>
        <v>TSES</v>
      </c>
      <c r="BV834" s="188" t="str">
        <f t="shared" si="333"/>
        <v xml:space="preserve"> </v>
      </c>
      <c r="BW834" s="188" t="str">
        <f t="shared" si="334"/>
        <v xml:space="preserve"> </v>
      </c>
      <c r="BX834" s="188" t="str">
        <f t="shared" si="335"/>
        <v xml:space="preserve"> </v>
      </c>
      <c r="BY834" s="50" t="str">
        <f t="shared" si="347"/>
        <v>CLAYOQUOT RIVER (UPPER)_Chum</v>
      </c>
      <c r="BZ834" s="50" t="str">
        <f>IFERROR(VLOOKUP(BY834,'[1]WCVI Esc'!$C$5:$W$555,18,FALSE),"-")</f>
        <v>-</v>
      </c>
      <c r="CA834" s="50" t="str">
        <f t="shared" si="336"/>
        <v>-</v>
      </c>
      <c r="CB834" s="50" t="str">
        <f>IFERROR(VLOOKUP(BY834,'[1]WCVI Esc'!$C$5:$W$555,19,FALSE),"-")</f>
        <v>-</v>
      </c>
      <c r="CC834" s="50" t="str">
        <f t="shared" si="337"/>
        <v>-</v>
      </c>
      <c r="CE834" s="342" t="str">
        <f t="shared" si="346"/>
        <v>CLAYOQUOT RIVER (UPPER)_Chum</v>
      </c>
      <c r="CF834" s="341" t="str">
        <f>IFERROR(VLOOKUP(BY834,'RawPL+D'!$O$8:$AB$503,12,FALSE),"-")</f>
        <v>-</v>
      </c>
      <c r="CG834" s="338" t="str">
        <f t="shared" si="338"/>
        <v>-</v>
      </c>
      <c r="CH834" s="341" t="str">
        <f>IFERROR(VLOOKUP(BY834,'RawPL+D'!$O$8:$AB$503,13,FALSE),"-")</f>
        <v>-</v>
      </c>
      <c r="CI834" s="338" t="str">
        <f t="shared" si="339"/>
        <v>-</v>
      </c>
    </row>
    <row r="835" spans="1:87" ht="12.75" hidden="1" customHeight="1" x14ac:dyDescent="0.2">
      <c r="A835" s="28">
        <v>4</v>
      </c>
      <c r="B835" s="28">
        <v>5</v>
      </c>
      <c r="C835" s="11">
        <v>24</v>
      </c>
      <c r="D835" s="13" t="s">
        <v>296</v>
      </c>
      <c r="E835" s="10" t="s">
        <v>38</v>
      </c>
      <c r="F835" s="10" t="s">
        <v>210</v>
      </c>
      <c r="G835" s="10"/>
      <c r="H835" s="10"/>
      <c r="I835" s="10"/>
      <c r="J835" s="10"/>
      <c r="K835" s="575"/>
      <c r="L835" s="152"/>
      <c r="M835" s="164"/>
      <c r="N835" s="62"/>
      <c r="O835" s="62"/>
      <c r="P835" s="177"/>
      <c r="Q835" s="171"/>
      <c r="R835" s="62"/>
      <c r="S835" s="62"/>
      <c r="T835" s="62"/>
      <c r="U835" s="62"/>
      <c r="V835" s="164"/>
      <c r="W835" s="62"/>
      <c r="X835" s="62"/>
      <c r="Y835" s="62"/>
      <c r="Z835" s="64"/>
      <c r="AA835" s="164"/>
      <c r="AB835" s="62"/>
      <c r="AC835" s="62"/>
      <c r="AD835" s="64"/>
      <c r="AE835" s="164"/>
      <c r="AF835" s="62"/>
      <c r="AG835" s="64"/>
      <c r="AH835" s="337"/>
      <c r="AI835" s="337"/>
      <c r="AJ835" s="337"/>
      <c r="AK835" s="337"/>
      <c r="AL835" s="555"/>
      <c r="AM835" s="552"/>
      <c r="AN835" s="45"/>
      <c r="AO835" s="45"/>
      <c r="AP835" s="45"/>
      <c r="AQ835" s="485"/>
      <c r="AR835" s="100"/>
      <c r="AS835" s="485"/>
      <c r="AT835" s="24"/>
      <c r="AU835" s="24"/>
      <c r="AV835" s="24"/>
      <c r="AW835" s="18">
        <v>24</v>
      </c>
      <c r="AX835" s="69" t="s">
        <v>296</v>
      </c>
      <c r="AY835" s="243" t="s">
        <v>38</v>
      </c>
      <c r="AZ835" s="243" t="str">
        <f t="shared" si="324"/>
        <v>Chinook</v>
      </c>
      <c r="BA835" s="243" t="s">
        <v>419</v>
      </c>
      <c r="BB835" s="244" t="s">
        <v>497</v>
      </c>
      <c r="BC835" s="43" t="str">
        <f t="shared" si="325"/>
        <v>-</v>
      </c>
      <c r="BD835" s="43">
        <f t="shared" si="343"/>
        <v>0</v>
      </c>
      <c r="BE835" s="193">
        <f t="shared" si="341"/>
        <v>0</v>
      </c>
      <c r="BF835" s="193">
        <f t="shared" si="326"/>
        <v>0</v>
      </c>
      <c r="BG835" s="193">
        <f t="shared" si="327"/>
        <v>0</v>
      </c>
      <c r="BH835" s="307" t="str">
        <f t="shared" si="342"/>
        <v>-</v>
      </c>
      <c r="BI835" s="308" t="s">
        <v>242</v>
      </c>
      <c r="BJ835" s="26" t="str">
        <f t="shared" si="328"/>
        <v>CLAYOQUOT RIVER (UPPER)Chinook</v>
      </c>
      <c r="BK835" s="26">
        <f t="shared" si="329"/>
        <v>0</v>
      </c>
      <c r="BL835" s="33">
        <f t="shared" si="345"/>
        <v>0</v>
      </c>
      <c r="BQ835" s="47" t="str">
        <f t="shared" si="330"/>
        <v>CLAYOQUOT RIVER (UPPER)Chinook</v>
      </c>
      <c r="BR835" s="49">
        <f t="shared" si="331"/>
        <v>0</v>
      </c>
      <c r="BS835" s="49">
        <f t="shared" si="340"/>
        <v>0</v>
      </c>
      <c r="BT835" s="31">
        <v>2002</v>
      </c>
      <c r="BU835" s="188" t="str">
        <f t="shared" si="332"/>
        <v>TSES</v>
      </c>
      <c r="BV835" s="188" t="str">
        <f t="shared" si="333"/>
        <v xml:space="preserve"> </v>
      </c>
      <c r="BW835" s="188" t="str">
        <f t="shared" si="334"/>
        <v xml:space="preserve"> </v>
      </c>
      <c r="BX835" s="188" t="str">
        <f t="shared" si="335"/>
        <v xml:space="preserve"> </v>
      </c>
      <c r="BY835" s="50" t="str">
        <f t="shared" si="347"/>
        <v>CLAYOQUOT RIVER (UPPER)_Chinook</v>
      </c>
      <c r="BZ835" s="50" t="str">
        <f>IFERROR(VLOOKUP(BY835,'[1]WCVI Esc'!$C$5:$W$555,18,FALSE),"-")</f>
        <v>-</v>
      </c>
      <c r="CA835" s="50" t="str">
        <f t="shared" si="336"/>
        <v>-</v>
      </c>
      <c r="CB835" s="50" t="str">
        <f>IFERROR(VLOOKUP(BY835,'[1]WCVI Esc'!$C$5:$W$555,19,FALSE),"-")</f>
        <v>-</v>
      </c>
      <c r="CC835" s="50" t="str">
        <f t="shared" si="337"/>
        <v>-</v>
      </c>
      <c r="CE835" s="342" t="str">
        <f t="shared" si="346"/>
        <v>CLAYOQUOT RIVER (UPPER)_Chinook</v>
      </c>
      <c r="CF835" s="341" t="str">
        <f>IFERROR(VLOOKUP(BY835,'RawPL+D'!$O$8:$AB$503,12,FALSE),"-")</f>
        <v>-</v>
      </c>
      <c r="CG835" s="338" t="str">
        <f t="shared" si="338"/>
        <v>-</v>
      </c>
      <c r="CH835" s="341" t="str">
        <f>IFERROR(VLOOKUP(BY835,'RawPL+D'!$O$8:$AB$503,13,FALSE),"-")</f>
        <v>-</v>
      </c>
      <c r="CI835" s="338" t="str">
        <f t="shared" si="339"/>
        <v>-</v>
      </c>
    </row>
    <row r="836" spans="1:87" ht="12.75" hidden="1" customHeight="1" x14ac:dyDescent="0.2">
      <c r="A836" s="28">
        <v>4</v>
      </c>
      <c r="B836" s="28">
        <v>6</v>
      </c>
      <c r="C836" s="11">
        <v>24</v>
      </c>
      <c r="D836" s="13" t="s">
        <v>296</v>
      </c>
      <c r="E836" s="10" t="s">
        <v>38</v>
      </c>
      <c r="F836" s="10" t="s">
        <v>211</v>
      </c>
      <c r="G836" s="10"/>
      <c r="H836" s="10"/>
      <c r="I836" s="10"/>
      <c r="J836" s="10"/>
      <c r="K836" s="575"/>
      <c r="L836" s="152"/>
      <c r="M836" s="164"/>
      <c r="N836" s="62"/>
      <c r="O836" s="62"/>
      <c r="P836" s="177"/>
      <c r="Q836" s="171"/>
      <c r="R836" s="62"/>
      <c r="S836" s="62"/>
      <c r="T836" s="62"/>
      <c r="U836" s="62"/>
      <c r="V836" s="164"/>
      <c r="W836" s="62"/>
      <c r="X836" s="62"/>
      <c r="Y836" s="62"/>
      <c r="Z836" s="64"/>
      <c r="AA836" s="164"/>
      <c r="AB836" s="62"/>
      <c r="AC836" s="62"/>
      <c r="AD836" s="64"/>
      <c r="AE836" s="164"/>
      <c r="AF836" s="62"/>
      <c r="AG836" s="64"/>
      <c r="AH836" s="337"/>
      <c r="AI836" s="337"/>
      <c r="AJ836" s="337"/>
      <c r="AK836" s="337"/>
      <c r="AL836" s="555"/>
      <c r="AM836" s="552"/>
      <c r="AN836" s="45"/>
      <c r="AO836" s="45"/>
      <c r="AP836" s="45"/>
      <c r="AQ836" s="485"/>
      <c r="AR836" s="100"/>
      <c r="AS836" s="485"/>
      <c r="AT836" s="24"/>
      <c r="AU836" s="24"/>
      <c r="AV836" s="24"/>
      <c r="AW836" s="18">
        <v>24</v>
      </c>
      <c r="AX836" s="69" t="s">
        <v>296</v>
      </c>
      <c r="AY836" s="243" t="s">
        <v>38</v>
      </c>
      <c r="AZ836" s="243" t="str">
        <f t="shared" si="324"/>
        <v>Steelhead</v>
      </c>
      <c r="BA836" s="243" t="s">
        <v>419</v>
      </c>
      <c r="BB836" s="244" t="s">
        <v>497</v>
      </c>
      <c r="BC836" s="43" t="str">
        <f t="shared" si="325"/>
        <v>-</v>
      </c>
      <c r="BD836" s="43">
        <f t="shared" si="343"/>
        <v>0</v>
      </c>
      <c r="BE836" s="193">
        <f t="shared" si="341"/>
        <v>0</v>
      </c>
      <c r="BF836" s="193">
        <f t="shared" si="326"/>
        <v>0</v>
      </c>
      <c r="BG836" s="193">
        <f t="shared" si="327"/>
        <v>0</v>
      </c>
      <c r="BH836" s="307" t="str">
        <f t="shared" si="342"/>
        <v>-</v>
      </c>
      <c r="BI836" s="266"/>
      <c r="BJ836" s="26" t="str">
        <f t="shared" si="328"/>
        <v>CLAYOQUOT RIVER (UPPER)Steelhead</v>
      </c>
      <c r="BK836" s="26">
        <f t="shared" si="329"/>
        <v>0</v>
      </c>
      <c r="BL836" s="33">
        <f t="shared" si="345"/>
        <v>0</v>
      </c>
      <c r="BQ836" s="47" t="str">
        <f t="shared" si="330"/>
        <v>CLAYOQUOT RIVER (UPPER)Steelhead</v>
      </c>
      <c r="BR836" s="49">
        <f t="shared" si="331"/>
        <v>0</v>
      </c>
      <c r="BS836" s="49">
        <f t="shared" si="340"/>
        <v>0</v>
      </c>
      <c r="BT836" s="31">
        <v>0</v>
      </c>
      <c r="BU836" s="188" t="str">
        <f t="shared" si="332"/>
        <v>TSES</v>
      </c>
      <c r="BV836" s="188" t="str">
        <f t="shared" si="333"/>
        <v xml:space="preserve"> </v>
      </c>
      <c r="BW836" s="188" t="str">
        <f t="shared" si="334"/>
        <v xml:space="preserve"> </v>
      </c>
      <c r="BX836" s="188" t="str">
        <f t="shared" si="335"/>
        <v xml:space="preserve"> </v>
      </c>
      <c r="BY836" s="50" t="str">
        <f t="shared" si="347"/>
        <v>CLAYOQUOT RIVER (UPPER)_Steelhead</v>
      </c>
      <c r="BZ836" s="50" t="str">
        <f>IFERROR(VLOOKUP(BY836,'[1]WCVI Esc'!$C$5:$W$555,18,FALSE),"-")</f>
        <v>-</v>
      </c>
      <c r="CA836" s="50" t="str">
        <f t="shared" si="336"/>
        <v>-</v>
      </c>
      <c r="CB836" s="50" t="str">
        <f>IFERROR(VLOOKUP(BY836,'[1]WCVI Esc'!$C$5:$W$555,19,FALSE),"-")</f>
        <v>-</v>
      </c>
      <c r="CC836" s="50" t="str">
        <f t="shared" si="337"/>
        <v>-</v>
      </c>
      <c r="CE836" s="342" t="str">
        <f t="shared" si="346"/>
        <v>CLAYOQUOT RIVER (UPPER)_Steelhead</v>
      </c>
      <c r="CF836" s="341" t="str">
        <f>IFERROR(VLOOKUP(BY836,'RawPL+D'!$O$8:$AB$503,12,FALSE),"-")</f>
        <v>-</v>
      </c>
      <c r="CG836" s="338" t="str">
        <f t="shared" si="338"/>
        <v>-</v>
      </c>
      <c r="CH836" s="341" t="str">
        <f>IFERROR(VLOOKUP(BY836,'RawPL+D'!$O$8:$AB$503,13,FALSE),"-")</f>
        <v>-</v>
      </c>
      <c r="CI836" s="338" t="str">
        <f t="shared" si="339"/>
        <v>-</v>
      </c>
    </row>
    <row r="837" spans="1:87" ht="12.75" hidden="1" customHeight="1" x14ac:dyDescent="0.2">
      <c r="A837" s="28">
        <v>4</v>
      </c>
      <c r="B837" s="28">
        <v>1</v>
      </c>
      <c r="C837" s="11">
        <v>24</v>
      </c>
      <c r="D837" s="13" t="s">
        <v>296</v>
      </c>
      <c r="E837" s="10" t="s">
        <v>189</v>
      </c>
      <c r="F837" s="10" t="s">
        <v>207</v>
      </c>
      <c r="G837" s="10"/>
      <c r="H837" s="10"/>
      <c r="I837" s="10"/>
      <c r="J837" s="10"/>
      <c r="K837" s="575"/>
      <c r="L837" s="152"/>
      <c r="M837" s="164"/>
      <c r="N837" s="62"/>
      <c r="O837" s="62"/>
      <c r="P837" s="177"/>
      <c r="Q837" s="171"/>
      <c r="R837" s="62"/>
      <c r="S837" s="62"/>
      <c r="T837" s="62"/>
      <c r="U837" s="64"/>
      <c r="V837" s="164"/>
      <c r="W837" s="62"/>
      <c r="X837" s="62"/>
      <c r="Y837" s="62"/>
      <c r="Z837" s="64"/>
      <c r="AA837" s="164"/>
      <c r="AB837" s="62"/>
      <c r="AC837" s="62"/>
      <c r="AD837" s="64"/>
      <c r="AE837" s="164"/>
      <c r="AF837" s="62"/>
      <c r="AG837" s="64"/>
      <c r="AH837" s="337"/>
      <c r="AI837" s="337"/>
      <c r="AJ837" s="337"/>
      <c r="AK837" s="337"/>
      <c r="AL837" s="412"/>
      <c r="AM837" s="414"/>
      <c r="AN837" s="45"/>
      <c r="AO837" s="45"/>
      <c r="AP837" s="45"/>
      <c r="AQ837" s="485"/>
      <c r="AR837" s="100"/>
      <c r="AS837" s="485"/>
      <c r="AT837" s="24"/>
      <c r="AU837" s="24"/>
      <c r="AV837" s="24"/>
      <c r="AW837" s="18">
        <v>24</v>
      </c>
      <c r="AX837" s="69" t="s">
        <v>296</v>
      </c>
      <c r="AY837" s="243" t="s">
        <v>189</v>
      </c>
      <c r="AZ837" s="243" t="str">
        <f t="shared" si="324"/>
        <v>Sockeye</v>
      </c>
      <c r="BA837" s="243" t="s">
        <v>419</v>
      </c>
      <c r="BB837" s="246"/>
      <c r="BC837" s="43" t="str">
        <f t="shared" si="325"/>
        <v>-</v>
      </c>
      <c r="BD837" s="43">
        <f t="shared" si="343"/>
        <v>0</v>
      </c>
      <c r="BE837" s="193">
        <f t="shared" si="341"/>
        <v>0</v>
      </c>
      <c r="BF837" s="193">
        <f t="shared" si="326"/>
        <v>0</v>
      </c>
      <c r="BG837" s="193">
        <f t="shared" si="327"/>
        <v>0</v>
      </c>
      <c r="BH837" s="307" t="str">
        <f t="shared" si="342"/>
        <v>-</v>
      </c>
      <c r="BI837" s="266"/>
      <c r="BJ837" s="26" t="str">
        <f t="shared" si="328"/>
        <v>CLOSE CREEKS (2)Sockeye</v>
      </c>
      <c r="BK837" s="26">
        <f t="shared" si="329"/>
        <v>0</v>
      </c>
      <c r="BL837" s="33">
        <f t="shared" si="345"/>
        <v>0</v>
      </c>
      <c r="BQ837" s="47" t="str">
        <f t="shared" si="330"/>
        <v>CLOSE CREEKS (2)Sockeye</v>
      </c>
      <c r="BR837" s="49">
        <f t="shared" si="331"/>
        <v>0</v>
      </c>
      <c r="BS837" s="49">
        <f t="shared" si="340"/>
        <v>0</v>
      </c>
      <c r="BT837" s="31">
        <v>0</v>
      </c>
      <c r="BU837" s="188">
        <f t="shared" si="332"/>
        <v>0</v>
      </c>
      <c r="BV837" s="188" t="str">
        <f t="shared" si="333"/>
        <v xml:space="preserve"> </v>
      </c>
      <c r="BW837" s="188" t="str">
        <f t="shared" si="334"/>
        <v xml:space="preserve"> </v>
      </c>
      <c r="BX837" s="188" t="str">
        <f t="shared" si="335"/>
        <v xml:space="preserve"> </v>
      </c>
      <c r="BY837" s="50" t="str">
        <f t="shared" si="347"/>
        <v>CLOSE CREEKS (2)_Sockeye</v>
      </c>
      <c r="BZ837" s="50" t="str">
        <f>IFERROR(VLOOKUP(BY837,'[1]WCVI Esc'!$C$5:$W$555,18,FALSE),"-")</f>
        <v>-</v>
      </c>
      <c r="CA837" s="50" t="str">
        <f t="shared" si="336"/>
        <v>-</v>
      </c>
      <c r="CB837" s="50" t="str">
        <f>IFERROR(VLOOKUP(BY837,'[1]WCVI Esc'!$C$5:$W$555,19,FALSE),"-")</f>
        <v>-</v>
      </c>
      <c r="CC837" s="50" t="str">
        <f t="shared" si="337"/>
        <v>-</v>
      </c>
      <c r="CE837" s="342" t="str">
        <f t="shared" si="346"/>
        <v>CLOSE CREEKS (2)_Sockeye</v>
      </c>
      <c r="CF837" s="341" t="str">
        <f>IFERROR(VLOOKUP(BY837,'RawPL+D'!$O$8:$AB$503,12,FALSE),"-")</f>
        <v>-</v>
      </c>
      <c r="CG837" s="338" t="str">
        <f t="shared" si="338"/>
        <v>-</v>
      </c>
      <c r="CH837" s="341" t="str">
        <f>IFERROR(VLOOKUP(BY837,'RawPL+D'!$O$8:$AB$503,13,FALSE),"-")</f>
        <v>-</v>
      </c>
      <c r="CI837" s="338" t="str">
        <f t="shared" si="339"/>
        <v>-</v>
      </c>
    </row>
    <row r="838" spans="1:87" ht="12.75" hidden="1" customHeight="1" x14ac:dyDescent="0.2">
      <c r="A838" s="28">
        <v>4</v>
      </c>
      <c r="B838" s="28">
        <v>2</v>
      </c>
      <c r="C838" s="11">
        <v>24</v>
      </c>
      <c r="D838" s="13" t="s">
        <v>296</v>
      </c>
      <c r="E838" s="10" t="s">
        <v>189</v>
      </c>
      <c r="F838" s="10" t="s">
        <v>219</v>
      </c>
      <c r="G838" s="10"/>
      <c r="H838" s="10"/>
      <c r="I838" s="10"/>
      <c r="J838" s="10"/>
      <c r="K838" s="575"/>
      <c r="L838" s="152"/>
      <c r="M838" s="164"/>
      <c r="N838" s="62"/>
      <c r="O838" s="62"/>
      <c r="P838" s="177"/>
      <c r="Q838" s="171"/>
      <c r="R838" s="62"/>
      <c r="S838" s="62"/>
      <c r="T838" s="62"/>
      <c r="U838" s="64"/>
      <c r="V838" s="164"/>
      <c r="W838" s="62"/>
      <c r="X838" s="62"/>
      <c r="Y838" s="62"/>
      <c r="Z838" s="64"/>
      <c r="AA838" s="164"/>
      <c r="AB838" s="62"/>
      <c r="AC838" s="62"/>
      <c r="AD838" s="64"/>
      <c r="AE838" s="164"/>
      <c r="AF838" s="62"/>
      <c r="AG838" s="64"/>
      <c r="AH838" s="337"/>
      <c r="AI838" s="337"/>
      <c r="AJ838" s="337"/>
      <c r="AK838" s="337"/>
      <c r="AL838" s="412"/>
      <c r="AM838" s="414"/>
      <c r="AN838" s="45"/>
      <c r="AO838" s="45"/>
      <c r="AP838" s="45"/>
      <c r="AQ838" s="485"/>
      <c r="AR838" s="100"/>
      <c r="AS838" s="485"/>
      <c r="AT838" s="24"/>
      <c r="AU838" s="24"/>
      <c r="AV838" s="24"/>
      <c r="AW838" s="18">
        <v>24</v>
      </c>
      <c r="AX838" s="69" t="s">
        <v>296</v>
      </c>
      <c r="AY838" s="243" t="s">
        <v>189</v>
      </c>
      <c r="AZ838" s="243" t="str">
        <f t="shared" si="324"/>
        <v>Coho</v>
      </c>
      <c r="BA838" s="243" t="s">
        <v>419</v>
      </c>
      <c r="BB838" s="246"/>
      <c r="BC838" s="43" t="str">
        <f t="shared" si="325"/>
        <v>-</v>
      </c>
      <c r="BD838" s="43">
        <f t="shared" si="343"/>
        <v>0</v>
      </c>
      <c r="BE838" s="193">
        <f t="shared" si="341"/>
        <v>0</v>
      </c>
      <c r="BF838" s="193">
        <f t="shared" si="326"/>
        <v>0</v>
      </c>
      <c r="BG838" s="193">
        <f t="shared" si="327"/>
        <v>0</v>
      </c>
      <c r="BH838" s="307" t="str">
        <f t="shared" si="342"/>
        <v>-</v>
      </c>
      <c r="BI838" s="266"/>
      <c r="BJ838" s="26" t="str">
        <f t="shared" si="328"/>
        <v>CLOSE CREEKS (2)Coho</v>
      </c>
      <c r="BK838" s="26">
        <f t="shared" si="329"/>
        <v>0</v>
      </c>
      <c r="BL838" s="33">
        <f t="shared" si="345"/>
        <v>0</v>
      </c>
      <c r="BQ838" s="47" t="str">
        <f t="shared" si="330"/>
        <v>CLOSE CREEKS (2)Coho</v>
      </c>
      <c r="BR838" s="49">
        <f t="shared" si="331"/>
        <v>0</v>
      </c>
      <c r="BS838" s="49">
        <f t="shared" si="340"/>
        <v>0</v>
      </c>
      <c r="BT838" s="31">
        <v>1995</v>
      </c>
      <c r="BU838" s="188">
        <f t="shared" si="332"/>
        <v>0</v>
      </c>
      <c r="BV838" s="188" t="str">
        <f t="shared" si="333"/>
        <v xml:space="preserve"> </v>
      </c>
      <c r="BW838" s="188" t="str">
        <f t="shared" si="334"/>
        <v xml:space="preserve"> </v>
      </c>
      <c r="BX838" s="188" t="str">
        <f t="shared" si="335"/>
        <v xml:space="preserve"> </v>
      </c>
      <c r="BY838" s="50" t="str">
        <f t="shared" si="347"/>
        <v>CLOSE CREEKS (2)_Coho</v>
      </c>
      <c r="BZ838" s="50" t="str">
        <f>IFERROR(VLOOKUP(BY838,'[1]WCVI Esc'!$C$5:$W$555,18,FALSE),"-")</f>
        <v>-</v>
      </c>
      <c r="CA838" s="50" t="str">
        <f t="shared" si="336"/>
        <v>-</v>
      </c>
      <c r="CB838" s="50" t="str">
        <f>IFERROR(VLOOKUP(BY838,'[1]WCVI Esc'!$C$5:$W$555,19,FALSE),"-")</f>
        <v>-</v>
      </c>
      <c r="CC838" s="50" t="str">
        <f t="shared" si="337"/>
        <v>-</v>
      </c>
      <c r="CE838" s="342" t="str">
        <f t="shared" si="346"/>
        <v>CLOSE CREEKS (2)_Coho</v>
      </c>
      <c r="CF838" s="341" t="str">
        <f>IFERROR(VLOOKUP(BY838,'RawPL+D'!$O$8:$AB$503,12,FALSE),"-")</f>
        <v>-</v>
      </c>
      <c r="CG838" s="338" t="str">
        <f t="shared" si="338"/>
        <v>-</v>
      </c>
      <c r="CH838" s="341" t="str">
        <f>IFERROR(VLOOKUP(BY838,'RawPL+D'!$O$8:$AB$503,13,FALSE),"-")</f>
        <v>-</v>
      </c>
      <c r="CI838" s="338" t="str">
        <f t="shared" si="339"/>
        <v>-</v>
      </c>
    </row>
    <row r="839" spans="1:87" ht="12.75" hidden="1" customHeight="1" x14ac:dyDescent="0.2">
      <c r="A839" s="28">
        <v>4</v>
      </c>
      <c r="B839" s="28">
        <v>3</v>
      </c>
      <c r="C839" s="11">
        <v>24</v>
      </c>
      <c r="D839" s="13" t="s">
        <v>296</v>
      </c>
      <c r="E839" s="10" t="s">
        <v>189</v>
      </c>
      <c r="F839" s="10" t="s">
        <v>208</v>
      </c>
      <c r="G839" s="10"/>
      <c r="H839" s="10"/>
      <c r="I839" s="10"/>
      <c r="J839" s="10"/>
      <c r="K839" s="575"/>
      <c r="L839" s="152"/>
      <c r="M839" s="164"/>
      <c r="N839" s="62"/>
      <c r="O839" s="62"/>
      <c r="P839" s="177"/>
      <c r="Q839" s="171"/>
      <c r="R839" s="62"/>
      <c r="S839" s="62"/>
      <c r="T839" s="62"/>
      <c r="U839" s="64"/>
      <c r="V839" s="164"/>
      <c r="W839" s="62"/>
      <c r="X839" s="62"/>
      <c r="Y839" s="62"/>
      <c r="Z839" s="64"/>
      <c r="AA839" s="164"/>
      <c r="AB839" s="62"/>
      <c r="AC839" s="62"/>
      <c r="AD839" s="64"/>
      <c r="AE839" s="164"/>
      <c r="AF839" s="62"/>
      <c r="AG839" s="64"/>
      <c r="AH839" s="337"/>
      <c r="AI839" s="337"/>
      <c r="AJ839" s="337"/>
      <c r="AK839" s="337"/>
      <c r="AL839" s="412"/>
      <c r="AM839" s="414"/>
      <c r="AN839" s="45"/>
      <c r="AO839" s="45"/>
      <c r="AP839" s="45"/>
      <c r="AQ839" s="485"/>
      <c r="AR839" s="100"/>
      <c r="AS839" s="485"/>
      <c r="AT839" s="24"/>
      <c r="AU839" s="24"/>
      <c r="AV839" s="24"/>
      <c r="AW839" s="18">
        <v>24</v>
      </c>
      <c r="AX839" s="69" t="s">
        <v>296</v>
      </c>
      <c r="AY839" s="243" t="s">
        <v>189</v>
      </c>
      <c r="AZ839" s="243" t="str">
        <f t="shared" si="324"/>
        <v>Pink</v>
      </c>
      <c r="BA839" s="243" t="s">
        <v>419</v>
      </c>
      <c r="BB839" s="246"/>
      <c r="BC839" s="43" t="str">
        <f t="shared" si="325"/>
        <v>-</v>
      </c>
      <c r="BD839" s="43">
        <f t="shared" si="343"/>
        <v>0</v>
      </c>
      <c r="BE839" s="193">
        <f t="shared" si="341"/>
        <v>0</v>
      </c>
      <c r="BF839" s="193">
        <f t="shared" si="326"/>
        <v>0</v>
      </c>
      <c r="BG839" s="193">
        <f t="shared" si="327"/>
        <v>0</v>
      </c>
      <c r="BH839" s="307" t="str">
        <f t="shared" si="342"/>
        <v>-</v>
      </c>
      <c r="BI839" s="266"/>
      <c r="BJ839" s="26" t="str">
        <f t="shared" si="328"/>
        <v>CLOSE CREEKS (2)Pink</v>
      </c>
      <c r="BK839" s="26">
        <f t="shared" si="329"/>
        <v>0</v>
      </c>
      <c r="BL839" s="33">
        <f t="shared" si="345"/>
        <v>0</v>
      </c>
      <c r="BQ839" s="47" t="str">
        <f t="shared" si="330"/>
        <v>CLOSE CREEKS (2)Pink</v>
      </c>
      <c r="BR839" s="49">
        <f t="shared" si="331"/>
        <v>0</v>
      </c>
      <c r="BS839" s="49">
        <f t="shared" si="340"/>
        <v>0</v>
      </c>
      <c r="BT839" s="31">
        <v>0</v>
      </c>
      <c r="BU839" s="188">
        <f t="shared" si="332"/>
        <v>0</v>
      </c>
      <c r="BV839" s="188" t="str">
        <f t="shared" si="333"/>
        <v xml:space="preserve"> </v>
      </c>
      <c r="BW839" s="188" t="str">
        <f t="shared" si="334"/>
        <v xml:space="preserve"> </v>
      </c>
      <c r="BX839" s="188" t="str">
        <f t="shared" si="335"/>
        <v xml:space="preserve"> </v>
      </c>
      <c r="BY839" s="50" t="str">
        <f t="shared" si="347"/>
        <v>CLOSE CREEKS (2)_Pink</v>
      </c>
      <c r="BZ839" s="50" t="str">
        <f>IFERROR(VLOOKUP(BY839,'[1]WCVI Esc'!$C$5:$W$555,18,FALSE),"-")</f>
        <v>-</v>
      </c>
      <c r="CA839" s="50" t="str">
        <f t="shared" si="336"/>
        <v>-</v>
      </c>
      <c r="CB839" s="50" t="str">
        <f>IFERROR(VLOOKUP(BY839,'[1]WCVI Esc'!$C$5:$W$555,19,FALSE),"-")</f>
        <v>-</v>
      </c>
      <c r="CC839" s="50" t="str">
        <f t="shared" si="337"/>
        <v>-</v>
      </c>
      <c r="CE839" s="342" t="str">
        <f t="shared" si="346"/>
        <v>CLOSE CREEKS (2)_Pink</v>
      </c>
      <c r="CF839" s="341" t="str">
        <f>IFERROR(VLOOKUP(BY839,'RawPL+D'!$O$8:$AB$503,12,FALSE),"-")</f>
        <v>-</v>
      </c>
      <c r="CG839" s="338" t="str">
        <f t="shared" si="338"/>
        <v>-</v>
      </c>
      <c r="CH839" s="341" t="str">
        <f>IFERROR(VLOOKUP(BY839,'RawPL+D'!$O$8:$AB$503,13,FALSE),"-")</f>
        <v>-</v>
      </c>
      <c r="CI839" s="338" t="str">
        <f t="shared" si="339"/>
        <v>-</v>
      </c>
    </row>
    <row r="840" spans="1:87" ht="12.75" hidden="1" customHeight="1" x14ac:dyDescent="0.2">
      <c r="A840" s="28">
        <v>4</v>
      </c>
      <c r="B840" s="28">
        <v>4</v>
      </c>
      <c r="C840" s="11">
        <v>24</v>
      </c>
      <c r="D840" s="13" t="s">
        <v>296</v>
      </c>
      <c r="E840" s="10" t="s">
        <v>189</v>
      </c>
      <c r="F840" s="10" t="s">
        <v>209</v>
      </c>
      <c r="G840" s="10"/>
      <c r="H840" s="10"/>
      <c r="I840" s="10"/>
      <c r="J840" s="10"/>
      <c r="K840" s="575"/>
      <c r="L840" s="152"/>
      <c r="M840" s="164"/>
      <c r="N840" s="62"/>
      <c r="O840" s="62"/>
      <c r="P840" s="177"/>
      <c r="Q840" s="171"/>
      <c r="R840" s="62"/>
      <c r="S840" s="62"/>
      <c r="T840" s="62"/>
      <c r="U840" s="64"/>
      <c r="V840" s="164"/>
      <c r="W840" s="62"/>
      <c r="X840" s="62"/>
      <c r="Y840" s="62"/>
      <c r="Z840" s="64"/>
      <c r="AA840" s="164"/>
      <c r="AB840" s="62"/>
      <c r="AC840" s="62"/>
      <c r="AD840" s="64"/>
      <c r="AE840" s="164"/>
      <c r="AF840" s="62"/>
      <c r="AG840" s="64"/>
      <c r="AH840" s="337"/>
      <c r="AI840" s="337"/>
      <c r="AJ840" s="337"/>
      <c r="AK840" s="337"/>
      <c r="AL840" s="412"/>
      <c r="AM840" s="414"/>
      <c r="AN840" s="45"/>
      <c r="AO840" s="45"/>
      <c r="AP840" s="45"/>
      <c r="AQ840" s="485"/>
      <c r="AR840" s="100"/>
      <c r="AS840" s="485"/>
      <c r="AT840" s="24"/>
      <c r="AU840" s="24"/>
      <c r="AV840" s="24"/>
      <c r="AW840" s="18">
        <v>24</v>
      </c>
      <c r="AX840" s="69" t="s">
        <v>296</v>
      </c>
      <c r="AY840" s="243" t="s">
        <v>189</v>
      </c>
      <c r="AZ840" s="243" t="str">
        <f t="shared" si="324"/>
        <v>Chum</v>
      </c>
      <c r="BA840" s="243" t="s">
        <v>419</v>
      </c>
      <c r="BB840" s="246"/>
      <c r="BC840" s="43" t="str">
        <f t="shared" si="325"/>
        <v>-</v>
      </c>
      <c r="BD840" s="43">
        <f t="shared" si="343"/>
        <v>0</v>
      </c>
      <c r="BE840" s="193">
        <f t="shared" si="341"/>
        <v>0</v>
      </c>
      <c r="BF840" s="193">
        <f t="shared" si="326"/>
        <v>0</v>
      </c>
      <c r="BG840" s="193">
        <f t="shared" si="327"/>
        <v>0</v>
      </c>
      <c r="BH840" s="307" t="str">
        <f t="shared" si="342"/>
        <v>-</v>
      </c>
      <c r="BI840" s="266"/>
      <c r="BJ840" s="26" t="str">
        <f t="shared" si="328"/>
        <v>CLOSE CREEKS (2)Chum</v>
      </c>
      <c r="BK840" s="26">
        <f t="shared" si="329"/>
        <v>0</v>
      </c>
      <c r="BL840" s="33">
        <f t="shared" si="345"/>
        <v>0</v>
      </c>
      <c r="BQ840" s="47" t="str">
        <f t="shared" si="330"/>
        <v>CLOSE CREEKS (2)Chum</v>
      </c>
      <c r="BR840" s="49">
        <f t="shared" si="331"/>
        <v>0</v>
      </c>
      <c r="BS840" s="49">
        <f t="shared" si="340"/>
        <v>0</v>
      </c>
      <c r="BT840" s="31">
        <v>1996</v>
      </c>
      <c r="BU840" s="188">
        <f t="shared" si="332"/>
        <v>0</v>
      </c>
      <c r="BV840" s="188" t="str">
        <f t="shared" si="333"/>
        <v xml:space="preserve"> </v>
      </c>
      <c r="BW840" s="188" t="str">
        <f t="shared" si="334"/>
        <v xml:space="preserve"> </v>
      </c>
      <c r="BX840" s="188" t="str">
        <f t="shared" si="335"/>
        <v xml:space="preserve"> </v>
      </c>
      <c r="BY840" s="50" t="str">
        <f t="shared" si="347"/>
        <v>CLOSE CREEKS (2)_Chum</v>
      </c>
      <c r="BZ840" s="50" t="str">
        <f>IFERROR(VLOOKUP(BY840,'[1]WCVI Esc'!$C$5:$W$555,18,FALSE),"-")</f>
        <v>-</v>
      </c>
      <c r="CA840" s="50" t="str">
        <f t="shared" si="336"/>
        <v>-</v>
      </c>
      <c r="CB840" s="50" t="str">
        <f>IFERROR(VLOOKUP(BY840,'[1]WCVI Esc'!$C$5:$W$555,19,FALSE),"-")</f>
        <v>-</v>
      </c>
      <c r="CC840" s="50" t="str">
        <f t="shared" si="337"/>
        <v>-</v>
      </c>
      <c r="CE840" s="342" t="str">
        <f t="shared" si="346"/>
        <v>CLOSE CREEKS (2)_Chum</v>
      </c>
      <c r="CF840" s="341" t="str">
        <f>IFERROR(VLOOKUP(BY840,'RawPL+D'!$O$8:$AB$503,12,FALSE),"-")</f>
        <v>-</v>
      </c>
      <c r="CG840" s="338" t="str">
        <f t="shared" si="338"/>
        <v>-</v>
      </c>
      <c r="CH840" s="341" t="str">
        <f>IFERROR(VLOOKUP(BY840,'RawPL+D'!$O$8:$AB$503,13,FALSE),"-")</f>
        <v>-</v>
      </c>
      <c r="CI840" s="338" t="str">
        <f t="shared" si="339"/>
        <v>-</v>
      </c>
    </row>
    <row r="841" spans="1:87" ht="12.75" hidden="1" customHeight="1" x14ac:dyDescent="0.2">
      <c r="A841" s="28">
        <v>4</v>
      </c>
      <c r="B841" s="28">
        <v>5</v>
      </c>
      <c r="C841" s="11">
        <v>24</v>
      </c>
      <c r="D841" s="13" t="s">
        <v>296</v>
      </c>
      <c r="E841" s="10" t="s">
        <v>189</v>
      </c>
      <c r="F841" s="10" t="s">
        <v>210</v>
      </c>
      <c r="G841" s="10"/>
      <c r="H841" s="10"/>
      <c r="I841" s="10"/>
      <c r="J841" s="10"/>
      <c r="K841" s="575"/>
      <c r="L841" s="152"/>
      <c r="M841" s="164"/>
      <c r="N841" s="62"/>
      <c r="O841" s="62"/>
      <c r="P841" s="177"/>
      <c r="Q841" s="171"/>
      <c r="R841" s="62"/>
      <c r="S841" s="62"/>
      <c r="T841" s="62"/>
      <c r="U841" s="64"/>
      <c r="V841" s="164"/>
      <c r="W841" s="62"/>
      <c r="X841" s="62"/>
      <c r="Y841" s="62"/>
      <c r="Z841" s="64"/>
      <c r="AA841" s="164"/>
      <c r="AB841" s="62"/>
      <c r="AC841" s="62"/>
      <c r="AD841" s="64"/>
      <c r="AE841" s="164"/>
      <c r="AF841" s="62"/>
      <c r="AG841" s="64"/>
      <c r="AH841" s="337"/>
      <c r="AI841" s="337"/>
      <c r="AJ841" s="337"/>
      <c r="AK841" s="337"/>
      <c r="AL841" s="412"/>
      <c r="AM841" s="414"/>
      <c r="AN841" s="45"/>
      <c r="AO841" s="45"/>
      <c r="AP841" s="45"/>
      <c r="AQ841" s="485"/>
      <c r="AR841" s="100"/>
      <c r="AS841" s="485"/>
      <c r="AT841" s="24"/>
      <c r="AU841" s="24"/>
      <c r="AV841" s="24"/>
      <c r="AW841" s="18">
        <v>24</v>
      </c>
      <c r="AX841" s="69" t="s">
        <v>296</v>
      </c>
      <c r="AY841" s="243" t="s">
        <v>189</v>
      </c>
      <c r="AZ841" s="243" t="str">
        <f t="shared" ref="AZ841:AZ904" si="348">F841</f>
        <v>Chinook</v>
      </c>
      <c r="BA841" s="243" t="s">
        <v>419</v>
      </c>
      <c r="BB841" s="246"/>
      <c r="BC841" s="43" t="str">
        <f t="shared" ref="BC841:BC904" si="349">IF(BX841=" ",IF(BW841=" ", IF(BV841=" ","-",BV841),BW841), BX841)</f>
        <v>-</v>
      </c>
      <c r="BD841" s="43">
        <f t="shared" si="343"/>
        <v>0</v>
      </c>
      <c r="BE841" s="193">
        <f t="shared" si="341"/>
        <v>0</v>
      </c>
      <c r="BF841" s="193">
        <f t="shared" ref="BF841:BF904" si="350">AL841</f>
        <v>0</v>
      </c>
      <c r="BG841" s="193">
        <f t="shared" ref="BG841:BG904" si="351">AH841</f>
        <v>0</v>
      </c>
      <c r="BH841" s="307" t="str">
        <f t="shared" si="342"/>
        <v>-</v>
      </c>
      <c r="BI841" s="266"/>
      <c r="BJ841" s="26" t="str">
        <f t="shared" ref="BJ841:BJ904" si="352">CONCATENATE(E841,F841)</f>
        <v>CLOSE CREEKS (2)Chinook</v>
      </c>
      <c r="BK841" s="26">
        <f t="shared" ref="BK841:BK904" si="353">COUNT(K841:AB841)</f>
        <v>0</v>
      </c>
      <c r="BL841" s="33">
        <f t="shared" si="345"/>
        <v>0</v>
      </c>
      <c r="BQ841" s="47" t="str">
        <f t="shared" ref="BQ841:BQ904" si="354">CONCATENATE(E841,F841)</f>
        <v>CLOSE CREEKS (2)Chinook</v>
      </c>
      <c r="BR841" s="49">
        <f t="shared" ref="BR841:BR904" si="355">AP841</f>
        <v>0</v>
      </c>
      <c r="BS841" s="49">
        <f t="shared" si="340"/>
        <v>0</v>
      </c>
      <c r="BT841" s="31">
        <v>0</v>
      </c>
      <c r="BU841" s="188">
        <f t="shared" ref="BU841:BU904" si="356">BB841</f>
        <v>0</v>
      </c>
      <c r="BV841" s="188" t="str">
        <f t="shared" ref="BV841:BV904" si="357">IF(ISNUMBER(Q841),Q$8,IF(ISNUMBER(P841),P$8,IF(ISNUMBER(O841),O$8,IF(ISNUMBER(N841),N$8,IF(ISNUMBER(M841),M$8,IF(ISNUMBER(L841),L$8, IF(ISNUMBER(K841),K$8," ")))))))</f>
        <v xml:space="preserve"> </v>
      </c>
      <c r="BW841" s="188" t="str">
        <f t="shared" ref="BW841:BW908" si="358">IF(ISNUMBER(W841),W$8,IF(ISNUMBER(V841),V$8,IF(ISNUMBER(U841),U$8,IF(ISNUMBER(T841),T$8,IF(ISNUMBER(S841),S$8,IF(ISNUMBER(R841),R$8," "))))))</f>
        <v xml:space="preserve"> </v>
      </c>
      <c r="BX841" s="188" t="str">
        <f t="shared" ref="BX841:BX904" si="359">IF(ISNUMBER(AB841),AB$8,IF(ISNUMBER(AA841),AA$8,IF(ISNUMBER(Z841),Z$8,IF(ISNUMBER(Y841),Y$8,IF(ISNUMBER(X841),X$8," ")))))</f>
        <v xml:space="preserve"> </v>
      </c>
      <c r="BY841" s="50" t="str">
        <f t="shared" si="347"/>
        <v>CLOSE CREEKS (2)_Chinook</v>
      </c>
      <c r="BZ841" s="50" t="str">
        <f>IFERROR(VLOOKUP(BY841,'[1]WCVI Esc'!$C$5:$W$555,18,FALSE),"-")</f>
        <v>-</v>
      </c>
      <c r="CA841" s="50" t="str">
        <f t="shared" ref="CA841:CA904" si="360">IFERROR(ROUND(BZ841,-1),"-")</f>
        <v>-</v>
      </c>
      <c r="CB841" s="50" t="str">
        <f>IFERROR(VLOOKUP(BY841,'[1]WCVI Esc'!$C$5:$W$555,19,FALSE),"-")</f>
        <v>-</v>
      </c>
      <c r="CC841" s="50" t="str">
        <f t="shared" ref="CC841:CC904" si="361">IFERROR(ROUND(CB841,-1),"-")</f>
        <v>-</v>
      </c>
      <c r="CE841" s="342" t="str">
        <f t="shared" si="346"/>
        <v>CLOSE CREEKS (2)_Chinook</v>
      </c>
      <c r="CF841" s="341" t="str">
        <f>IFERROR(VLOOKUP(BY841,'RawPL+D'!$O$8:$AB$503,12,FALSE),"-")</f>
        <v>-</v>
      </c>
      <c r="CG841" s="338" t="str">
        <f t="shared" ref="CG841:CG904" si="362">IFERROR(ROUND(CF841,-1),"-")</f>
        <v>-</v>
      </c>
      <c r="CH841" s="341" t="str">
        <f>IFERROR(VLOOKUP(BY841,'RawPL+D'!$O$8:$AB$503,13,FALSE),"-")</f>
        <v>-</v>
      </c>
      <c r="CI841" s="338" t="str">
        <f t="shared" ref="CI841:CI904" si="363">IFERROR(ROUND(CH841,-1),"-")</f>
        <v>-</v>
      </c>
    </row>
    <row r="842" spans="1:87" ht="12.75" hidden="1" customHeight="1" x14ac:dyDescent="0.2">
      <c r="A842" s="28">
        <v>4</v>
      </c>
      <c r="B842" s="28">
        <v>6</v>
      </c>
      <c r="C842" s="11">
        <v>24</v>
      </c>
      <c r="D842" s="13" t="s">
        <v>296</v>
      </c>
      <c r="E842" s="10" t="s">
        <v>189</v>
      </c>
      <c r="F842" s="10" t="s">
        <v>211</v>
      </c>
      <c r="G842" s="10"/>
      <c r="H842" s="10"/>
      <c r="I842" s="10"/>
      <c r="J842" s="10"/>
      <c r="K842" s="575"/>
      <c r="L842" s="152"/>
      <c r="M842" s="164"/>
      <c r="N842" s="62"/>
      <c r="O842" s="62"/>
      <c r="P842" s="177"/>
      <c r="Q842" s="171"/>
      <c r="R842" s="62"/>
      <c r="S842" s="62"/>
      <c r="T842" s="62"/>
      <c r="U842" s="64"/>
      <c r="V842" s="164"/>
      <c r="W842" s="62"/>
      <c r="X842" s="62"/>
      <c r="Y842" s="62"/>
      <c r="Z842" s="64"/>
      <c r="AA842" s="164"/>
      <c r="AB842" s="62"/>
      <c r="AC842" s="62"/>
      <c r="AD842" s="64"/>
      <c r="AE842" s="164"/>
      <c r="AF842" s="62"/>
      <c r="AG842" s="64"/>
      <c r="AH842" s="337"/>
      <c r="AI842" s="337"/>
      <c r="AJ842" s="337"/>
      <c r="AK842" s="337"/>
      <c r="AL842" s="412"/>
      <c r="AM842" s="414"/>
      <c r="AN842" s="45"/>
      <c r="AO842" s="45"/>
      <c r="AP842" s="45"/>
      <c r="AQ842" s="485"/>
      <c r="AR842" s="100"/>
      <c r="AS842" s="485"/>
      <c r="AT842" s="24"/>
      <c r="AU842" s="24"/>
      <c r="AV842" s="24"/>
      <c r="AW842" s="18">
        <v>24</v>
      </c>
      <c r="AX842" s="69" t="s">
        <v>296</v>
      </c>
      <c r="AY842" s="243" t="s">
        <v>189</v>
      </c>
      <c r="AZ842" s="243" t="str">
        <f t="shared" si="348"/>
        <v>Steelhead</v>
      </c>
      <c r="BA842" s="243" t="s">
        <v>419</v>
      </c>
      <c r="BB842" s="246"/>
      <c r="BC842" s="43" t="str">
        <f t="shared" si="349"/>
        <v>-</v>
      </c>
      <c r="BD842" s="43">
        <f t="shared" si="343"/>
        <v>0</v>
      </c>
      <c r="BE842" s="193">
        <f t="shared" si="341"/>
        <v>0</v>
      </c>
      <c r="BF842" s="193">
        <f t="shared" si="350"/>
        <v>0</v>
      </c>
      <c r="BG842" s="193">
        <f t="shared" si="351"/>
        <v>0</v>
      </c>
      <c r="BH842" s="307" t="str">
        <f t="shared" si="342"/>
        <v>-</v>
      </c>
      <c r="BI842" s="266"/>
      <c r="BJ842" s="26" t="str">
        <f t="shared" si="352"/>
        <v>CLOSE CREEKS (2)Steelhead</v>
      </c>
      <c r="BK842" s="26">
        <f t="shared" si="353"/>
        <v>0</v>
      </c>
      <c r="BL842" s="33">
        <f t="shared" si="345"/>
        <v>0</v>
      </c>
      <c r="BQ842" s="47" t="str">
        <f t="shared" si="354"/>
        <v>CLOSE CREEKS (2)Steelhead</v>
      </c>
      <c r="BR842" s="49">
        <f t="shared" si="355"/>
        <v>0</v>
      </c>
      <c r="BS842" s="49">
        <f t="shared" si="340"/>
        <v>0</v>
      </c>
      <c r="BT842" s="31">
        <v>0</v>
      </c>
      <c r="BU842" s="188">
        <f t="shared" si="356"/>
        <v>0</v>
      </c>
      <c r="BV842" s="188" t="str">
        <f t="shared" si="357"/>
        <v xml:space="preserve"> </v>
      </c>
      <c r="BW842" s="188" t="str">
        <f t="shared" si="358"/>
        <v xml:space="preserve"> </v>
      </c>
      <c r="BX842" s="188" t="str">
        <f t="shared" si="359"/>
        <v xml:space="preserve"> </v>
      </c>
      <c r="BY842" s="50" t="str">
        <f t="shared" si="347"/>
        <v>CLOSE CREEKS (2)_Steelhead</v>
      </c>
      <c r="BZ842" s="50" t="str">
        <f>IFERROR(VLOOKUP(BY842,'[1]WCVI Esc'!$C$5:$W$555,18,FALSE),"-")</f>
        <v>-</v>
      </c>
      <c r="CA842" s="50" t="str">
        <f t="shared" si="360"/>
        <v>-</v>
      </c>
      <c r="CB842" s="50" t="str">
        <f>IFERROR(VLOOKUP(BY842,'[1]WCVI Esc'!$C$5:$W$555,19,FALSE),"-")</f>
        <v>-</v>
      </c>
      <c r="CC842" s="50" t="str">
        <f t="shared" si="361"/>
        <v>-</v>
      </c>
      <c r="CE842" s="342" t="str">
        <f t="shared" si="346"/>
        <v>CLOSE CREEKS (2)_Steelhead</v>
      </c>
      <c r="CF842" s="341" t="str">
        <f>IFERROR(VLOOKUP(BY842,'RawPL+D'!$O$8:$AB$503,12,FALSE),"-")</f>
        <v>-</v>
      </c>
      <c r="CG842" s="338" t="str">
        <f t="shared" si="362"/>
        <v>-</v>
      </c>
      <c r="CH842" s="341" t="str">
        <f>IFERROR(VLOOKUP(BY842,'RawPL+D'!$O$8:$AB$503,13,FALSE),"-")</f>
        <v>-</v>
      </c>
      <c r="CI842" s="338" t="str">
        <f t="shared" si="363"/>
        <v>-</v>
      </c>
    </row>
    <row r="843" spans="1:87" ht="12.75" hidden="1" customHeight="1" x14ac:dyDescent="0.2">
      <c r="A843" s="28">
        <v>4</v>
      </c>
      <c r="B843" s="28">
        <v>1</v>
      </c>
      <c r="C843" s="11">
        <v>24</v>
      </c>
      <c r="D843" s="13" t="s">
        <v>296</v>
      </c>
      <c r="E843" s="10" t="s">
        <v>435</v>
      </c>
      <c r="F843" s="10" t="s">
        <v>207</v>
      </c>
      <c r="G843" s="10"/>
      <c r="H843" s="10"/>
      <c r="I843" s="10"/>
      <c r="J843" s="10"/>
      <c r="K843" s="575"/>
      <c r="L843" s="152"/>
      <c r="M843" s="422"/>
      <c r="N843" s="339"/>
      <c r="O843" s="62"/>
      <c r="P843" s="424"/>
      <c r="Q843" s="171"/>
      <c r="R843" s="339"/>
      <c r="S843" s="339"/>
      <c r="T843" s="63"/>
      <c r="U843" s="162"/>
      <c r="V843" s="164"/>
      <c r="W843" s="62"/>
      <c r="X843" s="62"/>
      <c r="Y843" s="62"/>
      <c r="Z843" s="64"/>
      <c r="AA843" s="164"/>
      <c r="AB843" s="62"/>
      <c r="AC843" s="62"/>
      <c r="AD843" s="64"/>
      <c r="AE843" s="164"/>
      <c r="AF843" s="62"/>
      <c r="AG843" s="64"/>
      <c r="AH843" s="337"/>
      <c r="AI843" s="337"/>
      <c r="AJ843" s="337"/>
      <c r="AK843" s="337"/>
      <c r="AL843" s="412"/>
      <c r="AM843" s="414"/>
      <c r="AN843" s="45"/>
      <c r="AO843" s="45"/>
      <c r="AP843" s="45"/>
      <c r="AQ843" s="485"/>
      <c r="AR843" s="100"/>
      <c r="AS843" s="485"/>
      <c r="AT843" s="24"/>
      <c r="AU843" s="24"/>
      <c r="AV843" s="24"/>
      <c r="AW843" s="18">
        <v>24</v>
      </c>
      <c r="AX843" s="69" t="s">
        <v>296</v>
      </c>
      <c r="AY843" s="243" t="s">
        <v>328</v>
      </c>
      <c r="AZ843" s="243" t="str">
        <f t="shared" si="348"/>
        <v>Sockeye</v>
      </c>
      <c r="BA843" s="243" t="s">
        <v>419</v>
      </c>
      <c r="BB843" s="244" t="s">
        <v>626</v>
      </c>
      <c r="BC843" s="43" t="str">
        <f t="shared" si="349"/>
        <v>-</v>
      </c>
      <c r="BD843" s="43">
        <f t="shared" si="343"/>
        <v>0</v>
      </c>
      <c r="BE843" s="193">
        <f t="shared" si="341"/>
        <v>0</v>
      </c>
      <c r="BF843" s="193">
        <f t="shared" si="350"/>
        <v>0</v>
      </c>
      <c r="BG843" s="193">
        <f t="shared" si="351"/>
        <v>0</v>
      </c>
      <c r="BH843" s="307" t="str">
        <f t="shared" si="342"/>
        <v>-</v>
      </c>
      <c r="BI843" s="266"/>
      <c r="BJ843" s="26" t="str">
        <f t="shared" si="352"/>
        <v>COHO CREEKSockeye</v>
      </c>
      <c r="BK843" s="26">
        <f t="shared" si="353"/>
        <v>0</v>
      </c>
      <c r="BL843" s="33">
        <f t="shared" si="345"/>
        <v>0</v>
      </c>
      <c r="BQ843" s="47" t="str">
        <f t="shared" si="354"/>
        <v>COHO CREEKSockeye</v>
      </c>
      <c r="BR843" s="49">
        <f t="shared" si="355"/>
        <v>0</v>
      </c>
      <c r="BS843" s="49">
        <f t="shared" si="340"/>
        <v>0</v>
      </c>
      <c r="BT843" s="31">
        <v>0</v>
      </c>
      <c r="BU843" s="188" t="str">
        <f t="shared" si="356"/>
        <v>Redd</v>
      </c>
      <c r="BV843" s="188" t="str">
        <f t="shared" si="357"/>
        <v xml:space="preserve"> </v>
      </c>
      <c r="BW843" s="188" t="str">
        <f t="shared" si="358"/>
        <v xml:space="preserve"> </v>
      </c>
      <c r="BX843" s="188" t="str">
        <f t="shared" si="359"/>
        <v xml:space="preserve"> </v>
      </c>
      <c r="BY843" s="50" t="str">
        <f t="shared" si="347"/>
        <v>COHO CREEK_Sockeye</v>
      </c>
      <c r="BZ843" s="50" t="str">
        <f>IFERROR(VLOOKUP(BY843,'[1]WCVI Esc'!$C$5:$W$555,18,FALSE),"-")</f>
        <v>-</v>
      </c>
      <c r="CA843" s="50" t="str">
        <f t="shared" si="360"/>
        <v>-</v>
      </c>
      <c r="CB843" s="50" t="str">
        <f>IFERROR(VLOOKUP(BY843,'[1]WCVI Esc'!$C$5:$W$555,19,FALSE),"-")</f>
        <v>-</v>
      </c>
      <c r="CC843" s="50" t="str">
        <f t="shared" si="361"/>
        <v>-</v>
      </c>
      <c r="CE843" s="342" t="str">
        <f t="shared" si="346"/>
        <v>COHO CREEK_Sockeye</v>
      </c>
      <c r="CF843" s="341" t="str">
        <f>IFERROR(VLOOKUP(BY843,'RawPL+D'!$O$8:$AB$503,12,FALSE),"-")</f>
        <v>-</v>
      </c>
      <c r="CG843" s="338" t="str">
        <f t="shared" si="362"/>
        <v>-</v>
      </c>
      <c r="CH843" s="341" t="str">
        <f>IFERROR(VLOOKUP(BY843,'RawPL+D'!$O$8:$AB$503,13,FALSE),"-")</f>
        <v>-</v>
      </c>
      <c r="CI843" s="338" t="str">
        <f t="shared" si="363"/>
        <v>-</v>
      </c>
    </row>
    <row r="844" spans="1:87" ht="12.75" hidden="1" customHeight="1" x14ac:dyDescent="0.2">
      <c r="A844" s="28">
        <v>4</v>
      </c>
      <c r="B844" s="28">
        <v>2</v>
      </c>
      <c r="C844" s="11">
        <v>24</v>
      </c>
      <c r="D844" s="13" t="s">
        <v>296</v>
      </c>
      <c r="E844" s="10" t="s">
        <v>435</v>
      </c>
      <c r="F844" s="10" t="s">
        <v>219</v>
      </c>
      <c r="G844" s="10"/>
      <c r="H844" s="10"/>
      <c r="I844" s="10"/>
      <c r="J844" s="10"/>
      <c r="K844" s="575"/>
      <c r="L844" s="152"/>
      <c r="M844" s="422"/>
      <c r="N844" s="339"/>
      <c r="O844" s="62"/>
      <c r="P844" s="424"/>
      <c r="Q844" s="171"/>
      <c r="R844" s="339"/>
      <c r="S844" s="339"/>
      <c r="T844" s="63"/>
      <c r="U844" s="162"/>
      <c r="V844" s="164"/>
      <c r="W844" s="62"/>
      <c r="X844" s="63"/>
      <c r="Y844" s="62"/>
      <c r="Z844" s="64"/>
      <c r="AA844" s="164"/>
      <c r="AB844" s="62"/>
      <c r="AC844" s="62"/>
      <c r="AD844" s="64"/>
      <c r="AE844" s="164"/>
      <c r="AF844" s="62"/>
      <c r="AG844" s="64"/>
      <c r="AH844" s="337"/>
      <c r="AI844" s="337"/>
      <c r="AJ844" s="337"/>
      <c r="AK844" s="337"/>
      <c r="AL844" s="412"/>
      <c r="AM844" s="414"/>
      <c r="AN844" s="45"/>
      <c r="AO844" s="45"/>
      <c r="AP844" s="45"/>
      <c r="AQ844" s="485"/>
      <c r="AR844" s="100"/>
      <c r="AS844" s="485"/>
      <c r="AT844" s="24"/>
      <c r="AU844" s="24"/>
      <c r="AV844" s="24"/>
      <c r="AW844" s="18">
        <v>24</v>
      </c>
      <c r="AX844" s="69" t="s">
        <v>296</v>
      </c>
      <c r="AY844" s="243" t="s">
        <v>328</v>
      </c>
      <c r="AZ844" s="243" t="str">
        <f t="shared" si="348"/>
        <v>Coho</v>
      </c>
      <c r="BA844" s="243" t="s">
        <v>419</v>
      </c>
      <c r="BB844" s="244" t="s">
        <v>626</v>
      </c>
      <c r="BC844" s="43" t="str">
        <f t="shared" si="349"/>
        <v>-</v>
      </c>
      <c r="BD844" s="43">
        <f t="shared" si="343"/>
        <v>0</v>
      </c>
      <c r="BE844" s="193">
        <f t="shared" si="341"/>
        <v>0</v>
      </c>
      <c r="BF844" s="193">
        <f t="shared" si="350"/>
        <v>0</v>
      </c>
      <c r="BG844" s="193">
        <f t="shared" si="351"/>
        <v>0</v>
      </c>
      <c r="BH844" s="307">
        <f t="shared" si="342"/>
        <v>0</v>
      </c>
      <c r="BI844" s="266"/>
      <c r="BJ844" s="26" t="str">
        <f t="shared" si="352"/>
        <v>COHO CREEKCoho</v>
      </c>
      <c r="BK844" s="26">
        <f t="shared" si="353"/>
        <v>0</v>
      </c>
      <c r="BL844" s="33">
        <f t="shared" si="345"/>
        <v>0</v>
      </c>
      <c r="BQ844" s="47" t="str">
        <f t="shared" si="354"/>
        <v>COHO CREEKCoho</v>
      </c>
      <c r="BR844" s="49">
        <f t="shared" si="355"/>
        <v>0</v>
      </c>
      <c r="BS844" s="49">
        <f t="shared" si="340"/>
        <v>0</v>
      </c>
      <c r="BT844" s="31">
        <v>2016</v>
      </c>
      <c r="BU844" s="188" t="str">
        <f t="shared" si="356"/>
        <v>Redd</v>
      </c>
      <c r="BV844" s="188" t="str">
        <f t="shared" si="357"/>
        <v xml:space="preserve"> </v>
      </c>
      <c r="BW844" s="188" t="str">
        <f t="shared" si="358"/>
        <v xml:space="preserve"> </v>
      </c>
      <c r="BX844" s="188" t="str">
        <f t="shared" si="359"/>
        <v xml:space="preserve"> </v>
      </c>
      <c r="BY844" s="50" t="str">
        <f t="shared" si="347"/>
        <v>COHO CREEK_Coho</v>
      </c>
      <c r="BZ844" s="50" t="str">
        <f>IFERROR(VLOOKUP(BY844,'[1]WCVI Esc'!$C$5:$W$555,18,FALSE),"-")</f>
        <v>-</v>
      </c>
      <c r="CA844" s="50" t="str">
        <f t="shared" si="360"/>
        <v>-</v>
      </c>
      <c r="CB844" s="50">
        <f>IFERROR(VLOOKUP(BY844,'[1]WCVI Esc'!$C$5:$W$555,19,FALSE),"-")</f>
        <v>17</v>
      </c>
      <c r="CC844" s="50">
        <f t="shared" si="361"/>
        <v>20</v>
      </c>
      <c r="CE844" s="342" t="str">
        <f t="shared" si="346"/>
        <v>COHO CREEK_Coho</v>
      </c>
      <c r="CF844" s="341">
        <f>IFERROR(VLOOKUP(BY844,'RawPL+D'!$O$8:$AB$503,12,FALSE),"-")</f>
        <v>0</v>
      </c>
      <c r="CG844" s="338">
        <f t="shared" si="362"/>
        <v>0</v>
      </c>
      <c r="CH844" s="341">
        <f>IFERROR(VLOOKUP(BY844,'RawPL+D'!$O$8:$AB$503,13,FALSE),"-")</f>
        <v>0</v>
      </c>
      <c r="CI844" s="338">
        <f t="shared" si="363"/>
        <v>0</v>
      </c>
    </row>
    <row r="845" spans="1:87" ht="12.75" hidden="1" customHeight="1" x14ac:dyDescent="0.2">
      <c r="A845" s="28">
        <v>4</v>
      </c>
      <c r="B845" s="28">
        <v>3</v>
      </c>
      <c r="C845" s="11">
        <v>24</v>
      </c>
      <c r="D845" s="13" t="s">
        <v>296</v>
      </c>
      <c r="E845" s="10" t="s">
        <v>435</v>
      </c>
      <c r="F845" s="10" t="s">
        <v>208</v>
      </c>
      <c r="G845" s="10"/>
      <c r="H845" s="10"/>
      <c r="I845" s="10"/>
      <c r="J845" s="10"/>
      <c r="K845" s="575"/>
      <c r="L845" s="152"/>
      <c r="M845" s="422"/>
      <c r="N845" s="339"/>
      <c r="O845" s="62"/>
      <c r="P845" s="424"/>
      <c r="Q845" s="171"/>
      <c r="R845" s="339"/>
      <c r="S845" s="339"/>
      <c r="T845" s="63"/>
      <c r="U845" s="162"/>
      <c r="V845" s="164"/>
      <c r="W845" s="62"/>
      <c r="X845" s="62"/>
      <c r="Y845" s="62"/>
      <c r="Z845" s="64"/>
      <c r="AA845" s="164"/>
      <c r="AB845" s="62"/>
      <c r="AC845" s="62"/>
      <c r="AD845" s="64"/>
      <c r="AE845" s="164"/>
      <c r="AF845" s="62"/>
      <c r="AG845" s="64"/>
      <c r="AH845" s="337"/>
      <c r="AI845" s="337"/>
      <c r="AJ845" s="337"/>
      <c r="AK845" s="337"/>
      <c r="AL845" s="412"/>
      <c r="AM845" s="414"/>
      <c r="AN845" s="45"/>
      <c r="AO845" s="45"/>
      <c r="AP845" s="45"/>
      <c r="AQ845" s="485"/>
      <c r="AR845" s="100"/>
      <c r="AS845" s="485"/>
      <c r="AT845" s="24"/>
      <c r="AU845" s="24"/>
      <c r="AV845" s="24"/>
      <c r="AW845" s="18">
        <v>24</v>
      </c>
      <c r="AX845" s="69" t="s">
        <v>296</v>
      </c>
      <c r="AY845" s="243" t="s">
        <v>328</v>
      </c>
      <c r="AZ845" s="243" t="str">
        <f t="shared" si="348"/>
        <v>Pink</v>
      </c>
      <c r="BA845" s="243" t="s">
        <v>419</v>
      </c>
      <c r="BB845" s="244" t="s">
        <v>626</v>
      </c>
      <c r="BC845" s="43" t="str">
        <f t="shared" si="349"/>
        <v>-</v>
      </c>
      <c r="BD845" s="43">
        <f t="shared" si="343"/>
        <v>0</v>
      </c>
      <c r="BE845" s="193">
        <f t="shared" si="341"/>
        <v>0</v>
      </c>
      <c r="BF845" s="193">
        <f t="shared" si="350"/>
        <v>0</v>
      </c>
      <c r="BG845" s="193">
        <f t="shared" si="351"/>
        <v>0</v>
      </c>
      <c r="BH845" s="307" t="str">
        <f t="shared" si="342"/>
        <v>-</v>
      </c>
      <c r="BI845" s="266"/>
      <c r="BJ845" s="26" t="str">
        <f t="shared" si="352"/>
        <v>COHO CREEKPink</v>
      </c>
      <c r="BK845" s="26">
        <f t="shared" si="353"/>
        <v>0</v>
      </c>
      <c r="BL845" s="33">
        <f t="shared" si="345"/>
        <v>0</v>
      </c>
      <c r="BQ845" s="47" t="str">
        <f t="shared" si="354"/>
        <v>COHO CREEKPink</v>
      </c>
      <c r="BR845" s="49">
        <f t="shared" si="355"/>
        <v>0</v>
      </c>
      <c r="BS845" s="49">
        <f t="shared" ref="BS845:BS908" si="364">AL845</f>
        <v>0</v>
      </c>
      <c r="BT845" s="31">
        <v>0</v>
      </c>
      <c r="BU845" s="188" t="str">
        <f t="shared" si="356"/>
        <v>Redd</v>
      </c>
      <c r="BV845" s="188" t="str">
        <f t="shared" si="357"/>
        <v xml:space="preserve"> </v>
      </c>
      <c r="BW845" s="188" t="str">
        <f t="shared" si="358"/>
        <v xml:space="preserve"> </v>
      </c>
      <c r="BX845" s="188" t="str">
        <f t="shared" si="359"/>
        <v xml:space="preserve"> </v>
      </c>
      <c r="BY845" s="50" t="str">
        <f t="shared" si="347"/>
        <v>COHO CREEK_Pink</v>
      </c>
      <c r="BZ845" s="50" t="str">
        <f>IFERROR(VLOOKUP(BY845,'[1]WCVI Esc'!$C$5:$W$555,18,FALSE),"-")</f>
        <v>-</v>
      </c>
      <c r="CA845" s="50" t="str">
        <f t="shared" si="360"/>
        <v>-</v>
      </c>
      <c r="CB845" s="50" t="str">
        <f>IFERROR(VLOOKUP(BY845,'[1]WCVI Esc'!$C$5:$W$555,19,FALSE),"-")</f>
        <v>-</v>
      </c>
      <c r="CC845" s="50" t="str">
        <f t="shared" si="361"/>
        <v>-</v>
      </c>
      <c r="CE845" s="342" t="str">
        <f t="shared" si="346"/>
        <v>COHO CREEK_Pink</v>
      </c>
      <c r="CF845" s="341" t="str">
        <f>IFERROR(VLOOKUP(BY845,'RawPL+D'!$O$8:$AB$503,12,FALSE),"-")</f>
        <v>-</v>
      </c>
      <c r="CG845" s="338" t="str">
        <f t="shared" si="362"/>
        <v>-</v>
      </c>
      <c r="CH845" s="341" t="str">
        <f>IFERROR(VLOOKUP(BY845,'RawPL+D'!$O$8:$AB$503,13,FALSE),"-")</f>
        <v>-</v>
      </c>
      <c r="CI845" s="338" t="str">
        <f t="shared" si="363"/>
        <v>-</v>
      </c>
    </row>
    <row r="846" spans="1:87" ht="12.75" hidden="1" customHeight="1" x14ac:dyDescent="0.2">
      <c r="A846" s="28">
        <v>4</v>
      </c>
      <c r="B846" s="28">
        <v>4</v>
      </c>
      <c r="C846" s="11">
        <v>24</v>
      </c>
      <c r="D846" s="13" t="s">
        <v>296</v>
      </c>
      <c r="E846" s="10" t="s">
        <v>435</v>
      </c>
      <c r="F846" s="10" t="s">
        <v>209</v>
      </c>
      <c r="G846" s="10"/>
      <c r="H846" s="10"/>
      <c r="I846" s="10"/>
      <c r="J846" s="10"/>
      <c r="K846" s="575"/>
      <c r="L846" s="152"/>
      <c r="M846" s="422"/>
      <c r="N846" s="339"/>
      <c r="O846" s="62"/>
      <c r="P846" s="424"/>
      <c r="Q846" s="171"/>
      <c r="R846" s="339"/>
      <c r="S846" s="339"/>
      <c r="T846" s="63"/>
      <c r="U846" s="162"/>
      <c r="V846" s="164"/>
      <c r="W846" s="62"/>
      <c r="X846" s="62"/>
      <c r="Y846" s="62"/>
      <c r="Z846" s="64"/>
      <c r="AA846" s="164"/>
      <c r="AB846" s="62"/>
      <c r="AC846" s="62"/>
      <c r="AD846" s="64"/>
      <c r="AE846" s="164"/>
      <c r="AF846" s="62"/>
      <c r="AG846" s="64"/>
      <c r="AH846" s="337"/>
      <c r="AI846" s="337"/>
      <c r="AJ846" s="337"/>
      <c r="AK846" s="337"/>
      <c r="AL846" s="412"/>
      <c r="AM846" s="414"/>
      <c r="AN846" s="45"/>
      <c r="AO846" s="45"/>
      <c r="AP846" s="45"/>
      <c r="AQ846" s="485"/>
      <c r="AR846" s="100"/>
      <c r="AS846" s="485"/>
      <c r="AT846" s="24"/>
      <c r="AU846" s="24"/>
      <c r="AV846" s="24"/>
      <c r="AW846" s="18">
        <v>24</v>
      </c>
      <c r="AX846" s="69" t="s">
        <v>296</v>
      </c>
      <c r="AY846" s="243" t="s">
        <v>328</v>
      </c>
      <c r="AZ846" s="243" t="str">
        <f t="shared" si="348"/>
        <v>Chum</v>
      </c>
      <c r="BA846" s="243" t="s">
        <v>419</v>
      </c>
      <c r="BB846" s="244" t="s">
        <v>626</v>
      </c>
      <c r="BC846" s="43" t="str">
        <f t="shared" si="349"/>
        <v>-</v>
      </c>
      <c r="BD846" s="43">
        <f t="shared" si="343"/>
        <v>0</v>
      </c>
      <c r="BE846" s="193">
        <f t="shared" si="341"/>
        <v>0</v>
      </c>
      <c r="BF846" s="193">
        <f t="shared" si="350"/>
        <v>0</v>
      </c>
      <c r="BG846" s="193">
        <f t="shared" si="351"/>
        <v>0</v>
      </c>
      <c r="BH846" s="307">
        <f t="shared" si="342"/>
        <v>0</v>
      </c>
      <c r="BI846" s="266"/>
      <c r="BJ846" s="26" t="str">
        <f t="shared" si="352"/>
        <v>COHO CREEKChum</v>
      </c>
      <c r="BK846" s="26">
        <f t="shared" si="353"/>
        <v>0</v>
      </c>
      <c r="BL846" s="33">
        <f t="shared" si="345"/>
        <v>0</v>
      </c>
      <c r="BQ846" s="47" t="str">
        <f t="shared" si="354"/>
        <v>COHO CREEKChum</v>
      </c>
      <c r="BR846" s="49">
        <f t="shared" si="355"/>
        <v>0</v>
      </c>
      <c r="BS846" s="49">
        <f t="shared" si="364"/>
        <v>0</v>
      </c>
      <c r="BT846" s="31">
        <v>2016</v>
      </c>
      <c r="BU846" s="188" t="str">
        <f t="shared" si="356"/>
        <v>Redd</v>
      </c>
      <c r="BV846" s="188" t="str">
        <f t="shared" si="357"/>
        <v xml:space="preserve"> </v>
      </c>
      <c r="BW846" s="188" t="str">
        <f t="shared" si="358"/>
        <v xml:space="preserve"> </v>
      </c>
      <c r="BX846" s="188" t="str">
        <f t="shared" si="359"/>
        <v xml:space="preserve"> </v>
      </c>
      <c r="BY846" s="50" t="str">
        <f t="shared" si="347"/>
        <v>COHO CREEK_Chum</v>
      </c>
      <c r="BZ846" s="50" t="str">
        <f>IFERROR(VLOOKUP(BY846,'[1]WCVI Esc'!$C$5:$W$555,18,FALSE),"-")</f>
        <v>-</v>
      </c>
      <c r="CA846" s="50" t="str">
        <f t="shared" si="360"/>
        <v>-</v>
      </c>
      <c r="CB846" s="50" t="str">
        <f>IFERROR(VLOOKUP(BY846,'[1]WCVI Esc'!$C$5:$W$555,19,FALSE),"-")</f>
        <v>-</v>
      </c>
      <c r="CC846" s="50" t="str">
        <f t="shared" si="361"/>
        <v>-</v>
      </c>
      <c r="CE846" s="342" t="str">
        <f t="shared" si="346"/>
        <v>COHO CREEK_Chum</v>
      </c>
      <c r="CF846" s="341">
        <f>IFERROR(VLOOKUP(BY846,'RawPL+D'!$O$8:$AB$503,12,FALSE),"-")</f>
        <v>0</v>
      </c>
      <c r="CG846" s="338">
        <f t="shared" si="362"/>
        <v>0</v>
      </c>
      <c r="CH846" s="341">
        <f>IFERROR(VLOOKUP(BY846,'RawPL+D'!$O$8:$AB$503,13,FALSE),"-")</f>
        <v>0</v>
      </c>
      <c r="CI846" s="338">
        <f t="shared" si="363"/>
        <v>0</v>
      </c>
    </row>
    <row r="847" spans="1:87" ht="12.75" hidden="1" customHeight="1" x14ac:dyDescent="0.2">
      <c r="A847" s="28">
        <v>4</v>
      </c>
      <c r="B847" s="28">
        <v>5</v>
      </c>
      <c r="C847" s="11">
        <v>24</v>
      </c>
      <c r="D847" s="13" t="s">
        <v>296</v>
      </c>
      <c r="E847" s="10" t="s">
        <v>435</v>
      </c>
      <c r="F847" s="10" t="s">
        <v>210</v>
      </c>
      <c r="G847" s="10"/>
      <c r="H847" s="10"/>
      <c r="I847" s="10"/>
      <c r="J847" s="10"/>
      <c r="K847" s="575"/>
      <c r="L847" s="152"/>
      <c r="M847" s="422"/>
      <c r="N847" s="339"/>
      <c r="O847" s="62"/>
      <c r="P847" s="424"/>
      <c r="Q847" s="171"/>
      <c r="R847" s="339"/>
      <c r="S847" s="339"/>
      <c r="T847" s="63"/>
      <c r="U847" s="162"/>
      <c r="V847" s="164"/>
      <c r="W847" s="62"/>
      <c r="X847" s="62"/>
      <c r="Y847" s="62"/>
      <c r="Z847" s="64"/>
      <c r="AA847" s="164"/>
      <c r="AB847" s="62"/>
      <c r="AC847" s="62"/>
      <c r="AD847" s="64"/>
      <c r="AE847" s="164"/>
      <c r="AF847" s="62"/>
      <c r="AG847" s="64"/>
      <c r="AH847" s="337"/>
      <c r="AI847" s="337"/>
      <c r="AJ847" s="337"/>
      <c r="AK847" s="337"/>
      <c r="AL847" s="412"/>
      <c r="AM847" s="414"/>
      <c r="AN847" s="45"/>
      <c r="AO847" s="45"/>
      <c r="AP847" s="45"/>
      <c r="AQ847" s="485"/>
      <c r="AR847" s="100"/>
      <c r="AS847" s="485"/>
      <c r="AT847" s="24"/>
      <c r="AU847" s="24"/>
      <c r="AV847" s="24"/>
      <c r="AW847" s="18">
        <v>24</v>
      </c>
      <c r="AX847" s="69" t="s">
        <v>296</v>
      </c>
      <c r="AY847" s="243" t="s">
        <v>328</v>
      </c>
      <c r="AZ847" s="243" t="str">
        <f t="shared" si="348"/>
        <v>Chinook</v>
      </c>
      <c r="BA847" s="243" t="s">
        <v>419</v>
      </c>
      <c r="BB847" s="244" t="s">
        <v>626</v>
      </c>
      <c r="BC847" s="43" t="str">
        <f t="shared" si="349"/>
        <v>-</v>
      </c>
      <c r="BD847" s="43">
        <f t="shared" si="343"/>
        <v>0</v>
      </c>
      <c r="BE847" s="193">
        <f t="shared" si="341"/>
        <v>0</v>
      </c>
      <c r="BF847" s="193">
        <f t="shared" si="350"/>
        <v>0</v>
      </c>
      <c r="BG847" s="193">
        <f t="shared" si="351"/>
        <v>0</v>
      </c>
      <c r="BH847" s="307" t="str">
        <f t="shared" si="342"/>
        <v>-</v>
      </c>
      <c r="BI847" s="266"/>
      <c r="BJ847" s="26" t="str">
        <f t="shared" si="352"/>
        <v>COHO CREEKChinook</v>
      </c>
      <c r="BK847" s="26">
        <f t="shared" si="353"/>
        <v>0</v>
      </c>
      <c r="BL847" s="33">
        <f t="shared" si="345"/>
        <v>0</v>
      </c>
      <c r="BQ847" s="47" t="str">
        <f t="shared" si="354"/>
        <v>COHO CREEKChinook</v>
      </c>
      <c r="BR847" s="49">
        <f t="shared" si="355"/>
        <v>0</v>
      </c>
      <c r="BS847" s="49">
        <f t="shared" si="364"/>
        <v>0</v>
      </c>
      <c r="BT847" s="31">
        <v>0</v>
      </c>
      <c r="BU847" s="188" t="str">
        <f t="shared" si="356"/>
        <v>Redd</v>
      </c>
      <c r="BV847" s="188" t="str">
        <f t="shared" si="357"/>
        <v xml:space="preserve"> </v>
      </c>
      <c r="BW847" s="188" t="str">
        <f t="shared" si="358"/>
        <v xml:space="preserve"> </v>
      </c>
      <c r="BX847" s="188" t="str">
        <f t="shared" si="359"/>
        <v xml:space="preserve"> </v>
      </c>
      <c r="BY847" s="50" t="str">
        <f t="shared" si="347"/>
        <v>COHO CREEK_Chinook</v>
      </c>
      <c r="BZ847" s="50" t="str">
        <f>IFERROR(VLOOKUP(BY847,'[1]WCVI Esc'!$C$5:$W$555,18,FALSE),"-")</f>
        <v>-</v>
      </c>
      <c r="CA847" s="50" t="str">
        <f t="shared" si="360"/>
        <v>-</v>
      </c>
      <c r="CB847" s="50" t="str">
        <f>IFERROR(VLOOKUP(BY847,'[1]WCVI Esc'!$C$5:$W$555,19,FALSE),"-")</f>
        <v>-</v>
      </c>
      <c r="CC847" s="50" t="str">
        <f t="shared" si="361"/>
        <v>-</v>
      </c>
      <c r="CE847" s="342" t="str">
        <f t="shared" si="346"/>
        <v>COHO CREEK_Chinook</v>
      </c>
      <c r="CF847" s="341" t="str">
        <f>IFERROR(VLOOKUP(BY847,'RawPL+D'!$O$8:$AB$503,12,FALSE),"-")</f>
        <v>-</v>
      </c>
      <c r="CG847" s="338" t="str">
        <f t="shared" si="362"/>
        <v>-</v>
      </c>
      <c r="CH847" s="341" t="str">
        <f>IFERROR(VLOOKUP(BY847,'RawPL+D'!$O$8:$AB$503,13,FALSE),"-")</f>
        <v>-</v>
      </c>
      <c r="CI847" s="338" t="str">
        <f t="shared" si="363"/>
        <v>-</v>
      </c>
    </row>
    <row r="848" spans="1:87" ht="12.75" hidden="1" customHeight="1" x14ac:dyDescent="0.2">
      <c r="A848" s="28">
        <v>4</v>
      </c>
      <c r="B848" s="28">
        <v>6</v>
      </c>
      <c r="C848" s="11">
        <v>24</v>
      </c>
      <c r="D848" s="13" t="s">
        <v>296</v>
      </c>
      <c r="E848" s="10" t="s">
        <v>435</v>
      </c>
      <c r="F848" s="10" t="s">
        <v>211</v>
      </c>
      <c r="G848" s="10"/>
      <c r="H848" s="10"/>
      <c r="I848" s="10"/>
      <c r="J848" s="10"/>
      <c r="K848" s="575"/>
      <c r="L848" s="152"/>
      <c r="M848" s="422"/>
      <c r="N848" s="339"/>
      <c r="O848" s="62"/>
      <c r="P848" s="424"/>
      <c r="Q848" s="171"/>
      <c r="R848" s="339"/>
      <c r="S848" s="339"/>
      <c r="T848" s="63"/>
      <c r="U848" s="162"/>
      <c r="V848" s="164"/>
      <c r="W848" s="62"/>
      <c r="X848" s="62"/>
      <c r="Y848" s="62"/>
      <c r="Z848" s="64"/>
      <c r="AA848" s="164"/>
      <c r="AB848" s="62"/>
      <c r="AC848" s="62"/>
      <c r="AD848" s="64"/>
      <c r="AE848" s="164"/>
      <c r="AF848" s="62"/>
      <c r="AG848" s="64"/>
      <c r="AH848" s="337"/>
      <c r="AI848" s="337"/>
      <c r="AJ848" s="337"/>
      <c r="AK848" s="337"/>
      <c r="AL848" s="412"/>
      <c r="AM848" s="414"/>
      <c r="AN848" s="45"/>
      <c r="AO848" s="45"/>
      <c r="AP848" s="45"/>
      <c r="AQ848" s="485"/>
      <c r="AR848" s="100"/>
      <c r="AS848" s="485"/>
      <c r="AT848" s="24"/>
      <c r="AU848" s="24"/>
      <c r="AV848" s="24"/>
      <c r="AW848" s="18">
        <v>24</v>
      </c>
      <c r="AX848" s="69" t="s">
        <v>296</v>
      </c>
      <c r="AY848" s="243" t="s">
        <v>328</v>
      </c>
      <c r="AZ848" s="243" t="str">
        <f t="shared" si="348"/>
        <v>Steelhead</v>
      </c>
      <c r="BA848" s="243" t="s">
        <v>419</v>
      </c>
      <c r="BB848" s="244" t="s">
        <v>626</v>
      </c>
      <c r="BC848" s="43" t="str">
        <f t="shared" si="349"/>
        <v>-</v>
      </c>
      <c r="BD848" s="43">
        <f t="shared" si="343"/>
        <v>0</v>
      </c>
      <c r="BE848" s="193">
        <f t="shared" si="341"/>
        <v>0</v>
      </c>
      <c r="BF848" s="193">
        <f t="shared" si="350"/>
        <v>0</v>
      </c>
      <c r="BG848" s="193">
        <f t="shared" si="351"/>
        <v>0</v>
      </c>
      <c r="BH848" s="307" t="str">
        <f t="shared" si="342"/>
        <v>-</v>
      </c>
      <c r="BI848" s="266"/>
      <c r="BJ848" s="26" t="str">
        <f t="shared" si="352"/>
        <v>COHO CREEKSteelhead</v>
      </c>
      <c r="BK848" s="26">
        <f t="shared" si="353"/>
        <v>0</v>
      </c>
      <c r="BL848" s="33">
        <f t="shared" si="345"/>
        <v>0</v>
      </c>
      <c r="BQ848" s="47" t="str">
        <f t="shared" si="354"/>
        <v>COHO CREEKSteelhead</v>
      </c>
      <c r="BR848" s="49">
        <f t="shared" si="355"/>
        <v>0</v>
      </c>
      <c r="BS848" s="49">
        <f t="shared" si="364"/>
        <v>0</v>
      </c>
      <c r="BT848" s="31">
        <v>0</v>
      </c>
      <c r="BU848" s="188" t="str">
        <f t="shared" si="356"/>
        <v>Redd</v>
      </c>
      <c r="BV848" s="188" t="str">
        <f t="shared" si="357"/>
        <v xml:space="preserve"> </v>
      </c>
      <c r="BW848" s="188" t="str">
        <f t="shared" si="358"/>
        <v xml:space="preserve"> </v>
      </c>
      <c r="BX848" s="188" t="str">
        <f t="shared" si="359"/>
        <v xml:space="preserve"> </v>
      </c>
      <c r="BY848" s="50" t="str">
        <f t="shared" si="347"/>
        <v>COHO CREEK_Steelhead</v>
      </c>
      <c r="BZ848" s="50" t="str">
        <f>IFERROR(VLOOKUP(BY848,'[1]WCVI Esc'!$C$5:$W$555,18,FALSE),"-")</f>
        <v>-</v>
      </c>
      <c r="CA848" s="50" t="str">
        <f t="shared" si="360"/>
        <v>-</v>
      </c>
      <c r="CB848" s="50" t="str">
        <f>IFERROR(VLOOKUP(BY848,'[1]WCVI Esc'!$C$5:$W$555,19,FALSE),"-")</f>
        <v>-</v>
      </c>
      <c r="CC848" s="50" t="str">
        <f t="shared" si="361"/>
        <v>-</v>
      </c>
      <c r="CE848" s="342" t="str">
        <f t="shared" si="346"/>
        <v>COHO CREEK_Steelhead</v>
      </c>
      <c r="CF848" s="341" t="str">
        <f>IFERROR(VLOOKUP(BY848,'RawPL+D'!$O$8:$AB$503,12,FALSE),"-")</f>
        <v>-</v>
      </c>
      <c r="CG848" s="338" t="str">
        <f t="shared" si="362"/>
        <v>-</v>
      </c>
      <c r="CH848" s="341" t="str">
        <f>IFERROR(VLOOKUP(BY848,'RawPL+D'!$O$8:$AB$503,13,FALSE),"-")</f>
        <v>-</v>
      </c>
      <c r="CI848" s="338" t="str">
        <f t="shared" si="363"/>
        <v>-</v>
      </c>
    </row>
    <row r="849" spans="1:87" ht="12.75" hidden="1" customHeight="1" x14ac:dyDescent="0.2">
      <c r="A849" s="28">
        <v>4</v>
      </c>
      <c r="B849" s="28">
        <v>1</v>
      </c>
      <c r="C849" s="11">
        <v>24</v>
      </c>
      <c r="D849" s="13" t="s">
        <v>296</v>
      </c>
      <c r="E849" s="10" t="s">
        <v>190</v>
      </c>
      <c r="F849" s="10" t="s">
        <v>207</v>
      </c>
      <c r="G849" s="10"/>
      <c r="H849" s="10"/>
      <c r="I849" s="10"/>
      <c r="J849" s="10"/>
      <c r="K849" s="575"/>
      <c r="L849" s="152"/>
      <c r="M849" s="164"/>
      <c r="N849" s="62"/>
      <c r="O849" s="62"/>
      <c r="P849" s="177"/>
      <c r="Q849" s="62"/>
      <c r="R849" s="62"/>
      <c r="S849" s="62"/>
      <c r="T849" s="62"/>
      <c r="U849" s="64"/>
      <c r="V849" s="164"/>
      <c r="W849" s="62"/>
      <c r="X849" s="62"/>
      <c r="Y849" s="62"/>
      <c r="Z849" s="64"/>
      <c r="AA849" s="164"/>
      <c r="AB849" s="62"/>
      <c r="AC849" s="62"/>
      <c r="AD849" s="64"/>
      <c r="AE849" s="164"/>
      <c r="AF849" s="62"/>
      <c r="AG849" s="64"/>
      <c r="AH849" s="337"/>
      <c r="AI849" s="337"/>
      <c r="AJ849" s="337"/>
      <c r="AK849" s="337"/>
      <c r="AL849" s="412"/>
      <c r="AM849" s="414"/>
      <c r="AN849" s="45"/>
      <c r="AO849" s="45"/>
      <c r="AP849" s="45"/>
      <c r="AQ849" s="485" t="e">
        <f>AL849/BI849</f>
        <v>#VALUE!</v>
      </c>
      <c r="AR849" s="100" t="e">
        <f>BL849/BI849</f>
        <v>#VALUE!</v>
      </c>
      <c r="AS849" s="485"/>
      <c r="AT849" s="24"/>
      <c r="AU849" s="24"/>
      <c r="AV849" s="24"/>
      <c r="AW849" s="18">
        <v>24</v>
      </c>
      <c r="AX849" s="69" t="s">
        <v>296</v>
      </c>
      <c r="AY849" s="243" t="s">
        <v>190</v>
      </c>
      <c r="AZ849" s="243" t="str">
        <f t="shared" si="348"/>
        <v>Sockeye</v>
      </c>
      <c r="BA849" s="243" t="s">
        <v>419</v>
      </c>
      <c r="BB849" s="244" t="s">
        <v>497</v>
      </c>
      <c r="BC849" s="43" t="str">
        <f t="shared" si="349"/>
        <v>-</v>
      </c>
      <c r="BD849" s="43">
        <f t="shared" si="343"/>
        <v>0</v>
      </c>
      <c r="BE849" s="193">
        <f t="shared" ref="BE849:BE912" si="365">BL849</f>
        <v>0</v>
      </c>
      <c r="BF849" s="193">
        <f t="shared" si="350"/>
        <v>0</v>
      </c>
      <c r="BG849" s="193">
        <f t="shared" si="351"/>
        <v>0</v>
      </c>
      <c r="BH849" s="307">
        <f t="shared" si="342"/>
        <v>0</v>
      </c>
      <c r="BI849" s="265" t="str">
        <f>CC849</f>
        <v>-</v>
      </c>
      <c r="BJ849" s="26" t="str">
        <f t="shared" si="352"/>
        <v>COLD CREEKSockeye</v>
      </c>
      <c r="BK849" s="26">
        <f t="shared" si="353"/>
        <v>0</v>
      </c>
      <c r="BL849" s="33">
        <f t="shared" si="345"/>
        <v>0</v>
      </c>
      <c r="BQ849" s="47" t="str">
        <f t="shared" si="354"/>
        <v>COLD CREEKSockeye</v>
      </c>
      <c r="BR849" s="49">
        <f t="shared" si="355"/>
        <v>0</v>
      </c>
      <c r="BS849" s="49">
        <f t="shared" si="364"/>
        <v>0</v>
      </c>
      <c r="BT849" s="31">
        <v>2010</v>
      </c>
      <c r="BU849" s="188" t="str">
        <f t="shared" si="356"/>
        <v>TSES</v>
      </c>
      <c r="BV849" s="188" t="str">
        <f t="shared" si="357"/>
        <v xml:space="preserve"> </v>
      </c>
      <c r="BW849" s="188" t="str">
        <f t="shared" si="358"/>
        <v xml:space="preserve"> </v>
      </c>
      <c r="BX849" s="188" t="str">
        <f t="shared" si="359"/>
        <v xml:space="preserve"> </v>
      </c>
      <c r="BY849" s="50" t="str">
        <f t="shared" si="347"/>
        <v>COLD CREEK_Sockeye</v>
      </c>
      <c r="BZ849" s="50" t="str">
        <f>IFERROR(VLOOKUP(BY849,'[1]WCVI Esc'!$C$5:$W$555,18,FALSE),"-")</f>
        <v>-</v>
      </c>
      <c r="CA849" s="50" t="str">
        <f t="shared" si="360"/>
        <v>-</v>
      </c>
      <c r="CB849" s="50" t="str">
        <f>IFERROR(VLOOKUP(BY849,'[1]WCVI Esc'!$C$5:$W$555,19,FALSE),"-")</f>
        <v>-</v>
      </c>
      <c r="CC849" s="50" t="str">
        <f t="shared" si="361"/>
        <v>-</v>
      </c>
      <c r="CE849" s="342" t="str">
        <f t="shared" si="346"/>
        <v>COLD CREEK_Sockeye</v>
      </c>
      <c r="CF849" s="341">
        <f>IFERROR(VLOOKUP(BY849,'RawPL+D'!$O$8:$AB$503,12,FALSE),"-")</f>
        <v>0</v>
      </c>
      <c r="CG849" s="338">
        <f t="shared" si="362"/>
        <v>0</v>
      </c>
      <c r="CH849" s="341">
        <f>IFERROR(VLOOKUP(BY849,'RawPL+D'!$O$8:$AB$503,13,FALSE),"-")</f>
        <v>0</v>
      </c>
      <c r="CI849" s="338">
        <f t="shared" si="363"/>
        <v>0</v>
      </c>
    </row>
    <row r="850" spans="1:87" ht="12.75" hidden="1" customHeight="1" x14ac:dyDescent="0.2">
      <c r="A850" s="28">
        <v>4</v>
      </c>
      <c r="B850" s="28">
        <v>2</v>
      </c>
      <c r="C850" s="11">
        <v>24</v>
      </c>
      <c r="D850" s="13" t="s">
        <v>296</v>
      </c>
      <c r="E850" s="10" t="s">
        <v>190</v>
      </c>
      <c r="F850" s="10" t="s">
        <v>219</v>
      </c>
      <c r="G850" s="10"/>
      <c r="H850" s="10"/>
      <c r="I850" s="10"/>
      <c r="J850" s="10"/>
      <c r="K850" s="575"/>
      <c r="L850" s="152"/>
      <c r="M850" s="164"/>
      <c r="N850" s="62"/>
      <c r="O850" s="62"/>
      <c r="P850" s="177"/>
      <c r="Q850" s="62"/>
      <c r="R850" s="62"/>
      <c r="S850" s="62"/>
      <c r="T850" s="62"/>
      <c r="U850" s="64"/>
      <c r="V850" s="164"/>
      <c r="W850" s="62"/>
      <c r="X850" s="62"/>
      <c r="Y850" s="62"/>
      <c r="Z850" s="64"/>
      <c r="AA850" s="164"/>
      <c r="AB850" s="62"/>
      <c r="AC850" s="62"/>
      <c r="AD850" s="64"/>
      <c r="AE850" s="164"/>
      <c r="AF850" s="62"/>
      <c r="AG850" s="64"/>
      <c r="AH850" s="337"/>
      <c r="AI850" s="337"/>
      <c r="AJ850" s="337"/>
      <c r="AK850" s="337"/>
      <c r="AL850" s="412"/>
      <c r="AM850" s="414"/>
      <c r="AN850" s="45"/>
      <c r="AO850" s="45"/>
      <c r="AP850" s="45"/>
      <c r="AQ850" s="485">
        <f>AL850/BI850</f>
        <v>0</v>
      </c>
      <c r="AR850" s="100" t="e">
        <f>BL850/BH850</f>
        <v>#DIV/0!</v>
      </c>
      <c r="AS850" s="485">
        <f>BL850/BI850</f>
        <v>0</v>
      </c>
      <c r="AT850" s="24"/>
      <c r="AU850" s="24"/>
      <c r="AV850" s="24"/>
      <c r="AW850" s="18">
        <v>24</v>
      </c>
      <c r="AX850" s="69" t="s">
        <v>296</v>
      </c>
      <c r="AY850" s="243" t="s">
        <v>190</v>
      </c>
      <c r="AZ850" s="243" t="str">
        <f t="shared" si="348"/>
        <v>Coho</v>
      </c>
      <c r="BA850" s="243" t="s">
        <v>419</v>
      </c>
      <c r="BB850" s="244" t="s">
        <v>497</v>
      </c>
      <c r="BC850" s="43" t="str">
        <f t="shared" si="349"/>
        <v>-</v>
      </c>
      <c r="BD850" s="43">
        <f t="shared" si="343"/>
        <v>0</v>
      </c>
      <c r="BE850" s="193">
        <f t="shared" si="365"/>
        <v>0</v>
      </c>
      <c r="BF850" s="193">
        <f t="shared" si="350"/>
        <v>0</v>
      </c>
      <c r="BG850" s="193">
        <f t="shared" si="351"/>
        <v>0</v>
      </c>
      <c r="BH850" s="307">
        <f t="shared" si="342"/>
        <v>0</v>
      </c>
      <c r="BI850" s="265">
        <f>CC850</f>
        <v>10</v>
      </c>
      <c r="BJ850" s="26" t="str">
        <f t="shared" si="352"/>
        <v>COLD CREEKCoho</v>
      </c>
      <c r="BK850" s="26">
        <f t="shared" si="353"/>
        <v>0</v>
      </c>
      <c r="BL850" s="33">
        <f t="shared" si="345"/>
        <v>0</v>
      </c>
      <c r="BQ850" s="47" t="str">
        <f t="shared" si="354"/>
        <v>COLD CREEKCoho</v>
      </c>
      <c r="BR850" s="49">
        <f t="shared" si="355"/>
        <v>0</v>
      </c>
      <c r="BS850" s="49">
        <f t="shared" si="364"/>
        <v>0</v>
      </c>
      <c r="BT850" s="31">
        <v>2015</v>
      </c>
      <c r="BU850" s="188" t="str">
        <f t="shared" si="356"/>
        <v>TSES</v>
      </c>
      <c r="BV850" s="188" t="str">
        <f t="shared" si="357"/>
        <v xml:space="preserve"> </v>
      </c>
      <c r="BW850" s="188" t="str">
        <f t="shared" si="358"/>
        <v xml:space="preserve"> </v>
      </c>
      <c r="BX850" s="188" t="str">
        <f t="shared" si="359"/>
        <v xml:space="preserve"> </v>
      </c>
      <c r="BY850" s="50" t="str">
        <f t="shared" si="347"/>
        <v>COLD CREEK_Coho</v>
      </c>
      <c r="BZ850" s="50">
        <f>IFERROR(VLOOKUP(BY850,'[1]WCVI Esc'!$C$5:$W$555,18,FALSE),"-")</f>
        <v>2</v>
      </c>
      <c r="CA850" s="50">
        <f t="shared" si="360"/>
        <v>0</v>
      </c>
      <c r="CB850" s="50">
        <f>IFERROR(VLOOKUP(BY850,'[1]WCVI Esc'!$C$5:$W$555,19,FALSE),"-")</f>
        <v>12</v>
      </c>
      <c r="CC850" s="50">
        <f t="shared" si="361"/>
        <v>10</v>
      </c>
      <c r="CE850" s="342" t="str">
        <f t="shared" si="346"/>
        <v>COLD CREEK_Coho</v>
      </c>
      <c r="CF850" s="341">
        <f>IFERROR(VLOOKUP(CE850,'RawPL+D'!$O$8:$AB$503,12,FALSE),"-")</f>
        <v>0</v>
      </c>
      <c r="CG850" s="338">
        <f t="shared" si="362"/>
        <v>0</v>
      </c>
      <c r="CH850" s="341">
        <f>IFERROR(VLOOKUP(CE850,'RawPL+D'!$O$8:$AB$503,13,FALSE),"-")</f>
        <v>2</v>
      </c>
      <c r="CI850" s="338">
        <f t="shared" si="363"/>
        <v>0</v>
      </c>
    </row>
    <row r="851" spans="1:87" ht="12.75" hidden="1" customHeight="1" x14ac:dyDescent="0.2">
      <c r="A851" s="28">
        <v>4</v>
      </c>
      <c r="B851" s="28">
        <v>3</v>
      </c>
      <c r="C851" s="11">
        <v>24</v>
      </c>
      <c r="D851" s="13" t="s">
        <v>296</v>
      </c>
      <c r="E851" s="10" t="s">
        <v>190</v>
      </c>
      <c r="F851" s="10" t="s">
        <v>208</v>
      </c>
      <c r="G851" s="10"/>
      <c r="H851" s="10"/>
      <c r="I851" s="10"/>
      <c r="J851" s="10"/>
      <c r="K851" s="575"/>
      <c r="L851" s="152"/>
      <c r="M851" s="164"/>
      <c r="N851" s="62"/>
      <c r="O851" s="62"/>
      <c r="P851" s="177"/>
      <c r="Q851" s="62"/>
      <c r="R851" s="62"/>
      <c r="S851" s="62"/>
      <c r="T851" s="62"/>
      <c r="U851" s="64"/>
      <c r="V851" s="164"/>
      <c r="W851" s="62"/>
      <c r="X851" s="62"/>
      <c r="Y851" s="62"/>
      <c r="Z851" s="64"/>
      <c r="AA851" s="164"/>
      <c r="AB851" s="62"/>
      <c r="AC851" s="62"/>
      <c r="AD851" s="64"/>
      <c r="AE851" s="164"/>
      <c r="AF851" s="62"/>
      <c r="AG851" s="64"/>
      <c r="AH851" s="337"/>
      <c r="AI851" s="337"/>
      <c r="AJ851" s="337"/>
      <c r="AK851" s="337"/>
      <c r="AL851" s="412"/>
      <c r="AM851" s="414"/>
      <c r="AN851" s="45"/>
      <c r="AO851" s="45"/>
      <c r="AP851" s="45"/>
      <c r="AQ851" s="485"/>
      <c r="AR851" s="100"/>
      <c r="AS851" s="485"/>
      <c r="AT851" s="24"/>
      <c r="AU851" s="24"/>
      <c r="AV851" s="24"/>
      <c r="AW851" s="18">
        <v>24</v>
      </c>
      <c r="AX851" s="69" t="s">
        <v>296</v>
      </c>
      <c r="AY851" s="243" t="s">
        <v>190</v>
      </c>
      <c r="AZ851" s="243" t="str">
        <f t="shared" si="348"/>
        <v>Pink</v>
      </c>
      <c r="BA851" s="243" t="s">
        <v>419</v>
      </c>
      <c r="BB851" s="244" t="s">
        <v>497</v>
      </c>
      <c r="BC851" s="43" t="str">
        <f t="shared" si="349"/>
        <v>-</v>
      </c>
      <c r="BD851" s="43">
        <f t="shared" si="343"/>
        <v>0</v>
      </c>
      <c r="BE851" s="193">
        <f t="shared" si="365"/>
        <v>0</v>
      </c>
      <c r="BF851" s="193">
        <f t="shared" si="350"/>
        <v>0</v>
      </c>
      <c r="BG851" s="193">
        <f t="shared" si="351"/>
        <v>0</v>
      </c>
      <c r="BH851" s="307" t="str">
        <f t="shared" si="342"/>
        <v>-</v>
      </c>
      <c r="BI851" s="266"/>
      <c r="BJ851" s="26" t="str">
        <f t="shared" si="352"/>
        <v>COLD CREEKPink</v>
      </c>
      <c r="BK851" s="26">
        <f t="shared" si="353"/>
        <v>0</v>
      </c>
      <c r="BL851" s="33">
        <f t="shared" si="345"/>
        <v>0</v>
      </c>
      <c r="BQ851" s="47" t="str">
        <f t="shared" si="354"/>
        <v>COLD CREEKPink</v>
      </c>
      <c r="BR851" s="49">
        <f t="shared" si="355"/>
        <v>0</v>
      </c>
      <c r="BS851" s="49">
        <f t="shared" si="364"/>
        <v>0</v>
      </c>
      <c r="BT851" s="31">
        <v>0</v>
      </c>
      <c r="BU851" s="188" t="str">
        <f t="shared" si="356"/>
        <v>TSES</v>
      </c>
      <c r="BV851" s="188" t="str">
        <f t="shared" si="357"/>
        <v xml:space="preserve"> </v>
      </c>
      <c r="BW851" s="188" t="str">
        <f t="shared" si="358"/>
        <v xml:space="preserve"> </v>
      </c>
      <c r="BX851" s="188" t="str">
        <f t="shared" si="359"/>
        <v xml:space="preserve"> </v>
      </c>
      <c r="BY851" s="50" t="str">
        <f t="shared" si="347"/>
        <v>COLD CREEK_Pink</v>
      </c>
      <c r="BZ851" s="50" t="str">
        <f>IFERROR(VLOOKUP(BY851,'[1]WCVI Esc'!$C$5:$W$555,18,FALSE),"-")</f>
        <v>-</v>
      </c>
      <c r="CA851" s="50" t="str">
        <f t="shared" si="360"/>
        <v>-</v>
      </c>
      <c r="CB851" s="50" t="str">
        <f>IFERROR(VLOOKUP(BY851,'[1]WCVI Esc'!$C$5:$W$555,19,FALSE),"-")</f>
        <v>-</v>
      </c>
      <c r="CC851" s="50" t="str">
        <f t="shared" si="361"/>
        <v>-</v>
      </c>
      <c r="CE851" s="342" t="str">
        <f t="shared" si="346"/>
        <v>COLD CREEK_Pink</v>
      </c>
      <c r="CF851" s="341" t="str">
        <f>IFERROR(VLOOKUP(BY851,'RawPL+D'!$O$8:$AB$503,12,FALSE),"-")</f>
        <v>-</v>
      </c>
      <c r="CG851" s="338" t="str">
        <f t="shared" si="362"/>
        <v>-</v>
      </c>
      <c r="CH851" s="341" t="str">
        <f>IFERROR(VLOOKUP(BY851,'RawPL+D'!$O$8:$AB$503,13,FALSE),"-")</f>
        <v>-</v>
      </c>
      <c r="CI851" s="338" t="str">
        <f t="shared" si="363"/>
        <v>-</v>
      </c>
    </row>
    <row r="852" spans="1:87" ht="12.75" hidden="1" customHeight="1" x14ac:dyDescent="0.2">
      <c r="A852" s="28">
        <v>4</v>
      </c>
      <c r="B852" s="28">
        <v>4</v>
      </c>
      <c r="C852" s="11">
        <v>24</v>
      </c>
      <c r="D852" s="13" t="s">
        <v>296</v>
      </c>
      <c r="E852" s="10" t="s">
        <v>190</v>
      </c>
      <c r="F852" s="10" t="s">
        <v>209</v>
      </c>
      <c r="G852" s="10"/>
      <c r="H852" s="10"/>
      <c r="I852" s="10"/>
      <c r="J852" s="10"/>
      <c r="K852" s="575"/>
      <c r="L852" s="152"/>
      <c r="M852" s="164"/>
      <c r="N852" s="62"/>
      <c r="O852" s="62"/>
      <c r="P852" s="177"/>
      <c r="Q852" s="62"/>
      <c r="R852" s="62"/>
      <c r="S852" s="62"/>
      <c r="T852" s="62"/>
      <c r="U852" s="64"/>
      <c r="V852" s="164"/>
      <c r="W852" s="62"/>
      <c r="X852" s="62"/>
      <c r="Y852" s="62"/>
      <c r="Z852" s="64"/>
      <c r="AA852" s="164"/>
      <c r="AB852" s="62"/>
      <c r="AC852" s="62"/>
      <c r="AD852" s="64"/>
      <c r="AE852" s="164"/>
      <c r="AF852" s="62"/>
      <c r="AG852" s="64"/>
      <c r="AH852" s="337"/>
      <c r="AI852" s="337"/>
      <c r="AJ852" s="337"/>
      <c r="AK852" s="337"/>
      <c r="AL852" s="412"/>
      <c r="AM852" s="414"/>
      <c r="AN852" s="45"/>
      <c r="AO852" s="45"/>
      <c r="AP852" s="45"/>
      <c r="AQ852" s="485"/>
      <c r="AR852" s="100"/>
      <c r="AS852" s="485"/>
      <c r="AT852" s="24"/>
      <c r="AU852" s="24"/>
      <c r="AV852" s="24"/>
      <c r="AW852" s="18">
        <v>24</v>
      </c>
      <c r="AX852" s="69" t="s">
        <v>296</v>
      </c>
      <c r="AY852" s="243" t="s">
        <v>190</v>
      </c>
      <c r="AZ852" s="243" t="str">
        <f t="shared" si="348"/>
        <v>Chum</v>
      </c>
      <c r="BA852" s="243" t="s">
        <v>419</v>
      </c>
      <c r="BB852" s="244" t="s">
        <v>497</v>
      </c>
      <c r="BC852" s="43" t="str">
        <f t="shared" si="349"/>
        <v>-</v>
      </c>
      <c r="BD852" s="43">
        <f t="shared" si="343"/>
        <v>0</v>
      </c>
      <c r="BE852" s="193">
        <f t="shared" si="365"/>
        <v>0</v>
      </c>
      <c r="BF852" s="193">
        <f t="shared" si="350"/>
        <v>0</v>
      </c>
      <c r="BG852" s="193">
        <f t="shared" si="351"/>
        <v>0</v>
      </c>
      <c r="BH852" s="307">
        <f t="shared" si="342"/>
        <v>0</v>
      </c>
      <c r="BI852" s="266"/>
      <c r="BJ852" s="26" t="str">
        <f t="shared" si="352"/>
        <v>COLD CREEKChum</v>
      </c>
      <c r="BK852" s="26">
        <f t="shared" si="353"/>
        <v>0</v>
      </c>
      <c r="BL852" s="33">
        <f t="shared" si="345"/>
        <v>0</v>
      </c>
      <c r="BQ852" s="47" t="str">
        <f t="shared" si="354"/>
        <v>COLD CREEKChum</v>
      </c>
      <c r="BR852" s="49">
        <f t="shared" si="355"/>
        <v>0</v>
      </c>
      <c r="BS852" s="49">
        <f t="shared" si="364"/>
        <v>0</v>
      </c>
      <c r="BT852" s="31">
        <v>0</v>
      </c>
      <c r="BU852" s="188" t="str">
        <f t="shared" si="356"/>
        <v>TSES</v>
      </c>
      <c r="BV852" s="188" t="str">
        <f t="shared" si="357"/>
        <v xml:space="preserve"> </v>
      </c>
      <c r="BW852" s="188" t="str">
        <f t="shared" si="358"/>
        <v xml:space="preserve"> </v>
      </c>
      <c r="BX852" s="188" t="str">
        <f t="shared" si="359"/>
        <v xml:space="preserve"> </v>
      </c>
      <c r="BY852" s="50" t="str">
        <f t="shared" si="347"/>
        <v>COLD CREEK_Chum</v>
      </c>
      <c r="BZ852" s="50" t="str">
        <f>IFERROR(VLOOKUP(BY852,'[1]WCVI Esc'!$C$5:$W$555,18,FALSE),"-")</f>
        <v>-</v>
      </c>
      <c r="CA852" s="50" t="str">
        <f t="shared" si="360"/>
        <v>-</v>
      </c>
      <c r="CB852" s="50" t="str">
        <f>IFERROR(VLOOKUP(BY852,'[1]WCVI Esc'!$C$5:$W$555,19,FALSE),"-")</f>
        <v>-</v>
      </c>
      <c r="CC852" s="50" t="str">
        <f t="shared" si="361"/>
        <v>-</v>
      </c>
      <c r="CE852" s="342" t="str">
        <f t="shared" si="346"/>
        <v>COLD CREEK_Chum</v>
      </c>
      <c r="CF852" s="341">
        <f>IFERROR(VLOOKUP(BY852,'RawPL+D'!$O$8:$AB$503,12,FALSE),"-")</f>
        <v>0</v>
      </c>
      <c r="CG852" s="338">
        <f t="shared" si="362"/>
        <v>0</v>
      </c>
      <c r="CH852" s="341">
        <f>IFERROR(VLOOKUP(BY852,'RawPL+D'!$O$8:$AB$503,13,FALSE),"-")</f>
        <v>0</v>
      </c>
      <c r="CI852" s="338">
        <f t="shared" si="363"/>
        <v>0</v>
      </c>
    </row>
    <row r="853" spans="1:87" ht="12.75" hidden="1" customHeight="1" x14ac:dyDescent="0.2">
      <c r="A853" s="28">
        <v>4</v>
      </c>
      <c r="B853" s="28">
        <v>5</v>
      </c>
      <c r="C853" s="11">
        <v>24</v>
      </c>
      <c r="D853" s="13" t="s">
        <v>296</v>
      </c>
      <c r="E853" s="10" t="s">
        <v>190</v>
      </c>
      <c r="F853" s="10" t="s">
        <v>210</v>
      </c>
      <c r="G853" s="10"/>
      <c r="H853" s="10"/>
      <c r="I853" s="10"/>
      <c r="J853" s="10"/>
      <c r="K853" s="575"/>
      <c r="L853" s="152"/>
      <c r="M853" s="164"/>
      <c r="N853" s="62"/>
      <c r="O853" s="62"/>
      <c r="P853" s="177"/>
      <c r="Q853" s="62"/>
      <c r="R853" s="62"/>
      <c r="S853" s="62"/>
      <c r="T853" s="62"/>
      <c r="U853" s="64"/>
      <c r="V853" s="164"/>
      <c r="W853" s="62"/>
      <c r="X853" s="62"/>
      <c r="Y853" s="62"/>
      <c r="Z853" s="64"/>
      <c r="AA853" s="164"/>
      <c r="AB853" s="62"/>
      <c r="AC853" s="62"/>
      <c r="AD853" s="64"/>
      <c r="AE853" s="164"/>
      <c r="AF853" s="62"/>
      <c r="AG853" s="64"/>
      <c r="AH853" s="337"/>
      <c r="AI853" s="337"/>
      <c r="AJ853" s="337"/>
      <c r="AK853" s="337"/>
      <c r="AL853" s="412"/>
      <c r="AM853" s="414"/>
      <c r="AN853" s="45"/>
      <c r="AO853" s="45"/>
      <c r="AP853" s="45"/>
      <c r="AQ853" s="485"/>
      <c r="AR853" s="100"/>
      <c r="AS853" s="485"/>
      <c r="AT853" s="24"/>
      <c r="AU853" s="24"/>
      <c r="AV853" s="24"/>
      <c r="AW853" s="18">
        <v>24</v>
      </c>
      <c r="AX853" s="69" t="s">
        <v>296</v>
      </c>
      <c r="AY853" s="243" t="s">
        <v>190</v>
      </c>
      <c r="AZ853" s="243" t="str">
        <f t="shared" si="348"/>
        <v>Chinook</v>
      </c>
      <c r="BA853" s="243" t="s">
        <v>419</v>
      </c>
      <c r="BB853" s="244" t="s">
        <v>497</v>
      </c>
      <c r="BC853" s="43" t="str">
        <f t="shared" si="349"/>
        <v>-</v>
      </c>
      <c r="BD853" s="43">
        <f t="shared" si="343"/>
        <v>0</v>
      </c>
      <c r="BE853" s="193">
        <f t="shared" si="365"/>
        <v>0</v>
      </c>
      <c r="BF853" s="193">
        <f t="shared" si="350"/>
        <v>0</v>
      </c>
      <c r="BG853" s="193">
        <f t="shared" si="351"/>
        <v>0</v>
      </c>
      <c r="BH853" s="307">
        <f t="shared" si="342"/>
        <v>0</v>
      </c>
      <c r="BI853" s="266"/>
      <c r="BJ853" s="26" t="str">
        <f t="shared" si="352"/>
        <v>COLD CREEKChinook</v>
      </c>
      <c r="BK853" s="26">
        <f t="shared" si="353"/>
        <v>0</v>
      </c>
      <c r="BL853" s="33">
        <f t="shared" si="345"/>
        <v>0</v>
      </c>
      <c r="BQ853" s="47" t="str">
        <f t="shared" si="354"/>
        <v>COLD CREEKChinook</v>
      </c>
      <c r="BR853" s="49">
        <f t="shared" si="355"/>
        <v>0</v>
      </c>
      <c r="BS853" s="49">
        <f t="shared" si="364"/>
        <v>0</v>
      </c>
      <c r="BT853" s="31">
        <v>0</v>
      </c>
      <c r="BU853" s="188" t="str">
        <f t="shared" si="356"/>
        <v>TSES</v>
      </c>
      <c r="BV853" s="188" t="str">
        <f t="shared" si="357"/>
        <v xml:space="preserve"> </v>
      </c>
      <c r="BW853" s="188" t="str">
        <f t="shared" si="358"/>
        <v xml:space="preserve"> </v>
      </c>
      <c r="BX853" s="188" t="str">
        <f t="shared" si="359"/>
        <v xml:space="preserve"> </v>
      </c>
      <c r="BY853" s="50" t="str">
        <f t="shared" si="347"/>
        <v>COLD CREEK_Chinook</v>
      </c>
      <c r="BZ853" s="50" t="str">
        <f>IFERROR(VLOOKUP(BY853,'[1]WCVI Esc'!$C$5:$W$555,18,FALSE),"-")</f>
        <v>-</v>
      </c>
      <c r="CA853" s="50" t="str">
        <f t="shared" si="360"/>
        <v>-</v>
      </c>
      <c r="CB853" s="50" t="str">
        <f>IFERROR(VLOOKUP(BY853,'[1]WCVI Esc'!$C$5:$W$555,19,FALSE),"-")</f>
        <v>-</v>
      </c>
      <c r="CC853" s="50" t="str">
        <f t="shared" si="361"/>
        <v>-</v>
      </c>
      <c r="CE853" s="342" t="str">
        <f t="shared" si="346"/>
        <v>COLD CREEK_Chinook</v>
      </c>
      <c r="CF853" s="341">
        <f>IFERROR(VLOOKUP(BY853,'RawPL+D'!$O$8:$AB$503,12,FALSE),"-")</f>
        <v>0</v>
      </c>
      <c r="CG853" s="338">
        <f t="shared" si="362"/>
        <v>0</v>
      </c>
      <c r="CH853" s="341">
        <f>IFERROR(VLOOKUP(BY853,'RawPL+D'!$O$8:$AB$503,13,FALSE),"-")</f>
        <v>0</v>
      </c>
      <c r="CI853" s="338">
        <f t="shared" si="363"/>
        <v>0</v>
      </c>
    </row>
    <row r="854" spans="1:87" ht="12.75" hidden="1" customHeight="1" x14ac:dyDescent="0.2">
      <c r="A854" s="28">
        <v>4</v>
      </c>
      <c r="B854" s="28">
        <v>6</v>
      </c>
      <c r="C854" s="11">
        <v>24</v>
      </c>
      <c r="D854" s="13" t="s">
        <v>296</v>
      </c>
      <c r="E854" s="10" t="s">
        <v>190</v>
      </c>
      <c r="F854" s="10" t="s">
        <v>211</v>
      </c>
      <c r="G854" s="10"/>
      <c r="H854" s="10"/>
      <c r="I854" s="10"/>
      <c r="J854" s="10"/>
      <c r="K854" s="575"/>
      <c r="L854" s="152"/>
      <c r="M854" s="164"/>
      <c r="N854" s="62"/>
      <c r="O854" s="62"/>
      <c r="P854" s="177"/>
      <c r="Q854" s="62"/>
      <c r="R854" s="62"/>
      <c r="S854" s="62"/>
      <c r="T854" s="62"/>
      <c r="U854" s="64"/>
      <c r="V854" s="164"/>
      <c r="W854" s="62"/>
      <c r="X854" s="62"/>
      <c r="Y854" s="62"/>
      <c r="Z854" s="64"/>
      <c r="AA854" s="164"/>
      <c r="AB854" s="62"/>
      <c r="AC854" s="62"/>
      <c r="AD854" s="64"/>
      <c r="AE854" s="164"/>
      <c r="AF854" s="62"/>
      <c r="AG854" s="64"/>
      <c r="AH854" s="337"/>
      <c r="AI854" s="337"/>
      <c r="AJ854" s="337"/>
      <c r="AK854" s="337"/>
      <c r="AL854" s="412"/>
      <c r="AM854" s="414"/>
      <c r="AN854" s="45"/>
      <c r="AO854" s="45"/>
      <c r="AP854" s="45"/>
      <c r="AQ854" s="485"/>
      <c r="AR854" s="100"/>
      <c r="AS854" s="485"/>
      <c r="AT854" s="24"/>
      <c r="AU854" s="24"/>
      <c r="AV854" s="24"/>
      <c r="AW854" s="18">
        <v>24</v>
      </c>
      <c r="AX854" s="69" t="s">
        <v>296</v>
      </c>
      <c r="AY854" s="243" t="s">
        <v>190</v>
      </c>
      <c r="AZ854" s="243" t="str">
        <f t="shared" si="348"/>
        <v>Steelhead</v>
      </c>
      <c r="BA854" s="243" t="s">
        <v>419</v>
      </c>
      <c r="BB854" s="244" t="s">
        <v>497</v>
      </c>
      <c r="BC854" s="43" t="str">
        <f t="shared" si="349"/>
        <v>-</v>
      </c>
      <c r="BD854" s="43">
        <f t="shared" si="343"/>
        <v>0</v>
      </c>
      <c r="BE854" s="193">
        <f t="shared" si="365"/>
        <v>0</v>
      </c>
      <c r="BF854" s="193">
        <f t="shared" si="350"/>
        <v>0</v>
      </c>
      <c r="BG854" s="193">
        <f t="shared" si="351"/>
        <v>0</v>
      </c>
      <c r="BH854" s="307" t="str">
        <f t="shared" si="342"/>
        <v>-</v>
      </c>
      <c r="BI854" s="266"/>
      <c r="BJ854" s="26" t="str">
        <f t="shared" si="352"/>
        <v>COLD CREEKSteelhead</v>
      </c>
      <c r="BK854" s="26">
        <f t="shared" si="353"/>
        <v>0</v>
      </c>
      <c r="BL854" s="33">
        <f t="shared" si="345"/>
        <v>0</v>
      </c>
      <c r="BQ854" s="47" t="str">
        <f t="shared" si="354"/>
        <v>COLD CREEKSteelhead</v>
      </c>
      <c r="BR854" s="49">
        <f t="shared" si="355"/>
        <v>0</v>
      </c>
      <c r="BS854" s="49">
        <f t="shared" si="364"/>
        <v>0</v>
      </c>
      <c r="BT854" s="31">
        <v>0</v>
      </c>
      <c r="BU854" s="188" t="str">
        <f t="shared" si="356"/>
        <v>TSES</v>
      </c>
      <c r="BV854" s="188" t="str">
        <f t="shared" si="357"/>
        <v xml:space="preserve"> </v>
      </c>
      <c r="BW854" s="188" t="str">
        <f t="shared" si="358"/>
        <v xml:space="preserve"> </v>
      </c>
      <c r="BX854" s="188" t="str">
        <f t="shared" si="359"/>
        <v xml:space="preserve"> </v>
      </c>
      <c r="BY854" s="50" t="str">
        <f t="shared" si="347"/>
        <v>COLD CREEK_Steelhead</v>
      </c>
      <c r="BZ854" s="50" t="str">
        <f>IFERROR(VLOOKUP(BY854,'[1]WCVI Esc'!$C$5:$W$555,18,FALSE),"-")</f>
        <v>-</v>
      </c>
      <c r="CA854" s="50" t="str">
        <f t="shared" si="360"/>
        <v>-</v>
      </c>
      <c r="CB854" s="50" t="str">
        <f>IFERROR(VLOOKUP(BY854,'[1]WCVI Esc'!$C$5:$W$555,19,FALSE),"-")</f>
        <v>-</v>
      </c>
      <c r="CC854" s="50" t="str">
        <f t="shared" si="361"/>
        <v>-</v>
      </c>
      <c r="CE854" s="342" t="str">
        <f t="shared" si="346"/>
        <v>COLD CREEK_Steelhead</v>
      </c>
      <c r="CF854" s="341" t="str">
        <f>IFERROR(VLOOKUP(BY854,'RawPL+D'!$O$8:$AB$503,12,FALSE),"-")</f>
        <v>-</v>
      </c>
      <c r="CG854" s="338" t="str">
        <f t="shared" si="362"/>
        <v>-</v>
      </c>
      <c r="CH854" s="341" t="str">
        <f>IFERROR(VLOOKUP(BY854,'RawPL+D'!$O$8:$AB$503,13,FALSE),"-")</f>
        <v>-</v>
      </c>
      <c r="CI854" s="338" t="str">
        <f t="shared" si="363"/>
        <v>-</v>
      </c>
    </row>
    <row r="855" spans="1:87" ht="12.75" hidden="1" customHeight="1" x14ac:dyDescent="0.2">
      <c r="A855" s="28">
        <v>4</v>
      </c>
      <c r="B855" s="28">
        <v>1</v>
      </c>
      <c r="C855" s="11">
        <v>24</v>
      </c>
      <c r="D855" s="13" t="s">
        <v>296</v>
      </c>
      <c r="E855" s="10" t="s">
        <v>191</v>
      </c>
      <c r="F855" s="10" t="s">
        <v>207</v>
      </c>
      <c r="G855" s="10"/>
      <c r="H855" s="10"/>
      <c r="I855" s="10"/>
      <c r="J855" s="10"/>
      <c r="K855" s="575"/>
      <c r="L855" s="152"/>
      <c r="M855" s="422"/>
      <c r="N855" s="339"/>
      <c r="O855" s="62"/>
      <c r="P855" s="424"/>
      <c r="Q855" s="171"/>
      <c r="R855" s="339"/>
      <c r="S855" s="339"/>
      <c r="T855" s="729"/>
      <c r="U855" s="792">
        <v>0</v>
      </c>
      <c r="V855" s="169"/>
      <c r="W855" s="339"/>
      <c r="X855" s="63"/>
      <c r="Y855" s="62"/>
      <c r="Z855" s="64"/>
      <c r="AA855" s="164"/>
      <c r="AB855" s="62"/>
      <c r="AC855" s="62"/>
      <c r="AD855" s="64"/>
      <c r="AE855" s="164"/>
      <c r="AF855" s="62"/>
      <c r="AG855" s="64"/>
      <c r="AH855" s="337">
        <v>0</v>
      </c>
      <c r="AI855" s="337">
        <v>0</v>
      </c>
      <c r="AJ855" s="337">
        <v>0</v>
      </c>
      <c r="AK855" s="337">
        <v>0</v>
      </c>
      <c r="AL855" s="555">
        <v>0</v>
      </c>
      <c r="AM855" s="552">
        <v>0</v>
      </c>
      <c r="AN855" s="552" t="s">
        <v>765</v>
      </c>
      <c r="AO855" s="552" t="s">
        <v>773</v>
      </c>
      <c r="AP855" s="45"/>
      <c r="AQ855" s="485"/>
      <c r="AR855" s="100"/>
      <c r="AS855" s="485"/>
      <c r="AT855" s="24"/>
      <c r="AU855" s="24"/>
      <c r="AV855" s="24"/>
      <c r="AW855" s="18">
        <v>24</v>
      </c>
      <c r="AX855" s="69" t="s">
        <v>296</v>
      </c>
      <c r="AY855" s="243" t="s">
        <v>191</v>
      </c>
      <c r="AZ855" s="243" t="str">
        <f t="shared" si="348"/>
        <v>Sockeye</v>
      </c>
      <c r="BA855" s="243" t="s">
        <v>419</v>
      </c>
      <c r="BB855" s="244" t="s">
        <v>497</v>
      </c>
      <c r="BC855" s="43" t="str">
        <f t="shared" si="349"/>
        <v>Oct 29-Nov4</v>
      </c>
      <c r="BD855" s="43">
        <f t="shared" si="343"/>
        <v>1</v>
      </c>
      <c r="BE855" s="193">
        <f t="shared" si="365"/>
        <v>0</v>
      </c>
      <c r="BF855" s="193">
        <f t="shared" si="350"/>
        <v>0</v>
      </c>
      <c r="BG855" s="193">
        <f t="shared" si="351"/>
        <v>0</v>
      </c>
      <c r="BH855" s="307" t="str">
        <f t="shared" si="342"/>
        <v>-</v>
      </c>
      <c r="BI855" s="266"/>
      <c r="BJ855" s="26" t="str">
        <f t="shared" si="352"/>
        <v>CONE CREEKS (2)Sockeye</v>
      </c>
      <c r="BK855" s="26">
        <f t="shared" si="353"/>
        <v>1</v>
      </c>
      <c r="BL855" s="33">
        <f t="shared" si="345"/>
        <v>0</v>
      </c>
      <c r="BQ855" s="47" t="str">
        <f t="shared" si="354"/>
        <v>CONE CREEKS (2)Sockeye</v>
      </c>
      <c r="BR855" s="49">
        <f t="shared" si="355"/>
        <v>0</v>
      </c>
      <c r="BS855" s="49">
        <f t="shared" si="364"/>
        <v>0</v>
      </c>
      <c r="BT855" s="31">
        <v>0</v>
      </c>
      <c r="BU855" s="188" t="str">
        <f t="shared" si="356"/>
        <v>TSES</v>
      </c>
      <c r="BV855" s="188" t="str">
        <f t="shared" si="357"/>
        <v xml:space="preserve"> </v>
      </c>
      <c r="BW855" s="188" t="str">
        <f t="shared" si="358"/>
        <v>Oct 29-Nov4</v>
      </c>
      <c r="BX855" s="188" t="str">
        <f t="shared" si="359"/>
        <v xml:space="preserve"> </v>
      </c>
      <c r="BY855" s="50" t="str">
        <f t="shared" si="347"/>
        <v>CONE CREEKS (2)_Sockeye</v>
      </c>
      <c r="BZ855" s="50" t="str">
        <f>IFERROR(VLOOKUP(BY855,'[1]WCVI Esc'!$C$5:$W$555,18,FALSE),"-")</f>
        <v>-</v>
      </c>
      <c r="CA855" s="50" t="str">
        <f t="shared" si="360"/>
        <v>-</v>
      </c>
      <c r="CB855" s="50" t="str">
        <f>IFERROR(VLOOKUP(BY855,'[1]WCVI Esc'!$C$5:$W$555,19,FALSE),"-")</f>
        <v>-</v>
      </c>
      <c r="CC855" s="50" t="str">
        <f t="shared" si="361"/>
        <v>-</v>
      </c>
      <c r="CE855" s="342" t="str">
        <f t="shared" si="346"/>
        <v>CONE CREEKS (2)_Sockeye</v>
      </c>
      <c r="CF855" s="341" t="str">
        <f>IFERROR(VLOOKUP(BY855,'RawPL+D'!$O$8:$AB$503,12,FALSE),"-")</f>
        <v>-</v>
      </c>
      <c r="CG855" s="338" t="str">
        <f t="shared" si="362"/>
        <v>-</v>
      </c>
      <c r="CH855" s="341" t="str">
        <f>IFERROR(VLOOKUP(BY855,'RawPL+D'!$O$8:$AB$503,13,FALSE),"-")</f>
        <v>-</v>
      </c>
      <c r="CI855" s="338" t="str">
        <f t="shared" si="363"/>
        <v>-</v>
      </c>
    </row>
    <row r="856" spans="1:87" ht="12.75" hidden="1" customHeight="1" x14ac:dyDescent="0.2">
      <c r="A856" s="28">
        <v>4</v>
      </c>
      <c r="B856" s="28">
        <v>2</v>
      </c>
      <c r="C856" s="11">
        <v>24</v>
      </c>
      <c r="D856" s="13" t="s">
        <v>296</v>
      </c>
      <c r="E856" s="10" t="s">
        <v>191</v>
      </c>
      <c r="F856" s="10" t="s">
        <v>219</v>
      </c>
      <c r="G856" s="10"/>
      <c r="H856" s="10"/>
      <c r="I856" s="10"/>
      <c r="J856" s="10"/>
      <c r="K856" s="575"/>
      <c r="L856" s="152"/>
      <c r="M856" s="422"/>
      <c r="N856" s="339"/>
      <c r="O856" s="62"/>
      <c r="P856" s="424"/>
      <c r="Q856" s="171"/>
      <c r="R856" s="339"/>
      <c r="S856" s="339"/>
      <c r="T856" s="729">
        <v>0</v>
      </c>
      <c r="U856" s="792">
        <v>0</v>
      </c>
      <c r="V856" s="169"/>
      <c r="W856" s="339"/>
      <c r="X856" s="63"/>
      <c r="Y856" s="62"/>
      <c r="Z856" s="64"/>
      <c r="AA856" s="164"/>
      <c r="AB856" s="62"/>
      <c r="AC856" s="62"/>
      <c r="AD856" s="64"/>
      <c r="AE856" s="164"/>
      <c r="AF856" s="62"/>
      <c r="AG856" s="64"/>
      <c r="AH856" s="337">
        <v>0</v>
      </c>
      <c r="AI856" s="337">
        <v>0</v>
      </c>
      <c r="AJ856" s="337">
        <v>0</v>
      </c>
      <c r="AK856" s="337">
        <v>0</v>
      </c>
      <c r="AL856" s="555">
        <v>0</v>
      </c>
      <c r="AM856" s="552">
        <v>0</v>
      </c>
      <c r="AN856" s="552" t="s">
        <v>765</v>
      </c>
      <c r="AO856" s="45" t="s">
        <v>773</v>
      </c>
      <c r="AP856" s="45"/>
      <c r="AQ856" s="485"/>
      <c r="AR856" s="100"/>
      <c r="AS856" s="485"/>
      <c r="AT856" s="24"/>
      <c r="AU856" s="24"/>
      <c r="AV856" s="24"/>
      <c r="AW856" s="18">
        <v>24</v>
      </c>
      <c r="AX856" s="69" t="s">
        <v>296</v>
      </c>
      <c r="AY856" s="243" t="s">
        <v>191</v>
      </c>
      <c r="AZ856" s="243" t="str">
        <f t="shared" si="348"/>
        <v>Coho</v>
      </c>
      <c r="BA856" s="243" t="s">
        <v>419</v>
      </c>
      <c r="BB856" s="244" t="s">
        <v>497</v>
      </c>
      <c r="BC856" s="43" t="str">
        <f t="shared" si="349"/>
        <v>Oct 29-Nov4</v>
      </c>
      <c r="BD856" s="43">
        <f t="shared" si="343"/>
        <v>2</v>
      </c>
      <c r="BE856" s="193">
        <f t="shared" si="365"/>
        <v>0</v>
      </c>
      <c r="BF856" s="193">
        <f t="shared" si="350"/>
        <v>0</v>
      </c>
      <c r="BG856" s="193">
        <f t="shared" si="351"/>
        <v>0</v>
      </c>
      <c r="BH856" s="307">
        <f t="shared" si="342"/>
        <v>0</v>
      </c>
      <c r="BI856" s="266"/>
      <c r="BJ856" s="26" t="str">
        <f t="shared" si="352"/>
        <v>CONE CREEKS (2)Coho</v>
      </c>
      <c r="BK856" s="26">
        <f t="shared" si="353"/>
        <v>2</v>
      </c>
      <c r="BL856" s="33">
        <f t="shared" si="345"/>
        <v>0</v>
      </c>
      <c r="BQ856" s="47" t="str">
        <f t="shared" si="354"/>
        <v>CONE CREEKS (2)Coho</v>
      </c>
      <c r="BR856" s="49">
        <f t="shared" si="355"/>
        <v>0</v>
      </c>
      <c r="BS856" s="49">
        <f t="shared" si="364"/>
        <v>0</v>
      </c>
      <c r="BT856" s="31">
        <v>0</v>
      </c>
      <c r="BU856" s="188" t="str">
        <f t="shared" si="356"/>
        <v>TSES</v>
      </c>
      <c r="BV856" s="188" t="str">
        <f t="shared" si="357"/>
        <v xml:space="preserve"> </v>
      </c>
      <c r="BW856" s="188" t="str">
        <f t="shared" si="358"/>
        <v>Oct 29-Nov4</v>
      </c>
      <c r="BX856" s="188" t="str">
        <f t="shared" si="359"/>
        <v xml:space="preserve"> </v>
      </c>
      <c r="BY856" s="50" t="str">
        <f t="shared" si="347"/>
        <v>CONE CREEKS (2)_Coho</v>
      </c>
      <c r="BZ856" s="50" t="str">
        <f>IFERROR(VLOOKUP(BY856,'[1]WCVI Esc'!$C$5:$W$555,18,FALSE),"-")</f>
        <v>-</v>
      </c>
      <c r="CA856" s="50" t="str">
        <f t="shared" si="360"/>
        <v>-</v>
      </c>
      <c r="CB856" s="50" t="str">
        <f>IFERROR(VLOOKUP(BY856,'[1]WCVI Esc'!$C$5:$W$555,19,FALSE),"-")</f>
        <v>-</v>
      </c>
      <c r="CC856" s="50" t="str">
        <f t="shared" si="361"/>
        <v>-</v>
      </c>
      <c r="CE856" s="342" t="str">
        <f t="shared" si="346"/>
        <v>CONE CREEKS (2)_Coho</v>
      </c>
      <c r="CF856" s="341">
        <f>IFERROR(VLOOKUP(BY856,'RawPL+D'!$O$8:$AB$503,12,FALSE),"-")</f>
        <v>0</v>
      </c>
      <c r="CG856" s="338">
        <f t="shared" si="362"/>
        <v>0</v>
      </c>
      <c r="CH856" s="341">
        <f>IFERROR(VLOOKUP(BY856,'RawPL+D'!$O$8:$AB$503,13,FALSE),"-")</f>
        <v>0</v>
      </c>
      <c r="CI856" s="338">
        <f t="shared" si="363"/>
        <v>0</v>
      </c>
    </row>
    <row r="857" spans="1:87" ht="12.75" hidden="1" customHeight="1" x14ac:dyDescent="0.2">
      <c r="A857" s="28">
        <v>4</v>
      </c>
      <c r="B857" s="28">
        <v>3</v>
      </c>
      <c r="C857" s="11">
        <v>24</v>
      </c>
      <c r="D857" s="13" t="s">
        <v>296</v>
      </c>
      <c r="E857" s="10" t="s">
        <v>191</v>
      </c>
      <c r="F857" s="10" t="s">
        <v>208</v>
      </c>
      <c r="G857" s="10"/>
      <c r="H857" s="10"/>
      <c r="I857" s="10"/>
      <c r="J857" s="10"/>
      <c r="K857" s="575"/>
      <c r="L857" s="152"/>
      <c r="M857" s="422"/>
      <c r="N857" s="339"/>
      <c r="O857" s="62"/>
      <c r="P857" s="424"/>
      <c r="Q857" s="171"/>
      <c r="R857" s="339"/>
      <c r="S857" s="339"/>
      <c r="T857" s="729"/>
      <c r="U857" s="792">
        <v>0</v>
      </c>
      <c r="V857" s="169"/>
      <c r="W857" s="339"/>
      <c r="X857" s="63"/>
      <c r="Y857" s="62"/>
      <c r="Z857" s="64"/>
      <c r="AA857" s="164"/>
      <c r="AB857" s="62"/>
      <c r="AC857" s="62"/>
      <c r="AD857" s="64"/>
      <c r="AE857" s="164"/>
      <c r="AF857" s="62"/>
      <c r="AG857" s="64"/>
      <c r="AH857" s="337">
        <v>0</v>
      </c>
      <c r="AI857" s="337">
        <v>0</v>
      </c>
      <c r="AJ857" s="337">
        <v>0</v>
      </c>
      <c r="AK857" s="337">
        <v>0</v>
      </c>
      <c r="AL857" s="555">
        <v>0</v>
      </c>
      <c r="AM857" s="552">
        <v>0</v>
      </c>
      <c r="AN857" s="552" t="s">
        <v>765</v>
      </c>
      <c r="AO857" s="45" t="s">
        <v>773</v>
      </c>
      <c r="AP857" s="45"/>
      <c r="AQ857" s="485"/>
      <c r="AR857" s="100"/>
      <c r="AS857" s="485"/>
      <c r="AT857" s="24"/>
      <c r="AU857" s="24"/>
      <c r="AV857" s="24"/>
      <c r="AW857" s="18">
        <v>24</v>
      </c>
      <c r="AX857" s="69" t="s">
        <v>296</v>
      </c>
      <c r="AY857" s="243" t="s">
        <v>191</v>
      </c>
      <c r="AZ857" s="243" t="str">
        <f t="shared" si="348"/>
        <v>Pink</v>
      </c>
      <c r="BA857" s="243" t="s">
        <v>419</v>
      </c>
      <c r="BB857" s="244" t="s">
        <v>497</v>
      </c>
      <c r="BC857" s="43" t="str">
        <f t="shared" si="349"/>
        <v>Oct 29-Nov4</v>
      </c>
      <c r="BD857" s="43">
        <f t="shared" si="343"/>
        <v>1</v>
      </c>
      <c r="BE857" s="193">
        <f t="shared" si="365"/>
        <v>0</v>
      </c>
      <c r="BF857" s="193">
        <f t="shared" si="350"/>
        <v>0</v>
      </c>
      <c r="BG857" s="193">
        <f t="shared" si="351"/>
        <v>0</v>
      </c>
      <c r="BH857" s="307" t="str">
        <f t="shared" si="342"/>
        <v>-</v>
      </c>
      <c r="BI857" s="266"/>
      <c r="BJ857" s="26" t="str">
        <f t="shared" si="352"/>
        <v>CONE CREEKS (2)Pink</v>
      </c>
      <c r="BK857" s="26">
        <f t="shared" si="353"/>
        <v>1</v>
      </c>
      <c r="BL857" s="33">
        <f t="shared" si="345"/>
        <v>0</v>
      </c>
      <c r="BQ857" s="47" t="str">
        <f t="shared" si="354"/>
        <v>CONE CREEKS (2)Pink</v>
      </c>
      <c r="BR857" s="49">
        <f t="shared" si="355"/>
        <v>0</v>
      </c>
      <c r="BS857" s="49">
        <f t="shared" si="364"/>
        <v>0</v>
      </c>
      <c r="BT857" s="31">
        <v>0</v>
      </c>
      <c r="BU857" s="188" t="str">
        <f t="shared" si="356"/>
        <v>TSES</v>
      </c>
      <c r="BV857" s="188" t="str">
        <f t="shared" si="357"/>
        <v xml:space="preserve"> </v>
      </c>
      <c r="BW857" s="188" t="str">
        <f t="shared" si="358"/>
        <v>Oct 29-Nov4</v>
      </c>
      <c r="BX857" s="188" t="str">
        <f t="shared" si="359"/>
        <v xml:space="preserve"> </v>
      </c>
      <c r="BY857" s="50" t="str">
        <f t="shared" si="347"/>
        <v>CONE CREEKS (2)_Pink</v>
      </c>
      <c r="BZ857" s="50" t="str">
        <f>IFERROR(VLOOKUP(BY857,'[1]WCVI Esc'!$C$5:$W$555,18,FALSE),"-")</f>
        <v>-</v>
      </c>
      <c r="CA857" s="50" t="str">
        <f t="shared" si="360"/>
        <v>-</v>
      </c>
      <c r="CB857" s="50" t="str">
        <f>IFERROR(VLOOKUP(BY857,'[1]WCVI Esc'!$C$5:$W$555,19,FALSE),"-")</f>
        <v>-</v>
      </c>
      <c r="CC857" s="50" t="str">
        <f t="shared" si="361"/>
        <v>-</v>
      </c>
      <c r="CE857" s="342" t="str">
        <f t="shared" si="346"/>
        <v>CONE CREEKS (2)_Pink</v>
      </c>
      <c r="CF857" s="341" t="str">
        <f>IFERROR(VLOOKUP(BY857,'RawPL+D'!$O$8:$AB$503,12,FALSE),"-")</f>
        <v>-</v>
      </c>
      <c r="CG857" s="338" t="str">
        <f t="shared" si="362"/>
        <v>-</v>
      </c>
      <c r="CH857" s="341" t="str">
        <f>IFERROR(VLOOKUP(BY857,'RawPL+D'!$O$8:$AB$503,13,FALSE),"-")</f>
        <v>-</v>
      </c>
      <c r="CI857" s="338" t="str">
        <f t="shared" si="363"/>
        <v>-</v>
      </c>
    </row>
    <row r="858" spans="1:87" ht="12.75" hidden="1" customHeight="1" x14ac:dyDescent="0.2">
      <c r="A858" s="28">
        <v>4</v>
      </c>
      <c r="B858" s="28">
        <v>4</v>
      </c>
      <c r="C858" s="11">
        <v>24</v>
      </c>
      <c r="D858" s="13" t="s">
        <v>296</v>
      </c>
      <c r="E858" s="10" t="s">
        <v>191</v>
      </c>
      <c r="F858" s="10" t="s">
        <v>209</v>
      </c>
      <c r="G858" s="10"/>
      <c r="H858" s="10"/>
      <c r="I858" s="10"/>
      <c r="J858" s="10"/>
      <c r="K858" s="575"/>
      <c r="L858" s="152"/>
      <c r="M858" s="422"/>
      <c r="N858" s="339"/>
      <c r="O858" s="62"/>
      <c r="P858" s="424"/>
      <c r="Q858" s="171"/>
      <c r="R858" s="339"/>
      <c r="S858" s="339"/>
      <c r="T858" s="729">
        <f>1+61</f>
        <v>62</v>
      </c>
      <c r="U858" s="792">
        <f>3+21</f>
        <v>24</v>
      </c>
      <c r="V858" s="421"/>
      <c r="W858" s="339"/>
      <c r="X858" s="63"/>
      <c r="Y858" s="62"/>
      <c r="Z858" s="64"/>
      <c r="AA858" s="164"/>
      <c r="AB858" s="62"/>
      <c r="AC858" s="62"/>
      <c r="AD858" s="64"/>
      <c r="AE858" s="164"/>
      <c r="AF858" s="62"/>
      <c r="AG858" s="64"/>
      <c r="AH858" s="337">
        <v>69</v>
      </c>
      <c r="AI858" s="337">
        <v>0</v>
      </c>
      <c r="AJ858" s="337">
        <v>0</v>
      </c>
      <c r="AK858" s="337">
        <v>0</v>
      </c>
      <c r="AL858" s="555">
        <v>69</v>
      </c>
      <c r="AM858" s="552">
        <v>69</v>
      </c>
      <c r="AN858" s="552" t="s">
        <v>765</v>
      </c>
      <c r="AO858" s="552" t="s">
        <v>773</v>
      </c>
      <c r="AP858" s="45"/>
      <c r="AQ858" s="485">
        <f>AL858/BI858</f>
        <v>0.86250000000000004</v>
      </c>
      <c r="AR858" s="485">
        <f>BL858/BH858</f>
        <v>0.5636363636363636</v>
      </c>
      <c r="AS858" s="485">
        <f>BL858/BI858</f>
        <v>0.77500000000000002</v>
      </c>
      <c r="AT858" s="24"/>
      <c r="AU858" s="24"/>
      <c r="AV858" s="24"/>
      <c r="AW858" s="18">
        <v>24</v>
      </c>
      <c r="AX858" s="69" t="s">
        <v>296</v>
      </c>
      <c r="AY858" s="243" t="s">
        <v>191</v>
      </c>
      <c r="AZ858" s="243" t="str">
        <f t="shared" si="348"/>
        <v>Chum</v>
      </c>
      <c r="BA858" s="243" t="s">
        <v>419</v>
      </c>
      <c r="BB858" s="244" t="s">
        <v>497</v>
      </c>
      <c r="BC858" s="43" t="str">
        <f t="shared" si="349"/>
        <v>Oct 29-Nov4</v>
      </c>
      <c r="BD858" s="43">
        <f t="shared" si="343"/>
        <v>2</v>
      </c>
      <c r="BE858" s="193">
        <f t="shared" si="365"/>
        <v>62</v>
      </c>
      <c r="BF858" s="193">
        <f t="shared" si="350"/>
        <v>69</v>
      </c>
      <c r="BG858" s="193">
        <f t="shared" si="351"/>
        <v>69</v>
      </c>
      <c r="BH858" s="307">
        <f t="shared" si="342"/>
        <v>110</v>
      </c>
      <c r="BI858" s="265">
        <f>CC858</f>
        <v>80</v>
      </c>
      <c r="BJ858" s="26" t="str">
        <f t="shared" si="352"/>
        <v>CONE CREEKS (2)Chum</v>
      </c>
      <c r="BK858" s="26">
        <f t="shared" si="353"/>
        <v>2</v>
      </c>
      <c r="BL858" s="33">
        <f t="shared" si="345"/>
        <v>62</v>
      </c>
      <c r="BQ858" s="47" t="str">
        <f t="shared" si="354"/>
        <v>CONE CREEKS (2)Chum</v>
      </c>
      <c r="BR858" s="49">
        <f t="shared" si="355"/>
        <v>0</v>
      </c>
      <c r="BS858" s="49">
        <f t="shared" si="364"/>
        <v>69</v>
      </c>
      <c r="BT858" s="31">
        <v>2016</v>
      </c>
      <c r="BU858" s="188" t="str">
        <f t="shared" si="356"/>
        <v>TSES</v>
      </c>
      <c r="BV858" s="188" t="str">
        <f t="shared" si="357"/>
        <v xml:space="preserve"> </v>
      </c>
      <c r="BW858" s="188" t="str">
        <f t="shared" si="358"/>
        <v>Oct 29-Nov4</v>
      </c>
      <c r="BX858" s="188" t="str">
        <f t="shared" si="359"/>
        <v xml:space="preserve"> </v>
      </c>
      <c r="BY858" s="50" t="str">
        <f t="shared" si="347"/>
        <v>CONE CREEKS (2)_Chum</v>
      </c>
      <c r="BZ858" s="50">
        <f>IFERROR(VLOOKUP(BY858,'[1]WCVI Esc'!$C$5:$W$555,18,FALSE),"-")</f>
        <v>122</v>
      </c>
      <c r="CA858" s="50">
        <f t="shared" si="360"/>
        <v>120</v>
      </c>
      <c r="CB858" s="50">
        <f>IFERROR(VLOOKUP(BY858,'[1]WCVI Esc'!$C$5:$W$555,19,FALSE),"-")</f>
        <v>84.166666666666671</v>
      </c>
      <c r="CC858" s="50">
        <f t="shared" si="361"/>
        <v>80</v>
      </c>
      <c r="CE858" s="342" t="str">
        <f t="shared" si="346"/>
        <v>CONE CREEKS (2)_Chum</v>
      </c>
      <c r="CF858" s="341">
        <f>IFERROR(VLOOKUP(CE858,'RawPL+D'!$O$8:$AB$503,12,FALSE),"-")</f>
        <v>320</v>
      </c>
      <c r="CG858" s="338">
        <f t="shared" si="362"/>
        <v>320</v>
      </c>
      <c r="CH858" s="341">
        <f>IFERROR(VLOOKUP(CE858,'RawPL+D'!$O$8:$AB$503,13,FALSE),"-")</f>
        <v>109.66666666666667</v>
      </c>
      <c r="CI858" s="338">
        <f t="shared" si="363"/>
        <v>110</v>
      </c>
    </row>
    <row r="859" spans="1:87" ht="12.75" hidden="1" customHeight="1" x14ac:dyDescent="0.2">
      <c r="A859" s="28">
        <v>4</v>
      </c>
      <c r="B859" s="28">
        <v>5</v>
      </c>
      <c r="C859" s="11">
        <v>24</v>
      </c>
      <c r="D859" s="13" t="s">
        <v>296</v>
      </c>
      <c r="E859" s="10" t="s">
        <v>191</v>
      </c>
      <c r="F859" s="10" t="s">
        <v>210</v>
      </c>
      <c r="G859" s="10"/>
      <c r="H859" s="10"/>
      <c r="I859" s="10"/>
      <c r="J859" s="10"/>
      <c r="K859" s="575"/>
      <c r="L859" s="152"/>
      <c r="M859" s="422"/>
      <c r="N859" s="339"/>
      <c r="O859" s="62"/>
      <c r="P859" s="424"/>
      <c r="Q859" s="171"/>
      <c r="R859" s="339"/>
      <c r="S859" s="339"/>
      <c r="T859" s="729"/>
      <c r="U859" s="792">
        <v>0</v>
      </c>
      <c r="V859" s="169"/>
      <c r="W859" s="339"/>
      <c r="X859" s="63"/>
      <c r="Y859" s="62"/>
      <c r="Z859" s="64"/>
      <c r="AA859" s="164"/>
      <c r="AB859" s="62"/>
      <c r="AC859" s="62"/>
      <c r="AD859" s="64"/>
      <c r="AE859" s="164"/>
      <c r="AF859" s="62"/>
      <c r="AG859" s="64"/>
      <c r="AH859" s="337">
        <v>0</v>
      </c>
      <c r="AI859" s="337">
        <v>0</v>
      </c>
      <c r="AJ859" s="337">
        <v>0</v>
      </c>
      <c r="AK859" s="337">
        <v>0</v>
      </c>
      <c r="AL859" s="555">
        <v>0</v>
      </c>
      <c r="AM859" s="552">
        <v>0</v>
      </c>
      <c r="AN859" s="45" t="s">
        <v>765</v>
      </c>
      <c r="AO859" s="45" t="s">
        <v>773</v>
      </c>
      <c r="AP859" s="45"/>
      <c r="AQ859" s="485"/>
      <c r="AR859" s="100"/>
      <c r="AS859" s="485"/>
      <c r="AT859" s="24"/>
      <c r="AU859" s="24"/>
      <c r="AV859" s="24"/>
      <c r="AW859" s="18">
        <v>24</v>
      </c>
      <c r="AX859" s="69" t="s">
        <v>296</v>
      </c>
      <c r="AY859" s="243" t="s">
        <v>191</v>
      </c>
      <c r="AZ859" s="243" t="str">
        <f t="shared" si="348"/>
        <v>Chinook</v>
      </c>
      <c r="BA859" s="243" t="s">
        <v>419</v>
      </c>
      <c r="BB859" s="244" t="s">
        <v>497</v>
      </c>
      <c r="BC859" s="43" t="str">
        <f t="shared" si="349"/>
        <v>Oct 29-Nov4</v>
      </c>
      <c r="BD859" s="43">
        <f t="shared" si="343"/>
        <v>1</v>
      </c>
      <c r="BE859" s="193">
        <f t="shared" si="365"/>
        <v>0</v>
      </c>
      <c r="BF859" s="193">
        <f t="shared" si="350"/>
        <v>0</v>
      </c>
      <c r="BG859" s="193">
        <f t="shared" si="351"/>
        <v>0</v>
      </c>
      <c r="BH859" s="307" t="str">
        <f t="shared" si="342"/>
        <v>-</v>
      </c>
      <c r="BI859" s="266"/>
      <c r="BJ859" s="26" t="str">
        <f t="shared" si="352"/>
        <v>CONE CREEKS (2)Chinook</v>
      </c>
      <c r="BK859" s="26">
        <f t="shared" si="353"/>
        <v>1</v>
      </c>
      <c r="BL859" s="33">
        <f t="shared" si="345"/>
        <v>0</v>
      </c>
      <c r="BQ859" s="47" t="str">
        <f t="shared" si="354"/>
        <v>CONE CREEKS (2)Chinook</v>
      </c>
      <c r="BR859" s="49">
        <f t="shared" si="355"/>
        <v>0</v>
      </c>
      <c r="BS859" s="49">
        <f t="shared" si="364"/>
        <v>0</v>
      </c>
      <c r="BT859" s="31">
        <v>0</v>
      </c>
      <c r="BU859" s="188" t="str">
        <f t="shared" si="356"/>
        <v>TSES</v>
      </c>
      <c r="BV859" s="188" t="str">
        <f t="shared" si="357"/>
        <v xml:space="preserve"> </v>
      </c>
      <c r="BW859" s="188" t="str">
        <f t="shared" si="358"/>
        <v>Oct 29-Nov4</v>
      </c>
      <c r="BX859" s="188" t="str">
        <f t="shared" si="359"/>
        <v xml:space="preserve"> </v>
      </c>
      <c r="BY859" s="50" t="str">
        <f t="shared" si="347"/>
        <v>CONE CREEKS (2)_Chinook</v>
      </c>
      <c r="BZ859" s="50" t="str">
        <f>IFERROR(VLOOKUP(BY859,'[1]WCVI Esc'!$C$5:$W$555,18,FALSE),"-")</f>
        <v>-</v>
      </c>
      <c r="CA859" s="50" t="str">
        <f t="shared" si="360"/>
        <v>-</v>
      </c>
      <c r="CB859" s="50" t="str">
        <f>IFERROR(VLOOKUP(BY859,'[1]WCVI Esc'!$C$5:$W$555,19,FALSE),"-")</f>
        <v>-</v>
      </c>
      <c r="CC859" s="50" t="str">
        <f t="shared" si="361"/>
        <v>-</v>
      </c>
      <c r="CE859" s="342" t="str">
        <f t="shared" si="346"/>
        <v>CONE CREEKS (2)_Chinook</v>
      </c>
      <c r="CF859" s="341" t="str">
        <f>IFERROR(VLOOKUP(BY859,'RawPL+D'!$O$8:$AB$503,12,FALSE),"-")</f>
        <v>-</v>
      </c>
      <c r="CG859" s="338" t="str">
        <f t="shared" si="362"/>
        <v>-</v>
      </c>
      <c r="CH859" s="341" t="str">
        <f>IFERROR(VLOOKUP(BY859,'RawPL+D'!$O$8:$AB$503,13,FALSE),"-")</f>
        <v>-</v>
      </c>
      <c r="CI859" s="338" t="str">
        <f t="shared" si="363"/>
        <v>-</v>
      </c>
    </row>
    <row r="860" spans="1:87" ht="12.75" hidden="1" customHeight="1" x14ac:dyDescent="0.2">
      <c r="A860" s="28">
        <v>4</v>
      </c>
      <c r="B860" s="28">
        <v>6</v>
      </c>
      <c r="C860" s="11">
        <v>24</v>
      </c>
      <c r="D860" s="13" t="s">
        <v>296</v>
      </c>
      <c r="E860" s="10" t="s">
        <v>191</v>
      </c>
      <c r="F860" s="10" t="s">
        <v>211</v>
      </c>
      <c r="G860" s="10"/>
      <c r="H860" s="10"/>
      <c r="I860" s="10"/>
      <c r="J860" s="10"/>
      <c r="K860" s="575"/>
      <c r="L860" s="152"/>
      <c r="M860" s="422"/>
      <c r="N860" s="339"/>
      <c r="O860" s="62"/>
      <c r="P860" s="424"/>
      <c r="Q860" s="171"/>
      <c r="R860" s="339"/>
      <c r="S860" s="339"/>
      <c r="T860" s="729"/>
      <c r="U860" s="792">
        <v>0</v>
      </c>
      <c r="V860" s="169"/>
      <c r="W860" s="339"/>
      <c r="X860" s="63"/>
      <c r="Y860" s="62"/>
      <c r="Z860" s="64"/>
      <c r="AA860" s="164"/>
      <c r="AB860" s="62"/>
      <c r="AC860" s="62"/>
      <c r="AD860" s="64"/>
      <c r="AE860" s="164"/>
      <c r="AF860" s="62"/>
      <c r="AG860" s="64"/>
      <c r="AH860" s="337"/>
      <c r="AI860" s="337"/>
      <c r="AJ860" s="337"/>
      <c r="AK860" s="337"/>
      <c r="AL860" s="555"/>
      <c r="AM860" s="552"/>
      <c r="AN860" s="45"/>
      <c r="AO860" s="45"/>
      <c r="AP860" s="45"/>
      <c r="AQ860" s="485"/>
      <c r="AR860" s="100"/>
      <c r="AS860" s="485"/>
      <c r="AT860" s="24"/>
      <c r="AU860" s="24"/>
      <c r="AV860" s="24"/>
      <c r="AW860" s="18">
        <v>24</v>
      </c>
      <c r="AX860" s="69" t="s">
        <v>296</v>
      </c>
      <c r="AY860" s="243" t="s">
        <v>191</v>
      </c>
      <c r="AZ860" s="243" t="str">
        <f t="shared" si="348"/>
        <v>Steelhead</v>
      </c>
      <c r="BA860" s="243" t="s">
        <v>419</v>
      </c>
      <c r="BB860" s="244" t="s">
        <v>497</v>
      </c>
      <c r="BC860" s="43" t="str">
        <f t="shared" si="349"/>
        <v>Oct 29-Nov4</v>
      </c>
      <c r="BD860" s="43">
        <f t="shared" si="343"/>
        <v>1</v>
      </c>
      <c r="BE860" s="193">
        <f t="shared" si="365"/>
        <v>0</v>
      </c>
      <c r="BF860" s="193">
        <f t="shared" si="350"/>
        <v>0</v>
      </c>
      <c r="BG860" s="193">
        <f t="shared" si="351"/>
        <v>0</v>
      </c>
      <c r="BH860" s="307" t="str">
        <f t="shared" ref="BH860:BH923" si="366">CI860</f>
        <v>-</v>
      </c>
      <c r="BI860" s="266"/>
      <c r="BJ860" s="26" t="str">
        <f t="shared" si="352"/>
        <v>CONE CREEKS (2)Steelhead</v>
      </c>
      <c r="BK860" s="26">
        <f t="shared" si="353"/>
        <v>1</v>
      </c>
      <c r="BL860" s="33">
        <f t="shared" si="345"/>
        <v>0</v>
      </c>
      <c r="BQ860" s="47" t="str">
        <f t="shared" si="354"/>
        <v>CONE CREEKS (2)Steelhead</v>
      </c>
      <c r="BR860" s="49">
        <f t="shared" si="355"/>
        <v>0</v>
      </c>
      <c r="BS860" s="49">
        <f t="shared" si="364"/>
        <v>0</v>
      </c>
      <c r="BT860" s="31">
        <v>0</v>
      </c>
      <c r="BU860" s="188" t="str">
        <f t="shared" si="356"/>
        <v>TSES</v>
      </c>
      <c r="BV860" s="188" t="str">
        <f t="shared" si="357"/>
        <v xml:space="preserve"> </v>
      </c>
      <c r="BW860" s="188" t="str">
        <f t="shared" si="358"/>
        <v>Oct 29-Nov4</v>
      </c>
      <c r="BX860" s="188" t="str">
        <f t="shared" si="359"/>
        <v xml:space="preserve"> </v>
      </c>
      <c r="BY860" s="50" t="str">
        <f t="shared" si="347"/>
        <v>CONE CREEKS (2)_Steelhead</v>
      </c>
      <c r="BZ860" s="50" t="str">
        <f>IFERROR(VLOOKUP(BY860,'[1]WCVI Esc'!$C$5:$W$555,18,FALSE),"-")</f>
        <v>-</v>
      </c>
      <c r="CA860" s="50" t="str">
        <f t="shared" si="360"/>
        <v>-</v>
      </c>
      <c r="CB860" s="50" t="str">
        <f>IFERROR(VLOOKUP(BY860,'[1]WCVI Esc'!$C$5:$W$555,19,FALSE),"-")</f>
        <v>-</v>
      </c>
      <c r="CC860" s="50" t="str">
        <f t="shared" si="361"/>
        <v>-</v>
      </c>
      <c r="CE860" s="342" t="str">
        <f t="shared" si="346"/>
        <v>CONE CREEKS (2)_Steelhead</v>
      </c>
      <c r="CF860" s="341" t="str">
        <f>IFERROR(VLOOKUP(BY860,'RawPL+D'!$O$8:$AB$503,12,FALSE),"-")</f>
        <v>-</v>
      </c>
      <c r="CG860" s="338" t="str">
        <f t="shared" si="362"/>
        <v>-</v>
      </c>
      <c r="CH860" s="341" t="str">
        <f>IFERROR(VLOOKUP(BY860,'RawPL+D'!$O$8:$AB$503,13,FALSE),"-")</f>
        <v>-</v>
      </c>
      <c r="CI860" s="338" t="str">
        <f t="shared" si="363"/>
        <v>-</v>
      </c>
    </row>
    <row r="861" spans="1:87" ht="12.75" hidden="1" customHeight="1" x14ac:dyDescent="0.2">
      <c r="A861" s="28">
        <v>4</v>
      </c>
      <c r="B861" s="28">
        <v>1</v>
      </c>
      <c r="C861" s="11">
        <v>24</v>
      </c>
      <c r="D861" s="13" t="s">
        <v>296</v>
      </c>
      <c r="E861" s="10" t="s">
        <v>436</v>
      </c>
      <c r="F861" s="10" t="s">
        <v>207</v>
      </c>
      <c r="G861" s="10"/>
      <c r="H861" s="10"/>
      <c r="I861" s="10"/>
      <c r="J861" s="10"/>
      <c r="K861" s="575"/>
      <c r="L861" s="152"/>
      <c r="M861" s="422"/>
      <c r="N861" s="339"/>
      <c r="O861" s="62"/>
      <c r="P861" s="424"/>
      <c r="Q861" s="171"/>
      <c r="R861" s="339"/>
      <c r="S861" s="339"/>
      <c r="T861" s="62"/>
      <c r="U861" s="162"/>
      <c r="V861" s="164"/>
      <c r="W861" s="94"/>
      <c r="X861" s="63"/>
      <c r="Y861" s="94"/>
      <c r="Z861" s="64"/>
      <c r="AA861" s="164"/>
      <c r="AB861" s="62"/>
      <c r="AC861" s="62"/>
      <c r="AD861" s="64"/>
      <c r="AE861" s="164"/>
      <c r="AF861" s="62"/>
      <c r="AG861" s="64"/>
      <c r="AH861" s="337"/>
      <c r="AI861" s="337"/>
      <c r="AJ861" s="337"/>
      <c r="AK861" s="337"/>
      <c r="AL861" s="412"/>
      <c r="AM861" s="414"/>
      <c r="AN861" s="44"/>
      <c r="AO861" s="44"/>
      <c r="AP861" s="45"/>
      <c r="AQ861" s="485"/>
      <c r="AR861" s="100"/>
      <c r="AS861" s="485"/>
      <c r="AT861" s="24"/>
      <c r="AU861" s="24"/>
      <c r="AV861" s="24"/>
      <c r="AW861" s="18">
        <v>24</v>
      </c>
      <c r="AX861" s="69" t="s">
        <v>296</v>
      </c>
      <c r="AY861" s="243" t="s">
        <v>330</v>
      </c>
      <c r="AZ861" s="243" t="str">
        <f t="shared" si="348"/>
        <v>Sockeye</v>
      </c>
      <c r="BA861" s="243" t="s">
        <v>419</v>
      </c>
      <c r="BB861" s="244" t="s">
        <v>626</v>
      </c>
      <c r="BC861" s="43" t="str">
        <f t="shared" si="349"/>
        <v>-</v>
      </c>
      <c r="BD861" s="43">
        <f t="shared" si="343"/>
        <v>0</v>
      </c>
      <c r="BE861" s="193">
        <f t="shared" si="365"/>
        <v>0</v>
      </c>
      <c r="BF861" s="193">
        <f t="shared" si="350"/>
        <v>0</v>
      </c>
      <c r="BG861" s="193">
        <f t="shared" si="351"/>
        <v>0</v>
      </c>
      <c r="BH861" s="307" t="str">
        <f t="shared" si="366"/>
        <v>-</v>
      </c>
      <c r="BI861" s="266"/>
      <c r="BJ861" s="26" t="str">
        <f t="shared" si="352"/>
        <v>ENGLISH COVE CREEKSockeye</v>
      </c>
      <c r="BK861" s="26">
        <f t="shared" si="353"/>
        <v>0</v>
      </c>
      <c r="BL861" s="33">
        <f t="shared" si="345"/>
        <v>0</v>
      </c>
      <c r="BQ861" s="47" t="str">
        <f t="shared" si="354"/>
        <v>ENGLISH COVE CREEKSockeye</v>
      </c>
      <c r="BR861" s="49">
        <f t="shared" si="355"/>
        <v>0</v>
      </c>
      <c r="BS861" s="49">
        <f t="shared" si="364"/>
        <v>0</v>
      </c>
      <c r="BT861" s="31">
        <v>0</v>
      </c>
      <c r="BU861" s="188" t="str">
        <f t="shared" si="356"/>
        <v>Redd</v>
      </c>
      <c r="BV861" s="188" t="str">
        <f t="shared" si="357"/>
        <v xml:space="preserve"> </v>
      </c>
      <c r="BW861" s="188" t="str">
        <f t="shared" si="358"/>
        <v xml:space="preserve"> </v>
      </c>
      <c r="BX861" s="188" t="str">
        <f t="shared" si="359"/>
        <v xml:space="preserve"> </v>
      </c>
      <c r="BY861" s="50" t="str">
        <f t="shared" si="347"/>
        <v>ENGLISH COVE CREEK_Sockeye</v>
      </c>
      <c r="BZ861" s="50" t="str">
        <f>IFERROR(VLOOKUP(BY861,'[1]WCVI Esc'!$C$5:$W$555,18,FALSE),"-")</f>
        <v>-</v>
      </c>
      <c r="CA861" s="50" t="str">
        <f t="shared" si="360"/>
        <v>-</v>
      </c>
      <c r="CB861" s="50" t="str">
        <f>IFERROR(VLOOKUP(BY861,'[1]WCVI Esc'!$C$5:$W$555,19,FALSE),"-")</f>
        <v>-</v>
      </c>
      <c r="CC861" s="50" t="str">
        <f t="shared" si="361"/>
        <v>-</v>
      </c>
      <c r="CE861" s="342" t="str">
        <f t="shared" si="346"/>
        <v>ENGLISH COVE CREEK_Sockeye</v>
      </c>
      <c r="CF861" s="341" t="str">
        <f>IFERROR(VLOOKUP(BY861,'RawPL+D'!$O$8:$AB$503,12,FALSE),"-")</f>
        <v>-</v>
      </c>
      <c r="CG861" s="338" t="str">
        <f t="shared" si="362"/>
        <v>-</v>
      </c>
      <c r="CH861" s="341" t="str">
        <f>IFERROR(VLOOKUP(BY861,'RawPL+D'!$O$8:$AB$503,13,FALSE),"-")</f>
        <v>-</v>
      </c>
      <c r="CI861" s="338" t="str">
        <f t="shared" si="363"/>
        <v>-</v>
      </c>
    </row>
    <row r="862" spans="1:87" ht="12.75" hidden="1" customHeight="1" x14ac:dyDescent="0.2">
      <c r="A862" s="28">
        <v>4</v>
      </c>
      <c r="B862" s="28">
        <v>2</v>
      </c>
      <c r="C862" s="11">
        <v>24</v>
      </c>
      <c r="D862" s="13" t="s">
        <v>296</v>
      </c>
      <c r="E862" s="10" t="s">
        <v>436</v>
      </c>
      <c r="F862" s="10" t="s">
        <v>219</v>
      </c>
      <c r="G862" s="10"/>
      <c r="H862" s="10"/>
      <c r="I862" s="10"/>
      <c r="J862" s="10"/>
      <c r="K862" s="575"/>
      <c r="L862" s="152"/>
      <c r="M862" s="422"/>
      <c r="N862" s="339"/>
      <c r="O862" s="62"/>
      <c r="P862" s="424"/>
      <c r="Q862" s="171"/>
      <c r="R862" s="339"/>
      <c r="S862" s="339"/>
      <c r="T862" s="62"/>
      <c r="U862" s="162"/>
      <c r="V862" s="164"/>
      <c r="W862" s="94"/>
      <c r="X862" s="63"/>
      <c r="Y862" s="94"/>
      <c r="Z862" s="64"/>
      <c r="AA862" s="164"/>
      <c r="AB862" s="62"/>
      <c r="AC862" s="62"/>
      <c r="AD862" s="64"/>
      <c r="AE862" s="164"/>
      <c r="AF862" s="62"/>
      <c r="AG862" s="64"/>
      <c r="AH862" s="337"/>
      <c r="AI862" s="337"/>
      <c r="AJ862" s="337"/>
      <c r="AK862" s="337"/>
      <c r="AL862" s="412"/>
      <c r="AM862" s="414"/>
      <c r="AN862" s="45"/>
      <c r="AO862" s="45"/>
      <c r="AP862" s="45"/>
      <c r="AQ862" s="485"/>
      <c r="AR862" s="100"/>
      <c r="AS862" s="485"/>
      <c r="AT862" s="24"/>
      <c r="AU862" s="24"/>
      <c r="AV862" s="24"/>
      <c r="AW862" s="18">
        <v>24</v>
      </c>
      <c r="AX862" s="69" t="s">
        <v>296</v>
      </c>
      <c r="AY862" s="243" t="s">
        <v>330</v>
      </c>
      <c r="AZ862" s="243" t="str">
        <f t="shared" si="348"/>
        <v>Coho</v>
      </c>
      <c r="BA862" s="243" t="s">
        <v>419</v>
      </c>
      <c r="BB862" s="244" t="s">
        <v>626</v>
      </c>
      <c r="BC862" s="43" t="str">
        <f t="shared" si="349"/>
        <v>-</v>
      </c>
      <c r="BD862" s="43">
        <f t="shared" si="343"/>
        <v>0</v>
      </c>
      <c r="BE862" s="193">
        <f t="shared" si="365"/>
        <v>0</v>
      </c>
      <c r="BF862" s="193">
        <f t="shared" si="350"/>
        <v>0</v>
      </c>
      <c r="BG862" s="193">
        <f t="shared" si="351"/>
        <v>0</v>
      </c>
      <c r="BH862" s="307">
        <f t="shared" si="366"/>
        <v>0</v>
      </c>
      <c r="BI862" s="266"/>
      <c r="BJ862" s="26" t="str">
        <f t="shared" si="352"/>
        <v>ENGLISH COVE CREEKCoho</v>
      </c>
      <c r="BK862" s="26">
        <f t="shared" si="353"/>
        <v>0</v>
      </c>
      <c r="BL862" s="33">
        <f t="shared" si="345"/>
        <v>0</v>
      </c>
      <c r="BQ862" s="47" t="str">
        <f t="shared" si="354"/>
        <v>ENGLISH COVE CREEKCoho</v>
      </c>
      <c r="BR862" s="49">
        <f t="shared" si="355"/>
        <v>0</v>
      </c>
      <c r="BS862" s="49">
        <f t="shared" si="364"/>
        <v>0</v>
      </c>
      <c r="BT862" s="31">
        <v>2016</v>
      </c>
      <c r="BU862" s="188" t="str">
        <f t="shared" si="356"/>
        <v>Redd</v>
      </c>
      <c r="BV862" s="188" t="str">
        <f t="shared" si="357"/>
        <v xml:space="preserve"> </v>
      </c>
      <c r="BW862" s="188" t="str">
        <f t="shared" si="358"/>
        <v xml:space="preserve"> </v>
      </c>
      <c r="BX862" s="188" t="str">
        <f t="shared" si="359"/>
        <v xml:space="preserve"> </v>
      </c>
      <c r="BY862" s="50" t="str">
        <f t="shared" si="347"/>
        <v>ENGLISH COVE CREEK_Coho</v>
      </c>
      <c r="BZ862" s="50" t="str">
        <f>IFERROR(VLOOKUP(BY862,'[1]WCVI Esc'!$C$5:$W$555,18,FALSE),"-")</f>
        <v>-</v>
      </c>
      <c r="CA862" s="50" t="str">
        <f t="shared" si="360"/>
        <v>-</v>
      </c>
      <c r="CB862" s="50">
        <f>IFERROR(VLOOKUP(BY862,'[1]WCVI Esc'!$C$5:$W$555,19,FALSE),"-")</f>
        <v>8</v>
      </c>
      <c r="CC862" s="50">
        <f t="shared" si="361"/>
        <v>10</v>
      </c>
      <c r="CE862" s="342" t="str">
        <f t="shared" si="346"/>
        <v>ENGLISH COVE CREEK_Coho</v>
      </c>
      <c r="CF862" s="341">
        <f>IFERROR(VLOOKUP(BY862,'RawPL+D'!$O$8:$AB$503,12,FALSE),"-")</f>
        <v>0</v>
      </c>
      <c r="CG862" s="338">
        <f t="shared" si="362"/>
        <v>0</v>
      </c>
      <c r="CH862" s="341">
        <f>IFERROR(VLOOKUP(BY862,'RawPL+D'!$O$8:$AB$503,13,FALSE),"-")</f>
        <v>0</v>
      </c>
      <c r="CI862" s="338">
        <f t="shared" si="363"/>
        <v>0</v>
      </c>
    </row>
    <row r="863" spans="1:87" ht="12.75" hidden="1" customHeight="1" x14ac:dyDescent="0.2">
      <c r="A863" s="28">
        <v>4</v>
      </c>
      <c r="B863" s="28">
        <v>3</v>
      </c>
      <c r="C863" s="11">
        <v>24</v>
      </c>
      <c r="D863" s="13" t="s">
        <v>296</v>
      </c>
      <c r="E863" s="10" t="s">
        <v>436</v>
      </c>
      <c r="F863" s="10" t="s">
        <v>208</v>
      </c>
      <c r="G863" s="10"/>
      <c r="H863" s="10"/>
      <c r="I863" s="10"/>
      <c r="J863" s="10"/>
      <c r="K863" s="575"/>
      <c r="L863" s="152"/>
      <c r="M863" s="422"/>
      <c r="N863" s="339"/>
      <c r="O863" s="62"/>
      <c r="P863" s="424"/>
      <c r="Q863" s="171"/>
      <c r="R863" s="339"/>
      <c r="S863" s="339"/>
      <c r="T863" s="62"/>
      <c r="U863" s="162"/>
      <c r="V863" s="164"/>
      <c r="W863" s="94"/>
      <c r="X863" s="63"/>
      <c r="Y863" s="94"/>
      <c r="Z863" s="64"/>
      <c r="AA863" s="164"/>
      <c r="AB863" s="62"/>
      <c r="AC863" s="62"/>
      <c r="AD863" s="64"/>
      <c r="AE863" s="164"/>
      <c r="AF863" s="62"/>
      <c r="AG863" s="64"/>
      <c r="AH863" s="337"/>
      <c r="AI863" s="337"/>
      <c r="AJ863" s="337"/>
      <c r="AK863" s="337"/>
      <c r="AL863" s="412"/>
      <c r="AM863" s="414"/>
      <c r="AN863" s="45"/>
      <c r="AO863" s="45"/>
      <c r="AP863" s="45"/>
      <c r="AQ863" s="485"/>
      <c r="AR863" s="100"/>
      <c r="AS863" s="485"/>
      <c r="AT863" s="24"/>
      <c r="AU863" s="24"/>
      <c r="AV863" s="24"/>
      <c r="AW863" s="18">
        <v>24</v>
      </c>
      <c r="AX863" s="69" t="s">
        <v>296</v>
      </c>
      <c r="AY863" s="243" t="s">
        <v>330</v>
      </c>
      <c r="AZ863" s="243" t="str">
        <f t="shared" si="348"/>
        <v>Pink</v>
      </c>
      <c r="BA863" s="243" t="s">
        <v>419</v>
      </c>
      <c r="BB863" s="244" t="s">
        <v>626</v>
      </c>
      <c r="BC863" s="43" t="str">
        <f t="shared" si="349"/>
        <v>-</v>
      </c>
      <c r="BD863" s="43">
        <f t="shared" si="343"/>
        <v>0</v>
      </c>
      <c r="BE863" s="193">
        <f t="shared" si="365"/>
        <v>0</v>
      </c>
      <c r="BF863" s="193">
        <f t="shared" si="350"/>
        <v>0</v>
      </c>
      <c r="BG863" s="193">
        <f t="shared" si="351"/>
        <v>0</v>
      </c>
      <c r="BH863" s="307" t="str">
        <f t="shared" si="366"/>
        <v>-</v>
      </c>
      <c r="BI863" s="266"/>
      <c r="BJ863" s="26" t="str">
        <f t="shared" si="352"/>
        <v>ENGLISH COVE CREEKPink</v>
      </c>
      <c r="BK863" s="26">
        <f t="shared" si="353"/>
        <v>0</v>
      </c>
      <c r="BL863" s="33">
        <f t="shared" si="345"/>
        <v>0</v>
      </c>
      <c r="BQ863" s="47" t="str">
        <f t="shared" si="354"/>
        <v>ENGLISH COVE CREEKPink</v>
      </c>
      <c r="BR863" s="49">
        <f t="shared" si="355"/>
        <v>0</v>
      </c>
      <c r="BS863" s="49">
        <f t="shared" si="364"/>
        <v>0</v>
      </c>
      <c r="BT863" s="31">
        <v>0</v>
      </c>
      <c r="BU863" s="188" t="str">
        <f t="shared" si="356"/>
        <v>Redd</v>
      </c>
      <c r="BV863" s="188" t="str">
        <f t="shared" si="357"/>
        <v xml:space="preserve"> </v>
      </c>
      <c r="BW863" s="188" t="str">
        <f t="shared" si="358"/>
        <v xml:space="preserve"> </v>
      </c>
      <c r="BX863" s="188" t="str">
        <f t="shared" si="359"/>
        <v xml:space="preserve"> </v>
      </c>
      <c r="BY863" s="50" t="str">
        <f t="shared" si="347"/>
        <v>ENGLISH COVE CREEK_Pink</v>
      </c>
      <c r="BZ863" s="50" t="str">
        <f>IFERROR(VLOOKUP(BY863,'[1]WCVI Esc'!$C$5:$W$555,18,FALSE),"-")</f>
        <v>-</v>
      </c>
      <c r="CA863" s="50" t="str">
        <f t="shared" si="360"/>
        <v>-</v>
      </c>
      <c r="CB863" s="50" t="str">
        <f>IFERROR(VLOOKUP(BY863,'[1]WCVI Esc'!$C$5:$W$555,19,FALSE),"-")</f>
        <v>-</v>
      </c>
      <c r="CC863" s="50" t="str">
        <f t="shared" si="361"/>
        <v>-</v>
      </c>
      <c r="CE863" s="342" t="str">
        <f t="shared" si="346"/>
        <v>ENGLISH COVE CREEK_Pink</v>
      </c>
      <c r="CF863" s="341" t="str">
        <f>IFERROR(VLOOKUP(BY863,'RawPL+D'!$O$8:$AB$503,12,FALSE),"-")</f>
        <v>-</v>
      </c>
      <c r="CG863" s="338" t="str">
        <f t="shared" si="362"/>
        <v>-</v>
      </c>
      <c r="CH863" s="341" t="str">
        <f>IFERROR(VLOOKUP(BY863,'RawPL+D'!$O$8:$AB$503,13,FALSE),"-")</f>
        <v>-</v>
      </c>
      <c r="CI863" s="338" t="str">
        <f t="shared" si="363"/>
        <v>-</v>
      </c>
    </row>
    <row r="864" spans="1:87" ht="12.75" hidden="1" customHeight="1" x14ac:dyDescent="0.2">
      <c r="A864" s="28">
        <v>4</v>
      </c>
      <c r="B864" s="28">
        <v>4</v>
      </c>
      <c r="C864" s="11">
        <v>24</v>
      </c>
      <c r="D864" s="13" t="s">
        <v>296</v>
      </c>
      <c r="E864" s="10" t="s">
        <v>436</v>
      </c>
      <c r="F864" s="10" t="s">
        <v>209</v>
      </c>
      <c r="G864" s="10"/>
      <c r="H864" s="10"/>
      <c r="I864" s="10"/>
      <c r="J864" s="10"/>
      <c r="K864" s="575"/>
      <c r="L864" s="152"/>
      <c r="M864" s="422"/>
      <c r="N864" s="339"/>
      <c r="O864" s="62"/>
      <c r="P864" s="424"/>
      <c r="Q864" s="171"/>
      <c r="R864" s="339"/>
      <c r="S864" s="339"/>
      <c r="T864" s="62"/>
      <c r="U864" s="162"/>
      <c r="V864" s="164"/>
      <c r="W864" s="94"/>
      <c r="X864" s="63"/>
      <c r="Y864" s="94"/>
      <c r="Z864" s="64"/>
      <c r="AA864" s="164"/>
      <c r="AB864" s="62"/>
      <c r="AC864" s="62"/>
      <c r="AD864" s="64"/>
      <c r="AE864" s="164"/>
      <c r="AF864" s="62"/>
      <c r="AG864" s="64"/>
      <c r="AH864" s="337"/>
      <c r="AI864" s="337"/>
      <c r="AJ864" s="337"/>
      <c r="AK864" s="337"/>
      <c r="AL864" s="412"/>
      <c r="AM864" s="414"/>
      <c r="AN864" s="45"/>
      <c r="AO864" s="45"/>
      <c r="AP864" s="45"/>
      <c r="AQ864" s="485"/>
      <c r="AR864" s="100"/>
      <c r="AS864" s="485"/>
      <c r="AT864" s="24"/>
      <c r="AU864" s="24"/>
      <c r="AV864" s="24"/>
      <c r="AW864" s="18">
        <v>24</v>
      </c>
      <c r="AX864" s="69" t="s">
        <v>296</v>
      </c>
      <c r="AY864" s="243" t="s">
        <v>330</v>
      </c>
      <c r="AZ864" s="243" t="str">
        <f t="shared" si="348"/>
        <v>Chum</v>
      </c>
      <c r="BA864" s="243" t="s">
        <v>419</v>
      </c>
      <c r="BB864" s="244" t="s">
        <v>626</v>
      </c>
      <c r="BC864" s="43" t="str">
        <f t="shared" si="349"/>
        <v>-</v>
      </c>
      <c r="BD864" s="43">
        <f t="shared" si="343"/>
        <v>0</v>
      </c>
      <c r="BE864" s="193">
        <f t="shared" si="365"/>
        <v>0</v>
      </c>
      <c r="BF864" s="193">
        <f t="shared" si="350"/>
        <v>0</v>
      </c>
      <c r="BG864" s="193">
        <f t="shared" si="351"/>
        <v>0</v>
      </c>
      <c r="BH864" s="307">
        <f t="shared" si="366"/>
        <v>0</v>
      </c>
      <c r="BI864" s="266"/>
      <c r="BJ864" s="26" t="str">
        <f t="shared" si="352"/>
        <v>ENGLISH COVE CREEKChum</v>
      </c>
      <c r="BK864" s="26">
        <f t="shared" si="353"/>
        <v>0</v>
      </c>
      <c r="BL864" s="33">
        <f t="shared" si="345"/>
        <v>0</v>
      </c>
      <c r="BQ864" s="47" t="str">
        <f t="shared" si="354"/>
        <v>ENGLISH COVE CREEKChum</v>
      </c>
      <c r="BR864" s="49">
        <f t="shared" si="355"/>
        <v>0</v>
      </c>
      <c r="BS864" s="49">
        <f t="shared" si="364"/>
        <v>0</v>
      </c>
      <c r="BT864" s="31">
        <v>0</v>
      </c>
      <c r="BU864" s="188" t="str">
        <f t="shared" si="356"/>
        <v>Redd</v>
      </c>
      <c r="BV864" s="188" t="str">
        <f t="shared" si="357"/>
        <v xml:space="preserve"> </v>
      </c>
      <c r="BW864" s="188" t="str">
        <f t="shared" si="358"/>
        <v xml:space="preserve"> </v>
      </c>
      <c r="BX864" s="188" t="str">
        <f t="shared" si="359"/>
        <v xml:space="preserve"> </v>
      </c>
      <c r="BY864" s="50" t="str">
        <f t="shared" si="347"/>
        <v>ENGLISH COVE CREEK_Chum</v>
      </c>
      <c r="BZ864" s="50" t="str">
        <f>IFERROR(VLOOKUP(BY864,'[1]WCVI Esc'!$C$5:$W$555,18,FALSE),"-")</f>
        <v>-</v>
      </c>
      <c r="CA864" s="50" t="str">
        <f t="shared" si="360"/>
        <v>-</v>
      </c>
      <c r="CB864" s="50" t="str">
        <f>IFERROR(VLOOKUP(BY864,'[1]WCVI Esc'!$C$5:$W$555,19,FALSE),"-")</f>
        <v>-</v>
      </c>
      <c r="CC864" s="50" t="str">
        <f t="shared" si="361"/>
        <v>-</v>
      </c>
      <c r="CE864" s="342" t="str">
        <f t="shared" si="346"/>
        <v>ENGLISH COVE CREEK_Chum</v>
      </c>
      <c r="CF864" s="341">
        <f>IFERROR(VLOOKUP(BY864,'RawPL+D'!$O$8:$AB$503,12,FALSE),"-")</f>
        <v>0</v>
      </c>
      <c r="CG864" s="338">
        <f t="shared" si="362"/>
        <v>0</v>
      </c>
      <c r="CH864" s="341">
        <f>IFERROR(VLOOKUP(BY864,'RawPL+D'!$O$8:$AB$503,13,FALSE),"-")</f>
        <v>0</v>
      </c>
      <c r="CI864" s="338">
        <f t="shared" si="363"/>
        <v>0</v>
      </c>
    </row>
    <row r="865" spans="1:87" ht="12.75" hidden="1" customHeight="1" x14ac:dyDescent="0.2">
      <c r="A865" s="28">
        <v>4</v>
      </c>
      <c r="B865" s="28">
        <v>5</v>
      </c>
      <c r="C865" s="11">
        <v>24</v>
      </c>
      <c r="D865" s="13" t="s">
        <v>296</v>
      </c>
      <c r="E865" s="10" t="s">
        <v>436</v>
      </c>
      <c r="F865" s="10" t="s">
        <v>210</v>
      </c>
      <c r="G865" s="10"/>
      <c r="H865" s="10"/>
      <c r="I865" s="10"/>
      <c r="J865" s="10"/>
      <c r="K865" s="575"/>
      <c r="L865" s="152"/>
      <c r="M865" s="422"/>
      <c r="N865" s="339"/>
      <c r="O865" s="62"/>
      <c r="P865" s="424"/>
      <c r="Q865" s="171"/>
      <c r="R865" s="339"/>
      <c r="S865" s="339"/>
      <c r="T865" s="62"/>
      <c r="U865" s="162"/>
      <c r="V865" s="164"/>
      <c r="W865" s="94"/>
      <c r="X865" s="63"/>
      <c r="Y865" s="94"/>
      <c r="Z865" s="64"/>
      <c r="AA865" s="164"/>
      <c r="AB865" s="62"/>
      <c r="AC865" s="62"/>
      <c r="AD865" s="64"/>
      <c r="AE865" s="164"/>
      <c r="AF865" s="62"/>
      <c r="AG865" s="64"/>
      <c r="AH865" s="337"/>
      <c r="AI865" s="337"/>
      <c r="AJ865" s="337"/>
      <c r="AK865" s="337"/>
      <c r="AL865" s="412"/>
      <c r="AM865" s="414"/>
      <c r="AN865" s="45"/>
      <c r="AO865" s="45"/>
      <c r="AP865" s="45"/>
      <c r="AQ865" s="485"/>
      <c r="AR865" s="100"/>
      <c r="AS865" s="485"/>
      <c r="AT865" s="24"/>
      <c r="AU865" s="24"/>
      <c r="AV865" s="24"/>
      <c r="AW865" s="18">
        <v>24</v>
      </c>
      <c r="AX865" s="69" t="s">
        <v>296</v>
      </c>
      <c r="AY865" s="243" t="s">
        <v>330</v>
      </c>
      <c r="AZ865" s="243" t="str">
        <f t="shared" si="348"/>
        <v>Chinook</v>
      </c>
      <c r="BA865" s="243" t="s">
        <v>419</v>
      </c>
      <c r="BB865" s="244" t="s">
        <v>626</v>
      </c>
      <c r="BC865" s="43" t="str">
        <f t="shared" si="349"/>
        <v>-</v>
      </c>
      <c r="BD865" s="43">
        <f t="shared" ref="BD865:BD928" si="367">BK865</f>
        <v>0</v>
      </c>
      <c r="BE865" s="193">
        <f t="shared" si="365"/>
        <v>0</v>
      </c>
      <c r="BF865" s="193">
        <f t="shared" si="350"/>
        <v>0</v>
      </c>
      <c r="BG865" s="193">
        <f t="shared" si="351"/>
        <v>0</v>
      </c>
      <c r="BH865" s="307" t="str">
        <f t="shared" si="366"/>
        <v>-</v>
      </c>
      <c r="BI865" s="266"/>
      <c r="BJ865" s="26" t="str">
        <f t="shared" si="352"/>
        <v>ENGLISH COVE CREEKChinook</v>
      </c>
      <c r="BK865" s="26">
        <f t="shared" si="353"/>
        <v>0</v>
      </c>
      <c r="BL865" s="33">
        <f t="shared" si="345"/>
        <v>0</v>
      </c>
      <c r="BQ865" s="47" t="str">
        <f t="shared" si="354"/>
        <v>ENGLISH COVE CREEKChinook</v>
      </c>
      <c r="BR865" s="49">
        <f t="shared" si="355"/>
        <v>0</v>
      </c>
      <c r="BS865" s="49">
        <f t="shared" si="364"/>
        <v>0</v>
      </c>
      <c r="BT865" s="31">
        <v>0</v>
      </c>
      <c r="BU865" s="188" t="str">
        <f t="shared" si="356"/>
        <v>Redd</v>
      </c>
      <c r="BV865" s="188" t="str">
        <f t="shared" si="357"/>
        <v xml:space="preserve"> </v>
      </c>
      <c r="BW865" s="188" t="str">
        <f t="shared" si="358"/>
        <v xml:space="preserve"> </v>
      </c>
      <c r="BX865" s="188" t="str">
        <f t="shared" si="359"/>
        <v xml:space="preserve"> </v>
      </c>
      <c r="BY865" s="50" t="str">
        <f t="shared" si="347"/>
        <v>ENGLISH COVE CREEK_Chinook</v>
      </c>
      <c r="BZ865" s="50" t="str">
        <f>IFERROR(VLOOKUP(BY865,'[1]WCVI Esc'!$C$5:$W$555,18,FALSE),"-")</f>
        <v>-</v>
      </c>
      <c r="CA865" s="50" t="str">
        <f t="shared" si="360"/>
        <v>-</v>
      </c>
      <c r="CB865" s="50" t="str">
        <f>IFERROR(VLOOKUP(BY865,'[1]WCVI Esc'!$C$5:$W$555,19,FALSE),"-")</f>
        <v>-</v>
      </c>
      <c r="CC865" s="50" t="str">
        <f t="shared" si="361"/>
        <v>-</v>
      </c>
      <c r="CE865" s="342" t="str">
        <f t="shared" si="346"/>
        <v>ENGLISH COVE CREEK_Chinook</v>
      </c>
      <c r="CF865" s="341" t="str">
        <f>IFERROR(VLOOKUP(BY865,'RawPL+D'!$O$8:$AB$503,12,FALSE),"-")</f>
        <v>-</v>
      </c>
      <c r="CG865" s="338" t="str">
        <f t="shared" si="362"/>
        <v>-</v>
      </c>
      <c r="CH865" s="341" t="str">
        <f>IFERROR(VLOOKUP(BY865,'RawPL+D'!$O$8:$AB$503,13,FALSE),"-")</f>
        <v>-</v>
      </c>
      <c r="CI865" s="338" t="str">
        <f t="shared" si="363"/>
        <v>-</v>
      </c>
    </row>
    <row r="866" spans="1:87" ht="12.75" hidden="1" customHeight="1" x14ac:dyDescent="0.2">
      <c r="A866" s="28">
        <v>4</v>
      </c>
      <c r="B866" s="28">
        <v>6</v>
      </c>
      <c r="C866" s="11">
        <v>24</v>
      </c>
      <c r="D866" s="13" t="s">
        <v>296</v>
      </c>
      <c r="E866" s="10" t="s">
        <v>436</v>
      </c>
      <c r="F866" s="10" t="s">
        <v>211</v>
      </c>
      <c r="G866" s="10"/>
      <c r="H866" s="10"/>
      <c r="I866" s="10"/>
      <c r="J866" s="10"/>
      <c r="K866" s="575"/>
      <c r="L866" s="152"/>
      <c r="M866" s="422"/>
      <c r="N866" s="339"/>
      <c r="O866" s="62"/>
      <c r="P866" s="424"/>
      <c r="Q866" s="171"/>
      <c r="R866" s="339"/>
      <c r="S866" s="339"/>
      <c r="T866" s="62"/>
      <c r="U866" s="162"/>
      <c r="V866" s="164"/>
      <c r="W866" s="94"/>
      <c r="X866" s="63"/>
      <c r="Y866" s="94"/>
      <c r="Z866" s="64"/>
      <c r="AA866" s="164"/>
      <c r="AB866" s="62"/>
      <c r="AC866" s="62"/>
      <c r="AD866" s="64"/>
      <c r="AE866" s="164"/>
      <c r="AF866" s="62"/>
      <c r="AG866" s="64"/>
      <c r="AH866" s="337"/>
      <c r="AI866" s="337"/>
      <c r="AJ866" s="337"/>
      <c r="AK866" s="337"/>
      <c r="AL866" s="412"/>
      <c r="AM866" s="414"/>
      <c r="AN866" s="45"/>
      <c r="AO866" s="45"/>
      <c r="AP866" s="45"/>
      <c r="AQ866" s="485"/>
      <c r="AR866" s="100"/>
      <c r="AS866" s="485"/>
      <c r="AT866" s="24"/>
      <c r="AU866" s="24"/>
      <c r="AV866" s="24"/>
      <c r="AW866" s="18">
        <v>24</v>
      </c>
      <c r="AX866" s="69" t="s">
        <v>296</v>
      </c>
      <c r="AY866" s="243" t="s">
        <v>330</v>
      </c>
      <c r="AZ866" s="243" t="str">
        <f t="shared" si="348"/>
        <v>Steelhead</v>
      </c>
      <c r="BA866" s="243" t="s">
        <v>419</v>
      </c>
      <c r="BB866" s="244" t="s">
        <v>626</v>
      </c>
      <c r="BC866" s="43" t="str">
        <f t="shared" si="349"/>
        <v>-</v>
      </c>
      <c r="BD866" s="43">
        <f t="shared" si="367"/>
        <v>0</v>
      </c>
      <c r="BE866" s="193">
        <f t="shared" si="365"/>
        <v>0</v>
      </c>
      <c r="BF866" s="193">
        <f t="shared" si="350"/>
        <v>0</v>
      </c>
      <c r="BG866" s="193">
        <f t="shared" si="351"/>
        <v>0</v>
      </c>
      <c r="BH866" s="307" t="str">
        <f t="shared" si="366"/>
        <v>-</v>
      </c>
      <c r="BI866" s="266"/>
      <c r="BJ866" s="26" t="str">
        <f t="shared" si="352"/>
        <v>ENGLISH COVE CREEKSteelhead</v>
      </c>
      <c r="BK866" s="26">
        <f t="shared" si="353"/>
        <v>0</v>
      </c>
      <c r="BL866" s="33">
        <f t="shared" si="345"/>
        <v>0</v>
      </c>
      <c r="BQ866" s="47" t="str">
        <f t="shared" si="354"/>
        <v>ENGLISH COVE CREEKSteelhead</v>
      </c>
      <c r="BR866" s="49">
        <f t="shared" si="355"/>
        <v>0</v>
      </c>
      <c r="BS866" s="49">
        <f t="shared" si="364"/>
        <v>0</v>
      </c>
      <c r="BT866" s="31">
        <v>0</v>
      </c>
      <c r="BU866" s="188" t="str">
        <f t="shared" si="356"/>
        <v>Redd</v>
      </c>
      <c r="BV866" s="188" t="str">
        <f t="shared" si="357"/>
        <v xml:space="preserve"> </v>
      </c>
      <c r="BW866" s="188" t="str">
        <f t="shared" si="358"/>
        <v xml:space="preserve"> </v>
      </c>
      <c r="BX866" s="188" t="str">
        <f t="shared" si="359"/>
        <v xml:space="preserve"> </v>
      </c>
      <c r="BY866" s="50" t="str">
        <f t="shared" si="347"/>
        <v>ENGLISH COVE CREEK_Steelhead</v>
      </c>
      <c r="BZ866" s="50" t="str">
        <f>IFERROR(VLOOKUP(BY866,'[1]WCVI Esc'!$C$5:$W$555,18,FALSE),"-")</f>
        <v>-</v>
      </c>
      <c r="CA866" s="50" t="str">
        <f t="shared" si="360"/>
        <v>-</v>
      </c>
      <c r="CB866" s="50" t="str">
        <f>IFERROR(VLOOKUP(BY866,'[1]WCVI Esc'!$C$5:$W$555,19,FALSE),"-")</f>
        <v>-</v>
      </c>
      <c r="CC866" s="50" t="str">
        <f t="shared" si="361"/>
        <v>-</v>
      </c>
      <c r="CE866" s="342" t="str">
        <f t="shared" si="346"/>
        <v>ENGLISH COVE CREEK_Steelhead</v>
      </c>
      <c r="CF866" s="341" t="str">
        <f>IFERROR(VLOOKUP(BY866,'RawPL+D'!$O$8:$AB$503,12,FALSE),"-")</f>
        <v>-</v>
      </c>
      <c r="CG866" s="338" t="str">
        <f t="shared" si="362"/>
        <v>-</v>
      </c>
      <c r="CH866" s="341" t="str">
        <f>IFERROR(VLOOKUP(BY866,'RawPL+D'!$O$8:$AB$503,13,FALSE),"-")</f>
        <v>-</v>
      </c>
      <c r="CI866" s="338" t="str">
        <f t="shared" si="363"/>
        <v>-</v>
      </c>
    </row>
    <row r="867" spans="1:87" ht="12.75" hidden="1" customHeight="1" x14ac:dyDescent="0.2">
      <c r="A867" s="28">
        <v>4</v>
      </c>
      <c r="B867" s="28">
        <v>1</v>
      </c>
      <c r="C867" s="11">
        <v>24</v>
      </c>
      <c r="D867" s="13" t="s">
        <v>296</v>
      </c>
      <c r="E867" s="10" t="s">
        <v>120</v>
      </c>
      <c r="F867" s="10" t="s">
        <v>207</v>
      </c>
      <c r="G867" s="10"/>
      <c r="H867" s="10"/>
      <c r="I867" s="10"/>
      <c r="J867" s="10"/>
      <c r="K867" s="575"/>
      <c r="L867" s="152"/>
      <c r="M867" s="422"/>
      <c r="N867" s="339"/>
      <c r="O867" s="62"/>
      <c r="P867" s="424"/>
      <c r="Q867" s="683">
        <v>0</v>
      </c>
      <c r="R867" s="339"/>
      <c r="S867" s="727">
        <v>0</v>
      </c>
      <c r="T867" s="339"/>
      <c r="U867" s="62"/>
      <c r="V867" s="169"/>
      <c r="W867" s="62"/>
      <c r="X867" s="62"/>
      <c r="Y867" s="62"/>
      <c r="Z867" s="64"/>
      <c r="AA867" s="164"/>
      <c r="AB867" s="62"/>
      <c r="AC867" s="62"/>
      <c r="AD867" s="64"/>
      <c r="AE867" s="164"/>
      <c r="AF867" s="62"/>
      <c r="AG867" s="64"/>
      <c r="AH867" s="337"/>
      <c r="AI867" s="337"/>
      <c r="AJ867" s="337"/>
      <c r="AK867" s="337"/>
      <c r="AL867" s="555"/>
      <c r="AM867" s="552"/>
      <c r="AN867" s="45"/>
      <c r="AO867" s="45"/>
      <c r="AP867" s="45"/>
      <c r="AQ867" s="485"/>
      <c r="AR867" s="100"/>
      <c r="AS867" s="485"/>
      <c r="AT867" s="24"/>
      <c r="AU867" s="24"/>
      <c r="AV867" s="24"/>
      <c r="AW867" s="18">
        <v>24</v>
      </c>
      <c r="AX867" s="69" t="s">
        <v>296</v>
      </c>
      <c r="AY867" s="243" t="s">
        <v>120</v>
      </c>
      <c r="AZ867" s="243" t="str">
        <f t="shared" si="348"/>
        <v>Sockeye</v>
      </c>
      <c r="BA867" s="243" t="s">
        <v>419</v>
      </c>
      <c r="BB867" s="244" t="s">
        <v>497</v>
      </c>
      <c r="BC867" s="43" t="str">
        <f t="shared" si="349"/>
        <v>Oct 15-21</v>
      </c>
      <c r="BD867" s="43">
        <f t="shared" si="367"/>
        <v>2</v>
      </c>
      <c r="BE867" s="193">
        <f t="shared" si="365"/>
        <v>0</v>
      </c>
      <c r="BF867" s="193">
        <f t="shared" si="350"/>
        <v>0</v>
      </c>
      <c r="BG867" s="193">
        <f t="shared" si="351"/>
        <v>0</v>
      </c>
      <c r="BH867" s="307" t="str">
        <f t="shared" si="366"/>
        <v>-</v>
      </c>
      <c r="BI867" s="266"/>
      <c r="BJ867" s="26" t="str">
        <f t="shared" si="352"/>
        <v>FUNDY CREEKSockeye</v>
      </c>
      <c r="BK867" s="26">
        <f t="shared" si="353"/>
        <v>2</v>
      </c>
      <c r="BL867" s="33">
        <f t="shared" si="345"/>
        <v>0</v>
      </c>
      <c r="BQ867" s="47" t="str">
        <f t="shared" si="354"/>
        <v>FUNDY CREEKSockeye</v>
      </c>
      <c r="BR867" s="49">
        <f t="shared" si="355"/>
        <v>0</v>
      </c>
      <c r="BS867" s="49">
        <f t="shared" si="364"/>
        <v>0</v>
      </c>
      <c r="BT867" s="31">
        <v>0</v>
      </c>
      <c r="BU867" s="188" t="str">
        <f t="shared" si="356"/>
        <v>TSES</v>
      </c>
      <c r="BV867" s="188" t="str">
        <f t="shared" si="357"/>
        <v>Oct 1-7</v>
      </c>
      <c r="BW867" s="188" t="str">
        <f t="shared" si="358"/>
        <v>Oct 15-21</v>
      </c>
      <c r="BX867" s="188" t="str">
        <f t="shared" si="359"/>
        <v xml:space="preserve"> </v>
      </c>
      <c r="BY867" s="50" t="str">
        <f t="shared" si="347"/>
        <v>FUNDY CREEK_Sockeye</v>
      </c>
      <c r="BZ867" s="50" t="str">
        <f>IFERROR(VLOOKUP(BY867,'[1]WCVI Esc'!$C$5:$W$555,18,FALSE),"-")</f>
        <v>-</v>
      </c>
      <c r="CA867" s="50" t="str">
        <f t="shared" si="360"/>
        <v>-</v>
      </c>
      <c r="CB867" s="50" t="str">
        <f>IFERROR(VLOOKUP(BY867,'[1]WCVI Esc'!$C$5:$W$555,19,FALSE),"-")</f>
        <v>-</v>
      </c>
      <c r="CC867" s="50" t="str">
        <f t="shared" si="361"/>
        <v>-</v>
      </c>
      <c r="CE867" s="342" t="str">
        <f t="shared" si="346"/>
        <v>FUNDY CREEK_Sockeye</v>
      </c>
      <c r="CF867" s="341" t="str">
        <f>IFERROR(VLOOKUP(BY867,'RawPL+D'!$O$8:$AB$503,12,FALSE),"-")</f>
        <v>-</v>
      </c>
      <c r="CG867" s="338" t="str">
        <f t="shared" si="362"/>
        <v>-</v>
      </c>
      <c r="CH867" s="341" t="str">
        <f>IFERROR(VLOOKUP(BY867,'RawPL+D'!$O$8:$AB$503,13,FALSE),"-")</f>
        <v>-</v>
      </c>
      <c r="CI867" s="338" t="str">
        <f t="shared" si="363"/>
        <v>-</v>
      </c>
    </row>
    <row r="868" spans="1:87" ht="12.75" hidden="1" customHeight="1" x14ac:dyDescent="0.2">
      <c r="A868" s="28">
        <v>4</v>
      </c>
      <c r="B868" s="28">
        <v>2</v>
      </c>
      <c r="C868" s="11">
        <v>24</v>
      </c>
      <c r="D868" s="13" t="s">
        <v>296</v>
      </c>
      <c r="E868" s="10" t="s">
        <v>120</v>
      </c>
      <c r="F868" s="10" t="s">
        <v>219</v>
      </c>
      <c r="G868" s="10"/>
      <c r="H868" s="10"/>
      <c r="I868" s="10"/>
      <c r="J868" s="10"/>
      <c r="K868" s="575"/>
      <c r="L868" s="152"/>
      <c r="M868" s="422"/>
      <c r="N868" s="339"/>
      <c r="O868" s="62"/>
      <c r="P868" s="424"/>
      <c r="Q868" s="683">
        <v>0</v>
      </c>
      <c r="R868" s="339"/>
      <c r="S868" s="727">
        <v>0</v>
      </c>
      <c r="T868" s="339"/>
      <c r="U868" s="62"/>
      <c r="V868" s="169"/>
      <c r="W868" s="62"/>
      <c r="X868" s="62"/>
      <c r="Y868" s="62"/>
      <c r="Z868" s="64"/>
      <c r="AA868" s="164"/>
      <c r="AB868" s="62"/>
      <c r="AC868" s="62"/>
      <c r="AD868" s="64"/>
      <c r="AE868" s="164"/>
      <c r="AF868" s="62"/>
      <c r="AG868" s="64"/>
      <c r="AH868" s="337">
        <v>0</v>
      </c>
      <c r="AI868" s="337">
        <v>0</v>
      </c>
      <c r="AJ868" s="337">
        <v>0</v>
      </c>
      <c r="AK868" s="337">
        <v>0</v>
      </c>
      <c r="AL868" s="555">
        <v>0</v>
      </c>
      <c r="AM868" s="552">
        <v>0</v>
      </c>
      <c r="AN868" s="552" t="s">
        <v>765</v>
      </c>
      <c r="AO868" s="45" t="s">
        <v>773</v>
      </c>
      <c r="AP868" s="45"/>
      <c r="AQ868" s="485"/>
      <c r="AR868" s="100"/>
      <c r="AS868" s="485"/>
      <c r="AT868" s="24"/>
      <c r="AU868" s="24"/>
      <c r="AV868" s="24"/>
      <c r="AW868" s="18">
        <v>24</v>
      </c>
      <c r="AX868" s="69" t="s">
        <v>296</v>
      </c>
      <c r="AY868" s="243" t="s">
        <v>120</v>
      </c>
      <c r="AZ868" s="243" t="str">
        <f t="shared" si="348"/>
        <v>Coho</v>
      </c>
      <c r="BA868" s="243" t="s">
        <v>419</v>
      </c>
      <c r="BB868" s="244" t="s">
        <v>497</v>
      </c>
      <c r="BC868" s="43" t="str">
        <f t="shared" si="349"/>
        <v>Oct 15-21</v>
      </c>
      <c r="BD868" s="43">
        <f t="shared" si="367"/>
        <v>2</v>
      </c>
      <c r="BE868" s="193">
        <f t="shared" si="365"/>
        <v>0</v>
      </c>
      <c r="BF868" s="193">
        <f t="shared" si="350"/>
        <v>0</v>
      </c>
      <c r="BG868" s="193">
        <f t="shared" si="351"/>
        <v>0</v>
      </c>
      <c r="BH868" s="307">
        <f t="shared" si="366"/>
        <v>0</v>
      </c>
      <c r="BI868" s="308" t="s">
        <v>242</v>
      </c>
      <c r="BJ868" s="26" t="str">
        <f t="shared" si="352"/>
        <v>FUNDY CREEKCoho</v>
      </c>
      <c r="BK868" s="26">
        <f t="shared" si="353"/>
        <v>2</v>
      </c>
      <c r="BL868" s="33">
        <f t="shared" si="345"/>
        <v>0</v>
      </c>
      <c r="BQ868" s="47" t="str">
        <f t="shared" si="354"/>
        <v>FUNDY CREEKCoho</v>
      </c>
      <c r="BR868" s="49">
        <f t="shared" si="355"/>
        <v>0</v>
      </c>
      <c r="BS868" s="49">
        <f t="shared" si="364"/>
        <v>0</v>
      </c>
      <c r="BT868" s="31">
        <v>2016</v>
      </c>
      <c r="BU868" s="188" t="str">
        <f t="shared" si="356"/>
        <v>TSES</v>
      </c>
      <c r="BV868" s="188" t="str">
        <f t="shared" si="357"/>
        <v>Oct 1-7</v>
      </c>
      <c r="BW868" s="188" t="str">
        <f t="shared" si="358"/>
        <v>Oct 15-21</v>
      </c>
      <c r="BX868" s="188" t="str">
        <f t="shared" si="359"/>
        <v xml:space="preserve"> </v>
      </c>
      <c r="BY868" s="50" t="str">
        <f t="shared" si="347"/>
        <v>FUNDY CREEK_Coho</v>
      </c>
      <c r="BZ868" s="50">
        <f>IFERROR(VLOOKUP(BY868,'[1]WCVI Esc'!$C$5:$W$555,18,FALSE),"-")</f>
        <v>1</v>
      </c>
      <c r="CA868" s="50">
        <f t="shared" si="360"/>
        <v>0</v>
      </c>
      <c r="CB868" s="50">
        <f>IFERROR(VLOOKUP(BY868,'[1]WCVI Esc'!$C$5:$W$555,19,FALSE),"-")</f>
        <v>1</v>
      </c>
      <c r="CC868" s="50">
        <f t="shared" si="361"/>
        <v>0</v>
      </c>
      <c r="CE868" s="342" t="str">
        <f t="shared" si="346"/>
        <v>FUNDY CREEK_Coho</v>
      </c>
      <c r="CF868" s="341">
        <f>IFERROR(VLOOKUP(BY868,'RawPL+D'!$O$8:$AB$503,12,FALSE),"-")</f>
        <v>0</v>
      </c>
      <c r="CG868" s="338">
        <f t="shared" si="362"/>
        <v>0</v>
      </c>
      <c r="CH868" s="341">
        <f>IFERROR(VLOOKUP(BY868,'RawPL+D'!$O$8:$AB$503,13,FALSE),"-")</f>
        <v>0.33333333333333331</v>
      </c>
      <c r="CI868" s="338">
        <f t="shared" si="363"/>
        <v>0</v>
      </c>
    </row>
    <row r="869" spans="1:87" ht="12.75" hidden="1" customHeight="1" x14ac:dyDescent="0.2">
      <c r="A869" s="28">
        <v>4</v>
      </c>
      <c r="B869" s="28">
        <v>3</v>
      </c>
      <c r="C869" s="11">
        <v>24</v>
      </c>
      <c r="D869" s="13" t="s">
        <v>296</v>
      </c>
      <c r="E869" s="10" t="s">
        <v>120</v>
      </c>
      <c r="F869" s="10" t="s">
        <v>208</v>
      </c>
      <c r="G869" s="10"/>
      <c r="H869" s="10"/>
      <c r="I869" s="10"/>
      <c r="J869" s="10"/>
      <c r="K869" s="575"/>
      <c r="L869" s="152"/>
      <c r="M869" s="422"/>
      <c r="N869" s="339"/>
      <c r="O869" s="62"/>
      <c r="P869" s="424"/>
      <c r="Q869" s="683">
        <v>0</v>
      </c>
      <c r="R869" s="339"/>
      <c r="S869" s="727">
        <v>0</v>
      </c>
      <c r="T869" s="339"/>
      <c r="U869" s="62"/>
      <c r="V869" s="169"/>
      <c r="W869" s="62"/>
      <c r="X869" s="62"/>
      <c r="Y869" s="62"/>
      <c r="Z869" s="64"/>
      <c r="AA869" s="164"/>
      <c r="AB869" s="62"/>
      <c r="AC869" s="62"/>
      <c r="AD869" s="64"/>
      <c r="AE869" s="164"/>
      <c r="AF869" s="62"/>
      <c r="AG869" s="64"/>
      <c r="AH869" s="337">
        <v>0</v>
      </c>
      <c r="AI869" s="337">
        <v>0</v>
      </c>
      <c r="AJ869" s="337">
        <v>0</v>
      </c>
      <c r="AK869" s="337">
        <v>0</v>
      </c>
      <c r="AL869" s="555">
        <v>0</v>
      </c>
      <c r="AM869" s="552">
        <v>0</v>
      </c>
      <c r="AN869" s="552" t="s">
        <v>765</v>
      </c>
      <c r="AO869" s="45" t="s">
        <v>773</v>
      </c>
      <c r="AP869" s="45"/>
      <c r="AQ869" s="485"/>
      <c r="AR869" s="100"/>
      <c r="AS869" s="485"/>
      <c r="AT869" s="24"/>
      <c r="AU869" s="24"/>
      <c r="AV869" s="24"/>
      <c r="AW869" s="18">
        <v>24</v>
      </c>
      <c r="AX869" s="69" t="s">
        <v>296</v>
      </c>
      <c r="AY869" s="243" t="s">
        <v>120</v>
      </c>
      <c r="AZ869" s="243" t="str">
        <f t="shared" si="348"/>
        <v>Pink</v>
      </c>
      <c r="BA869" s="243" t="s">
        <v>419</v>
      </c>
      <c r="BB869" s="244" t="s">
        <v>497</v>
      </c>
      <c r="BC869" s="43" t="str">
        <f t="shared" si="349"/>
        <v>Oct 15-21</v>
      </c>
      <c r="BD869" s="43">
        <f t="shared" si="367"/>
        <v>2</v>
      </c>
      <c r="BE869" s="193">
        <f t="shared" si="365"/>
        <v>0</v>
      </c>
      <c r="BF869" s="193">
        <f t="shared" si="350"/>
        <v>0</v>
      </c>
      <c r="BG869" s="193">
        <f t="shared" si="351"/>
        <v>0</v>
      </c>
      <c r="BH869" s="307" t="str">
        <f t="shared" si="366"/>
        <v>-</v>
      </c>
      <c r="BI869" s="266"/>
      <c r="BJ869" s="26" t="str">
        <f t="shared" si="352"/>
        <v>FUNDY CREEKPink</v>
      </c>
      <c r="BK869" s="26">
        <f t="shared" si="353"/>
        <v>2</v>
      </c>
      <c r="BL869" s="33">
        <f t="shared" si="345"/>
        <v>0</v>
      </c>
      <c r="BQ869" s="47" t="str">
        <f t="shared" si="354"/>
        <v>FUNDY CREEKPink</v>
      </c>
      <c r="BR869" s="49">
        <f t="shared" si="355"/>
        <v>0</v>
      </c>
      <c r="BS869" s="49">
        <f t="shared" si="364"/>
        <v>0</v>
      </c>
      <c r="BT869" s="31">
        <v>0</v>
      </c>
      <c r="BU869" s="188" t="str">
        <f t="shared" si="356"/>
        <v>TSES</v>
      </c>
      <c r="BV869" s="188" t="str">
        <f t="shared" si="357"/>
        <v>Oct 1-7</v>
      </c>
      <c r="BW869" s="188" t="str">
        <f t="shared" si="358"/>
        <v>Oct 15-21</v>
      </c>
      <c r="BX869" s="188" t="str">
        <f t="shared" si="359"/>
        <v xml:space="preserve"> </v>
      </c>
      <c r="BY869" s="50" t="str">
        <f t="shared" si="347"/>
        <v>FUNDY CREEK_Pink</v>
      </c>
      <c r="BZ869" s="50" t="str">
        <f>IFERROR(VLOOKUP(BY869,'[1]WCVI Esc'!$C$5:$W$555,18,FALSE),"-")</f>
        <v>-</v>
      </c>
      <c r="CA869" s="50" t="str">
        <f t="shared" si="360"/>
        <v>-</v>
      </c>
      <c r="CB869" s="50" t="str">
        <f>IFERROR(VLOOKUP(BY869,'[1]WCVI Esc'!$C$5:$W$555,19,FALSE),"-")</f>
        <v>-</v>
      </c>
      <c r="CC869" s="50" t="str">
        <f t="shared" si="361"/>
        <v>-</v>
      </c>
      <c r="CE869" s="342" t="str">
        <f t="shared" si="346"/>
        <v>FUNDY CREEK_Pink</v>
      </c>
      <c r="CF869" s="341" t="str">
        <f>IFERROR(VLOOKUP(BY869,'RawPL+D'!$O$8:$AB$503,12,FALSE),"-")</f>
        <v>-</v>
      </c>
      <c r="CG869" s="338" t="str">
        <f t="shared" si="362"/>
        <v>-</v>
      </c>
      <c r="CH869" s="341" t="str">
        <f>IFERROR(VLOOKUP(BY869,'RawPL+D'!$O$8:$AB$503,13,FALSE),"-")</f>
        <v>-</v>
      </c>
      <c r="CI869" s="338" t="str">
        <f t="shared" si="363"/>
        <v>-</v>
      </c>
    </row>
    <row r="870" spans="1:87" ht="12.75" hidden="1" customHeight="1" x14ac:dyDescent="0.2">
      <c r="A870" s="28">
        <v>4</v>
      </c>
      <c r="B870" s="28">
        <v>4</v>
      </c>
      <c r="C870" s="11">
        <v>24</v>
      </c>
      <c r="D870" s="13" t="s">
        <v>296</v>
      </c>
      <c r="E870" s="10" t="s">
        <v>120</v>
      </c>
      <c r="F870" s="10" t="s">
        <v>209</v>
      </c>
      <c r="G870" s="10"/>
      <c r="H870" s="10"/>
      <c r="I870" s="10"/>
      <c r="J870" s="10"/>
      <c r="K870" s="575"/>
      <c r="L870" s="152"/>
      <c r="M870" s="422"/>
      <c r="N870" s="339"/>
      <c r="O870" s="62"/>
      <c r="P870" s="424"/>
      <c r="Q870" s="683">
        <v>0</v>
      </c>
      <c r="R870" s="339"/>
      <c r="S870" s="727">
        <v>8</v>
      </c>
      <c r="T870" s="339"/>
      <c r="U870" s="62"/>
      <c r="V870" s="421"/>
      <c r="W870" s="62"/>
      <c r="X870" s="62"/>
      <c r="Y870" s="62"/>
      <c r="Z870" s="64"/>
      <c r="AA870" s="164"/>
      <c r="AB870" s="62"/>
      <c r="AC870" s="62"/>
      <c r="AD870" s="64"/>
      <c r="AE870" s="164"/>
      <c r="AF870" s="62"/>
      <c r="AG870" s="64"/>
      <c r="AH870" s="337">
        <v>18</v>
      </c>
      <c r="AI870" s="337">
        <v>0</v>
      </c>
      <c r="AJ870" s="337">
        <v>0</v>
      </c>
      <c r="AK870" s="337">
        <v>0</v>
      </c>
      <c r="AL870" s="555">
        <v>18</v>
      </c>
      <c r="AM870" s="552">
        <v>18</v>
      </c>
      <c r="AN870" s="552" t="s">
        <v>765</v>
      </c>
      <c r="AO870" s="552" t="s">
        <v>773</v>
      </c>
      <c r="AP870" s="45"/>
      <c r="AQ870" s="485">
        <f>AL870/BI870</f>
        <v>1.8</v>
      </c>
      <c r="AR870" s="100"/>
      <c r="AS870" s="485">
        <f>BL870/BI870</f>
        <v>0.8</v>
      </c>
      <c r="AT870" s="24"/>
      <c r="AU870" s="24"/>
      <c r="AV870" s="24"/>
      <c r="AW870" s="18">
        <v>24</v>
      </c>
      <c r="AX870" s="69" t="s">
        <v>296</v>
      </c>
      <c r="AY870" s="243" t="s">
        <v>120</v>
      </c>
      <c r="AZ870" s="243" t="str">
        <f t="shared" si="348"/>
        <v>Chum</v>
      </c>
      <c r="BA870" s="243" t="s">
        <v>419</v>
      </c>
      <c r="BB870" s="244" t="s">
        <v>497</v>
      </c>
      <c r="BC870" s="43" t="str">
        <f t="shared" si="349"/>
        <v>Oct 15-21</v>
      </c>
      <c r="BD870" s="43">
        <f t="shared" si="367"/>
        <v>2</v>
      </c>
      <c r="BE870" s="193">
        <f t="shared" si="365"/>
        <v>8</v>
      </c>
      <c r="BF870" s="193">
        <f t="shared" si="350"/>
        <v>18</v>
      </c>
      <c r="BG870" s="193">
        <f t="shared" si="351"/>
        <v>18</v>
      </c>
      <c r="BH870" s="307">
        <f t="shared" si="366"/>
        <v>0</v>
      </c>
      <c r="BI870" s="265">
        <f>CC870</f>
        <v>10</v>
      </c>
      <c r="BJ870" s="26" t="str">
        <f t="shared" si="352"/>
        <v>FUNDY CREEKChum</v>
      </c>
      <c r="BK870" s="26">
        <f t="shared" si="353"/>
        <v>2</v>
      </c>
      <c r="BL870" s="33">
        <f t="shared" si="345"/>
        <v>8</v>
      </c>
      <c r="BQ870" s="47" t="str">
        <f t="shared" si="354"/>
        <v>FUNDY CREEKChum</v>
      </c>
      <c r="BR870" s="49">
        <f t="shared" si="355"/>
        <v>0</v>
      </c>
      <c r="BS870" s="49">
        <f t="shared" si="364"/>
        <v>18</v>
      </c>
      <c r="BT870" s="31">
        <v>2016</v>
      </c>
      <c r="BU870" s="188" t="str">
        <f t="shared" si="356"/>
        <v>TSES</v>
      </c>
      <c r="BV870" s="188" t="str">
        <f t="shared" si="357"/>
        <v>Oct 1-7</v>
      </c>
      <c r="BW870" s="188" t="str">
        <f t="shared" si="358"/>
        <v>Oct 15-21</v>
      </c>
      <c r="BX870" s="188" t="str">
        <f t="shared" si="359"/>
        <v xml:space="preserve"> </v>
      </c>
      <c r="BY870" s="50" t="str">
        <f t="shared" si="347"/>
        <v>FUNDY CREEK_Chum</v>
      </c>
      <c r="BZ870" s="50">
        <f>IFERROR(VLOOKUP(BY870,'[1]WCVI Esc'!$C$5:$W$555,18,FALSE),"-")</f>
        <v>2.6666666666666665</v>
      </c>
      <c r="CA870" s="50">
        <f t="shared" si="360"/>
        <v>0</v>
      </c>
      <c r="CB870" s="50">
        <f>IFERROR(VLOOKUP(BY870,'[1]WCVI Esc'!$C$5:$W$555,19,FALSE),"-")</f>
        <v>10.75</v>
      </c>
      <c r="CC870" s="50">
        <f t="shared" si="361"/>
        <v>10</v>
      </c>
      <c r="CE870" s="342" t="str">
        <f t="shared" si="346"/>
        <v>FUNDY CREEK_Chum</v>
      </c>
      <c r="CF870" s="341">
        <f>IFERROR(VLOOKUP(CE870,'RawPL+D'!$O$8:$AB$503,12,FALSE),"-")</f>
        <v>4</v>
      </c>
      <c r="CG870" s="338">
        <f t="shared" si="362"/>
        <v>0</v>
      </c>
      <c r="CH870" s="341">
        <f>IFERROR(VLOOKUP(CE870,'RawPL+D'!$O$8:$AB$503,13,FALSE),"-")</f>
        <v>2.6666666666666665</v>
      </c>
      <c r="CI870" s="338">
        <f t="shared" si="363"/>
        <v>0</v>
      </c>
    </row>
    <row r="871" spans="1:87" ht="12.75" hidden="1" customHeight="1" x14ac:dyDescent="0.2">
      <c r="A871" s="28">
        <v>4</v>
      </c>
      <c r="B871" s="28">
        <v>5</v>
      </c>
      <c r="C871" s="11">
        <v>24</v>
      </c>
      <c r="D871" s="13" t="s">
        <v>296</v>
      </c>
      <c r="E871" s="10" t="s">
        <v>120</v>
      </c>
      <c r="F871" s="10" t="s">
        <v>210</v>
      </c>
      <c r="G871" s="10"/>
      <c r="H871" s="10"/>
      <c r="I871" s="10"/>
      <c r="J871" s="10"/>
      <c r="K871" s="575"/>
      <c r="L871" s="152"/>
      <c r="M871" s="422"/>
      <c r="N871" s="339"/>
      <c r="O871" s="62"/>
      <c r="P871" s="424"/>
      <c r="Q871" s="683">
        <v>0</v>
      </c>
      <c r="R871" s="339"/>
      <c r="S871" s="727">
        <v>0</v>
      </c>
      <c r="T871" s="339"/>
      <c r="U871" s="62"/>
      <c r="V871" s="169"/>
      <c r="W871" s="62"/>
      <c r="X871" s="62"/>
      <c r="Y871" s="62"/>
      <c r="Z871" s="64"/>
      <c r="AA871" s="164"/>
      <c r="AB871" s="62"/>
      <c r="AC871" s="62"/>
      <c r="AD871" s="64"/>
      <c r="AE871" s="164"/>
      <c r="AF871" s="62"/>
      <c r="AG871" s="64"/>
      <c r="AH871" s="337">
        <v>0</v>
      </c>
      <c r="AI871" s="337">
        <v>0</v>
      </c>
      <c r="AJ871" s="337">
        <v>0</v>
      </c>
      <c r="AK871" s="337">
        <v>0</v>
      </c>
      <c r="AL871" s="555">
        <v>0</v>
      </c>
      <c r="AM871" s="552">
        <v>0</v>
      </c>
      <c r="AN871" s="552" t="s">
        <v>765</v>
      </c>
      <c r="AO871" s="45" t="s">
        <v>773</v>
      </c>
      <c r="AP871" s="45"/>
      <c r="AQ871" s="485"/>
      <c r="AR871" s="100"/>
      <c r="AS871" s="485"/>
      <c r="AT871" s="24"/>
      <c r="AU871" s="24"/>
      <c r="AV871" s="24"/>
      <c r="AW871" s="18">
        <v>24</v>
      </c>
      <c r="AX871" s="69" t="s">
        <v>296</v>
      </c>
      <c r="AY871" s="243" t="s">
        <v>120</v>
      </c>
      <c r="AZ871" s="243" t="str">
        <f t="shared" si="348"/>
        <v>Chinook</v>
      </c>
      <c r="BA871" s="243" t="s">
        <v>419</v>
      </c>
      <c r="BB871" s="244" t="s">
        <v>497</v>
      </c>
      <c r="BC871" s="43" t="str">
        <f t="shared" si="349"/>
        <v>Oct 15-21</v>
      </c>
      <c r="BD871" s="43">
        <f t="shared" si="367"/>
        <v>2</v>
      </c>
      <c r="BE871" s="193">
        <f t="shared" si="365"/>
        <v>0</v>
      </c>
      <c r="BF871" s="193">
        <f t="shared" si="350"/>
        <v>0</v>
      </c>
      <c r="BG871" s="193">
        <f t="shared" si="351"/>
        <v>0</v>
      </c>
      <c r="BH871" s="307" t="str">
        <f t="shared" si="366"/>
        <v>-</v>
      </c>
      <c r="BI871" s="266"/>
      <c r="BJ871" s="26" t="str">
        <f t="shared" si="352"/>
        <v>FUNDY CREEKChinook</v>
      </c>
      <c r="BK871" s="26">
        <f t="shared" si="353"/>
        <v>2</v>
      </c>
      <c r="BL871" s="33">
        <f t="shared" ref="BL871:BL934" si="368">MAX(K871:AB871)</f>
        <v>0</v>
      </c>
      <c r="BQ871" s="47" t="str">
        <f t="shared" si="354"/>
        <v>FUNDY CREEKChinook</v>
      </c>
      <c r="BR871" s="49">
        <f t="shared" si="355"/>
        <v>0</v>
      </c>
      <c r="BS871" s="49">
        <f t="shared" si="364"/>
        <v>0</v>
      </c>
      <c r="BT871" s="31">
        <v>0</v>
      </c>
      <c r="BU871" s="188" t="str">
        <f t="shared" si="356"/>
        <v>TSES</v>
      </c>
      <c r="BV871" s="188" t="str">
        <f t="shared" si="357"/>
        <v>Oct 1-7</v>
      </c>
      <c r="BW871" s="188" t="str">
        <f t="shared" si="358"/>
        <v>Oct 15-21</v>
      </c>
      <c r="BX871" s="188" t="str">
        <f t="shared" si="359"/>
        <v xml:space="preserve"> </v>
      </c>
      <c r="BY871" s="50" t="str">
        <f t="shared" si="347"/>
        <v>FUNDY CREEK_Chinook</v>
      </c>
      <c r="BZ871" s="50" t="str">
        <f>IFERROR(VLOOKUP(BY871,'[1]WCVI Esc'!$C$5:$W$555,18,FALSE),"-")</f>
        <v>-</v>
      </c>
      <c r="CA871" s="50" t="str">
        <f t="shared" si="360"/>
        <v>-</v>
      </c>
      <c r="CB871" s="50" t="str">
        <f>IFERROR(VLOOKUP(BY871,'[1]WCVI Esc'!$C$5:$W$555,19,FALSE),"-")</f>
        <v>-</v>
      </c>
      <c r="CC871" s="50" t="str">
        <f t="shared" si="361"/>
        <v>-</v>
      </c>
      <c r="CE871" s="342" t="str">
        <f t="shared" si="346"/>
        <v>FUNDY CREEK_Chinook</v>
      </c>
      <c r="CF871" s="341" t="str">
        <f>IFERROR(VLOOKUP(BY871,'RawPL+D'!$O$8:$AB$503,12,FALSE),"-")</f>
        <v>-</v>
      </c>
      <c r="CG871" s="338" t="str">
        <f t="shared" si="362"/>
        <v>-</v>
      </c>
      <c r="CH871" s="341" t="str">
        <f>IFERROR(VLOOKUP(BY871,'RawPL+D'!$O$8:$AB$503,13,FALSE),"-")</f>
        <v>-</v>
      </c>
      <c r="CI871" s="338" t="str">
        <f t="shared" si="363"/>
        <v>-</v>
      </c>
    </row>
    <row r="872" spans="1:87" ht="12.75" hidden="1" customHeight="1" x14ac:dyDescent="0.2">
      <c r="A872" s="28">
        <v>4</v>
      </c>
      <c r="B872" s="28">
        <v>6</v>
      </c>
      <c r="C872" s="11">
        <v>24</v>
      </c>
      <c r="D872" s="13" t="s">
        <v>296</v>
      </c>
      <c r="E872" s="10" t="s">
        <v>120</v>
      </c>
      <c r="F872" s="10" t="s">
        <v>211</v>
      </c>
      <c r="G872" s="10"/>
      <c r="H872" s="10"/>
      <c r="I872" s="10"/>
      <c r="J872" s="10"/>
      <c r="K872" s="575"/>
      <c r="L872" s="152"/>
      <c r="M872" s="422"/>
      <c r="N872" s="339"/>
      <c r="O872" s="62"/>
      <c r="P872" s="424"/>
      <c r="Q872" s="683">
        <v>0</v>
      </c>
      <c r="R872" s="339"/>
      <c r="S872" s="727">
        <v>0</v>
      </c>
      <c r="T872" s="339"/>
      <c r="U872" s="62"/>
      <c r="V872" s="169"/>
      <c r="W872" s="62"/>
      <c r="X872" s="62"/>
      <c r="Y872" s="62"/>
      <c r="Z872" s="64"/>
      <c r="AA872" s="164"/>
      <c r="AB872" s="62"/>
      <c r="AC872" s="62"/>
      <c r="AD872" s="64"/>
      <c r="AE872" s="164"/>
      <c r="AF872" s="62"/>
      <c r="AG872" s="64"/>
      <c r="AH872" s="337"/>
      <c r="AI872" s="337"/>
      <c r="AJ872" s="337"/>
      <c r="AK872" s="337"/>
      <c r="AL872" s="555"/>
      <c r="AM872" s="552"/>
      <c r="AN872" s="45"/>
      <c r="AO872" s="45"/>
      <c r="AP872" s="45"/>
      <c r="AQ872" s="485"/>
      <c r="AR872" s="100"/>
      <c r="AS872" s="485"/>
      <c r="AT872" s="24"/>
      <c r="AU872" s="24"/>
      <c r="AV872" s="24"/>
      <c r="AW872" s="18">
        <v>24</v>
      </c>
      <c r="AX872" s="69" t="s">
        <v>296</v>
      </c>
      <c r="AY872" s="243" t="s">
        <v>120</v>
      </c>
      <c r="AZ872" s="243" t="str">
        <f t="shared" si="348"/>
        <v>Steelhead</v>
      </c>
      <c r="BA872" s="243" t="s">
        <v>419</v>
      </c>
      <c r="BB872" s="244" t="s">
        <v>497</v>
      </c>
      <c r="BC872" s="43" t="str">
        <f t="shared" si="349"/>
        <v>Oct 15-21</v>
      </c>
      <c r="BD872" s="43">
        <f t="shared" si="367"/>
        <v>2</v>
      </c>
      <c r="BE872" s="193">
        <f t="shared" si="365"/>
        <v>0</v>
      </c>
      <c r="BF872" s="193">
        <f t="shared" si="350"/>
        <v>0</v>
      </c>
      <c r="BG872" s="193">
        <f t="shared" si="351"/>
        <v>0</v>
      </c>
      <c r="BH872" s="307" t="str">
        <f t="shared" si="366"/>
        <v>-</v>
      </c>
      <c r="BI872" s="266"/>
      <c r="BJ872" s="26" t="str">
        <f t="shared" si="352"/>
        <v>FUNDY CREEKSteelhead</v>
      </c>
      <c r="BK872" s="26">
        <f t="shared" si="353"/>
        <v>2</v>
      </c>
      <c r="BL872" s="33">
        <f t="shared" si="368"/>
        <v>0</v>
      </c>
      <c r="BQ872" s="47" t="str">
        <f t="shared" si="354"/>
        <v>FUNDY CREEKSteelhead</v>
      </c>
      <c r="BR872" s="49">
        <f t="shared" si="355"/>
        <v>0</v>
      </c>
      <c r="BS872" s="49">
        <f t="shared" si="364"/>
        <v>0</v>
      </c>
      <c r="BT872" s="31">
        <v>0</v>
      </c>
      <c r="BU872" s="188" t="str">
        <f t="shared" si="356"/>
        <v>TSES</v>
      </c>
      <c r="BV872" s="188" t="str">
        <f t="shared" si="357"/>
        <v>Oct 1-7</v>
      </c>
      <c r="BW872" s="188" t="str">
        <f t="shared" si="358"/>
        <v>Oct 15-21</v>
      </c>
      <c r="BX872" s="188" t="str">
        <f t="shared" si="359"/>
        <v xml:space="preserve"> </v>
      </c>
      <c r="BY872" s="50" t="str">
        <f t="shared" si="347"/>
        <v>FUNDY CREEK_Steelhead</v>
      </c>
      <c r="BZ872" s="50" t="str">
        <f>IFERROR(VLOOKUP(BY872,'[1]WCVI Esc'!$C$5:$W$555,18,FALSE),"-")</f>
        <v>-</v>
      </c>
      <c r="CA872" s="50" t="str">
        <f t="shared" si="360"/>
        <v>-</v>
      </c>
      <c r="CB872" s="50" t="str">
        <f>IFERROR(VLOOKUP(BY872,'[1]WCVI Esc'!$C$5:$W$555,19,FALSE),"-")</f>
        <v>-</v>
      </c>
      <c r="CC872" s="50" t="str">
        <f t="shared" si="361"/>
        <v>-</v>
      </c>
      <c r="CE872" s="342" t="str">
        <f t="shared" si="346"/>
        <v>FUNDY CREEK_Steelhead</v>
      </c>
      <c r="CF872" s="341" t="str">
        <f>IFERROR(VLOOKUP(BY872,'RawPL+D'!$O$8:$AB$503,12,FALSE),"-")</f>
        <v>-</v>
      </c>
      <c r="CG872" s="338" t="str">
        <f t="shared" si="362"/>
        <v>-</v>
      </c>
      <c r="CH872" s="341" t="str">
        <f>IFERROR(VLOOKUP(BY872,'RawPL+D'!$O$8:$AB$503,13,FALSE),"-")</f>
        <v>-</v>
      </c>
      <c r="CI872" s="338" t="str">
        <f t="shared" si="363"/>
        <v>-</v>
      </c>
    </row>
    <row r="873" spans="1:87" ht="12.75" hidden="1" customHeight="1" x14ac:dyDescent="0.2">
      <c r="A873" s="28">
        <v>4</v>
      </c>
      <c r="B873" s="28">
        <v>1</v>
      </c>
      <c r="C873" s="11">
        <v>24</v>
      </c>
      <c r="D873" s="13" t="s">
        <v>296</v>
      </c>
      <c r="E873" s="10" t="s">
        <v>243</v>
      </c>
      <c r="F873" s="10" t="s">
        <v>207</v>
      </c>
      <c r="G873" s="10"/>
      <c r="H873" s="10"/>
      <c r="I873" s="10"/>
      <c r="J873" s="10"/>
      <c r="K873" s="575"/>
      <c r="L873" s="152"/>
      <c r="M873" s="164"/>
      <c r="N873" s="62"/>
      <c r="O873" s="62"/>
      <c r="P873" s="177"/>
      <c r="Q873" s="171"/>
      <c r="R873" s="62"/>
      <c r="S873" s="779">
        <v>0</v>
      </c>
      <c r="T873" s="62"/>
      <c r="U873" s="62"/>
      <c r="V873" s="798">
        <v>0</v>
      </c>
      <c r="W873" s="62"/>
      <c r="X873" s="62"/>
      <c r="Y873" s="591"/>
      <c r="Z873" s="64"/>
      <c r="AA873" s="164"/>
      <c r="AB873" s="62"/>
      <c r="AC873" s="62"/>
      <c r="AD873" s="64"/>
      <c r="AE873" s="164"/>
      <c r="AF873" s="62"/>
      <c r="AG873" s="64"/>
      <c r="AH873" s="337"/>
      <c r="AI873" s="337"/>
      <c r="AJ873" s="337"/>
      <c r="AK873" s="337"/>
      <c r="AL873" s="555"/>
      <c r="AM873" s="552"/>
      <c r="AN873" s="552"/>
      <c r="AO873" s="45"/>
      <c r="AP873" s="45"/>
      <c r="AQ873" s="485">
        <f>AL873/BI873</f>
        <v>0</v>
      </c>
      <c r="AR873" s="485">
        <f>BL873/BH873</f>
        <v>0</v>
      </c>
      <c r="AS873" s="485">
        <f>BL873/BI873</f>
        <v>0</v>
      </c>
      <c r="AT873" s="24"/>
      <c r="AU873" s="24"/>
      <c r="AV873" s="24"/>
      <c r="AW873" s="18">
        <v>24</v>
      </c>
      <c r="AX873" s="69" t="s">
        <v>296</v>
      </c>
      <c r="AY873" s="243" t="s">
        <v>243</v>
      </c>
      <c r="AZ873" s="243" t="str">
        <f t="shared" si="348"/>
        <v>Sockeye</v>
      </c>
      <c r="BA873" s="243" t="s">
        <v>419</v>
      </c>
      <c r="BB873" s="244" t="s">
        <v>626</v>
      </c>
      <c r="BC873" s="43" t="str">
        <f t="shared" si="349"/>
        <v>Nov 5-11</v>
      </c>
      <c r="BD873" s="43">
        <f t="shared" si="367"/>
        <v>2</v>
      </c>
      <c r="BE873" s="193">
        <f t="shared" si="365"/>
        <v>0</v>
      </c>
      <c r="BF873" s="193">
        <f t="shared" si="350"/>
        <v>0</v>
      </c>
      <c r="BG873" s="193">
        <f t="shared" si="351"/>
        <v>0</v>
      </c>
      <c r="BH873" s="307">
        <f t="shared" si="366"/>
        <v>460</v>
      </c>
      <c r="BI873" s="265">
        <f>CC873</f>
        <v>3330</v>
      </c>
      <c r="BJ873" s="26" t="str">
        <f t="shared" si="352"/>
        <v>KENNEDY LAKE BEACHESSockeye</v>
      </c>
      <c r="BK873" s="26">
        <f t="shared" si="353"/>
        <v>2</v>
      </c>
      <c r="BL873" s="33">
        <f t="shared" si="368"/>
        <v>0</v>
      </c>
      <c r="BQ873" s="47" t="str">
        <f t="shared" si="354"/>
        <v>KENNEDY LAKE BEACHESSockeye</v>
      </c>
      <c r="BR873" s="49">
        <f t="shared" si="355"/>
        <v>0</v>
      </c>
      <c r="BS873" s="49">
        <f t="shared" si="364"/>
        <v>0</v>
      </c>
      <c r="BT873" s="31">
        <v>2015</v>
      </c>
      <c r="BU873" s="188" t="str">
        <f t="shared" si="356"/>
        <v>Redd</v>
      </c>
      <c r="BV873" s="188" t="str">
        <f t="shared" si="357"/>
        <v xml:space="preserve"> </v>
      </c>
      <c r="BW873" s="188" t="str">
        <f t="shared" si="358"/>
        <v>Nov 5-11</v>
      </c>
      <c r="BX873" s="188" t="str">
        <f t="shared" si="359"/>
        <v xml:space="preserve"> </v>
      </c>
      <c r="BY873" s="50" t="str">
        <f t="shared" si="347"/>
        <v>KENNEDY LAKE BEACHES_Sockeye</v>
      </c>
      <c r="BZ873" s="50">
        <f>IFERROR(VLOOKUP(BY873,'[1]WCVI Esc'!$C$5:$W$555,18,FALSE),"-")</f>
        <v>691.5</v>
      </c>
      <c r="CA873" s="50">
        <f t="shared" si="360"/>
        <v>690</v>
      </c>
      <c r="CB873" s="50">
        <f>IFERROR(VLOOKUP(BY873,'[1]WCVI Esc'!$C$5:$W$555,19,FALSE),"-")</f>
        <v>3330.1666666666665</v>
      </c>
      <c r="CC873" s="50">
        <f t="shared" si="361"/>
        <v>3330</v>
      </c>
      <c r="CE873" s="342" t="str">
        <f t="shared" si="346"/>
        <v>KENNEDY LAKE BEACHES_Sockeye</v>
      </c>
      <c r="CF873" s="341">
        <f>IFERROR(VLOOKUP(CE873,'RawPL+D'!$O$8:$AB$503,12,FALSE),"-")</f>
        <v>889</v>
      </c>
      <c r="CG873" s="338">
        <f t="shared" si="362"/>
        <v>890</v>
      </c>
      <c r="CH873" s="341">
        <f>IFERROR(VLOOKUP(CE873,'RawPL+D'!$O$8:$AB$503,13,FALSE),"-")</f>
        <v>460.33333333333331</v>
      </c>
      <c r="CI873" s="338">
        <f t="shared" si="363"/>
        <v>460</v>
      </c>
    </row>
    <row r="874" spans="1:87" ht="12.75" hidden="1" customHeight="1" x14ac:dyDescent="0.2">
      <c r="A874" s="28">
        <v>4</v>
      </c>
      <c r="B874" s="28">
        <v>2</v>
      </c>
      <c r="C874" s="11">
        <v>24</v>
      </c>
      <c r="D874" s="13" t="s">
        <v>296</v>
      </c>
      <c r="E874" s="10" t="s">
        <v>243</v>
      </c>
      <c r="F874" s="10" t="s">
        <v>219</v>
      </c>
      <c r="G874" s="10"/>
      <c r="H874" s="10"/>
      <c r="I874" s="10"/>
      <c r="J874" s="10"/>
      <c r="K874" s="575"/>
      <c r="L874" s="152"/>
      <c r="M874" s="164"/>
      <c r="N874" s="62"/>
      <c r="O874" s="62"/>
      <c r="P874" s="177"/>
      <c r="Q874" s="171"/>
      <c r="R874" s="62"/>
      <c r="S874" s="780">
        <v>0</v>
      </c>
      <c r="T874" s="62"/>
      <c r="U874" s="62"/>
      <c r="V874" s="798">
        <v>0</v>
      </c>
      <c r="W874" s="62"/>
      <c r="X874" s="62"/>
      <c r="Y874" s="590"/>
      <c r="Z874" s="64"/>
      <c r="AA874" s="164"/>
      <c r="AB874" s="62"/>
      <c r="AC874" s="62"/>
      <c r="AD874" s="64"/>
      <c r="AE874" s="164"/>
      <c r="AF874" s="62"/>
      <c r="AG874" s="64"/>
      <c r="AH874" s="337"/>
      <c r="AI874" s="337"/>
      <c r="AJ874" s="337"/>
      <c r="AK874" s="337"/>
      <c r="AL874" s="555"/>
      <c r="AM874" s="552"/>
      <c r="AN874" s="45"/>
      <c r="AO874" s="45"/>
      <c r="AP874" s="45"/>
      <c r="AQ874" s="485">
        <f>AL874/BI874</f>
        <v>0</v>
      </c>
      <c r="AR874" s="485"/>
      <c r="AS874" s="485"/>
      <c r="AT874" s="24"/>
      <c r="AU874" s="24"/>
      <c r="AV874" s="24"/>
      <c r="AW874" s="18">
        <v>24</v>
      </c>
      <c r="AX874" s="69" t="s">
        <v>296</v>
      </c>
      <c r="AY874" s="243" t="s">
        <v>243</v>
      </c>
      <c r="AZ874" s="243" t="str">
        <f t="shared" si="348"/>
        <v>Coho</v>
      </c>
      <c r="BA874" s="243" t="s">
        <v>419</v>
      </c>
      <c r="BB874" s="244" t="s">
        <v>626</v>
      </c>
      <c r="BC874" s="43" t="str">
        <f t="shared" si="349"/>
        <v>Nov 5-11</v>
      </c>
      <c r="BD874" s="43">
        <f t="shared" si="367"/>
        <v>2</v>
      </c>
      <c r="BE874" s="193">
        <f t="shared" si="365"/>
        <v>0</v>
      </c>
      <c r="BF874" s="193">
        <f t="shared" si="350"/>
        <v>0</v>
      </c>
      <c r="BG874" s="193">
        <f t="shared" si="351"/>
        <v>0</v>
      </c>
      <c r="BH874" s="307" t="str">
        <f t="shared" si="366"/>
        <v>-</v>
      </c>
      <c r="BI874" s="265">
        <f>CC874</f>
        <v>220</v>
      </c>
      <c r="BJ874" s="26" t="str">
        <f t="shared" si="352"/>
        <v>KENNEDY LAKE BEACHESCoho</v>
      </c>
      <c r="BK874" s="26">
        <f t="shared" si="353"/>
        <v>2</v>
      </c>
      <c r="BL874" s="33">
        <f t="shared" si="368"/>
        <v>0</v>
      </c>
      <c r="BQ874" s="47" t="str">
        <f t="shared" si="354"/>
        <v>KENNEDY LAKE BEACHESCoho</v>
      </c>
      <c r="BR874" s="49">
        <f t="shared" si="355"/>
        <v>0</v>
      </c>
      <c r="BS874" s="49">
        <f t="shared" si="364"/>
        <v>0</v>
      </c>
      <c r="BT874" s="31">
        <v>2013</v>
      </c>
      <c r="BU874" s="188" t="str">
        <f t="shared" si="356"/>
        <v>Redd</v>
      </c>
      <c r="BV874" s="188" t="str">
        <f t="shared" si="357"/>
        <v xml:space="preserve"> </v>
      </c>
      <c r="BW874" s="188" t="str">
        <f t="shared" si="358"/>
        <v>Nov 5-11</v>
      </c>
      <c r="BX874" s="188" t="str">
        <f t="shared" si="359"/>
        <v xml:space="preserve"> </v>
      </c>
      <c r="BY874" s="50" t="str">
        <f t="shared" si="347"/>
        <v>KENNEDY LAKE BEACHES_Coho</v>
      </c>
      <c r="BZ874" s="50" t="str">
        <f>IFERROR(VLOOKUP(BY874,'[1]WCVI Esc'!$C$5:$W$555,18,FALSE),"-")</f>
        <v>-</v>
      </c>
      <c r="CA874" s="50" t="str">
        <f t="shared" si="360"/>
        <v>-</v>
      </c>
      <c r="CB874" s="50">
        <f>IFERROR(VLOOKUP(BY874,'[1]WCVI Esc'!$C$5:$W$555,19,FALSE),"-")</f>
        <v>215</v>
      </c>
      <c r="CC874" s="50">
        <f t="shared" si="361"/>
        <v>220</v>
      </c>
      <c r="CE874" s="342" t="str">
        <f t="shared" si="346"/>
        <v>KENNEDY LAKE BEACHES_Coho</v>
      </c>
      <c r="CF874" s="341" t="str">
        <f>IFERROR(VLOOKUP(BY874,'RawPL+D'!$O$8:$AB$503,12,FALSE),"-")</f>
        <v>-</v>
      </c>
      <c r="CG874" s="338" t="str">
        <f t="shared" si="362"/>
        <v>-</v>
      </c>
      <c r="CH874" s="341" t="str">
        <f>IFERROR(VLOOKUP(BY874,'RawPL+D'!$O$8:$AB$503,13,FALSE),"-")</f>
        <v>-</v>
      </c>
      <c r="CI874" s="338" t="str">
        <f t="shared" si="363"/>
        <v>-</v>
      </c>
    </row>
    <row r="875" spans="1:87" ht="12.75" hidden="1" customHeight="1" x14ac:dyDescent="0.2">
      <c r="A875" s="28">
        <v>4</v>
      </c>
      <c r="B875" s="28">
        <v>3</v>
      </c>
      <c r="C875" s="11">
        <v>24</v>
      </c>
      <c r="D875" s="13" t="s">
        <v>296</v>
      </c>
      <c r="E875" s="10" t="s">
        <v>243</v>
      </c>
      <c r="F875" s="10" t="s">
        <v>208</v>
      </c>
      <c r="G875" s="10"/>
      <c r="H875" s="10"/>
      <c r="I875" s="10"/>
      <c r="J875" s="10"/>
      <c r="K875" s="575"/>
      <c r="L875" s="152"/>
      <c r="M875" s="164"/>
      <c r="N875" s="62"/>
      <c r="O875" s="62"/>
      <c r="P875" s="177"/>
      <c r="Q875" s="171"/>
      <c r="R875" s="62"/>
      <c r="S875" s="779">
        <v>0</v>
      </c>
      <c r="T875" s="62"/>
      <c r="U875" s="62"/>
      <c r="V875" s="798">
        <v>0</v>
      </c>
      <c r="W875" s="62"/>
      <c r="X875" s="62"/>
      <c r="Y875" s="590"/>
      <c r="Z875" s="64"/>
      <c r="AA875" s="164"/>
      <c r="AB875" s="62"/>
      <c r="AC875" s="62"/>
      <c r="AD875" s="64"/>
      <c r="AE875" s="164"/>
      <c r="AF875" s="62"/>
      <c r="AG875" s="64"/>
      <c r="AH875" s="337"/>
      <c r="AI875" s="337"/>
      <c r="AJ875" s="337"/>
      <c r="AK875" s="337"/>
      <c r="AL875" s="555"/>
      <c r="AM875" s="552"/>
      <c r="AN875" s="45"/>
      <c r="AO875" s="45"/>
      <c r="AP875" s="45"/>
      <c r="AQ875" s="485"/>
      <c r="AR875" s="485"/>
      <c r="AS875" s="485"/>
      <c r="AT875" s="24"/>
      <c r="AU875" s="24"/>
      <c r="AV875" s="24"/>
      <c r="AW875" s="18">
        <v>24</v>
      </c>
      <c r="AX875" s="69" t="s">
        <v>296</v>
      </c>
      <c r="AY875" s="243" t="s">
        <v>243</v>
      </c>
      <c r="AZ875" s="243" t="str">
        <f t="shared" si="348"/>
        <v>Pink</v>
      </c>
      <c r="BA875" s="243" t="s">
        <v>419</v>
      </c>
      <c r="BB875" s="244" t="s">
        <v>626</v>
      </c>
      <c r="BC875" s="43" t="str">
        <f t="shared" si="349"/>
        <v>Nov 5-11</v>
      </c>
      <c r="BD875" s="43">
        <f t="shared" si="367"/>
        <v>2</v>
      </c>
      <c r="BE875" s="193">
        <f t="shared" si="365"/>
        <v>0</v>
      </c>
      <c r="BF875" s="193">
        <f t="shared" si="350"/>
        <v>0</v>
      </c>
      <c r="BG875" s="193">
        <f t="shared" si="351"/>
        <v>0</v>
      </c>
      <c r="BH875" s="307" t="str">
        <f t="shared" si="366"/>
        <v>-</v>
      </c>
      <c r="BI875" s="266"/>
      <c r="BJ875" s="26" t="str">
        <f t="shared" si="352"/>
        <v>KENNEDY LAKE BEACHESPink</v>
      </c>
      <c r="BK875" s="26">
        <f t="shared" si="353"/>
        <v>2</v>
      </c>
      <c r="BL875" s="33">
        <f t="shared" si="368"/>
        <v>0</v>
      </c>
      <c r="BQ875" s="47" t="str">
        <f t="shared" si="354"/>
        <v>KENNEDY LAKE BEACHESPink</v>
      </c>
      <c r="BR875" s="49">
        <f t="shared" si="355"/>
        <v>0</v>
      </c>
      <c r="BS875" s="49">
        <f t="shared" si="364"/>
        <v>0</v>
      </c>
      <c r="BT875" s="31">
        <v>0</v>
      </c>
      <c r="BU875" s="188" t="str">
        <f t="shared" si="356"/>
        <v>Redd</v>
      </c>
      <c r="BV875" s="188" t="str">
        <f t="shared" si="357"/>
        <v xml:space="preserve"> </v>
      </c>
      <c r="BW875" s="188" t="str">
        <f t="shared" si="358"/>
        <v>Nov 5-11</v>
      </c>
      <c r="BX875" s="188" t="str">
        <f t="shared" si="359"/>
        <v xml:space="preserve"> </v>
      </c>
      <c r="BY875" s="50" t="str">
        <f t="shared" si="347"/>
        <v>KENNEDY LAKE BEACHES_Pink</v>
      </c>
      <c r="BZ875" s="50" t="str">
        <f>IFERROR(VLOOKUP(BY875,'[1]WCVI Esc'!$C$5:$W$555,18,FALSE),"-")</f>
        <v>-</v>
      </c>
      <c r="CA875" s="50" t="str">
        <f t="shared" si="360"/>
        <v>-</v>
      </c>
      <c r="CB875" s="50" t="str">
        <f>IFERROR(VLOOKUP(BY875,'[1]WCVI Esc'!$C$5:$W$555,19,FALSE),"-")</f>
        <v>-</v>
      </c>
      <c r="CC875" s="50" t="str">
        <f t="shared" si="361"/>
        <v>-</v>
      </c>
      <c r="CE875" s="342" t="str">
        <f t="shared" si="346"/>
        <v>KENNEDY LAKE BEACHES_Pink</v>
      </c>
      <c r="CF875" s="341" t="str">
        <f>IFERROR(VLOOKUP(BY875,'RawPL+D'!$O$8:$AB$503,12,FALSE),"-")</f>
        <v>-</v>
      </c>
      <c r="CG875" s="338" t="str">
        <f t="shared" si="362"/>
        <v>-</v>
      </c>
      <c r="CH875" s="341" t="str">
        <f>IFERROR(VLOOKUP(BY875,'RawPL+D'!$O$8:$AB$503,13,FALSE),"-")</f>
        <v>-</v>
      </c>
      <c r="CI875" s="338" t="str">
        <f t="shared" si="363"/>
        <v>-</v>
      </c>
    </row>
    <row r="876" spans="1:87" ht="12.75" hidden="1" customHeight="1" x14ac:dyDescent="0.2">
      <c r="A876" s="28">
        <v>4</v>
      </c>
      <c r="B876" s="28">
        <v>4</v>
      </c>
      <c r="C876" s="11">
        <v>24</v>
      </c>
      <c r="D876" s="13" t="s">
        <v>296</v>
      </c>
      <c r="E876" s="10" t="s">
        <v>243</v>
      </c>
      <c r="F876" s="10" t="s">
        <v>209</v>
      </c>
      <c r="G876" s="10"/>
      <c r="H876" s="10"/>
      <c r="I876" s="10"/>
      <c r="J876" s="10"/>
      <c r="K876" s="575"/>
      <c r="L876" s="152"/>
      <c r="M876" s="164"/>
      <c r="N876" s="62"/>
      <c r="O876" s="62"/>
      <c r="P876" s="177"/>
      <c r="Q876" s="171"/>
      <c r="R876" s="62"/>
      <c r="S876" s="779">
        <v>0</v>
      </c>
      <c r="T876" s="62"/>
      <c r="U876" s="62"/>
      <c r="V876" s="798">
        <v>0</v>
      </c>
      <c r="W876" s="62"/>
      <c r="X876" s="62"/>
      <c r="Y876" s="590"/>
      <c r="Z876" s="64"/>
      <c r="AA876" s="164"/>
      <c r="AB876" s="62"/>
      <c r="AC876" s="62"/>
      <c r="AD876" s="64"/>
      <c r="AE876" s="164"/>
      <c r="AF876" s="62"/>
      <c r="AG876" s="64"/>
      <c r="AH876" s="337"/>
      <c r="AI876" s="337"/>
      <c r="AJ876" s="337"/>
      <c r="AK876" s="337"/>
      <c r="AL876" s="555"/>
      <c r="AM876" s="552"/>
      <c r="AN876" s="45"/>
      <c r="AO876" s="45"/>
      <c r="AP876" s="45"/>
      <c r="AQ876" s="485"/>
      <c r="AR876" s="485"/>
      <c r="AS876" s="485"/>
      <c r="AT876" s="24"/>
      <c r="AU876" s="24"/>
      <c r="AV876" s="24"/>
      <c r="AW876" s="18">
        <v>24</v>
      </c>
      <c r="AX876" s="69" t="s">
        <v>296</v>
      </c>
      <c r="AY876" s="243" t="s">
        <v>243</v>
      </c>
      <c r="AZ876" s="243" t="str">
        <f t="shared" si="348"/>
        <v>Chum</v>
      </c>
      <c r="BA876" s="243" t="s">
        <v>419</v>
      </c>
      <c r="BB876" s="244" t="s">
        <v>626</v>
      </c>
      <c r="BC876" s="43" t="str">
        <f t="shared" si="349"/>
        <v>Nov 5-11</v>
      </c>
      <c r="BD876" s="43">
        <f t="shared" si="367"/>
        <v>2</v>
      </c>
      <c r="BE876" s="193">
        <f t="shared" si="365"/>
        <v>0</v>
      </c>
      <c r="BF876" s="193">
        <f t="shared" si="350"/>
        <v>0</v>
      </c>
      <c r="BG876" s="193">
        <f t="shared" si="351"/>
        <v>0</v>
      </c>
      <c r="BH876" s="307" t="str">
        <f t="shared" si="366"/>
        <v>-</v>
      </c>
      <c r="BI876" s="311" t="s">
        <v>242</v>
      </c>
      <c r="BJ876" s="26" t="str">
        <f t="shared" si="352"/>
        <v>KENNEDY LAKE BEACHESChum</v>
      </c>
      <c r="BK876" s="26">
        <f t="shared" si="353"/>
        <v>2</v>
      </c>
      <c r="BL876" s="33">
        <f t="shared" si="368"/>
        <v>0</v>
      </c>
      <c r="BQ876" s="47" t="str">
        <f t="shared" si="354"/>
        <v>KENNEDY LAKE BEACHESChum</v>
      </c>
      <c r="BR876" s="49">
        <f t="shared" si="355"/>
        <v>0</v>
      </c>
      <c r="BS876" s="49">
        <f t="shared" si="364"/>
        <v>0</v>
      </c>
      <c r="BT876" s="31">
        <v>2011</v>
      </c>
      <c r="BU876" s="188" t="str">
        <f t="shared" si="356"/>
        <v>Redd</v>
      </c>
      <c r="BV876" s="188" t="str">
        <f t="shared" si="357"/>
        <v xml:space="preserve"> </v>
      </c>
      <c r="BW876" s="188" t="str">
        <f t="shared" si="358"/>
        <v>Nov 5-11</v>
      </c>
      <c r="BX876" s="188" t="str">
        <f t="shared" si="359"/>
        <v xml:space="preserve"> </v>
      </c>
      <c r="BY876" s="50" t="str">
        <f t="shared" si="347"/>
        <v>KENNEDY LAKE BEACHES_Chum</v>
      </c>
      <c r="BZ876" s="50" t="str">
        <f>IFERROR(VLOOKUP(BY876,'[1]WCVI Esc'!$C$5:$W$555,18,FALSE),"-")</f>
        <v>-</v>
      </c>
      <c r="CA876" s="50" t="str">
        <f t="shared" si="360"/>
        <v>-</v>
      </c>
      <c r="CB876" s="50" t="str">
        <f>IFERROR(VLOOKUP(BY876,'[1]WCVI Esc'!$C$5:$W$555,19,FALSE),"-")</f>
        <v>-</v>
      </c>
      <c r="CC876" s="50" t="str">
        <f t="shared" si="361"/>
        <v>-</v>
      </c>
      <c r="CE876" s="342" t="str">
        <f t="shared" si="346"/>
        <v>KENNEDY LAKE BEACHES_Chum</v>
      </c>
      <c r="CF876" s="341" t="str">
        <f>IFERROR(VLOOKUP(BY876,'RawPL+D'!$O$8:$AB$503,12,FALSE),"-")</f>
        <v>-</v>
      </c>
      <c r="CG876" s="338" t="str">
        <f t="shared" si="362"/>
        <v>-</v>
      </c>
      <c r="CH876" s="341" t="str">
        <f>IFERROR(VLOOKUP(BY876,'RawPL+D'!$O$8:$AB$503,13,FALSE),"-")</f>
        <v>-</v>
      </c>
      <c r="CI876" s="338" t="str">
        <f t="shared" si="363"/>
        <v>-</v>
      </c>
    </row>
    <row r="877" spans="1:87" ht="12.75" hidden="1" customHeight="1" x14ac:dyDescent="0.2">
      <c r="A877" s="28">
        <v>4</v>
      </c>
      <c r="B877" s="28">
        <v>5</v>
      </c>
      <c r="C877" s="11">
        <v>24</v>
      </c>
      <c r="D877" s="13" t="s">
        <v>296</v>
      </c>
      <c r="E877" s="10" t="s">
        <v>243</v>
      </c>
      <c r="F877" s="10" t="s">
        <v>210</v>
      </c>
      <c r="G877" s="10"/>
      <c r="H877" s="10"/>
      <c r="I877" s="10"/>
      <c r="J877" s="10"/>
      <c r="K877" s="575"/>
      <c r="L877" s="152"/>
      <c r="M877" s="164"/>
      <c r="N877" s="62"/>
      <c r="O877" s="62"/>
      <c r="P877" s="177"/>
      <c r="Q877" s="171"/>
      <c r="R877" s="62"/>
      <c r="S877" s="779">
        <v>0</v>
      </c>
      <c r="T877" s="62"/>
      <c r="U877" s="62"/>
      <c r="V877" s="798">
        <v>0</v>
      </c>
      <c r="W877" s="62"/>
      <c r="X877" s="62"/>
      <c r="Y877" s="590"/>
      <c r="Z877" s="64"/>
      <c r="AA877" s="164"/>
      <c r="AB877" s="62"/>
      <c r="AC877" s="62"/>
      <c r="AD877" s="64"/>
      <c r="AE877" s="164"/>
      <c r="AF877" s="62"/>
      <c r="AG877" s="64"/>
      <c r="AH877" s="337"/>
      <c r="AI877" s="337"/>
      <c r="AJ877" s="337"/>
      <c r="AK877" s="337"/>
      <c r="AL877" s="555"/>
      <c r="AM877" s="552"/>
      <c r="AN877" s="45"/>
      <c r="AO877" s="45"/>
      <c r="AP877" s="45"/>
      <c r="AQ877" s="485"/>
      <c r="AR877" s="485"/>
      <c r="AS877" s="485"/>
      <c r="AT877" s="24"/>
      <c r="AU877" s="24"/>
      <c r="AV877" s="24"/>
      <c r="AW877" s="18">
        <v>24</v>
      </c>
      <c r="AX877" s="69" t="s">
        <v>296</v>
      </c>
      <c r="AY877" s="243" t="s">
        <v>243</v>
      </c>
      <c r="AZ877" s="243" t="str">
        <f t="shared" si="348"/>
        <v>Chinook</v>
      </c>
      <c r="BA877" s="243" t="s">
        <v>419</v>
      </c>
      <c r="BB877" s="244" t="s">
        <v>626</v>
      </c>
      <c r="BC877" s="43" t="str">
        <f t="shared" si="349"/>
        <v>Nov 5-11</v>
      </c>
      <c r="BD877" s="43">
        <f t="shared" si="367"/>
        <v>2</v>
      </c>
      <c r="BE877" s="193">
        <f t="shared" si="365"/>
        <v>0</v>
      </c>
      <c r="BF877" s="193">
        <f t="shared" si="350"/>
        <v>0</v>
      </c>
      <c r="BG877" s="193">
        <f t="shared" si="351"/>
        <v>0</v>
      </c>
      <c r="BH877" s="307" t="str">
        <f t="shared" si="366"/>
        <v>-</v>
      </c>
      <c r="BI877" s="266"/>
      <c r="BJ877" s="26" t="str">
        <f t="shared" si="352"/>
        <v>KENNEDY LAKE BEACHESChinook</v>
      </c>
      <c r="BK877" s="26">
        <f t="shared" si="353"/>
        <v>2</v>
      </c>
      <c r="BL877" s="33">
        <f t="shared" si="368"/>
        <v>0</v>
      </c>
      <c r="BQ877" s="47" t="str">
        <f t="shared" si="354"/>
        <v>KENNEDY LAKE BEACHESChinook</v>
      </c>
      <c r="BR877" s="49">
        <f t="shared" si="355"/>
        <v>0</v>
      </c>
      <c r="BS877" s="49">
        <f t="shared" si="364"/>
        <v>0</v>
      </c>
      <c r="BT877" s="31">
        <v>0</v>
      </c>
      <c r="BU877" s="188" t="str">
        <f t="shared" si="356"/>
        <v>Redd</v>
      </c>
      <c r="BV877" s="188" t="str">
        <f t="shared" si="357"/>
        <v xml:space="preserve"> </v>
      </c>
      <c r="BW877" s="188" t="str">
        <f t="shared" si="358"/>
        <v>Nov 5-11</v>
      </c>
      <c r="BX877" s="188" t="str">
        <f t="shared" si="359"/>
        <v xml:space="preserve"> </v>
      </c>
      <c r="BY877" s="50" t="str">
        <f t="shared" si="347"/>
        <v>KENNEDY LAKE BEACHES_Chinook</v>
      </c>
      <c r="BZ877" s="50" t="str">
        <f>IFERROR(VLOOKUP(BY877,'[1]WCVI Esc'!$C$5:$W$555,18,FALSE),"-")</f>
        <v>-</v>
      </c>
      <c r="CA877" s="50" t="str">
        <f t="shared" si="360"/>
        <v>-</v>
      </c>
      <c r="CB877" s="50" t="str">
        <f>IFERROR(VLOOKUP(BY877,'[1]WCVI Esc'!$C$5:$W$555,19,FALSE),"-")</f>
        <v>-</v>
      </c>
      <c r="CC877" s="50" t="str">
        <f t="shared" si="361"/>
        <v>-</v>
      </c>
      <c r="CE877" s="342" t="str">
        <f t="shared" si="346"/>
        <v>KENNEDY LAKE BEACHES_Chinook</v>
      </c>
      <c r="CF877" s="341" t="str">
        <f>IFERROR(VLOOKUP(BY877,'RawPL+D'!$O$8:$AB$503,12,FALSE),"-")</f>
        <v>-</v>
      </c>
      <c r="CG877" s="338" t="str">
        <f t="shared" si="362"/>
        <v>-</v>
      </c>
      <c r="CH877" s="341" t="str">
        <f>IFERROR(VLOOKUP(BY877,'RawPL+D'!$O$8:$AB$503,13,FALSE),"-")</f>
        <v>-</v>
      </c>
      <c r="CI877" s="338" t="str">
        <f t="shared" si="363"/>
        <v>-</v>
      </c>
    </row>
    <row r="878" spans="1:87" ht="12.75" hidden="1" customHeight="1" x14ac:dyDescent="0.2">
      <c r="A878" s="28">
        <v>4</v>
      </c>
      <c r="B878" s="28">
        <v>6</v>
      </c>
      <c r="C878" s="11">
        <v>24</v>
      </c>
      <c r="D878" s="13" t="s">
        <v>296</v>
      </c>
      <c r="E878" s="10" t="s">
        <v>243</v>
      </c>
      <c r="F878" s="10" t="s">
        <v>211</v>
      </c>
      <c r="G878" s="10"/>
      <c r="H878" s="10"/>
      <c r="I878" s="10"/>
      <c r="J878" s="10"/>
      <c r="K878" s="575"/>
      <c r="L878" s="152"/>
      <c r="M878" s="164"/>
      <c r="N878" s="62"/>
      <c r="O878" s="62"/>
      <c r="P878" s="177"/>
      <c r="Q878" s="171"/>
      <c r="R878" s="62"/>
      <c r="S878" s="779">
        <v>0</v>
      </c>
      <c r="T878" s="62"/>
      <c r="U878" s="62"/>
      <c r="V878" s="798">
        <v>0</v>
      </c>
      <c r="W878" s="62"/>
      <c r="X878" s="62"/>
      <c r="Y878" s="590"/>
      <c r="Z878" s="64"/>
      <c r="AA878" s="164"/>
      <c r="AB878" s="62"/>
      <c r="AC878" s="62"/>
      <c r="AD878" s="64"/>
      <c r="AE878" s="164"/>
      <c r="AF878" s="62"/>
      <c r="AG878" s="64"/>
      <c r="AH878" s="337"/>
      <c r="AI878" s="337"/>
      <c r="AJ878" s="337"/>
      <c r="AK878" s="337"/>
      <c r="AL878" s="555"/>
      <c r="AM878" s="552"/>
      <c r="AN878" s="45"/>
      <c r="AO878" s="45"/>
      <c r="AP878" s="45"/>
      <c r="AQ878" s="485"/>
      <c r="AR878" s="485"/>
      <c r="AS878" s="485"/>
      <c r="AT878" s="24"/>
      <c r="AU878" s="24"/>
      <c r="AV878" s="24"/>
      <c r="AW878" s="18">
        <v>24</v>
      </c>
      <c r="AX878" s="69" t="s">
        <v>296</v>
      </c>
      <c r="AY878" s="243" t="s">
        <v>243</v>
      </c>
      <c r="AZ878" s="243" t="str">
        <f t="shared" si="348"/>
        <v>Steelhead</v>
      </c>
      <c r="BA878" s="243" t="s">
        <v>419</v>
      </c>
      <c r="BB878" s="244" t="s">
        <v>626</v>
      </c>
      <c r="BC878" s="43" t="str">
        <f t="shared" si="349"/>
        <v>Nov 5-11</v>
      </c>
      <c r="BD878" s="43">
        <f t="shared" si="367"/>
        <v>2</v>
      </c>
      <c r="BE878" s="193">
        <f t="shared" si="365"/>
        <v>0</v>
      </c>
      <c r="BF878" s="193">
        <f t="shared" si="350"/>
        <v>0</v>
      </c>
      <c r="BG878" s="193">
        <f t="shared" si="351"/>
        <v>0</v>
      </c>
      <c r="BH878" s="307" t="str">
        <f t="shared" si="366"/>
        <v>-</v>
      </c>
      <c r="BI878" s="266"/>
      <c r="BJ878" s="26" t="str">
        <f t="shared" si="352"/>
        <v>KENNEDY LAKE BEACHESSteelhead</v>
      </c>
      <c r="BK878" s="26">
        <f t="shared" si="353"/>
        <v>2</v>
      </c>
      <c r="BL878" s="33">
        <f t="shared" si="368"/>
        <v>0</v>
      </c>
      <c r="BQ878" s="47" t="str">
        <f t="shared" si="354"/>
        <v>KENNEDY LAKE BEACHESSteelhead</v>
      </c>
      <c r="BR878" s="49">
        <f t="shared" si="355"/>
        <v>0</v>
      </c>
      <c r="BS878" s="49">
        <f t="shared" si="364"/>
        <v>0</v>
      </c>
      <c r="BT878" s="31">
        <v>0</v>
      </c>
      <c r="BU878" s="188" t="str">
        <f t="shared" si="356"/>
        <v>Redd</v>
      </c>
      <c r="BV878" s="188" t="str">
        <f t="shared" si="357"/>
        <v xml:space="preserve"> </v>
      </c>
      <c r="BW878" s="188" t="str">
        <f t="shared" si="358"/>
        <v>Nov 5-11</v>
      </c>
      <c r="BX878" s="188" t="str">
        <f t="shared" si="359"/>
        <v xml:space="preserve"> </v>
      </c>
      <c r="BY878" s="50" t="str">
        <f t="shared" si="347"/>
        <v>KENNEDY LAKE BEACHES_Steelhead</v>
      </c>
      <c r="BZ878" s="50" t="str">
        <f>IFERROR(VLOOKUP(BY878,'[1]WCVI Esc'!$C$5:$W$555,18,FALSE),"-")</f>
        <v>-</v>
      </c>
      <c r="CA878" s="50" t="str">
        <f t="shared" si="360"/>
        <v>-</v>
      </c>
      <c r="CB878" s="50" t="str">
        <f>IFERROR(VLOOKUP(BY878,'[1]WCVI Esc'!$C$5:$W$555,19,FALSE),"-")</f>
        <v>-</v>
      </c>
      <c r="CC878" s="50" t="str">
        <f t="shared" si="361"/>
        <v>-</v>
      </c>
      <c r="CE878" s="342" t="str">
        <f t="shared" si="346"/>
        <v>KENNEDY LAKE BEACHES_Steelhead</v>
      </c>
      <c r="CF878" s="341" t="str">
        <f>IFERROR(VLOOKUP(BY878,'RawPL+D'!$O$8:$AB$503,12,FALSE),"-")</f>
        <v>-</v>
      </c>
      <c r="CG878" s="338" t="str">
        <f t="shared" si="362"/>
        <v>-</v>
      </c>
      <c r="CH878" s="341" t="str">
        <f>IFERROR(VLOOKUP(BY878,'RawPL+D'!$O$8:$AB$503,13,FALSE),"-")</f>
        <v>-</v>
      </c>
      <c r="CI878" s="338" t="str">
        <f t="shared" si="363"/>
        <v>-</v>
      </c>
    </row>
    <row r="879" spans="1:87" ht="12.75" hidden="1" customHeight="1" x14ac:dyDescent="0.2">
      <c r="A879" s="28">
        <v>4</v>
      </c>
      <c r="B879" s="28">
        <v>1</v>
      </c>
      <c r="C879" s="11">
        <v>24</v>
      </c>
      <c r="D879" s="13" t="s">
        <v>296</v>
      </c>
      <c r="E879" s="10" t="s">
        <v>124</v>
      </c>
      <c r="F879" s="10" t="s">
        <v>207</v>
      </c>
      <c r="G879" s="10"/>
      <c r="H879" s="10"/>
      <c r="I879" s="10"/>
      <c r="J879" s="10"/>
      <c r="K879" s="575"/>
      <c r="L879" s="152"/>
      <c r="M879" s="164"/>
      <c r="N879" s="62"/>
      <c r="O879" s="62"/>
      <c r="P879" s="177"/>
      <c r="Q879" s="171"/>
      <c r="R879" s="62"/>
      <c r="S879" s="62"/>
      <c r="T879" s="62"/>
      <c r="U879" s="64"/>
      <c r="V879" s="164"/>
      <c r="W879" s="62"/>
      <c r="X879" s="62"/>
      <c r="Y879" s="62"/>
      <c r="Z879" s="64"/>
      <c r="AA879" s="164"/>
      <c r="AB879" s="62"/>
      <c r="AC879" s="62"/>
      <c r="AD879" s="64"/>
      <c r="AE879" s="164"/>
      <c r="AF879" s="62"/>
      <c r="AG879" s="64"/>
      <c r="AH879" s="337"/>
      <c r="AI879" s="337"/>
      <c r="AJ879" s="337"/>
      <c r="AK879" s="337"/>
      <c r="AL879" s="412"/>
      <c r="AM879" s="414"/>
      <c r="AN879" s="45"/>
      <c r="AO879" s="45"/>
      <c r="AP879" s="45"/>
      <c r="AQ879" s="485"/>
      <c r="AR879" s="485"/>
      <c r="AS879" s="485"/>
      <c r="AT879" s="24"/>
      <c r="AU879" s="24"/>
      <c r="AV879" s="24"/>
      <c r="AW879" s="18">
        <v>24</v>
      </c>
      <c r="AX879" s="69" t="s">
        <v>296</v>
      </c>
      <c r="AY879" s="243" t="s">
        <v>124</v>
      </c>
      <c r="AZ879" s="243" t="str">
        <f t="shared" si="348"/>
        <v>Sockeye</v>
      </c>
      <c r="BA879" s="243" t="s">
        <v>419</v>
      </c>
      <c r="BB879" s="244" t="s">
        <v>502</v>
      </c>
      <c r="BC879" s="43" t="str">
        <f t="shared" si="349"/>
        <v>-</v>
      </c>
      <c r="BD879" s="43">
        <f t="shared" si="367"/>
        <v>0</v>
      </c>
      <c r="BE879" s="193">
        <f t="shared" si="365"/>
        <v>0</v>
      </c>
      <c r="BF879" s="193">
        <f t="shared" si="350"/>
        <v>0</v>
      </c>
      <c r="BG879" s="193">
        <f t="shared" si="351"/>
        <v>0</v>
      </c>
      <c r="BH879" s="307">
        <f t="shared" si="366"/>
        <v>0</v>
      </c>
      <c r="BI879" s="266"/>
      <c r="BJ879" s="26" t="str">
        <f t="shared" si="352"/>
        <v>KENNEDY LAKE FEEDER STREAMSSockeye</v>
      </c>
      <c r="BK879" s="26">
        <f t="shared" si="353"/>
        <v>0</v>
      </c>
      <c r="BL879" s="33">
        <f t="shared" si="368"/>
        <v>0</v>
      </c>
      <c r="BQ879" s="47" t="str">
        <f t="shared" si="354"/>
        <v>KENNEDY LAKE FEEDER STREAMSSockeye</v>
      </c>
      <c r="BR879" s="49">
        <f t="shared" si="355"/>
        <v>0</v>
      </c>
      <c r="BS879" s="49">
        <f t="shared" si="364"/>
        <v>0</v>
      </c>
      <c r="BT879" s="31">
        <v>1987</v>
      </c>
      <c r="BU879" s="188" t="str">
        <f t="shared" si="356"/>
        <v>TSES/CWFS</v>
      </c>
      <c r="BV879" s="188" t="str">
        <f t="shared" si="357"/>
        <v xml:space="preserve"> </v>
      </c>
      <c r="BW879" s="188" t="str">
        <f t="shared" si="358"/>
        <v xml:space="preserve"> </v>
      </c>
      <c r="BX879" s="188" t="str">
        <f t="shared" si="359"/>
        <v xml:space="preserve"> </v>
      </c>
      <c r="BY879" s="50" t="str">
        <f t="shared" si="347"/>
        <v>KENNEDY LAKE FEEDER STREAMS_Sockeye</v>
      </c>
      <c r="BZ879" s="50" t="str">
        <f>IFERROR(VLOOKUP(BY879,'[1]WCVI Esc'!$C$5:$W$555,18,FALSE),"-")</f>
        <v>-</v>
      </c>
      <c r="CA879" s="50" t="str">
        <f t="shared" si="360"/>
        <v>-</v>
      </c>
      <c r="CB879" s="50" t="str">
        <f>IFERROR(VLOOKUP(BY879,'[1]WCVI Esc'!$C$5:$W$555,19,FALSE),"-")</f>
        <v>-</v>
      </c>
      <c r="CC879" s="50" t="str">
        <f t="shared" si="361"/>
        <v>-</v>
      </c>
      <c r="CE879" s="342" t="str">
        <f t="shared" si="346"/>
        <v>KENNEDY LAKE FEEDER STREAMS_Sockeye</v>
      </c>
      <c r="CF879" s="341">
        <f>IFERROR(VLOOKUP(BY879,'RawPL+D'!$O$8:$AB$503,12,FALSE),"-")</f>
        <v>0</v>
      </c>
      <c r="CG879" s="338">
        <f t="shared" si="362"/>
        <v>0</v>
      </c>
      <c r="CH879" s="341">
        <f>IFERROR(VLOOKUP(BY879,'RawPL+D'!$O$8:$AB$503,13,FALSE),"-")</f>
        <v>0</v>
      </c>
      <c r="CI879" s="338">
        <f t="shared" si="363"/>
        <v>0</v>
      </c>
    </row>
    <row r="880" spans="1:87" ht="12.75" hidden="1" customHeight="1" x14ac:dyDescent="0.2">
      <c r="A880" s="28">
        <v>4</v>
      </c>
      <c r="B880" s="28">
        <v>2</v>
      </c>
      <c r="C880" s="11">
        <v>24</v>
      </c>
      <c r="D880" s="13" t="s">
        <v>296</v>
      </c>
      <c r="E880" s="10" t="s">
        <v>124</v>
      </c>
      <c r="F880" s="10" t="s">
        <v>219</v>
      </c>
      <c r="G880" s="10"/>
      <c r="H880" s="10"/>
      <c r="I880" s="10"/>
      <c r="J880" s="10"/>
      <c r="K880" s="575"/>
      <c r="L880" s="152"/>
      <c r="M880" s="164"/>
      <c r="N880" s="62"/>
      <c r="O880" s="62"/>
      <c r="P880" s="177"/>
      <c r="Q880" s="171"/>
      <c r="R880" s="62"/>
      <c r="S880" s="62"/>
      <c r="T880" s="62"/>
      <c r="U880" s="64"/>
      <c r="V880" s="164"/>
      <c r="W880" s="62"/>
      <c r="X880" s="62"/>
      <c r="Y880" s="62"/>
      <c r="Z880" s="64"/>
      <c r="AA880" s="164"/>
      <c r="AB880" s="62"/>
      <c r="AC880" s="62"/>
      <c r="AD880" s="64"/>
      <c r="AE880" s="164"/>
      <c r="AF880" s="62"/>
      <c r="AG880" s="64"/>
      <c r="AH880" s="337"/>
      <c r="AI880" s="337"/>
      <c r="AJ880" s="337"/>
      <c r="AK880" s="337"/>
      <c r="AL880" s="412"/>
      <c r="AM880" s="414"/>
      <c r="AN880" s="45"/>
      <c r="AO880" s="45"/>
      <c r="AP880" s="45"/>
      <c r="AQ880" s="485"/>
      <c r="AR880" s="485"/>
      <c r="AS880" s="485"/>
      <c r="AT880" s="24"/>
      <c r="AU880" s="24"/>
      <c r="AV880" s="24"/>
      <c r="AW880" s="18">
        <v>24</v>
      </c>
      <c r="AX880" s="69" t="s">
        <v>296</v>
      </c>
      <c r="AY880" s="243" t="s">
        <v>124</v>
      </c>
      <c r="AZ880" s="243" t="str">
        <f t="shared" si="348"/>
        <v>Coho</v>
      </c>
      <c r="BA880" s="243" t="s">
        <v>419</v>
      </c>
      <c r="BB880" s="244" t="s">
        <v>502</v>
      </c>
      <c r="BC880" s="43" t="str">
        <f t="shared" si="349"/>
        <v>-</v>
      </c>
      <c r="BD880" s="43">
        <f t="shared" si="367"/>
        <v>0</v>
      </c>
      <c r="BE880" s="193">
        <f t="shared" si="365"/>
        <v>0</v>
      </c>
      <c r="BF880" s="193">
        <f t="shared" si="350"/>
        <v>0</v>
      </c>
      <c r="BG880" s="193">
        <f t="shared" si="351"/>
        <v>0</v>
      </c>
      <c r="BH880" s="307">
        <f t="shared" si="366"/>
        <v>0</v>
      </c>
      <c r="BI880" s="266"/>
      <c r="BJ880" s="26" t="str">
        <f t="shared" si="352"/>
        <v>KENNEDY LAKE FEEDER STREAMSCoho</v>
      </c>
      <c r="BK880" s="26">
        <f t="shared" si="353"/>
        <v>0</v>
      </c>
      <c r="BL880" s="33">
        <f t="shared" si="368"/>
        <v>0</v>
      </c>
      <c r="BQ880" s="47" t="str">
        <f t="shared" si="354"/>
        <v>KENNEDY LAKE FEEDER STREAMSCoho</v>
      </c>
      <c r="BR880" s="49">
        <f t="shared" si="355"/>
        <v>0</v>
      </c>
      <c r="BS880" s="49">
        <f t="shared" si="364"/>
        <v>0</v>
      </c>
      <c r="BT880" s="31">
        <v>2002</v>
      </c>
      <c r="BU880" s="188" t="str">
        <f t="shared" si="356"/>
        <v>TSES/CWFS</v>
      </c>
      <c r="BV880" s="188" t="str">
        <f t="shared" si="357"/>
        <v xml:space="preserve"> </v>
      </c>
      <c r="BW880" s="188" t="str">
        <f t="shared" si="358"/>
        <v xml:space="preserve"> </v>
      </c>
      <c r="BX880" s="188" t="str">
        <f t="shared" si="359"/>
        <v xml:space="preserve"> </v>
      </c>
      <c r="BY880" s="50" t="str">
        <f t="shared" si="347"/>
        <v>KENNEDY LAKE FEEDER STREAMS_Coho</v>
      </c>
      <c r="BZ880" s="50" t="str">
        <f>IFERROR(VLOOKUP(BY880,'[1]WCVI Esc'!$C$5:$W$555,18,FALSE),"-")</f>
        <v>-</v>
      </c>
      <c r="CA880" s="50" t="str">
        <f t="shared" si="360"/>
        <v>-</v>
      </c>
      <c r="CB880" s="50" t="str">
        <f>IFERROR(VLOOKUP(BY880,'[1]WCVI Esc'!$C$5:$W$555,19,FALSE),"-")</f>
        <v>-</v>
      </c>
      <c r="CC880" s="50" t="str">
        <f t="shared" si="361"/>
        <v>-</v>
      </c>
      <c r="CE880" s="342" t="str">
        <f t="shared" si="346"/>
        <v>KENNEDY LAKE FEEDER STREAMS_Coho</v>
      </c>
      <c r="CF880" s="341">
        <f>IFERROR(VLOOKUP(BY880,'RawPL+D'!$O$8:$AB$503,12,FALSE),"-")</f>
        <v>0</v>
      </c>
      <c r="CG880" s="338">
        <f t="shared" si="362"/>
        <v>0</v>
      </c>
      <c r="CH880" s="341">
        <f>IFERROR(VLOOKUP(BY880,'RawPL+D'!$O$8:$AB$503,13,FALSE),"-")</f>
        <v>0</v>
      </c>
      <c r="CI880" s="338">
        <f t="shared" si="363"/>
        <v>0</v>
      </c>
    </row>
    <row r="881" spans="1:87" ht="12.75" hidden="1" customHeight="1" x14ac:dyDescent="0.2">
      <c r="A881" s="28">
        <v>4</v>
      </c>
      <c r="B881" s="28">
        <v>3</v>
      </c>
      <c r="C881" s="11">
        <v>24</v>
      </c>
      <c r="D881" s="13" t="s">
        <v>296</v>
      </c>
      <c r="E881" s="10" t="s">
        <v>124</v>
      </c>
      <c r="F881" s="10" t="s">
        <v>208</v>
      </c>
      <c r="G881" s="10"/>
      <c r="H881" s="10"/>
      <c r="I881" s="10"/>
      <c r="J881" s="10"/>
      <c r="K881" s="575"/>
      <c r="L881" s="152"/>
      <c r="M881" s="164"/>
      <c r="N881" s="62"/>
      <c r="O881" s="62"/>
      <c r="P881" s="177"/>
      <c r="Q881" s="171"/>
      <c r="R881" s="62"/>
      <c r="S881" s="62"/>
      <c r="T881" s="62"/>
      <c r="U881" s="64"/>
      <c r="V881" s="164"/>
      <c r="W881" s="62"/>
      <c r="X881" s="62"/>
      <c r="Y881" s="62"/>
      <c r="Z881" s="64"/>
      <c r="AA881" s="164"/>
      <c r="AB881" s="62"/>
      <c r="AC881" s="62"/>
      <c r="AD881" s="64"/>
      <c r="AE881" s="164"/>
      <c r="AF881" s="62"/>
      <c r="AG881" s="64"/>
      <c r="AH881" s="337"/>
      <c r="AI881" s="337"/>
      <c r="AJ881" s="337"/>
      <c r="AK881" s="337"/>
      <c r="AL881" s="412"/>
      <c r="AM881" s="414"/>
      <c r="AN881" s="45"/>
      <c r="AO881" s="45"/>
      <c r="AP881" s="45"/>
      <c r="AQ881" s="485"/>
      <c r="AR881" s="485"/>
      <c r="AS881" s="485"/>
      <c r="AT881" s="24"/>
      <c r="AU881" s="24"/>
      <c r="AV881" s="24"/>
      <c r="AW881" s="18">
        <v>24</v>
      </c>
      <c r="AX881" s="69" t="s">
        <v>296</v>
      </c>
      <c r="AY881" s="243" t="s">
        <v>124</v>
      </c>
      <c r="AZ881" s="243" t="str">
        <f t="shared" si="348"/>
        <v>Pink</v>
      </c>
      <c r="BA881" s="243" t="s">
        <v>419</v>
      </c>
      <c r="BB881" s="244" t="s">
        <v>502</v>
      </c>
      <c r="BC881" s="43" t="str">
        <f t="shared" si="349"/>
        <v>-</v>
      </c>
      <c r="BD881" s="43">
        <f t="shared" si="367"/>
        <v>0</v>
      </c>
      <c r="BE881" s="193">
        <f t="shared" si="365"/>
        <v>0</v>
      </c>
      <c r="BF881" s="193">
        <f t="shared" si="350"/>
        <v>0</v>
      </c>
      <c r="BG881" s="193">
        <f t="shared" si="351"/>
        <v>0</v>
      </c>
      <c r="BH881" s="307">
        <f t="shared" si="366"/>
        <v>0</v>
      </c>
      <c r="BI881" s="266"/>
      <c r="BJ881" s="26" t="str">
        <f t="shared" si="352"/>
        <v>KENNEDY LAKE FEEDER STREAMSPink</v>
      </c>
      <c r="BK881" s="26">
        <f t="shared" si="353"/>
        <v>0</v>
      </c>
      <c r="BL881" s="33">
        <f t="shared" si="368"/>
        <v>0</v>
      </c>
      <c r="BQ881" s="47" t="str">
        <f t="shared" si="354"/>
        <v>KENNEDY LAKE FEEDER STREAMSPink</v>
      </c>
      <c r="BR881" s="49">
        <f t="shared" si="355"/>
        <v>0</v>
      </c>
      <c r="BS881" s="49">
        <f t="shared" si="364"/>
        <v>0</v>
      </c>
      <c r="BT881" s="31">
        <v>0</v>
      </c>
      <c r="BU881" s="188" t="str">
        <f t="shared" si="356"/>
        <v>TSES/CWFS</v>
      </c>
      <c r="BV881" s="188" t="str">
        <f t="shared" si="357"/>
        <v xml:space="preserve"> </v>
      </c>
      <c r="BW881" s="188" t="str">
        <f t="shared" si="358"/>
        <v xml:space="preserve"> </v>
      </c>
      <c r="BX881" s="188" t="str">
        <f t="shared" si="359"/>
        <v xml:space="preserve"> </v>
      </c>
      <c r="BY881" s="50" t="str">
        <f t="shared" si="347"/>
        <v>KENNEDY LAKE FEEDER STREAMS_Pink</v>
      </c>
      <c r="BZ881" s="50" t="str">
        <f>IFERROR(VLOOKUP(BY881,'[1]WCVI Esc'!$C$5:$W$555,18,FALSE),"-")</f>
        <v>-</v>
      </c>
      <c r="CA881" s="50" t="str">
        <f t="shared" si="360"/>
        <v>-</v>
      </c>
      <c r="CB881" s="50" t="str">
        <f>IFERROR(VLOOKUP(BY881,'[1]WCVI Esc'!$C$5:$W$555,19,FALSE),"-")</f>
        <v>-</v>
      </c>
      <c r="CC881" s="50" t="str">
        <f t="shared" si="361"/>
        <v>-</v>
      </c>
      <c r="CE881" s="342" t="str">
        <f t="shared" si="346"/>
        <v>KENNEDY LAKE FEEDER STREAMS_Pink</v>
      </c>
      <c r="CF881" s="341">
        <f>IFERROR(VLOOKUP(BY881,'RawPL+D'!$O$8:$AB$503,12,FALSE),"-")</f>
        <v>0</v>
      </c>
      <c r="CG881" s="338">
        <f t="shared" si="362"/>
        <v>0</v>
      </c>
      <c r="CH881" s="341">
        <f>IFERROR(VLOOKUP(BY881,'RawPL+D'!$O$8:$AB$503,13,FALSE),"-")</f>
        <v>0</v>
      </c>
      <c r="CI881" s="338">
        <f t="shared" si="363"/>
        <v>0</v>
      </c>
    </row>
    <row r="882" spans="1:87" ht="12.75" hidden="1" customHeight="1" x14ac:dyDescent="0.2">
      <c r="A882" s="28">
        <v>4</v>
      </c>
      <c r="B882" s="28">
        <v>4</v>
      </c>
      <c r="C882" s="11">
        <v>24</v>
      </c>
      <c r="D882" s="13" t="s">
        <v>296</v>
      </c>
      <c r="E882" s="10" t="s">
        <v>124</v>
      </c>
      <c r="F882" s="10" t="s">
        <v>209</v>
      </c>
      <c r="G882" s="10"/>
      <c r="H882" s="10"/>
      <c r="I882" s="10"/>
      <c r="J882" s="10"/>
      <c r="K882" s="575"/>
      <c r="L882" s="152"/>
      <c r="M882" s="164"/>
      <c r="N882" s="62"/>
      <c r="O882" s="62"/>
      <c r="P882" s="177"/>
      <c r="Q882" s="171"/>
      <c r="R882" s="62"/>
      <c r="S882" s="62"/>
      <c r="T882" s="62"/>
      <c r="U882" s="64"/>
      <c r="V882" s="164"/>
      <c r="W882" s="62"/>
      <c r="X882" s="62"/>
      <c r="Y882" s="62"/>
      <c r="Z882" s="64"/>
      <c r="AA882" s="164"/>
      <c r="AB882" s="62"/>
      <c r="AC882" s="62"/>
      <c r="AD882" s="64"/>
      <c r="AE882" s="164"/>
      <c r="AF882" s="62"/>
      <c r="AG882" s="64"/>
      <c r="AH882" s="337"/>
      <c r="AI882" s="337"/>
      <c r="AJ882" s="337"/>
      <c r="AK882" s="337"/>
      <c r="AL882" s="412"/>
      <c r="AM882" s="414"/>
      <c r="AN882" s="45"/>
      <c r="AO882" s="45"/>
      <c r="AP882" s="45"/>
      <c r="AQ882" s="485"/>
      <c r="AR882" s="485"/>
      <c r="AS882" s="485"/>
      <c r="AT882" s="24"/>
      <c r="AU882" s="24"/>
      <c r="AV882" s="24"/>
      <c r="AW882" s="18">
        <v>24</v>
      </c>
      <c r="AX882" s="69" t="s">
        <v>296</v>
      </c>
      <c r="AY882" s="243" t="s">
        <v>124</v>
      </c>
      <c r="AZ882" s="243" t="str">
        <f t="shared" si="348"/>
        <v>Chum</v>
      </c>
      <c r="BA882" s="243" t="s">
        <v>419</v>
      </c>
      <c r="BB882" s="244" t="s">
        <v>502</v>
      </c>
      <c r="BC882" s="43" t="str">
        <f t="shared" si="349"/>
        <v>-</v>
      </c>
      <c r="BD882" s="43">
        <f t="shared" si="367"/>
        <v>0</v>
      </c>
      <c r="BE882" s="193">
        <f t="shared" si="365"/>
        <v>0</v>
      </c>
      <c r="BF882" s="193">
        <f t="shared" si="350"/>
        <v>0</v>
      </c>
      <c r="BG882" s="193">
        <f t="shared" si="351"/>
        <v>0</v>
      </c>
      <c r="BH882" s="307">
        <f t="shared" si="366"/>
        <v>0</v>
      </c>
      <c r="BI882" s="266"/>
      <c r="BJ882" s="26" t="str">
        <f t="shared" si="352"/>
        <v>KENNEDY LAKE FEEDER STREAMSChum</v>
      </c>
      <c r="BK882" s="26">
        <f t="shared" si="353"/>
        <v>0</v>
      </c>
      <c r="BL882" s="33">
        <f t="shared" si="368"/>
        <v>0</v>
      </c>
      <c r="BQ882" s="47" t="str">
        <f t="shared" si="354"/>
        <v>KENNEDY LAKE FEEDER STREAMSChum</v>
      </c>
      <c r="BR882" s="49">
        <f t="shared" si="355"/>
        <v>0</v>
      </c>
      <c r="BS882" s="49">
        <f t="shared" si="364"/>
        <v>0</v>
      </c>
      <c r="BT882" s="31">
        <v>0</v>
      </c>
      <c r="BU882" s="188" t="str">
        <f t="shared" si="356"/>
        <v>TSES/CWFS</v>
      </c>
      <c r="BV882" s="188" t="str">
        <f t="shared" si="357"/>
        <v xml:space="preserve"> </v>
      </c>
      <c r="BW882" s="188" t="str">
        <f t="shared" si="358"/>
        <v xml:space="preserve"> </v>
      </c>
      <c r="BX882" s="188" t="str">
        <f t="shared" si="359"/>
        <v xml:space="preserve"> </v>
      </c>
      <c r="BY882" s="50" t="str">
        <f t="shared" si="347"/>
        <v>KENNEDY LAKE FEEDER STREAMS_Chum</v>
      </c>
      <c r="BZ882" s="50" t="str">
        <f>IFERROR(VLOOKUP(BY882,'[1]WCVI Esc'!$C$5:$W$555,18,FALSE),"-")</f>
        <v>-</v>
      </c>
      <c r="CA882" s="50" t="str">
        <f t="shared" si="360"/>
        <v>-</v>
      </c>
      <c r="CB882" s="50" t="str">
        <f>IFERROR(VLOOKUP(BY882,'[1]WCVI Esc'!$C$5:$W$555,19,FALSE),"-")</f>
        <v>-</v>
      </c>
      <c r="CC882" s="50" t="str">
        <f t="shared" si="361"/>
        <v>-</v>
      </c>
      <c r="CE882" s="342" t="str">
        <f t="shared" si="346"/>
        <v>KENNEDY LAKE FEEDER STREAMS_Chum</v>
      </c>
      <c r="CF882" s="341">
        <f>IFERROR(VLOOKUP(BY882,'RawPL+D'!$O$8:$AB$503,12,FALSE),"-")</f>
        <v>0</v>
      </c>
      <c r="CG882" s="338">
        <f t="shared" si="362"/>
        <v>0</v>
      </c>
      <c r="CH882" s="341">
        <f>IFERROR(VLOOKUP(BY882,'RawPL+D'!$O$8:$AB$503,13,FALSE),"-")</f>
        <v>0</v>
      </c>
      <c r="CI882" s="338">
        <f t="shared" si="363"/>
        <v>0</v>
      </c>
    </row>
    <row r="883" spans="1:87" ht="12.75" hidden="1" customHeight="1" x14ac:dyDescent="0.2">
      <c r="A883" s="28">
        <v>4</v>
      </c>
      <c r="B883" s="28">
        <v>5</v>
      </c>
      <c r="C883" s="11">
        <v>24</v>
      </c>
      <c r="D883" s="13" t="s">
        <v>296</v>
      </c>
      <c r="E883" s="10" t="s">
        <v>124</v>
      </c>
      <c r="F883" s="10" t="s">
        <v>210</v>
      </c>
      <c r="G883" s="10"/>
      <c r="H883" s="10"/>
      <c r="I883" s="10"/>
      <c r="J883" s="10"/>
      <c r="K883" s="575"/>
      <c r="L883" s="152"/>
      <c r="M883" s="164"/>
      <c r="N883" s="62"/>
      <c r="O883" s="62"/>
      <c r="P883" s="177"/>
      <c r="Q883" s="171"/>
      <c r="R883" s="62"/>
      <c r="S883" s="62"/>
      <c r="T883" s="62"/>
      <c r="U883" s="64"/>
      <c r="V883" s="164"/>
      <c r="W883" s="62"/>
      <c r="X883" s="62"/>
      <c r="Y883" s="62"/>
      <c r="Z883" s="64"/>
      <c r="AA883" s="164"/>
      <c r="AB883" s="62"/>
      <c r="AC883" s="62"/>
      <c r="AD883" s="64"/>
      <c r="AE883" s="164"/>
      <c r="AF883" s="62"/>
      <c r="AG883" s="64"/>
      <c r="AH883" s="337"/>
      <c r="AI883" s="337"/>
      <c r="AJ883" s="337"/>
      <c r="AK883" s="337"/>
      <c r="AL883" s="412"/>
      <c r="AM883" s="414"/>
      <c r="AN883" s="45"/>
      <c r="AO883" s="45"/>
      <c r="AP883" s="45"/>
      <c r="AQ883" s="485"/>
      <c r="AR883" s="485"/>
      <c r="AS883" s="485"/>
      <c r="AT883" s="24"/>
      <c r="AU883" s="24"/>
      <c r="AV883" s="24"/>
      <c r="AW883" s="18">
        <v>24</v>
      </c>
      <c r="AX883" s="69" t="s">
        <v>296</v>
      </c>
      <c r="AY883" s="243" t="s">
        <v>124</v>
      </c>
      <c r="AZ883" s="243" t="str">
        <f t="shared" si="348"/>
        <v>Chinook</v>
      </c>
      <c r="BA883" s="243" t="s">
        <v>419</v>
      </c>
      <c r="BB883" s="244" t="s">
        <v>502</v>
      </c>
      <c r="BC883" s="43" t="str">
        <f t="shared" si="349"/>
        <v>-</v>
      </c>
      <c r="BD883" s="43">
        <f t="shared" si="367"/>
        <v>0</v>
      </c>
      <c r="BE883" s="193">
        <f t="shared" si="365"/>
        <v>0</v>
      </c>
      <c r="BF883" s="193">
        <f t="shared" si="350"/>
        <v>0</v>
      </c>
      <c r="BG883" s="193">
        <f t="shared" si="351"/>
        <v>0</v>
      </c>
      <c r="BH883" s="307" t="str">
        <f t="shared" si="366"/>
        <v>-</v>
      </c>
      <c r="BI883" s="266"/>
      <c r="BJ883" s="26" t="str">
        <f t="shared" si="352"/>
        <v>KENNEDY LAKE FEEDER STREAMSChinook</v>
      </c>
      <c r="BK883" s="26">
        <f t="shared" si="353"/>
        <v>0</v>
      </c>
      <c r="BL883" s="33">
        <f t="shared" si="368"/>
        <v>0</v>
      </c>
      <c r="BQ883" s="47" t="str">
        <f t="shared" si="354"/>
        <v>KENNEDY LAKE FEEDER STREAMSChinook</v>
      </c>
      <c r="BR883" s="49">
        <f t="shared" si="355"/>
        <v>0</v>
      </c>
      <c r="BS883" s="49">
        <f t="shared" si="364"/>
        <v>0</v>
      </c>
      <c r="BT883" s="31">
        <v>0</v>
      </c>
      <c r="BU883" s="188" t="str">
        <f t="shared" si="356"/>
        <v>TSES/CWFS</v>
      </c>
      <c r="BV883" s="188" t="str">
        <f t="shared" si="357"/>
        <v xml:space="preserve"> </v>
      </c>
      <c r="BW883" s="188" t="str">
        <f t="shared" si="358"/>
        <v xml:space="preserve"> </v>
      </c>
      <c r="BX883" s="188" t="str">
        <f t="shared" si="359"/>
        <v xml:space="preserve"> </v>
      </c>
      <c r="BY883" s="50" t="str">
        <f t="shared" si="347"/>
        <v>KENNEDY LAKE FEEDER STREAMS_Chinook</v>
      </c>
      <c r="BZ883" s="50" t="str">
        <f>IFERROR(VLOOKUP(BY883,'[1]WCVI Esc'!$C$5:$W$555,18,FALSE),"-")</f>
        <v>-</v>
      </c>
      <c r="CA883" s="50" t="str">
        <f t="shared" si="360"/>
        <v>-</v>
      </c>
      <c r="CB883" s="50" t="str">
        <f>IFERROR(VLOOKUP(BY883,'[1]WCVI Esc'!$C$5:$W$555,19,FALSE),"-")</f>
        <v>-</v>
      </c>
      <c r="CC883" s="50" t="str">
        <f t="shared" si="361"/>
        <v>-</v>
      </c>
      <c r="CE883" s="342" t="str">
        <f t="shared" si="346"/>
        <v>KENNEDY LAKE FEEDER STREAMS_Chinook</v>
      </c>
      <c r="CF883" s="341">
        <f>IFERROR(VLOOKUP(BY883,'RawPL+D'!$O$8:$AB$503,12,FALSE),"-")</f>
        <v>0</v>
      </c>
      <c r="CG883" s="338">
        <f t="shared" si="362"/>
        <v>0</v>
      </c>
      <c r="CH883" s="341" t="str">
        <f>IFERROR(VLOOKUP(BY883,'RawPL+D'!$O$8:$AB$503,13,FALSE),"-")</f>
        <v>-</v>
      </c>
      <c r="CI883" s="338" t="str">
        <f t="shared" si="363"/>
        <v>-</v>
      </c>
    </row>
    <row r="884" spans="1:87" ht="12.75" hidden="1" customHeight="1" x14ac:dyDescent="0.2">
      <c r="A884" s="28">
        <v>4</v>
      </c>
      <c r="B884" s="28">
        <v>6</v>
      </c>
      <c r="C884" s="11">
        <v>24</v>
      </c>
      <c r="D884" s="13" t="s">
        <v>296</v>
      </c>
      <c r="E884" s="10" t="s">
        <v>124</v>
      </c>
      <c r="F884" s="10" t="s">
        <v>211</v>
      </c>
      <c r="G884" s="10"/>
      <c r="H884" s="10"/>
      <c r="I884" s="10"/>
      <c r="J884" s="10"/>
      <c r="K884" s="575"/>
      <c r="L884" s="152"/>
      <c r="M884" s="164"/>
      <c r="N884" s="62"/>
      <c r="O884" s="62"/>
      <c r="P884" s="177"/>
      <c r="Q884" s="171"/>
      <c r="R884" s="62"/>
      <c r="S884" s="62"/>
      <c r="T884" s="62"/>
      <c r="U884" s="64"/>
      <c r="V884" s="164"/>
      <c r="W884" s="62"/>
      <c r="X884" s="62"/>
      <c r="Y884" s="62"/>
      <c r="Z884" s="64"/>
      <c r="AA884" s="164"/>
      <c r="AB884" s="62"/>
      <c r="AC884" s="62"/>
      <c r="AD884" s="64"/>
      <c r="AE884" s="164"/>
      <c r="AF884" s="62"/>
      <c r="AG884" s="64"/>
      <c r="AH884" s="337"/>
      <c r="AI884" s="337"/>
      <c r="AJ884" s="337"/>
      <c r="AK884" s="337"/>
      <c r="AL884" s="412"/>
      <c r="AM884" s="414"/>
      <c r="AN884" s="45"/>
      <c r="AO884" s="45"/>
      <c r="AP884" s="45"/>
      <c r="AQ884" s="485"/>
      <c r="AR884" s="485"/>
      <c r="AS884" s="485"/>
      <c r="AT884" s="24"/>
      <c r="AU884" s="24"/>
      <c r="AV884" s="24"/>
      <c r="AW884" s="18">
        <v>24</v>
      </c>
      <c r="AX884" s="69" t="s">
        <v>296</v>
      </c>
      <c r="AY884" s="243" t="s">
        <v>124</v>
      </c>
      <c r="AZ884" s="243" t="str">
        <f t="shared" si="348"/>
        <v>Steelhead</v>
      </c>
      <c r="BA884" s="243" t="s">
        <v>419</v>
      </c>
      <c r="BB884" s="244" t="s">
        <v>502</v>
      </c>
      <c r="BC884" s="43" t="str">
        <f t="shared" si="349"/>
        <v>-</v>
      </c>
      <c r="BD884" s="43">
        <f t="shared" si="367"/>
        <v>0</v>
      </c>
      <c r="BE884" s="193">
        <f t="shared" si="365"/>
        <v>0</v>
      </c>
      <c r="BF884" s="193">
        <f t="shared" si="350"/>
        <v>0</v>
      </c>
      <c r="BG884" s="193">
        <f t="shared" si="351"/>
        <v>0</v>
      </c>
      <c r="BH884" s="307" t="str">
        <f t="shared" si="366"/>
        <v>-</v>
      </c>
      <c r="BI884" s="266"/>
      <c r="BJ884" s="26" t="str">
        <f t="shared" si="352"/>
        <v>KENNEDY LAKE FEEDER STREAMSSteelhead</v>
      </c>
      <c r="BK884" s="26">
        <f t="shared" si="353"/>
        <v>0</v>
      </c>
      <c r="BL884" s="33">
        <f t="shared" si="368"/>
        <v>0</v>
      </c>
      <c r="BQ884" s="47" t="str">
        <f t="shared" si="354"/>
        <v>KENNEDY LAKE FEEDER STREAMSSteelhead</v>
      </c>
      <c r="BR884" s="49">
        <f t="shared" si="355"/>
        <v>0</v>
      </c>
      <c r="BS884" s="49">
        <f t="shared" si="364"/>
        <v>0</v>
      </c>
      <c r="BT884" s="31">
        <v>0</v>
      </c>
      <c r="BU884" s="188" t="str">
        <f t="shared" si="356"/>
        <v>TSES/CWFS</v>
      </c>
      <c r="BV884" s="188" t="str">
        <f t="shared" si="357"/>
        <v xml:space="preserve"> </v>
      </c>
      <c r="BW884" s="188" t="str">
        <f t="shared" si="358"/>
        <v xml:space="preserve"> </v>
      </c>
      <c r="BX884" s="188" t="str">
        <f t="shared" si="359"/>
        <v xml:space="preserve"> </v>
      </c>
      <c r="BY884" s="50" t="str">
        <f t="shared" si="347"/>
        <v>KENNEDY LAKE FEEDER STREAMS_Steelhead</v>
      </c>
      <c r="BZ884" s="50" t="str">
        <f>IFERROR(VLOOKUP(BY884,'[1]WCVI Esc'!$C$5:$W$555,18,FALSE),"-")</f>
        <v>-</v>
      </c>
      <c r="CA884" s="50" t="str">
        <f t="shared" si="360"/>
        <v>-</v>
      </c>
      <c r="CB884" s="50" t="str">
        <f>IFERROR(VLOOKUP(BY884,'[1]WCVI Esc'!$C$5:$W$555,19,FALSE),"-")</f>
        <v>-</v>
      </c>
      <c r="CC884" s="50" t="str">
        <f t="shared" si="361"/>
        <v>-</v>
      </c>
      <c r="CE884" s="342" t="str">
        <f t="shared" si="346"/>
        <v>KENNEDY LAKE FEEDER STREAMS_Steelhead</v>
      </c>
      <c r="CF884" s="341" t="str">
        <f>IFERROR(VLOOKUP(BY884,'RawPL+D'!$O$8:$AB$503,12,FALSE),"-")</f>
        <v>-</v>
      </c>
      <c r="CG884" s="338" t="str">
        <f t="shared" si="362"/>
        <v>-</v>
      </c>
      <c r="CH884" s="341" t="str">
        <f>IFERROR(VLOOKUP(BY884,'RawPL+D'!$O$8:$AB$503,13,FALSE),"-")</f>
        <v>-</v>
      </c>
      <c r="CI884" s="338" t="str">
        <f t="shared" si="363"/>
        <v>-</v>
      </c>
    </row>
    <row r="885" spans="1:87" ht="12.75" hidden="1" customHeight="1" x14ac:dyDescent="0.2">
      <c r="A885" s="28">
        <v>4</v>
      </c>
      <c r="B885" s="28">
        <v>1</v>
      </c>
      <c r="C885" s="11">
        <v>24</v>
      </c>
      <c r="D885" s="13" t="s">
        <v>296</v>
      </c>
      <c r="E885" s="10" t="s">
        <v>39</v>
      </c>
      <c r="F885" s="10" t="s">
        <v>207</v>
      </c>
      <c r="G885" s="10"/>
      <c r="H885" s="10"/>
      <c r="I885" s="10"/>
      <c r="J885" s="10"/>
      <c r="K885" s="575"/>
      <c r="L885" s="152"/>
      <c r="M885" s="164"/>
      <c r="N885" s="62"/>
      <c r="O885" s="62"/>
      <c r="P885" s="177"/>
      <c r="Q885" s="171"/>
      <c r="R885" s="62"/>
      <c r="S885" s="62"/>
      <c r="T885" s="62"/>
      <c r="U885" s="64"/>
      <c r="V885" s="164"/>
      <c r="W885" s="62"/>
      <c r="X885" s="62"/>
      <c r="Y885" s="62"/>
      <c r="Z885" s="64"/>
      <c r="AA885" s="164"/>
      <c r="AB885" s="62"/>
      <c r="AC885" s="62"/>
      <c r="AD885" s="64"/>
      <c r="AE885" s="164"/>
      <c r="AF885" s="62"/>
      <c r="AG885" s="64"/>
      <c r="AH885" s="337"/>
      <c r="AI885" s="337"/>
      <c r="AJ885" s="337"/>
      <c r="AK885" s="337"/>
      <c r="AL885" s="412"/>
      <c r="AM885" s="414"/>
      <c r="AN885" s="45"/>
      <c r="AO885" s="45"/>
      <c r="AP885" s="45"/>
      <c r="AQ885" s="485"/>
      <c r="AR885" s="485"/>
      <c r="AS885" s="485"/>
      <c r="AT885" s="24"/>
      <c r="AU885" s="24"/>
      <c r="AV885" s="24"/>
      <c r="AW885" s="18">
        <v>24</v>
      </c>
      <c r="AX885" s="69" t="s">
        <v>296</v>
      </c>
      <c r="AY885" s="243" t="s">
        <v>39</v>
      </c>
      <c r="AZ885" s="243" t="str">
        <f t="shared" si="348"/>
        <v>Sockeye</v>
      </c>
      <c r="BA885" s="243" t="s">
        <v>419</v>
      </c>
      <c r="BB885" s="244" t="s">
        <v>464</v>
      </c>
      <c r="BC885" s="43" t="str">
        <f t="shared" si="349"/>
        <v>-</v>
      </c>
      <c r="BD885" s="43">
        <f t="shared" si="367"/>
        <v>0</v>
      </c>
      <c r="BE885" s="193">
        <f t="shared" si="365"/>
        <v>0</v>
      </c>
      <c r="BF885" s="193">
        <f t="shared" si="350"/>
        <v>0</v>
      </c>
      <c r="BG885" s="193">
        <f t="shared" si="351"/>
        <v>0</v>
      </c>
      <c r="BH885" s="307" t="str">
        <f t="shared" si="366"/>
        <v>-</v>
      </c>
      <c r="BI885" s="265"/>
      <c r="BJ885" s="26" t="str">
        <f t="shared" si="352"/>
        <v>KENNEDY RIVER (LOWER)Sockeye</v>
      </c>
      <c r="BK885" s="26">
        <f t="shared" si="353"/>
        <v>0</v>
      </c>
      <c r="BL885" s="33">
        <f t="shared" si="368"/>
        <v>0</v>
      </c>
      <c r="BQ885" s="47" t="str">
        <f t="shared" si="354"/>
        <v>KENNEDY RIVER (LOWER)Sockeye</v>
      </c>
      <c r="BR885" s="49">
        <f t="shared" si="355"/>
        <v>0</v>
      </c>
      <c r="BS885" s="49">
        <f t="shared" si="364"/>
        <v>0</v>
      </c>
      <c r="BT885" s="31">
        <v>1995</v>
      </c>
      <c r="BU885" s="188" t="str">
        <f t="shared" si="356"/>
        <v>TFN</v>
      </c>
      <c r="BV885" s="188" t="str">
        <f t="shared" si="357"/>
        <v xml:space="preserve"> </v>
      </c>
      <c r="BW885" s="188" t="str">
        <f t="shared" si="358"/>
        <v xml:space="preserve"> </v>
      </c>
      <c r="BX885" s="188" t="str">
        <f t="shared" si="359"/>
        <v xml:space="preserve"> </v>
      </c>
      <c r="BY885" s="50" t="str">
        <f t="shared" si="347"/>
        <v>KENNEDY RIVER (LOWER)_Sockeye</v>
      </c>
      <c r="BZ885" s="50" t="str">
        <f>IFERROR(VLOOKUP(BY885,'[1]WCVI Esc'!$C$5:$W$555,18,FALSE),"-")</f>
        <v>-</v>
      </c>
      <c r="CA885" s="50" t="str">
        <f t="shared" si="360"/>
        <v>-</v>
      </c>
      <c r="CB885" s="50" t="str">
        <f>IFERROR(VLOOKUP(BY885,'[1]WCVI Esc'!$C$5:$W$555,19,FALSE),"-")</f>
        <v>-</v>
      </c>
      <c r="CC885" s="50" t="str">
        <f t="shared" si="361"/>
        <v>-</v>
      </c>
      <c r="CE885" s="342" t="str">
        <f t="shared" si="346"/>
        <v>KENNEDY RIVER (LOWER)_Sockeye</v>
      </c>
      <c r="CF885" s="341" t="str">
        <f>IFERROR(VLOOKUP(BY885,'RawPL+D'!$O$8:$AB$503,12,FALSE),"-")</f>
        <v>-</v>
      </c>
      <c r="CG885" s="338" t="str">
        <f t="shared" si="362"/>
        <v>-</v>
      </c>
      <c r="CH885" s="341" t="str">
        <f>IFERROR(VLOOKUP(BY885,'RawPL+D'!$O$8:$AB$503,13,FALSE),"-")</f>
        <v>-</v>
      </c>
      <c r="CI885" s="338" t="str">
        <f t="shared" si="363"/>
        <v>-</v>
      </c>
    </row>
    <row r="886" spans="1:87" ht="12.75" hidden="1" customHeight="1" x14ac:dyDescent="0.2">
      <c r="A886" s="28">
        <v>4</v>
      </c>
      <c r="B886" s="28">
        <v>2</v>
      </c>
      <c r="C886" s="11">
        <v>24</v>
      </c>
      <c r="D886" s="13" t="s">
        <v>296</v>
      </c>
      <c r="E886" s="10" t="s">
        <v>39</v>
      </c>
      <c r="F886" s="10" t="s">
        <v>219</v>
      </c>
      <c r="G886" s="10"/>
      <c r="H886" s="10"/>
      <c r="I886" s="10"/>
      <c r="J886" s="10"/>
      <c r="K886" s="575"/>
      <c r="L886" s="152"/>
      <c r="M886" s="164"/>
      <c r="N886" s="62"/>
      <c r="O886" s="62"/>
      <c r="P886" s="177"/>
      <c r="Q886" s="171"/>
      <c r="R886" s="62"/>
      <c r="S886" s="62"/>
      <c r="T886" s="62"/>
      <c r="U886" s="64"/>
      <c r="V886" s="164"/>
      <c r="W886" s="62"/>
      <c r="X886" s="62"/>
      <c r="Y886" s="62"/>
      <c r="Z886" s="64"/>
      <c r="AA886" s="164"/>
      <c r="AB886" s="62"/>
      <c r="AC886" s="62"/>
      <c r="AD886" s="64"/>
      <c r="AE886" s="164"/>
      <c r="AF886" s="62"/>
      <c r="AG886" s="64"/>
      <c r="AH886" s="337"/>
      <c r="AI886" s="337"/>
      <c r="AJ886" s="337"/>
      <c r="AK886" s="337"/>
      <c r="AL886" s="412"/>
      <c r="AM886" s="414"/>
      <c r="AN886" s="45"/>
      <c r="AO886" s="45"/>
      <c r="AP886" s="45"/>
      <c r="AQ886" s="485"/>
      <c r="AR886" s="485"/>
      <c r="AS886" s="485"/>
      <c r="AT886" s="24"/>
      <c r="AU886" s="24"/>
      <c r="AV886" s="24"/>
      <c r="AW886" s="18">
        <v>24</v>
      </c>
      <c r="AX886" s="69" t="s">
        <v>296</v>
      </c>
      <c r="AY886" s="243" t="s">
        <v>39</v>
      </c>
      <c r="AZ886" s="243" t="str">
        <f t="shared" si="348"/>
        <v>Coho</v>
      </c>
      <c r="BA886" s="243" t="s">
        <v>419</v>
      </c>
      <c r="BB886" s="244" t="s">
        <v>464</v>
      </c>
      <c r="BC886" s="43" t="str">
        <f t="shared" si="349"/>
        <v>-</v>
      </c>
      <c r="BD886" s="43">
        <f t="shared" si="367"/>
        <v>0</v>
      </c>
      <c r="BE886" s="193">
        <f t="shared" si="365"/>
        <v>0</v>
      </c>
      <c r="BF886" s="193">
        <f t="shared" si="350"/>
        <v>0</v>
      </c>
      <c r="BG886" s="193">
        <f t="shared" si="351"/>
        <v>0</v>
      </c>
      <c r="BH886" s="307" t="str">
        <f t="shared" si="366"/>
        <v>-</v>
      </c>
      <c r="BI886" s="265"/>
      <c r="BJ886" s="26" t="str">
        <f t="shared" si="352"/>
        <v>KENNEDY RIVER (LOWER)Coho</v>
      </c>
      <c r="BK886" s="26">
        <f t="shared" si="353"/>
        <v>0</v>
      </c>
      <c r="BL886" s="33">
        <f t="shared" si="368"/>
        <v>0</v>
      </c>
      <c r="BQ886" s="47" t="str">
        <f t="shared" si="354"/>
        <v>KENNEDY RIVER (LOWER)Coho</v>
      </c>
      <c r="BR886" s="49">
        <f t="shared" si="355"/>
        <v>0</v>
      </c>
      <c r="BS886" s="49">
        <f t="shared" si="364"/>
        <v>0</v>
      </c>
      <c r="BT886" s="31">
        <v>1995</v>
      </c>
      <c r="BU886" s="188" t="str">
        <f t="shared" si="356"/>
        <v>TFN</v>
      </c>
      <c r="BV886" s="188" t="str">
        <f t="shared" si="357"/>
        <v xml:space="preserve"> </v>
      </c>
      <c r="BW886" s="188" t="str">
        <f t="shared" si="358"/>
        <v xml:space="preserve"> </v>
      </c>
      <c r="BX886" s="188" t="str">
        <f t="shared" si="359"/>
        <v xml:space="preserve"> </v>
      </c>
      <c r="BY886" s="50" t="str">
        <f t="shared" si="347"/>
        <v>KENNEDY RIVER (LOWER)_Coho</v>
      </c>
      <c r="BZ886" s="50" t="str">
        <f>IFERROR(VLOOKUP(BY886,'[1]WCVI Esc'!$C$5:$W$555,18,FALSE),"-")</f>
        <v>-</v>
      </c>
      <c r="CA886" s="50" t="str">
        <f t="shared" si="360"/>
        <v>-</v>
      </c>
      <c r="CB886" s="50" t="str">
        <f>IFERROR(VLOOKUP(BY886,'[1]WCVI Esc'!$C$5:$W$555,19,FALSE),"-")</f>
        <v>-</v>
      </c>
      <c r="CC886" s="50" t="str">
        <f t="shared" si="361"/>
        <v>-</v>
      </c>
      <c r="CE886" s="342" t="str">
        <f t="shared" si="346"/>
        <v>KENNEDY RIVER (LOWER)_Coho</v>
      </c>
      <c r="CF886" s="341" t="str">
        <f>IFERROR(VLOOKUP(BY886,'RawPL+D'!$O$8:$AB$503,12,FALSE),"-")</f>
        <v>-</v>
      </c>
      <c r="CG886" s="338" t="str">
        <f t="shared" si="362"/>
        <v>-</v>
      </c>
      <c r="CH886" s="341" t="str">
        <f>IFERROR(VLOOKUP(BY886,'RawPL+D'!$O$8:$AB$503,13,FALSE),"-")</f>
        <v>-</v>
      </c>
      <c r="CI886" s="338" t="str">
        <f t="shared" si="363"/>
        <v>-</v>
      </c>
    </row>
    <row r="887" spans="1:87" ht="12.75" hidden="1" customHeight="1" x14ac:dyDescent="0.2">
      <c r="A887" s="28">
        <v>4</v>
      </c>
      <c r="B887" s="28">
        <v>3</v>
      </c>
      <c r="C887" s="11">
        <v>24</v>
      </c>
      <c r="D887" s="13" t="s">
        <v>296</v>
      </c>
      <c r="E887" s="10" t="s">
        <v>39</v>
      </c>
      <c r="F887" s="10" t="s">
        <v>208</v>
      </c>
      <c r="G887" s="10"/>
      <c r="H887" s="10"/>
      <c r="I887" s="10"/>
      <c r="J887" s="10"/>
      <c r="K887" s="575"/>
      <c r="L887" s="152"/>
      <c r="M887" s="164"/>
      <c r="N887" s="62"/>
      <c r="O887" s="62"/>
      <c r="P887" s="177"/>
      <c r="Q887" s="171"/>
      <c r="R887" s="62"/>
      <c r="S887" s="62"/>
      <c r="T887" s="62"/>
      <c r="U887" s="64"/>
      <c r="V887" s="164"/>
      <c r="W887" s="62"/>
      <c r="X887" s="62"/>
      <c r="Y887" s="62"/>
      <c r="Z887" s="64"/>
      <c r="AA887" s="164"/>
      <c r="AB887" s="62"/>
      <c r="AC887" s="62"/>
      <c r="AD887" s="64"/>
      <c r="AE887" s="164"/>
      <c r="AF887" s="62"/>
      <c r="AG887" s="64"/>
      <c r="AH887" s="337"/>
      <c r="AI887" s="337"/>
      <c r="AJ887" s="337"/>
      <c r="AK887" s="337"/>
      <c r="AL887" s="412"/>
      <c r="AM887" s="414"/>
      <c r="AN887" s="45"/>
      <c r="AO887" s="45"/>
      <c r="AP887" s="45"/>
      <c r="AQ887" s="485"/>
      <c r="AR887" s="485"/>
      <c r="AS887" s="485"/>
      <c r="AT887" s="24"/>
      <c r="AU887" s="24"/>
      <c r="AV887" s="24"/>
      <c r="AW887" s="18">
        <v>24</v>
      </c>
      <c r="AX887" s="69" t="s">
        <v>296</v>
      </c>
      <c r="AY887" s="243" t="s">
        <v>39</v>
      </c>
      <c r="AZ887" s="243" t="str">
        <f t="shared" si="348"/>
        <v>Pink</v>
      </c>
      <c r="BA887" s="243" t="s">
        <v>419</v>
      </c>
      <c r="BB887" s="244" t="s">
        <v>464</v>
      </c>
      <c r="BC887" s="43" t="str">
        <f t="shared" si="349"/>
        <v>-</v>
      </c>
      <c r="BD887" s="43">
        <f t="shared" si="367"/>
        <v>0</v>
      </c>
      <c r="BE887" s="193">
        <f t="shared" si="365"/>
        <v>0</v>
      </c>
      <c r="BF887" s="193">
        <f t="shared" si="350"/>
        <v>0</v>
      </c>
      <c r="BG887" s="193">
        <f t="shared" si="351"/>
        <v>0</v>
      </c>
      <c r="BH887" s="307" t="str">
        <f t="shared" si="366"/>
        <v>-</v>
      </c>
      <c r="BI887" s="265"/>
      <c r="BJ887" s="26" t="str">
        <f t="shared" si="352"/>
        <v>KENNEDY RIVER (LOWER)Pink</v>
      </c>
      <c r="BK887" s="26">
        <f t="shared" si="353"/>
        <v>0</v>
      </c>
      <c r="BL887" s="33">
        <f t="shared" si="368"/>
        <v>0</v>
      </c>
      <c r="BQ887" s="47" t="str">
        <f t="shared" si="354"/>
        <v>KENNEDY RIVER (LOWER)Pink</v>
      </c>
      <c r="BR887" s="49">
        <f t="shared" si="355"/>
        <v>0</v>
      </c>
      <c r="BS887" s="49">
        <f t="shared" si="364"/>
        <v>0</v>
      </c>
      <c r="BT887" s="31">
        <v>0</v>
      </c>
      <c r="BU887" s="188" t="str">
        <f t="shared" si="356"/>
        <v>TFN</v>
      </c>
      <c r="BV887" s="188" t="str">
        <f t="shared" si="357"/>
        <v xml:space="preserve"> </v>
      </c>
      <c r="BW887" s="188" t="str">
        <f t="shared" si="358"/>
        <v xml:space="preserve"> </v>
      </c>
      <c r="BX887" s="188" t="str">
        <f t="shared" si="359"/>
        <v xml:space="preserve"> </v>
      </c>
      <c r="BY887" s="50" t="str">
        <f t="shared" si="347"/>
        <v>KENNEDY RIVER (LOWER)_Pink</v>
      </c>
      <c r="BZ887" s="50" t="str">
        <f>IFERROR(VLOOKUP(BY887,'[1]WCVI Esc'!$C$5:$W$555,18,FALSE),"-")</f>
        <v>-</v>
      </c>
      <c r="CA887" s="50" t="str">
        <f t="shared" si="360"/>
        <v>-</v>
      </c>
      <c r="CB887" s="50" t="str">
        <f>IFERROR(VLOOKUP(BY887,'[1]WCVI Esc'!$C$5:$W$555,19,FALSE),"-")</f>
        <v>-</v>
      </c>
      <c r="CC887" s="50" t="str">
        <f t="shared" si="361"/>
        <v>-</v>
      </c>
      <c r="CE887" s="342" t="str">
        <f t="shared" si="346"/>
        <v>KENNEDY RIVER (LOWER)_Pink</v>
      </c>
      <c r="CF887" s="341" t="str">
        <f>IFERROR(VLOOKUP(BY887,'RawPL+D'!$O$8:$AB$503,12,FALSE),"-")</f>
        <v>-</v>
      </c>
      <c r="CG887" s="338" t="str">
        <f t="shared" si="362"/>
        <v>-</v>
      </c>
      <c r="CH887" s="341" t="str">
        <f>IFERROR(VLOOKUP(BY887,'RawPL+D'!$O$8:$AB$503,13,FALSE),"-")</f>
        <v>-</v>
      </c>
      <c r="CI887" s="338" t="str">
        <f t="shared" si="363"/>
        <v>-</v>
      </c>
    </row>
    <row r="888" spans="1:87" ht="12.75" hidden="1" customHeight="1" x14ac:dyDescent="0.2">
      <c r="A888" s="28">
        <v>4</v>
      </c>
      <c r="B888" s="28">
        <v>4</v>
      </c>
      <c r="C888" s="11">
        <v>24</v>
      </c>
      <c r="D888" s="13" t="s">
        <v>296</v>
      </c>
      <c r="E888" s="10" t="s">
        <v>39</v>
      </c>
      <c r="F888" s="10" t="s">
        <v>209</v>
      </c>
      <c r="G888" s="10"/>
      <c r="H888" s="10"/>
      <c r="I888" s="10"/>
      <c r="J888" s="10"/>
      <c r="K888" s="575"/>
      <c r="L888" s="152"/>
      <c r="M888" s="164"/>
      <c r="N888" s="62"/>
      <c r="O888" s="62"/>
      <c r="P888" s="177"/>
      <c r="Q888" s="171"/>
      <c r="R888" s="62"/>
      <c r="S888" s="62"/>
      <c r="T888" s="62"/>
      <c r="U888" s="64"/>
      <c r="V888" s="164"/>
      <c r="W888" s="62"/>
      <c r="X888" s="62"/>
      <c r="Y888" s="62"/>
      <c r="Z888" s="64"/>
      <c r="AA888" s="164"/>
      <c r="AB888" s="62"/>
      <c r="AC888" s="62"/>
      <c r="AD888" s="64"/>
      <c r="AE888" s="164"/>
      <c r="AF888" s="62"/>
      <c r="AG888" s="64"/>
      <c r="AH888" s="337"/>
      <c r="AI888" s="337"/>
      <c r="AJ888" s="337"/>
      <c r="AK888" s="337"/>
      <c r="AL888" s="412"/>
      <c r="AM888" s="414"/>
      <c r="AN888" s="45"/>
      <c r="AO888" s="45"/>
      <c r="AP888" s="45"/>
      <c r="AQ888" s="485"/>
      <c r="AR888" s="485"/>
      <c r="AS888" s="485"/>
      <c r="AT888" s="24"/>
      <c r="AU888" s="24"/>
      <c r="AV888" s="24"/>
      <c r="AW888" s="18">
        <v>24</v>
      </c>
      <c r="AX888" s="69" t="s">
        <v>296</v>
      </c>
      <c r="AY888" s="243" t="s">
        <v>39</v>
      </c>
      <c r="AZ888" s="243" t="str">
        <f t="shared" si="348"/>
        <v>Chum</v>
      </c>
      <c r="BA888" s="243" t="s">
        <v>419</v>
      </c>
      <c r="BB888" s="244" t="s">
        <v>464</v>
      </c>
      <c r="BC888" s="43" t="str">
        <f t="shared" si="349"/>
        <v>-</v>
      </c>
      <c r="BD888" s="43">
        <f t="shared" si="367"/>
        <v>0</v>
      </c>
      <c r="BE888" s="193">
        <f t="shared" si="365"/>
        <v>0</v>
      </c>
      <c r="BF888" s="193">
        <f t="shared" si="350"/>
        <v>0</v>
      </c>
      <c r="BG888" s="193">
        <f t="shared" si="351"/>
        <v>0</v>
      </c>
      <c r="BH888" s="307" t="str">
        <f t="shared" si="366"/>
        <v>-</v>
      </c>
      <c r="BI888" s="265"/>
      <c r="BJ888" s="26" t="str">
        <f t="shared" si="352"/>
        <v>KENNEDY RIVER (LOWER)Chum</v>
      </c>
      <c r="BK888" s="26">
        <f t="shared" si="353"/>
        <v>0</v>
      </c>
      <c r="BL888" s="33">
        <f t="shared" si="368"/>
        <v>0</v>
      </c>
      <c r="BQ888" s="47" t="str">
        <f t="shared" si="354"/>
        <v>KENNEDY RIVER (LOWER)Chum</v>
      </c>
      <c r="BR888" s="49">
        <f t="shared" si="355"/>
        <v>0</v>
      </c>
      <c r="BS888" s="49">
        <f t="shared" si="364"/>
        <v>0</v>
      </c>
      <c r="BT888" s="31">
        <v>1995</v>
      </c>
      <c r="BU888" s="188" t="str">
        <f t="shared" si="356"/>
        <v>TFN</v>
      </c>
      <c r="BV888" s="188" t="str">
        <f t="shared" si="357"/>
        <v xml:space="preserve"> </v>
      </c>
      <c r="BW888" s="188" t="str">
        <f t="shared" si="358"/>
        <v xml:space="preserve"> </v>
      </c>
      <c r="BX888" s="188" t="str">
        <f t="shared" si="359"/>
        <v xml:space="preserve"> </v>
      </c>
      <c r="BY888" s="50" t="str">
        <f t="shared" si="347"/>
        <v>KENNEDY RIVER (LOWER)_Chum</v>
      </c>
      <c r="BZ888" s="50" t="str">
        <f>IFERROR(VLOOKUP(BY888,'[1]WCVI Esc'!$C$5:$W$555,18,FALSE),"-")</f>
        <v>-</v>
      </c>
      <c r="CA888" s="50" t="str">
        <f t="shared" si="360"/>
        <v>-</v>
      </c>
      <c r="CB888" s="50" t="str">
        <f>IFERROR(VLOOKUP(BY888,'[1]WCVI Esc'!$C$5:$W$555,19,FALSE),"-")</f>
        <v>-</v>
      </c>
      <c r="CC888" s="50" t="str">
        <f t="shared" si="361"/>
        <v>-</v>
      </c>
      <c r="CE888" s="342" t="str">
        <f t="shared" ref="CE888:CE951" si="369">CONCATENATE(E888,"_",F888)</f>
        <v>KENNEDY RIVER (LOWER)_Chum</v>
      </c>
      <c r="CF888" s="341" t="str">
        <f>IFERROR(VLOOKUP(BY888,'RawPL+D'!$O$8:$AB$503,12,FALSE),"-")</f>
        <v>-</v>
      </c>
      <c r="CG888" s="338" t="str">
        <f t="shared" si="362"/>
        <v>-</v>
      </c>
      <c r="CH888" s="341" t="str">
        <f>IFERROR(VLOOKUP(BY888,'RawPL+D'!$O$8:$AB$503,13,FALSE),"-")</f>
        <v>-</v>
      </c>
      <c r="CI888" s="338" t="str">
        <f t="shared" si="363"/>
        <v>-</v>
      </c>
    </row>
    <row r="889" spans="1:87" ht="12.75" hidden="1" customHeight="1" x14ac:dyDescent="0.2">
      <c r="A889" s="28">
        <v>4</v>
      </c>
      <c r="B889" s="28">
        <v>5</v>
      </c>
      <c r="C889" s="11">
        <v>24</v>
      </c>
      <c r="D889" s="13" t="s">
        <v>296</v>
      </c>
      <c r="E889" s="10" t="s">
        <v>39</v>
      </c>
      <c r="F889" s="10" t="s">
        <v>210</v>
      </c>
      <c r="G889" s="10"/>
      <c r="H889" s="10"/>
      <c r="I889" s="10"/>
      <c r="J889" s="10"/>
      <c r="K889" s="575"/>
      <c r="L889" s="152"/>
      <c r="M889" s="164"/>
      <c r="N889" s="62"/>
      <c r="O889" s="62"/>
      <c r="P889" s="177"/>
      <c r="Q889" s="171"/>
      <c r="R889" s="62"/>
      <c r="S889" s="62"/>
      <c r="T889" s="62"/>
      <c r="U889" s="64"/>
      <c r="V889" s="164"/>
      <c r="W889" s="62"/>
      <c r="X889" s="62"/>
      <c r="Y889" s="62"/>
      <c r="Z889" s="64"/>
      <c r="AA889" s="164"/>
      <c r="AB889" s="62"/>
      <c r="AC889" s="62"/>
      <c r="AD889" s="64"/>
      <c r="AE889" s="164"/>
      <c r="AF889" s="62"/>
      <c r="AG889" s="64"/>
      <c r="AH889" s="337"/>
      <c r="AI889" s="337"/>
      <c r="AJ889" s="337"/>
      <c r="AK889" s="337"/>
      <c r="AL889" s="412"/>
      <c r="AM889" s="414"/>
      <c r="AN889" s="45"/>
      <c r="AO889" s="45"/>
      <c r="AP889" s="45"/>
      <c r="AQ889" s="485"/>
      <c r="AR889" s="485"/>
      <c r="AS889" s="485"/>
      <c r="AT889" s="24"/>
      <c r="AU889" s="24"/>
      <c r="AV889" s="24"/>
      <c r="AW889" s="18">
        <v>24</v>
      </c>
      <c r="AX889" s="69" t="s">
        <v>296</v>
      </c>
      <c r="AY889" s="243" t="s">
        <v>39</v>
      </c>
      <c r="AZ889" s="243" t="str">
        <f t="shared" si="348"/>
        <v>Chinook</v>
      </c>
      <c r="BA889" s="243" t="s">
        <v>419</v>
      </c>
      <c r="BB889" s="244" t="s">
        <v>464</v>
      </c>
      <c r="BC889" s="43" t="str">
        <f t="shared" si="349"/>
        <v>-</v>
      </c>
      <c r="BD889" s="43">
        <f t="shared" si="367"/>
        <v>0</v>
      </c>
      <c r="BE889" s="193">
        <f t="shared" si="365"/>
        <v>0</v>
      </c>
      <c r="BF889" s="193">
        <f t="shared" si="350"/>
        <v>0</v>
      </c>
      <c r="BG889" s="193">
        <f t="shared" si="351"/>
        <v>0</v>
      </c>
      <c r="BH889" s="307" t="str">
        <f t="shared" si="366"/>
        <v>-</v>
      </c>
      <c r="BI889" s="266"/>
      <c r="BJ889" s="26" t="str">
        <f t="shared" si="352"/>
        <v>KENNEDY RIVER (LOWER)Chinook</v>
      </c>
      <c r="BK889" s="26">
        <f t="shared" si="353"/>
        <v>0</v>
      </c>
      <c r="BL889" s="33">
        <f t="shared" si="368"/>
        <v>0</v>
      </c>
      <c r="BQ889" s="47" t="str">
        <f t="shared" si="354"/>
        <v>KENNEDY RIVER (LOWER)Chinook</v>
      </c>
      <c r="BR889" s="49">
        <f t="shared" si="355"/>
        <v>0</v>
      </c>
      <c r="BS889" s="49">
        <f t="shared" si="364"/>
        <v>0</v>
      </c>
      <c r="BT889" s="31">
        <v>2000</v>
      </c>
      <c r="BU889" s="188" t="str">
        <f t="shared" si="356"/>
        <v>TFN</v>
      </c>
      <c r="BV889" s="188" t="str">
        <f t="shared" si="357"/>
        <v xml:space="preserve"> </v>
      </c>
      <c r="BW889" s="188" t="str">
        <f t="shared" si="358"/>
        <v xml:space="preserve"> </v>
      </c>
      <c r="BX889" s="188" t="str">
        <f t="shared" si="359"/>
        <v xml:space="preserve"> </v>
      </c>
      <c r="BY889" s="50" t="str">
        <f t="shared" si="347"/>
        <v>KENNEDY RIVER (LOWER)_Chinook</v>
      </c>
      <c r="BZ889" s="50" t="str">
        <f>IFERROR(VLOOKUP(BY889,'[1]WCVI Esc'!$C$5:$W$555,18,FALSE),"-")</f>
        <v>-</v>
      </c>
      <c r="CA889" s="50" t="str">
        <f t="shared" si="360"/>
        <v>-</v>
      </c>
      <c r="CB889" s="50" t="str">
        <f>IFERROR(VLOOKUP(BY889,'[1]WCVI Esc'!$C$5:$W$555,19,FALSE),"-")</f>
        <v>-</v>
      </c>
      <c r="CC889" s="50" t="str">
        <f t="shared" si="361"/>
        <v>-</v>
      </c>
      <c r="CE889" s="342" t="str">
        <f t="shared" si="369"/>
        <v>KENNEDY RIVER (LOWER)_Chinook</v>
      </c>
      <c r="CF889" s="341" t="str">
        <f>IFERROR(VLOOKUP(BY889,'RawPL+D'!$O$8:$AB$503,12,FALSE),"-")</f>
        <v>-</v>
      </c>
      <c r="CG889" s="338" t="str">
        <f t="shared" si="362"/>
        <v>-</v>
      </c>
      <c r="CH889" s="341" t="str">
        <f>IFERROR(VLOOKUP(BY889,'RawPL+D'!$O$8:$AB$503,13,FALSE),"-")</f>
        <v>-</v>
      </c>
      <c r="CI889" s="338" t="str">
        <f t="shared" si="363"/>
        <v>-</v>
      </c>
    </row>
    <row r="890" spans="1:87" ht="12.75" hidden="1" customHeight="1" x14ac:dyDescent="0.2">
      <c r="A890" s="28">
        <v>4</v>
      </c>
      <c r="B890" s="28">
        <v>6</v>
      </c>
      <c r="C890" s="11">
        <v>24</v>
      </c>
      <c r="D890" s="13" t="s">
        <v>296</v>
      </c>
      <c r="E890" s="10" t="s">
        <v>39</v>
      </c>
      <c r="F890" s="10" t="s">
        <v>211</v>
      </c>
      <c r="G890" s="10"/>
      <c r="H890" s="10"/>
      <c r="I890" s="10"/>
      <c r="J890" s="10"/>
      <c r="K890" s="575"/>
      <c r="L890" s="152"/>
      <c r="M890" s="164"/>
      <c r="N890" s="62"/>
      <c r="O890" s="62"/>
      <c r="P890" s="177"/>
      <c r="Q890" s="171"/>
      <c r="R890" s="62"/>
      <c r="S890" s="62"/>
      <c r="T890" s="62"/>
      <c r="U890" s="64"/>
      <c r="V890" s="164"/>
      <c r="W890" s="62"/>
      <c r="X890" s="62"/>
      <c r="Y890" s="62"/>
      <c r="Z890" s="64"/>
      <c r="AA890" s="164"/>
      <c r="AB890" s="62"/>
      <c r="AC890" s="62"/>
      <c r="AD890" s="64"/>
      <c r="AE890" s="164"/>
      <c r="AF890" s="62"/>
      <c r="AG890" s="64"/>
      <c r="AH890" s="337"/>
      <c r="AI890" s="337"/>
      <c r="AJ890" s="337"/>
      <c r="AK890" s="337"/>
      <c r="AL890" s="412"/>
      <c r="AM890" s="414"/>
      <c r="AN890" s="45"/>
      <c r="AO890" s="45"/>
      <c r="AP890" s="45"/>
      <c r="AQ890" s="485"/>
      <c r="AR890" s="485"/>
      <c r="AS890" s="485"/>
      <c r="AT890" s="24"/>
      <c r="AU890" s="24"/>
      <c r="AV890" s="24"/>
      <c r="AW890" s="18">
        <v>24</v>
      </c>
      <c r="AX890" s="69" t="s">
        <v>296</v>
      </c>
      <c r="AY890" s="243" t="s">
        <v>39</v>
      </c>
      <c r="AZ890" s="243" t="str">
        <f t="shared" si="348"/>
        <v>Steelhead</v>
      </c>
      <c r="BA890" s="243" t="s">
        <v>419</v>
      </c>
      <c r="BB890" s="244" t="s">
        <v>464</v>
      </c>
      <c r="BC890" s="43" t="str">
        <f t="shared" si="349"/>
        <v>-</v>
      </c>
      <c r="BD890" s="43">
        <f t="shared" si="367"/>
        <v>0</v>
      </c>
      <c r="BE890" s="193">
        <f t="shared" si="365"/>
        <v>0</v>
      </c>
      <c r="BF890" s="193">
        <f t="shared" si="350"/>
        <v>0</v>
      </c>
      <c r="BG890" s="193">
        <f t="shared" si="351"/>
        <v>0</v>
      </c>
      <c r="BH890" s="307" t="str">
        <f t="shared" si="366"/>
        <v>-</v>
      </c>
      <c r="BI890" s="266"/>
      <c r="BJ890" s="26" t="str">
        <f t="shared" si="352"/>
        <v>KENNEDY RIVER (LOWER)Steelhead</v>
      </c>
      <c r="BK890" s="26">
        <f t="shared" si="353"/>
        <v>0</v>
      </c>
      <c r="BL890" s="33">
        <f t="shared" si="368"/>
        <v>0</v>
      </c>
      <c r="BQ890" s="47" t="str">
        <f t="shared" si="354"/>
        <v>KENNEDY RIVER (LOWER)Steelhead</v>
      </c>
      <c r="BR890" s="49">
        <f t="shared" si="355"/>
        <v>0</v>
      </c>
      <c r="BS890" s="49">
        <f t="shared" si="364"/>
        <v>0</v>
      </c>
      <c r="BT890" s="31">
        <v>0</v>
      </c>
      <c r="BU890" s="188" t="str">
        <f t="shared" si="356"/>
        <v>TFN</v>
      </c>
      <c r="BV890" s="188" t="str">
        <f t="shared" si="357"/>
        <v xml:space="preserve"> </v>
      </c>
      <c r="BW890" s="188" t="str">
        <f t="shared" si="358"/>
        <v xml:space="preserve"> </v>
      </c>
      <c r="BX890" s="188" t="str">
        <f t="shared" si="359"/>
        <v xml:space="preserve"> </v>
      </c>
      <c r="BY890" s="50" t="str">
        <f t="shared" si="347"/>
        <v>KENNEDY RIVER (LOWER)_Steelhead</v>
      </c>
      <c r="BZ890" s="50" t="str">
        <f>IFERROR(VLOOKUP(BY890,'[1]WCVI Esc'!$C$5:$W$555,18,FALSE),"-")</f>
        <v>-</v>
      </c>
      <c r="CA890" s="50" t="str">
        <f t="shared" si="360"/>
        <v>-</v>
      </c>
      <c r="CB890" s="50" t="str">
        <f>IFERROR(VLOOKUP(BY890,'[1]WCVI Esc'!$C$5:$W$555,19,FALSE),"-")</f>
        <v>-</v>
      </c>
      <c r="CC890" s="50" t="str">
        <f t="shared" si="361"/>
        <v>-</v>
      </c>
      <c r="CE890" s="342" t="str">
        <f t="shared" si="369"/>
        <v>KENNEDY RIVER (LOWER)_Steelhead</v>
      </c>
      <c r="CF890" s="341" t="str">
        <f>IFERROR(VLOOKUP(BY890,'RawPL+D'!$O$8:$AB$503,12,FALSE),"-")</f>
        <v>-</v>
      </c>
      <c r="CG890" s="338" t="str">
        <f t="shared" si="362"/>
        <v>-</v>
      </c>
      <c r="CH890" s="341" t="str">
        <f>IFERROR(VLOOKUP(BY890,'RawPL+D'!$O$8:$AB$503,13,FALSE),"-")</f>
        <v>-</v>
      </c>
      <c r="CI890" s="338" t="str">
        <f t="shared" si="363"/>
        <v>-</v>
      </c>
    </row>
    <row r="891" spans="1:87" ht="12.75" hidden="1" customHeight="1" x14ac:dyDescent="0.2">
      <c r="A891" s="28">
        <v>4</v>
      </c>
      <c r="B891" s="28">
        <v>1</v>
      </c>
      <c r="C891" s="11">
        <v>24</v>
      </c>
      <c r="D891" s="13" t="s">
        <v>296</v>
      </c>
      <c r="E891" s="10" t="s">
        <v>40</v>
      </c>
      <c r="F891" s="10" t="s">
        <v>207</v>
      </c>
      <c r="G891" s="638"/>
      <c r="H891" s="639">
        <f>888+5</f>
        <v>893</v>
      </c>
      <c r="I891" s="638"/>
      <c r="J891" s="638"/>
      <c r="K891" s="640"/>
      <c r="L891" s="152"/>
      <c r="M891" s="641">
        <f>1820+3</f>
        <v>1823</v>
      </c>
      <c r="N891" s="466"/>
      <c r="O891" s="432"/>
      <c r="P891" s="424"/>
      <c r="Q891" s="171"/>
      <c r="R891" s="705">
        <v>261</v>
      </c>
      <c r="S891" s="339"/>
      <c r="T891" s="63"/>
      <c r="U891" s="772">
        <f>86+95</f>
        <v>181</v>
      </c>
      <c r="V891" s="421"/>
      <c r="W891" s="390"/>
      <c r="X891" s="63"/>
      <c r="Y891" s="62"/>
      <c r="Z891" s="440"/>
      <c r="AA891" s="164"/>
      <c r="AB891" s="62"/>
      <c r="AC891" s="62"/>
      <c r="AD891" s="64"/>
      <c r="AE891" s="164"/>
      <c r="AF891" s="62"/>
      <c r="AG891" s="64"/>
      <c r="AH891" s="337">
        <v>2026</v>
      </c>
      <c r="AI891" s="337">
        <v>40</v>
      </c>
      <c r="AJ891" s="337">
        <v>0</v>
      </c>
      <c r="AK891" s="337">
        <v>0</v>
      </c>
      <c r="AL891" s="555">
        <v>2026</v>
      </c>
      <c r="AM891" s="552">
        <v>2066</v>
      </c>
      <c r="AN891" s="552" t="s">
        <v>765</v>
      </c>
      <c r="AO891" s="552" t="s">
        <v>773</v>
      </c>
      <c r="AP891" s="44"/>
      <c r="AQ891" s="485">
        <f>AL891/BI891</f>
        <v>0.5872463768115942</v>
      </c>
      <c r="AR891" s="485">
        <f>BL891/BH891</f>
        <v>1.1253086419753087</v>
      </c>
      <c r="AS891" s="485">
        <f>BL891/BI891</f>
        <v>0.5284057971014493</v>
      </c>
      <c r="AT891" s="123"/>
      <c r="AU891" s="123"/>
      <c r="AV891" s="123"/>
      <c r="AW891" s="18">
        <v>24</v>
      </c>
      <c r="AX891" s="69" t="s">
        <v>296</v>
      </c>
      <c r="AY891" s="243" t="s">
        <v>40</v>
      </c>
      <c r="AZ891" s="243" t="str">
        <f t="shared" si="348"/>
        <v>Sockeye</v>
      </c>
      <c r="BA891" s="243" t="s">
        <v>419</v>
      </c>
      <c r="BB891" s="244" t="s">
        <v>497</v>
      </c>
      <c r="BC891" s="43" t="str">
        <f t="shared" si="349"/>
        <v>Oct 29-Nov4</v>
      </c>
      <c r="BD891" s="43">
        <f t="shared" si="367"/>
        <v>3</v>
      </c>
      <c r="BE891" s="193">
        <f t="shared" si="365"/>
        <v>1823</v>
      </c>
      <c r="BF891" s="193">
        <f t="shared" si="350"/>
        <v>2026</v>
      </c>
      <c r="BG891" s="193">
        <f t="shared" si="351"/>
        <v>2026</v>
      </c>
      <c r="BH891" s="307">
        <f t="shared" si="366"/>
        <v>1620</v>
      </c>
      <c r="BI891" s="265">
        <f>CC891</f>
        <v>3450</v>
      </c>
      <c r="BJ891" s="26" t="str">
        <f t="shared" si="352"/>
        <v>KENNEDY RIVER (UPPER)Sockeye</v>
      </c>
      <c r="BK891" s="26">
        <f t="shared" si="353"/>
        <v>3</v>
      </c>
      <c r="BL891" s="33">
        <f t="shared" si="368"/>
        <v>1823</v>
      </c>
      <c r="BQ891" s="47" t="str">
        <f t="shared" si="354"/>
        <v>KENNEDY RIVER (UPPER)Sockeye</v>
      </c>
      <c r="BR891" s="49">
        <f t="shared" si="355"/>
        <v>0</v>
      </c>
      <c r="BS891" s="49">
        <f t="shared" si="364"/>
        <v>2026</v>
      </c>
      <c r="BT891" s="31">
        <v>2016</v>
      </c>
      <c r="BU891" s="188" t="str">
        <f t="shared" si="356"/>
        <v>TSES</v>
      </c>
      <c r="BV891" s="188" t="str">
        <f t="shared" si="357"/>
        <v>Sep 3-9</v>
      </c>
      <c r="BW891" s="188" t="str">
        <f t="shared" si="358"/>
        <v>Oct 29-Nov4</v>
      </c>
      <c r="BX891" s="188" t="str">
        <f t="shared" si="359"/>
        <v xml:space="preserve"> </v>
      </c>
      <c r="BY891" s="50" t="str">
        <f t="shared" si="347"/>
        <v>KENNEDY RIVER (UPPER)_Sockeye</v>
      </c>
      <c r="BZ891" s="50">
        <f>IFERROR(VLOOKUP(BY891,'[1]WCVI Esc'!$C$5:$W$555,18,FALSE),"-")</f>
        <v>1798.5</v>
      </c>
      <c r="CA891" s="50">
        <f t="shared" si="360"/>
        <v>1800</v>
      </c>
      <c r="CB891" s="50">
        <f>IFERROR(VLOOKUP(BY891,'[1]WCVI Esc'!$C$5:$W$555,19,FALSE),"-")</f>
        <v>3450.5833333333335</v>
      </c>
      <c r="CC891" s="50">
        <f t="shared" si="361"/>
        <v>3450</v>
      </c>
      <c r="CE891" s="342" t="str">
        <f t="shared" si="369"/>
        <v>KENNEDY RIVER (UPPER)_Sockeye</v>
      </c>
      <c r="CF891" s="341">
        <f>IFERROR(VLOOKUP(CE891,'RawPL+D'!$O$8:$AB$503,12,FALSE),"-")</f>
        <v>2644</v>
      </c>
      <c r="CG891" s="338">
        <f t="shared" si="362"/>
        <v>2640</v>
      </c>
      <c r="CH891" s="341">
        <f>IFERROR(VLOOKUP(CE891,'RawPL+D'!$O$8:$AB$503,13,FALSE),"-")</f>
        <v>1621.75</v>
      </c>
      <c r="CI891" s="338">
        <f t="shared" si="363"/>
        <v>1620</v>
      </c>
    </row>
    <row r="892" spans="1:87" ht="12.75" hidden="1" customHeight="1" x14ac:dyDescent="0.2">
      <c r="A892" s="28">
        <v>4</v>
      </c>
      <c r="B892" s="28">
        <v>2</v>
      </c>
      <c r="C892" s="11">
        <v>24</v>
      </c>
      <c r="D892" s="13" t="s">
        <v>296</v>
      </c>
      <c r="E892" s="10" t="s">
        <v>40</v>
      </c>
      <c r="F892" s="10" t="s">
        <v>219</v>
      </c>
      <c r="G892" s="638"/>
      <c r="H892" s="639">
        <v>0</v>
      </c>
      <c r="I892" s="638"/>
      <c r="J892" s="638"/>
      <c r="K892" s="640"/>
      <c r="L892" s="152"/>
      <c r="M892" s="641">
        <v>0</v>
      </c>
      <c r="N892" s="466"/>
      <c r="O892" s="62"/>
      <c r="P892" s="424"/>
      <c r="Q892" s="171"/>
      <c r="R892" s="708">
        <v>122</v>
      </c>
      <c r="S892" s="339"/>
      <c r="T892" s="63"/>
      <c r="U892" s="772">
        <f>1214+4</f>
        <v>1218</v>
      </c>
      <c r="V892" s="164"/>
      <c r="W892" s="432"/>
      <c r="X892" s="63"/>
      <c r="Y892" s="62"/>
      <c r="Z892" s="440"/>
      <c r="AA892" s="426"/>
      <c r="AB892" s="605"/>
      <c r="AC892" s="62"/>
      <c r="AD892" s="64"/>
      <c r="AE892" s="164"/>
      <c r="AF892" s="62"/>
      <c r="AG892" s="64"/>
      <c r="AH892" s="337">
        <v>1874</v>
      </c>
      <c r="AI892" s="337">
        <v>266</v>
      </c>
      <c r="AJ892" s="337">
        <v>0</v>
      </c>
      <c r="AK892" s="337">
        <v>0</v>
      </c>
      <c r="AL892" s="555">
        <v>1874</v>
      </c>
      <c r="AM892" s="552">
        <v>2140</v>
      </c>
      <c r="AN892" s="552" t="s">
        <v>765</v>
      </c>
      <c r="AO892" s="552" t="s">
        <v>773</v>
      </c>
      <c r="AP892" s="44"/>
      <c r="AQ892" s="485">
        <f>AL892/BI892</f>
        <v>1.9520833333333334</v>
      </c>
      <c r="AR892" s="485">
        <f>BL892/BH892</f>
        <v>1.4674698795180723</v>
      </c>
      <c r="AS892" s="485">
        <f>BL892/BI892</f>
        <v>1.26875</v>
      </c>
      <c r="AT892" s="123"/>
      <c r="AU892" s="123"/>
      <c r="AV892" s="123"/>
      <c r="AW892" s="18">
        <v>24</v>
      </c>
      <c r="AX892" s="69" t="s">
        <v>296</v>
      </c>
      <c r="AY892" s="243" t="s">
        <v>40</v>
      </c>
      <c r="AZ892" s="243" t="str">
        <f t="shared" si="348"/>
        <v>Coho</v>
      </c>
      <c r="BA892" s="243" t="s">
        <v>419</v>
      </c>
      <c r="BB892" s="244" t="s">
        <v>497</v>
      </c>
      <c r="BC892" s="43" t="str">
        <f t="shared" si="349"/>
        <v>Oct 29-Nov4</v>
      </c>
      <c r="BD892" s="43">
        <f t="shared" si="367"/>
        <v>3</v>
      </c>
      <c r="BE892" s="193">
        <f t="shared" si="365"/>
        <v>1218</v>
      </c>
      <c r="BF892" s="193">
        <f t="shared" si="350"/>
        <v>1874</v>
      </c>
      <c r="BG892" s="193">
        <f t="shared" si="351"/>
        <v>1874</v>
      </c>
      <c r="BH892" s="307">
        <f t="shared" si="366"/>
        <v>830</v>
      </c>
      <c r="BI892" s="265">
        <f>CC892</f>
        <v>960</v>
      </c>
      <c r="BJ892" s="26" t="str">
        <f t="shared" si="352"/>
        <v>KENNEDY RIVER (UPPER)Coho</v>
      </c>
      <c r="BK892" s="26">
        <f t="shared" si="353"/>
        <v>3</v>
      </c>
      <c r="BL892" s="33">
        <f t="shared" si="368"/>
        <v>1218</v>
      </c>
      <c r="BQ892" s="47" t="str">
        <f t="shared" si="354"/>
        <v>KENNEDY RIVER (UPPER)Coho</v>
      </c>
      <c r="BR892" s="49">
        <f t="shared" si="355"/>
        <v>0</v>
      </c>
      <c r="BS892" s="49">
        <f t="shared" si="364"/>
        <v>1874</v>
      </c>
      <c r="BT892" s="31">
        <v>2015</v>
      </c>
      <c r="BU892" s="188" t="str">
        <f t="shared" si="356"/>
        <v>TSES</v>
      </c>
      <c r="BV892" s="188" t="str">
        <f t="shared" si="357"/>
        <v>Sep 3-9</v>
      </c>
      <c r="BW892" s="188" t="str">
        <f t="shared" si="358"/>
        <v>Oct 29-Nov4</v>
      </c>
      <c r="BX892" s="188" t="str">
        <f t="shared" si="359"/>
        <v xml:space="preserve"> </v>
      </c>
      <c r="BY892" s="50" t="str">
        <f t="shared" si="347"/>
        <v>KENNEDY RIVER (UPPER)_Coho</v>
      </c>
      <c r="BZ892" s="50">
        <f>IFERROR(VLOOKUP(BY892,'[1]WCVI Esc'!$C$5:$W$555,18,FALSE),"-")</f>
        <v>918.5</v>
      </c>
      <c r="CA892" s="50">
        <f t="shared" si="360"/>
        <v>920</v>
      </c>
      <c r="CB892" s="50">
        <f>IFERROR(VLOOKUP(BY892,'[1]WCVI Esc'!$C$5:$W$555,19,FALSE),"-")</f>
        <v>958.08333333333337</v>
      </c>
      <c r="CC892" s="50">
        <f t="shared" si="361"/>
        <v>960</v>
      </c>
      <c r="CE892" s="342" t="str">
        <f t="shared" si="369"/>
        <v>KENNEDY RIVER (UPPER)_Coho</v>
      </c>
      <c r="CF892" s="341">
        <f>IFERROR(VLOOKUP(CE892,'RawPL+D'!$O$8:$AB$503,12,FALSE),"-")</f>
        <v>378</v>
      </c>
      <c r="CG892" s="338">
        <f t="shared" si="362"/>
        <v>380</v>
      </c>
      <c r="CH892" s="341">
        <f>IFERROR(VLOOKUP(CE892,'RawPL+D'!$O$8:$AB$503,13,FALSE),"-")</f>
        <v>826.25</v>
      </c>
      <c r="CI892" s="338">
        <f t="shared" si="363"/>
        <v>830</v>
      </c>
    </row>
    <row r="893" spans="1:87" ht="12.75" hidden="1" customHeight="1" x14ac:dyDescent="0.2">
      <c r="A893" s="28">
        <v>4</v>
      </c>
      <c r="B893" s="28">
        <v>3</v>
      </c>
      <c r="C893" s="11">
        <v>24</v>
      </c>
      <c r="D893" s="13" t="s">
        <v>296</v>
      </c>
      <c r="E893" s="10" t="s">
        <v>40</v>
      </c>
      <c r="F893" s="10" t="s">
        <v>208</v>
      </c>
      <c r="G893" s="638"/>
      <c r="H893" s="639">
        <v>0</v>
      </c>
      <c r="I893" s="638"/>
      <c r="J893" s="638"/>
      <c r="K893" s="640"/>
      <c r="L893" s="152"/>
      <c r="M893" s="641">
        <v>0</v>
      </c>
      <c r="N893" s="466"/>
      <c r="O893" s="62"/>
      <c r="P893" s="424"/>
      <c r="Q893" s="171"/>
      <c r="R893" s="643">
        <v>0</v>
      </c>
      <c r="S893" s="339"/>
      <c r="T893" s="63"/>
      <c r="U893" s="771">
        <v>1</v>
      </c>
      <c r="V893" s="164"/>
      <c r="W893" s="62"/>
      <c r="X893" s="63"/>
      <c r="Y893" s="62"/>
      <c r="Z893" s="440"/>
      <c r="AA893" s="164"/>
      <c r="AB893" s="62"/>
      <c r="AC893" s="62"/>
      <c r="AD893" s="64"/>
      <c r="AE893" s="164"/>
      <c r="AF893" s="62"/>
      <c r="AG893" s="64"/>
      <c r="AH893" s="337">
        <v>2</v>
      </c>
      <c r="AI893" s="337">
        <v>0</v>
      </c>
      <c r="AJ893" s="337">
        <v>0</v>
      </c>
      <c r="AK893" s="337">
        <v>0</v>
      </c>
      <c r="AL893" s="555">
        <v>2</v>
      </c>
      <c r="AM893" s="552">
        <v>2</v>
      </c>
      <c r="AN893" s="552" t="s">
        <v>765</v>
      </c>
      <c r="AO893" s="552" t="s">
        <v>773</v>
      </c>
      <c r="AP893" s="44"/>
      <c r="AQ893" s="485"/>
      <c r="AR893" s="100"/>
      <c r="AS893" s="485"/>
      <c r="AT893" s="679"/>
      <c r="AU893" s="679"/>
      <c r="AV893" s="679"/>
      <c r="AW893" s="18">
        <v>24</v>
      </c>
      <c r="AX893" s="69" t="s">
        <v>296</v>
      </c>
      <c r="AY893" s="243" t="s">
        <v>40</v>
      </c>
      <c r="AZ893" s="243" t="str">
        <f t="shared" si="348"/>
        <v>Pink</v>
      </c>
      <c r="BA893" s="243" t="s">
        <v>419</v>
      </c>
      <c r="BB893" s="244" t="s">
        <v>497</v>
      </c>
      <c r="BC893" s="43" t="str">
        <f t="shared" si="349"/>
        <v>Oct 29-Nov4</v>
      </c>
      <c r="BD893" s="43">
        <f t="shared" si="367"/>
        <v>3</v>
      </c>
      <c r="BE893" s="193">
        <f t="shared" si="365"/>
        <v>1</v>
      </c>
      <c r="BF893" s="193">
        <f t="shared" si="350"/>
        <v>2</v>
      </c>
      <c r="BG893" s="193">
        <f t="shared" si="351"/>
        <v>2</v>
      </c>
      <c r="BH893" s="307">
        <f t="shared" si="366"/>
        <v>0</v>
      </c>
      <c r="BI893" s="266"/>
      <c r="BJ893" s="26" t="str">
        <f t="shared" si="352"/>
        <v>KENNEDY RIVER (UPPER)Pink</v>
      </c>
      <c r="BK893" s="26">
        <f t="shared" si="353"/>
        <v>3</v>
      </c>
      <c r="BL893" s="33">
        <f t="shared" si="368"/>
        <v>1</v>
      </c>
      <c r="BQ893" s="47" t="str">
        <f t="shared" si="354"/>
        <v>KENNEDY RIVER (UPPER)Pink</v>
      </c>
      <c r="BR893" s="49">
        <f t="shared" si="355"/>
        <v>0</v>
      </c>
      <c r="BS893" s="49">
        <f t="shared" si="364"/>
        <v>2</v>
      </c>
      <c r="BT893" s="31">
        <v>0</v>
      </c>
      <c r="BU893" s="188" t="str">
        <f t="shared" si="356"/>
        <v>TSES</v>
      </c>
      <c r="BV893" s="188" t="str">
        <f t="shared" si="357"/>
        <v>Sep 3-9</v>
      </c>
      <c r="BW893" s="188" t="str">
        <f t="shared" si="358"/>
        <v>Oct 29-Nov4</v>
      </c>
      <c r="BX893" s="188" t="str">
        <f t="shared" si="359"/>
        <v xml:space="preserve"> </v>
      </c>
      <c r="BY893" s="50" t="str">
        <f t="shared" si="347"/>
        <v>KENNEDY RIVER (UPPER)_Pink</v>
      </c>
      <c r="BZ893" s="50" t="str">
        <f>IFERROR(VLOOKUP(BY893,'[1]WCVI Esc'!$C$5:$W$555,18,FALSE),"-")</f>
        <v>-</v>
      </c>
      <c r="CA893" s="50" t="str">
        <f t="shared" si="360"/>
        <v>-</v>
      </c>
      <c r="CB893" s="50" t="str">
        <f>IFERROR(VLOOKUP(BY893,'[1]WCVI Esc'!$C$5:$W$555,19,FALSE),"-")</f>
        <v>-</v>
      </c>
      <c r="CC893" s="50" t="str">
        <f t="shared" si="361"/>
        <v>-</v>
      </c>
      <c r="CE893" s="342" t="str">
        <f t="shared" si="369"/>
        <v>KENNEDY RIVER (UPPER)_Pink</v>
      </c>
      <c r="CF893" s="341">
        <f>IFERROR(VLOOKUP(BY893,'RawPL+D'!$O$8:$AB$503,12,FALSE),"-")</f>
        <v>0</v>
      </c>
      <c r="CG893" s="338">
        <f t="shared" si="362"/>
        <v>0</v>
      </c>
      <c r="CH893" s="341">
        <f>IFERROR(VLOOKUP(BY893,'RawPL+D'!$O$8:$AB$503,13,FALSE),"-")</f>
        <v>0.5</v>
      </c>
      <c r="CI893" s="338">
        <f t="shared" si="363"/>
        <v>0</v>
      </c>
    </row>
    <row r="894" spans="1:87" ht="12.75" hidden="1" customHeight="1" x14ac:dyDescent="0.2">
      <c r="A894" s="28">
        <v>4</v>
      </c>
      <c r="B894" s="28">
        <v>4</v>
      </c>
      <c r="C894" s="11">
        <v>24</v>
      </c>
      <c r="D894" s="13" t="s">
        <v>296</v>
      </c>
      <c r="E894" s="10" t="s">
        <v>40</v>
      </c>
      <c r="F894" s="10" t="s">
        <v>209</v>
      </c>
      <c r="G894" s="638"/>
      <c r="H894" s="639">
        <v>0</v>
      </c>
      <c r="I894" s="638"/>
      <c r="J894" s="638"/>
      <c r="K894" s="640"/>
      <c r="L894" s="152"/>
      <c r="M894" s="641">
        <v>0</v>
      </c>
      <c r="N894" s="466"/>
      <c r="O894" s="62"/>
      <c r="P894" s="424"/>
      <c r="Q894" s="171"/>
      <c r="R894" s="643">
        <v>6</v>
      </c>
      <c r="S894" s="339"/>
      <c r="T894" s="63"/>
      <c r="U894" s="771">
        <v>7</v>
      </c>
      <c r="V894" s="421"/>
      <c r="W894" s="62"/>
      <c r="X894" s="63"/>
      <c r="Y894" s="62"/>
      <c r="Z894" s="440"/>
      <c r="AA894" s="164"/>
      <c r="AB894" s="62"/>
      <c r="AC894" s="62"/>
      <c r="AD894" s="64"/>
      <c r="AE894" s="164"/>
      <c r="AF894" s="62"/>
      <c r="AG894" s="64"/>
      <c r="AH894" s="337">
        <v>9</v>
      </c>
      <c r="AI894" s="337">
        <v>0</v>
      </c>
      <c r="AJ894" s="337">
        <v>0</v>
      </c>
      <c r="AK894" s="337">
        <v>0</v>
      </c>
      <c r="AL894" s="555">
        <v>9</v>
      </c>
      <c r="AM894" s="552">
        <v>9</v>
      </c>
      <c r="AN894" s="552" t="s">
        <v>765</v>
      </c>
      <c r="AO894" s="552" t="s">
        <v>773</v>
      </c>
      <c r="AP894" s="44"/>
      <c r="AQ894" s="485"/>
      <c r="AR894" s="100"/>
      <c r="AS894" s="485"/>
      <c r="AT894" s="123"/>
      <c r="AU894" s="123"/>
      <c r="AV894" s="123"/>
      <c r="AW894" s="18">
        <v>24</v>
      </c>
      <c r="AX894" s="69" t="s">
        <v>296</v>
      </c>
      <c r="AY894" s="243" t="s">
        <v>40</v>
      </c>
      <c r="AZ894" s="243" t="str">
        <f t="shared" si="348"/>
        <v>Chum</v>
      </c>
      <c r="BA894" s="243" t="s">
        <v>419</v>
      </c>
      <c r="BB894" s="244" t="s">
        <v>497</v>
      </c>
      <c r="BC894" s="43" t="str">
        <f t="shared" si="349"/>
        <v>Oct 29-Nov4</v>
      </c>
      <c r="BD894" s="43">
        <f t="shared" si="367"/>
        <v>3</v>
      </c>
      <c r="BE894" s="193">
        <f t="shared" si="365"/>
        <v>7</v>
      </c>
      <c r="BF894" s="193">
        <f t="shared" si="350"/>
        <v>9</v>
      </c>
      <c r="BG894" s="193">
        <f t="shared" si="351"/>
        <v>9</v>
      </c>
      <c r="BH894" s="307">
        <f t="shared" si="366"/>
        <v>0</v>
      </c>
      <c r="BI894" s="311" t="s">
        <v>242</v>
      </c>
      <c r="BJ894" s="26" t="str">
        <f t="shared" si="352"/>
        <v>KENNEDY RIVER (UPPER)Chum</v>
      </c>
      <c r="BK894" s="26">
        <f t="shared" si="353"/>
        <v>3</v>
      </c>
      <c r="BL894" s="33">
        <f t="shared" si="368"/>
        <v>7</v>
      </c>
      <c r="BQ894" s="47" t="str">
        <f t="shared" si="354"/>
        <v>KENNEDY RIVER (UPPER)Chum</v>
      </c>
      <c r="BR894" s="49">
        <f t="shared" si="355"/>
        <v>0</v>
      </c>
      <c r="BS894" s="49">
        <f t="shared" si="364"/>
        <v>9</v>
      </c>
      <c r="BT894" s="31">
        <v>2011</v>
      </c>
      <c r="BU894" s="188" t="str">
        <f t="shared" si="356"/>
        <v>TSES</v>
      </c>
      <c r="BV894" s="188" t="str">
        <f t="shared" si="357"/>
        <v>Sep 3-9</v>
      </c>
      <c r="BW894" s="188" t="str">
        <f t="shared" si="358"/>
        <v>Oct 29-Nov4</v>
      </c>
      <c r="BX894" s="188" t="str">
        <f t="shared" si="359"/>
        <v xml:space="preserve"> </v>
      </c>
      <c r="BY894" s="50" t="str">
        <f t="shared" si="347"/>
        <v>KENNEDY RIVER (UPPER)_Chum</v>
      </c>
      <c r="BZ894" s="50">
        <f>IFERROR(VLOOKUP(BY894,'[1]WCVI Esc'!$C$5:$W$555,18,FALSE),"-")</f>
        <v>3</v>
      </c>
      <c r="CA894" s="50">
        <f t="shared" si="360"/>
        <v>0</v>
      </c>
      <c r="CB894" s="50">
        <f>IFERROR(VLOOKUP(BY894,'[1]WCVI Esc'!$C$5:$W$555,19,FALSE),"-")</f>
        <v>2.3333333333333335</v>
      </c>
      <c r="CC894" s="50">
        <f t="shared" si="361"/>
        <v>0</v>
      </c>
      <c r="CE894" s="342" t="str">
        <f t="shared" si="369"/>
        <v>KENNEDY RIVER (UPPER)_Chum</v>
      </c>
      <c r="CF894" s="341">
        <f>IFERROR(VLOOKUP(BY894,'RawPL+D'!$O$8:$AB$503,12,FALSE),"-")</f>
        <v>0</v>
      </c>
      <c r="CG894" s="338">
        <f t="shared" si="362"/>
        <v>0</v>
      </c>
      <c r="CH894" s="341">
        <f>IFERROR(VLOOKUP(BY894,'RawPL+D'!$O$8:$AB$503,13,FALSE),"-")</f>
        <v>2.3333333333333335</v>
      </c>
      <c r="CI894" s="338">
        <f t="shared" si="363"/>
        <v>0</v>
      </c>
    </row>
    <row r="895" spans="1:87" ht="12.75" hidden="1" customHeight="1" x14ac:dyDescent="0.2">
      <c r="A895" s="28">
        <v>4</v>
      </c>
      <c r="B895" s="28">
        <v>5</v>
      </c>
      <c r="C895" s="11">
        <v>24</v>
      </c>
      <c r="D895" s="13" t="s">
        <v>296</v>
      </c>
      <c r="E895" s="10" t="s">
        <v>40</v>
      </c>
      <c r="F895" s="10" t="s">
        <v>210</v>
      </c>
      <c r="G895" s="638"/>
      <c r="H895" s="639">
        <v>0</v>
      </c>
      <c r="I895" s="638"/>
      <c r="J895" s="638"/>
      <c r="K895" s="640"/>
      <c r="L895" s="152"/>
      <c r="M895" s="641">
        <v>0</v>
      </c>
      <c r="N895" s="466"/>
      <c r="O895" s="62"/>
      <c r="P895" s="424"/>
      <c r="Q895" s="171"/>
      <c r="R895" s="643">
        <v>2</v>
      </c>
      <c r="S895" s="339"/>
      <c r="T895" s="63"/>
      <c r="U895" s="771">
        <v>1</v>
      </c>
      <c r="V895" s="164"/>
      <c r="W895" s="62"/>
      <c r="X895" s="63"/>
      <c r="Y895" s="62"/>
      <c r="Z895" s="440"/>
      <c r="AA895" s="164"/>
      <c r="AB895" s="62"/>
      <c r="AC895" s="62"/>
      <c r="AD895" s="64"/>
      <c r="AE895" s="164"/>
      <c r="AF895" s="62"/>
      <c r="AG895" s="64"/>
      <c r="AH895" s="337">
        <v>3</v>
      </c>
      <c r="AI895" s="337">
        <v>2</v>
      </c>
      <c r="AJ895" s="337">
        <v>0</v>
      </c>
      <c r="AK895" s="337">
        <v>0</v>
      </c>
      <c r="AL895" s="555">
        <v>3</v>
      </c>
      <c r="AM895" s="552">
        <v>5</v>
      </c>
      <c r="AN895" s="552" t="s">
        <v>765</v>
      </c>
      <c r="AO895" s="552" t="s">
        <v>773</v>
      </c>
      <c r="AP895" s="44"/>
      <c r="AQ895" s="485">
        <f>AL895/BI895</f>
        <v>0.3</v>
      </c>
      <c r="AR895" s="12"/>
      <c r="AS895" s="485">
        <f>BL895/BI895</f>
        <v>0.2</v>
      </c>
      <c r="AT895" s="123"/>
      <c r="AU895" s="123"/>
      <c r="AV895" s="123">
        <f>AL895</f>
        <v>3</v>
      </c>
      <c r="AW895" s="18">
        <v>24</v>
      </c>
      <c r="AX895" s="69" t="s">
        <v>296</v>
      </c>
      <c r="AY895" s="243" t="s">
        <v>40</v>
      </c>
      <c r="AZ895" s="243" t="str">
        <f t="shared" si="348"/>
        <v>Chinook</v>
      </c>
      <c r="BA895" s="243" t="s">
        <v>419</v>
      </c>
      <c r="BB895" s="244" t="s">
        <v>497</v>
      </c>
      <c r="BC895" s="43" t="str">
        <f t="shared" si="349"/>
        <v>Oct 29-Nov4</v>
      </c>
      <c r="BD895" s="43">
        <f t="shared" si="367"/>
        <v>3</v>
      </c>
      <c r="BE895" s="193">
        <f t="shared" si="365"/>
        <v>2</v>
      </c>
      <c r="BF895" s="193">
        <f t="shared" si="350"/>
        <v>3</v>
      </c>
      <c r="BG895" s="193">
        <f t="shared" si="351"/>
        <v>3</v>
      </c>
      <c r="BH895" s="307">
        <f t="shared" si="366"/>
        <v>0</v>
      </c>
      <c r="BI895" s="265">
        <f>CC895</f>
        <v>10</v>
      </c>
      <c r="BJ895" s="26" t="str">
        <f t="shared" si="352"/>
        <v>KENNEDY RIVER (UPPER)Chinook</v>
      </c>
      <c r="BK895" s="26">
        <f t="shared" si="353"/>
        <v>3</v>
      </c>
      <c r="BL895" s="33">
        <f t="shared" si="368"/>
        <v>2</v>
      </c>
      <c r="BQ895" s="47" t="str">
        <f t="shared" si="354"/>
        <v>KENNEDY RIVER (UPPER)Chinook</v>
      </c>
      <c r="BR895" s="49">
        <f t="shared" si="355"/>
        <v>0</v>
      </c>
      <c r="BS895" s="49">
        <f t="shared" si="364"/>
        <v>3</v>
      </c>
      <c r="BT895" s="31">
        <v>2013</v>
      </c>
      <c r="BU895" s="188" t="str">
        <f t="shared" si="356"/>
        <v>TSES</v>
      </c>
      <c r="BV895" s="188" t="str">
        <f t="shared" si="357"/>
        <v>Sep 3-9</v>
      </c>
      <c r="BW895" s="188" t="str">
        <f t="shared" si="358"/>
        <v>Oct 29-Nov4</v>
      </c>
      <c r="BX895" s="188" t="str">
        <f t="shared" si="359"/>
        <v xml:space="preserve"> </v>
      </c>
      <c r="BY895" s="50" t="str">
        <f t="shared" ref="BY895:BY958" si="370">CONCATENATE(E895,"_",F895)</f>
        <v>KENNEDY RIVER (UPPER)_Chinook</v>
      </c>
      <c r="BZ895" s="50">
        <f>IFERROR(VLOOKUP(BY895,'[1]WCVI Esc'!$C$5:$W$555,18,FALSE),"-")</f>
        <v>3.5</v>
      </c>
      <c r="CA895" s="50">
        <f t="shared" si="360"/>
        <v>0</v>
      </c>
      <c r="CB895" s="50">
        <f>IFERROR(VLOOKUP(BY895,'[1]WCVI Esc'!$C$5:$W$555,19,FALSE),"-")</f>
        <v>6.833333333333333</v>
      </c>
      <c r="CC895" s="50">
        <f t="shared" si="361"/>
        <v>10</v>
      </c>
      <c r="CE895" s="342" t="str">
        <f t="shared" si="369"/>
        <v>KENNEDY RIVER (UPPER)_Chinook</v>
      </c>
      <c r="CF895" s="341">
        <f>IFERROR(VLOOKUP(CE895,'RawPL+D'!$O$8:$AB$503,12,FALSE),"-")</f>
        <v>4</v>
      </c>
      <c r="CG895" s="338">
        <f t="shared" si="362"/>
        <v>0</v>
      </c>
      <c r="CH895" s="341">
        <f>IFERROR(VLOOKUP(CE895,'RawPL+D'!$O$8:$AB$503,13,FALSE),"-")</f>
        <v>3.25</v>
      </c>
      <c r="CI895" s="338">
        <f t="shared" si="363"/>
        <v>0</v>
      </c>
    </row>
    <row r="896" spans="1:87" ht="12.75" hidden="1" customHeight="1" x14ac:dyDescent="0.2">
      <c r="A896" s="28">
        <v>4</v>
      </c>
      <c r="B896" s="28">
        <v>6</v>
      </c>
      <c r="C896" s="11">
        <v>24</v>
      </c>
      <c r="D896" s="13" t="s">
        <v>296</v>
      </c>
      <c r="E896" s="10" t="s">
        <v>40</v>
      </c>
      <c r="F896" s="10" t="s">
        <v>211</v>
      </c>
      <c r="G896" s="638"/>
      <c r="H896" s="639">
        <v>0</v>
      </c>
      <c r="I896" s="638"/>
      <c r="J896" s="638"/>
      <c r="K896" s="640"/>
      <c r="L896" s="152"/>
      <c r="M896" s="641">
        <v>0</v>
      </c>
      <c r="N896" s="466"/>
      <c r="O896" s="62"/>
      <c r="P896" s="424"/>
      <c r="Q896" s="171"/>
      <c r="R896" s="643">
        <v>0</v>
      </c>
      <c r="S896" s="339"/>
      <c r="T896" s="63"/>
      <c r="U896" s="771">
        <v>0</v>
      </c>
      <c r="V896" s="164"/>
      <c r="W896" s="62"/>
      <c r="X896" s="63"/>
      <c r="Y896" s="62"/>
      <c r="Z896" s="440"/>
      <c r="AA896" s="164"/>
      <c r="AB896" s="62"/>
      <c r="AC896" s="62"/>
      <c r="AD896" s="64"/>
      <c r="AE896" s="164"/>
      <c r="AF896" s="62"/>
      <c r="AG896" s="64"/>
      <c r="AH896" s="337"/>
      <c r="AI896" s="337"/>
      <c r="AJ896" s="337"/>
      <c r="AK896" s="337"/>
      <c r="AL896" s="555"/>
      <c r="AM896" s="552"/>
      <c r="AN896" s="45"/>
      <c r="AO896" s="45"/>
      <c r="AP896" s="44"/>
      <c r="AQ896" s="485"/>
      <c r="AR896" s="100"/>
      <c r="AS896" s="485"/>
      <c r="AT896" s="679"/>
      <c r="AU896" s="679"/>
      <c r="AV896" s="679"/>
      <c r="AW896" s="18">
        <v>24</v>
      </c>
      <c r="AX896" s="69" t="s">
        <v>296</v>
      </c>
      <c r="AY896" s="243" t="s">
        <v>40</v>
      </c>
      <c r="AZ896" s="243" t="str">
        <f t="shared" si="348"/>
        <v>Steelhead</v>
      </c>
      <c r="BA896" s="243" t="s">
        <v>419</v>
      </c>
      <c r="BB896" s="244" t="s">
        <v>497</v>
      </c>
      <c r="BC896" s="43" t="str">
        <f t="shared" si="349"/>
        <v>Oct 29-Nov4</v>
      </c>
      <c r="BD896" s="43">
        <f t="shared" si="367"/>
        <v>3</v>
      </c>
      <c r="BE896" s="193">
        <f t="shared" si="365"/>
        <v>0</v>
      </c>
      <c r="BF896" s="193">
        <f t="shared" si="350"/>
        <v>0</v>
      </c>
      <c r="BG896" s="193">
        <f t="shared" si="351"/>
        <v>0</v>
      </c>
      <c r="BH896" s="307" t="str">
        <f t="shared" si="366"/>
        <v>-</v>
      </c>
      <c r="BI896" s="267"/>
      <c r="BJ896" s="26" t="str">
        <f t="shared" si="352"/>
        <v>KENNEDY RIVER (UPPER)Steelhead</v>
      </c>
      <c r="BK896" s="26">
        <f t="shared" si="353"/>
        <v>3</v>
      </c>
      <c r="BL896" s="33">
        <f t="shared" si="368"/>
        <v>0</v>
      </c>
      <c r="BQ896" s="47" t="str">
        <f t="shared" si="354"/>
        <v>KENNEDY RIVER (UPPER)Steelhead</v>
      </c>
      <c r="BR896" s="49">
        <f t="shared" si="355"/>
        <v>0</v>
      </c>
      <c r="BS896" s="49">
        <f t="shared" si="364"/>
        <v>0</v>
      </c>
      <c r="BT896" s="31">
        <v>0</v>
      </c>
      <c r="BU896" s="188" t="str">
        <f t="shared" si="356"/>
        <v>TSES</v>
      </c>
      <c r="BV896" s="188" t="str">
        <f t="shared" si="357"/>
        <v>Sep 3-9</v>
      </c>
      <c r="BW896" s="188" t="str">
        <f t="shared" si="358"/>
        <v>Oct 29-Nov4</v>
      </c>
      <c r="BX896" s="188" t="str">
        <f t="shared" si="359"/>
        <v xml:space="preserve"> </v>
      </c>
      <c r="BY896" s="50" t="str">
        <f t="shared" si="370"/>
        <v>KENNEDY RIVER (UPPER)_Steelhead</v>
      </c>
      <c r="BZ896" s="50" t="str">
        <f>IFERROR(VLOOKUP(BY896,'[1]WCVI Esc'!$C$5:$W$555,18,FALSE),"-")</f>
        <v>-</v>
      </c>
      <c r="CA896" s="50" t="str">
        <f t="shared" si="360"/>
        <v>-</v>
      </c>
      <c r="CB896" s="50" t="str">
        <f>IFERROR(VLOOKUP(BY896,'[1]WCVI Esc'!$C$5:$W$555,19,FALSE),"-")</f>
        <v>-</v>
      </c>
      <c r="CC896" s="50" t="str">
        <f t="shared" si="361"/>
        <v>-</v>
      </c>
      <c r="CE896" s="342" t="str">
        <f t="shared" si="369"/>
        <v>KENNEDY RIVER (UPPER)_Steelhead</v>
      </c>
      <c r="CF896" s="341" t="str">
        <f>IFERROR(VLOOKUP(BY896,'RawPL+D'!$O$8:$AB$503,12,FALSE),"-")</f>
        <v>-</v>
      </c>
      <c r="CG896" s="338" t="str">
        <f t="shared" si="362"/>
        <v>-</v>
      </c>
      <c r="CH896" s="341" t="str">
        <f>IFERROR(VLOOKUP(BY896,'RawPL+D'!$O$8:$AB$503,13,FALSE),"-")</f>
        <v>-</v>
      </c>
      <c r="CI896" s="338" t="str">
        <f t="shared" si="363"/>
        <v>-</v>
      </c>
    </row>
    <row r="897" spans="1:87" ht="12.75" hidden="1" customHeight="1" x14ac:dyDescent="0.2">
      <c r="A897" s="28">
        <v>4</v>
      </c>
      <c r="B897" s="28">
        <v>1</v>
      </c>
      <c r="C897" s="11">
        <v>24</v>
      </c>
      <c r="D897" s="13" t="s">
        <v>296</v>
      </c>
      <c r="E897" s="10" t="s">
        <v>125</v>
      </c>
      <c r="F897" s="10" t="s">
        <v>207</v>
      </c>
      <c r="G897" s="10"/>
      <c r="H897" s="10"/>
      <c r="I897" s="10"/>
      <c r="J897" s="10"/>
      <c r="K897" s="575"/>
      <c r="L897" s="152"/>
      <c r="M897" s="164"/>
      <c r="N897" s="62"/>
      <c r="O897" s="62"/>
      <c r="P897" s="177"/>
      <c r="Q897" s="171"/>
      <c r="R897" s="94"/>
      <c r="S897" s="94"/>
      <c r="T897" s="94"/>
      <c r="U897" s="62"/>
      <c r="V897" s="164"/>
      <c r="W897" s="62"/>
      <c r="X897" s="62"/>
      <c r="Y897" s="62"/>
      <c r="Z897" s="64"/>
      <c r="AA897" s="164"/>
      <c r="AB897" s="62"/>
      <c r="AC897" s="62"/>
      <c r="AD897" s="64"/>
      <c r="AE897" s="164"/>
      <c r="AF897" s="62"/>
      <c r="AG897" s="64"/>
      <c r="AH897" s="337"/>
      <c r="AI897" s="337"/>
      <c r="AJ897" s="337"/>
      <c r="AK897" s="337"/>
      <c r="AL897" s="412"/>
      <c r="AM897" s="414"/>
      <c r="AN897" s="44"/>
      <c r="AO897" s="44"/>
      <c r="AP897" s="45"/>
      <c r="AQ897" s="485"/>
      <c r="AR897" s="100"/>
      <c r="AS897" s="485"/>
      <c r="AT897" s="24"/>
      <c r="AU897" s="24"/>
      <c r="AV897" s="24"/>
      <c r="AW897" s="18">
        <v>24</v>
      </c>
      <c r="AX897" s="69" t="s">
        <v>296</v>
      </c>
      <c r="AY897" s="243" t="s">
        <v>125</v>
      </c>
      <c r="AZ897" s="243" t="str">
        <f t="shared" si="348"/>
        <v>Sockeye</v>
      </c>
      <c r="BA897" s="243" t="s">
        <v>419</v>
      </c>
      <c r="BB897" s="246"/>
      <c r="BC897" s="43" t="str">
        <f t="shared" si="349"/>
        <v>-</v>
      </c>
      <c r="BD897" s="43">
        <f t="shared" si="367"/>
        <v>0</v>
      </c>
      <c r="BE897" s="193">
        <f t="shared" si="365"/>
        <v>0</v>
      </c>
      <c r="BF897" s="193">
        <f t="shared" si="350"/>
        <v>0</v>
      </c>
      <c r="BG897" s="193">
        <f t="shared" si="351"/>
        <v>0</v>
      </c>
      <c r="BH897" s="307" t="str">
        <f t="shared" si="366"/>
        <v>-</v>
      </c>
      <c r="BI897" s="266"/>
      <c r="BJ897" s="26" t="str">
        <f t="shared" si="352"/>
        <v>KOOTOWIS CREEKSockeye</v>
      </c>
      <c r="BK897" s="26">
        <f t="shared" si="353"/>
        <v>0</v>
      </c>
      <c r="BL897" s="33">
        <f t="shared" si="368"/>
        <v>0</v>
      </c>
      <c r="BQ897" s="47" t="str">
        <f t="shared" si="354"/>
        <v>KOOTOWIS CREEKSockeye</v>
      </c>
      <c r="BR897" s="49">
        <f t="shared" si="355"/>
        <v>0</v>
      </c>
      <c r="BS897" s="49">
        <f t="shared" si="364"/>
        <v>0</v>
      </c>
      <c r="BT897" s="31">
        <v>0</v>
      </c>
      <c r="BU897" s="188">
        <f t="shared" si="356"/>
        <v>0</v>
      </c>
      <c r="BV897" s="188" t="str">
        <f t="shared" si="357"/>
        <v xml:space="preserve"> </v>
      </c>
      <c r="BW897" s="188" t="str">
        <f t="shared" si="358"/>
        <v xml:space="preserve"> </v>
      </c>
      <c r="BX897" s="188" t="str">
        <f t="shared" si="359"/>
        <v xml:space="preserve"> </v>
      </c>
      <c r="BY897" s="50" t="str">
        <f t="shared" si="370"/>
        <v>KOOTOWIS CREEK_Sockeye</v>
      </c>
      <c r="BZ897" s="50" t="str">
        <f>IFERROR(VLOOKUP(BY897,'[1]WCVI Esc'!$C$5:$W$555,18,FALSE),"-")</f>
        <v>-</v>
      </c>
      <c r="CA897" s="50" t="str">
        <f t="shared" si="360"/>
        <v>-</v>
      </c>
      <c r="CB897" s="50" t="str">
        <f>IFERROR(VLOOKUP(BY897,'[1]WCVI Esc'!$C$5:$W$555,19,FALSE),"-")</f>
        <v>-</v>
      </c>
      <c r="CC897" s="50" t="str">
        <f t="shared" si="361"/>
        <v>-</v>
      </c>
      <c r="CE897" s="342" t="str">
        <f t="shared" si="369"/>
        <v>KOOTOWIS CREEK_Sockeye</v>
      </c>
      <c r="CF897" s="341" t="str">
        <f>IFERROR(VLOOKUP(BY897,'RawPL+D'!$O$8:$AB$503,12,FALSE),"-")</f>
        <v>-</v>
      </c>
      <c r="CG897" s="338" t="str">
        <f t="shared" si="362"/>
        <v>-</v>
      </c>
      <c r="CH897" s="341" t="str">
        <f>IFERROR(VLOOKUP(BY897,'RawPL+D'!$O$8:$AB$503,13,FALSE),"-")</f>
        <v>-</v>
      </c>
      <c r="CI897" s="338" t="str">
        <f t="shared" si="363"/>
        <v>-</v>
      </c>
    </row>
    <row r="898" spans="1:87" ht="12.75" hidden="1" customHeight="1" x14ac:dyDescent="0.2">
      <c r="A898" s="28">
        <v>4</v>
      </c>
      <c r="B898" s="28">
        <v>2</v>
      </c>
      <c r="C898" s="11">
        <v>24</v>
      </c>
      <c r="D898" s="13" t="s">
        <v>296</v>
      </c>
      <c r="E898" s="10" t="s">
        <v>125</v>
      </c>
      <c r="F898" s="10" t="s">
        <v>219</v>
      </c>
      <c r="G898" s="10"/>
      <c r="H898" s="10"/>
      <c r="I898" s="10"/>
      <c r="J898" s="10"/>
      <c r="K898" s="575"/>
      <c r="L898" s="152"/>
      <c r="M898" s="164"/>
      <c r="N898" s="62"/>
      <c r="O898" s="62"/>
      <c r="P898" s="177"/>
      <c r="Q898" s="171"/>
      <c r="R898" s="94"/>
      <c r="S898" s="94"/>
      <c r="T898" s="94"/>
      <c r="U898" s="62"/>
      <c r="V898" s="164"/>
      <c r="W898" s="62"/>
      <c r="X898" s="62"/>
      <c r="Y898" s="62"/>
      <c r="Z898" s="64"/>
      <c r="AA898" s="164"/>
      <c r="AB898" s="62"/>
      <c r="AC898" s="62"/>
      <c r="AD898" s="64"/>
      <c r="AE898" s="164"/>
      <c r="AF898" s="62"/>
      <c r="AG898" s="64"/>
      <c r="AH898" s="337"/>
      <c r="AI898" s="337"/>
      <c r="AJ898" s="337"/>
      <c r="AK898" s="337"/>
      <c r="AL898" s="412"/>
      <c r="AM898" s="414"/>
      <c r="AN898" s="45"/>
      <c r="AO898" s="45"/>
      <c r="AP898" s="45"/>
      <c r="AQ898" s="485"/>
      <c r="AR898" s="100"/>
      <c r="AS898" s="485"/>
      <c r="AT898" s="24"/>
      <c r="AU898" s="24"/>
      <c r="AV898" s="24"/>
      <c r="AW898" s="18">
        <v>24</v>
      </c>
      <c r="AX898" s="69" t="s">
        <v>296</v>
      </c>
      <c r="AY898" s="243" t="s">
        <v>125</v>
      </c>
      <c r="AZ898" s="243" t="str">
        <f t="shared" si="348"/>
        <v>Coho</v>
      </c>
      <c r="BA898" s="243" t="s">
        <v>419</v>
      </c>
      <c r="BB898" s="246"/>
      <c r="BC898" s="43" t="str">
        <f t="shared" si="349"/>
        <v>-</v>
      </c>
      <c r="BD898" s="43">
        <f t="shared" si="367"/>
        <v>0</v>
      </c>
      <c r="BE898" s="193">
        <f t="shared" si="365"/>
        <v>0</v>
      </c>
      <c r="BF898" s="193">
        <f t="shared" si="350"/>
        <v>0</v>
      </c>
      <c r="BG898" s="193">
        <f t="shared" si="351"/>
        <v>0</v>
      </c>
      <c r="BH898" s="307">
        <f t="shared" si="366"/>
        <v>0</v>
      </c>
      <c r="BI898" s="271"/>
      <c r="BJ898" s="26" t="str">
        <f t="shared" si="352"/>
        <v>KOOTOWIS CREEKCoho</v>
      </c>
      <c r="BK898" s="26">
        <f t="shared" si="353"/>
        <v>0</v>
      </c>
      <c r="BL898" s="33">
        <f t="shared" si="368"/>
        <v>0</v>
      </c>
      <c r="BQ898" s="47" t="str">
        <f t="shared" si="354"/>
        <v>KOOTOWIS CREEKCoho</v>
      </c>
      <c r="BR898" s="49">
        <f t="shared" si="355"/>
        <v>0</v>
      </c>
      <c r="BS898" s="49">
        <f t="shared" si="364"/>
        <v>0</v>
      </c>
      <c r="BT898" s="31">
        <v>2002</v>
      </c>
      <c r="BU898" s="188">
        <f t="shared" si="356"/>
        <v>0</v>
      </c>
      <c r="BV898" s="188" t="str">
        <f t="shared" si="357"/>
        <v xml:space="preserve"> </v>
      </c>
      <c r="BW898" s="188" t="str">
        <f t="shared" si="358"/>
        <v xml:space="preserve"> </v>
      </c>
      <c r="BX898" s="188" t="str">
        <f t="shared" si="359"/>
        <v xml:space="preserve"> </v>
      </c>
      <c r="BY898" s="50" t="str">
        <f t="shared" si="370"/>
        <v>KOOTOWIS CREEK_Coho</v>
      </c>
      <c r="BZ898" s="50" t="str">
        <f>IFERROR(VLOOKUP(BY898,'[1]WCVI Esc'!$C$5:$W$555,18,FALSE),"-")</f>
        <v>-</v>
      </c>
      <c r="CA898" s="50" t="str">
        <f t="shared" si="360"/>
        <v>-</v>
      </c>
      <c r="CB898" s="50" t="str">
        <f>IFERROR(VLOOKUP(BY898,'[1]WCVI Esc'!$C$5:$W$555,19,FALSE),"-")</f>
        <v>-</v>
      </c>
      <c r="CC898" s="50" t="str">
        <f t="shared" si="361"/>
        <v>-</v>
      </c>
      <c r="CE898" s="342" t="str">
        <f t="shared" si="369"/>
        <v>KOOTOWIS CREEK_Coho</v>
      </c>
      <c r="CF898" s="341">
        <f>IFERROR(VLOOKUP(BY898,'RawPL+D'!$O$8:$AB$503,12,FALSE),"-")</f>
        <v>0</v>
      </c>
      <c r="CG898" s="338">
        <f t="shared" si="362"/>
        <v>0</v>
      </c>
      <c r="CH898" s="341">
        <f>IFERROR(VLOOKUP(BY898,'RawPL+D'!$O$8:$AB$503,13,FALSE),"-")</f>
        <v>0</v>
      </c>
      <c r="CI898" s="338">
        <f t="shared" si="363"/>
        <v>0</v>
      </c>
    </row>
    <row r="899" spans="1:87" ht="12.75" hidden="1" customHeight="1" x14ac:dyDescent="0.2">
      <c r="A899" s="28">
        <v>4</v>
      </c>
      <c r="B899" s="28">
        <v>3</v>
      </c>
      <c r="C899" s="11">
        <v>24</v>
      </c>
      <c r="D899" s="13" t="s">
        <v>296</v>
      </c>
      <c r="E899" s="10" t="s">
        <v>125</v>
      </c>
      <c r="F899" s="10" t="s">
        <v>208</v>
      </c>
      <c r="G899" s="10"/>
      <c r="H899" s="10"/>
      <c r="I899" s="10"/>
      <c r="J899" s="10"/>
      <c r="K899" s="575"/>
      <c r="L899" s="152"/>
      <c r="M899" s="164"/>
      <c r="N899" s="62"/>
      <c r="O899" s="62"/>
      <c r="P899" s="177"/>
      <c r="Q899" s="171"/>
      <c r="R899" s="94"/>
      <c r="S899" s="94"/>
      <c r="T899" s="94"/>
      <c r="U899" s="62"/>
      <c r="V899" s="164"/>
      <c r="W899" s="62"/>
      <c r="X899" s="62"/>
      <c r="Y899" s="62"/>
      <c r="Z899" s="64"/>
      <c r="AA899" s="164"/>
      <c r="AB899" s="62"/>
      <c r="AC899" s="62"/>
      <c r="AD899" s="64"/>
      <c r="AE899" s="164"/>
      <c r="AF899" s="62"/>
      <c r="AG899" s="64"/>
      <c r="AH899" s="337"/>
      <c r="AI899" s="337"/>
      <c r="AJ899" s="337"/>
      <c r="AK899" s="337"/>
      <c r="AL899" s="412"/>
      <c r="AM899" s="414"/>
      <c r="AN899" s="45"/>
      <c r="AO899" s="45"/>
      <c r="AP899" s="45"/>
      <c r="AQ899" s="485"/>
      <c r="AR899" s="100"/>
      <c r="AS899" s="485"/>
      <c r="AT899" s="24"/>
      <c r="AU899" s="24"/>
      <c r="AV899" s="24"/>
      <c r="AW899" s="18">
        <v>24</v>
      </c>
      <c r="AX899" s="69" t="s">
        <v>296</v>
      </c>
      <c r="AY899" s="243" t="s">
        <v>125</v>
      </c>
      <c r="AZ899" s="243" t="str">
        <f t="shared" si="348"/>
        <v>Pink</v>
      </c>
      <c r="BA899" s="243" t="s">
        <v>419</v>
      </c>
      <c r="BB899" s="246"/>
      <c r="BC899" s="43" t="str">
        <f t="shared" si="349"/>
        <v>-</v>
      </c>
      <c r="BD899" s="43">
        <f t="shared" si="367"/>
        <v>0</v>
      </c>
      <c r="BE899" s="193">
        <f t="shared" si="365"/>
        <v>0</v>
      </c>
      <c r="BF899" s="193">
        <f t="shared" si="350"/>
        <v>0</v>
      </c>
      <c r="BG899" s="193">
        <f t="shared" si="351"/>
        <v>0</v>
      </c>
      <c r="BH899" s="307" t="str">
        <f t="shared" si="366"/>
        <v>-</v>
      </c>
      <c r="BI899" s="266"/>
      <c r="BJ899" s="26" t="str">
        <f t="shared" si="352"/>
        <v>KOOTOWIS CREEKPink</v>
      </c>
      <c r="BK899" s="26">
        <f t="shared" si="353"/>
        <v>0</v>
      </c>
      <c r="BL899" s="33">
        <f t="shared" si="368"/>
        <v>0</v>
      </c>
      <c r="BQ899" s="47" t="str">
        <f t="shared" si="354"/>
        <v>KOOTOWIS CREEKPink</v>
      </c>
      <c r="BR899" s="49">
        <f t="shared" si="355"/>
        <v>0</v>
      </c>
      <c r="BS899" s="49">
        <f t="shared" si="364"/>
        <v>0</v>
      </c>
      <c r="BT899" s="31">
        <v>0</v>
      </c>
      <c r="BU899" s="188">
        <f t="shared" si="356"/>
        <v>0</v>
      </c>
      <c r="BV899" s="188" t="str">
        <f t="shared" si="357"/>
        <v xml:space="preserve"> </v>
      </c>
      <c r="BW899" s="188" t="str">
        <f t="shared" si="358"/>
        <v xml:space="preserve"> </v>
      </c>
      <c r="BX899" s="188" t="str">
        <f t="shared" si="359"/>
        <v xml:space="preserve"> </v>
      </c>
      <c r="BY899" s="50" t="str">
        <f t="shared" si="370"/>
        <v>KOOTOWIS CREEK_Pink</v>
      </c>
      <c r="BZ899" s="50" t="str">
        <f>IFERROR(VLOOKUP(BY899,'[1]WCVI Esc'!$C$5:$W$555,18,FALSE),"-")</f>
        <v>-</v>
      </c>
      <c r="CA899" s="50" t="str">
        <f t="shared" si="360"/>
        <v>-</v>
      </c>
      <c r="CB899" s="50" t="str">
        <f>IFERROR(VLOOKUP(BY899,'[1]WCVI Esc'!$C$5:$W$555,19,FALSE),"-")</f>
        <v>-</v>
      </c>
      <c r="CC899" s="50" t="str">
        <f t="shared" si="361"/>
        <v>-</v>
      </c>
      <c r="CE899" s="342" t="str">
        <f t="shared" si="369"/>
        <v>KOOTOWIS CREEK_Pink</v>
      </c>
      <c r="CF899" s="341" t="str">
        <f>IFERROR(VLOOKUP(BY899,'RawPL+D'!$O$8:$AB$503,12,FALSE),"-")</f>
        <v>-</v>
      </c>
      <c r="CG899" s="338" t="str">
        <f t="shared" si="362"/>
        <v>-</v>
      </c>
      <c r="CH899" s="341" t="str">
        <f>IFERROR(VLOOKUP(BY899,'RawPL+D'!$O$8:$AB$503,13,FALSE),"-")</f>
        <v>-</v>
      </c>
      <c r="CI899" s="338" t="str">
        <f t="shared" si="363"/>
        <v>-</v>
      </c>
    </row>
    <row r="900" spans="1:87" ht="12.75" hidden="1" customHeight="1" x14ac:dyDescent="0.2">
      <c r="A900" s="28">
        <v>4</v>
      </c>
      <c r="B900" s="28">
        <v>4</v>
      </c>
      <c r="C900" s="11">
        <v>24</v>
      </c>
      <c r="D900" s="13" t="s">
        <v>296</v>
      </c>
      <c r="E900" s="10" t="s">
        <v>125</v>
      </c>
      <c r="F900" s="10" t="s">
        <v>209</v>
      </c>
      <c r="G900" s="10"/>
      <c r="H900" s="10"/>
      <c r="I900" s="10"/>
      <c r="J900" s="10"/>
      <c r="K900" s="575"/>
      <c r="L900" s="152"/>
      <c r="M900" s="164"/>
      <c r="N900" s="62"/>
      <c r="O900" s="62"/>
      <c r="P900" s="177"/>
      <c r="Q900" s="171"/>
      <c r="R900" s="94"/>
      <c r="S900" s="94"/>
      <c r="T900" s="94"/>
      <c r="U900" s="62"/>
      <c r="V900" s="164"/>
      <c r="W900" s="62"/>
      <c r="X900" s="62"/>
      <c r="Y900" s="62"/>
      <c r="Z900" s="64"/>
      <c r="AA900" s="164"/>
      <c r="AB900" s="62"/>
      <c r="AC900" s="62"/>
      <c r="AD900" s="64"/>
      <c r="AE900" s="164"/>
      <c r="AF900" s="62"/>
      <c r="AG900" s="64"/>
      <c r="AH900" s="337"/>
      <c r="AI900" s="337"/>
      <c r="AJ900" s="337"/>
      <c r="AK900" s="337"/>
      <c r="AL900" s="412"/>
      <c r="AM900" s="414"/>
      <c r="AN900" s="45"/>
      <c r="AO900" s="45"/>
      <c r="AP900" s="45"/>
      <c r="AQ900" s="485"/>
      <c r="AR900" s="100"/>
      <c r="AS900" s="485"/>
      <c r="AT900" s="24"/>
      <c r="AU900" s="24"/>
      <c r="AV900" s="24"/>
      <c r="AW900" s="18">
        <v>24</v>
      </c>
      <c r="AX900" s="69" t="s">
        <v>296</v>
      </c>
      <c r="AY900" s="243" t="s">
        <v>125</v>
      </c>
      <c r="AZ900" s="243" t="str">
        <f t="shared" si="348"/>
        <v>Chum</v>
      </c>
      <c r="BA900" s="243" t="s">
        <v>419</v>
      </c>
      <c r="BB900" s="246"/>
      <c r="BC900" s="43" t="str">
        <f t="shared" si="349"/>
        <v>-</v>
      </c>
      <c r="BD900" s="43">
        <f t="shared" si="367"/>
        <v>0</v>
      </c>
      <c r="BE900" s="193">
        <f t="shared" si="365"/>
        <v>0</v>
      </c>
      <c r="BF900" s="193">
        <f t="shared" si="350"/>
        <v>0</v>
      </c>
      <c r="BG900" s="193">
        <f t="shared" si="351"/>
        <v>0</v>
      </c>
      <c r="BH900" s="307">
        <f t="shared" si="366"/>
        <v>0</v>
      </c>
      <c r="BI900" s="271"/>
      <c r="BJ900" s="26" t="str">
        <f t="shared" si="352"/>
        <v>KOOTOWIS CREEKChum</v>
      </c>
      <c r="BK900" s="26">
        <f t="shared" si="353"/>
        <v>0</v>
      </c>
      <c r="BL900" s="33">
        <f t="shared" si="368"/>
        <v>0</v>
      </c>
      <c r="BQ900" s="47" t="str">
        <f t="shared" si="354"/>
        <v>KOOTOWIS CREEKChum</v>
      </c>
      <c r="BR900" s="49">
        <f t="shared" si="355"/>
        <v>0</v>
      </c>
      <c r="BS900" s="49">
        <f t="shared" si="364"/>
        <v>0</v>
      </c>
      <c r="BT900" s="31">
        <v>2002</v>
      </c>
      <c r="BU900" s="188">
        <f t="shared" si="356"/>
        <v>0</v>
      </c>
      <c r="BV900" s="188" t="str">
        <f t="shared" si="357"/>
        <v xml:space="preserve"> </v>
      </c>
      <c r="BW900" s="188" t="str">
        <f t="shared" si="358"/>
        <v xml:space="preserve"> </v>
      </c>
      <c r="BX900" s="188" t="str">
        <f t="shared" si="359"/>
        <v xml:space="preserve"> </v>
      </c>
      <c r="BY900" s="50" t="str">
        <f t="shared" si="370"/>
        <v>KOOTOWIS CREEK_Chum</v>
      </c>
      <c r="BZ900" s="50" t="str">
        <f>IFERROR(VLOOKUP(BY900,'[1]WCVI Esc'!$C$5:$W$555,18,FALSE),"-")</f>
        <v>-</v>
      </c>
      <c r="CA900" s="50" t="str">
        <f t="shared" si="360"/>
        <v>-</v>
      </c>
      <c r="CB900" s="50" t="str">
        <f>IFERROR(VLOOKUP(BY900,'[1]WCVI Esc'!$C$5:$W$555,19,FALSE),"-")</f>
        <v>-</v>
      </c>
      <c r="CC900" s="50" t="str">
        <f t="shared" si="361"/>
        <v>-</v>
      </c>
      <c r="CE900" s="342" t="str">
        <f t="shared" si="369"/>
        <v>KOOTOWIS CREEK_Chum</v>
      </c>
      <c r="CF900" s="341">
        <f>IFERROR(VLOOKUP(BY900,'RawPL+D'!$O$8:$AB$503,12,FALSE),"-")</f>
        <v>0</v>
      </c>
      <c r="CG900" s="338">
        <f t="shared" si="362"/>
        <v>0</v>
      </c>
      <c r="CH900" s="341">
        <f>IFERROR(VLOOKUP(BY900,'RawPL+D'!$O$8:$AB$503,13,FALSE),"-")</f>
        <v>0</v>
      </c>
      <c r="CI900" s="338">
        <f t="shared" si="363"/>
        <v>0</v>
      </c>
    </row>
    <row r="901" spans="1:87" ht="12.75" hidden="1" customHeight="1" x14ac:dyDescent="0.2">
      <c r="A901" s="28">
        <v>4</v>
      </c>
      <c r="B901" s="28">
        <v>5</v>
      </c>
      <c r="C901" s="11">
        <v>24</v>
      </c>
      <c r="D901" s="13" t="s">
        <v>296</v>
      </c>
      <c r="E901" s="10" t="s">
        <v>125</v>
      </c>
      <c r="F901" s="10" t="s">
        <v>210</v>
      </c>
      <c r="G901" s="10"/>
      <c r="H901" s="10"/>
      <c r="I901" s="10"/>
      <c r="J901" s="10"/>
      <c r="K901" s="575"/>
      <c r="L901" s="152"/>
      <c r="M901" s="164"/>
      <c r="N901" s="62"/>
      <c r="O901" s="62"/>
      <c r="P901" s="177"/>
      <c r="Q901" s="171"/>
      <c r="R901" s="94"/>
      <c r="S901" s="94"/>
      <c r="T901" s="94"/>
      <c r="U901" s="62"/>
      <c r="V901" s="164"/>
      <c r="W901" s="62"/>
      <c r="X901" s="62"/>
      <c r="Y901" s="62"/>
      <c r="Z901" s="64"/>
      <c r="AA901" s="164"/>
      <c r="AB901" s="62"/>
      <c r="AC901" s="62"/>
      <c r="AD901" s="64"/>
      <c r="AE901" s="164"/>
      <c r="AF901" s="62"/>
      <c r="AG901" s="64"/>
      <c r="AH901" s="337"/>
      <c r="AI901" s="337"/>
      <c r="AJ901" s="337"/>
      <c r="AK901" s="337"/>
      <c r="AL901" s="412"/>
      <c r="AM901" s="414"/>
      <c r="AN901" s="45"/>
      <c r="AO901" s="45"/>
      <c r="AP901" s="45"/>
      <c r="AQ901" s="485"/>
      <c r="AR901" s="100"/>
      <c r="AS901" s="485"/>
      <c r="AT901" s="24"/>
      <c r="AU901" s="24"/>
      <c r="AV901" s="24"/>
      <c r="AW901" s="18">
        <v>24</v>
      </c>
      <c r="AX901" s="69" t="s">
        <v>296</v>
      </c>
      <c r="AY901" s="243" t="s">
        <v>125</v>
      </c>
      <c r="AZ901" s="243" t="str">
        <f t="shared" si="348"/>
        <v>Chinook</v>
      </c>
      <c r="BA901" s="243" t="s">
        <v>419</v>
      </c>
      <c r="BB901" s="246"/>
      <c r="BC901" s="43" t="str">
        <f t="shared" si="349"/>
        <v>-</v>
      </c>
      <c r="BD901" s="43">
        <f t="shared" si="367"/>
        <v>0</v>
      </c>
      <c r="BE901" s="193">
        <f t="shared" si="365"/>
        <v>0</v>
      </c>
      <c r="BF901" s="193">
        <f t="shared" si="350"/>
        <v>0</v>
      </c>
      <c r="BG901" s="193">
        <f t="shared" si="351"/>
        <v>0</v>
      </c>
      <c r="BH901" s="307" t="str">
        <f t="shared" si="366"/>
        <v>-</v>
      </c>
      <c r="BI901" s="271"/>
      <c r="BJ901" s="26" t="str">
        <f t="shared" si="352"/>
        <v>KOOTOWIS CREEKChinook</v>
      </c>
      <c r="BK901" s="26">
        <f t="shared" si="353"/>
        <v>0</v>
      </c>
      <c r="BL901" s="33">
        <f t="shared" si="368"/>
        <v>0</v>
      </c>
      <c r="BQ901" s="47" t="str">
        <f t="shared" si="354"/>
        <v>KOOTOWIS CREEKChinook</v>
      </c>
      <c r="BR901" s="49">
        <f t="shared" si="355"/>
        <v>0</v>
      </c>
      <c r="BS901" s="49">
        <f t="shared" si="364"/>
        <v>0</v>
      </c>
      <c r="BT901" s="31">
        <v>0</v>
      </c>
      <c r="BU901" s="188">
        <f t="shared" si="356"/>
        <v>0</v>
      </c>
      <c r="BV901" s="188" t="str">
        <f t="shared" si="357"/>
        <v xml:space="preserve"> </v>
      </c>
      <c r="BW901" s="188" t="str">
        <f t="shared" si="358"/>
        <v xml:space="preserve"> </v>
      </c>
      <c r="BX901" s="188" t="str">
        <f t="shared" si="359"/>
        <v xml:space="preserve"> </v>
      </c>
      <c r="BY901" s="50" t="str">
        <f t="shared" si="370"/>
        <v>KOOTOWIS CREEK_Chinook</v>
      </c>
      <c r="BZ901" s="50" t="str">
        <f>IFERROR(VLOOKUP(BY901,'[1]WCVI Esc'!$C$5:$W$555,18,FALSE),"-")</f>
        <v>-</v>
      </c>
      <c r="CA901" s="50" t="str">
        <f t="shared" si="360"/>
        <v>-</v>
      </c>
      <c r="CB901" s="50" t="str">
        <f>IFERROR(VLOOKUP(BY901,'[1]WCVI Esc'!$C$5:$W$555,19,FALSE),"-")</f>
        <v>-</v>
      </c>
      <c r="CC901" s="50" t="str">
        <f t="shared" si="361"/>
        <v>-</v>
      </c>
      <c r="CE901" s="342" t="str">
        <f t="shared" si="369"/>
        <v>KOOTOWIS CREEK_Chinook</v>
      </c>
      <c r="CF901" s="341" t="str">
        <f>IFERROR(VLOOKUP(BY901,'RawPL+D'!$O$8:$AB$503,12,FALSE),"-")</f>
        <v>-</v>
      </c>
      <c r="CG901" s="338" t="str">
        <f t="shared" si="362"/>
        <v>-</v>
      </c>
      <c r="CH901" s="341" t="str">
        <f>IFERROR(VLOOKUP(BY901,'RawPL+D'!$O$8:$AB$503,13,FALSE),"-")</f>
        <v>-</v>
      </c>
      <c r="CI901" s="338" t="str">
        <f t="shared" si="363"/>
        <v>-</v>
      </c>
    </row>
    <row r="902" spans="1:87" ht="12.75" hidden="1" customHeight="1" x14ac:dyDescent="0.2">
      <c r="A902" s="28">
        <v>4</v>
      </c>
      <c r="B902" s="28">
        <v>6</v>
      </c>
      <c r="C902" s="11">
        <v>24</v>
      </c>
      <c r="D902" s="13" t="s">
        <v>296</v>
      </c>
      <c r="E902" s="10" t="s">
        <v>125</v>
      </c>
      <c r="F902" s="10" t="s">
        <v>211</v>
      </c>
      <c r="G902" s="10"/>
      <c r="H902" s="10"/>
      <c r="I902" s="10"/>
      <c r="J902" s="10"/>
      <c r="K902" s="575"/>
      <c r="L902" s="152"/>
      <c r="M902" s="164"/>
      <c r="N902" s="62"/>
      <c r="O902" s="62"/>
      <c r="P902" s="177"/>
      <c r="Q902" s="171"/>
      <c r="R902" s="94"/>
      <c r="S902" s="94"/>
      <c r="T902" s="94"/>
      <c r="U902" s="62"/>
      <c r="V902" s="164"/>
      <c r="W902" s="62"/>
      <c r="X902" s="62"/>
      <c r="Y902" s="62"/>
      <c r="Z902" s="64"/>
      <c r="AA902" s="164"/>
      <c r="AB902" s="62"/>
      <c r="AC902" s="62"/>
      <c r="AD902" s="64"/>
      <c r="AE902" s="164"/>
      <c r="AF902" s="62"/>
      <c r="AG902" s="64"/>
      <c r="AH902" s="337"/>
      <c r="AI902" s="337"/>
      <c r="AJ902" s="337"/>
      <c r="AK902" s="337"/>
      <c r="AL902" s="412"/>
      <c r="AM902" s="414"/>
      <c r="AN902" s="45"/>
      <c r="AO902" s="45"/>
      <c r="AP902" s="45"/>
      <c r="AQ902" s="485"/>
      <c r="AR902" s="100"/>
      <c r="AS902" s="485"/>
      <c r="AT902" s="24"/>
      <c r="AU902" s="24"/>
      <c r="AV902" s="24"/>
      <c r="AW902" s="18">
        <v>24</v>
      </c>
      <c r="AX902" s="69" t="s">
        <v>296</v>
      </c>
      <c r="AY902" s="243" t="s">
        <v>125</v>
      </c>
      <c r="AZ902" s="243" t="str">
        <f t="shared" si="348"/>
        <v>Steelhead</v>
      </c>
      <c r="BA902" s="243" t="s">
        <v>419</v>
      </c>
      <c r="BB902" s="246"/>
      <c r="BC902" s="43" t="str">
        <f t="shared" si="349"/>
        <v>-</v>
      </c>
      <c r="BD902" s="43">
        <f t="shared" si="367"/>
        <v>0</v>
      </c>
      <c r="BE902" s="193">
        <f t="shared" si="365"/>
        <v>0</v>
      </c>
      <c r="BF902" s="193">
        <f t="shared" si="350"/>
        <v>0</v>
      </c>
      <c r="BG902" s="193">
        <f t="shared" si="351"/>
        <v>0</v>
      </c>
      <c r="BH902" s="307" t="str">
        <f t="shared" si="366"/>
        <v>-</v>
      </c>
      <c r="BI902" s="266"/>
      <c r="BJ902" s="26" t="str">
        <f t="shared" si="352"/>
        <v>KOOTOWIS CREEKSteelhead</v>
      </c>
      <c r="BK902" s="26">
        <f t="shared" si="353"/>
        <v>0</v>
      </c>
      <c r="BL902" s="33">
        <f t="shared" si="368"/>
        <v>0</v>
      </c>
      <c r="BQ902" s="47" t="str">
        <f t="shared" si="354"/>
        <v>KOOTOWIS CREEKSteelhead</v>
      </c>
      <c r="BR902" s="49">
        <f t="shared" si="355"/>
        <v>0</v>
      </c>
      <c r="BS902" s="49">
        <f t="shared" si="364"/>
        <v>0</v>
      </c>
      <c r="BT902" s="31">
        <v>0</v>
      </c>
      <c r="BU902" s="188">
        <f t="shared" si="356"/>
        <v>0</v>
      </c>
      <c r="BV902" s="188" t="str">
        <f t="shared" si="357"/>
        <v xml:space="preserve"> </v>
      </c>
      <c r="BW902" s="188" t="str">
        <f t="shared" si="358"/>
        <v xml:space="preserve"> </v>
      </c>
      <c r="BX902" s="188" t="str">
        <f t="shared" si="359"/>
        <v xml:space="preserve"> </v>
      </c>
      <c r="BY902" s="50" t="str">
        <f t="shared" si="370"/>
        <v>KOOTOWIS CREEK_Steelhead</v>
      </c>
      <c r="BZ902" s="50" t="str">
        <f>IFERROR(VLOOKUP(BY902,'[1]WCVI Esc'!$C$5:$W$555,18,FALSE),"-")</f>
        <v>-</v>
      </c>
      <c r="CA902" s="50" t="str">
        <f t="shared" si="360"/>
        <v>-</v>
      </c>
      <c r="CB902" s="50" t="str">
        <f>IFERROR(VLOOKUP(BY902,'[1]WCVI Esc'!$C$5:$W$555,19,FALSE),"-")</f>
        <v>-</v>
      </c>
      <c r="CC902" s="50" t="str">
        <f t="shared" si="361"/>
        <v>-</v>
      </c>
      <c r="CE902" s="342" t="str">
        <f t="shared" si="369"/>
        <v>KOOTOWIS CREEK_Steelhead</v>
      </c>
      <c r="CF902" s="341" t="str">
        <f>IFERROR(VLOOKUP(BY902,'RawPL+D'!$O$8:$AB$503,12,FALSE),"-")</f>
        <v>-</v>
      </c>
      <c r="CG902" s="338" t="str">
        <f t="shared" si="362"/>
        <v>-</v>
      </c>
      <c r="CH902" s="341" t="str">
        <f>IFERROR(VLOOKUP(BY902,'RawPL+D'!$O$8:$AB$503,13,FALSE),"-")</f>
        <v>-</v>
      </c>
      <c r="CI902" s="338" t="str">
        <f t="shared" si="363"/>
        <v>-</v>
      </c>
    </row>
    <row r="903" spans="1:87" ht="12.75" hidden="1" customHeight="1" x14ac:dyDescent="0.2">
      <c r="A903" s="28">
        <v>4</v>
      </c>
      <c r="B903" s="28">
        <v>1</v>
      </c>
      <c r="C903" s="11">
        <v>24</v>
      </c>
      <c r="D903" s="13" t="s">
        <v>296</v>
      </c>
      <c r="E903" s="10" t="s">
        <v>437</v>
      </c>
      <c r="F903" s="10" t="s">
        <v>207</v>
      </c>
      <c r="G903" s="10"/>
      <c r="H903" s="10"/>
      <c r="I903" s="10"/>
      <c r="J903" s="10"/>
      <c r="K903" s="575"/>
      <c r="L903" s="152"/>
      <c r="M903" s="422"/>
      <c r="N903" s="339"/>
      <c r="O903" s="62"/>
      <c r="P903" s="424"/>
      <c r="Q903" s="171"/>
      <c r="R903" s="339"/>
      <c r="S903" s="339"/>
      <c r="T903" s="62"/>
      <c r="U903" s="64"/>
      <c r="V903" s="169"/>
      <c r="W903" s="339"/>
      <c r="X903" s="63"/>
      <c r="Y903" s="62"/>
      <c r="Z903" s="64"/>
      <c r="AA903" s="164"/>
      <c r="AB903" s="62"/>
      <c r="AC903" s="62"/>
      <c r="AD903" s="64"/>
      <c r="AE903" s="164"/>
      <c r="AF903" s="62"/>
      <c r="AG903" s="64"/>
      <c r="AH903" s="337"/>
      <c r="AI903" s="337"/>
      <c r="AJ903" s="337"/>
      <c r="AK903" s="337"/>
      <c r="AL903" s="555"/>
      <c r="AM903" s="552"/>
      <c r="AN903" s="45"/>
      <c r="AO903" s="45"/>
      <c r="AP903" s="45"/>
      <c r="AQ903" s="485"/>
      <c r="AR903"/>
      <c r="AS903" s="485"/>
      <c r="AT903" s="24"/>
      <c r="AU903" s="24"/>
      <c r="AV903" s="24"/>
      <c r="AW903" s="18">
        <v>24</v>
      </c>
      <c r="AX903" s="69" t="s">
        <v>296</v>
      </c>
      <c r="AY903" s="243" t="s">
        <v>327</v>
      </c>
      <c r="AZ903" s="243" t="str">
        <f t="shared" si="348"/>
        <v>Sockeye</v>
      </c>
      <c r="BA903" s="243" t="s">
        <v>419</v>
      </c>
      <c r="BB903" s="244" t="s">
        <v>497</v>
      </c>
      <c r="BC903" s="43" t="str">
        <f t="shared" si="349"/>
        <v>-</v>
      </c>
      <c r="BD903" s="43">
        <f t="shared" si="367"/>
        <v>0</v>
      </c>
      <c r="BE903" s="193">
        <f t="shared" si="365"/>
        <v>0</v>
      </c>
      <c r="BF903" s="193">
        <f t="shared" si="350"/>
        <v>0</v>
      </c>
      <c r="BG903" s="193">
        <f t="shared" si="351"/>
        <v>0</v>
      </c>
      <c r="BH903" s="307" t="str">
        <f t="shared" si="366"/>
        <v>-</v>
      </c>
      <c r="BI903" s="266"/>
      <c r="BJ903" s="26" t="str">
        <f t="shared" si="352"/>
        <v>MEARES CREEKSockeye</v>
      </c>
      <c r="BK903" s="26">
        <f t="shared" si="353"/>
        <v>0</v>
      </c>
      <c r="BL903" s="33">
        <f t="shared" si="368"/>
        <v>0</v>
      </c>
      <c r="BQ903" s="47" t="str">
        <f t="shared" si="354"/>
        <v>MEARES CREEKSockeye</v>
      </c>
      <c r="BR903" s="49">
        <f t="shared" si="355"/>
        <v>0</v>
      </c>
      <c r="BS903" s="49">
        <f t="shared" si="364"/>
        <v>0</v>
      </c>
      <c r="BT903" s="31">
        <v>0</v>
      </c>
      <c r="BU903" s="188" t="str">
        <f t="shared" si="356"/>
        <v>TSES</v>
      </c>
      <c r="BV903" s="188" t="str">
        <f t="shared" si="357"/>
        <v xml:space="preserve"> </v>
      </c>
      <c r="BW903" s="188" t="str">
        <f t="shared" si="358"/>
        <v xml:space="preserve"> </v>
      </c>
      <c r="BX903" s="188" t="str">
        <f t="shared" si="359"/>
        <v xml:space="preserve"> </v>
      </c>
      <c r="BY903" s="50" t="str">
        <f t="shared" si="370"/>
        <v>MEARES CREEK_Sockeye</v>
      </c>
      <c r="BZ903" s="50" t="str">
        <f>IFERROR(VLOOKUP(BY903,'[1]WCVI Esc'!$C$5:$W$555,18,FALSE),"-")</f>
        <v>-</v>
      </c>
      <c r="CA903" s="50" t="str">
        <f t="shared" si="360"/>
        <v>-</v>
      </c>
      <c r="CB903" s="50" t="str">
        <f>IFERROR(VLOOKUP(BY903,'[1]WCVI Esc'!$C$5:$W$555,19,FALSE),"-")</f>
        <v>-</v>
      </c>
      <c r="CC903" s="50" t="str">
        <f t="shared" si="361"/>
        <v>-</v>
      </c>
      <c r="CE903" s="342" t="str">
        <f t="shared" si="369"/>
        <v>MEARES CREEK_Sockeye</v>
      </c>
      <c r="CF903" s="341" t="str">
        <f>IFERROR(VLOOKUP(BY903,'RawPL+D'!$O$8:$AB$503,12,FALSE),"-")</f>
        <v>-</v>
      </c>
      <c r="CG903" s="338" t="str">
        <f t="shared" si="362"/>
        <v>-</v>
      </c>
      <c r="CH903" s="341" t="str">
        <f>IFERROR(VLOOKUP(BY903,'RawPL+D'!$O$8:$AB$503,13,FALSE),"-")</f>
        <v>-</v>
      </c>
      <c r="CI903" s="338" t="str">
        <f t="shared" si="363"/>
        <v>-</v>
      </c>
    </row>
    <row r="904" spans="1:87" ht="12.75" hidden="1" customHeight="1" x14ac:dyDescent="0.2">
      <c r="A904" s="28">
        <v>4</v>
      </c>
      <c r="B904" s="28">
        <v>2</v>
      </c>
      <c r="C904" s="11">
        <v>24</v>
      </c>
      <c r="D904" s="13" t="s">
        <v>296</v>
      </c>
      <c r="E904" s="10" t="s">
        <v>437</v>
      </c>
      <c r="F904" s="10" t="s">
        <v>219</v>
      </c>
      <c r="G904" s="10"/>
      <c r="H904" s="10"/>
      <c r="I904" s="10"/>
      <c r="J904" s="10"/>
      <c r="K904" s="575"/>
      <c r="L904" s="152"/>
      <c r="M904" s="422"/>
      <c r="N904" s="339"/>
      <c r="O904" s="62"/>
      <c r="P904" s="424"/>
      <c r="Q904" s="171"/>
      <c r="R904" s="339"/>
      <c r="S904" s="339"/>
      <c r="T904" s="62"/>
      <c r="U904" s="64"/>
      <c r="V904" s="164"/>
      <c r="W904" s="339"/>
      <c r="X904" s="63"/>
      <c r="Y904" s="62"/>
      <c r="Z904" s="64"/>
      <c r="AA904" s="164"/>
      <c r="AB904" s="62"/>
      <c r="AC904" s="62"/>
      <c r="AD904" s="64"/>
      <c r="AE904" s="164"/>
      <c r="AF904" s="62"/>
      <c r="AG904" s="64"/>
      <c r="AH904" s="337"/>
      <c r="AI904" s="337"/>
      <c r="AJ904" s="337"/>
      <c r="AK904" s="337"/>
      <c r="AL904" s="555"/>
      <c r="AM904" s="552"/>
      <c r="AN904" s="45"/>
      <c r="AO904" s="45"/>
      <c r="AP904" s="45"/>
      <c r="AQ904" s="485"/>
      <c r="AR904"/>
      <c r="AS904" s="485"/>
      <c r="AT904" s="24"/>
      <c r="AU904" s="24"/>
      <c r="AV904" s="24"/>
      <c r="AW904" s="18">
        <v>24</v>
      </c>
      <c r="AX904" s="69" t="s">
        <v>296</v>
      </c>
      <c r="AY904" s="243" t="s">
        <v>327</v>
      </c>
      <c r="AZ904" s="243" t="str">
        <f t="shared" si="348"/>
        <v>Coho</v>
      </c>
      <c r="BA904" s="243" t="s">
        <v>419</v>
      </c>
      <c r="BB904" s="244" t="s">
        <v>497</v>
      </c>
      <c r="BC904" s="43" t="str">
        <f t="shared" si="349"/>
        <v>-</v>
      </c>
      <c r="BD904" s="43">
        <f t="shared" si="367"/>
        <v>0</v>
      </c>
      <c r="BE904" s="193">
        <f t="shared" si="365"/>
        <v>0</v>
      </c>
      <c r="BF904" s="193">
        <f t="shared" si="350"/>
        <v>0</v>
      </c>
      <c r="BG904" s="193">
        <f t="shared" si="351"/>
        <v>0</v>
      </c>
      <c r="BH904" s="307">
        <f t="shared" si="366"/>
        <v>0</v>
      </c>
      <c r="BI904" s="266"/>
      <c r="BJ904" s="26" t="str">
        <f t="shared" si="352"/>
        <v>MEARES CREEKCoho</v>
      </c>
      <c r="BK904" s="26">
        <f t="shared" si="353"/>
        <v>0</v>
      </c>
      <c r="BL904" s="33">
        <f t="shared" si="368"/>
        <v>0</v>
      </c>
      <c r="BQ904" s="47" t="str">
        <f t="shared" si="354"/>
        <v>MEARES CREEKCoho</v>
      </c>
      <c r="BR904" s="49">
        <f t="shared" si="355"/>
        <v>0</v>
      </c>
      <c r="BS904" s="49">
        <f t="shared" si="364"/>
        <v>0</v>
      </c>
      <c r="BT904" s="31">
        <v>2016</v>
      </c>
      <c r="BU904" s="188" t="str">
        <f t="shared" si="356"/>
        <v>TSES</v>
      </c>
      <c r="BV904" s="188" t="str">
        <f t="shared" si="357"/>
        <v xml:space="preserve"> </v>
      </c>
      <c r="BW904" s="188" t="str">
        <f t="shared" si="358"/>
        <v xml:space="preserve"> </v>
      </c>
      <c r="BX904" s="188" t="str">
        <f t="shared" si="359"/>
        <v xml:space="preserve"> </v>
      </c>
      <c r="BY904" s="50" t="str">
        <f t="shared" si="370"/>
        <v>MEARES CREEK_Coho</v>
      </c>
      <c r="BZ904" s="50" t="str">
        <f>IFERROR(VLOOKUP(BY904,'[1]WCVI Esc'!$C$5:$W$555,18,FALSE),"-")</f>
        <v>-</v>
      </c>
      <c r="CA904" s="50" t="str">
        <f t="shared" si="360"/>
        <v>-</v>
      </c>
      <c r="CB904" s="50">
        <f>IFERROR(VLOOKUP(BY904,'[1]WCVI Esc'!$C$5:$W$555,19,FALSE),"-")</f>
        <v>3</v>
      </c>
      <c r="CC904" s="50">
        <f t="shared" si="361"/>
        <v>0</v>
      </c>
      <c r="CE904" s="342" t="str">
        <f t="shared" si="369"/>
        <v>MEARES CREEK_Coho</v>
      </c>
      <c r="CF904" s="341">
        <f>IFERROR(VLOOKUP(BY904,'RawPL+D'!$O$8:$AB$503,12,FALSE),"-")</f>
        <v>0</v>
      </c>
      <c r="CG904" s="338">
        <f t="shared" si="362"/>
        <v>0</v>
      </c>
      <c r="CH904" s="341">
        <f>IFERROR(VLOOKUP(BY904,'RawPL+D'!$O$8:$AB$503,13,FALSE),"-")</f>
        <v>0</v>
      </c>
      <c r="CI904" s="338">
        <f t="shared" si="363"/>
        <v>0</v>
      </c>
    </row>
    <row r="905" spans="1:87" ht="12.75" hidden="1" customHeight="1" x14ac:dyDescent="0.2">
      <c r="A905" s="28">
        <v>4</v>
      </c>
      <c r="B905" s="28">
        <v>3</v>
      </c>
      <c r="C905" s="11">
        <v>24</v>
      </c>
      <c r="D905" s="13" t="s">
        <v>296</v>
      </c>
      <c r="E905" s="10" t="s">
        <v>437</v>
      </c>
      <c r="F905" s="10" t="s">
        <v>208</v>
      </c>
      <c r="G905" s="10"/>
      <c r="H905" s="10"/>
      <c r="I905" s="10"/>
      <c r="J905" s="10"/>
      <c r="K905" s="575"/>
      <c r="L905" s="152"/>
      <c r="M905" s="422"/>
      <c r="N905" s="339"/>
      <c r="O905" s="62"/>
      <c r="P905" s="424"/>
      <c r="Q905" s="171"/>
      <c r="R905" s="339"/>
      <c r="S905" s="339"/>
      <c r="T905" s="62"/>
      <c r="U905" s="64"/>
      <c r="V905" s="169"/>
      <c r="W905" s="339"/>
      <c r="X905" s="63"/>
      <c r="Y905" s="62"/>
      <c r="Z905" s="64"/>
      <c r="AA905" s="164"/>
      <c r="AB905" s="62"/>
      <c r="AC905" s="62"/>
      <c r="AD905" s="64"/>
      <c r="AE905" s="164"/>
      <c r="AF905" s="62"/>
      <c r="AG905" s="64"/>
      <c r="AH905" s="337"/>
      <c r="AI905" s="337"/>
      <c r="AJ905" s="337"/>
      <c r="AK905" s="337"/>
      <c r="AL905" s="555"/>
      <c r="AM905" s="552"/>
      <c r="AN905" s="45"/>
      <c r="AO905" s="45"/>
      <c r="AP905" s="45"/>
      <c r="AQ905" s="485"/>
      <c r="AR905"/>
      <c r="AS905" s="485"/>
      <c r="AT905" s="24"/>
      <c r="AU905" s="24"/>
      <c r="AV905" s="24"/>
      <c r="AW905" s="18">
        <v>24</v>
      </c>
      <c r="AX905" s="69" t="s">
        <v>296</v>
      </c>
      <c r="AY905" s="243" t="s">
        <v>327</v>
      </c>
      <c r="AZ905" s="243" t="str">
        <f t="shared" ref="AZ905:AZ968" si="371">F905</f>
        <v>Pink</v>
      </c>
      <c r="BA905" s="243" t="s">
        <v>419</v>
      </c>
      <c r="BB905" s="244" t="s">
        <v>497</v>
      </c>
      <c r="BC905" s="43" t="str">
        <f t="shared" ref="BC905:BC968" si="372">IF(BX905=" ",IF(BW905=" ", IF(BV905=" ","-",BV905),BW905), BX905)</f>
        <v>-</v>
      </c>
      <c r="BD905" s="43">
        <f t="shared" si="367"/>
        <v>0</v>
      </c>
      <c r="BE905" s="193">
        <f t="shared" si="365"/>
        <v>0</v>
      </c>
      <c r="BF905" s="193">
        <f t="shared" ref="BF905:BF968" si="373">AL905</f>
        <v>0</v>
      </c>
      <c r="BG905" s="193">
        <f t="shared" ref="BG905:BG968" si="374">AH905</f>
        <v>0</v>
      </c>
      <c r="BH905" s="307" t="str">
        <f t="shared" si="366"/>
        <v>-</v>
      </c>
      <c r="BI905" s="266"/>
      <c r="BJ905" s="26" t="str">
        <f t="shared" ref="BJ905:BJ968" si="375">CONCATENATE(E905,F905)</f>
        <v>MEARES CREEKPink</v>
      </c>
      <c r="BK905" s="26">
        <f t="shared" ref="BK905:BK968" si="376">COUNT(K905:AB905)</f>
        <v>0</v>
      </c>
      <c r="BL905" s="33">
        <f t="shared" si="368"/>
        <v>0</v>
      </c>
      <c r="BQ905" s="47" t="str">
        <f t="shared" ref="BQ905:BQ968" si="377">CONCATENATE(E905,F905)</f>
        <v>MEARES CREEKPink</v>
      </c>
      <c r="BR905" s="49">
        <f t="shared" ref="BR905:BR968" si="378">AP905</f>
        <v>0</v>
      </c>
      <c r="BS905" s="49">
        <f t="shared" si="364"/>
        <v>0</v>
      </c>
      <c r="BT905" s="31">
        <v>0</v>
      </c>
      <c r="BU905" s="188" t="str">
        <f t="shared" ref="BU905:BU968" si="379">BB905</f>
        <v>TSES</v>
      </c>
      <c r="BV905" s="188" t="str">
        <f t="shared" ref="BV905:BV968" si="380">IF(ISNUMBER(Q905),Q$8,IF(ISNUMBER(P905),P$8,IF(ISNUMBER(O905),O$8,IF(ISNUMBER(N905),N$8,IF(ISNUMBER(M905),M$8,IF(ISNUMBER(L905),L$8, IF(ISNUMBER(K905),K$8," ")))))))</f>
        <v xml:space="preserve"> </v>
      </c>
      <c r="BW905" s="188" t="str">
        <f t="shared" si="358"/>
        <v xml:space="preserve"> </v>
      </c>
      <c r="BX905" s="188" t="str">
        <f t="shared" ref="BX905:BX968" si="381">IF(ISNUMBER(AB905),AB$8,IF(ISNUMBER(AA905),AA$8,IF(ISNUMBER(Z905),Z$8,IF(ISNUMBER(Y905),Y$8,IF(ISNUMBER(X905),X$8," ")))))</f>
        <v xml:space="preserve"> </v>
      </c>
      <c r="BY905" s="50" t="str">
        <f t="shared" si="370"/>
        <v>MEARES CREEK_Pink</v>
      </c>
      <c r="BZ905" s="50" t="str">
        <f>IFERROR(VLOOKUP(BY905,'[1]WCVI Esc'!$C$5:$W$555,18,FALSE),"-")</f>
        <v>-</v>
      </c>
      <c r="CA905" s="50" t="str">
        <f t="shared" ref="CA905:CA968" si="382">IFERROR(ROUND(BZ905,-1),"-")</f>
        <v>-</v>
      </c>
      <c r="CB905" s="50" t="str">
        <f>IFERROR(VLOOKUP(BY905,'[1]WCVI Esc'!$C$5:$W$555,19,FALSE),"-")</f>
        <v>-</v>
      </c>
      <c r="CC905" s="50" t="str">
        <f t="shared" ref="CC905:CC968" si="383">IFERROR(ROUND(CB905,-1),"-")</f>
        <v>-</v>
      </c>
      <c r="CE905" s="342" t="str">
        <f t="shared" si="369"/>
        <v>MEARES CREEK_Pink</v>
      </c>
      <c r="CF905" s="341" t="str">
        <f>IFERROR(VLOOKUP(BY905,'RawPL+D'!$O$8:$AB$503,12,FALSE),"-")</f>
        <v>-</v>
      </c>
      <c r="CG905" s="338" t="str">
        <f t="shared" ref="CG905:CG968" si="384">IFERROR(ROUND(CF905,-1),"-")</f>
        <v>-</v>
      </c>
      <c r="CH905" s="341" t="str">
        <f>IFERROR(VLOOKUP(BY905,'RawPL+D'!$O$8:$AB$503,13,FALSE),"-")</f>
        <v>-</v>
      </c>
      <c r="CI905" s="338" t="str">
        <f t="shared" ref="CI905:CI968" si="385">IFERROR(ROUND(CH905,-1),"-")</f>
        <v>-</v>
      </c>
    </row>
    <row r="906" spans="1:87" ht="12.75" hidden="1" customHeight="1" x14ac:dyDescent="0.2">
      <c r="A906" s="28">
        <v>4</v>
      </c>
      <c r="B906" s="28">
        <v>4</v>
      </c>
      <c r="C906" s="11">
        <v>24</v>
      </c>
      <c r="D906" s="13" t="s">
        <v>296</v>
      </c>
      <c r="E906" s="10" t="s">
        <v>437</v>
      </c>
      <c r="F906" s="10" t="s">
        <v>209</v>
      </c>
      <c r="G906" s="10"/>
      <c r="H906" s="10"/>
      <c r="I906" s="10"/>
      <c r="J906" s="10"/>
      <c r="K906" s="575"/>
      <c r="L906" s="152"/>
      <c r="M906" s="422"/>
      <c r="N906" s="339"/>
      <c r="O906" s="62"/>
      <c r="P906" s="424"/>
      <c r="Q906" s="171"/>
      <c r="R906" s="339"/>
      <c r="S906" s="339"/>
      <c r="T906" s="62"/>
      <c r="U906" s="391"/>
      <c r="V906" s="164"/>
      <c r="W906" s="339"/>
      <c r="X906" s="63"/>
      <c r="Y906" s="62"/>
      <c r="Z906" s="64"/>
      <c r="AA906" s="164"/>
      <c r="AB906" s="62"/>
      <c r="AC906" s="62"/>
      <c r="AD906" s="64"/>
      <c r="AE906" s="164"/>
      <c r="AF906" s="62"/>
      <c r="AG906" s="64"/>
      <c r="AH906" s="337"/>
      <c r="AI906" s="337"/>
      <c r="AJ906" s="337"/>
      <c r="AK906" s="337"/>
      <c r="AL906" s="555"/>
      <c r="AM906" s="552"/>
      <c r="AN906" s="45"/>
      <c r="AO906" s="45"/>
      <c r="AP906" s="45"/>
      <c r="AQ906" s="485"/>
      <c r="AR906"/>
      <c r="AS906" s="485"/>
      <c r="AT906" s="24"/>
      <c r="AU906" s="24"/>
      <c r="AV906" s="24"/>
      <c r="AW906" s="18">
        <v>24</v>
      </c>
      <c r="AX906" s="69" t="s">
        <v>296</v>
      </c>
      <c r="AY906" s="243" t="s">
        <v>327</v>
      </c>
      <c r="AZ906" s="243" t="str">
        <f t="shared" si="371"/>
        <v>Chum</v>
      </c>
      <c r="BA906" s="243" t="s">
        <v>419</v>
      </c>
      <c r="BB906" s="244" t="s">
        <v>497</v>
      </c>
      <c r="BC906" s="43" t="str">
        <f t="shared" si="372"/>
        <v>-</v>
      </c>
      <c r="BD906" s="43">
        <f t="shared" si="367"/>
        <v>0</v>
      </c>
      <c r="BE906" s="193">
        <f t="shared" si="365"/>
        <v>0</v>
      </c>
      <c r="BF906" s="193">
        <f t="shared" si="373"/>
        <v>0</v>
      </c>
      <c r="BG906" s="193">
        <f t="shared" si="374"/>
        <v>0</v>
      </c>
      <c r="BH906" s="307">
        <f t="shared" si="366"/>
        <v>0</v>
      </c>
      <c r="BI906" s="308" t="s">
        <v>242</v>
      </c>
      <c r="BJ906" s="26" t="str">
        <f t="shared" si="375"/>
        <v>MEARES CREEKChum</v>
      </c>
      <c r="BK906" s="26">
        <f t="shared" si="376"/>
        <v>0</v>
      </c>
      <c r="BL906" s="33">
        <f t="shared" si="368"/>
        <v>0</v>
      </c>
      <c r="BQ906" s="47" t="str">
        <f t="shared" si="377"/>
        <v>MEARES CREEKChum</v>
      </c>
      <c r="BR906" s="49">
        <f t="shared" si="378"/>
        <v>0</v>
      </c>
      <c r="BS906" s="49">
        <f t="shared" si="364"/>
        <v>0</v>
      </c>
      <c r="BT906" s="31">
        <v>2016</v>
      </c>
      <c r="BU906" s="188" t="str">
        <f t="shared" si="379"/>
        <v>TSES</v>
      </c>
      <c r="BV906" s="188" t="str">
        <f t="shared" si="380"/>
        <v xml:space="preserve"> </v>
      </c>
      <c r="BW906" s="188" t="str">
        <f t="shared" si="358"/>
        <v xml:space="preserve"> </v>
      </c>
      <c r="BX906" s="188" t="str">
        <f t="shared" si="381"/>
        <v xml:space="preserve"> </v>
      </c>
      <c r="BY906" s="50" t="str">
        <f t="shared" si="370"/>
        <v>MEARES CREEK_Chum</v>
      </c>
      <c r="BZ906" s="50">
        <f>IFERROR(VLOOKUP(BY906,'[1]WCVI Esc'!$C$5:$W$555,18,FALSE),"-")</f>
        <v>2</v>
      </c>
      <c r="CA906" s="50">
        <f t="shared" si="382"/>
        <v>0</v>
      </c>
      <c r="CB906" s="50">
        <f>IFERROR(VLOOKUP(BY906,'[1]WCVI Esc'!$C$5:$W$555,19,FALSE),"-")</f>
        <v>48.5</v>
      </c>
      <c r="CC906" s="50">
        <f t="shared" si="383"/>
        <v>50</v>
      </c>
      <c r="CE906" s="342" t="str">
        <f t="shared" si="369"/>
        <v>MEARES CREEK_Chum</v>
      </c>
      <c r="CF906" s="341">
        <f>IFERROR(VLOOKUP(BY906,'RawPL+D'!$O$8:$AB$503,12,FALSE),"-")</f>
        <v>3</v>
      </c>
      <c r="CG906" s="338">
        <f t="shared" si="384"/>
        <v>0</v>
      </c>
      <c r="CH906" s="341">
        <f>IFERROR(VLOOKUP(BY906,'RawPL+D'!$O$8:$AB$503,13,FALSE),"-")</f>
        <v>3</v>
      </c>
      <c r="CI906" s="338">
        <f t="shared" si="385"/>
        <v>0</v>
      </c>
    </row>
    <row r="907" spans="1:87" ht="12.75" hidden="1" customHeight="1" x14ac:dyDescent="0.2">
      <c r="A907" s="28">
        <v>4</v>
      </c>
      <c r="B907" s="28">
        <v>5</v>
      </c>
      <c r="C907" s="11">
        <v>24</v>
      </c>
      <c r="D907" s="13" t="s">
        <v>296</v>
      </c>
      <c r="E907" s="10" t="s">
        <v>437</v>
      </c>
      <c r="F907" s="10" t="s">
        <v>210</v>
      </c>
      <c r="G907" s="10"/>
      <c r="H907" s="10"/>
      <c r="I907" s="10"/>
      <c r="J907" s="10"/>
      <c r="K907" s="575"/>
      <c r="L907" s="152"/>
      <c r="M907" s="422"/>
      <c r="N907" s="339"/>
      <c r="O907" s="62"/>
      <c r="P907" s="424"/>
      <c r="Q907" s="171"/>
      <c r="R907" s="339"/>
      <c r="S907" s="339"/>
      <c r="T907" s="62"/>
      <c r="U907" s="64"/>
      <c r="V907" s="169"/>
      <c r="W907" s="339"/>
      <c r="X907" s="63"/>
      <c r="Y907" s="62"/>
      <c r="Z907" s="64"/>
      <c r="AA907" s="164"/>
      <c r="AB907" s="62"/>
      <c r="AC907" s="62"/>
      <c r="AD907" s="64"/>
      <c r="AE907" s="164"/>
      <c r="AF907" s="62"/>
      <c r="AG907" s="64"/>
      <c r="AH907" s="337"/>
      <c r="AI907" s="337"/>
      <c r="AJ907" s="337"/>
      <c r="AK907" s="337"/>
      <c r="AL907" s="555"/>
      <c r="AM907" s="552"/>
      <c r="AN907" s="45"/>
      <c r="AO907" s="45"/>
      <c r="AP907" s="45"/>
      <c r="AQ907" s="485"/>
      <c r="AR907"/>
      <c r="AS907" s="485"/>
      <c r="AT907" s="24"/>
      <c r="AU907" s="24"/>
      <c r="AV907" s="24"/>
      <c r="AW907" s="18">
        <v>24</v>
      </c>
      <c r="AX907" s="69" t="s">
        <v>296</v>
      </c>
      <c r="AY907" s="243" t="s">
        <v>327</v>
      </c>
      <c r="AZ907" s="243" t="str">
        <f t="shared" si="371"/>
        <v>Chinook</v>
      </c>
      <c r="BA907" s="243" t="s">
        <v>419</v>
      </c>
      <c r="BB907" s="244" t="s">
        <v>497</v>
      </c>
      <c r="BC907" s="43" t="str">
        <f t="shared" si="372"/>
        <v>-</v>
      </c>
      <c r="BD907" s="43">
        <f t="shared" si="367"/>
        <v>0</v>
      </c>
      <c r="BE907" s="193">
        <f t="shared" si="365"/>
        <v>0</v>
      </c>
      <c r="BF907" s="193">
        <f t="shared" si="373"/>
        <v>0</v>
      </c>
      <c r="BG907" s="193">
        <f t="shared" si="374"/>
        <v>0</v>
      </c>
      <c r="BH907" s="307" t="str">
        <f t="shared" si="366"/>
        <v>-</v>
      </c>
      <c r="BI907" s="266"/>
      <c r="BJ907" s="26" t="str">
        <f t="shared" si="375"/>
        <v>MEARES CREEKChinook</v>
      </c>
      <c r="BK907" s="26">
        <f t="shared" si="376"/>
        <v>0</v>
      </c>
      <c r="BL907" s="33">
        <f t="shared" si="368"/>
        <v>0</v>
      </c>
      <c r="BQ907" s="47" t="str">
        <f t="shared" si="377"/>
        <v>MEARES CREEKChinook</v>
      </c>
      <c r="BR907" s="49">
        <f t="shared" si="378"/>
        <v>0</v>
      </c>
      <c r="BS907" s="49">
        <f t="shared" si="364"/>
        <v>0</v>
      </c>
      <c r="BT907" s="31">
        <v>0</v>
      </c>
      <c r="BU907" s="188" t="str">
        <f t="shared" si="379"/>
        <v>TSES</v>
      </c>
      <c r="BV907" s="188" t="str">
        <f t="shared" si="380"/>
        <v xml:space="preserve"> </v>
      </c>
      <c r="BW907" s="188" t="str">
        <f t="shared" si="358"/>
        <v xml:space="preserve"> </v>
      </c>
      <c r="BX907" s="188" t="str">
        <f t="shared" si="381"/>
        <v xml:space="preserve"> </v>
      </c>
      <c r="BY907" s="50" t="str">
        <f t="shared" si="370"/>
        <v>MEARES CREEK_Chinook</v>
      </c>
      <c r="BZ907" s="50" t="str">
        <f>IFERROR(VLOOKUP(BY907,'[1]WCVI Esc'!$C$5:$W$555,18,FALSE),"-")</f>
        <v>-</v>
      </c>
      <c r="CA907" s="50" t="str">
        <f t="shared" si="382"/>
        <v>-</v>
      </c>
      <c r="CB907" s="50" t="str">
        <f>IFERROR(VLOOKUP(BY907,'[1]WCVI Esc'!$C$5:$W$555,19,FALSE),"-")</f>
        <v>-</v>
      </c>
      <c r="CC907" s="50" t="str">
        <f t="shared" si="383"/>
        <v>-</v>
      </c>
      <c r="CE907" s="342" t="str">
        <f t="shared" si="369"/>
        <v>MEARES CREEK_Chinook</v>
      </c>
      <c r="CF907" s="341" t="str">
        <f>IFERROR(VLOOKUP(BY907,'RawPL+D'!$O$8:$AB$503,12,FALSE),"-")</f>
        <v>-</v>
      </c>
      <c r="CG907" s="338" t="str">
        <f t="shared" si="384"/>
        <v>-</v>
      </c>
      <c r="CH907" s="341" t="str">
        <f>IFERROR(VLOOKUP(BY907,'RawPL+D'!$O$8:$AB$503,13,FALSE),"-")</f>
        <v>-</v>
      </c>
      <c r="CI907" s="338" t="str">
        <f t="shared" si="385"/>
        <v>-</v>
      </c>
    </row>
    <row r="908" spans="1:87" ht="12.75" hidden="1" customHeight="1" x14ac:dyDescent="0.2">
      <c r="A908" s="28">
        <v>4</v>
      </c>
      <c r="B908" s="28">
        <v>6</v>
      </c>
      <c r="C908" s="11">
        <v>24</v>
      </c>
      <c r="D908" s="13" t="s">
        <v>296</v>
      </c>
      <c r="E908" s="10" t="s">
        <v>437</v>
      </c>
      <c r="F908" s="10" t="s">
        <v>211</v>
      </c>
      <c r="G908" s="10"/>
      <c r="H908" s="10"/>
      <c r="I908" s="10"/>
      <c r="J908" s="10"/>
      <c r="K908" s="575"/>
      <c r="L908" s="152"/>
      <c r="M908" s="422"/>
      <c r="N908" s="339"/>
      <c r="O908" s="62"/>
      <c r="P908" s="424"/>
      <c r="Q908" s="171"/>
      <c r="R908" s="339"/>
      <c r="S908" s="339"/>
      <c r="T908" s="62"/>
      <c r="U908" s="64"/>
      <c r="V908" s="169"/>
      <c r="W908" s="339"/>
      <c r="X908" s="63"/>
      <c r="Y908" s="62"/>
      <c r="Z908" s="64"/>
      <c r="AA908" s="164"/>
      <c r="AB908" s="62"/>
      <c r="AC908" s="62"/>
      <c r="AD908" s="64"/>
      <c r="AE908" s="164"/>
      <c r="AF908" s="62"/>
      <c r="AG908" s="64"/>
      <c r="AH908" s="337"/>
      <c r="AI908" s="337"/>
      <c r="AJ908" s="337"/>
      <c r="AK908" s="337"/>
      <c r="AL908" s="555"/>
      <c r="AM908" s="552"/>
      <c r="AN908" s="45"/>
      <c r="AO908" s="45"/>
      <c r="AP908" s="45"/>
      <c r="AQ908" s="485"/>
      <c r="AR908"/>
      <c r="AS908" s="485"/>
      <c r="AT908" s="24"/>
      <c r="AU908" s="24"/>
      <c r="AV908" s="24"/>
      <c r="AW908" s="18">
        <v>24</v>
      </c>
      <c r="AX908" s="69" t="s">
        <v>296</v>
      </c>
      <c r="AY908" s="243" t="s">
        <v>327</v>
      </c>
      <c r="AZ908" s="243" t="str">
        <f t="shared" si="371"/>
        <v>Steelhead</v>
      </c>
      <c r="BA908" s="243" t="s">
        <v>419</v>
      </c>
      <c r="BB908" s="244" t="s">
        <v>497</v>
      </c>
      <c r="BC908" s="43" t="str">
        <f t="shared" si="372"/>
        <v>-</v>
      </c>
      <c r="BD908" s="43">
        <f t="shared" si="367"/>
        <v>0</v>
      </c>
      <c r="BE908" s="193">
        <f t="shared" si="365"/>
        <v>0</v>
      </c>
      <c r="BF908" s="193">
        <f t="shared" si="373"/>
        <v>0</v>
      </c>
      <c r="BG908" s="193">
        <f t="shared" si="374"/>
        <v>0</v>
      </c>
      <c r="BH908" s="307" t="str">
        <f t="shared" si="366"/>
        <v>-</v>
      </c>
      <c r="BI908" s="266"/>
      <c r="BJ908" s="26" t="str">
        <f t="shared" si="375"/>
        <v>MEARES CREEKSteelhead</v>
      </c>
      <c r="BK908" s="26">
        <f t="shared" si="376"/>
        <v>0</v>
      </c>
      <c r="BL908" s="33">
        <f t="shared" si="368"/>
        <v>0</v>
      </c>
      <c r="BQ908" s="47" t="str">
        <f t="shared" si="377"/>
        <v>MEARES CREEKSteelhead</v>
      </c>
      <c r="BR908" s="49">
        <f t="shared" si="378"/>
        <v>0</v>
      </c>
      <c r="BS908" s="49">
        <f t="shared" si="364"/>
        <v>0</v>
      </c>
      <c r="BT908" s="31">
        <v>0</v>
      </c>
      <c r="BU908" s="188" t="str">
        <f t="shared" si="379"/>
        <v>TSES</v>
      </c>
      <c r="BV908" s="188" t="str">
        <f t="shared" si="380"/>
        <v xml:space="preserve"> </v>
      </c>
      <c r="BW908" s="188" t="str">
        <f t="shared" si="358"/>
        <v xml:space="preserve"> </v>
      </c>
      <c r="BX908" s="188" t="str">
        <f t="shared" si="381"/>
        <v xml:space="preserve"> </v>
      </c>
      <c r="BY908" s="50" t="str">
        <f t="shared" si="370"/>
        <v>MEARES CREEK_Steelhead</v>
      </c>
      <c r="BZ908" s="50" t="str">
        <f>IFERROR(VLOOKUP(BY908,'[1]WCVI Esc'!$C$5:$W$555,18,FALSE),"-")</f>
        <v>-</v>
      </c>
      <c r="CA908" s="50" t="str">
        <f t="shared" si="382"/>
        <v>-</v>
      </c>
      <c r="CB908" s="50" t="str">
        <f>IFERROR(VLOOKUP(BY908,'[1]WCVI Esc'!$C$5:$W$555,19,FALSE),"-")</f>
        <v>-</v>
      </c>
      <c r="CC908" s="50" t="str">
        <f t="shared" si="383"/>
        <v>-</v>
      </c>
      <c r="CE908" s="342" t="str">
        <f t="shared" si="369"/>
        <v>MEARES CREEK_Steelhead</v>
      </c>
      <c r="CF908" s="341" t="str">
        <f>IFERROR(VLOOKUP(BY908,'RawPL+D'!$O$8:$AB$503,12,FALSE),"-")</f>
        <v>-</v>
      </c>
      <c r="CG908" s="338" t="str">
        <f t="shared" si="384"/>
        <v>-</v>
      </c>
      <c r="CH908" s="341" t="str">
        <f>IFERROR(VLOOKUP(BY908,'RawPL+D'!$O$8:$AB$503,13,FALSE),"-")</f>
        <v>-</v>
      </c>
      <c r="CI908" s="338" t="str">
        <f t="shared" si="385"/>
        <v>-</v>
      </c>
    </row>
    <row r="909" spans="1:87" ht="12.75" hidden="1" customHeight="1" x14ac:dyDescent="0.2">
      <c r="A909" s="28">
        <v>4</v>
      </c>
      <c r="B909" s="28">
        <v>1</v>
      </c>
      <c r="C909" s="11">
        <v>24</v>
      </c>
      <c r="D909" s="13" t="s">
        <v>296</v>
      </c>
      <c r="E909" s="10" t="s">
        <v>548</v>
      </c>
      <c r="F909" s="10" t="s">
        <v>207</v>
      </c>
      <c r="G909" s="10"/>
      <c r="H909" s="10"/>
      <c r="I909" s="10"/>
      <c r="J909" s="10"/>
      <c r="K909" s="575"/>
      <c r="L909" s="152"/>
      <c r="M909" s="164"/>
      <c r="N909" s="62"/>
      <c r="O909" s="62"/>
      <c r="P909" s="177"/>
      <c r="Q909" s="171"/>
      <c r="R909" s="94"/>
      <c r="S909" s="94"/>
      <c r="T909" s="94"/>
      <c r="U909" s="186"/>
      <c r="V909" s="161"/>
      <c r="W909" s="801">
        <v>9</v>
      </c>
      <c r="X909" s="390"/>
      <c r="Y909" s="62"/>
      <c r="Z909" s="64"/>
      <c r="AA909" s="207"/>
      <c r="AB909" s="202"/>
      <c r="AC909" s="202"/>
      <c r="AD909" s="205"/>
      <c r="AE909" s="207"/>
      <c r="AF909" s="202"/>
      <c r="AG909" s="205"/>
      <c r="AH909" s="337">
        <v>10</v>
      </c>
      <c r="AI909" s="337">
        <v>1</v>
      </c>
      <c r="AJ909" s="337">
        <v>0</v>
      </c>
      <c r="AK909" s="337">
        <v>0</v>
      </c>
      <c r="AL909" s="565">
        <v>10</v>
      </c>
      <c r="AM909" s="571">
        <v>11</v>
      </c>
      <c r="AN909" s="553" t="s">
        <v>765</v>
      </c>
      <c r="AO909" s="552" t="s">
        <v>772</v>
      </c>
      <c r="AP909" s="12"/>
      <c r="AQ909" s="485"/>
      <c r="AR909" s="485">
        <f>BL909/BH909</f>
        <v>0.1125</v>
      </c>
      <c r="AS909" s="485"/>
      <c r="AT909" s="24"/>
      <c r="AU909" s="24"/>
      <c r="AV909" s="24"/>
      <c r="AW909" s="18">
        <v>24</v>
      </c>
      <c r="AX909" s="69" t="s">
        <v>296</v>
      </c>
      <c r="AY909" s="243" t="s">
        <v>548</v>
      </c>
      <c r="AZ909" s="243" t="str">
        <f t="shared" si="371"/>
        <v>Sockeye</v>
      </c>
      <c r="BA909" s="243" t="s">
        <v>419</v>
      </c>
      <c r="BB909" s="244" t="s">
        <v>497</v>
      </c>
      <c r="BC909" s="43" t="str">
        <f t="shared" si="372"/>
        <v>Nov 12-18</v>
      </c>
      <c r="BD909" s="43">
        <f t="shared" si="367"/>
        <v>1</v>
      </c>
      <c r="BE909" s="193">
        <f t="shared" si="365"/>
        <v>9</v>
      </c>
      <c r="BF909" s="193">
        <f t="shared" si="373"/>
        <v>10</v>
      </c>
      <c r="BG909" s="193">
        <f t="shared" si="374"/>
        <v>10</v>
      </c>
      <c r="BH909" s="307">
        <f t="shared" si="366"/>
        <v>80</v>
      </c>
      <c r="BI909" s="354" t="s">
        <v>242</v>
      </c>
      <c r="BJ909" s="26" t="str">
        <f t="shared" si="375"/>
        <v>MURIEL LAKE CREEKSockeye</v>
      </c>
      <c r="BK909" s="26">
        <f t="shared" si="376"/>
        <v>1</v>
      </c>
      <c r="BL909" s="33">
        <f t="shared" si="368"/>
        <v>9</v>
      </c>
      <c r="BM909" s="34">
        <f t="shared" ref="BM909:BM914" si="386">BL909*1.14</f>
        <v>10.26</v>
      </c>
      <c r="BN909" s="34">
        <f t="shared" ref="BN909:BN914" si="387">BL909*2.88</f>
        <v>25.919999999999998</v>
      </c>
      <c r="BO909" s="35" t="s">
        <v>234</v>
      </c>
      <c r="BQ909" s="47" t="str">
        <f t="shared" si="377"/>
        <v>MURIEL LAKE CREEKSockeye</v>
      </c>
      <c r="BR909" s="49">
        <f t="shared" si="378"/>
        <v>0</v>
      </c>
      <c r="BS909" s="49">
        <f t="shared" ref="BS909:BS972" si="388">AL909</f>
        <v>10</v>
      </c>
      <c r="BT909" s="31">
        <v>2001</v>
      </c>
      <c r="BU909" s="188" t="str">
        <f t="shared" si="379"/>
        <v>TSES</v>
      </c>
      <c r="BV909" s="188" t="str">
        <f t="shared" si="380"/>
        <v xml:space="preserve"> </v>
      </c>
      <c r="BW909" s="188" t="str">
        <f>IF(ISNUMBER(W909),W$8,IF(ISNUMBER(V909),V$8,IF(ISNUMBER(U909),U$8,IF(ISNUMBER(T909),T$8,IF(ISNUMBER(R909),S$8,IF(ISNUMBER(#REF!),R$8," "))))))</f>
        <v>Nov 12-18</v>
      </c>
      <c r="BX909" s="188" t="str">
        <f t="shared" si="381"/>
        <v xml:space="preserve"> </v>
      </c>
      <c r="BY909" s="50" t="str">
        <f t="shared" si="370"/>
        <v>MURIEL LAKE CREEK_Sockeye</v>
      </c>
      <c r="BZ909" s="50">
        <f>IFERROR(VLOOKUP(BY909,'[1]WCVI Esc'!$C$5:$W$555,18,FALSE),"-")</f>
        <v>69</v>
      </c>
      <c r="CA909" s="50">
        <f t="shared" si="382"/>
        <v>70</v>
      </c>
      <c r="CB909" s="50">
        <f>IFERROR(VLOOKUP(BY909,'[1]WCVI Esc'!$C$5:$W$555,19,FALSE),"-")</f>
        <v>119</v>
      </c>
      <c r="CC909" s="50">
        <f t="shared" si="383"/>
        <v>120</v>
      </c>
      <c r="CE909" s="342" t="str">
        <f t="shared" si="369"/>
        <v>MURIEL LAKE CREEK_Sockeye</v>
      </c>
      <c r="CF909" s="341">
        <f>IFERROR(VLOOKUP(BY909,'RawPL+D'!$O$8:$AB$503,12,FALSE),"-")</f>
        <v>0</v>
      </c>
      <c r="CG909" s="338">
        <f t="shared" si="384"/>
        <v>0</v>
      </c>
      <c r="CH909" s="341">
        <f>IFERROR(VLOOKUP(BY909,'RawPL+D'!$O$8:$AB$503,13,FALSE),"-")</f>
        <v>77</v>
      </c>
      <c r="CI909" s="338">
        <f t="shared" si="385"/>
        <v>80</v>
      </c>
    </row>
    <row r="910" spans="1:87" ht="12.75" hidden="1" customHeight="1" x14ac:dyDescent="0.2">
      <c r="A910" s="28">
        <v>4</v>
      </c>
      <c r="B910" s="28">
        <v>2</v>
      </c>
      <c r="C910" s="11">
        <v>24</v>
      </c>
      <c r="D910" s="13" t="s">
        <v>296</v>
      </c>
      <c r="E910" s="10" t="s">
        <v>548</v>
      </c>
      <c r="F910" s="10" t="s">
        <v>219</v>
      </c>
      <c r="G910" s="10"/>
      <c r="H910" s="10"/>
      <c r="I910" s="10"/>
      <c r="J910" s="10"/>
      <c r="K910" s="575"/>
      <c r="L910" s="152"/>
      <c r="M910" s="164"/>
      <c r="N910" s="62"/>
      <c r="O910" s="62"/>
      <c r="P910" s="177"/>
      <c r="Q910" s="171"/>
      <c r="R910" s="94"/>
      <c r="S910" s="94"/>
      <c r="T910" s="94"/>
      <c r="U910" s="186"/>
      <c r="V910" s="161"/>
      <c r="W910" s="801">
        <v>6</v>
      </c>
      <c r="X910" s="62"/>
      <c r="Y910" s="62"/>
      <c r="Z910" s="64"/>
      <c r="AA910" s="207"/>
      <c r="AB910" s="202"/>
      <c r="AC910" s="202"/>
      <c r="AD910" s="205"/>
      <c r="AE910" s="207"/>
      <c r="AF910" s="202"/>
      <c r="AG910" s="205"/>
      <c r="AH910" s="337">
        <v>7</v>
      </c>
      <c r="AI910" s="337">
        <v>21</v>
      </c>
      <c r="AJ910" s="337">
        <v>0</v>
      </c>
      <c r="AK910" s="337">
        <v>0</v>
      </c>
      <c r="AL910" s="565">
        <v>7</v>
      </c>
      <c r="AM910" s="571">
        <v>28</v>
      </c>
      <c r="AN910" s="553" t="s">
        <v>765</v>
      </c>
      <c r="AO910" s="552" t="s">
        <v>772</v>
      </c>
      <c r="AP910" s="12"/>
      <c r="AQ910" s="485"/>
      <c r="AR910" s="12"/>
      <c r="AS910" s="485"/>
      <c r="AT910" s="24"/>
      <c r="AU910" s="24"/>
      <c r="AV910" s="24"/>
      <c r="AW910" s="351">
        <v>24</v>
      </c>
      <c r="AX910" s="69" t="s">
        <v>296</v>
      </c>
      <c r="AY910" s="243" t="s">
        <v>548</v>
      </c>
      <c r="AZ910" s="243" t="str">
        <f t="shared" si="371"/>
        <v>Coho</v>
      </c>
      <c r="BA910" s="243" t="s">
        <v>419</v>
      </c>
      <c r="BB910" s="244" t="s">
        <v>497</v>
      </c>
      <c r="BC910" s="43" t="str">
        <f t="shared" si="372"/>
        <v>Nov 12-18</v>
      </c>
      <c r="BD910" s="43">
        <f t="shared" si="367"/>
        <v>1</v>
      </c>
      <c r="BE910" s="193">
        <f t="shared" si="365"/>
        <v>6</v>
      </c>
      <c r="BF910" s="193">
        <f t="shared" si="373"/>
        <v>7</v>
      </c>
      <c r="BG910" s="193">
        <f t="shared" si="374"/>
        <v>7</v>
      </c>
      <c r="BH910" s="307">
        <f t="shared" si="366"/>
        <v>0</v>
      </c>
      <c r="BI910" s="354" t="s">
        <v>242</v>
      </c>
      <c r="BJ910" s="26" t="str">
        <f t="shared" si="375"/>
        <v>MURIEL LAKE CREEKCoho</v>
      </c>
      <c r="BK910" s="26">
        <f t="shared" si="376"/>
        <v>1</v>
      </c>
      <c r="BL910" s="33">
        <f t="shared" si="368"/>
        <v>6</v>
      </c>
      <c r="BM910" s="34">
        <f t="shared" si="386"/>
        <v>6.84</v>
      </c>
      <c r="BN910" s="34">
        <f t="shared" si="387"/>
        <v>17.28</v>
      </c>
      <c r="BO910" s="35" t="s">
        <v>234</v>
      </c>
      <c r="BQ910" s="47" t="str">
        <f t="shared" si="377"/>
        <v>MURIEL LAKE CREEKCoho</v>
      </c>
      <c r="BR910" s="49">
        <f t="shared" si="378"/>
        <v>0</v>
      </c>
      <c r="BS910" s="49">
        <f t="shared" si="388"/>
        <v>7</v>
      </c>
      <c r="BT910" s="31">
        <v>2001</v>
      </c>
      <c r="BU910" s="188" t="str">
        <f t="shared" si="379"/>
        <v>TSES</v>
      </c>
      <c r="BV910" s="188" t="str">
        <f t="shared" si="380"/>
        <v xml:space="preserve"> </v>
      </c>
      <c r="BW910" s="188" t="str">
        <f>IF(ISNUMBER(W910),W$8,IF(ISNUMBER(V910),V$8,IF(ISNUMBER(U910),U$8,IF(ISNUMBER(T910),T$8,IF(ISNUMBER(R910),S$8,IF(ISNUMBER(#REF!),R$8," "))))))</f>
        <v>Nov 12-18</v>
      </c>
      <c r="BX910" s="188" t="str">
        <f t="shared" si="381"/>
        <v xml:space="preserve"> </v>
      </c>
      <c r="BY910" s="50" t="str">
        <f t="shared" si="370"/>
        <v>MURIEL LAKE CREEK_Coho</v>
      </c>
      <c r="BZ910" s="50" t="str">
        <f>IFERROR(VLOOKUP(BY910,'[1]WCVI Esc'!$C$5:$W$555,18,FALSE),"-")</f>
        <v>-</v>
      </c>
      <c r="CA910" s="50" t="str">
        <f t="shared" si="382"/>
        <v>-</v>
      </c>
      <c r="CB910" s="50" t="str">
        <f>IFERROR(VLOOKUP(BY910,'[1]WCVI Esc'!$C$5:$W$555,19,FALSE),"-")</f>
        <v>-</v>
      </c>
      <c r="CC910" s="50" t="str">
        <f t="shared" si="383"/>
        <v>-</v>
      </c>
      <c r="CE910" s="342" t="str">
        <f t="shared" si="369"/>
        <v>MURIEL LAKE CREEK_Coho</v>
      </c>
      <c r="CF910" s="341">
        <f>IFERROR(VLOOKUP(BY910,'RawPL+D'!$O$8:$AB$503,12,FALSE),"-")</f>
        <v>0</v>
      </c>
      <c r="CG910" s="338">
        <f t="shared" si="384"/>
        <v>0</v>
      </c>
      <c r="CH910" s="341">
        <f>IFERROR(VLOOKUP(BY910,'RawPL+D'!$O$8:$AB$503,13,FALSE),"-")</f>
        <v>3.5</v>
      </c>
      <c r="CI910" s="338">
        <f t="shared" si="385"/>
        <v>0</v>
      </c>
    </row>
    <row r="911" spans="1:87" ht="12.75" hidden="1" customHeight="1" x14ac:dyDescent="0.2">
      <c r="A911" s="28">
        <v>4</v>
      </c>
      <c r="B911" s="28">
        <v>3</v>
      </c>
      <c r="C911" s="11">
        <v>24</v>
      </c>
      <c r="D911" s="13" t="s">
        <v>296</v>
      </c>
      <c r="E911" s="10" t="s">
        <v>548</v>
      </c>
      <c r="F911" s="10" t="s">
        <v>208</v>
      </c>
      <c r="G911" s="10"/>
      <c r="H911" s="10"/>
      <c r="I911" s="10"/>
      <c r="J911" s="10"/>
      <c r="K911" s="575"/>
      <c r="L911" s="152"/>
      <c r="M911" s="164"/>
      <c r="N911" s="62"/>
      <c r="O911" s="62"/>
      <c r="P911" s="177"/>
      <c r="Q911" s="171"/>
      <c r="R911" s="94"/>
      <c r="S911" s="94"/>
      <c r="T911" s="94"/>
      <c r="U911" s="186"/>
      <c r="V911" s="161"/>
      <c r="W911" s="800">
        <v>0</v>
      </c>
      <c r="X911" s="62"/>
      <c r="Y911" s="62"/>
      <c r="Z911" s="64"/>
      <c r="AA911" s="207"/>
      <c r="AB911" s="202"/>
      <c r="AC911" s="202"/>
      <c r="AD911" s="205"/>
      <c r="AE911" s="207"/>
      <c r="AF911" s="202"/>
      <c r="AG911" s="205"/>
      <c r="AH911" s="294"/>
      <c r="AI911" s="294"/>
      <c r="AJ911" s="294"/>
      <c r="AK911" s="294"/>
      <c r="AL911" s="416"/>
      <c r="AM911" s="569"/>
      <c r="AN911" s="127"/>
      <c r="AO911" s="56"/>
      <c r="AP911" s="12"/>
      <c r="AQ911" s="485"/>
      <c r="AR911" s="100" t="e">
        <f>BL911/BH911</f>
        <v>#DIV/0!</v>
      </c>
      <c r="AS911" s="485"/>
      <c r="AT911" s="24"/>
      <c r="AU911" s="24"/>
      <c r="AV911" s="24"/>
      <c r="AW911" s="351">
        <v>24</v>
      </c>
      <c r="AX911" s="69" t="s">
        <v>296</v>
      </c>
      <c r="AY911" s="243" t="s">
        <v>548</v>
      </c>
      <c r="AZ911" s="243" t="str">
        <f t="shared" si="371"/>
        <v>Pink</v>
      </c>
      <c r="BA911" s="243" t="s">
        <v>419</v>
      </c>
      <c r="BB911" s="294"/>
      <c r="BC911" s="43" t="str">
        <f t="shared" si="372"/>
        <v>Nov 12-18</v>
      </c>
      <c r="BD911" s="43">
        <f t="shared" si="367"/>
        <v>1</v>
      </c>
      <c r="BE911" s="193">
        <f t="shared" si="365"/>
        <v>0</v>
      </c>
      <c r="BF911" s="193">
        <f t="shared" si="373"/>
        <v>0</v>
      </c>
      <c r="BG911" s="193">
        <f t="shared" si="374"/>
        <v>0</v>
      </c>
      <c r="BH911" s="307">
        <f t="shared" si="366"/>
        <v>0</v>
      </c>
      <c r="BI911" s="354"/>
      <c r="BJ911" s="26" t="str">
        <f t="shared" si="375"/>
        <v>MURIEL LAKE CREEKPink</v>
      </c>
      <c r="BK911" s="26">
        <f t="shared" si="376"/>
        <v>1</v>
      </c>
      <c r="BL911" s="33">
        <f t="shared" si="368"/>
        <v>0</v>
      </c>
      <c r="BM911" s="34">
        <f t="shared" si="386"/>
        <v>0</v>
      </c>
      <c r="BN911" s="34">
        <f t="shared" si="387"/>
        <v>0</v>
      </c>
      <c r="BO911" s="35" t="s">
        <v>234</v>
      </c>
      <c r="BQ911" s="47" t="str">
        <f t="shared" si="377"/>
        <v>MURIEL LAKE CREEKPink</v>
      </c>
      <c r="BR911" s="49">
        <f t="shared" si="378"/>
        <v>0</v>
      </c>
      <c r="BS911" s="49">
        <f t="shared" si="388"/>
        <v>0</v>
      </c>
      <c r="BT911" s="31">
        <v>2001</v>
      </c>
      <c r="BU911" s="188">
        <f t="shared" si="379"/>
        <v>0</v>
      </c>
      <c r="BV911" s="188" t="str">
        <f t="shared" si="380"/>
        <v xml:space="preserve"> </v>
      </c>
      <c r="BW911" s="188" t="str">
        <f>IF(ISNUMBER(W911),W$8,IF(ISNUMBER(V911),V$8,IF(ISNUMBER(U911),U$8,IF(ISNUMBER(T911),T$8,IF(ISNUMBER(R911),S$8,IF(ISNUMBER(#REF!),R$8," "))))))</f>
        <v>Nov 12-18</v>
      </c>
      <c r="BX911" s="188" t="str">
        <f t="shared" si="381"/>
        <v xml:space="preserve"> </v>
      </c>
      <c r="BY911" s="50" t="str">
        <f t="shared" si="370"/>
        <v>MURIEL LAKE CREEK_Pink</v>
      </c>
      <c r="BZ911" s="50" t="str">
        <f>IFERROR(VLOOKUP(BY911,'[1]WCVI Esc'!$C$5:$W$555,18,FALSE),"-")</f>
        <v>-</v>
      </c>
      <c r="CA911" s="50" t="str">
        <f t="shared" si="382"/>
        <v>-</v>
      </c>
      <c r="CB911" s="50" t="str">
        <f>IFERROR(VLOOKUP(BY911,'[1]WCVI Esc'!$C$5:$W$555,19,FALSE),"-")</f>
        <v>-</v>
      </c>
      <c r="CC911" s="50" t="str">
        <f t="shared" si="383"/>
        <v>-</v>
      </c>
      <c r="CE911" s="342" t="str">
        <f t="shared" si="369"/>
        <v>MURIEL LAKE CREEK_Pink</v>
      </c>
      <c r="CF911" s="341">
        <f>IFERROR(VLOOKUP(BY911,'RawPL+D'!$O$8:$AB$503,12,FALSE),"-")</f>
        <v>0</v>
      </c>
      <c r="CG911" s="338">
        <f t="shared" si="384"/>
        <v>0</v>
      </c>
      <c r="CH911" s="341">
        <f>IFERROR(VLOOKUP(BY911,'RawPL+D'!$O$8:$AB$503,13,FALSE),"-")</f>
        <v>0</v>
      </c>
      <c r="CI911" s="338">
        <f t="shared" si="385"/>
        <v>0</v>
      </c>
    </row>
    <row r="912" spans="1:87" ht="25.5" hidden="1" customHeight="1" x14ac:dyDescent="0.2">
      <c r="A912" s="28">
        <v>4</v>
      </c>
      <c r="B912" s="28">
        <v>4</v>
      </c>
      <c r="C912" s="11">
        <v>24</v>
      </c>
      <c r="D912" s="13" t="s">
        <v>296</v>
      </c>
      <c r="E912" s="10" t="s">
        <v>548</v>
      </c>
      <c r="F912" s="10" t="s">
        <v>209</v>
      </c>
      <c r="G912" s="10"/>
      <c r="H912" s="10"/>
      <c r="I912" s="10"/>
      <c r="J912" s="10"/>
      <c r="K912" s="575"/>
      <c r="L912" s="152"/>
      <c r="M912" s="164"/>
      <c r="N912" s="62"/>
      <c r="O912" s="62"/>
      <c r="P912" s="177"/>
      <c r="Q912" s="171"/>
      <c r="R912" s="94"/>
      <c r="S912" s="94"/>
      <c r="T912" s="94"/>
      <c r="U912" s="186"/>
      <c r="V912" s="161"/>
      <c r="W912" s="800">
        <v>0</v>
      </c>
      <c r="X912" s="62"/>
      <c r="Y912" s="62"/>
      <c r="Z912" s="64"/>
      <c r="AA912" s="207"/>
      <c r="AB912" s="202"/>
      <c r="AC912" s="202"/>
      <c r="AD912" s="205"/>
      <c r="AE912" s="207"/>
      <c r="AF912" s="202"/>
      <c r="AG912" s="205"/>
      <c r="AH912" s="294"/>
      <c r="AI912" s="294"/>
      <c r="AJ912" s="294"/>
      <c r="AK912" s="294"/>
      <c r="AL912" s="416"/>
      <c r="AM912" s="569"/>
      <c r="AN912" s="127"/>
      <c r="AO912" s="56"/>
      <c r="AP912" s="12"/>
      <c r="AQ912" s="485"/>
      <c r="AR912" s="12"/>
      <c r="AS912" s="485"/>
      <c r="AT912" s="24"/>
      <c r="AU912" s="24"/>
      <c r="AV912" s="24"/>
      <c r="AW912" s="393">
        <v>24</v>
      </c>
      <c r="AX912" s="69" t="s">
        <v>296</v>
      </c>
      <c r="AY912" s="243" t="s">
        <v>548</v>
      </c>
      <c r="AZ912" s="243" t="str">
        <f t="shared" si="371"/>
        <v>Chum</v>
      </c>
      <c r="BA912" s="243" t="s">
        <v>419</v>
      </c>
      <c r="BB912" s="244" t="s">
        <v>497</v>
      </c>
      <c r="BC912" s="43" t="str">
        <f t="shared" si="372"/>
        <v>Nov 12-18</v>
      </c>
      <c r="BD912" s="43">
        <f t="shared" si="367"/>
        <v>1</v>
      </c>
      <c r="BE912" s="193">
        <f t="shared" si="365"/>
        <v>0</v>
      </c>
      <c r="BF912" s="193">
        <f t="shared" si="373"/>
        <v>0</v>
      </c>
      <c r="BG912" s="193">
        <f t="shared" si="374"/>
        <v>0</v>
      </c>
      <c r="BH912" s="307">
        <f t="shared" si="366"/>
        <v>0</v>
      </c>
      <c r="BI912" s="354"/>
      <c r="BJ912" s="26" t="str">
        <f t="shared" si="375"/>
        <v>MURIEL LAKE CREEKChum</v>
      </c>
      <c r="BK912" s="26">
        <f t="shared" si="376"/>
        <v>1</v>
      </c>
      <c r="BL912" s="33">
        <f t="shared" si="368"/>
        <v>0</v>
      </c>
      <c r="BM912" s="34">
        <f t="shared" si="386"/>
        <v>0</v>
      </c>
      <c r="BN912" s="34">
        <f t="shared" si="387"/>
        <v>0</v>
      </c>
      <c r="BO912" s="35" t="s">
        <v>234</v>
      </c>
      <c r="BQ912" s="47" t="str">
        <f t="shared" si="377"/>
        <v>MURIEL LAKE CREEKChum</v>
      </c>
      <c r="BR912" s="49">
        <f t="shared" si="378"/>
        <v>0</v>
      </c>
      <c r="BS912" s="49">
        <f t="shared" si="388"/>
        <v>0</v>
      </c>
      <c r="BT912" s="31">
        <v>2001</v>
      </c>
      <c r="BU912" s="188" t="str">
        <f t="shared" si="379"/>
        <v>TSES</v>
      </c>
      <c r="BV912" s="188" t="str">
        <f t="shared" si="380"/>
        <v xml:space="preserve"> </v>
      </c>
      <c r="BW912" s="188" t="str">
        <f>IF(ISNUMBER(W912),W$8,IF(ISNUMBER(V912),V$8,IF(ISNUMBER(U912),U$8,IF(ISNUMBER(T912),T$8,IF(ISNUMBER(R912),S$8,IF(ISNUMBER(#REF!),R$8," "))))))</f>
        <v>Nov 12-18</v>
      </c>
      <c r="BX912" s="188" t="str">
        <f t="shared" si="381"/>
        <v xml:space="preserve"> </v>
      </c>
      <c r="BY912" s="50" t="str">
        <f t="shared" si="370"/>
        <v>MURIEL LAKE CREEK_Chum</v>
      </c>
      <c r="BZ912" s="50" t="str">
        <f>IFERROR(VLOOKUP(BY912,'[1]WCVI Esc'!$C$5:$W$555,18,FALSE),"-")</f>
        <v>-</v>
      </c>
      <c r="CA912" s="50" t="str">
        <f t="shared" si="382"/>
        <v>-</v>
      </c>
      <c r="CB912" s="50" t="str">
        <f>IFERROR(VLOOKUP(BY912,'[1]WCVI Esc'!$C$5:$W$555,19,FALSE),"-")</f>
        <v>-</v>
      </c>
      <c r="CC912" s="50" t="str">
        <f t="shared" si="383"/>
        <v>-</v>
      </c>
      <c r="CE912" s="342" t="str">
        <f t="shared" si="369"/>
        <v>MURIEL LAKE CREEK_Chum</v>
      </c>
      <c r="CF912" s="341">
        <f>IFERROR(VLOOKUP(BY912,'RawPL+D'!$O$8:$AB$503,12,FALSE),"-")</f>
        <v>0</v>
      </c>
      <c r="CG912" s="338">
        <f t="shared" si="384"/>
        <v>0</v>
      </c>
      <c r="CH912" s="341">
        <f>IFERROR(VLOOKUP(BY912,'RawPL+D'!$O$8:$AB$503,13,FALSE),"-")</f>
        <v>0</v>
      </c>
      <c r="CI912" s="338">
        <f t="shared" si="385"/>
        <v>0</v>
      </c>
    </row>
    <row r="913" spans="1:87" ht="12.75" hidden="1" customHeight="1" x14ac:dyDescent="0.2">
      <c r="A913" s="28">
        <v>4</v>
      </c>
      <c r="B913" s="28">
        <v>5</v>
      </c>
      <c r="C913" s="11">
        <v>24</v>
      </c>
      <c r="D913" s="13" t="s">
        <v>296</v>
      </c>
      <c r="E913" s="10" t="s">
        <v>548</v>
      </c>
      <c r="F913" s="10" t="s">
        <v>210</v>
      </c>
      <c r="G913" s="10"/>
      <c r="H913" s="10"/>
      <c r="I913" s="10"/>
      <c r="J913" s="10"/>
      <c r="K913" s="575"/>
      <c r="L913" s="152"/>
      <c r="M913" s="164"/>
      <c r="N913" s="62"/>
      <c r="O913" s="62"/>
      <c r="P913" s="177"/>
      <c r="Q913" s="171"/>
      <c r="R913" s="94"/>
      <c r="S913" s="94"/>
      <c r="T913" s="94"/>
      <c r="U913" s="186"/>
      <c r="V913" s="161"/>
      <c r="W913" s="800">
        <v>0</v>
      </c>
      <c r="X913" s="62"/>
      <c r="Y913" s="62"/>
      <c r="Z913" s="64"/>
      <c r="AA913" s="207"/>
      <c r="AB913" s="202"/>
      <c r="AC913" s="202"/>
      <c r="AD913" s="205"/>
      <c r="AE913" s="207"/>
      <c r="AF913" s="202"/>
      <c r="AG913" s="205"/>
      <c r="AH913" s="294"/>
      <c r="AI913" s="294"/>
      <c r="AJ913" s="294"/>
      <c r="AK913" s="294"/>
      <c r="AL913" s="416"/>
      <c r="AM913" s="569"/>
      <c r="AN913" s="127"/>
      <c r="AO913" s="56"/>
      <c r="AP913" s="12"/>
      <c r="AQ913" s="485"/>
      <c r="AR913" s="12"/>
      <c r="AS913" s="485"/>
      <c r="AT913" s="24"/>
      <c r="AU913" s="24"/>
      <c r="AV913" s="24"/>
      <c r="AW913" s="18">
        <v>24</v>
      </c>
      <c r="AX913" s="69" t="s">
        <v>296</v>
      </c>
      <c r="AY913" s="243" t="s">
        <v>548</v>
      </c>
      <c r="AZ913" s="243" t="str">
        <f t="shared" si="371"/>
        <v>Chinook</v>
      </c>
      <c r="BA913" s="243" t="s">
        <v>419</v>
      </c>
      <c r="BB913" s="243" t="s">
        <v>497</v>
      </c>
      <c r="BC913" s="43" t="str">
        <f t="shared" si="372"/>
        <v>Nov 12-18</v>
      </c>
      <c r="BD913" s="43">
        <f t="shared" si="367"/>
        <v>1</v>
      </c>
      <c r="BE913" s="193">
        <f t="shared" ref="BE913:BE976" si="389">BL913</f>
        <v>0</v>
      </c>
      <c r="BF913" s="193">
        <f t="shared" si="373"/>
        <v>0</v>
      </c>
      <c r="BG913" s="193">
        <f t="shared" si="374"/>
        <v>0</v>
      </c>
      <c r="BH913" s="307">
        <f t="shared" si="366"/>
        <v>0</v>
      </c>
      <c r="BI913" s="354"/>
      <c r="BJ913" s="26" t="str">
        <f t="shared" si="375"/>
        <v>MURIEL LAKE CREEKChinook</v>
      </c>
      <c r="BK913" s="26">
        <f t="shared" si="376"/>
        <v>1</v>
      </c>
      <c r="BL913" s="33">
        <f t="shared" si="368"/>
        <v>0</v>
      </c>
      <c r="BM913" s="34">
        <f t="shared" si="386"/>
        <v>0</v>
      </c>
      <c r="BN913" s="34">
        <f t="shared" si="387"/>
        <v>0</v>
      </c>
      <c r="BO913" s="35" t="s">
        <v>234</v>
      </c>
      <c r="BQ913" s="47" t="str">
        <f t="shared" si="377"/>
        <v>MURIEL LAKE CREEKChinook</v>
      </c>
      <c r="BR913" s="49">
        <f t="shared" si="378"/>
        <v>0</v>
      </c>
      <c r="BS913" s="49">
        <f t="shared" si="388"/>
        <v>0</v>
      </c>
      <c r="BT913" s="31">
        <v>2001</v>
      </c>
      <c r="BU913" s="188" t="str">
        <f t="shared" si="379"/>
        <v>TSES</v>
      </c>
      <c r="BV913" s="188" t="str">
        <f t="shared" si="380"/>
        <v xml:space="preserve"> </v>
      </c>
      <c r="BW913" s="188" t="str">
        <f>IF(ISNUMBER(W913),W$8,IF(ISNUMBER(V913),V$8,IF(ISNUMBER(U913),U$8,IF(ISNUMBER(T913),T$8,IF(ISNUMBER(R913),S$8,IF(ISNUMBER(#REF!),R$8," "))))))</f>
        <v>Nov 12-18</v>
      </c>
      <c r="BX913" s="188" t="str">
        <f t="shared" si="381"/>
        <v xml:space="preserve"> </v>
      </c>
      <c r="BY913" s="50" t="str">
        <f t="shared" si="370"/>
        <v>MURIEL LAKE CREEK_Chinook</v>
      </c>
      <c r="BZ913" s="50" t="str">
        <f>IFERROR(VLOOKUP(BY913,'[1]WCVI Esc'!$C$5:$W$555,18,FALSE),"-")</f>
        <v>-</v>
      </c>
      <c r="CA913" s="50" t="str">
        <f t="shared" si="382"/>
        <v>-</v>
      </c>
      <c r="CB913" s="50" t="str">
        <f>IFERROR(VLOOKUP(BY913,'[1]WCVI Esc'!$C$5:$W$555,19,FALSE),"-")</f>
        <v>-</v>
      </c>
      <c r="CC913" s="50" t="str">
        <f t="shared" si="383"/>
        <v>-</v>
      </c>
      <c r="CE913" s="342" t="str">
        <f t="shared" si="369"/>
        <v>MURIEL LAKE CREEK_Chinook</v>
      </c>
      <c r="CF913" s="341">
        <f>IFERROR(VLOOKUP(BY913,'RawPL+D'!$O$8:$AB$503,12,FALSE),"-")</f>
        <v>0</v>
      </c>
      <c r="CG913" s="338">
        <f t="shared" si="384"/>
        <v>0</v>
      </c>
      <c r="CH913" s="341">
        <f>IFERROR(VLOOKUP(BY913,'RawPL+D'!$O$8:$AB$503,13,FALSE),"-")</f>
        <v>0</v>
      </c>
      <c r="CI913" s="338">
        <f t="shared" si="385"/>
        <v>0</v>
      </c>
    </row>
    <row r="914" spans="1:87" ht="12.75" hidden="1" customHeight="1" x14ac:dyDescent="0.2">
      <c r="A914" s="28">
        <v>4</v>
      </c>
      <c r="B914" s="28">
        <v>6</v>
      </c>
      <c r="C914" s="11">
        <v>24</v>
      </c>
      <c r="D914" s="13" t="s">
        <v>296</v>
      </c>
      <c r="E914" s="10" t="s">
        <v>548</v>
      </c>
      <c r="F914" s="10" t="s">
        <v>211</v>
      </c>
      <c r="G914" s="10"/>
      <c r="H914" s="10"/>
      <c r="I914" s="10"/>
      <c r="J914" s="10"/>
      <c r="K914" s="575"/>
      <c r="L914" s="152"/>
      <c r="M914" s="164"/>
      <c r="N914" s="62"/>
      <c r="O914" s="62"/>
      <c r="P914" s="177"/>
      <c r="Q914" s="171"/>
      <c r="R914" s="94"/>
      <c r="S914" s="94"/>
      <c r="T914" s="94"/>
      <c r="U914" s="186"/>
      <c r="V914" s="161"/>
      <c r="W914" s="800">
        <v>0</v>
      </c>
      <c r="X914" s="62"/>
      <c r="Y914" s="62"/>
      <c r="Z914" s="64"/>
      <c r="AA914" s="207"/>
      <c r="AB914" s="202"/>
      <c r="AC914" s="202"/>
      <c r="AD914" s="205"/>
      <c r="AE914" s="207"/>
      <c r="AF914" s="202"/>
      <c r="AG914" s="205"/>
      <c r="AH914" s="294"/>
      <c r="AI914" s="294"/>
      <c r="AJ914" s="294"/>
      <c r="AK914" s="294"/>
      <c r="AL914" s="417"/>
      <c r="AM914" s="570"/>
      <c r="AN914" s="14"/>
      <c r="AO914" s="12"/>
      <c r="AP914" s="12"/>
      <c r="AQ914" s="485"/>
      <c r="AR914" s="100" t="e">
        <f>BL914/BH914</f>
        <v>#VALUE!</v>
      </c>
      <c r="AS914" s="485"/>
      <c r="AT914" s="24"/>
      <c r="AU914" s="24"/>
      <c r="AV914" s="24"/>
      <c r="AW914" s="351">
        <v>24</v>
      </c>
      <c r="AX914" s="69" t="s">
        <v>296</v>
      </c>
      <c r="AY914" s="243" t="s">
        <v>548</v>
      </c>
      <c r="AZ914" s="243" t="str">
        <f t="shared" si="371"/>
        <v>Steelhead</v>
      </c>
      <c r="BA914" s="243" t="s">
        <v>419</v>
      </c>
      <c r="BB914" s="294"/>
      <c r="BC914" s="43" t="str">
        <f t="shared" si="372"/>
        <v>Nov 12-18</v>
      </c>
      <c r="BD914" s="43">
        <f t="shared" si="367"/>
        <v>1</v>
      </c>
      <c r="BE914" s="193">
        <f t="shared" si="389"/>
        <v>0</v>
      </c>
      <c r="BF914" s="193">
        <f t="shared" si="373"/>
        <v>0</v>
      </c>
      <c r="BG914" s="193">
        <f t="shared" si="374"/>
        <v>0</v>
      </c>
      <c r="BH914" s="307" t="str">
        <f t="shared" si="366"/>
        <v>-</v>
      </c>
      <c r="BI914" s="354" t="s">
        <v>242</v>
      </c>
      <c r="BJ914" s="26" t="str">
        <f t="shared" si="375"/>
        <v>MURIEL LAKE CREEKSteelhead</v>
      </c>
      <c r="BK914" s="26">
        <f t="shared" si="376"/>
        <v>1</v>
      </c>
      <c r="BL914" s="33">
        <f t="shared" si="368"/>
        <v>0</v>
      </c>
      <c r="BM914" s="34">
        <f t="shared" si="386"/>
        <v>0</v>
      </c>
      <c r="BN914" s="34">
        <f t="shared" si="387"/>
        <v>0</v>
      </c>
      <c r="BO914" s="35" t="s">
        <v>234</v>
      </c>
      <c r="BQ914" s="47" t="str">
        <f t="shared" si="377"/>
        <v>MURIEL LAKE CREEKSteelhead</v>
      </c>
      <c r="BR914" s="49">
        <f t="shared" si="378"/>
        <v>0</v>
      </c>
      <c r="BS914" s="49">
        <f t="shared" si="388"/>
        <v>0</v>
      </c>
      <c r="BT914" s="31">
        <v>2001</v>
      </c>
      <c r="BU914" s="188">
        <f t="shared" si="379"/>
        <v>0</v>
      </c>
      <c r="BV914" s="188" t="str">
        <f t="shared" si="380"/>
        <v xml:space="preserve"> </v>
      </c>
      <c r="BW914" s="188" t="str">
        <f>IF(ISNUMBER(W914),W$8,IF(ISNUMBER(V914),V$8,IF(ISNUMBER(U914),U$8,IF(ISNUMBER(T914),T$8,IF(ISNUMBER(R914),S$8,IF(ISNUMBER(#REF!),R$8," "))))))</f>
        <v>Nov 12-18</v>
      </c>
      <c r="BX914" s="188" t="str">
        <f t="shared" si="381"/>
        <v xml:space="preserve"> </v>
      </c>
      <c r="BY914" s="50" t="str">
        <f t="shared" si="370"/>
        <v>MURIEL LAKE CREEK_Steelhead</v>
      </c>
      <c r="BZ914" s="50" t="str">
        <f>IFERROR(VLOOKUP(BY914,'[1]WCVI Esc'!$C$5:$W$555,18,FALSE),"-")</f>
        <v>-</v>
      </c>
      <c r="CA914" s="50" t="str">
        <f t="shared" si="382"/>
        <v>-</v>
      </c>
      <c r="CB914" s="50" t="str">
        <f>IFERROR(VLOOKUP(BY914,'[1]WCVI Esc'!$C$5:$W$555,19,FALSE),"-")</f>
        <v>-</v>
      </c>
      <c r="CC914" s="50" t="str">
        <f t="shared" si="383"/>
        <v>-</v>
      </c>
      <c r="CE914" s="342" t="str">
        <f t="shared" si="369"/>
        <v>MURIEL LAKE CREEK_Steelhead</v>
      </c>
      <c r="CF914" s="341" t="str">
        <f>IFERROR(VLOOKUP(BY914,'RawPL+D'!$O$8:$AB$503,12,FALSE),"-")</f>
        <v>-</v>
      </c>
      <c r="CG914" s="338" t="str">
        <f t="shared" si="384"/>
        <v>-</v>
      </c>
      <c r="CH914" s="341" t="str">
        <f>IFERROR(VLOOKUP(BY914,'RawPL+D'!$O$8:$AB$503,13,FALSE),"-")</f>
        <v>-</v>
      </c>
      <c r="CI914" s="338" t="str">
        <f t="shared" si="385"/>
        <v>-</v>
      </c>
    </row>
    <row r="915" spans="1:87" ht="12.75" hidden="1" customHeight="1" x14ac:dyDescent="0.2">
      <c r="A915" s="28">
        <v>4</v>
      </c>
      <c r="B915" s="28">
        <v>1</v>
      </c>
      <c r="C915" s="11">
        <v>24</v>
      </c>
      <c r="D915" s="13" t="s">
        <v>296</v>
      </c>
      <c r="E915" s="10" t="s">
        <v>128</v>
      </c>
      <c r="F915" s="10" t="s">
        <v>207</v>
      </c>
      <c r="G915" s="10"/>
      <c r="H915" s="10"/>
      <c r="I915" s="10"/>
      <c r="J915" s="10"/>
      <c r="K915" s="575"/>
      <c r="L915" s="152"/>
      <c r="M915" s="164"/>
      <c r="N915" s="62"/>
      <c r="O915" s="62"/>
      <c r="P915" s="177"/>
      <c r="Q915" s="171"/>
      <c r="R915" s="62"/>
      <c r="S915" s="62"/>
      <c r="T915" s="94"/>
      <c r="U915" s="94"/>
      <c r="V915" s="164"/>
      <c r="W915" s="62"/>
      <c r="X915" s="62"/>
      <c r="Y915" s="62"/>
      <c r="Z915" s="64"/>
      <c r="AA915" s="164"/>
      <c r="AB915" s="62"/>
      <c r="AC915" s="62"/>
      <c r="AD915" s="64"/>
      <c r="AE915" s="164"/>
      <c r="AF915" s="62"/>
      <c r="AG915" s="64"/>
      <c r="AH915" s="337"/>
      <c r="AI915" s="337"/>
      <c r="AJ915" s="337"/>
      <c r="AK915" s="337"/>
      <c r="AL915" s="555"/>
      <c r="AM915" s="552"/>
      <c r="AN915" s="45"/>
      <c r="AO915" s="45"/>
      <c r="AP915" s="45"/>
      <c r="AQ915" s="485">
        <f>AL915/BI915</f>
        <v>0</v>
      </c>
      <c r="AR915" s="100"/>
      <c r="AS915" s="485">
        <f>BL915/BI915</f>
        <v>0</v>
      </c>
      <c r="AT915" s="24"/>
      <c r="AU915" s="24"/>
      <c r="AV915" s="24"/>
      <c r="AW915" s="18">
        <v>24</v>
      </c>
      <c r="AX915" s="69" t="s">
        <v>296</v>
      </c>
      <c r="AY915" s="243" t="s">
        <v>128</v>
      </c>
      <c r="AZ915" s="243" t="str">
        <f t="shared" si="371"/>
        <v>Sockeye</v>
      </c>
      <c r="BA915" s="243" t="s">
        <v>419</v>
      </c>
      <c r="BB915" s="244" t="s">
        <v>626</v>
      </c>
      <c r="BC915" s="43" t="str">
        <f t="shared" si="372"/>
        <v>-</v>
      </c>
      <c r="BD915" s="43">
        <f t="shared" si="367"/>
        <v>0</v>
      </c>
      <c r="BE915" s="193">
        <f t="shared" si="389"/>
        <v>0</v>
      </c>
      <c r="BF915" s="193">
        <f t="shared" si="373"/>
        <v>0</v>
      </c>
      <c r="BG915" s="193">
        <f t="shared" si="374"/>
        <v>0</v>
      </c>
      <c r="BH915" s="307">
        <f t="shared" si="366"/>
        <v>0</v>
      </c>
      <c r="BI915" s="265">
        <f>CC915</f>
        <v>30</v>
      </c>
      <c r="BJ915" s="26" t="str">
        <f t="shared" si="375"/>
        <v>SAND RIVERSockeye</v>
      </c>
      <c r="BK915" s="26">
        <f t="shared" si="376"/>
        <v>0</v>
      </c>
      <c r="BL915" s="33">
        <f t="shared" si="368"/>
        <v>0</v>
      </c>
      <c r="BQ915" s="47" t="str">
        <f t="shared" si="377"/>
        <v>SAND RIVERSockeye</v>
      </c>
      <c r="BR915" s="49">
        <f t="shared" si="378"/>
        <v>0</v>
      </c>
      <c r="BS915" s="49">
        <f t="shared" si="388"/>
        <v>0</v>
      </c>
      <c r="BT915" s="31">
        <v>2011</v>
      </c>
      <c r="BU915" s="188" t="str">
        <f t="shared" si="379"/>
        <v>Redd</v>
      </c>
      <c r="BV915" s="188" t="str">
        <f t="shared" si="380"/>
        <v xml:space="preserve"> </v>
      </c>
      <c r="BW915" s="188" t="str">
        <f t="shared" ref="BW915:BW946" si="390">IF(ISNUMBER(W915),W$8,IF(ISNUMBER(V915),V$8,IF(ISNUMBER(U915),U$8,IF(ISNUMBER(T915),T$8,IF(ISNUMBER(S915),S$8,IF(ISNUMBER(R915),R$8," "))))))</f>
        <v xml:space="preserve"> </v>
      </c>
      <c r="BX915" s="188" t="str">
        <f t="shared" si="381"/>
        <v xml:space="preserve"> </v>
      </c>
      <c r="BY915" s="50" t="str">
        <f t="shared" si="370"/>
        <v>SAND RIVER_Sockeye</v>
      </c>
      <c r="BZ915" s="50" t="str">
        <f>IFERROR(VLOOKUP(BY915,'[1]WCVI Esc'!$C$5:$W$555,18,FALSE),"-")</f>
        <v>-</v>
      </c>
      <c r="CA915" s="50" t="str">
        <f t="shared" si="382"/>
        <v>-</v>
      </c>
      <c r="CB915" s="50">
        <f>IFERROR(VLOOKUP(BY915,'[1]WCVI Esc'!$C$5:$W$555,19,FALSE),"-")</f>
        <v>34</v>
      </c>
      <c r="CC915" s="50">
        <f t="shared" si="383"/>
        <v>30</v>
      </c>
      <c r="CE915" s="342" t="str">
        <f t="shared" si="369"/>
        <v>SAND RIVER_Sockeye</v>
      </c>
      <c r="CF915" s="341">
        <f>IFERROR(VLOOKUP(CE915,'RawPL+D'!$O$8:$AB$503,12,FALSE),"-")</f>
        <v>0</v>
      </c>
      <c r="CG915" s="338">
        <f t="shared" si="384"/>
        <v>0</v>
      </c>
      <c r="CH915" s="341">
        <f>IFERROR(VLOOKUP(CE915,'RawPL+D'!$O$8:$AB$503,13,FALSE),"-")</f>
        <v>0</v>
      </c>
      <c r="CI915" s="338">
        <f t="shared" si="385"/>
        <v>0</v>
      </c>
    </row>
    <row r="916" spans="1:87" ht="12.75" hidden="1" customHeight="1" x14ac:dyDescent="0.2">
      <c r="A916" s="28">
        <v>4</v>
      </c>
      <c r="B916" s="28">
        <v>2</v>
      </c>
      <c r="C916" s="11">
        <v>24</v>
      </c>
      <c r="D916" s="13" t="s">
        <v>296</v>
      </c>
      <c r="E916" s="10" t="s">
        <v>128</v>
      </c>
      <c r="F916" s="10" t="s">
        <v>219</v>
      </c>
      <c r="G916" s="10"/>
      <c r="H916" s="10"/>
      <c r="I916" s="10"/>
      <c r="J916" s="10"/>
      <c r="K916" s="575"/>
      <c r="L916" s="152"/>
      <c r="M916" s="164"/>
      <c r="N916" s="62"/>
      <c r="O916" s="62"/>
      <c r="P916" s="177"/>
      <c r="Q916" s="171"/>
      <c r="R916" s="62"/>
      <c r="S916" s="62"/>
      <c r="T916" s="94"/>
      <c r="U916" s="94"/>
      <c r="V916" s="164"/>
      <c r="W916" s="62"/>
      <c r="X916" s="62"/>
      <c r="Y916" s="62"/>
      <c r="Z916" s="64"/>
      <c r="AA916" s="164"/>
      <c r="AB916" s="62"/>
      <c r="AC916" s="62"/>
      <c r="AD916" s="64"/>
      <c r="AE916" s="164"/>
      <c r="AF916" s="62"/>
      <c r="AG916" s="64"/>
      <c r="AH916" s="337"/>
      <c r="AI916" s="337"/>
      <c r="AJ916" s="337"/>
      <c r="AK916" s="337"/>
      <c r="AL916" s="555"/>
      <c r="AM916" s="552"/>
      <c r="AN916" s="45"/>
      <c r="AO916" s="45"/>
      <c r="AP916" s="45"/>
      <c r="AQ916" s="485">
        <f>AL916/BI916</f>
        <v>0</v>
      </c>
      <c r="AR916" s="100"/>
      <c r="AS916" s="485">
        <f>BL916/BI916</f>
        <v>0</v>
      </c>
      <c r="AT916" s="24"/>
      <c r="AU916" s="24"/>
      <c r="AV916" s="24"/>
      <c r="AW916" s="18">
        <v>24</v>
      </c>
      <c r="AX916" s="69" t="s">
        <v>296</v>
      </c>
      <c r="AY916" s="243" t="s">
        <v>128</v>
      </c>
      <c r="AZ916" s="243" t="str">
        <f t="shared" si="371"/>
        <v>Coho</v>
      </c>
      <c r="BA916" s="243" t="s">
        <v>419</v>
      </c>
      <c r="BB916" s="244" t="s">
        <v>626</v>
      </c>
      <c r="BC916" s="43" t="str">
        <f t="shared" si="372"/>
        <v>-</v>
      </c>
      <c r="BD916" s="43">
        <f t="shared" si="367"/>
        <v>0</v>
      </c>
      <c r="BE916" s="193">
        <f t="shared" si="389"/>
        <v>0</v>
      </c>
      <c r="BF916" s="193">
        <f t="shared" si="373"/>
        <v>0</v>
      </c>
      <c r="BG916" s="193">
        <f t="shared" si="374"/>
        <v>0</v>
      </c>
      <c r="BH916" s="307">
        <f t="shared" si="366"/>
        <v>10</v>
      </c>
      <c r="BI916" s="265">
        <f>CC916</f>
        <v>10</v>
      </c>
      <c r="BJ916" s="26" t="str">
        <f t="shared" si="375"/>
        <v>SAND RIVERCoho</v>
      </c>
      <c r="BK916" s="26">
        <f t="shared" si="376"/>
        <v>0</v>
      </c>
      <c r="BL916" s="33">
        <f t="shared" si="368"/>
        <v>0</v>
      </c>
      <c r="BQ916" s="47" t="str">
        <f t="shared" si="377"/>
        <v>SAND RIVERCoho</v>
      </c>
      <c r="BR916" s="49">
        <f t="shared" si="378"/>
        <v>0</v>
      </c>
      <c r="BS916" s="49">
        <f t="shared" si="388"/>
        <v>0</v>
      </c>
      <c r="BT916" s="31">
        <v>2011</v>
      </c>
      <c r="BU916" s="188" t="str">
        <f t="shared" si="379"/>
        <v>Redd</v>
      </c>
      <c r="BV916" s="188" t="str">
        <f t="shared" si="380"/>
        <v xml:space="preserve"> </v>
      </c>
      <c r="BW916" s="188" t="str">
        <f t="shared" si="390"/>
        <v xml:space="preserve"> </v>
      </c>
      <c r="BX916" s="188" t="str">
        <f t="shared" si="381"/>
        <v xml:space="preserve"> </v>
      </c>
      <c r="BY916" s="50" t="str">
        <f t="shared" si="370"/>
        <v>SAND RIVER_Coho</v>
      </c>
      <c r="BZ916" s="50">
        <f>IFERROR(VLOOKUP(BY916,'[1]WCVI Esc'!$C$5:$W$555,18,FALSE),"-")</f>
        <v>11</v>
      </c>
      <c r="CA916" s="50">
        <f t="shared" si="382"/>
        <v>10</v>
      </c>
      <c r="CB916" s="50">
        <f>IFERROR(VLOOKUP(BY916,'[1]WCVI Esc'!$C$5:$W$555,19,FALSE),"-")</f>
        <v>7.666666666666667</v>
      </c>
      <c r="CC916" s="50">
        <f t="shared" si="383"/>
        <v>10</v>
      </c>
      <c r="CE916" s="342" t="str">
        <f t="shared" si="369"/>
        <v>SAND RIVER_Coho</v>
      </c>
      <c r="CF916" s="341">
        <f>IFERROR(VLOOKUP(CE916,'RawPL+D'!$O$8:$AB$503,12,FALSE),"-")</f>
        <v>12</v>
      </c>
      <c r="CG916" s="338">
        <f t="shared" si="384"/>
        <v>10</v>
      </c>
      <c r="CH916" s="341">
        <f>IFERROR(VLOOKUP(CE916,'RawPL+D'!$O$8:$AB$503,13,FALSE),"-")</f>
        <v>7.5</v>
      </c>
      <c r="CI916" s="338">
        <f t="shared" si="385"/>
        <v>10</v>
      </c>
    </row>
    <row r="917" spans="1:87" ht="12.75" hidden="1" customHeight="1" x14ac:dyDescent="0.2">
      <c r="A917" s="28">
        <v>4</v>
      </c>
      <c r="B917" s="28">
        <v>3</v>
      </c>
      <c r="C917" s="11">
        <v>24</v>
      </c>
      <c r="D917" s="13" t="s">
        <v>296</v>
      </c>
      <c r="E917" s="10" t="s">
        <v>128</v>
      </c>
      <c r="F917" s="10" t="s">
        <v>208</v>
      </c>
      <c r="G917" s="10"/>
      <c r="H917" s="10"/>
      <c r="I917" s="10"/>
      <c r="J917" s="10"/>
      <c r="K917" s="575"/>
      <c r="L917" s="152"/>
      <c r="M917" s="164"/>
      <c r="N917" s="62"/>
      <c r="O917" s="62"/>
      <c r="P917" s="177"/>
      <c r="Q917" s="171"/>
      <c r="R917" s="62"/>
      <c r="S917" s="62"/>
      <c r="T917" s="94"/>
      <c r="U917" s="94"/>
      <c r="V917" s="164"/>
      <c r="W917" s="62"/>
      <c r="X917" s="62"/>
      <c r="Y917" s="62"/>
      <c r="Z917" s="64"/>
      <c r="AA917" s="164"/>
      <c r="AB917" s="62"/>
      <c r="AC917" s="62"/>
      <c r="AD917" s="64"/>
      <c r="AE917" s="164"/>
      <c r="AF917" s="62"/>
      <c r="AG917" s="64"/>
      <c r="AH917" s="337"/>
      <c r="AI917" s="337"/>
      <c r="AJ917" s="337"/>
      <c r="AK917" s="337"/>
      <c r="AL917" s="555"/>
      <c r="AM917" s="552"/>
      <c r="AN917" s="45"/>
      <c r="AO917" s="45"/>
      <c r="AP917" s="45"/>
      <c r="AQ917" s="485"/>
      <c r="AR917" s="100"/>
      <c r="AS917" s="485"/>
      <c r="AT917" s="24"/>
      <c r="AU917" s="24"/>
      <c r="AV917" s="24"/>
      <c r="AW917" s="18">
        <v>24</v>
      </c>
      <c r="AX917" s="69" t="s">
        <v>296</v>
      </c>
      <c r="AY917" s="243" t="s">
        <v>128</v>
      </c>
      <c r="AZ917" s="243" t="str">
        <f t="shared" si="371"/>
        <v>Pink</v>
      </c>
      <c r="BA917" s="243" t="s">
        <v>419</v>
      </c>
      <c r="BB917" s="244" t="s">
        <v>626</v>
      </c>
      <c r="BC917" s="43" t="str">
        <f t="shared" si="372"/>
        <v>-</v>
      </c>
      <c r="BD917" s="43">
        <f t="shared" si="367"/>
        <v>0</v>
      </c>
      <c r="BE917" s="193">
        <f t="shared" si="389"/>
        <v>0</v>
      </c>
      <c r="BF917" s="193">
        <f t="shared" si="373"/>
        <v>0</v>
      </c>
      <c r="BG917" s="193">
        <f t="shared" si="374"/>
        <v>0</v>
      </c>
      <c r="BH917" s="307">
        <f t="shared" si="366"/>
        <v>0</v>
      </c>
      <c r="BI917" s="266"/>
      <c r="BJ917" s="26" t="str">
        <f t="shared" si="375"/>
        <v>SAND RIVERPink</v>
      </c>
      <c r="BK917" s="26">
        <f t="shared" si="376"/>
        <v>0</v>
      </c>
      <c r="BL917" s="33">
        <f t="shared" si="368"/>
        <v>0</v>
      </c>
      <c r="BQ917" s="47" t="str">
        <f t="shared" si="377"/>
        <v>SAND RIVERPink</v>
      </c>
      <c r="BR917" s="49">
        <f t="shared" si="378"/>
        <v>0</v>
      </c>
      <c r="BS917" s="49">
        <f t="shared" si="388"/>
        <v>0</v>
      </c>
      <c r="BT917" s="31">
        <v>0</v>
      </c>
      <c r="BU917" s="188" t="str">
        <f t="shared" si="379"/>
        <v>Redd</v>
      </c>
      <c r="BV917" s="188" t="str">
        <f t="shared" si="380"/>
        <v xml:space="preserve"> </v>
      </c>
      <c r="BW917" s="188" t="str">
        <f t="shared" si="390"/>
        <v xml:space="preserve"> </v>
      </c>
      <c r="BX917" s="188" t="str">
        <f t="shared" si="381"/>
        <v xml:space="preserve"> </v>
      </c>
      <c r="BY917" s="50" t="str">
        <f t="shared" si="370"/>
        <v>SAND RIVER_Pink</v>
      </c>
      <c r="BZ917" s="50" t="str">
        <f>IFERROR(VLOOKUP(BY917,'[1]WCVI Esc'!$C$5:$W$555,18,FALSE),"-")</f>
        <v>-</v>
      </c>
      <c r="CA917" s="50" t="str">
        <f t="shared" si="382"/>
        <v>-</v>
      </c>
      <c r="CB917" s="50" t="str">
        <f>IFERROR(VLOOKUP(BY917,'[1]WCVI Esc'!$C$5:$W$555,19,FALSE),"-")</f>
        <v>-</v>
      </c>
      <c r="CC917" s="50" t="str">
        <f t="shared" si="383"/>
        <v>-</v>
      </c>
      <c r="CE917" s="342" t="str">
        <f t="shared" si="369"/>
        <v>SAND RIVER_Pink</v>
      </c>
      <c r="CF917" s="341">
        <f>IFERROR(VLOOKUP(BY917,'RawPL+D'!$O$8:$AB$503,12,FALSE),"-")</f>
        <v>0</v>
      </c>
      <c r="CG917" s="338">
        <f t="shared" si="384"/>
        <v>0</v>
      </c>
      <c r="CH917" s="341">
        <f>IFERROR(VLOOKUP(BY917,'RawPL+D'!$O$8:$AB$503,13,FALSE),"-")</f>
        <v>0</v>
      </c>
      <c r="CI917" s="338">
        <f t="shared" si="385"/>
        <v>0</v>
      </c>
    </row>
    <row r="918" spans="1:87" ht="12.75" hidden="1" customHeight="1" x14ac:dyDescent="0.2">
      <c r="A918" s="28">
        <v>4</v>
      </c>
      <c r="B918" s="28">
        <v>4</v>
      </c>
      <c r="C918" s="11">
        <v>24</v>
      </c>
      <c r="D918" s="13" t="s">
        <v>296</v>
      </c>
      <c r="E918" s="10" t="s">
        <v>128</v>
      </c>
      <c r="F918" s="10" t="s">
        <v>209</v>
      </c>
      <c r="G918" s="10"/>
      <c r="H918" s="10"/>
      <c r="I918" s="10"/>
      <c r="J918" s="10"/>
      <c r="K918" s="575"/>
      <c r="L918" s="152"/>
      <c r="M918" s="164"/>
      <c r="N918" s="62"/>
      <c r="O918" s="62"/>
      <c r="P918" s="177"/>
      <c r="Q918" s="171"/>
      <c r="R918" s="62"/>
      <c r="S918" s="62"/>
      <c r="T918" s="94"/>
      <c r="U918" s="94"/>
      <c r="V918" s="164"/>
      <c r="W918" s="62"/>
      <c r="X918" s="62"/>
      <c r="Y918" s="62"/>
      <c r="Z918" s="64"/>
      <c r="AA918" s="164"/>
      <c r="AB918" s="62"/>
      <c r="AC918" s="62"/>
      <c r="AD918" s="64"/>
      <c r="AE918" s="164"/>
      <c r="AF918" s="62"/>
      <c r="AG918" s="64"/>
      <c r="AH918" s="337"/>
      <c r="AI918" s="337"/>
      <c r="AJ918" s="337"/>
      <c r="AK918" s="337"/>
      <c r="AL918" s="555"/>
      <c r="AM918" s="552"/>
      <c r="AN918" s="45"/>
      <c r="AO918" s="45"/>
      <c r="AP918" s="45"/>
      <c r="AQ918" s="485"/>
      <c r="AR918"/>
      <c r="AS918" s="485"/>
      <c r="AT918" s="24"/>
      <c r="AU918" s="24"/>
      <c r="AV918" s="24"/>
      <c r="AW918" s="18">
        <v>24</v>
      </c>
      <c r="AX918" s="69" t="s">
        <v>296</v>
      </c>
      <c r="AY918" s="243" t="s">
        <v>128</v>
      </c>
      <c r="AZ918" s="243" t="str">
        <f t="shared" si="371"/>
        <v>Chum</v>
      </c>
      <c r="BA918" s="243" t="s">
        <v>419</v>
      </c>
      <c r="BB918" s="244" t="s">
        <v>626</v>
      </c>
      <c r="BC918" s="43" t="str">
        <f t="shared" si="372"/>
        <v>-</v>
      </c>
      <c r="BD918" s="43">
        <f t="shared" si="367"/>
        <v>0</v>
      </c>
      <c r="BE918" s="193">
        <f t="shared" si="389"/>
        <v>0</v>
      </c>
      <c r="BF918" s="193">
        <f t="shared" si="373"/>
        <v>0</v>
      </c>
      <c r="BG918" s="193">
        <f t="shared" si="374"/>
        <v>0</v>
      </c>
      <c r="BH918" s="307">
        <f t="shared" si="366"/>
        <v>0</v>
      </c>
      <c r="BI918" s="312" t="s">
        <v>242</v>
      </c>
      <c r="BJ918" s="26" t="str">
        <f t="shared" si="375"/>
        <v>SAND RIVERChum</v>
      </c>
      <c r="BK918" s="26">
        <f t="shared" si="376"/>
        <v>0</v>
      </c>
      <c r="BL918" s="33">
        <f t="shared" si="368"/>
        <v>0</v>
      </c>
      <c r="BQ918" s="47" t="str">
        <f t="shared" si="377"/>
        <v>SAND RIVERChum</v>
      </c>
      <c r="BR918" s="49">
        <f t="shared" si="378"/>
        <v>0</v>
      </c>
      <c r="BS918" s="49">
        <f t="shared" si="388"/>
        <v>0</v>
      </c>
      <c r="BT918" s="31">
        <v>2001</v>
      </c>
      <c r="BU918" s="188" t="str">
        <f t="shared" si="379"/>
        <v>Redd</v>
      </c>
      <c r="BV918" s="188" t="str">
        <f t="shared" si="380"/>
        <v xml:space="preserve"> </v>
      </c>
      <c r="BW918" s="188" t="str">
        <f t="shared" si="390"/>
        <v xml:space="preserve"> </v>
      </c>
      <c r="BX918" s="188" t="str">
        <f t="shared" si="381"/>
        <v xml:space="preserve"> </v>
      </c>
      <c r="BY918" s="50" t="str">
        <f t="shared" si="370"/>
        <v>SAND RIVER_Chum</v>
      </c>
      <c r="BZ918" s="50" t="str">
        <f>IFERROR(VLOOKUP(BY918,'[1]WCVI Esc'!$C$5:$W$555,18,FALSE),"-")</f>
        <v>-</v>
      </c>
      <c r="CA918" s="50" t="str">
        <f t="shared" si="382"/>
        <v>-</v>
      </c>
      <c r="CB918" s="50" t="str">
        <f>IFERROR(VLOOKUP(BY918,'[1]WCVI Esc'!$C$5:$W$555,19,FALSE),"-")</f>
        <v>-</v>
      </c>
      <c r="CC918" s="50" t="str">
        <f t="shared" si="383"/>
        <v>-</v>
      </c>
      <c r="CE918" s="342" t="str">
        <f t="shared" si="369"/>
        <v>SAND RIVER_Chum</v>
      </c>
      <c r="CF918" s="341">
        <f>IFERROR(VLOOKUP(BY918,'RawPL+D'!$O$8:$AB$503,12,FALSE),"-")</f>
        <v>1</v>
      </c>
      <c r="CG918" s="338">
        <f t="shared" si="384"/>
        <v>0</v>
      </c>
      <c r="CH918" s="341">
        <f>IFERROR(VLOOKUP(BY918,'RawPL+D'!$O$8:$AB$503,13,FALSE),"-")</f>
        <v>0.5</v>
      </c>
      <c r="CI918" s="338">
        <f t="shared" si="385"/>
        <v>0</v>
      </c>
    </row>
    <row r="919" spans="1:87" ht="12.75" hidden="1" customHeight="1" x14ac:dyDescent="0.2">
      <c r="A919" s="28">
        <v>4</v>
      </c>
      <c r="B919" s="28">
        <v>5</v>
      </c>
      <c r="C919" s="11">
        <v>24</v>
      </c>
      <c r="D919" s="13" t="s">
        <v>296</v>
      </c>
      <c r="E919" s="10" t="s">
        <v>128</v>
      </c>
      <c r="F919" s="10" t="s">
        <v>210</v>
      </c>
      <c r="G919" s="10"/>
      <c r="H919" s="10"/>
      <c r="I919" s="10"/>
      <c r="J919" s="10"/>
      <c r="K919" s="575"/>
      <c r="L919" s="152"/>
      <c r="M919" s="164"/>
      <c r="N919" s="62"/>
      <c r="O919" s="62"/>
      <c r="P919" s="177"/>
      <c r="Q919" s="171"/>
      <c r="R919" s="62"/>
      <c r="S919" s="62"/>
      <c r="T919" s="94"/>
      <c r="U919" s="94"/>
      <c r="V919" s="164"/>
      <c r="W919" s="62"/>
      <c r="X919" s="62"/>
      <c r="Y919" s="62"/>
      <c r="Z919" s="64"/>
      <c r="AA919" s="164"/>
      <c r="AB919" s="62"/>
      <c r="AC919" s="62"/>
      <c r="AD919" s="64"/>
      <c r="AE919" s="164"/>
      <c r="AF919" s="62"/>
      <c r="AG919" s="64"/>
      <c r="AH919" s="337"/>
      <c r="AI919" s="337"/>
      <c r="AJ919" s="337"/>
      <c r="AK919" s="337"/>
      <c r="AL919" s="555"/>
      <c r="AM919" s="552"/>
      <c r="AN919" s="45"/>
      <c r="AO919" s="45"/>
      <c r="AP919" s="45"/>
      <c r="AQ919" s="485"/>
      <c r="AR919"/>
      <c r="AS919" s="485"/>
      <c r="AT919" s="24"/>
      <c r="AU919" s="24"/>
      <c r="AV919" s="24"/>
      <c r="AW919" s="18">
        <v>24</v>
      </c>
      <c r="AX919" s="69" t="s">
        <v>296</v>
      </c>
      <c r="AY919" s="243" t="s">
        <v>128</v>
      </c>
      <c r="AZ919" s="243" t="str">
        <f t="shared" si="371"/>
        <v>Chinook</v>
      </c>
      <c r="BA919" s="243" t="s">
        <v>419</v>
      </c>
      <c r="BB919" s="244" t="s">
        <v>626</v>
      </c>
      <c r="BC919" s="43" t="str">
        <f t="shared" si="372"/>
        <v>-</v>
      </c>
      <c r="BD919" s="43">
        <f t="shared" si="367"/>
        <v>0</v>
      </c>
      <c r="BE919" s="193">
        <f t="shared" si="389"/>
        <v>0</v>
      </c>
      <c r="BF919" s="193">
        <f t="shared" si="373"/>
        <v>0</v>
      </c>
      <c r="BG919" s="193">
        <f t="shared" si="374"/>
        <v>0</v>
      </c>
      <c r="BH919" s="307">
        <f t="shared" si="366"/>
        <v>0</v>
      </c>
      <c r="BI919" s="265">
        <f>CC919</f>
        <v>0</v>
      </c>
      <c r="BJ919" s="26" t="str">
        <f t="shared" si="375"/>
        <v>SAND RIVERChinook</v>
      </c>
      <c r="BK919" s="26">
        <f t="shared" si="376"/>
        <v>0</v>
      </c>
      <c r="BL919" s="33">
        <f t="shared" si="368"/>
        <v>0</v>
      </c>
      <c r="BQ919" s="47" t="str">
        <f t="shared" si="377"/>
        <v>SAND RIVERChinook</v>
      </c>
      <c r="BR919" s="49">
        <f t="shared" si="378"/>
        <v>0</v>
      </c>
      <c r="BS919" s="49">
        <f t="shared" si="388"/>
        <v>0</v>
      </c>
      <c r="BT919" s="31">
        <v>2011</v>
      </c>
      <c r="BU919" s="188" t="str">
        <f t="shared" si="379"/>
        <v>Redd</v>
      </c>
      <c r="BV919" s="188" t="str">
        <f t="shared" si="380"/>
        <v xml:space="preserve"> </v>
      </c>
      <c r="BW919" s="188" t="str">
        <f t="shared" si="390"/>
        <v xml:space="preserve"> </v>
      </c>
      <c r="BX919" s="188" t="str">
        <f t="shared" si="381"/>
        <v xml:space="preserve"> </v>
      </c>
      <c r="BY919" s="50" t="str">
        <f t="shared" si="370"/>
        <v>SAND RIVER_Chinook</v>
      </c>
      <c r="BZ919" s="50">
        <f>IFERROR(VLOOKUP(BY919,'[1]WCVI Esc'!$C$5:$W$555,18,FALSE),"-")</f>
        <v>1</v>
      </c>
      <c r="CA919" s="50">
        <f t="shared" si="382"/>
        <v>0</v>
      </c>
      <c r="CB919" s="50">
        <f>IFERROR(VLOOKUP(BY919,'[1]WCVI Esc'!$C$5:$W$555,19,FALSE),"-")</f>
        <v>1</v>
      </c>
      <c r="CC919" s="50">
        <f t="shared" si="383"/>
        <v>0</v>
      </c>
      <c r="CE919" s="342" t="str">
        <f t="shared" si="369"/>
        <v>SAND RIVER_Chinook</v>
      </c>
      <c r="CF919" s="341">
        <f>IFERROR(VLOOKUP(BY919,'RawPL+D'!$O$8:$AB$503,12,FALSE),"-")</f>
        <v>0</v>
      </c>
      <c r="CG919" s="338">
        <f t="shared" si="384"/>
        <v>0</v>
      </c>
      <c r="CH919" s="341">
        <f>IFERROR(VLOOKUP(BY919,'RawPL+D'!$O$8:$AB$503,13,FALSE),"-")</f>
        <v>0.5</v>
      </c>
      <c r="CI919" s="338">
        <f t="shared" si="385"/>
        <v>0</v>
      </c>
    </row>
    <row r="920" spans="1:87" ht="12.75" hidden="1" customHeight="1" x14ac:dyDescent="0.2">
      <c r="A920" s="28">
        <v>4</v>
      </c>
      <c r="B920" s="28">
        <v>6</v>
      </c>
      <c r="C920" s="11">
        <v>24</v>
      </c>
      <c r="D920" s="13" t="s">
        <v>296</v>
      </c>
      <c r="E920" s="10" t="s">
        <v>128</v>
      </c>
      <c r="F920" s="10" t="s">
        <v>211</v>
      </c>
      <c r="G920" s="10"/>
      <c r="H920" s="10"/>
      <c r="I920" s="10"/>
      <c r="J920" s="10"/>
      <c r="K920" s="575"/>
      <c r="L920" s="152"/>
      <c r="M920" s="164"/>
      <c r="N920" s="62"/>
      <c r="O920" s="62"/>
      <c r="P920" s="177"/>
      <c r="Q920" s="171"/>
      <c r="R920" s="62"/>
      <c r="S920" s="62"/>
      <c r="T920" s="94"/>
      <c r="U920" s="94"/>
      <c r="V920" s="164"/>
      <c r="W920" s="62"/>
      <c r="X920" s="62"/>
      <c r="Y920" s="62"/>
      <c r="Z920" s="64"/>
      <c r="AA920" s="164"/>
      <c r="AB920" s="62"/>
      <c r="AC920" s="62"/>
      <c r="AD920" s="64"/>
      <c r="AE920" s="164"/>
      <c r="AF920" s="62"/>
      <c r="AG920" s="64"/>
      <c r="AH920" s="337"/>
      <c r="AI920" s="337"/>
      <c r="AJ920" s="337"/>
      <c r="AK920" s="337"/>
      <c r="AL920" s="555"/>
      <c r="AM920" s="552"/>
      <c r="AN920" s="45"/>
      <c r="AO920" s="45"/>
      <c r="AP920" s="45"/>
      <c r="AQ920" s="485"/>
      <c r="AR920"/>
      <c r="AS920" s="485"/>
      <c r="AT920" s="24"/>
      <c r="AU920" s="24"/>
      <c r="AV920" s="24"/>
      <c r="AW920" s="18">
        <v>24</v>
      </c>
      <c r="AX920" s="69" t="s">
        <v>296</v>
      </c>
      <c r="AY920" s="243" t="s">
        <v>128</v>
      </c>
      <c r="AZ920" s="243" t="str">
        <f t="shared" si="371"/>
        <v>Steelhead</v>
      </c>
      <c r="BA920" s="243" t="s">
        <v>419</v>
      </c>
      <c r="BB920" s="244" t="s">
        <v>626</v>
      </c>
      <c r="BC920" s="43" t="str">
        <f t="shared" si="372"/>
        <v>-</v>
      </c>
      <c r="BD920" s="43">
        <f t="shared" si="367"/>
        <v>0</v>
      </c>
      <c r="BE920" s="193">
        <f t="shared" si="389"/>
        <v>0</v>
      </c>
      <c r="BF920" s="193">
        <f t="shared" si="373"/>
        <v>0</v>
      </c>
      <c r="BG920" s="193">
        <f t="shared" si="374"/>
        <v>0</v>
      </c>
      <c r="BH920" s="307" t="str">
        <f t="shared" si="366"/>
        <v>-</v>
      </c>
      <c r="BI920" s="266"/>
      <c r="BJ920" s="26" t="str">
        <f t="shared" si="375"/>
        <v>SAND RIVERSteelhead</v>
      </c>
      <c r="BK920" s="26">
        <f t="shared" si="376"/>
        <v>0</v>
      </c>
      <c r="BL920" s="33">
        <f t="shared" si="368"/>
        <v>0</v>
      </c>
      <c r="BQ920" s="47" t="str">
        <f t="shared" si="377"/>
        <v>SAND RIVERSteelhead</v>
      </c>
      <c r="BR920" s="49">
        <f t="shared" si="378"/>
        <v>0</v>
      </c>
      <c r="BS920" s="49">
        <f t="shared" si="388"/>
        <v>0</v>
      </c>
      <c r="BT920" s="31">
        <v>0</v>
      </c>
      <c r="BU920" s="188" t="str">
        <f t="shared" si="379"/>
        <v>Redd</v>
      </c>
      <c r="BV920" s="188" t="str">
        <f t="shared" si="380"/>
        <v xml:space="preserve"> </v>
      </c>
      <c r="BW920" s="188" t="str">
        <f t="shared" si="390"/>
        <v xml:space="preserve"> </v>
      </c>
      <c r="BX920" s="188" t="str">
        <f t="shared" si="381"/>
        <v xml:space="preserve"> </v>
      </c>
      <c r="BY920" s="50" t="str">
        <f t="shared" si="370"/>
        <v>SAND RIVER_Steelhead</v>
      </c>
      <c r="BZ920" s="50" t="str">
        <f>IFERROR(VLOOKUP(BY920,'[1]WCVI Esc'!$C$5:$W$555,18,FALSE),"-")</f>
        <v>-</v>
      </c>
      <c r="CA920" s="50" t="str">
        <f t="shared" si="382"/>
        <v>-</v>
      </c>
      <c r="CB920" s="50" t="str">
        <f>IFERROR(VLOOKUP(BY920,'[1]WCVI Esc'!$C$5:$W$555,19,FALSE),"-")</f>
        <v>-</v>
      </c>
      <c r="CC920" s="50" t="str">
        <f t="shared" si="383"/>
        <v>-</v>
      </c>
      <c r="CE920" s="342" t="str">
        <f t="shared" si="369"/>
        <v>SAND RIVER_Steelhead</v>
      </c>
      <c r="CF920" s="341" t="str">
        <f>IFERROR(VLOOKUP(BY920,'RawPL+D'!$O$8:$AB$503,12,FALSE),"-")</f>
        <v>-</v>
      </c>
      <c r="CG920" s="338" t="str">
        <f t="shared" si="384"/>
        <v>-</v>
      </c>
      <c r="CH920" s="341" t="str">
        <f>IFERROR(VLOOKUP(BY920,'RawPL+D'!$O$8:$AB$503,13,FALSE),"-")</f>
        <v>-</v>
      </c>
      <c r="CI920" s="338" t="str">
        <f t="shared" si="385"/>
        <v>-</v>
      </c>
    </row>
    <row r="921" spans="1:87" ht="12.75" hidden="1" customHeight="1" x14ac:dyDescent="0.2">
      <c r="A921" s="28">
        <v>4</v>
      </c>
      <c r="B921" s="28">
        <v>1</v>
      </c>
      <c r="C921" s="11">
        <v>24</v>
      </c>
      <c r="D921" s="13" t="s">
        <v>296</v>
      </c>
      <c r="E921" s="10" t="s">
        <v>438</v>
      </c>
      <c r="F921" s="10" t="s">
        <v>207</v>
      </c>
      <c r="G921" s="10"/>
      <c r="H921" s="10"/>
      <c r="I921" s="10"/>
      <c r="J921" s="10"/>
      <c r="K921" s="575"/>
      <c r="L921" s="152"/>
      <c r="M921" s="422"/>
      <c r="N921" s="339"/>
      <c r="O921" s="62"/>
      <c r="P921" s="424"/>
      <c r="Q921" s="171"/>
      <c r="R921" s="339"/>
      <c r="S921" s="339"/>
      <c r="T921" s="729">
        <v>0</v>
      </c>
      <c r="U921" s="792">
        <v>0</v>
      </c>
      <c r="V921" s="169"/>
      <c r="W921" s="339"/>
      <c r="X921" s="63"/>
      <c r="Y921" s="62"/>
      <c r="Z921" s="64"/>
      <c r="AA921" s="164"/>
      <c r="AB921" s="62"/>
      <c r="AC921" s="62"/>
      <c r="AD921" s="64"/>
      <c r="AE921" s="164"/>
      <c r="AF921" s="62"/>
      <c r="AG921" s="64"/>
      <c r="AH921" s="337">
        <v>0</v>
      </c>
      <c r="AI921" s="337">
        <v>0</v>
      </c>
      <c r="AJ921" s="337">
        <v>0</v>
      </c>
      <c r="AK921" s="337">
        <v>0</v>
      </c>
      <c r="AL921" s="555">
        <v>0</v>
      </c>
      <c r="AM921" s="552">
        <v>0</v>
      </c>
      <c r="AN921" s="552" t="s">
        <v>765</v>
      </c>
      <c r="AO921" s="552" t="s">
        <v>773</v>
      </c>
      <c r="AP921" s="45"/>
      <c r="AQ921" s="485"/>
      <c r="AR921"/>
      <c r="AS921" s="485"/>
      <c r="AT921" s="24"/>
      <c r="AU921" s="24"/>
      <c r="AV921" s="24"/>
      <c r="AW921" s="18">
        <v>24</v>
      </c>
      <c r="AX921" s="69" t="s">
        <v>296</v>
      </c>
      <c r="AY921" s="243" t="s">
        <v>329</v>
      </c>
      <c r="AZ921" s="243" t="str">
        <f t="shared" si="371"/>
        <v>Sockeye</v>
      </c>
      <c r="BA921" s="243" t="s">
        <v>419</v>
      </c>
      <c r="BB921" s="244" t="s">
        <v>497</v>
      </c>
      <c r="BC921" s="43" t="str">
        <f t="shared" si="372"/>
        <v>Oct 29-Nov4</v>
      </c>
      <c r="BD921" s="43">
        <f t="shared" si="367"/>
        <v>2</v>
      </c>
      <c r="BE921" s="193">
        <f t="shared" si="389"/>
        <v>0</v>
      </c>
      <c r="BF921" s="193">
        <f t="shared" si="373"/>
        <v>0</v>
      </c>
      <c r="BG921" s="193">
        <f t="shared" si="374"/>
        <v>0</v>
      </c>
      <c r="BH921" s="307" t="str">
        <f t="shared" si="366"/>
        <v>-</v>
      </c>
      <c r="BI921" s="266"/>
      <c r="BJ921" s="26" t="str">
        <f t="shared" si="375"/>
        <v>SHARP CREEKSockeye</v>
      </c>
      <c r="BK921" s="33">
        <f t="shared" si="376"/>
        <v>2</v>
      </c>
      <c r="BL921" s="33">
        <f t="shared" si="368"/>
        <v>0</v>
      </c>
      <c r="BQ921" s="47" t="str">
        <f t="shared" si="377"/>
        <v>SHARP CREEKSockeye</v>
      </c>
      <c r="BR921" s="49">
        <f t="shared" si="378"/>
        <v>0</v>
      </c>
      <c r="BS921" s="49">
        <f t="shared" si="388"/>
        <v>0</v>
      </c>
      <c r="BT921" s="31">
        <v>0</v>
      </c>
      <c r="BU921" s="188" t="str">
        <f t="shared" si="379"/>
        <v>TSES</v>
      </c>
      <c r="BV921" s="188" t="str">
        <f t="shared" si="380"/>
        <v xml:space="preserve"> </v>
      </c>
      <c r="BW921" s="188" t="str">
        <f t="shared" si="390"/>
        <v>Oct 29-Nov4</v>
      </c>
      <c r="BX921" s="188" t="str">
        <f t="shared" si="381"/>
        <v xml:space="preserve"> </v>
      </c>
      <c r="BY921" s="50" t="str">
        <f t="shared" si="370"/>
        <v>SHARP CREEK_Sockeye</v>
      </c>
      <c r="BZ921" s="50" t="str">
        <f>IFERROR(VLOOKUP(BY921,'[1]WCVI Esc'!$C$5:$W$555,18,FALSE),"-")</f>
        <v>-</v>
      </c>
      <c r="CA921" s="50" t="str">
        <f t="shared" si="382"/>
        <v>-</v>
      </c>
      <c r="CB921" s="50" t="str">
        <f>IFERROR(VLOOKUP(BY921,'[1]WCVI Esc'!$C$5:$W$555,19,FALSE),"-")</f>
        <v>-</v>
      </c>
      <c r="CC921" s="50" t="str">
        <f t="shared" si="383"/>
        <v>-</v>
      </c>
      <c r="CE921" s="342" t="str">
        <f t="shared" si="369"/>
        <v>SHARP CREEK_Sockeye</v>
      </c>
      <c r="CF921" s="341" t="str">
        <f>IFERROR(VLOOKUP(BY921,'RawPL+D'!$O$8:$AB$503,12,FALSE),"-")</f>
        <v>-</v>
      </c>
      <c r="CG921" s="338" t="str">
        <f t="shared" si="384"/>
        <v>-</v>
      </c>
      <c r="CH921" s="341" t="str">
        <f>IFERROR(VLOOKUP(BY921,'RawPL+D'!$O$8:$AB$503,13,FALSE),"-")</f>
        <v>-</v>
      </c>
      <c r="CI921" s="338" t="str">
        <f t="shared" si="385"/>
        <v>-</v>
      </c>
    </row>
    <row r="922" spans="1:87" ht="12.75" hidden="1" customHeight="1" x14ac:dyDescent="0.2">
      <c r="A922" s="28">
        <v>4</v>
      </c>
      <c r="B922" s="28">
        <v>2</v>
      </c>
      <c r="C922" s="11">
        <v>24</v>
      </c>
      <c r="D922" s="13" t="s">
        <v>296</v>
      </c>
      <c r="E922" s="10" t="s">
        <v>438</v>
      </c>
      <c r="F922" s="10" t="s">
        <v>219</v>
      </c>
      <c r="G922" s="10"/>
      <c r="H922" s="10"/>
      <c r="I922" s="10"/>
      <c r="J922" s="10"/>
      <c r="K922" s="575"/>
      <c r="L922" s="152"/>
      <c r="M922" s="422"/>
      <c r="N922" s="339"/>
      <c r="O922" s="62"/>
      <c r="P922" s="424"/>
      <c r="Q922" s="171"/>
      <c r="R922" s="339"/>
      <c r="S922" s="339"/>
      <c r="T922" s="729">
        <v>0</v>
      </c>
      <c r="U922" s="792">
        <v>0</v>
      </c>
      <c r="V922" s="169"/>
      <c r="W922" s="339"/>
      <c r="X922" s="63"/>
      <c r="Y922" s="62"/>
      <c r="Z922" s="64"/>
      <c r="AA922" s="164"/>
      <c r="AB922" s="62"/>
      <c r="AC922" s="62"/>
      <c r="AD922" s="64"/>
      <c r="AE922" s="164"/>
      <c r="AF922" s="62"/>
      <c r="AG922" s="64"/>
      <c r="AH922" s="337">
        <v>0</v>
      </c>
      <c r="AI922" s="337">
        <v>0</v>
      </c>
      <c r="AJ922" s="337">
        <v>0</v>
      </c>
      <c r="AK922" s="337">
        <v>0</v>
      </c>
      <c r="AL922" s="555">
        <v>0</v>
      </c>
      <c r="AM922" s="552">
        <v>0</v>
      </c>
      <c r="AN922" s="552" t="s">
        <v>765</v>
      </c>
      <c r="AO922" s="552" t="s">
        <v>773</v>
      </c>
      <c r="AP922" s="45"/>
      <c r="AQ922" s="485"/>
      <c r="AR922"/>
      <c r="AS922" s="485"/>
      <c r="AT922" s="24"/>
      <c r="AU922" s="24"/>
      <c r="AV922" s="24"/>
      <c r="AW922" s="18">
        <v>24</v>
      </c>
      <c r="AX922" s="69" t="s">
        <v>296</v>
      </c>
      <c r="AY922" s="243" t="s">
        <v>329</v>
      </c>
      <c r="AZ922" s="243" t="str">
        <f t="shared" si="371"/>
        <v>Coho</v>
      </c>
      <c r="BA922" s="243" t="s">
        <v>419</v>
      </c>
      <c r="BB922" s="244" t="s">
        <v>497</v>
      </c>
      <c r="BC922" s="43" t="str">
        <f t="shared" si="372"/>
        <v>Oct 29-Nov4</v>
      </c>
      <c r="BD922" s="43">
        <f t="shared" si="367"/>
        <v>2</v>
      </c>
      <c r="BE922" s="193">
        <f t="shared" si="389"/>
        <v>0</v>
      </c>
      <c r="BF922" s="193">
        <f t="shared" si="373"/>
        <v>0</v>
      </c>
      <c r="BG922" s="193">
        <f t="shared" si="374"/>
        <v>0</v>
      </c>
      <c r="BH922" s="307">
        <f t="shared" si="366"/>
        <v>0</v>
      </c>
      <c r="BI922" s="266"/>
      <c r="BJ922" s="26" t="str">
        <f t="shared" si="375"/>
        <v>SHARP CREEKCoho</v>
      </c>
      <c r="BK922" s="33">
        <f t="shared" si="376"/>
        <v>2</v>
      </c>
      <c r="BL922" s="33">
        <f t="shared" si="368"/>
        <v>0</v>
      </c>
      <c r="BQ922" s="47" t="str">
        <f t="shared" si="377"/>
        <v>SHARP CREEKCoho</v>
      </c>
      <c r="BR922" s="49">
        <f t="shared" si="378"/>
        <v>0</v>
      </c>
      <c r="BS922" s="49">
        <f t="shared" si="388"/>
        <v>0</v>
      </c>
      <c r="BT922" s="31">
        <v>0</v>
      </c>
      <c r="BU922" s="188" t="str">
        <f t="shared" si="379"/>
        <v>TSES</v>
      </c>
      <c r="BV922" s="188" t="str">
        <f t="shared" si="380"/>
        <v xml:space="preserve"> </v>
      </c>
      <c r="BW922" s="188" t="str">
        <f t="shared" si="390"/>
        <v>Oct 29-Nov4</v>
      </c>
      <c r="BX922" s="188" t="str">
        <f t="shared" si="381"/>
        <v xml:space="preserve"> </v>
      </c>
      <c r="BY922" s="50" t="str">
        <f t="shared" si="370"/>
        <v>SHARP CREEK_Coho</v>
      </c>
      <c r="BZ922" s="50" t="str">
        <f>IFERROR(VLOOKUP(BY922,'[1]WCVI Esc'!$C$5:$W$555,18,FALSE),"-")</f>
        <v>-</v>
      </c>
      <c r="CA922" s="50" t="str">
        <f t="shared" si="382"/>
        <v>-</v>
      </c>
      <c r="CB922" s="50" t="str">
        <f>IFERROR(VLOOKUP(BY922,'[1]WCVI Esc'!$C$5:$W$555,19,FALSE),"-")</f>
        <v>-</v>
      </c>
      <c r="CC922" s="50" t="str">
        <f t="shared" si="383"/>
        <v>-</v>
      </c>
      <c r="CE922" s="342" t="str">
        <f t="shared" si="369"/>
        <v>SHARP CREEK_Coho</v>
      </c>
      <c r="CF922" s="341">
        <f>IFERROR(VLOOKUP(BY922,'RawPL+D'!$O$8:$AB$503,12,FALSE),"-")</f>
        <v>0</v>
      </c>
      <c r="CG922" s="338">
        <f t="shared" si="384"/>
        <v>0</v>
      </c>
      <c r="CH922" s="341">
        <f>IFERROR(VLOOKUP(BY922,'RawPL+D'!$O$8:$AB$503,13,FALSE),"-")</f>
        <v>0</v>
      </c>
      <c r="CI922" s="338">
        <f t="shared" si="385"/>
        <v>0</v>
      </c>
    </row>
    <row r="923" spans="1:87" ht="12.75" hidden="1" customHeight="1" x14ac:dyDescent="0.2">
      <c r="A923" s="28">
        <v>4</v>
      </c>
      <c r="B923" s="28">
        <v>3</v>
      </c>
      <c r="C923" s="11">
        <v>24</v>
      </c>
      <c r="D923" s="13" t="s">
        <v>296</v>
      </c>
      <c r="E923" s="10" t="s">
        <v>438</v>
      </c>
      <c r="F923" s="10" t="s">
        <v>208</v>
      </c>
      <c r="G923" s="10"/>
      <c r="H923" s="10"/>
      <c r="I923" s="10"/>
      <c r="J923" s="10"/>
      <c r="K923" s="575"/>
      <c r="L923" s="152"/>
      <c r="M923" s="422"/>
      <c r="N923" s="339"/>
      <c r="O923" s="62"/>
      <c r="P923" s="424"/>
      <c r="Q923" s="171"/>
      <c r="R923" s="339"/>
      <c r="S923" s="339"/>
      <c r="T923" s="729">
        <v>0</v>
      </c>
      <c r="U923" s="792">
        <v>0</v>
      </c>
      <c r="V923" s="169"/>
      <c r="W923" s="339"/>
      <c r="X923" s="63"/>
      <c r="Y923" s="62"/>
      <c r="Z923" s="64"/>
      <c r="AA923" s="164"/>
      <c r="AB923" s="62"/>
      <c r="AC923" s="62"/>
      <c r="AD923" s="64"/>
      <c r="AE923" s="164"/>
      <c r="AF923" s="62"/>
      <c r="AG923" s="64"/>
      <c r="AH923" s="337">
        <v>0</v>
      </c>
      <c r="AI923" s="337">
        <v>0</v>
      </c>
      <c r="AJ923" s="337">
        <v>0</v>
      </c>
      <c r="AK923" s="337">
        <v>0</v>
      </c>
      <c r="AL923" s="555">
        <v>0</v>
      </c>
      <c r="AM923" s="552">
        <v>0</v>
      </c>
      <c r="AN923" s="552" t="s">
        <v>765</v>
      </c>
      <c r="AO923" s="552" t="s">
        <v>773</v>
      </c>
      <c r="AP923" s="45"/>
      <c r="AQ923" s="485"/>
      <c r="AR923"/>
      <c r="AS923" s="485"/>
      <c r="AT923" s="24"/>
      <c r="AU923" s="24"/>
      <c r="AV923" s="24"/>
      <c r="AW923" s="18">
        <v>24</v>
      </c>
      <c r="AX923" s="69" t="s">
        <v>296</v>
      </c>
      <c r="AY923" s="243" t="s">
        <v>329</v>
      </c>
      <c r="AZ923" s="243" t="str">
        <f t="shared" si="371"/>
        <v>Pink</v>
      </c>
      <c r="BA923" s="243" t="s">
        <v>419</v>
      </c>
      <c r="BB923" s="244" t="s">
        <v>497</v>
      </c>
      <c r="BC923" s="43" t="str">
        <f t="shared" si="372"/>
        <v>Oct 29-Nov4</v>
      </c>
      <c r="BD923" s="43">
        <f t="shared" si="367"/>
        <v>2</v>
      </c>
      <c r="BE923" s="193">
        <f t="shared" si="389"/>
        <v>0</v>
      </c>
      <c r="BF923" s="193">
        <f t="shared" si="373"/>
        <v>0</v>
      </c>
      <c r="BG923" s="193">
        <f t="shared" si="374"/>
        <v>0</v>
      </c>
      <c r="BH923" s="307" t="str">
        <f t="shared" si="366"/>
        <v>-</v>
      </c>
      <c r="BI923" s="266"/>
      <c r="BJ923" s="26" t="str">
        <f t="shared" si="375"/>
        <v>SHARP CREEKPink</v>
      </c>
      <c r="BK923" s="33">
        <f t="shared" si="376"/>
        <v>2</v>
      </c>
      <c r="BL923" s="33">
        <f t="shared" si="368"/>
        <v>0</v>
      </c>
      <c r="BQ923" s="47" t="str">
        <f t="shared" si="377"/>
        <v>SHARP CREEKPink</v>
      </c>
      <c r="BR923" s="49">
        <f t="shared" si="378"/>
        <v>0</v>
      </c>
      <c r="BS923" s="49">
        <f t="shared" si="388"/>
        <v>0</v>
      </c>
      <c r="BT923" s="31">
        <v>0</v>
      </c>
      <c r="BU923" s="188" t="str">
        <f t="shared" si="379"/>
        <v>TSES</v>
      </c>
      <c r="BV923" s="188" t="str">
        <f t="shared" si="380"/>
        <v xml:space="preserve"> </v>
      </c>
      <c r="BW923" s="188" t="str">
        <f t="shared" si="390"/>
        <v>Oct 29-Nov4</v>
      </c>
      <c r="BX923" s="188" t="str">
        <f t="shared" si="381"/>
        <v xml:space="preserve"> </v>
      </c>
      <c r="BY923" s="50" t="str">
        <f t="shared" si="370"/>
        <v>SHARP CREEK_Pink</v>
      </c>
      <c r="BZ923" s="50" t="str">
        <f>IFERROR(VLOOKUP(BY923,'[1]WCVI Esc'!$C$5:$W$555,18,FALSE),"-")</f>
        <v>-</v>
      </c>
      <c r="CA923" s="50" t="str">
        <f t="shared" si="382"/>
        <v>-</v>
      </c>
      <c r="CB923" s="50" t="str">
        <f>IFERROR(VLOOKUP(BY923,'[1]WCVI Esc'!$C$5:$W$555,19,FALSE),"-")</f>
        <v>-</v>
      </c>
      <c r="CC923" s="50" t="str">
        <f t="shared" si="383"/>
        <v>-</v>
      </c>
      <c r="CE923" s="342" t="str">
        <f t="shared" si="369"/>
        <v>SHARP CREEK_Pink</v>
      </c>
      <c r="CF923" s="341" t="str">
        <f>IFERROR(VLOOKUP(BY923,'RawPL+D'!$O$8:$AB$503,12,FALSE),"-")</f>
        <v>-</v>
      </c>
      <c r="CG923" s="338" t="str">
        <f t="shared" si="384"/>
        <v>-</v>
      </c>
      <c r="CH923" s="341" t="str">
        <f>IFERROR(VLOOKUP(BY923,'RawPL+D'!$O$8:$AB$503,13,FALSE),"-")</f>
        <v>-</v>
      </c>
      <c r="CI923" s="338" t="str">
        <f t="shared" si="385"/>
        <v>-</v>
      </c>
    </row>
    <row r="924" spans="1:87" ht="12.75" hidden="1" customHeight="1" x14ac:dyDescent="0.2">
      <c r="A924" s="28">
        <v>4</v>
      </c>
      <c r="B924" s="28">
        <v>4</v>
      </c>
      <c r="C924" s="11">
        <v>24</v>
      </c>
      <c r="D924" s="13" t="s">
        <v>296</v>
      </c>
      <c r="E924" s="10" t="s">
        <v>438</v>
      </c>
      <c r="F924" s="10" t="s">
        <v>209</v>
      </c>
      <c r="G924" s="10"/>
      <c r="H924" s="10"/>
      <c r="I924" s="10"/>
      <c r="J924" s="10"/>
      <c r="K924" s="575"/>
      <c r="L924" s="152"/>
      <c r="M924" s="422"/>
      <c r="N924" s="339"/>
      <c r="O924" s="62"/>
      <c r="P924" s="424"/>
      <c r="Q924" s="171"/>
      <c r="R924" s="339"/>
      <c r="S924" s="439"/>
      <c r="T924" s="849">
        <f>81+79</f>
        <v>160</v>
      </c>
      <c r="U924" s="793">
        <f>12+28</f>
        <v>40</v>
      </c>
      <c r="V924" s="419"/>
      <c r="W924" s="339"/>
      <c r="X924" s="63"/>
      <c r="Y924" s="62"/>
      <c r="Z924" s="64"/>
      <c r="AA924" s="164"/>
      <c r="AB924" s="62"/>
      <c r="AC924" s="62"/>
      <c r="AD924" s="64"/>
      <c r="AE924" s="164"/>
      <c r="AF924" s="62"/>
      <c r="AG924" s="64"/>
      <c r="AH924" s="337">
        <v>90</v>
      </c>
      <c r="AI924" s="337">
        <v>0</v>
      </c>
      <c r="AJ924" s="337">
        <v>0</v>
      </c>
      <c r="AK924" s="337">
        <v>0</v>
      </c>
      <c r="AL924" s="555">
        <v>90</v>
      </c>
      <c r="AM924" s="552">
        <v>90</v>
      </c>
      <c r="AN924" s="841" t="s">
        <v>765</v>
      </c>
      <c r="AO924" s="45" t="s">
        <v>773</v>
      </c>
      <c r="AP924" s="45"/>
      <c r="AQ924" s="485"/>
      <c r="AR924" s="485">
        <f>BL924/BH924</f>
        <v>2</v>
      </c>
      <c r="AS924" s="485"/>
      <c r="AT924" s="24"/>
      <c r="AU924" s="24"/>
      <c r="AV924" s="24"/>
      <c r="AW924" s="18">
        <v>24</v>
      </c>
      <c r="AX924" s="69" t="s">
        <v>296</v>
      </c>
      <c r="AY924" s="243" t="s">
        <v>329</v>
      </c>
      <c r="AZ924" s="243" t="str">
        <f t="shared" si="371"/>
        <v>Chum</v>
      </c>
      <c r="BA924" s="243" t="s">
        <v>419</v>
      </c>
      <c r="BB924" s="244" t="s">
        <v>497</v>
      </c>
      <c r="BC924" s="43" t="str">
        <f t="shared" si="372"/>
        <v>Oct 29-Nov4</v>
      </c>
      <c r="BD924" s="43">
        <f t="shared" si="367"/>
        <v>2</v>
      </c>
      <c r="BE924" s="193">
        <f t="shared" si="389"/>
        <v>160</v>
      </c>
      <c r="BF924" s="193">
        <f t="shared" si="373"/>
        <v>90</v>
      </c>
      <c r="BG924" s="193">
        <f t="shared" si="374"/>
        <v>90</v>
      </c>
      <c r="BH924" s="307">
        <f t="shared" ref="BH924:BH987" si="391">CI924</f>
        <v>80</v>
      </c>
      <c r="BI924" s="308" t="s">
        <v>242</v>
      </c>
      <c r="BJ924" s="26" t="str">
        <f t="shared" si="375"/>
        <v>SHARP CREEKChum</v>
      </c>
      <c r="BK924" s="33">
        <f t="shared" si="376"/>
        <v>2</v>
      </c>
      <c r="BL924" s="33">
        <f t="shared" si="368"/>
        <v>160</v>
      </c>
      <c r="BQ924" s="47" t="str">
        <f t="shared" si="377"/>
        <v>SHARP CREEKChum</v>
      </c>
      <c r="BR924" s="49">
        <f t="shared" si="378"/>
        <v>0</v>
      </c>
      <c r="BS924" s="49">
        <f t="shared" si="388"/>
        <v>90</v>
      </c>
      <c r="BT924" s="31">
        <v>0</v>
      </c>
      <c r="BU924" s="188" t="str">
        <f t="shared" si="379"/>
        <v>TSES</v>
      </c>
      <c r="BV924" s="188" t="str">
        <f t="shared" si="380"/>
        <v xml:space="preserve"> </v>
      </c>
      <c r="BW924" s="188" t="str">
        <f t="shared" si="390"/>
        <v>Oct 29-Nov4</v>
      </c>
      <c r="BX924" s="188" t="str">
        <f t="shared" si="381"/>
        <v xml:space="preserve"> </v>
      </c>
      <c r="BY924" s="50" t="str">
        <f t="shared" si="370"/>
        <v>SHARP CREEK_Chum</v>
      </c>
      <c r="BZ924" s="50">
        <f>IFERROR(VLOOKUP(BY924,'[1]WCVI Esc'!$C$5:$W$555,18,FALSE),"-")</f>
        <v>575</v>
      </c>
      <c r="CA924" s="50">
        <f t="shared" si="382"/>
        <v>580</v>
      </c>
      <c r="CB924" s="50">
        <f>IFERROR(VLOOKUP(BY924,'[1]WCVI Esc'!$C$5:$W$555,19,FALSE),"-")</f>
        <v>250.4</v>
      </c>
      <c r="CC924" s="50">
        <f t="shared" si="383"/>
        <v>250</v>
      </c>
      <c r="CE924" s="342" t="str">
        <f t="shared" si="369"/>
        <v>SHARP CREEK_Chum</v>
      </c>
      <c r="CF924" s="341">
        <f>IFERROR(VLOOKUP(BY924,'RawPL+D'!$O$8:$AB$503,12,FALSE),"-")</f>
        <v>114</v>
      </c>
      <c r="CG924" s="338">
        <f t="shared" si="384"/>
        <v>110</v>
      </c>
      <c r="CH924" s="341">
        <f>IFERROR(VLOOKUP(BY924,'RawPL+D'!$O$8:$AB$503,13,FALSE),"-")</f>
        <v>79.333333333333329</v>
      </c>
      <c r="CI924" s="338">
        <f t="shared" si="385"/>
        <v>80</v>
      </c>
    </row>
    <row r="925" spans="1:87" ht="12.75" hidden="1" customHeight="1" x14ac:dyDescent="0.2">
      <c r="A925" s="28">
        <v>4</v>
      </c>
      <c r="B925" s="28">
        <v>5</v>
      </c>
      <c r="C925" s="11">
        <v>24</v>
      </c>
      <c r="D925" s="13" t="s">
        <v>296</v>
      </c>
      <c r="E925" s="10" t="s">
        <v>438</v>
      </c>
      <c r="F925" s="10" t="s">
        <v>210</v>
      </c>
      <c r="G925" s="10"/>
      <c r="H925" s="10"/>
      <c r="I925" s="10"/>
      <c r="J925" s="10"/>
      <c r="K925" s="575"/>
      <c r="L925" s="152"/>
      <c r="M925" s="422"/>
      <c r="N925" s="339"/>
      <c r="O925" s="62"/>
      <c r="P925" s="424"/>
      <c r="Q925" s="171"/>
      <c r="R925" s="339"/>
      <c r="S925" s="339"/>
      <c r="T925" s="729">
        <v>0</v>
      </c>
      <c r="U925" s="792">
        <v>0</v>
      </c>
      <c r="V925" s="169"/>
      <c r="W925" s="339"/>
      <c r="X925" s="63"/>
      <c r="Y925" s="62"/>
      <c r="Z925" s="64"/>
      <c r="AA925" s="164"/>
      <c r="AB925" s="62"/>
      <c r="AC925" s="62"/>
      <c r="AD925" s="64"/>
      <c r="AE925" s="164"/>
      <c r="AF925" s="62"/>
      <c r="AG925" s="64"/>
      <c r="AH925" s="337">
        <v>0</v>
      </c>
      <c r="AI925" s="337">
        <v>0</v>
      </c>
      <c r="AJ925" s="337">
        <v>0</v>
      </c>
      <c r="AK925" s="337">
        <v>0</v>
      </c>
      <c r="AL925" s="555">
        <v>0</v>
      </c>
      <c r="AM925" s="552">
        <v>0</v>
      </c>
      <c r="AN925" s="552" t="s">
        <v>765</v>
      </c>
      <c r="AO925" s="552" t="s">
        <v>773</v>
      </c>
      <c r="AP925" s="45"/>
      <c r="AQ925" s="485"/>
      <c r="AR925"/>
      <c r="AS925" s="485"/>
      <c r="AT925" s="24"/>
      <c r="AU925" s="24"/>
      <c r="AV925" s="24"/>
      <c r="AW925" s="18">
        <v>24</v>
      </c>
      <c r="AX925" s="69" t="s">
        <v>296</v>
      </c>
      <c r="AY925" s="243" t="s">
        <v>329</v>
      </c>
      <c r="AZ925" s="243" t="str">
        <f t="shared" si="371"/>
        <v>Chinook</v>
      </c>
      <c r="BA925" s="243" t="s">
        <v>419</v>
      </c>
      <c r="BB925" s="244" t="s">
        <v>497</v>
      </c>
      <c r="BC925" s="43" t="str">
        <f t="shared" si="372"/>
        <v>Oct 29-Nov4</v>
      </c>
      <c r="BD925" s="43">
        <f t="shared" si="367"/>
        <v>2</v>
      </c>
      <c r="BE925" s="193">
        <f t="shared" si="389"/>
        <v>0</v>
      </c>
      <c r="BF925" s="193">
        <f t="shared" si="373"/>
        <v>0</v>
      </c>
      <c r="BG925" s="193">
        <f t="shared" si="374"/>
        <v>0</v>
      </c>
      <c r="BH925" s="307" t="str">
        <f t="shared" si="391"/>
        <v>-</v>
      </c>
      <c r="BI925" s="266"/>
      <c r="BJ925" s="26" t="str">
        <f t="shared" si="375"/>
        <v>SHARP CREEKChinook</v>
      </c>
      <c r="BK925" s="33">
        <f t="shared" si="376"/>
        <v>2</v>
      </c>
      <c r="BL925" s="33">
        <f t="shared" si="368"/>
        <v>0</v>
      </c>
      <c r="BQ925" s="47" t="str">
        <f t="shared" si="377"/>
        <v>SHARP CREEKChinook</v>
      </c>
      <c r="BR925" s="49">
        <f t="shared" si="378"/>
        <v>0</v>
      </c>
      <c r="BS925" s="49">
        <f t="shared" si="388"/>
        <v>0</v>
      </c>
      <c r="BT925" s="31">
        <v>0</v>
      </c>
      <c r="BU925" s="188" t="str">
        <f t="shared" si="379"/>
        <v>TSES</v>
      </c>
      <c r="BV925" s="188" t="str">
        <f t="shared" si="380"/>
        <v xml:space="preserve"> </v>
      </c>
      <c r="BW925" s="188" t="str">
        <f t="shared" si="390"/>
        <v>Oct 29-Nov4</v>
      </c>
      <c r="BX925" s="188" t="str">
        <f t="shared" si="381"/>
        <v xml:space="preserve"> </v>
      </c>
      <c r="BY925" s="50" t="str">
        <f t="shared" si="370"/>
        <v>SHARP CREEK_Chinook</v>
      </c>
      <c r="BZ925" s="50" t="str">
        <f>IFERROR(VLOOKUP(BY925,'[1]WCVI Esc'!$C$5:$W$555,18,FALSE),"-")</f>
        <v>-</v>
      </c>
      <c r="CA925" s="50" t="str">
        <f t="shared" si="382"/>
        <v>-</v>
      </c>
      <c r="CB925" s="50" t="str">
        <f>IFERROR(VLOOKUP(BY925,'[1]WCVI Esc'!$C$5:$W$555,19,FALSE),"-")</f>
        <v>-</v>
      </c>
      <c r="CC925" s="50" t="str">
        <f t="shared" si="383"/>
        <v>-</v>
      </c>
      <c r="CE925" s="342" t="str">
        <f t="shared" si="369"/>
        <v>SHARP CREEK_Chinook</v>
      </c>
      <c r="CF925" s="341" t="str">
        <f>IFERROR(VLOOKUP(BY925,'RawPL+D'!$O$8:$AB$503,12,FALSE),"-")</f>
        <v>-</v>
      </c>
      <c r="CG925" s="338" t="str">
        <f t="shared" si="384"/>
        <v>-</v>
      </c>
      <c r="CH925" s="341" t="str">
        <f>IFERROR(VLOOKUP(BY925,'RawPL+D'!$O$8:$AB$503,13,FALSE),"-")</f>
        <v>-</v>
      </c>
      <c r="CI925" s="338" t="str">
        <f t="shared" si="385"/>
        <v>-</v>
      </c>
    </row>
    <row r="926" spans="1:87" ht="12.75" hidden="1" customHeight="1" x14ac:dyDescent="0.2">
      <c r="A926" s="28">
        <v>4</v>
      </c>
      <c r="B926" s="28">
        <v>6</v>
      </c>
      <c r="C926" s="11">
        <v>24</v>
      </c>
      <c r="D926" s="13" t="s">
        <v>296</v>
      </c>
      <c r="E926" s="10" t="s">
        <v>438</v>
      </c>
      <c r="F926" s="10" t="s">
        <v>211</v>
      </c>
      <c r="G926" s="10"/>
      <c r="H926" s="10"/>
      <c r="I926" s="10"/>
      <c r="J926" s="10"/>
      <c r="K926" s="575"/>
      <c r="L926" s="152"/>
      <c r="M926" s="422"/>
      <c r="N926" s="339"/>
      <c r="O926" s="62"/>
      <c r="P926" s="424"/>
      <c r="Q926" s="171"/>
      <c r="R926" s="339"/>
      <c r="S926" s="339"/>
      <c r="T926" s="729">
        <v>0</v>
      </c>
      <c r="U926" s="792">
        <v>0</v>
      </c>
      <c r="V926" s="169"/>
      <c r="W926" s="339"/>
      <c r="X926" s="63"/>
      <c r="Y926" s="62"/>
      <c r="Z926" s="64"/>
      <c r="AA926" s="164"/>
      <c r="AB926" s="62"/>
      <c r="AC926" s="62"/>
      <c r="AD926" s="64"/>
      <c r="AE926" s="164"/>
      <c r="AF926" s="62"/>
      <c r="AG926" s="64"/>
      <c r="AH926" s="337"/>
      <c r="AI926" s="337"/>
      <c r="AJ926" s="337"/>
      <c r="AK926" s="337"/>
      <c r="AL926" s="555"/>
      <c r="AM926" s="552"/>
      <c r="AN926" s="45"/>
      <c r="AO926" s="45"/>
      <c r="AP926" s="45"/>
      <c r="AQ926" s="485"/>
      <c r="AR926" s="100"/>
      <c r="AS926" s="485"/>
      <c r="AT926" s="24"/>
      <c r="AU926" s="24"/>
      <c r="AV926" s="24"/>
      <c r="AW926" s="18">
        <v>24</v>
      </c>
      <c r="AX926" s="69" t="s">
        <v>296</v>
      </c>
      <c r="AY926" s="243" t="s">
        <v>329</v>
      </c>
      <c r="AZ926" s="243" t="str">
        <f t="shared" si="371"/>
        <v>Steelhead</v>
      </c>
      <c r="BA926" s="243" t="s">
        <v>419</v>
      </c>
      <c r="BB926" s="244" t="s">
        <v>497</v>
      </c>
      <c r="BC926" s="43" t="str">
        <f t="shared" si="372"/>
        <v>Oct 29-Nov4</v>
      </c>
      <c r="BD926" s="43">
        <f t="shared" si="367"/>
        <v>2</v>
      </c>
      <c r="BE926" s="193">
        <f t="shared" si="389"/>
        <v>0</v>
      </c>
      <c r="BF926" s="193">
        <f t="shared" si="373"/>
        <v>0</v>
      </c>
      <c r="BG926" s="193">
        <f t="shared" si="374"/>
        <v>0</v>
      </c>
      <c r="BH926" s="307" t="str">
        <f t="shared" si="391"/>
        <v>-</v>
      </c>
      <c r="BI926" s="266"/>
      <c r="BJ926" s="26" t="str">
        <f t="shared" si="375"/>
        <v>SHARP CREEKSteelhead</v>
      </c>
      <c r="BK926" s="33">
        <f t="shared" si="376"/>
        <v>2</v>
      </c>
      <c r="BL926" s="33">
        <f t="shared" si="368"/>
        <v>0</v>
      </c>
      <c r="BQ926" s="47" t="str">
        <f t="shared" si="377"/>
        <v>SHARP CREEKSteelhead</v>
      </c>
      <c r="BR926" s="49">
        <f t="shared" si="378"/>
        <v>0</v>
      </c>
      <c r="BS926" s="49">
        <f t="shared" si="388"/>
        <v>0</v>
      </c>
      <c r="BT926" s="31">
        <v>0</v>
      </c>
      <c r="BU926" s="188" t="str">
        <f t="shared" si="379"/>
        <v>TSES</v>
      </c>
      <c r="BV926" s="188" t="str">
        <f t="shared" si="380"/>
        <v xml:space="preserve"> </v>
      </c>
      <c r="BW926" s="188" t="str">
        <f t="shared" si="390"/>
        <v>Oct 29-Nov4</v>
      </c>
      <c r="BX926" s="188" t="str">
        <f t="shared" si="381"/>
        <v xml:space="preserve"> </v>
      </c>
      <c r="BY926" s="50" t="str">
        <f t="shared" si="370"/>
        <v>SHARP CREEK_Steelhead</v>
      </c>
      <c r="BZ926" s="50" t="str">
        <f>IFERROR(VLOOKUP(BY926,'[1]WCVI Esc'!$C$5:$W$555,18,FALSE),"-")</f>
        <v>-</v>
      </c>
      <c r="CA926" s="50" t="str">
        <f t="shared" si="382"/>
        <v>-</v>
      </c>
      <c r="CB926" s="50" t="str">
        <f>IFERROR(VLOOKUP(BY926,'[1]WCVI Esc'!$C$5:$W$555,19,FALSE),"-")</f>
        <v>-</v>
      </c>
      <c r="CC926" s="50" t="str">
        <f t="shared" si="383"/>
        <v>-</v>
      </c>
      <c r="CE926" s="342" t="str">
        <f t="shared" si="369"/>
        <v>SHARP CREEK_Steelhead</v>
      </c>
      <c r="CF926" s="341" t="str">
        <f>IFERROR(VLOOKUP(BY926,'RawPL+D'!$O$8:$AB$503,12,FALSE),"-")</f>
        <v>-</v>
      </c>
      <c r="CG926" s="338" t="str">
        <f t="shared" si="384"/>
        <v>-</v>
      </c>
      <c r="CH926" s="341" t="str">
        <f>IFERROR(VLOOKUP(BY926,'RawPL+D'!$O$8:$AB$503,13,FALSE),"-")</f>
        <v>-</v>
      </c>
      <c r="CI926" s="338" t="str">
        <f t="shared" si="385"/>
        <v>-</v>
      </c>
    </row>
    <row r="927" spans="1:87" ht="12.75" hidden="1" customHeight="1" x14ac:dyDescent="0.2">
      <c r="A927" s="28">
        <v>4</v>
      </c>
      <c r="B927" s="28">
        <v>1</v>
      </c>
      <c r="C927" s="11">
        <v>24</v>
      </c>
      <c r="D927" s="13" t="s">
        <v>296</v>
      </c>
      <c r="E927" s="10" t="s">
        <v>463</v>
      </c>
      <c r="F927" s="10" t="s">
        <v>207</v>
      </c>
      <c r="G927" s="10"/>
      <c r="H927" s="10"/>
      <c r="I927" s="10"/>
      <c r="J927" s="10"/>
      <c r="K927" s="575"/>
      <c r="L927" s="152"/>
      <c r="M927" s="422"/>
      <c r="N927" s="339"/>
      <c r="O927" s="62"/>
      <c r="P927" s="177"/>
      <c r="Q927" s="171"/>
      <c r="R927" s="94"/>
      <c r="S927" s="94"/>
      <c r="T927" s="94"/>
      <c r="U927" s="186"/>
      <c r="V927" s="169"/>
      <c r="W927" s="62"/>
      <c r="X927" s="63"/>
      <c r="Y927" s="62"/>
      <c r="Z927" s="64"/>
      <c r="AA927" s="164"/>
      <c r="AB927" s="62"/>
      <c r="AC927" s="62"/>
      <c r="AD927" s="64"/>
      <c r="AE927" s="164"/>
      <c r="AF927" s="62"/>
      <c r="AG927" s="64"/>
      <c r="AH927" s="337"/>
      <c r="AI927" s="337"/>
      <c r="AJ927" s="337"/>
      <c r="AK927" s="337"/>
      <c r="AL927" s="412"/>
      <c r="AM927" s="414"/>
      <c r="AN927" s="44"/>
      <c r="AO927" s="44"/>
      <c r="AP927" s="45"/>
      <c r="AQ927" s="485"/>
      <c r="AR927" s="100"/>
      <c r="AS927" s="485"/>
      <c r="AT927" s="24"/>
      <c r="AU927" s="24"/>
      <c r="AV927" s="24"/>
      <c r="AW927" s="18">
        <v>24</v>
      </c>
      <c r="AX927" s="69"/>
      <c r="AY927" s="243" t="s">
        <v>463</v>
      </c>
      <c r="AZ927" s="243" t="str">
        <f t="shared" si="371"/>
        <v>Sockeye</v>
      </c>
      <c r="BA927" s="243" t="s">
        <v>419</v>
      </c>
      <c r="BB927" s="244" t="s">
        <v>464</v>
      </c>
      <c r="BC927" s="43" t="str">
        <f t="shared" si="372"/>
        <v>-</v>
      </c>
      <c r="BD927" s="43">
        <f t="shared" si="367"/>
        <v>0</v>
      </c>
      <c r="BE927" s="193">
        <f t="shared" si="389"/>
        <v>0</v>
      </c>
      <c r="BF927" s="193">
        <f t="shared" si="373"/>
        <v>0</v>
      </c>
      <c r="BG927" s="193">
        <f t="shared" si="374"/>
        <v>0</v>
      </c>
      <c r="BH927" s="307" t="str">
        <f t="shared" si="391"/>
        <v>-</v>
      </c>
      <c r="BI927" s="265"/>
      <c r="BJ927" s="26" t="str">
        <f t="shared" si="375"/>
        <v>STAGHORN CREEKSockeye</v>
      </c>
      <c r="BK927" s="26">
        <f t="shared" si="376"/>
        <v>0</v>
      </c>
      <c r="BL927" s="33">
        <f t="shared" si="368"/>
        <v>0</v>
      </c>
      <c r="BQ927" s="47" t="str">
        <f t="shared" si="377"/>
        <v>STAGHORN CREEKSockeye</v>
      </c>
      <c r="BR927" s="49">
        <f t="shared" si="378"/>
        <v>0</v>
      </c>
      <c r="BS927" s="49">
        <f t="shared" si="388"/>
        <v>0</v>
      </c>
      <c r="BT927" s="31">
        <v>1</v>
      </c>
      <c r="BU927" s="188" t="str">
        <f t="shared" si="379"/>
        <v>TFN</v>
      </c>
      <c r="BV927" s="188" t="str">
        <f t="shared" si="380"/>
        <v xml:space="preserve"> </v>
      </c>
      <c r="BW927" s="188" t="str">
        <f t="shared" si="390"/>
        <v xml:space="preserve"> </v>
      </c>
      <c r="BX927" s="188" t="str">
        <f t="shared" si="381"/>
        <v xml:space="preserve"> </v>
      </c>
      <c r="BY927" s="50" t="str">
        <f t="shared" si="370"/>
        <v>STAGHORN CREEK_Sockeye</v>
      </c>
      <c r="BZ927" s="50" t="str">
        <f>IFERROR(VLOOKUP(BY927,'[1]WCVI Esc'!$C$5:$W$555,18,FALSE),"-")</f>
        <v>-</v>
      </c>
      <c r="CA927" s="50" t="str">
        <f t="shared" si="382"/>
        <v>-</v>
      </c>
      <c r="CB927" s="50" t="str">
        <f>IFERROR(VLOOKUP(BY927,'[1]WCVI Esc'!$C$5:$W$555,19,FALSE),"-")</f>
        <v>-</v>
      </c>
      <c r="CC927" s="50" t="str">
        <f t="shared" si="383"/>
        <v>-</v>
      </c>
      <c r="CE927" s="342" t="str">
        <f t="shared" si="369"/>
        <v>STAGHORN CREEK_Sockeye</v>
      </c>
      <c r="CF927" s="341" t="str">
        <f>IFERROR(VLOOKUP(BY927,'RawPL+D'!$O$8:$AB$503,12,FALSE),"-")</f>
        <v>-</v>
      </c>
      <c r="CG927" s="338" t="str">
        <f t="shared" si="384"/>
        <v>-</v>
      </c>
      <c r="CH927" s="341" t="str">
        <f>IFERROR(VLOOKUP(BY927,'RawPL+D'!$O$8:$AB$503,13,FALSE),"-")</f>
        <v>-</v>
      </c>
      <c r="CI927" s="338" t="str">
        <f t="shared" si="385"/>
        <v>-</v>
      </c>
    </row>
    <row r="928" spans="1:87" ht="12.75" hidden="1" customHeight="1" x14ac:dyDescent="0.2">
      <c r="A928" s="28">
        <v>4</v>
      </c>
      <c r="B928" s="28">
        <v>2</v>
      </c>
      <c r="C928" s="11">
        <v>24</v>
      </c>
      <c r="D928" s="13" t="s">
        <v>296</v>
      </c>
      <c r="E928" s="10" t="s">
        <v>463</v>
      </c>
      <c r="F928" s="10" t="s">
        <v>219</v>
      </c>
      <c r="G928" s="10"/>
      <c r="H928" s="10"/>
      <c r="I928" s="10"/>
      <c r="J928" s="10"/>
      <c r="K928" s="575"/>
      <c r="L928" s="152"/>
      <c r="M928" s="422"/>
      <c r="N928" s="339"/>
      <c r="O928" s="62"/>
      <c r="P928" s="177"/>
      <c r="Q928" s="171"/>
      <c r="R928" s="94"/>
      <c r="S928" s="94"/>
      <c r="T928" s="94"/>
      <c r="U928" s="186"/>
      <c r="V928" s="169"/>
      <c r="W928" s="62"/>
      <c r="X928" s="63"/>
      <c r="Y928" s="62"/>
      <c r="Z928" s="64"/>
      <c r="AA928" s="164"/>
      <c r="AB928" s="62"/>
      <c r="AC928" s="62"/>
      <c r="AD928" s="64"/>
      <c r="AE928" s="164"/>
      <c r="AF928" s="62"/>
      <c r="AG928" s="64"/>
      <c r="AH928" s="337"/>
      <c r="AI928" s="337"/>
      <c r="AJ928" s="337"/>
      <c r="AK928" s="337"/>
      <c r="AL928" s="412"/>
      <c r="AM928" s="414"/>
      <c r="AN928" s="45"/>
      <c r="AO928" s="45"/>
      <c r="AP928" s="45"/>
      <c r="AQ928" s="485"/>
      <c r="AR928" s="100"/>
      <c r="AS928" s="485"/>
      <c r="AT928" s="24"/>
      <c r="AU928" s="24"/>
      <c r="AV928" s="24"/>
      <c r="AW928" s="18">
        <v>24</v>
      </c>
      <c r="AX928" s="69"/>
      <c r="AY928" s="243" t="s">
        <v>463</v>
      </c>
      <c r="AZ928" s="243" t="str">
        <f t="shared" si="371"/>
        <v>Coho</v>
      </c>
      <c r="BA928" s="243" t="s">
        <v>419</v>
      </c>
      <c r="BB928" s="244" t="s">
        <v>464</v>
      </c>
      <c r="BC928" s="43" t="str">
        <f t="shared" si="372"/>
        <v>-</v>
      </c>
      <c r="BD928" s="43">
        <f t="shared" si="367"/>
        <v>0</v>
      </c>
      <c r="BE928" s="193">
        <f t="shared" si="389"/>
        <v>0</v>
      </c>
      <c r="BF928" s="193">
        <f t="shared" si="373"/>
        <v>0</v>
      </c>
      <c r="BG928" s="193">
        <f t="shared" si="374"/>
        <v>0</v>
      </c>
      <c r="BH928" s="307" t="str">
        <f t="shared" si="391"/>
        <v>-</v>
      </c>
      <c r="BI928" s="265" t="str">
        <f>CC928</f>
        <v>-</v>
      </c>
      <c r="BJ928" s="26" t="str">
        <f t="shared" si="375"/>
        <v>STAGHORN CREEKCoho</v>
      </c>
      <c r="BK928" s="26">
        <f t="shared" si="376"/>
        <v>0</v>
      </c>
      <c r="BL928" s="33">
        <f t="shared" si="368"/>
        <v>0</v>
      </c>
      <c r="BQ928" s="47" t="str">
        <f t="shared" si="377"/>
        <v>STAGHORN CREEKCoho</v>
      </c>
      <c r="BR928" s="49">
        <f t="shared" si="378"/>
        <v>0</v>
      </c>
      <c r="BS928" s="49">
        <f t="shared" si="388"/>
        <v>0</v>
      </c>
      <c r="BT928" s="31">
        <v>2</v>
      </c>
      <c r="BU928" s="188" t="str">
        <f t="shared" si="379"/>
        <v>TFN</v>
      </c>
      <c r="BV928" s="188" t="str">
        <f t="shared" si="380"/>
        <v xml:space="preserve"> </v>
      </c>
      <c r="BW928" s="188" t="str">
        <f t="shared" si="390"/>
        <v xml:space="preserve"> </v>
      </c>
      <c r="BX928" s="188" t="str">
        <f t="shared" si="381"/>
        <v xml:space="preserve"> </v>
      </c>
      <c r="BY928" s="50" t="str">
        <f t="shared" si="370"/>
        <v>STAGHORN CREEK_Coho</v>
      </c>
      <c r="BZ928" s="50" t="str">
        <f>IFERROR(VLOOKUP(BY928,'[1]WCVI Esc'!$C$5:$W$555,18,FALSE),"-")</f>
        <v>-</v>
      </c>
      <c r="CA928" s="50" t="str">
        <f t="shared" si="382"/>
        <v>-</v>
      </c>
      <c r="CB928" s="50" t="str">
        <f>IFERROR(VLOOKUP(BY928,'[1]WCVI Esc'!$C$5:$W$555,19,FALSE),"-")</f>
        <v>-</v>
      </c>
      <c r="CC928" s="50" t="str">
        <f t="shared" si="383"/>
        <v>-</v>
      </c>
      <c r="CE928" s="342" t="str">
        <f t="shared" si="369"/>
        <v>STAGHORN CREEK_Coho</v>
      </c>
      <c r="CF928" s="341" t="str">
        <f>IFERROR(VLOOKUP(BY928,'RawPL+D'!$O$8:$AB$503,12,FALSE),"-")</f>
        <v>-</v>
      </c>
      <c r="CG928" s="338" t="str">
        <f t="shared" si="384"/>
        <v>-</v>
      </c>
      <c r="CH928" s="341" t="str">
        <f>IFERROR(VLOOKUP(BY928,'RawPL+D'!$O$8:$AB$503,13,FALSE),"-")</f>
        <v>-</v>
      </c>
      <c r="CI928" s="338" t="str">
        <f t="shared" si="385"/>
        <v>-</v>
      </c>
    </row>
    <row r="929" spans="1:87" ht="12.75" hidden="1" customHeight="1" x14ac:dyDescent="0.2">
      <c r="A929" s="28">
        <v>4</v>
      </c>
      <c r="B929" s="28">
        <v>3</v>
      </c>
      <c r="C929" s="11">
        <v>24</v>
      </c>
      <c r="D929" s="13" t="s">
        <v>296</v>
      </c>
      <c r="E929" s="10" t="s">
        <v>463</v>
      </c>
      <c r="F929" s="10" t="s">
        <v>208</v>
      </c>
      <c r="G929" s="10"/>
      <c r="H929" s="10"/>
      <c r="I929" s="10"/>
      <c r="J929" s="10"/>
      <c r="K929" s="575"/>
      <c r="L929" s="152"/>
      <c r="M929" s="422"/>
      <c r="N929" s="339"/>
      <c r="O929" s="62"/>
      <c r="P929" s="177"/>
      <c r="Q929" s="171"/>
      <c r="R929" s="94"/>
      <c r="S929" s="94"/>
      <c r="T929" s="94"/>
      <c r="U929" s="186"/>
      <c r="V929" s="169"/>
      <c r="W929" s="62"/>
      <c r="X929" s="63"/>
      <c r="Y929" s="62"/>
      <c r="Z929" s="64"/>
      <c r="AA929" s="164"/>
      <c r="AB929" s="62"/>
      <c r="AC929" s="62"/>
      <c r="AD929" s="64"/>
      <c r="AE929" s="164"/>
      <c r="AF929" s="62"/>
      <c r="AG929" s="64"/>
      <c r="AH929" s="337"/>
      <c r="AI929" s="337"/>
      <c r="AJ929" s="337"/>
      <c r="AK929" s="337"/>
      <c r="AL929" s="412"/>
      <c r="AM929" s="414"/>
      <c r="AN929" s="45"/>
      <c r="AO929" s="45"/>
      <c r="AP929" s="45"/>
      <c r="AQ929" s="485"/>
      <c r="AR929" s="100"/>
      <c r="AS929" s="485"/>
      <c r="AT929" s="24"/>
      <c r="AU929" s="24"/>
      <c r="AV929" s="24"/>
      <c r="AW929" s="18">
        <v>24</v>
      </c>
      <c r="AX929" s="69"/>
      <c r="AY929" s="243" t="s">
        <v>463</v>
      </c>
      <c r="AZ929" s="243" t="str">
        <f t="shared" si="371"/>
        <v>Pink</v>
      </c>
      <c r="BA929" s="243" t="s">
        <v>419</v>
      </c>
      <c r="BB929" s="244" t="s">
        <v>464</v>
      </c>
      <c r="BC929" s="43" t="str">
        <f t="shared" si="372"/>
        <v>-</v>
      </c>
      <c r="BD929" s="43">
        <f t="shared" ref="BD929:BD992" si="392">BK929</f>
        <v>0</v>
      </c>
      <c r="BE929" s="193">
        <f t="shared" si="389"/>
        <v>0</v>
      </c>
      <c r="BF929" s="193">
        <f t="shared" si="373"/>
        <v>0</v>
      </c>
      <c r="BG929" s="193">
        <f t="shared" si="374"/>
        <v>0</v>
      </c>
      <c r="BH929" s="307" t="str">
        <f t="shared" si="391"/>
        <v>-</v>
      </c>
      <c r="BI929" s="265"/>
      <c r="BJ929" s="26" t="str">
        <f t="shared" si="375"/>
        <v>STAGHORN CREEKPink</v>
      </c>
      <c r="BK929" s="26">
        <f t="shared" si="376"/>
        <v>0</v>
      </c>
      <c r="BL929" s="33">
        <f t="shared" si="368"/>
        <v>0</v>
      </c>
      <c r="BQ929" s="47" t="str">
        <f t="shared" si="377"/>
        <v>STAGHORN CREEKPink</v>
      </c>
      <c r="BR929" s="49">
        <f t="shared" si="378"/>
        <v>0</v>
      </c>
      <c r="BS929" s="49">
        <f t="shared" si="388"/>
        <v>0</v>
      </c>
      <c r="BT929" s="31">
        <v>3</v>
      </c>
      <c r="BU929" s="188" t="str">
        <f t="shared" si="379"/>
        <v>TFN</v>
      </c>
      <c r="BV929" s="188" t="str">
        <f t="shared" si="380"/>
        <v xml:space="preserve"> </v>
      </c>
      <c r="BW929" s="188" t="str">
        <f t="shared" si="390"/>
        <v xml:space="preserve"> </v>
      </c>
      <c r="BX929" s="188" t="str">
        <f t="shared" si="381"/>
        <v xml:space="preserve"> </v>
      </c>
      <c r="BY929" s="50" t="str">
        <f t="shared" si="370"/>
        <v>STAGHORN CREEK_Pink</v>
      </c>
      <c r="BZ929" s="50" t="str">
        <f>IFERROR(VLOOKUP(BY929,'[1]WCVI Esc'!$C$5:$W$555,18,FALSE),"-")</f>
        <v>-</v>
      </c>
      <c r="CA929" s="50" t="str">
        <f t="shared" si="382"/>
        <v>-</v>
      </c>
      <c r="CB929" s="50" t="str">
        <f>IFERROR(VLOOKUP(BY929,'[1]WCVI Esc'!$C$5:$W$555,19,FALSE),"-")</f>
        <v>-</v>
      </c>
      <c r="CC929" s="50" t="str">
        <f t="shared" si="383"/>
        <v>-</v>
      </c>
      <c r="CE929" s="342" t="str">
        <f t="shared" si="369"/>
        <v>STAGHORN CREEK_Pink</v>
      </c>
      <c r="CF929" s="341" t="str">
        <f>IFERROR(VLOOKUP(BY929,'RawPL+D'!$O$8:$AB$503,12,FALSE),"-")</f>
        <v>-</v>
      </c>
      <c r="CG929" s="338" t="str">
        <f t="shared" si="384"/>
        <v>-</v>
      </c>
      <c r="CH929" s="341" t="str">
        <f>IFERROR(VLOOKUP(BY929,'RawPL+D'!$O$8:$AB$503,13,FALSE),"-")</f>
        <v>-</v>
      </c>
      <c r="CI929" s="338" t="str">
        <f t="shared" si="385"/>
        <v>-</v>
      </c>
    </row>
    <row r="930" spans="1:87" ht="12.75" hidden="1" customHeight="1" x14ac:dyDescent="0.2">
      <c r="A930" s="28">
        <v>4</v>
      </c>
      <c r="B930" s="28">
        <v>4</v>
      </c>
      <c r="C930" s="11">
        <v>24</v>
      </c>
      <c r="D930" s="13" t="s">
        <v>296</v>
      </c>
      <c r="E930" s="10" t="s">
        <v>463</v>
      </c>
      <c r="F930" s="10" t="s">
        <v>209</v>
      </c>
      <c r="G930" s="10"/>
      <c r="H930" s="10"/>
      <c r="I930" s="10"/>
      <c r="J930" s="10"/>
      <c r="K930" s="575"/>
      <c r="L930" s="152"/>
      <c r="M930" s="422"/>
      <c r="N930" s="339"/>
      <c r="O930" s="62"/>
      <c r="P930" s="177"/>
      <c r="Q930" s="171"/>
      <c r="R930" s="94"/>
      <c r="S930" s="94"/>
      <c r="T930" s="94"/>
      <c r="U930" s="186"/>
      <c r="V930" s="169"/>
      <c r="W930" s="62"/>
      <c r="X930" s="63"/>
      <c r="Y930" s="62"/>
      <c r="Z930" s="64"/>
      <c r="AA930" s="164"/>
      <c r="AB930" s="62"/>
      <c r="AC930" s="62"/>
      <c r="AD930" s="64"/>
      <c r="AE930" s="164"/>
      <c r="AF930" s="62"/>
      <c r="AG930" s="64"/>
      <c r="AH930" s="337"/>
      <c r="AI930" s="337"/>
      <c r="AJ930" s="337"/>
      <c r="AK930" s="337"/>
      <c r="AL930" s="412"/>
      <c r="AM930" s="414"/>
      <c r="AN930" s="45"/>
      <c r="AO930" s="45"/>
      <c r="AP930" s="45"/>
      <c r="AQ930" s="485"/>
      <c r="AR930" s="100"/>
      <c r="AS930" s="485"/>
      <c r="AT930" s="24"/>
      <c r="AU930" s="24"/>
      <c r="AV930" s="24"/>
      <c r="AW930" s="18">
        <v>24</v>
      </c>
      <c r="AX930" s="69"/>
      <c r="AY930" s="243" t="s">
        <v>463</v>
      </c>
      <c r="AZ930" s="243" t="str">
        <f t="shared" si="371"/>
        <v>Chum</v>
      </c>
      <c r="BA930" s="243" t="s">
        <v>419</v>
      </c>
      <c r="BB930" s="244" t="s">
        <v>464</v>
      </c>
      <c r="BC930" s="43" t="str">
        <f t="shared" si="372"/>
        <v>-</v>
      </c>
      <c r="BD930" s="43">
        <f t="shared" si="392"/>
        <v>0</v>
      </c>
      <c r="BE930" s="193">
        <f t="shared" si="389"/>
        <v>0</v>
      </c>
      <c r="BF930" s="193">
        <f t="shared" si="373"/>
        <v>0</v>
      </c>
      <c r="BG930" s="193">
        <f t="shared" si="374"/>
        <v>0</v>
      </c>
      <c r="BH930" s="307" t="str">
        <f t="shared" si="391"/>
        <v>-</v>
      </c>
      <c r="BI930" s="265"/>
      <c r="BJ930" s="26" t="str">
        <f t="shared" si="375"/>
        <v>STAGHORN CREEKChum</v>
      </c>
      <c r="BK930" s="26">
        <f t="shared" si="376"/>
        <v>0</v>
      </c>
      <c r="BL930" s="33">
        <f t="shared" si="368"/>
        <v>0</v>
      </c>
      <c r="BQ930" s="47" t="str">
        <f t="shared" si="377"/>
        <v>STAGHORN CREEKChum</v>
      </c>
      <c r="BR930" s="49">
        <f t="shared" si="378"/>
        <v>0</v>
      </c>
      <c r="BS930" s="49">
        <f t="shared" si="388"/>
        <v>0</v>
      </c>
      <c r="BT930" s="31">
        <v>4</v>
      </c>
      <c r="BU930" s="188" t="str">
        <f t="shared" si="379"/>
        <v>TFN</v>
      </c>
      <c r="BV930" s="188" t="str">
        <f t="shared" si="380"/>
        <v xml:space="preserve"> </v>
      </c>
      <c r="BW930" s="188" t="str">
        <f t="shared" si="390"/>
        <v xml:space="preserve"> </v>
      </c>
      <c r="BX930" s="188" t="str">
        <f t="shared" si="381"/>
        <v xml:space="preserve"> </v>
      </c>
      <c r="BY930" s="50" t="str">
        <f t="shared" si="370"/>
        <v>STAGHORN CREEK_Chum</v>
      </c>
      <c r="BZ930" s="50" t="str">
        <f>IFERROR(VLOOKUP(BY930,'[1]WCVI Esc'!$C$5:$W$555,18,FALSE),"-")</f>
        <v>-</v>
      </c>
      <c r="CA930" s="50" t="str">
        <f t="shared" si="382"/>
        <v>-</v>
      </c>
      <c r="CB930" s="50" t="str">
        <f>IFERROR(VLOOKUP(BY930,'[1]WCVI Esc'!$C$5:$W$555,19,FALSE),"-")</f>
        <v>-</v>
      </c>
      <c r="CC930" s="50" t="str">
        <f t="shared" si="383"/>
        <v>-</v>
      </c>
      <c r="CE930" s="342" t="str">
        <f t="shared" si="369"/>
        <v>STAGHORN CREEK_Chum</v>
      </c>
      <c r="CF930" s="341" t="str">
        <f>IFERROR(VLOOKUP(BY930,'RawPL+D'!$O$8:$AB$503,12,FALSE),"-")</f>
        <v>-</v>
      </c>
      <c r="CG930" s="338" t="str">
        <f t="shared" si="384"/>
        <v>-</v>
      </c>
      <c r="CH930" s="341" t="str">
        <f>IFERROR(VLOOKUP(BY930,'RawPL+D'!$O$8:$AB$503,13,FALSE),"-")</f>
        <v>-</v>
      </c>
      <c r="CI930" s="338" t="str">
        <f t="shared" si="385"/>
        <v>-</v>
      </c>
    </row>
    <row r="931" spans="1:87" ht="12.75" hidden="1" customHeight="1" x14ac:dyDescent="0.2">
      <c r="A931" s="28">
        <v>4</v>
      </c>
      <c r="B931" s="28">
        <v>5</v>
      </c>
      <c r="C931" s="11">
        <v>24</v>
      </c>
      <c r="D931" s="13" t="s">
        <v>296</v>
      </c>
      <c r="E931" s="10" t="s">
        <v>463</v>
      </c>
      <c r="F931" s="10" t="s">
        <v>210</v>
      </c>
      <c r="G931" s="10"/>
      <c r="H931" s="10"/>
      <c r="I931" s="10"/>
      <c r="J931" s="10"/>
      <c r="K931" s="575"/>
      <c r="L931" s="152"/>
      <c r="M931" s="422"/>
      <c r="N931" s="339"/>
      <c r="O931" s="62"/>
      <c r="P931" s="177"/>
      <c r="Q931" s="171"/>
      <c r="R931" s="94"/>
      <c r="S931" s="94"/>
      <c r="T931" s="94"/>
      <c r="U931" s="186"/>
      <c r="V931" s="169"/>
      <c r="W931" s="62"/>
      <c r="X931" s="63"/>
      <c r="Y931" s="62"/>
      <c r="Z931" s="64"/>
      <c r="AA931" s="164"/>
      <c r="AB931" s="62"/>
      <c r="AC931" s="62"/>
      <c r="AD931" s="64"/>
      <c r="AE931" s="164"/>
      <c r="AF931" s="62"/>
      <c r="AG931" s="64"/>
      <c r="AH931" s="337"/>
      <c r="AI931" s="337"/>
      <c r="AJ931" s="337"/>
      <c r="AK931" s="337"/>
      <c r="AL931" s="412"/>
      <c r="AM931" s="414"/>
      <c r="AN931" s="45"/>
      <c r="AO931" s="45"/>
      <c r="AP931" s="45"/>
      <c r="AQ931" s="485"/>
      <c r="AR931" s="100"/>
      <c r="AS931" s="485"/>
      <c r="AT931" s="24"/>
      <c r="AU931" s="24"/>
      <c r="AV931" s="24"/>
      <c r="AW931" s="18">
        <v>24</v>
      </c>
      <c r="AX931" s="69"/>
      <c r="AY931" s="243" t="s">
        <v>463</v>
      </c>
      <c r="AZ931" s="243" t="str">
        <f t="shared" si="371"/>
        <v>Chinook</v>
      </c>
      <c r="BA931" s="243" t="s">
        <v>419</v>
      </c>
      <c r="BB931" s="244" t="s">
        <v>464</v>
      </c>
      <c r="BC931" s="43" t="str">
        <f t="shared" si="372"/>
        <v>-</v>
      </c>
      <c r="BD931" s="43">
        <f t="shared" si="392"/>
        <v>0</v>
      </c>
      <c r="BE931" s="193">
        <f t="shared" si="389"/>
        <v>0</v>
      </c>
      <c r="BF931" s="193">
        <f t="shared" si="373"/>
        <v>0</v>
      </c>
      <c r="BG931" s="193">
        <f t="shared" si="374"/>
        <v>0</v>
      </c>
      <c r="BH931" s="307" t="str">
        <f t="shared" si="391"/>
        <v>-</v>
      </c>
      <c r="BI931" s="265"/>
      <c r="BJ931" s="26" t="str">
        <f t="shared" si="375"/>
        <v>STAGHORN CREEKChinook</v>
      </c>
      <c r="BK931" s="26">
        <f t="shared" si="376"/>
        <v>0</v>
      </c>
      <c r="BL931" s="33">
        <f t="shared" si="368"/>
        <v>0</v>
      </c>
      <c r="BQ931" s="47" t="str">
        <f t="shared" si="377"/>
        <v>STAGHORN CREEKChinook</v>
      </c>
      <c r="BR931" s="49">
        <f t="shared" si="378"/>
        <v>0</v>
      </c>
      <c r="BS931" s="49">
        <f t="shared" si="388"/>
        <v>0</v>
      </c>
      <c r="BT931" s="31">
        <v>5</v>
      </c>
      <c r="BU931" s="188" t="str">
        <f t="shared" si="379"/>
        <v>TFN</v>
      </c>
      <c r="BV931" s="188" t="str">
        <f t="shared" si="380"/>
        <v xml:space="preserve"> </v>
      </c>
      <c r="BW931" s="188" t="str">
        <f t="shared" si="390"/>
        <v xml:space="preserve"> </v>
      </c>
      <c r="BX931" s="188" t="str">
        <f t="shared" si="381"/>
        <v xml:space="preserve"> </v>
      </c>
      <c r="BY931" s="50" t="str">
        <f t="shared" si="370"/>
        <v>STAGHORN CREEK_Chinook</v>
      </c>
      <c r="BZ931" s="50" t="str">
        <f>IFERROR(VLOOKUP(BY931,'[1]WCVI Esc'!$C$5:$W$555,18,FALSE),"-")</f>
        <v>-</v>
      </c>
      <c r="CA931" s="50" t="str">
        <f t="shared" si="382"/>
        <v>-</v>
      </c>
      <c r="CB931" s="50" t="str">
        <f>IFERROR(VLOOKUP(BY931,'[1]WCVI Esc'!$C$5:$W$555,19,FALSE),"-")</f>
        <v>-</v>
      </c>
      <c r="CC931" s="50" t="str">
        <f t="shared" si="383"/>
        <v>-</v>
      </c>
      <c r="CE931" s="342" t="str">
        <f t="shared" si="369"/>
        <v>STAGHORN CREEK_Chinook</v>
      </c>
      <c r="CF931" s="341" t="str">
        <f>IFERROR(VLOOKUP(BY931,'RawPL+D'!$O$8:$AB$503,12,FALSE),"-")</f>
        <v>-</v>
      </c>
      <c r="CG931" s="338" t="str">
        <f t="shared" si="384"/>
        <v>-</v>
      </c>
      <c r="CH931" s="341" t="str">
        <f>IFERROR(VLOOKUP(BY931,'RawPL+D'!$O$8:$AB$503,13,FALSE),"-")</f>
        <v>-</v>
      </c>
      <c r="CI931" s="338" t="str">
        <f t="shared" si="385"/>
        <v>-</v>
      </c>
    </row>
    <row r="932" spans="1:87" ht="12.75" hidden="1" customHeight="1" x14ac:dyDescent="0.2">
      <c r="A932" s="28">
        <v>4</v>
      </c>
      <c r="B932" s="28">
        <v>6</v>
      </c>
      <c r="C932" s="11">
        <v>24</v>
      </c>
      <c r="D932" s="13" t="s">
        <v>296</v>
      </c>
      <c r="E932" s="10" t="s">
        <v>463</v>
      </c>
      <c r="F932" s="10" t="s">
        <v>211</v>
      </c>
      <c r="G932" s="10"/>
      <c r="H932" s="10"/>
      <c r="I932" s="10"/>
      <c r="J932" s="10"/>
      <c r="K932" s="575"/>
      <c r="L932" s="152"/>
      <c r="M932" s="422"/>
      <c r="N932" s="339"/>
      <c r="O932" s="62"/>
      <c r="P932" s="177"/>
      <c r="Q932" s="171"/>
      <c r="R932" s="94"/>
      <c r="S932" s="94"/>
      <c r="T932" s="94"/>
      <c r="U932" s="186"/>
      <c r="V932" s="169"/>
      <c r="W932" s="62"/>
      <c r="X932" s="63"/>
      <c r="Y932" s="62"/>
      <c r="Z932" s="64"/>
      <c r="AA932" s="164"/>
      <c r="AB932" s="62"/>
      <c r="AC932" s="62"/>
      <c r="AD932" s="64"/>
      <c r="AE932" s="164"/>
      <c r="AF932" s="62"/>
      <c r="AG932" s="64"/>
      <c r="AH932" s="337"/>
      <c r="AI932" s="337"/>
      <c r="AJ932" s="337"/>
      <c r="AK932" s="337"/>
      <c r="AL932" s="412"/>
      <c r="AM932" s="414"/>
      <c r="AN932" s="45"/>
      <c r="AO932" s="45"/>
      <c r="AP932" s="45"/>
      <c r="AQ932" s="485"/>
      <c r="AR932" s="100"/>
      <c r="AS932" s="485"/>
      <c r="AT932" s="24"/>
      <c r="AU932" s="24"/>
      <c r="AV932" s="24"/>
      <c r="AW932" s="18">
        <v>24</v>
      </c>
      <c r="AX932" s="69"/>
      <c r="AY932" s="243" t="s">
        <v>463</v>
      </c>
      <c r="AZ932" s="243" t="str">
        <f t="shared" si="371"/>
        <v>Steelhead</v>
      </c>
      <c r="BA932" s="243" t="s">
        <v>419</v>
      </c>
      <c r="BB932" s="244" t="s">
        <v>464</v>
      </c>
      <c r="BC932" s="43" t="str">
        <f t="shared" si="372"/>
        <v>-</v>
      </c>
      <c r="BD932" s="43">
        <f t="shared" si="392"/>
        <v>0</v>
      </c>
      <c r="BE932" s="193">
        <f t="shared" si="389"/>
        <v>0</v>
      </c>
      <c r="BF932" s="193">
        <f t="shared" si="373"/>
        <v>0</v>
      </c>
      <c r="BG932" s="193">
        <f t="shared" si="374"/>
        <v>0</v>
      </c>
      <c r="BH932" s="307" t="str">
        <f t="shared" si="391"/>
        <v>-</v>
      </c>
      <c r="BI932" s="265" t="str">
        <f>CC932</f>
        <v>-</v>
      </c>
      <c r="BJ932" s="26" t="str">
        <f t="shared" si="375"/>
        <v>STAGHORN CREEKSteelhead</v>
      </c>
      <c r="BK932" s="26">
        <f t="shared" si="376"/>
        <v>0</v>
      </c>
      <c r="BL932" s="33">
        <f t="shared" si="368"/>
        <v>0</v>
      </c>
      <c r="BQ932" s="47" t="str">
        <f t="shared" si="377"/>
        <v>STAGHORN CREEKSteelhead</v>
      </c>
      <c r="BR932" s="49">
        <f t="shared" si="378"/>
        <v>0</v>
      </c>
      <c r="BS932" s="49">
        <f t="shared" si="388"/>
        <v>0</v>
      </c>
      <c r="BT932" s="31">
        <v>6</v>
      </c>
      <c r="BU932" s="188" t="str">
        <f t="shared" si="379"/>
        <v>TFN</v>
      </c>
      <c r="BV932" s="188" t="str">
        <f t="shared" si="380"/>
        <v xml:space="preserve"> </v>
      </c>
      <c r="BW932" s="188" t="str">
        <f t="shared" si="390"/>
        <v xml:space="preserve"> </v>
      </c>
      <c r="BX932" s="188" t="str">
        <f t="shared" si="381"/>
        <v xml:space="preserve"> </v>
      </c>
      <c r="BY932" s="50" t="str">
        <f t="shared" si="370"/>
        <v>STAGHORN CREEK_Steelhead</v>
      </c>
      <c r="BZ932" s="50" t="str">
        <f>IFERROR(VLOOKUP(BY932,'[1]WCVI Esc'!$C$5:$W$555,18,FALSE),"-")</f>
        <v>-</v>
      </c>
      <c r="CA932" s="50" t="str">
        <f t="shared" si="382"/>
        <v>-</v>
      </c>
      <c r="CB932" s="50" t="str">
        <f>IFERROR(VLOOKUP(BY932,'[1]WCVI Esc'!$C$5:$W$555,19,FALSE),"-")</f>
        <v>-</v>
      </c>
      <c r="CC932" s="50" t="str">
        <f t="shared" si="383"/>
        <v>-</v>
      </c>
      <c r="CE932" s="342" t="str">
        <f t="shared" si="369"/>
        <v>STAGHORN CREEK_Steelhead</v>
      </c>
      <c r="CF932" s="341" t="str">
        <f>IFERROR(VLOOKUP(BY932,'RawPL+D'!$O$8:$AB$503,12,FALSE),"-")</f>
        <v>-</v>
      </c>
      <c r="CG932" s="338" t="str">
        <f t="shared" si="384"/>
        <v>-</v>
      </c>
      <c r="CH932" s="341" t="str">
        <f>IFERROR(VLOOKUP(BY932,'RawPL+D'!$O$8:$AB$503,13,FALSE),"-")</f>
        <v>-</v>
      </c>
      <c r="CI932" s="338" t="str">
        <f t="shared" si="385"/>
        <v>-</v>
      </c>
    </row>
    <row r="933" spans="1:87" ht="12.75" hidden="1" customHeight="1" x14ac:dyDescent="0.2">
      <c r="A933" s="28">
        <v>4</v>
      </c>
      <c r="B933" s="28">
        <v>1</v>
      </c>
      <c r="C933" s="11">
        <v>24</v>
      </c>
      <c r="D933" s="13" t="s">
        <v>296</v>
      </c>
      <c r="E933" s="10" t="s">
        <v>129</v>
      </c>
      <c r="F933" s="10" t="s">
        <v>207</v>
      </c>
      <c r="G933" s="10"/>
      <c r="H933" s="10"/>
      <c r="I933" s="10"/>
      <c r="J933" s="10"/>
      <c r="K933" s="575"/>
      <c r="L933" s="152"/>
      <c r="M933" s="422"/>
      <c r="N933" s="339"/>
      <c r="O933" s="62"/>
      <c r="P933" s="424"/>
      <c r="Q933" s="683">
        <v>0</v>
      </c>
      <c r="R933" s="94"/>
      <c r="S933" s="727">
        <v>0</v>
      </c>
      <c r="T933" s="339"/>
      <c r="U933" s="64"/>
      <c r="V933" s="169"/>
      <c r="W933" s="62"/>
      <c r="X933" s="63"/>
      <c r="Y933" s="62"/>
      <c r="Z933" s="64"/>
      <c r="AA933" s="164"/>
      <c r="AB933" s="62"/>
      <c r="AC933" s="62"/>
      <c r="AD933" s="64"/>
      <c r="AE933" s="164"/>
      <c r="AF933" s="62"/>
      <c r="AG933" s="64"/>
      <c r="AH933" s="337">
        <v>0</v>
      </c>
      <c r="AI933" s="337">
        <v>0</v>
      </c>
      <c r="AJ933" s="337">
        <v>0</v>
      </c>
      <c r="AK933" s="337">
        <v>0</v>
      </c>
      <c r="AL933" s="555">
        <v>0</v>
      </c>
      <c r="AM933" s="552">
        <v>0</v>
      </c>
      <c r="AN933" s="552" t="s">
        <v>765</v>
      </c>
      <c r="AO933" s="45" t="s">
        <v>773</v>
      </c>
      <c r="AP933" s="45"/>
      <c r="AQ933" s="485"/>
      <c r="AR933"/>
      <c r="AS933" s="485"/>
      <c r="AT933" s="24"/>
      <c r="AU933" s="24"/>
      <c r="AV933" s="24"/>
      <c r="AW933" s="18">
        <v>24</v>
      </c>
      <c r="AX933" s="69" t="s">
        <v>296</v>
      </c>
      <c r="AY933" s="243" t="s">
        <v>129</v>
      </c>
      <c r="AZ933" s="243" t="str">
        <f t="shared" si="371"/>
        <v>Sockeye</v>
      </c>
      <c r="BA933" s="243" t="s">
        <v>419</v>
      </c>
      <c r="BB933" s="244" t="s">
        <v>497</v>
      </c>
      <c r="BC933" s="43" t="str">
        <f t="shared" si="372"/>
        <v>Oct 15-21</v>
      </c>
      <c r="BD933" s="43">
        <f t="shared" si="392"/>
        <v>2</v>
      </c>
      <c r="BE933" s="193">
        <f t="shared" si="389"/>
        <v>0</v>
      </c>
      <c r="BF933" s="193">
        <f t="shared" si="373"/>
        <v>0</v>
      </c>
      <c r="BG933" s="193">
        <f t="shared" si="374"/>
        <v>0</v>
      </c>
      <c r="BH933" s="307" t="str">
        <f t="shared" si="391"/>
        <v>-</v>
      </c>
      <c r="BI933" s="266"/>
      <c r="BJ933" s="26" t="str">
        <f t="shared" si="375"/>
        <v>SUTTON MILL CREEKSockeye</v>
      </c>
      <c r="BK933" s="26">
        <f t="shared" si="376"/>
        <v>2</v>
      </c>
      <c r="BL933" s="33">
        <f t="shared" si="368"/>
        <v>0</v>
      </c>
      <c r="BQ933" s="47" t="str">
        <f t="shared" si="377"/>
        <v>SUTTON MILL CREEKSockeye</v>
      </c>
      <c r="BR933" s="49">
        <f t="shared" si="378"/>
        <v>0</v>
      </c>
      <c r="BS933" s="49">
        <f t="shared" si="388"/>
        <v>0</v>
      </c>
      <c r="BT933" s="31">
        <v>0</v>
      </c>
      <c r="BU933" s="188" t="str">
        <f t="shared" si="379"/>
        <v>TSES</v>
      </c>
      <c r="BV933" s="188" t="str">
        <f t="shared" si="380"/>
        <v>Oct 1-7</v>
      </c>
      <c r="BW933" s="188" t="str">
        <f t="shared" si="390"/>
        <v>Oct 15-21</v>
      </c>
      <c r="BX933" s="188" t="str">
        <f t="shared" si="381"/>
        <v xml:space="preserve"> </v>
      </c>
      <c r="BY933" s="50" t="str">
        <f t="shared" si="370"/>
        <v>SUTTON MILL CREEK_Sockeye</v>
      </c>
      <c r="BZ933" s="50" t="str">
        <f>IFERROR(VLOOKUP(BY933,'[1]WCVI Esc'!$C$5:$W$555,18,FALSE),"-")</f>
        <v>-</v>
      </c>
      <c r="CA933" s="50" t="str">
        <f t="shared" si="382"/>
        <v>-</v>
      </c>
      <c r="CB933" s="50" t="str">
        <f>IFERROR(VLOOKUP(BY933,'[1]WCVI Esc'!$C$5:$W$555,19,FALSE),"-")</f>
        <v>-</v>
      </c>
      <c r="CC933" s="50" t="str">
        <f t="shared" si="383"/>
        <v>-</v>
      </c>
      <c r="CE933" s="342" t="str">
        <f t="shared" si="369"/>
        <v>SUTTON MILL CREEK_Sockeye</v>
      </c>
      <c r="CF933" s="341" t="str">
        <f>IFERROR(VLOOKUP(BY933,'RawPL+D'!$O$8:$AB$503,12,FALSE),"-")</f>
        <v>-</v>
      </c>
      <c r="CG933" s="338" t="str">
        <f t="shared" si="384"/>
        <v>-</v>
      </c>
      <c r="CH933" s="341" t="str">
        <f>IFERROR(VLOOKUP(BY933,'RawPL+D'!$O$8:$AB$503,13,FALSE),"-")</f>
        <v>-</v>
      </c>
      <c r="CI933" s="338" t="str">
        <f t="shared" si="385"/>
        <v>-</v>
      </c>
    </row>
    <row r="934" spans="1:87" ht="12.75" hidden="1" customHeight="1" x14ac:dyDescent="0.2">
      <c r="A934" s="28">
        <v>4</v>
      </c>
      <c r="B934" s="28">
        <v>2</v>
      </c>
      <c r="C934" s="11">
        <v>24</v>
      </c>
      <c r="D934" s="13" t="s">
        <v>296</v>
      </c>
      <c r="E934" s="10" t="s">
        <v>129</v>
      </c>
      <c r="F934" s="10" t="s">
        <v>219</v>
      </c>
      <c r="G934" s="10"/>
      <c r="H934" s="10"/>
      <c r="I934" s="10"/>
      <c r="J934" s="10"/>
      <c r="K934" s="575"/>
      <c r="L934" s="152"/>
      <c r="M934" s="422"/>
      <c r="N934" s="339"/>
      <c r="O934" s="62"/>
      <c r="P934" s="424"/>
      <c r="Q934" s="683">
        <v>0</v>
      </c>
      <c r="R934" s="94"/>
      <c r="S934" s="727">
        <v>0</v>
      </c>
      <c r="T934" s="339"/>
      <c r="U934" s="64"/>
      <c r="V934" s="169"/>
      <c r="W934" s="62"/>
      <c r="X934" s="63"/>
      <c r="Y934" s="62"/>
      <c r="Z934" s="64"/>
      <c r="AA934" s="164"/>
      <c r="AB934" s="62"/>
      <c r="AC934" s="62"/>
      <c r="AD934" s="64"/>
      <c r="AE934" s="164"/>
      <c r="AF934" s="62"/>
      <c r="AG934" s="64"/>
      <c r="AH934" s="337">
        <v>0</v>
      </c>
      <c r="AI934" s="337">
        <v>0</v>
      </c>
      <c r="AJ934" s="337">
        <v>0</v>
      </c>
      <c r="AK934" s="337">
        <v>0</v>
      </c>
      <c r="AL934" s="555">
        <v>0</v>
      </c>
      <c r="AM934" s="552">
        <v>0</v>
      </c>
      <c r="AN934" s="552" t="s">
        <v>765</v>
      </c>
      <c r="AO934" s="552" t="s">
        <v>773</v>
      </c>
      <c r="AP934" s="45"/>
      <c r="AQ934" s="485"/>
      <c r="AR934"/>
      <c r="AS934" s="485"/>
      <c r="AT934" s="24"/>
      <c r="AU934" s="24"/>
      <c r="AV934" s="24"/>
      <c r="AW934" s="18">
        <v>24</v>
      </c>
      <c r="AX934" s="69" t="s">
        <v>296</v>
      </c>
      <c r="AY934" s="243" t="s">
        <v>129</v>
      </c>
      <c r="AZ934" s="243" t="str">
        <f t="shared" si="371"/>
        <v>Coho</v>
      </c>
      <c r="BA934" s="243" t="s">
        <v>419</v>
      </c>
      <c r="BB934" s="244" t="s">
        <v>497</v>
      </c>
      <c r="BC934" s="43" t="str">
        <f t="shared" si="372"/>
        <v>Oct 15-21</v>
      </c>
      <c r="BD934" s="43">
        <f t="shared" si="392"/>
        <v>2</v>
      </c>
      <c r="BE934" s="193">
        <f t="shared" si="389"/>
        <v>0</v>
      </c>
      <c r="BF934" s="193">
        <f t="shared" si="373"/>
        <v>0</v>
      </c>
      <c r="BG934" s="193">
        <f t="shared" si="374"/>
        <v>0</v>
      </c>
      <c r="BH934" s="307">
        <f t="shared" si="391"/>
        <v>0</v>
      </c>
      <c r="BI934" s="266"/>
      <c r="BJ934" s="26" t="str">
        <f t="shared" si="375"/>
        <v>SUTTON MILL CREEKCoho</v>
      </c>
      <c r="BK934" s="26">
        <f t="shared" si="376"/>
        <v>2</v>
      </c>
      <c r="BL934" s="33">
        <f t="shared" si="368"/>
        <v>0</v>
      </c>
      <c r="BQ934" s="47" t="str">
        <f t="shared" si="377"/>
        <v>SUTTON MILL CREEKCoho</v>
      </c>
      <c r="BR934" s="49">
        <f t="shared" si="378"/>
        <v>0</v>
      </c>
      <c r="BS934" s="49">
        <f t="shared" si="388"/>
        <v>0</v>
      </c>
      <c r="BT934" s="31">
        <v>1969</v>
      </c>
      <c r="BU934" s="188" t="str">
        <f t="shared" si="379"/>
        <v>TSES</v>
      </c>
      <c r="BV934" s="188" t="str">
        <f t="shared" si="380"/>
        <v>Oct 1-7</v>
      </c>
      <c r="BW934" s="188" t="str">
        <f t="shared" si="390"/>
        <v>Oct 15-21</v>
      </c>
      <c r="BX934" s="188" t="str">
        <f t="shared" si="381"/>
        <v xml:space="preserve"> </v>
      </c>
      <c r="BY934" s="50" t="str">
        <f t="shared" si="370"/>
        <v>SUTTON MILL CREEK_Coho</v>
      </c>
      <c r="BZ934" s="50" t="str">
        <f>IFERROR(VLOOKUP(BY934,'[1]WCVI Esc'!$C$5:$W$555,18,FALSE),"-")</f>
        <v>-</v>
      </c>
      <c r="CA934" s="50" t="str">
        <f t="shared" si="382"/>
        <v>-</v>
      </c>
      <c r="CB934" s="50" t="str">
        <f>IFERROR(VLOOKUP(BY934,'[1]WCVI Esc'!$C$5:$W$555,19,FALSE),"-")</f>
        <v>-</v>
      </c>
      <c r="CC934" s="50" t="str">
        <f t="shared" si="383"/>
        <v>-</v>
      </c>
      <c r="CE934" s="342" t="str">
        <f t="shared" si="369"/>
        <v>SUTTON MILL CREEK_Coho</v>
      </c>
      <c r="CF934" s="341">
        <f>IFERROR(VLOOKUP(BY934,'RawPL+D'!$O$8:$AB$503,12,FALSE),"-")</f>
        <v>0</v>
      </c>
      <c r="CG934" s="338">
        <f t="shared" si="384"/>
        <v>0</v>
      </c>
      <c r="CH934" s="341">
        <f>IFERROR(VLOOKUP(BY934,'RawPL+D'!$O$8:$AB$503,13,FALSE),"-")</f>
        <v>0</v>
      </c>
      <c r="CI934" s="338">
        <f t="shared" si="385"/>
        <v>0</v>
      </c>
    </row>
    <row r="935" spans="1:87" ht="12.75" hidden="1" customHeight="1" x14ac:dyDescent="0.2">
      <c r="A935" s="28">
        <v>4</v>
      </c>
      <c r="B935" s="28">
        <v>3</v>
      </c>
      <c r="C935" s="11">
        <v>24</v>
      </c>
      <c r="D935" s="13" t="s">
        <v>296</v>
      </c>
      <c r="E935" s="10" t="s">
        <v>129</v>
      </c>
      <c r="F935" s="10" t="s">
        <v>208</v>
      </c>
      <c r="G935" s="10"/>
      <c r="H935" s="10"/>
      <c r="I935" s="10"/>
      <c r="J935" s="10"/>
      <c r="K935" s="575"/>
      <c r="L935" s="152"/>
      <c r="M935" s="422"/>
      <c r="N935" s="339"/>
      <c r="O935" s="62"/>
      <c r="P935" s="424"/>
      <c r="Q935" s="683">
        <v>0</v>
      </c>
      <c r="R935" s="94"/>
      <c r="S935" s="727">
        <v>0</v>
      </c>
      <c r="T935" s="339"/>
      <c r="U935" s="64"/>
      <c r="V935" s="169"/>
      <c r="W935" s="62"/>
      <c r="X935" s="63"/>
      <c r="Y935" s="62"/>
      <c r="Z935" s="64"/>
      <c r="AA935" s="164"/>
      <c r="AB935" s="62"/>
      <c r="AC935" s="62"/>
      <c r="AD935" s="64"/>
      <c r="AE935" s="164"/>
      <c r="AF935" s="62"/>
      <c r="AG935" s="64"/>
      <c r="AH935" s="337">
        <v>0</v>
      </c>
      <c r="AI935" s="337">
        <v>0</v>
      </c>
      <c r="AJ935" s="337">
        <v>0</v>
      </c>
      <c r="AK935" s="337">
        <v>0</v>
      </c>
      <c r="AL935" s="555">
        <v>0</v>
      </c>
      <c r="AM935" s="552">
        <v>0</v>
      </c>
      <c r="AN935" s="552" t="s">
        <v>765</v>
      </c>
      <c r="AO935" s="45" t="s">
        <v>773</v>
      </c>
      <c r="AP935" s="45"/>
      <c r="AQ935" s="485"/>
      <c r="AR935" s="100"/>
      <c r="AS935" s="485"/>
      <c r="AT935" s="24"/>
      <c r="AU935" s="24"/>
      <c r="AV935" s="24"/>
      <c r="AW935" s="18">
        <v>24</v>
      </c>
      <c r="AX935" s="69" t="s">
        <v>296</v>
      </c>
      <c r="AY935" s="243" t="s">
        <v>129</v>
      </c>
      <c r="AZ935" s="243" t="str">
        <f t="shared" si="371"/>
        <v>Pink</v>
      </c>
      <c r="BA935" s="243" t="s">
        <v>419</v>
      </c>
      <c r="BB935" s="244" t="s">
        <v>497</v>
      </c>
      <c r="BC935" s="43" t="str">
        <f t="shared" si="372"/>
        <v>Oct 15-21</v>
      </c>
      <c r="BD935" s="43">
        <f t="shared" si="392"/>
        <v>2</v>
      </c>
      <c r="BE935" s="193">
        <f t="shared" si="389"/>
        <v>0</v>
      </c>
      <c r="BF935" s="193">
        <f t="shared" si="373"/>
        <v>0</v>
      </c>
      <c r="BG935" s="193">
        <f t="shared" si="374"/>
        <v>0</v>
      </c>
      <c r="BH935" s="307" t="str">
        <f t="shared" si="391"/>
        <v>-</v>
      </c>
      <c r="BI935" s="266"/>
      <c r="BJ935" s="26" t="str">
        <f t="shared" si="375"/>
        <v>SUTTON MILL CREEKPink</v>
      </c>
      <c r="BK935" s="26">
        <f t="shared" si="376"/>
        <v>2</v>
      </c>
      <c r="BL935" s="33">
        <f t="shared" ref="BL935:BL998" si="393">MAX(K935:AB935)</f>
        <v>0</v>
      </c>
      <c r="BQ935" s="47" t="str">
        <f t="shared" si="377"/>
        <v>SUTTON MILL CREEKPink</v>
      </c>
      <c r="BR935" s="49">
        <f t="shared" si="378"/>
        <v>0</v>
      </c>
      <c r="BS935" s="49">
        <f t="shared" si="388"/>
        <v>0</v>
      </c>
      <c r="BT935" s="31">
        <v>0</v>
      </c>
      <c r="BU935" s="188" t="str">
        <f t="shared" si="379"/>
        <v>TSES</v>
      </c>
      <c r="BV935" s="188" t="str">
        <f t="shared" si="380"/>
        <v>Oct 1-7</v>
      </c>
      <c r="BW935" s="188" t="str">
        <f t="shared" si="390"/>
        <v>Oct 15-21</v>
      </c>
      <c r="BX935" s="188" t="str">
        <f t="shared" si="381"/>
        <v xml:space="preserve"> </v>
      </c>
      <c r="BY935" s="50" t="str">
        <f t="shared" si="370"/>
        <v>SUTTON MILL CREEK_Pink</v>
      </c>
      <c r="BZ935" s="50" t="str">
        <f>IFERROR(VLOOKUP(BY935,'[1]WCVI Esc'!$C$5:$W$555,18,FALSE),"-")</f>
        <v>-</v>
      </c>
      <c r="CA935" s="50" t="str">
        <f t="shared" si="382"/>
        <v>-</v>
      </c>
      <c r="CB935" s="50" t="str">
        <f>IFERROR(VLOOKUP(BY935,'[1]WCVI Esc'!$C$5:$W$555,19,FALSE),"-")</f>
        <v>-</v>
      </c>
      <c r="CC935" s="50" t="str">
        <f t="shared" si="383"/>
        <v>-</v>
      </c>
      <c r="CE935" s="342" t="str">
        <f t="shared" si="369"/>
        <v>SUTTON MILL CREEK_Pink</v>
      </c>
      <c r="CF935" s="341" t="str">
        <f>IFERROR(VLOOKUP(BY935,'RawPL+D'!$O$8:$AB$503,12,FALSE),"-")</f>
        <v>-</v>
      </c>
      <c r="CG935" s="338" t="str">
        <f t="shared" si="384"/>
        <v>-</v>
      </c>
      <c r="CH935" s="341" t="str">
        <f>IFERROR(VLOOKUP(BY935,'RawPL+D'!$O$8:$AB$503,13,FALSE),"-")</f>
        <v>-</v>
      </c>
      <c r="CI935" s="338" t="str">
        <f t="shared" si="385"/>
        <v>-</v>
      </c>
    </row>
    <row r="936" spans="1:87" ht="12.75" hidden="1" customHeight="1" x14ac:dyDescent="0.2">
      <c r="A936" s="28">
        <v>4</v>
      </c>
      <c r="B936" s="28">
        <v>4</v>
      </c>
      <c r="C936" s="11">
        <v>24</v>
      </c>
      <c r="D936" s="13" t="s">
        <v>296</v>
      </c>
      <c r="E936" s="10" t="s">
        <v>129</v>
      </c>
      <c r="F936" s="10" t="s">
        <v>209</v>
      </c>
      <c r="G936" s="10"/>
      <c r="H936" s="10"/>
      <c r="I936" s="10"/>
      <c r="J936" s="10"/>
      <c r="K936" s="575"/>
      <c r="L936" s="152"/>
      <c r="M936" s="422"/>
      <c r="N936" s="339"/>
      <c r="O936" s="62"/>
      <c r="P936" s="424"/>
      <c r="Q936" s="683">
        <v>0</v>
      </c>
      <c r="R936" s="94"/>
      <c r="S936" s="728">
        <f>112+5</f>
        <v>117</v>
      </c>
      <c r="T936" s="554"/>
      <c r="U936" s="391"/>
      <c r="V936" s="421"/>
      <c r="W936" s="62"/>
      <c r="X936" s="63"/>
      <c r="Y936" s="62"/>
      <c r="Z936" s="64"/>
      <c r="AA936" s="164"/>
      <c r="AB936" s="62"/>
      <c r="AC936" s="62"/>
      <c r="AD936" s="64"/>
      <c r="AE936" s="164"/>
      <c r="AF936" s="62"/>
      <c r="AG936" s="64"/>
      <c r="AH936" s="337">
        <v>130</v>
      </c>
      <c r="AI936" s="337">
        <v>0</v>
      </c>
      <c r="AJ936" s="337">
        <v>0</v>
      </c>
      <c r="AK936" s="337">
        <v>0</v>
      </c>
      <c r="AL936" s="555">
        <v>130</v>
      </c>
      <c r="AM936" s="552">
        <v>130</v>
      </c>
      <c r="AN936" s="552" t="s">
        <v>765</v>
      </c>
      <c r="AO936" s="552" t="s">
        <v>773</v>
      </c>
      <c r="AP936" s="45"/>
      <c r="AQ936" s="485">
        <f>AL936/BI936</f>
        <v>2.6</v>
      </c>
      <c r="AR936" s="485">
        <f>BL936/BH936</f>
        <v>5.85</v>
      </c>
      <c r="AS936" s="485">
        <f>BL936/BI936</f>
        <v>2.34</v>
      </c>
      <c r="AT936" s="24"/>
      <c r="AU936" s="24"/>
      <c r="AV936" s="24"/>
      <c r="AW936" s="18">
        <v>24</v>
      </c>
      <c r="AX936" s="69" t="s">
        <v>296</v>
      </c>
      <c r="AY936" s="243" t="s">
        <v>129</v>
      </c>
      <c r="AZ936" s="243" t="str">
        <f t="shared" si="371"/>
        <v>Chum</v>
      </c>
      <c r="BA936" s="243" t="s">
        <v>419</v>
      </c>
      <c r="BB936" s="244" t="s">
        <v>497</v>
      </c>
      <c r="BC936" s="43" t="str">
        <f t="shared" si="372"/>
        <v>Oct 15-21</v>
      </c>
      <c r="BD936" s="43">
        <f t="shared" si="392"/>
        <v>2</v>
      </c>
      <c r="BE936" s="193">
        <f t="shared" si="389"/>
        <v>117</v>
      </c>
      <c r="BF936" s="193">
        <f t="shared" si="373"/>
        <v>130</v>
      </c>
      <c r="BG936" s="193">
        <f t="shared" si="374"/>
        <v>130</v>
      </c>
      <c r="BH936" s="307">
        <f t="shared" si="391"/>
        <v>20</v>
      </c>
      <c r="BI936" s="265">
        <f>CC936</f>
        <v>50</v>
      </c>
      <c r="BJ936" s="26" t="str">
        <f t="shared" si="375"/>
        <v>SUTTON MILL CREEKChum</v>
      </c>
      <c r="BK936" s="26">
        <f t="shared" si="376"/>
        <v>2</v>
      </c>
      <c r="BL936" s="33">
        <f t="shared" si="393"/>
        <v>117</v>
      </c>
      <c r="BQ936" s="47" t="str">
        <f t="shared" si="377"/>
        <v>SUTTON MILL CREEKChum</v>
      </c>
      <c r="BR936" s="49">
        <f t="shared" si="378"/>
        <v>0</v>
      </c>
      <c r="BS936" s="49">
        <f t="shared" si="388"/>
        <v>130</v>
      </c>
      <c r="BT936" s="31">
        <v>2016</v>
      </c>
      <c r="BU936" s="188" t="str">
        <f t="shared" si="379"/>
        <v>TSES</v>
      </c>
      <c r="BV936" s="188" t="str">
        <f t="shared" si="380"/>
        <v>Oct 1-7</v>
      </c>
      <c r="BW936" s="188" t="str">
        <f t="shared" si="390"/>
        <v>Oct 15-21</v>
      </c>
      <c r="BX936" s="188" t="str">
        <f t="shared" si="381"/>
        <v xml:space="preserve"> </v>
      </c>
      <c r="BY936" s="50" t="str">
        <f t="shared" si="370"/>
        <v>SUTTON MILL CREEK_Chum</v>
      </c>
      <c r="BZ936" s="50">
        <f>IFERROR(VLOOKUP(BY936,'[1]WCVI Esc'!$C$5:$W$555,18,FALSE),"-")</f>
        <v>27.333333333333332</v>
      </c>
      <c r="CA936" s="50">
        <f t="shared" si="382"/>
        <v>30</v>
      </c>
      <c r="CB936" s="50">
        <f>IFERROR(VLOOKUP(BY936,'[1]WCVI Esc'!$C$5:$W$555,19,FALSE),"-")</f>
        <v>50.625</v>
      </c>
      <c r="CC936" s="50">
        <f t="shared" si="383"/>
        <v>50</v>
      </c>
      <c r="CE936" s="342" t="str">
        <f t="shared" si="369"/>
        <v>SUTTON MILL CREEK_Chum</v>
      </c>
      <c r="CF936" s="341">
        <f>IFERROR(VLOOKUP(CE936,'RawPL+D'!$O$8:$AB$503,12,FALSE),"-")</f>
        <v>36</v>
      </c>
      <c r="CG936" s="338">
        <f t="shared" si="384"/>
        <v>40</v>
      </c>
      <c r="CH936" s="341">
        <f>IFERROR(VLOOKUP(CE936,'RawPL+D'!$O$8:$AB$503,13,FALSE),"-")</f>
        <v>24.666666666666668</v>
      </c>
      <c r="CI936" s="338">
        <f t="shared" si="385"/>
        <v>20</v>
      </c>
    </row>
    <row r="937" spans="1:87" ht="12.75" hidden="1" customHeight="1" x14ac:dyDescent="0.2">
      <c r="A937" s="28">
        <v>4</v>
      </c>
      <c r="B937" s="28">
        <v>5</v>
      </c>
      <c r="C937" s="11">
        <v>24</v>
      </c>
      <c r="D937" s="13" t="s">
        <v>296</v>
      </c>
      <c r="E937" s="10" t="s">
        <v>129</v>
      </c>
      <c r="F937" s="10" t="s">
        <v>210</v>
      </c>
      <c r="G937" s="10"/>
      <c r="H937" s="10"/>
      <c r="I937" s="10"/>
      <c r="J937" s="10"/>
      <c r="K937" s="575"/>
      <c r="L937" s="152"/>
      <c r="M937" s="422"/>
      <c r="N937" s="339"/>
      <c r="O937" s="62"/>
      <c r="P937" s="424"/>
      <c r="Q937" s="683">
        <v>0</v>
      </c>
      <c r="R937" s="94"/>
      <c r="S937" s="727">
        <v>0</v>
      </c>
      <c r="T937" s="339"/>
      <c r="U937" s="64"/>
      <c r="V937" s="169"/>
      <c r="W937" s="62"/>
      <c r="X937" s="63"/>
      <c r="Y937" s="62"/>
      <c r="Z937" s="64"/>
      <c r="AA937" s="164"/>
      <c r="AB937" s="62"/>
      <c r="AC937" s="62"/>
      <c r="AD937" s="64"/>
      <c r="AE937" s="164"/>
      <c r="AF937" s="62"/>
      <c r="AG937" s="64"/>
      <c r="AH937" s="337">
        <v>0</v>
      </c>
      <c r="AI937" s="337">
        <v>0</v>
      </c>
      <c r="AJ937" s="337">
        <v>0</v>
      </c>
      <c r="AK937" s="337">
        <v>0</v>
      </c>
      <c r="AL937" s="555">
        <v>0</v>
      </c>
      <c r="AM937" s="552">
        <v>0</v>
      </c>
      <c r="AN937" s="552" t="s">
        <v>765</v>
      </c>
      <c r="AO937" s="45" t="s">
        <v>773</v>
      </c>
      <c r="AP937" s="45"/>
      <c r="AQ937" s="485"/>
      <c r="AR937"/>
      <c r="AS937" s="485"/>
      <c r="AT937" s="24"/>
      <c r="AU937" s="24"/>
      <c r="AV937" s="24"/>
      <c r="AW937" s="18">
        <v>24</v>
      </c>
      <c r="AX937" s="69" t="s">
        <v>296</v>
      </c>
      <c r="AY937" s="243" t="s">
        <v>129</v>
      </c>
      <c r="AZ937" s="243" t="str">
        <f t="shared" si="371"/>
        <v>Chinook</v>
      </c>
      <c r="BA937" s="243" t="s">
        <v>419</v>
      </c>
      <c r="BB937" s="244" t="s">
        <v>497</v>
      </c>
      <c r="BC937" s="43" t="str">
        <f t="shared" si="372"/>
        <v>Oct 15-21</v>
      </c>
      <c r="BD937" s="43">
        <f t="shared" si="392"/>
        <v>2</v>
      </c>
      <c r="BE937" s="193">
        <f t="shared" si="389"/>
        <v>0</v>
      </c>
      <c r="BF937" s="193">
        <f t="shared" si="373"/>
        <v>0</v>
      </c>
      <c r="BG937" s="193">
        <f t="shared" si="374"/>
        <v>0</v>
      </c>
      <c r="BH937" s="307" t="str">
        <f t="shared" si="391"/>
        <v>-</v>
      </c>
      <c r="BI937" s="266"/>
      <c r="BJ937" s="26" t="str">
        <f t="shared" si="375"/>
        <v>SUTTON MILL CREEKChinook</v>
      </c>
      <c r="BK937" s="26">
        <f t="shared" si="376"/>
        <v>2</v>
      </c>
      <c r="BL937" s="33">
        <f t="shared" si="393"/>
        <v>0</v>
      </c>
      <c r="BQ937" s="47" t="str">
        <f t="shared" si="377"/>
        <v>SUTTON MILL CREEKChinook</v>
      </c>
      <c r="BR937" s="49">
        <f t="shared" si="378"/>
        <v>0</v>
      </c>
      <c r="BS937" s="49">
        <f t="shared" si="388"/>
        <v>0</v>
      </c>
      <c r="BT937" s="31">
        <v>0</v>
      </c>
      <c r="BU937" s="188" t="str">
        <f t="shared" si="379"/>
        <v>TSES</v>
      </c>
      <c r="BV937" s="188" t="str">
        <f t="shared" si="380"/>
        <v>Oct 1-7</v>
      </c>
      <c r="BW937" s="188" t="str">
        <f t="shared" si="390"/>
        <v>Oct 15-21</v>
      </c>
      <c r="BX937" s="188" t="str">
        <f t="shared" si="381"/>
        <v xml:space="preserve"> </v>
      </c>
      <c r="BY937" s="50" t="str">
        <f t="shared" si="370"/>
        <v>SUTTON MILL CREEK_Chinook</v>
      </c>
      <c r="BZ937" s="50" t="str">
        <f>IFERROR(VLOOKUP(BY937,'[1]WCVI Esc'!$C$5:$W$555,18,FALSE),"-")</f>
        <v>-</v>
      </c>
      <c r="CA937" s="50" t="str">
        <f t="shared" si="382"/>
        <v>-</v>
      </c>
      <c r="CB937" s="50" t="str">
        <f>IFERROR(VLOOKUP(BY937,'[1]WCVI Esc'!$C$5:$W$555,19,FALSE),"-")</f>
        <v>-</v>
      </c>
      <c r="CC937" s="50" t="str">
        <f t="shared" si="383"/>
        <v>-</v>
      </c>
      <c r="CE937" s="342" t="str">
        <f t="shared" si="369"/>
        <v>SUTTON MILL CREEK_Chinook</v>
      </c>
      <c r="CF937" s="341" t="str">
        <f>IFERROR(VLOOKUP(BY937,'RawPL+D'!$O$8:$AB$503,12,FALSE),"-")</f>
        <v>-</v>
      </c>
      <c r="CG937" s="338" t="str">
        <f t="shared" si="384"/>
        <v>-</v>
      </c>
      <c r="CH937" s="341" t="str">
        <f>IFERROR(VLOOKUP(BY937,'RawPL+D'!$O$8:$AB$503,13,FALSE),"-")</f>
        <v>-</v>
      </c>
      <c r="CI937" s="338" t="str">
        <f t="shared" si="385"/>
        <v>-</v>
      </c>
    </row>
    <row r="938" spans="1:87" ht="12.75" hidden="1" customHeight="1" x14ac:dyDescent="0.2">
      <c r="A938" s="28">
        <v>4</v>
      </c>
      <c r="B938" s="28">
        <v>6</v>
      </c>
      <c r="C938" s="11">
        <v>24</v>
      </c>
      <c r="D938" s="13" t="s">
        <v>296</v>
      </c>
      <c r="E938" s="10" t="s">
        <v>129</v>
      </c>
      <c r="F938" s="10" t="s">
        <v>211</v>
      </c>
      <c r="G938" s="10"/>
      <c r="H938" s="10"/>
      <c r="I938" s="10"/>
      <c r="J938" s="10"/>
      <c r="K938" s="575"/>
      <c r="L938" s="152"/>
      <c r="M938" s="422"/>
      <c r="N938" s="339"/>
      <c r="O938" s="62"/>
      <c r="P938" s="424"/>
      <c r="Q938" s="683">
        <v>0</v>
      </c>
      <c r="R938" s="94"/>
      <c r="S938" s="727">
        <v>0</v>
      </c>
      <c r="T938" s="339"/>
      <c r="U938" s="64"/>
      <c r="V938" s="169"/>
      <c r="W938" s="62"/>
      <c r="X938" s="63"/>
      <c r="Y938" s="62"/>
      <c r="Z938" s="64"/>
      <c r="AA938" s="164"/>
      <c r="AB938" s="62"/>
      <c r="AC938" s="62"/>
      <c r="AD938" s="64"/>
      <c r="AE938" s="164"/>
      <c r="AF938" s="62"/>
      <c r="AG938" s="64"/>
      <c r="AH938" s="337"/>
      <c r="AI938" s="337"/>
      <c r="AJ938" s="337"/>
      <c r="AK938" s="337"/>
      <c r="AL938" s="555"/>
      <c r="AM938" s="552"/>
      <c r="AN938" s="45"/>
      <c r="AO938" s="45"/>
      <c r="AP938" s="45"/>
      <c r="AQ938" s="485"/>
      <c r="AR938"/>
      <c r="AS938" s="485"/>
      <c r="AT938" s="24"/>
      <c r="AU938" s="24"/>
      <c r="AV938" s="24"/>
      <c r="AW938" s="18">
        <v>24</v>
      </c>
      <c r="AX938" s="69" t="s">
        <v>296</v>
      </c>
      <c r="AY938" s="243" t="s">
        <v>129</v>
      </c>
      <c r="AZ938" s="243" t="str">
        <f t="shared" si="371"/>
        <v>Steelhead</v>
      </c>
      <c r="BA938" s="243" t="s">
        <v>419</v>
      </c>
      <c r="BB938" s="244" t="s">
        <v>497</v>
      </c>
      <c r="BC938" s="43" t="str">
        <f t="shared" si="372"/>
        <v>Oct 15-21</v>
      </c>
      <c r="BD938" s="43">
        <f t="shared" si="392"/>
        <v>2</v>
      </c>
      <c r="BE938" s="193">
        <f t="shared" si="389"/>
        <v>0</v>
      </c>
      <c r="BF938" s="193">
        <f t="shared" si="373"/>
        <v>0</v>
      </c>
      <c r="BG938" s="193">
        <f t="shared" si="374"/>
        <v>0</v>
      </c>
      <c r="BH938" s="307" t="str">
        <f t="shared" si="391"/>
        <v>-</v>
      </c>
      <c r="BI938" s="266"/>
      <c r="BJ938" s="26" t="str">
        <f t="shared" si="375"/>
        <v>SUTTON MILL CREEKSteelhead</v>
      </c>
      <c r="BK938" s="26">
        <f t="shared" si="376"/>
        <v>2</v>
      </c>
      <c r="BL938" s="33">
        <f t="shared" si="393"/>
        <v>0</v>
      </c>
      <c r="BQ938" s="47" t="str">
        <f t="shared" si="377"/>
        <v>SUTTON MILL CREEKSteelhead</v>
      </c>
      <c r="BR938" s="49">
        <f t="shared" si="378"/>
        <v>0</v>
      </c>
      <c r="BS938" s="49">
        <f t="shared" si="388"/>
        <v>0</v>
      </c>
      <c r="BT938" s="31">
        <v>0</v>
      </c>
      <c r="BU938" s="188" t="str">
        <f t="shared" si="379"/>
        <v>TSES</v>
      </c>
      <c r="BV938" s="188" t="str">
        <f t="shared" si="380"/>
        <v>Oct 1-7</v>
      </c>
      <c r="BW938" s="188" t="str">
        <f t="shared" si="390"/>
        <v>Oct 15-21</v>
      </c>
      <c r="BX938" s="188" t="str">
        <f t="shared" si="381"/>
        <v xml:space="preserve"> </v>
      </c>
      <c r="BY938" s="50" t="str">
        <f t="shared" si="370"/>
        <v>SUTTON MILL CREEK_Steelhead</v>
      </c>
      <c r="BZ938" s="50" t="str">
        <f>IFERROR(VLOOKUP(BY938,'[1]WCVI Esc'!$C$5:$W$555,18,FALSE),"-")</f>
        <v>-</v>
      </c>
      <c r="CA938" s="50" t="str">
        <f t="shared" si="382"/>
        <v>-</v>
      </c>
      <c r="CB938" s="50" t="str">
        <f>IFERROR(VLOOKUP(BY938,'[1]WCVI Esc'!$C$5:$W$555,19,FALSE),"-")</f>
        <v>-</v>
      </c>
      <c r="CC938" s="50" t="str">
        <f t="shared" si="383"/>
        <v>-</v>
      </c>
      <c r="CE938" s="342" t="str">
        <f t="shared" si="369"/>
        <v>SUTTON MILL CREEK_Steelhead</v>
      </c>
      <c r="CF938" s="341" t="str">
        <f>IFERROR(VLOOKUP(BY938,'RawPL+D'!$O$8:$AB$503,12,FALSE),"-")</f>
        <v>-</v>
      </c>
      <c r="CG938" s="338" t="str">
        <f t="shared" si="384"/>
        <v>-</v>
      </c>
      <c r="CH938" s="341" t="str">
        <f>IFERROR(VLOOKUP(BY938,'RawPL+D'!$O$8:$AB$503,13,FALSE),"-")</f>
        <v>-</v>
      </c>
      <c r="CI938" s="338" t="str">
        <f t="shared" si="385"/>
        <v>-</v>
      </c>
    </row>
    <row r="939" spans="1:87" ht="12.75" hidden="1" customHeight="1" x14ac:dyDescent="0.2">
      <c r="A939" s="28">
        <v>4</v>
      </c>
      <c r="B939" s="28">
        <v>1</v>
      </c>
      <c r="C939" s="11">
        <v>24</v>
      </c>
      <c r="D939" s="13" t="s">
        <v>296</v>
      </c>
      <c r="E939" s="10" t="s">
        <v>131</v>
      </c>
      <c r="F939" s="10" t="s">
        <v>207</v>
      </c>
      <c r="G939" s="10"/>
      <c r="H939" s="10"/>
      <c r="I939" s="10"/>
      <c r="J939" s="10"/>
      <c r="K939" s="575"/>
      <c r="L939" s="152"/>
      <c r="M939" s="164"/>
      <c r="N939" s="62"/>
      <c r="O939" s="62"/>
      <c r="P939" s="177"/>
      <c r="Q939" s="171"/>
      <c r="R939" s="94"/>
      <c r="S939" s="62"/>
      <c r="T939" s="62"/>
      <c r="U939" s="162"/>
      <c r="V939" s="164"/>
      <c r="W939" s="62"/>
      <c r="X939" s="62"/>
      <c r="Y939" s="62"/>
      <c r="Z939" s="64"/>
      <c r="AA939" s="164"/>
      <c r="AB939" s="62"/>
      <c r="AC939" s="62"/>
      <c r="AD939" s="64"/>
      <c r="AE939" s="164"/>
      <c r="AF939" s="62"/>
      <c r="AG939" s="64"/>
      <c r="AH939" s="337"/>
      <c r="AI939" s="337"/>
      <c r="AJ939" s="337"/>
      <c r="AK939" s="337"/>
      <c r="AL939" s="412"/>
      <c r="AM939" s="414"/>
      <c r="AN939" s="45"/>
      <c r="AO939" s="45"/>
      <c r="AP939" s="45"/>
      <c r="AQ939" s="485"/>
      <c r="AR939" s="100"/>
      <c r="AS939" s="485"/>
      <c r="AT939" s="24"/>
      <c r="AU939" s="24"/>
      <c r="AV939" s="24"/>
      <c r="AW939" s="18">
        <v>24</v>
      </c>
      <c r="AX939" s="69" t="s">
        <v>296</v>
      </c>
      <c r="AY939" s="243" t="s">
        <v>131</v>
      </c>
      <c r="AZ939" s="243" t="str">
        <f t="shared" si="371"/>
        <v>Sockeye</v>
      </c>
      <c r="BA939" s="243" t="s">
        <v>419</v>
      </c>
      <c r="BB939" s="244" t="s">
        <v>497</v>
      </c>
      <c r="BC939" s="43" t="str">
        <f t="shared" si="372"/>
        <v>-</v>
      </c>
      <c r="BD939" s="43">
        <f t="shared" si="392"/>
        <v>0</v>
      </c>
      <c r="BE939" s="193">
        <f t="shared" si="389"/>
        <v>0</v>
      </c>
      <c r="BF939" s="193">
        <f t="shared" si="373"/>
        <v>0</v>
      </c>
      <c r="BG939" s="193">
        <f t="shared" si="374"/>
        <v>0</v>
      </c>
      <c r="BH939" s="307">
        <f t="shared" si="391"/>
        <v>0</v>
      </c>
      <c r="BI939" s="312" t="s">
        <v>242</v>
      </c>
      <c r="BJ939" s="26" t="str">
        <f t="shared" si="375"/>
        <v>TOFINO CREEKSockeye</v>
      </c>
      <c r="BK939" s="26">
        <f t="shared" si="376"/>
        <v>0</v>
      </c>
      <c r="BL939" s="33">
        <f t="shared" si="393"/>
        <v>0</v>
      </c>
      <c r="BQ939" s="47" t="str">
        <f t="shared" si="377"/>
        <v>TOFINO CREEKSockeye</v>
      </c>
      <c r="BR939" s="49">
        <f t="shared" si="378"/>
        <v>0</v>
      </c>
      <c r="BS939" s="49">
        <f t="shared" si="388"/>
        <v>0</v>
      </c>
      <c r="BT939" s="31">
        <v>0</v>
      </c>
      <c r="BU939" s="188" t="str">
        <f t="shared" si="379"/>
        <v>TSES</v>
      </c>
      <c r="BV939" s="188" t="str">
        <f t="shared" si="380"/>
        <v xml:space="preserve"> </v>
      </c>
      <c r="BW939" s="188" t="str">
        <f t="shared" si="390"/>
        <v xml:space="preserve"> </v>
      </c>
      <c r="BX939" s="188" t="str">
        <f t="shared" si="381"/>
        <v xml:space="preserve"> </v>
      </c>
      <c r="BY939" s="50" t="str">
        <f t="shared" si="370"/>
        <v>TOFINO CREEK_Sockeye</v>
      </c>
      <c r="BZ939" s="50" t="str">
        <f>IFERROR(VLOOKUP(BY939,'[1]WCVI Esc'!$C$5:$W$555,18,FALSE),"-")</f>
        <v>-</v>
      </c>
      <c r="CA939" s="50" t="str">
        <f t="shared" si="382"/>
        <v>-</v>
      </c>
      <c r="CB939" s="50" t="str">
        <f>IFERROR(VLOOKUP(BY939,'[1]WCVI Esc'!$C$5:$W$555,19,FALSE),"-")</f>
        <v>-</v>
      </c>
      <c r="CC939" s="50" t="str">
        <f t="shared" si="383"/>
        <v>-</v>
      </c>
      <c r="CE939" s="342" t="str">
        <f t="shared" si="369"/>
        <v>TOFINO CREEK_Sockeye</v>
      </c>
      <c r="CF939" s="341">
        <f>IFERROR(VLOOKUP(BY939,'RawPL+D'!$O$8:$AB$503,12,FALSE),"-")</f>
        <v>0</v>
      </c>
      <c r="CG939" s="338">
        <f t="shared" si="384"/>
        <v>0</v>
      </c>
      <c r="CH939" s="341">
        <f>IFERROR(VLOOKUP(BY939,'RawPL+D'!$O$8:$AB$503,13,FALSE),"-")</f>
        <v>0</v>
      </c>
      <c r="CI939" s="338">
        <f t="shared" si="385"/>
        <v>0</v>
      </c>
    </row>
    <row r="940" spans="1:87" ht="12.75" hidden="1" customHeight="1" x14ac:dyDescent="0.2">
      <c r="A940" s="28">
        <v>4</v>
      </c>
      <c r="B940" s="28">
        <v>2</v>
      </c>
      <c r="C940" s="11">
        <v>24</v>
      </c>
      <c r="D940" s="13" t="s">
        <v>296</v>
      </c>
      <c r="E940" s="10" t="s">
        <v>131</v>
      </c>
      <c r="F940" s="10" t="s">
        <v>219</v>
      </c>
      <c r="G940" s="10"/>
      <c r="H940" s="10"/>
      <c r="I940" s="10"/>
      <c r="J940" s="10"/>
      <c r="K940" s="575"/>
      <c r="L940" s="152"/>
      <c r="M940" s="164"/>
      <c r="N940" s="62"/>
      <c r="O940" s="62"/>
      <c r="P940" s="177"/>
      <c r="Q940" s="171"/>
      <c r="R940" s="94"/>
      <c r="S940" s="62"/>
      <c r="T940" s="62"/>
      <c r="U940" s="162"/>
      <c r="V940" s="164"/>
      <c r="W940" s="62"/>
      <c r="X940" s="62"/>
      <c r="Y940" s="62"/>
      <c r="Z940" s="64"/>
      <c r="AA940" s="164"/>
      <c r="AB940" s="62"/>
      <c r="AC940" s="62"/>
      <c r="AD940" s="64"/>
      <c r="AE940" s="164"/>
      <c r="AF940" s="62"/>
      <c r="AG940" s="64"/>
      <c r="AH940" s="337"/>
      <c r="AI940" s="337"/>
      <c r="AJ940" s="337"/>
      <c r="AK940" s="337"/>
      <c r="AL940" s="412"/>
      <c r="AM940" s="414"/>
      <c r="AN940" s="45"/>
      <c r="AO940" s="45"/>
      <c r="AP940" s="45"/>
      <c r="AQ940" s="485">
        <f>AL940/BI940</f>
        <v>0</v>
      </c>
      <c r="AR940" s="100">
        <f>BL940/BI940</f>
        <v>0</v>
      </c>
      <c r="AS940" s="485"/>
      <c r="AT940" s="24"/>
      <c r="AU940" s="24"/>
      <c r="AV940" s="24"/>
      <c r="AW940" s="18">
        <v>24</v>
      </c>
      <c r="AX940" s="69" t="s">
        <v>296</v>
      </c>
      <c r="AY940" s="243" t="s">
        <v>131</v>
      </c>
      <c r="AZ940" s="243" t="str">
        <f t="shared" si="371"/>
        <v>Coho</v>
      </c>
      <c r="BA940" s="243" t="s">
        <v>419</v>
      </c>
      <c r="BB940" s="244" t="s">
        <v>497</v>
      </c>
      <c r="BC940" s="43" t="str">
        <f t="shared" si="372"/>
        <v>-</v>
      </c>
      <c r="BD940" s="43">
        <f t="shared" si="392"/>
        <v>0</v>
      </c>
      <c r="BE940" s="193">
        <f t="shared" si="389"/>
        <v>0</v>
      </c>
      <c r="BF940" s="193">
        <f t="shared" si="373"/>
        <v>0</v>
      </c>
      <c r="BG940" s="193">
        <f t="shared" si="374"/>
        <v>0</v>
      </c>
      <c r="BH940" s="307">
        <f t="shared" si="391"/>
        <v>0</v>
      </c>
      <c r="BI940" s="265">
        <f>CC940</f>
        <v>10</v>
      </c>
      <c r="BJ940" s="26" t="str">
        <f t="shared" si="375"/>
        <v>TOFINO CREEKCoho</v>
      </c>
      <c r="BK940" s="26">
        <f t="shared" si="376"/>
        <v>0</v>
      </c>
      <c r="BL940" s="33">
        <f t="shared" si="393"/>
        <v>0</v>
      </c>
      <c r="BQ940" s="47" t="str">
        <f t="shared" si="377"/>
        <v>TOFINO CREEKCoho</v>
      </c>
      <c r="BR940" s="49">
        <f t="shared" si="378"/>
        <v>0</v>
      </c>
      <c r="BS940" s="49">
        <f t="shared" si="388"/>
        <v>0</v>
      </c>
      <c r="BT940" s="31">
        <v>2013</v>
      </c>
      <c r="BU940" s="188" t="str">
        <f t="shared" si="379"/>
        <v>TSES</v>
      </c>
      <c r="BV940" s="188" t="str">
        <f t="shared" si="380"/>
        <v xml:space="preserve"> </v>
      </c>
      <c r="BW940" s="188" t="str">
        <f t="shared" si="390"/>
        <v xml:space="preserve"> </v>
      </c>
      <c r="BX940" s="188" t="str">
        <f t="shared" si="381"/>
        <v xml:space="preserve"> </v>
      </c>
      <c r="BY940" s="50" t="str">
        <f t="shared" si="370"/>
        <v>TOFINO CREEK_Coho</v>
      </c>
      <c r="BZ940" s="50">
        <f>IFERROR(VLOOKUP(BY940,'[1]WCVI Esc'!$C$5:$W$555,18,FALSE),"-")</f>
        <v>4</v>
      </c>
      <c r="CA940" s="50">
        <f t="shared" si="382"/>
        <v>0</v>
      </c>
      <c r="CB940" s="50">
        <f>IFERROR(VLOOKUP(BY940,'[1]WCVI Esc'!$C$5:$W$555,19,FALSE),"-")</f>
        <v>8.3333333333333339</v>
      </c>
      <c r="CC940" s="50">
        <f t="shared" si="383"/>
        <v>10</v>
      </c>
      <c r="CE940" s="342" t="str">
        <f t="shared" si="369"/>
        <v>TOFINO CREEK_Coho</v>
      </c>
      <c r="CF940" s="341">
        <f>IFERROR(VLOOKUP(BY940,'RawPL+D'!$O$8:$AB$503,12,FALSE),"-")</f>
        <v>0</v>
      </c>
      <c r="CG940" s="338">
        <f t="shared" si="384"/>
        <v>0</v>
      </c>
      <c r="CH940" s="341">
        <f>IFERROR(VLOOKUP(BY940,'RawPL+D'!$O$8:$AB$503,13,FALSE),"-")</f>
        <v>4</v>
      </c>
      <c r="CI940" s="338">
        <f t="shared" si="385"/>
        <v>0</v>
      </c>
    </row>
    <row r="941" spans="1:87" ht="12.75" hidden="1" customHeight="1" x14ac:dyDescent="0.2">
      <c r="A941" s="28">
        <v>4</v>
      </c>
      <c r="B941" s="28">
        <v>3</v>
      </c>
      <c r="C941" s="11">
        <v>24</v>
      </c>
      <c r="D941" s="13" t="s">
        <v>296</v>
      </c>
      <c r="E941" s="10" t="s">
        <v>131</v>
      </c>
      <c r="F941" s="10" t="s">
        <v>208</v>
      </c>
      <c r="G941" s="10"/>
      <c r="H941" s="10"/>
      <c r="I941" s="10"/>
      <c r="J941" s="10"/>
      <c r="K941" s="575"/>
      <c r="L941" s="152"/>
      <c r="M941" s="164"/>
      <c r="N941" s="62"/>
      <c r="O941" s="62"/>
      <c r="P941" s="177"/>
      <c r="Q941" s="171"/>
      <c r="R941" s="94"/>
      <c r="S941" s="62"/>
      <c r="T941" s="62"/>
      <c r="U941" s="162"/>
      <c r="V941" s="164"/>
      <c r="W941" s="62"/>
      <c r="X941" s="62"/>
      <c r="Y941" s="62"/>
      <c r="Z941" s="64"/>
      <c r="AA941" s="164"/>
      <c r="AB941" s="62"/>
      <c r="AC941" s="62"/>
      <c r="AD941" s="64"/>
      <c r="AE941" s="164"/>
      <c r="AF941" s="62"/>
      <c r="AG941" s="64"/>
      <c r="AH941" s="337"/>
      <c r="AI941" s="337"/>
      <c r="AJ941" s="337"/>
      <c r="AK941" s="337"/>
      <c r="AL941" s="412"/>
      <c r="AM941" s="414"/>
      <c r="AN941" s="45"/>
      <c r="AO941" s="45"/>
      <c r="AP941" s="45"/>
      <c r="AQ941" s="485"/>
      <c r="AR941" s="100"/>
      <c r="AS941" s="485"/>
      <c r="AT941" s="24"/>
      <c r="AU941" s="24"/>
      <c r="AV941" s="24"/>
      <c r="AW941" s="18">
        <v>24</v>
      </c>
      <c r="AX941" s="69" t="s">
        <v>296</v>
      </c>
      <c r="AY941" s="243" t="s">
        <v>131</v>
      </c>
      <c r="AZ941" s="243" t="str">
        <f t="shared" si="371"/>
        <v>Pink</v>
      </c>
      <c r="BA941" s="243" t="s">
        <v>419</v>
      </c>
      <c r="BB941" s="244" t="s">
        <v>497</v>
      </c>
      <c r="BC941" s="43" t="str">
        <f t="shared" si="372"/>
        <v>-</v>
      </c>
      <c r="BD941" s="43">
        <f t="shared" si="392"/>
        <v>0</v>
      </c>
      <c r="BE941" s="193">
        <f t="shared" si="389"/>
        <v>0</v>
      </c>
      <c r="BF941" s="193">
        <f t="shared" si="373"/>
        <v>0</v>
      </c>
      <c r="BG941" s="193">
        <f t="shared" si="374"/>
        <v>0</v>
      </c>
      <c r="BH941" s="307">
        <f t="shared" si="391"/>
        <v>0</v>
      </c>
      <c r="BI941" s="266"/>
      <c r="BJ941" s="26" t="str">
        <f t="shared" si="375"/>
        <v>TOFINO CREEKPink</v>
      </c>
      <c r="BK941" s="26">
        <f t="shared" si="376"/>
        <v>0</v>
      </c>
      <c r="BL941" s="33">
        <f t="shared" si="393"/>
        <v>0</v>
      </c>
      <c r="BQ941" s="47" t="str">
        <f t="shared" si="377"/>
        <v>TOFINO CREEKPink</v>
      </c>
      <c r="BR941" s="49">
        <f t="shared" si="378"/>
        <v>0</v>
      </c>
      <c r="BS941" s="49">
        <f t="shared" si="388"/>
        <v>0</v>
      </c>
      <c r="BT941" s="31">
        <v>0</v>
      </c>
      <c r="BU941" s="188" t="str">
        <f t="shared" si="379"/>
        <v>TSES</v>
      </c>
      <c r="BV941" s="188" t="str">
        <f t="shared" si="380"/>
        <v xml:space="preserve"> </v>
      </c>
      <c r="BW941" s="188" t="str">
        <f t="shared" si="390"/>
        <v xml:space="preserve"> </v>
      </c>
      <c r="BX941" s="188" t="str">
        <f t="shared" si="381"/>
        <v xml:space="preserve"> </v>
      </c>
      <c r="BY941" s="50" t="str">
        <f t="shared" si="370"/>
        <v>TOFINO CREEK_Pink</v>
      </c>
      <c r="BZ941" s="50" t="str">
        <f>IFERROR(VLOOKUP(BY941,'[1]WCVI Esc'!$C$5:$W$555,18,FALSE),"-")</f>
        <v>-</v>
      </c>
      <c r="CA941" s="50" t="str">
        <f t="shared" si="382"/>
        <v>-</v>
      </c>
      <c r="CB941" s="50" t="str">
        <f>IFERROR(VLOOKUP(BY941,'[1]WCVI Esc'!$C$5:$W$555,19,FALSE),"-")</f>
        <v>-</v>
      </c>
      <c r="CC941" s="50" t="str">
        <f t="shared" si="383"/>
        <v>-</v>
      </c>
      <c r="CE941" s="342" t="str">
        <f t="shared" si="369"/>
        <v>TOFINO CREEK_Pink</v>
      </c>
      <c r="CF941" s="341">
        <f>IFERROR(VLOOKUP(BY941,'RawPL+D'!$O$8:$AB$503,12,FALSE),"-")</f>
        <v>0</v>
      </c>
      <c r="CG941" s="338">
        <f t="shared" si="384"/>
        <v>0</v>
      </c>
      <c r="CH941" s="341">
        <f>IFERROR(VLOOKUP(BY941,'RawPL+D'!$O$8:$AB$503,13,FALSE),"-")</f>
        <v>0</v>
      </c>
      <c r="CI941" s="338">
        <f t="shared" si="385"/>
        <v>0</v>
      </c>
    </row>
    <row r="942" spans="1:87" ht="12.75" hidden="1" customHeight="1" x14ac:dyDescent="0.2">
      <c r="A942" s="28">
        <v>4</v>
      </c>
      <c r="B942" s="28">
        <v>4</v>
      </c>
      <c r="C942" s="11">
        <v>24</v>
      </c>
      <c r="D942" s="13" t="s">
        <v>296</v>
      </c>
      <c r="E942" s="10" t="s">
        <v>131</v>
      </c>
      <c r="F942" s="10" t="s">
        <v>209</v>
      </c>
      <c r="G942" s="10"/>
      <c r="H942" s="10"/>
      <c r="I942" s="10"/>
      <c r="J942" s="10"/>
      <c r="K942" s="575"/>
      <c r="L942" s="152"/>
      <c r="M942" s="164"/>
      <c r="N942" s="62"/>
      <c r="O942" s="62"/>
      <c r="P942" s="177"/>
      <c r="Q942" s="171"/>
      <c r="R942" s="94"/>
      <c r="S942" s="62"/>
      <c r="T942" s="62"/>
      <c r="U942" s="162"/>
      <c r="V942" s="164"/>
      <c r="W942" s="62"/>
      <c r="X942" s="62"/>
      <c r="Y942" s="62"/>
      <c r="Z942" s="64"/>
      <c r="AA942" s="164"/>
      <c r="AB942" s="62"/>
      <c r="AC942" s="62"/>
      <c r="AD942" s="64"/>
      <c r="AE942" s="164"/>
      <c r="AF942" s="62"/>
      <c r="AG942" s="64"/>
      <c r="AH942" s="337"/>
      <c r="AI942" s="337"/>
      <c r="AJ942" s="337"/>
      <c r="AK942" s="337"/>
      <c r="AL942" s="412"/>
      <c r="AM942" s="414"/>
      <c r="AN942" s="45"/>
      <c r="AO942" s="45"/>
      <c r="AP942" s="45"/>
      <c r="AQ942" s="485">
        <f>AL942/BI942</f>
        <v>0</v>
      </c>
      <c r="AR942" s="100">
        <f>BL942/BI942</f>
        <v>0</v>
      </c>
      <c r="AS942" s="485"/>
      <c r="AT942" s="24"/>
      <c r="AU942" s="24"/>
      <c r="AV942" s="24"/>
      <c r="AW942" s="18">
        <v>24</v>
      </c>
      <c r="AX942" s="69" t="s">
        <v>296</v>
      </c>
      <c r="AY942" s="243" t="s">
        <v>131</v>
      </c>
      <c r="AZ942" s="243" t="str">
        <f t="shared" si="371"/>
        <v>Chum</v>
      </c>
      <c r="BA942" s="243" t="s">
        <v>419</v>
      </c>
      <c r="BB942" s="244" t="s">
        <v>497</v>
      </c>
      <c r="BC942" s="43" t="str">
        <f t="shared" si="372"/>
        <v>-</v>
      </c>
      <c r="BD942" s="43">
        <f t="shared" si="392"/>
        <v>0</v>
      </c>
      <c r="BE942" s="193">
        <f t="shared" si="389"/>
        <v>0</v>
      </c>
      <c r="BF942" s="193">
        <f t="shared" si="373"/>
        <v>0</v>
      </c>
      <c r="BG942" s="193">
        <f t="shared" si="374"/>
        <v>0</v>
      </c>
      <c r="BH942" s="307">
        <f t="shared" si="391"/>
        <v>20</v>
      </c>
      <c r="BI942" s="265">
        <f>CC942</f>
        <v>330</v>
      </c>
      <c r="BJ942" s="26" t="str">
        <f t="shared" si="375"/>
        <v>TOFINO CREEKChum</v>
      </c>
      <c r="BK942" s="26">
        <f t="shared" si="376"/>
        <v>0</v>
      </c>
      <c r="BL942" s="33">
        <f t="shared" si="393"/>
        <v>0</v>
      </c>
      <c r="BQ942" s="47" t="str">
        <f t="shared" si="377"/>
        <v>TOFINO CREEKChum</v>
      </c>
      <c r="BR942" s="49">
        <f t="shared" si="378"/>
        <v>0</v>
      </c>
      <c r="BS942" s="49">
        <f t="shared" si="388"/>
        <v>0</v>
      </c>
      <c r="BT942" s="31">
        <v>2013</v>
      </c>
      <c r="BU942" s="188" t="str">
        <f t="shared" si="379"/>
        <v>TSES</v>
      </c>
      <c r="BV942" s="188" t="str">
        <f t="shared" si="380"/>
        <v xml:space="preserve"> </v>
      </c>
      <c r="BW942" s="188" t="str">
        <f t="shared" si="390"/>
        <v xml:space="preserve"> </v>
      </c>
      <c r="BX942" s="188" t="str">
        <f t="shared" si="381"/>
        <v xml:space="preserve"> </v>
      </c>
      <c r="BY942" s="50" t="str">
        <f t="shared" si="370"/>
        <v>TOFINO CREEK_Chum</v>
      </c>
      <c r="BZ942" s="50">
        <f>IFERROR(VLOOKUP(BY942,'[1]WCVI Esc'!$C$5:$W$555,18,FALSE),"-")</f>
        <v>17</v>
      </c>
      <c r="CA942" s="50">
        <f t="shared" si="382"/>
        <v>20</v>
      </c>
      <c r="CB942" s="50">
        <f>IFERROR(VLOOKUP(BY942,'[1]WCVI Esc'!$C$5:$W$555,19,FALSE),"-")</f>
        <v>334</v>
      </c>
      <c r="CC942" s="50">
        <f t="shared" si="383"/>
        <v>330</v>
      </c>
      <c r="CE942" s="342" t="str">
        <f t="shared" si="369"/>
        <v>TOFINO CREEK_Chum</v>
      </c>
      <c r="CF942" s="341">
        <f>IFERROR(VLOOKUP(BY942,'RawPL+D'!$O$8:$AB$503,12,FALSE),"-")</f>
        <v>0</v>
      </c>
      <c r="CG942" s="338">
        <f t="shared" si="384"/>
        <v>0</v>
      </c>
      <c r="CH942" s="341">
        <f>IFERROR(VLOOKUP(BY942,'RawPL+D'!$O$8:$AB$503,13,FALSE),"-")</f>
        <v>15</v>
      </c>
      <c r="CI942" s="338">
        <f t="shared" si="385"/>
        <v>20</v>
      </c>
    </row>
    <row r="943" spans="1:87" ht="12.75" hidden="1" customHeight="1" x14ac:dyDescent="0.2">
      <c r="A943" s="28">
        <v>4</v>
      </c>
      <c r="B943" s="28">
        <v>5</v>
      </c>
      <c r="C943" s="11">
        <v>24</v>
      </c>
      <c r="D943" s="13" t="s">
        <v>296</v>
      </c>
      <c r="E943" s="10" t="s">
        <v>131</v>
      </c>
      <c r="F943" s="10" t="s">
        <v>210</v>
      </c>
      <c r="G943" s="10"/>
      <c r="H943" s="10"/>
      <c r="I943" s="10"/>
      <c r="J943" s="10"/>
      <c r="K943" s="575"/>
      <c r="L943" s="152"/>
      <c r="M943" s="164"/>
      <c r="N943" s="62"/>
      <c r="O943" s="62"/>
      <c r="P943" s="177"/>
      <c r="Q943" s="171"/>
      <c r="R943" s="94"/>
      <c r="S943" s="62"/>
      <c r="T943" s="62"/>
      <c r="U943" s="162"/>
      <c r="V943" s="164"/>
      <c r="W943" s="62"/>
      <c r="X943" s="62"/>
      <c r="Y943" s="62"/>
      <c r="Z943" s="64"/>
      <c r="AA943" s="164"/>
      <c r="AB943" s="62"/>
      <c r="AC943" s="62"/>
      <c r="AD943" s="64"/>
      <c r="AE943" s="164"/>
      <c r="AF943" s="62"/>
      <c r="AG943" s="64"/>
      <c r="AH943" s="337"/>
      <c r="AI943" s="337"/>
      <c r="AJ943" s="337"/>
      <c r="AK943" s="337"/>
      <c r="AL943" s="412"/>
      <c r="AM943" s="414"/>
      <c r="AN943" s="45"/>
      <c r="AO943" s="45"/>
      <c r="AP943" s="45"/>
      <c r="AQ943" s="485"/>
      <c r="AR943"/>
      <c r="AS943" s="485"/>
      <c r="AT943" s="24"/>
      <c r="AU943" s="24"/>
      <c r="AV943" s="24"/>
      <c r="AW943" s="18">
        <v>24</v>
      </c>
      <c r="AX943" s="69" t="s">
        <v>296</v>
      </c>
      <c r="AY943" s="243" t="s">
        <v>131</v>
      </c>
      <c r="AZ943" s="243" t="str">
        <f t="shared" si="371"/>
        <v>Chinook</v>
      </c>
      <c r="BA943" s="243" t="s">
        <v>419</v>
      </c>
      <c r="BB943" s="244" t="s">
        <v>497</v>
      </c>
      <c r="BC943" s="43" t="str">
        <f t="shared" si="372"/>
        <v>-</v>
      </c>
      <c r="BD943" s="43">
        <f t="shared" si="392"/>
        <v>0</v>
      </c>
      <c r="BE943" s="193">
        <f t="shared" si="389"/>
        <v>0</v>
      </c>
      <c r="BF943" s="193">
        <f t="shared" si="373"/>
        <v>0</v>
      </c>
      <c r="BG943" s="193">
        <f t="shared" si="374"/>
        <v>0</v>
      </c>
      <c r="BH943" s="307">
        <f t="shared" si="391"/>
        <v>0</v>
      </c>
      <c r="BI943" s="265">
        <f>CC943</f>
        <v>0</v>
      </c>
      <c r="BJ943" s="26" t="str">
        <f t="shared" si="375"/>
        <v>TOFINO CREEKChinook</v>
      </c>
      <c r="BK943" s="26">
        <f t="shared" si="376"/>
        <v>0</v>
      </c>
      <c r="BL943" s="33">
        <f t="shared" si="393"/>
        <v>0</v>
      </c>
      <c r="BQ943" s="47" t="str">
        <f t="shared" si="377"/>
        <v>TOFINO CREEKChinook</v>
      </c>
      <c r="BR943" s="49">
        <f t="shared" si="378"/>
        <v>0</v>
      </c>
      <c r="BS943" s="49">
        <f t="shared" si="388"/>
        <v>0</v>
      </c>
      <c r="BT943" s="31">
        <v>2013</v>
      </c>
      <c r="BU943" s="188" t="str">
        <f t="shared" si="379"/>
        <v>TSES</v>
      </c>
      <c r="BV943" s="188" t="str">
        <f t="shared" si="380"/>
        <v xml:space="preserve"> </v>
      </c>
      <c r="BW943" s="188" t="str">
        <f t="shared" si="390"/>
        <v xml:space="preserve"> </v>
      </c>
      <c r="BX943" s="188" t="str">
        <f t="shared" si="381"/>
        <v xml:space="preserve"> </v>
      </c>
      <c r="BY943" s="50" t="str">
        <f t="shared" si="370"/>
        <v>TOFINO CREEK_Chinook</v>
      </c>
      <c r="BZ943" s="50">
        <f>IFERROR(VLOOKUP(BY943,'[1]WCVI Esc'!$C$5:$W$555,18,FALSE),"-")</f>
        <v>2</v>
      </c>
      <c r="CA943" s="50">
        <f t="shared" si="382"/>
        <v>0</v>
      </c>
      <c r="CB943" s="50">
        <f>IFERROR(VLOOKUP(BY943,'[1]WCVI Esc'!$C$5:$W$555,19,FALSE),"-")</f>
        <v>1.6666666666666667</v>
      </c>
      <c r="CC943" s="50">
        <f t="shared" si="383"/>
        <v>0</v>
      </c>
      <c r="CE943" s="342" t="str">
        <f t="shared" si="369"/>
        <v>TOFINO CREEK_Chinook</v>
      </c>
      <c r="CF943" s="341">
        <f>IFERROR(VLOOKUP(BY943,'RawPL+D'!$O$8:$AB$503,12,FALSE),"-")</f>
        <v>0</v>
      </c>
      <c r="CG943" s="338">
        <f t="shared" si="384"/>
        <v>0</v>
      </c>
      <c r="CH943" s="341">
        <f>IFERROR(VLOOKUP(BY943,'RawPL+D'!$O$8:$AB$503,13,FALSE),"-")</f>
        <v>2</v>
      </c>
      <c r="CI943" s="338">
        <f t="shared" si="385"/>
        <v>0</v>
      </c>
    </row>
    <row r="944" spans="1:87" ht="12.75" hidden="1" customHeight="1" x14ac:dyDescent="0.2">
      <c r="A944" s="28">
        <v>4</v>
      </c>
      <c r="B944" s="28">
        <v>6</v>
      </c>
      <c r="C944" s="11">
        <v>24</v>
      </c>
      <c r="D944" s="13" t="s">
        <v>296</v>
      </c>
      <c r="E944" s="10" t="s">
        <v>131</v>
      </c>
      <c r="F944" s="10" t="s">
        <v>211</v>
      </c>
      <c r="G944" s="10"/>
      <c r="H944" s="10"/>
      <c r="I944" s="10"/>
      <c r="J944" s="10"/>
      <c r="K944" s="575"/>
      <c r="L944" s="152"/>
      <c r="M944" s="164"/>
      <c r="N944" s="62"/>
      <c r="O944" s="62"/>
      <c r="P944" s="177"/>
      <c r="Q944" s="171"/>
      <c r="R944" s="94"/>
      <c r="S944" s="62"/>
      <c r="T944" s="62"/>
      <c r="U944" s="162"/>
      <c r="V944" s="164"/>
      <c r="W944" s="62"/>
      <c r="X944" s="62"/>
      <c r="Y944" s="62"/>
      <c r="Z944" s="64"/>
      <c r="AA944" s="164"/>
      <c r="AB944" s="62"/>
      <c r="AC944" s="62"/>
      <c r="AD944" s="64"/>
      <c r="AE944" s="164"/>
      <c r="AF944" s="62"/>
      <c r="AG944" s="64"/>
      <c r="AH944" s="337"/>
      <c r="AI944" s="337"/>
      <c r="AJ944" s="337"/>
      <c r="AK944" s="337"/>
      <c r="AL944" s="412"/>
      <c r="AM944" s="414"/>
      <c r="AN944" s="45"/>
      <c r="AO944" s="45"/>
      <c r="AP944" s="45"/>
      <c r="AQ944" s="485"/>
      <c r="AR944" s="100"/>
      <c r="AS944" s="485"/>
      <c r="AT944" s="24"/>
      <c r="AU944" s="24"/>
      <c r="AV944" s="24"/>
      <c r="AW944" s="18">
        <v>24</v>
      </c>
      <c r="AX944" s="69" t="s">
        <v>296</v>
      </c>
      <c r="AY944" s="243" t="s">
        <v>131</v>
      </c>
      <c r="AZ944" s="243" t="str">
        <f t="shared" si="371"/>
        <v>Steelhead</v>
      </c>
      <c r="BA944" s="243" t="s">
        <v>419</v>
      </c>
      <c r="BB944" s="244" t="s">
        <v>497</v>
      </c>
      <c r="BC944" s="43" t="str">
        <f t="shared" si="372"/>
        <v>-</v>
      </c>
      <c r="BD944" s="43">
        <f t="shared" si="392"/>
        <v>0</v>
      </c>
      <c r="BE944" s="193">
        <f t="shared" si="389"/>
        <v>0</v>
      </c>
      <c r="BF944" s="193">
        <f t="shared" si="373"/>
        <v>0</v>
      </c>
      <c r="BG944" s="193">
        <f t="shared" si="374"/>
        <v>0</v>
      </c>
      <c r="BH944" s="307" t="str">
        <f t="shared" si="391"/>
        <v>-</v>
      </c>
      <c r="BI944" s="266"/>
      <c r="BJ944" s="26" t="str">
        <f t="shared" si="375"/>
        <v>TOFINO CREEKSteelhead</v>
      </c>
      <c r="BK944" s="26">
        <f t="shared" si="376"/>
        <v>0</v>
      </c>
      <c r="BL944" s="33">
        <f t="shared" si="393"/>
        <v>0</v>
      </c>
      <c r="BQ944" s="47" t="str">
        <f t="shared" si="377"/>
        <v>TOFINO CREEKSteelhead</v>
      </c>
      <c r="BR944" s="49">
        <f t="shared" si="378"/>
        <v>0</v>
      </c>
      <c r="BS944" s="49">
        <f t="shared" si="388"/>
        <v>0</v>
      </c>
      <c r="BT944" s="31">
        <v>0</v>
      </c>
      <c r="BU944" s="188" t="str">
        <f t="shared" si="379"/>
        <v>TSES</v>
      </c>
      <c r="BV944" s="188" t="str">
        <f t="shared" si="380"/>
        <v xml:space="preserve"> </v>
      </c>
      <c r="BW944" s="188" t="str">
        <f t="shared" si="390"/>
        <v xml:space="preserve"> </v>
      </c>
      <c r="BX944" s="188" t="str">
        <f t="shared" si="381"/>
        <v xml:space="preserve"> </v>
      </c>
      <c r="BY944" s="50" t="str">
        <f t="shared" si="370"/>
        <v>TOFINO CREEK_Steelhead</v>
      </c>
      <c r="BZ944" s="50" t="str">
        <f>IFERROR(VLOOKUP(BY944,'[1]WCVI Esc'!$C$5:$W$555,18,FALSE),"-")</f>
        <v>-</v>
      </c>
      <c r="CA944" s="50" t="str">
        <f t="shared" si="382"/>
        <v>-</v>
      </c>
      <c r="CB944" s="50" t="str">
        <f>IFERROR(VLOOKUP(BY944,'[1]WCVI Esc'!$C$5:$W$555,19,FALSE),"-")</f>
        <v>-</v>
      </c>
      <c r="CC944" s="50" t="str">
        <f t="shared" si="383"/>
        <v>-</v>
      </c>
      <c r="CE944" s="342" t="str">
        <f t="shared" si="369"/>
        <v>TOFINO CREEK_Steelhead</v>
      </c>
      <c r="CF944" s="341" t="str">
        <f>IFERROR(VLOOKUP(BY944,'RawPL+D'!$O$8:$AB$503,12,FALSE),"-")</f>
        <v>-</v>
      </c>
      <c r="CG944" s="338" t="str">
        <f t="shared" si="384"/>
        <v>-</v>
      </c>
      <c r="CH944" s="341" t="str">
        <f>IFERROR(VLOOKUP(BY944,'RawPL+D'!$O$8:$AB$503,13,FALSE),"-")</f>
        <v>-</v>
      </c>
      <c r="CI944" s="338" t="str">
        <f t="shared" si="385"/>
        <v>-</v>
      </c>
    </row>
    <row r="945" spans="1:87" ht="12.75" hidden="1" customHeight="1" x14ac:dyDescent="0.2">
      <c r="A945" s="28">
        <v>4</v>
      </c>
      <c r="B945" s="28">
        <v>1</v>
      </c>
      <c r="C945" s="11">
        <v>24</v>
      </c>
      <c r="D945" s="13" t="s">
        <v>305</v>
      </c>
      <c r="E945" s="10" t="s">
        <v>194</v>
      </c>
      <c r="F945" s="10" t="s">
        <v>207</v>
      </c>
      <c r="G945" s="10"/>
      <c r="H945" s="10"/>
      <c r="I945" s="10"/>
      <c r="J945" s="10"/>
      <c r="K945" s="575"/>
      <c r="L945" s="152"/>
      <c r="M945" s="422"/>
      <c r="N945" s="339"/>
      <c r="O945" s="62"/>
      <c r="P945" s="424"/>
      <c r="Q945" s="171"/>
      <c r="R945" s="339"/>
      <c r="S945" s="62"/>
      <c r="T945" s="62"/>
      <c r="U945" s="162"/>
      <c r="V945" s="164"/>
      <c r="W945" s="62"/>
      <c r="X945" s="62"/>
      <c r="Y945" s="62"/>
      <c r="Z945" s="64"/>
      <c r="AA945" s="164"/>
      <c r="AB945" s="62"/>
      <c r="AC945" s="62"/>
      <c r="AD945" s="64"/>
      <c r="AE945" s="164"/>
      <c r="AF945" s="62"/>
      <c r="AG945" s="64"/>
      <c r="AH945" s="337"/>
      <c r="AI945" s="337"/>
      <c r="AJ945" s="337"/>
      <c r="AK945" s="337"/>
      <c r="AL945" s="412"/>
      <c r="AM945" s="414"/>
      <c r="AN945" s="45"/>
      <c r="AO945" s="45"/>
      <c r="AP945" s="45"/>
      <c r="AQ945" s="485"/>
      <c r="AR945"/>
      <c r="AS945" s="485"/>
      <c r="AT945" s="24"/>
      <c r="AU945" s="24"/>
      <c r="AV945" s="24"/>
      <c r="AW945" s="18">
        <v>24</v>
      </c>
      <c r="AX945" s="69" t="s">
        <v>305</v>
      </c>
      <c r="AY945" s="243" t="s">
        <v>194</v>
      </c>
      <c r="AZ945" s="243" t="str">
        <f t="shared" si="371"/>
        <v>Sockeye</v>
      </c>
      <c r="BA945" s="243" t="s">
        <v>419</v>
      </c>
      <c r="BB945" s="244" t="s">
        <v>626</v>
      </c>
      <c r="BC945" s="43" t="str">
        <f t="shared" si="372"/>
        <v>-</v>
      </c>
      <c r="BD945" s="43">
        <f t="shared" si="392"/>
        <v>0</v>
      </c>
      <c r="BE945" s="193">
        <f t="shared" si="389"/>
        <v>0</v>
      </c>
      <c r="BF945" s="193">
        <f t="shared" si="373"/>
        <v>0</v>
      </c>
      <c r="BG945" s="193">
        <f t="shared" si="374"/>
        <v>0</v>
      </c>
      <c r="BH945" s="307" t="str">
        <f t="shared" si="391"/>
        <v>-</v>
      </c>
      <c r="BI945" s="266"/>
      <c r="BJ945" s="26" t="str">
        <f t="shared" si="375"/>
        <v>LOST SHOE CREEKSockeye</v>
      </c>
      <c r="BK945" s="26">
        <f t="shared" si="376"/>
        <v>0</v>
      </c>
      <c r="BL945" s="33">
        <f t="shared" si="393"/>
        <v>0</v>
      </c>
      <c r="BQ945" s="47" t="str">
        <f t="shared" si="377"/>
        <v>LOST SHOE CREEKSockeye</v>
      </c>
      <c r="BR945" s="49">
        <f t="shared" si="378"/>
        <v>0</v>
      </c>
      <c r="BS945" s="49">
        <f t="shared" si="388"/>
        <v>0</v>
      </c>
      <c r="BT945" s="31">
        <v>0</v>
      </c>
      <c r="BU945" s="188" t="str">
        <f t="shared" si="379"/>
        <v>Redd</v>
      </c>
      <c r="BV945" s="188" t="str">
        <f t="shared" si="380"/>
        <v xml:space="preserve"> </v>
      </c>
      <c r="BW945" s="188" t="str">
        <f t="shared" si="390"/>
        <v xml:space="preserve"> </v>
      </c>
      <c r="BX945" s="188" t="str">
        <f t="shared" si="381"/>
        <v xml:space="preserve"> </v>
      </c>
      <c r="BY945" s="50" t="str">
        <f t="shared" si="370"/>
        <v>LOST SHOE CREEK_Sockeye</v>
      </c>
      <c r="BZ945" s="50" t="str">
        <f>IFERROR(VLOOKUP(BY945,'[1]WCVI Esc'!$C$5:$W$555,18,FALSE),"-")</f>
        <v>-</v>
      </c>
      <c r="CA945" s="50" t="str">
        <f t="shared" si="382"/>
        <v>-</v>
      </c>
      <c r="CB945" s="50" t="str">
        <f>IFERROR(VLOOKUP(BY945,'[1]WCVI Esc'!$C$5:$W$555,19,FALSE),"-")</f>
        <v>-</v>
      </c>
      <c r="CC945" s="50" t="str">
        <f t="shared" si="383"/>
        <v>-</v>
      </c>
      <c r="CE945" s="342" t="str">
        <f t="shared" si="369"/>
        <v>LOST SHOE CREEK_Sockeye</v>
      </c>
      <c r="CF945" s="341">
        <f>IFERROR(VLOOKUP(BY945,'RawPL+D'!$O$8:$AB$503,12,FALSE),"-")</f>
        <v>0</v>
      </c>
      <c r="CG945" s="338">
        <f t="shared" si="384"/>
        <v>0</v>
      </c>
      <c r="CH945" s="341" t="str">
        <f>IFERROR(VLOOKUP(BY945,'RawPL+D'!$O$8:$AB$503,13,FALSE),"-")</f>
        <v>-</v>
      </c>
      <c r="CI945" s="338" t="str">
        <f t="shared" si="385"/>
        <v>-</v>
      </c>
    </row>
    <row r="946" spans="1:87" ht="12.75" hidden="1" customHeight="1" x14ac:dyDescent="0.2">
      <c r="A946" s="28">
        <v>4</v>
      </c>
      <c r="B946" s="28">
        <v>2</v>
      </c>
      <c r="C946" s="11">
        <v>24</v>
      </c>
      <c r="D946" s="13" t="s">
        <v>305</v>
      </c>
      <c r="E946" s="10" t="s">
        <v>194</v>
      </c>
      <c r="F946" s="10" t="s">
        <v>219</v>
      </c>
      <c r="G946" s="10"/>
      <c r="H946" s="10"/>
      <c r="I946" s="10"/>
      <c r="J946" s="10"/>
      <c r="K946" s="575"/>
      <c r="L946" s="152"/>
      <c r="M946" s="422"/>
      <c r="N946" s="339"/>
      <c r="O946" s="62"/>
      <c r="P946" s="424"/>
      <c r="Q946" s="171"/>
      <c r="R946" s="339"/>
      <c r="S946" s="62"/>
      <c r="T946" s="390"/>
      <c r="U946" s="162"/>
      <c r="V946" s="164"/>
      <c r="W946" s="62"/>
      <c r="X946" s="63"/>
      <c r="Y946" s="62"/>
      <c r="Z946" s="64"/>
      <c r="AA946" s="164"/>
      <c r="AB946" s="62"/>
      <c r="AC946" s="62"/>
      <c r="AD946" s="64"/>
      <c r="AE946" s="164"/>
      <c r="AF946" s="62"/>
      <c r="AG946" s="64"/>
      <c r="AH946" s="337"/>
      <c r="AI946" s="337"/>
      <c r="AJ946" s="337"/>
      <c r="AK946" s="337"/>
      <c r="AL946" s="412"/>
      <c r="AM946" s="414"/>
      <c r="AN946" s="45"/>
      <c r="AO946" s="45"/>
      <c r="AP946" s="45"/>
      <c r="AQ946" s="485"/>
      <c r="AR946"/>
      <c r="AS946" s="485"/>
      <c r="AT946" s="24"/>
      <c r="AU946" s="24"/>
      <c r="AV946" s="24"/>
      <c r="AW946" s="18">
        <v>24</v>
      </c>
      <c r="AX946" s="69" t="s">
        <v>305</v>
      </c>
      <c r="AY946" s="243" t="s">
        <v>194</v>
      </c>
      <c r="AZ946" s="243" t="str">
        <f t="shared" si="371"/>
        <v>Coho</v>
      </c>
      <c r="BA946" s="243" t="s">
        <v>419</v>
      </c>
      <c r="BB946" s="244" t="s">
        <v>626</v>
      </c>
      <c r="BC946" s="43" t="str">
        <f t="shared" si="372"/>
        <v>-</v>
      </c>
      <c r="BD946" s="43">
        <f t="shared" si="392"/>
        <v>0</v>
      </c>
      <c r="BE946" s="193">
        <f t="shared" si="389"/>
        <v>0</v>
      </c>
      <c r="BF946" s="193">
        <f t="shared" si="373"/>
        <v>0</v>
      </c>
      <c r="BG946" s="193">
        <f t="shared" si="374"/>
        <v>0</v>
      </c>
      <c r="BH946" s="307">
        <f t="shared" si="391"/>
        <v>0</v>
      </c>
      <c r="BI946" s="308" t="s">
        <v>242</v>
      </c>
      <c r="BJ946" s="26" t="str">
        <f t="shared" si="375"/>
        <v>LOST SHOE CREEKCoho</v>
      </c>
      <c r="BK946" s="26">
        <f t="shared" si="376"/>
        <v>0</v>
      </c>
      <c r="BL946" s="33">
        <f t="shared" si="393"/>
        <v>0</v>
      </c>
      <c r="BQ946" s="47" t="str">
        <f t="shared" si="377"/>
        <v>LOST SHOE CREEKCoho</v>
      </c>
      <c r="BR946" s="49">
        <f t="shared" si="378"/>
        <v>0</v>
      </c>
      <c r="BS946" s="49">
        <f t="shared" si="388"/>
        <v>0</v>
      </c>
      <c r="BT946" s="31">
        <v>2016</v>
      </c>
      <c r="BU946" s="188" t="str">
        <f t="shared" si="379"/>
        <v>Redd</v>
      </c>
      <c r="BV946" s="188" t="str">
        <f t="shared" si="380"/>
        <v xml:space="preserve"> </v>
      </c>
      <c r="BW946" s="188" t="str">
        <f t="shared" si="390"/>
        <v xml:space="preserve"> </v>
      </c>
      <c r="BX946" s="188" t="str">
        <f t="shared" si="381"/>
        <v xml:space="preserve"> </v>
      </c>
      <c r="BY946" s="50" t="str">
        <f t="shared" si="370"/>
        <v>LOST SHOE CREEK_Coho</v>
      </c>
      <c r="BZ946" s="50" t="str">
        <f>IFERROR(VLOOKUP(BY946,'[1]WCVI Esc'!$C$5:$W$555,18,FALSE),"-")</f>
        <v>-</v>
      </c>
      <c r="CA946" s="50" t="str">
        <f t="shared" si="382"/>
        <v>-</v>
      </c>
      <c r="CB946" s="50">
        <f>IFERROR(VLOOKUP(BY946,'[1]WCVI Esc'!$C$5:$W$555,19,FALSE),"-")</f>
        <v>21</v>
      </c>
      <c r="CC946" s="50">
        <f t="shared" si="383"/>
        <v>20</v>
      </c>
      <c r="CE946" s="342" t="str">
        <f t="shared" si="369"/>
        <v>LOST SHOE CREEK_Coho</v>
      </c>
      <c r="CF946" s="341">
        <f>IFERROR(VLOOKUP(BY946,'RawPL+D'!$O$8:$AB$503,12,FALSE),"-")</f>
        <v>0</v>
      </c>
      <c r="CG946" s="338">
        <f t="shared" si="384"/>
        <v>0</v>
      </c>
      <c r="CH946" s="341">
        <f>IFERROR(VLOOKUP(BY946,'RawPL+D'!$O$8:$AB$503,13,FALSE),"-")</f>
        <v>0</v>
      </c>
      <c r="CI946" s="338">
        <f t="shared" si="385"/>
        <v>0</v>
      </c>
    </row>
    <row r="947" spans="1:87" ht="12.75" hidden="1" customHeight="1" x14ac:dyDescent="0.2">
      <c r="A947" s="28">
        <v>4</v>
      </c>
      <c r="B947" s="28">
        <v>3</v>
      </c>
      <c r="C947" s="11">
        <v>24</v>
      </c>
      <c r="D947" s="13" t="s">
        <v>305</v>
      </c>
      <c r="E947" s="10" t="s">
        <v>194</v>
      </c>
      <c r="F947" s="10" t="s">
        <v>208</v>
      </c>
      <c r="G947" s="10"/>
      <c r="H947" s="10"/>
      <c r="I947" s="10"/>
      <c r="J947" s="10"/>
      <c r="K947" s="575"/>
      <c r="L947" s="152"/>
      <c r="M947" s="422"/>
      <c r="N947" s="339"/>
      <c r="O947" s="62"/>
      <c r="P947" s="424"/>
      <c r="Q947" s="171"/>
      <c r="R947" s="339"/>
      <c r="S947" s="62"/>
      <c r="T947" s="62"/>
      <c r="U947" s="162"/>
      <c r="V947" s="164"/>
      <c r="W947" s="62"/>
      <c r="X947" s="62"/>
      <c r="Y947" s="62"/>
      <c r="Z947" s="64"/>
      <c r="AA947" s="164"/>
      <c r="AB947" s="62"/>
      <c r="AC947" s="62"/>
      <c r="AD947" s="64"/>
      <c r="AE947" s="164"/>
      <c r="AF947" s="62"/>
      <c r="AG947" s="64"/>
      <c r="AH947" s="337"/>
      <c r="AI947" s="337"/>
      <c r="AJ947" s="337"/>
      <c r="AK947" s="337"/>
      <c r="AL947" s="412"/>
      <c r="AM947" s="414"/>
      <c r="AN947" s="45"/>
      <c r="AO947" s="45"/>
      <c r="AP947" s="45"/>
      <c r="AQ947" s="485"/>
      <c r="AR947"/>
      <c r="AS947" s="485"/>
      <c r="AT947" s="24"/>
      <c r="AU947" s="24"/>
      <c r="AV947" s="24"/>
      <c r="AW947" s="18">
        <v>24</v>
      </c>
      <c r="AX947" s="69" t="s">
        <v>305</v>
      </c>
      <c r="AY947" s="243" t="s">
        <v>194</v>
      </c>
      <c r="AZ947" s="243" t="str">
        <f t="shared" si="371"/>
        <v>Pink</v>
      </c>
      <c r="BA947" s="243" t="s">
        <v>419</v>
      </c>
      <c r="BB947" s="244" t="s">
        <v>626</v>
      </c>
      <c r="BC947" s="43" t="str">
        <f t="shared" si="372"/>
        <v>-</v>
      </c>
      <c r="BD947" s="43">
        <f t="shared" si="392"/>
        <v>0</v>
      </c>
      <c r="BE947" s="193">
        <f t="shared" si="389"/>
        <v>0</v>
      </c>
      <c r="BF947" s="193">
        <f t="shared" si="373"/>
        <v>0</v>
      </c>
      <c r="BG947" s="193">
        <f t="shared" si="374"/>
        <v>0</v>
      </c>
      <c r="BH947" s="307">
        <f t="shared" si="391"/>
        <v>0</v>
      </c>
      <c r="BI947" s="266"/>
      <c r="BJ947" s="26" t="str">
        <f t="shared" si="375"/>
        <v>LOST SHOE CREEKPink</v>
      </c>
      <c r="BK947" s="26">
        <f t="shared" si="376"/>
        <v>0</v>
      </c>
      <c r="BL947" s="33">
        <f t="shared" si="393"/>
        <v>0</v>
      </c>
      <c r="BQ947" s="47" t="str">
        <f t="shared" si="377"/>
        <v>LOST SHOE CREEKPink</v>
      </c>
      <c r="BR947" s="49">
        <f t="shared" si="378"/>
        <v>0</v>
      </c>
      <c r="BS947" s="49">
        <f t="shared" si="388"/>
        <v>0</v>
      </c>
      <c r="BT947" s="31">
        <v>0</v>
      </c>
      <c r="BU947" s="188" t="str">
        <f t="shared" si="379"/>
        <v>Redd</v>
      </c>
      <c r="BV947" s="188" t="str">
        <f t="shared" si="380"/>
        <v xml:space="preserve"> </v>
      </c>
      <c r="BW947" s="188" t="str">
        <f t="shared" ref="BW947:BW978" si="394">IF(ISNUMBER(W947),W$8,IF(ISNUMBER(V947),V$8,IF(ISNUMBER(U947),U$8,IF(ISNUMBER(T947),T$8,IF(ISNUMBER(S947),S$8,IF(ISNUMBER(R947),R$8," "))))))</f>
        <v xml:space="preserve"> </v>
      </c>
      <c r="BX947" s="188" t="str">
        <f t="shared" si="381"/>
        <v xml:space="preserve"> </v>
      </c>
      <c r="BY947" s="50" t="str">
        <f t="shared" si="370"/>
        <v>LOST SHOE CREEK_Pink</v>
      </c>
      <c r="BZ947" s="50" t="str">
        <f>IFERROR(VLOOKUP(BY947,'[1]WCVI Esc'!$C$5:$W$555,18,FALSE),"-")</f>
        <v>-</v>
      </c>
      <c r="CA947" s="50" t="str">
        <f t="shared" si="382"/>
        <v>-</v>
      </c>
      <c r="CB947" s="50" t="str">
        <f>IFERROR(VLOOKUP(BY947,'[1]WCVI Esc'!$C$5:$W$555,19,FALSE),"-")</f>
        <v>-</v>
      </c>
      <c r="CC947" s="50" t="str">
        <f t="shared" si="383"/>
        <v>-</v>
      </c>
      <c r="CE947" s="342" t="str">
        <f t="shared" si="369"/>
        <v>LOST SHOE CREEK_Pink</v>
      </c>
      <c r="CF947" s="341">
        <f>IFERROR(VLOOKUP(BY947,'RawPL+D'!$O$8:$AB$503,12,FALSE),"-")</f>
        <v>0</v>
      </c>
      <c r="CG947" s="338">
        <f t="shared" si="384"/>
        <v>0</v>
      </c>
      <c r="CH947" s="341">
        <f>IFERROR(VLOOKUP(BY947,'RawPL+D'!$O$8:$AB$503,13,FALSE),"-")</f>
        <v>0</v>
      </c>
      <c r="CI947" s="338">
        <f t="shared" si="385"/>
        <v>0</v>
      </c>
    </row>
    <row r="948" spans="1:87" ht="12.75" hidden="1" customHeight="1" x14ac:dyDescent="0.2">
      <c r="A948" s="28">
        <v>4</v>
      </c>
      <c r="B948" s="28">
        <v>4</v>
      </c>
      <c r="C948" s="11">
        <v>24</v>
      </c>
      <c r="D948" s="13" t="s">
        <v>305</v>
      </c>
      <c r="E948" s="10" t="s">
        <v>194</v>
      </c>
      <c r="F948" s="10" t="s">
        <v>209</v>
      </c>
      <c r="G948" s="10"/>
      <c r="H948" s="10"/>
      <c r="I948" s="10"/>
      <c r="J948" s="10"/>
      <c r="K948" s="575"/>
      <c r="L948" s="152"/>
      <c r="M948" s="422"/>
      <c r="N948" s="339"/>
      <c r="O948" s="62"/>
      <c r="P948" s="424"/>
      <c r="Q948" s="171"/>
      <c r="R948" s="339"/>
      <c r="S948" s="62"/>
      <c r="T948" s="62"/>
      <c r="U948" s="162"/>
      <c r="V948" s="164"/>
      <c r="W948" s="62"/>
      <c r="X948" s="63"/>
      <c r="Y948" s="62"/>
      <c r="Z948" s="64"/>
      <c r="AA948" s="164"/>
      <c r="AB948" s="62"/>
      <c r="AC948" s="62"/>
      <c r="AD948" s="64"/>
      <c r="AE948" s="164"/>
      <c r="AF948" s="62"/>
      <c r="AG948" s="64"/>
      <c r="AH948" s="337"/>
      <c r="AI948" s="337"/>
      <c r="AJ948" s="337"/>
      <c r="AK948" s="337"/>
      <c r="AL948" s="412"/>
      <c r="AM948" s="414"/>
      <c r="AN948" s="45"/>
      <c r="AO948" s="45"/>
      <c r="AP948" s="45"/>
      <c r="AQ948" s="485"/>
      <c r="AR948"/>
      <c r="AS948" s="485"/>
      <c r="AT948" s="24"/>
      <c r="AU948" s="24"/>
      <c r="AV948" s="24"/>
      <c r="AW948" s="18">
        <v>24</v>
      </c>
      <c r="AX948" s="69" t="s">
        <v>305</v>
      </c>
      <c r="AY948" s="243" t="s">
        <v>194</v>
      </c>
      <c r="AZ948" s="243" t="str">
        <f t="shared" si="371"/>
        <v>Chum</v>
      </c>
      <c r="BA948" s="243" t="s">
        <v>419</v>
      </c>
      <c r="BB948" s="244" t="s">
        <v>626</v>
      </c>
      <c r="BC948" s="43" t="str">
        <f t="shared" si="372"/>
        <v>-</v>
      </c>
      <c r="BD948" s="43">
        <f t="shared" si="392"/>
        <v>0</v>
      </c>
      <c r="BE948" s="193">
        <f t="shared" si="389"/>
        <v>0</v>
      </c>
      <c r="BF948" s="193">
        <f t="shared" si="373"/>
        <v>0</v>
      </c>
      <c r="BG948" s="193">
        <f t="shared" si="374"/>
        <v>0</v>
      </c>
      <c r="BH948" s="307">
        <f t="shared" si="391"/>
        <v>0</v>
      </c>
      <c r="BI948" s="266"/>
      <c r="BJ948" s="26" t="str">
        <f t="shared" si="375"/>
        <v>LOST SHOE CREEKChum</v>
      </c>
      <c r="BK948" s="26">
        <f t="shared" si="376"/>
        <v>0</v>
      </c>
      <c r="BL948" s="33">
        <f t="shared" si="393"/>
        <v>0</v>
      </c>
      <c r="BQ948" s="47" t="str">
        <f t="shared" si="377"/>
        <v>LOST SHOE CREEKChum</v>
      </c>
      <c r="BR948" s="49">
        <f t="shared" si="378"/>
        <v>0</v>
      </c>
      <c r="BS948" s="49">
        <f t="shared" si="388"/>
        <v>0</v>
      </c>
      <c r="BT948" s="31">
        <v>2016</v>
      </c>
      <c r="BU948" s="188" t="str">
        <f t="shared" si="379"/>
        <v>Redd</v>
      </c>
      <c r="BV948" s="188" t="str">
        <f t="shared" si="380"/>
        <v xml:space="preserve"> </v>
      </c>
      <c r="BW948" s="188" t="str">
        <f t="shared" si="394"/>
        <v xml:space="preserve"> </v>
      </c>
      <c r="BX948" s="188" t="str">
        <f t="shared" si="381"/>
        <v xml:space="preserve"> </v>
      </c>
      <c r="BY948" s="50" t="str">
        <f t="shared" si="370"/>
        <v>LOST SHOE CREEK_Chum</v>
      </c>
      <c r="BZ948" s="50" t="str">
        <f>IFERROR(VLOOKUP(BY948,'[1]WCVI Esc'!$C$5:$W$555,18,FALSE),"-")</f>
        <v>-</v>
      </c>
      <c r="CA948" s="50" t="str">
        <f t="shared" si="382"/>
        <v>-</v>
      </c>
      <c r="CB948" s="50">
        <f>IFERROR(VLOOKUP(BY948,'[1]WCVI Esc'!$C$5:$W$555,19,FALSE),"-")</f>
        <v>254</v>
      </c>
      <c r="CC948" s="50">
        <f t="shared" si="383"/>
        <v>250</v>
      </c>
      <c r="CE948" s="342" t="str">
        <f t="shared" si="369"/>
        <v>LOST SHOE CREEK_Chum</v>
      </c>
      <c r="CF948" s="341">
        <f>IFERROR(VLOOKUP(BY948,'RawPL+D'!$O$8:$AB$503,12,FALSE),"-")</f>
        <v>0</v>
      </c>
      <c r="CG948" s="338">
        <f t="shared" si="384"/>
        <v>0</v>
      </c>
      <c r="CH948" s="341">
        <f>IFERROR(VLOOKUP(BY948,'RawPL+D'!$O$8:$AB$503,13,FALSE),"-")</f>
        <v>0</v>
      </c>
      <c r="CI948" s="338">
        <f t="shared" si="385"/>
        <v>0</v>
      </c>
    </row>
    <row r="949" spans="1:87" ht="12.75" hidden="1" customHeight="1" x14ac:dyDescent="0.2">
      <c r="A949" s="28">
        <v>4</v>
      </c>
      <c r="B949" s="28">
        <v>5</v>
      </c>
      <c r="C949" s="11">
        <v>24</v>
      </c>
      <c r="D949" s="13" t="s">
        <v>305</v>
      </c>
      <c r="E949" s="10" t="s">
        <v>194</v>
      </c>
      <c r="F949" s="10" t="s">
        <v>210</v>
      </c>
      <c r="G949" s="10"/>
      <c r="H949" s="10"/>
      <c r="I949" s="10"/>
      <c r="J949" s="10"/>
      <c r="K949" s="575"/>
      <c r="L949" s="152"/>
      <c r="M949" s="422"/>
      <c r="N949" s="339"/>
      <c r="O949" s="62"/>
      <c r="P949" s="424"/>
      <c r="Q949" s="171"/>
      <c r="R949" s="339"/>
      <c r="S949" s="62"/>
      <c r="T949" s="62"/>
      <c r="U949" s="162"/>
      <c r="V949" s="164"/>
      <c r="W949" s="62"/>
      <c r="X949" s="62"/>
      <c r="Y949" s="62"/>
      <c r="Z949" s="64"/>
      <c r="AA949" s="164"/>
      <c r="AB949" s="62"/>
      <c r="AC949" s="62"/>
      <c r="AD949" s="64"/>
      <c r="AE949" s="164"/>
      <c r="AF949" s="62"/>
      <c r="AG949" s="64"/>
      <c r="AH949" s="337"/>
      <c r="AI949" s="337"/>
      <c r="AJ949" s="337"/>
      <c r="AK949" s="337"/>
      <c r="AL949" s="412"/>
      <c r="AM949" s="414"/>
      <c r="AN949" s="45"/>
      <c r="AO949" s="45"/>
      <c r="AP949" s="45"/>
      <c r="AQ949" s="485"/>
      <c r="AR949"/>
      <c r="AS949" s="485"/>
      <c r="AT949" s="24"/>
      <c r="AU949" s="24"/>
      <c r="AV949" s="24"/>
      <c r="AW949" s="18">
        <v>24</v>
      </c>
      <c r="AX949" s="69" t="s">
        <v>305</v>
      </c>
      <c r="AY949" s="243" t="s">
        <v>194</v>
      </c>
      <c r="AZ949" s="243" t="str">
        <f t="shared" si="371"/>
        <v>Chinook</v>
      </c>
      <c r="BA949" s="243" t="s">
        <v>419</v>
      </c>
      <c r="BB949" s="244" t="s">
        <v>626</v>
      </c>
      <c r="BC949" s="43" t="str">
        <f t="shared" si="372"/>
        <v>-</v>
      </c>
      <c r="BD949" s="43">
        <f t="shared" si="392"/>
        <v>0</v>
      </c>
      <c r="BE949" s="193">
        <f t="shared" si="389"/>
        <v>0</v>
      </c>
      <c r="BF949" s="193">
        <f t="shared" si="373"/>
        <v>0</v>
      </c>
      <c r="BG949" s="193">
        <f t="shared" si="374"/>
        <v>0</v>
      </c>
      <c r="BH949" s="307" t="str">
        <f t="shared" si="391"/>
        <v>-</v>
      </c>
      <c r="BI949" s="266"/>
      <c r="BJ949" s="26" t="str">
        <f t="shared" si="375"/>
        <v>LOST SHOE CREEKChinook</v>
      </c>
      <c r="BK949" s="26">
        <f t="shared" si="376"/>
        <v>0</v>
      </c>
      <c r="BL949" s="33">
        <f t="shared" si="393"/>
        <v>0</v>
      </c>
      <c r="BQ949" s="47" t="str">
        <f t="shared" si="377"/>
        <v>LOST SHOE CREEKChinook</v>
      </c>
      <c r="BR949" s="49">
        <f t="shared" si="378"/>
        <v>0</v>
      </c>
      <c r="BS949" s="49">
        <f t="shared" si="388"/>
        <v>0</v>
      </c>
      <c r="BT949" s="31">
        <v>0</v>
      </c>
      <c r="BU949" s="188" t="str">
        <f t="shared" si="379"/>
        <v>Redd</v>
      </c>
      <c r="BV949" s="188" t="str">
        <f t="shared" si="380"/>
        <v xml:space="preserve"> </v>
      </c>
      <c r="BW949" s="188" t="str">
        <f t="shared" si="394"/>
        <v xml:space="preserve"> </v>
      </c>
      <c r="BX949" s="188" t="str">
        <f t="shared" si="381"/>
        <v xml:space="preserve"> </v>
      </c>
      <c r="BY949" s="50" t="str">
        <f t="shared" si="370"/>
        <v>LOST SHOE CREEK_Chinook</v>
      </c>
      <c r="BZ949" s="50" t="str">
        <f>IFERROR(VLOOKUP(BY949,'[1]WCVI Esc'!$C$5:$W$555,18,FALSE),"-")</f>
        <v>-</v>
      </c>
      <c r="CA949" s="50" t="str">
        <f t="shared" si="382"/>
        <v>-</v>
      </c>
      <c r="CB949" s="50" t="str">
        <f>IFERROR(VLOOKUP(BY949,'[1]WCVI Esc'!$C$5:$W$555,19,FALSE),"-")</f>
        <v>-</v>
      </c>
      <c r="CC949" s="50" t="str">
        <f t="shared" si="383"/>
        <v>-</v>
      </c>
      <c r="CE949" s="342" t="str">
        <f t="shared" si="369"/>
        <v>LOST SHOE CREEK_Chinook</v>
      </c>
      <c r="CF949" s="341">
        <f>IFERROR(VLOOKUP(BY949,'RawPL+D'!$O$8:$AB$503,12,FALSE),"-")</f>
        <v>0</v>
      </c>
      <c r="CG949" s="338">
        <f t="shared" si="384"/>
        <v>0</v>
      </c>
      <c r="CH949" s="341" t="str">
        <f>IFERROR(VLOOKUP(BY949,'RawPL+D'!$O$8:$AB$503,13,FALSE),"-")</f>
        <v>-</v>
      </c>
      <c r="CI949" s="338" t="str">
        <f t="shared" si="385"/>
        <v>-</v>
      </c>
    </row>
    <row r="950" spans="1:87" ht="12.75" hidden="1" customHeight="1" x14ac:dyDescent="0.2">
      <c r="A950" s="28">
        <v>4</v>
      </c>
      <c r="B950" s="28">
        <v>6</v>
      </c>
      <c r="C950" s="11">
        <v>24</v>
      </c>
      <c r="D950" s="13" t="s">
        <v>305</v>
      </c>
      <c r="E950" s="10" t="s">
        <v>194</v>
      </c>
      <c r="F950" s="10" t="s">
        <v>211</v>
      </c>
      <c r="G950" s="10"/>
      <c r="H950" s="10"/>
      <c r="I950" s="10"/>
      <c r="J950" s="10"/>
      <c r="K950" s="575"/>
      <c r="L950" s="152"/>
      <c r="M950" s="422"/>
      <c r="N950" s="339"/>
      <c r="O950" s="62"/>
      <c r="P950" s="424"/>
      <c r="Q950" s="171"/>
      <c r="R950" s="339"/>
      <c r="S950" s="62"/>
      <c r="T950" s="62"/>
      <c r="U950" s="162"/>
      <c r="V950" s="164"/>
      <c r="W950" s="62"/>
      <c r="X950" s="62"/>
      <c r="Y950" s="62"/>
      <c r="Z950" s="64"/>
      <c r="AA950" s="164"/>
      <c r="AB950" s="62"/>
      <c r="AC950" s="62"/>
      <c r="AD950" s="64"/>
      <c r="AE950" s="164"/>
      <c r="AF950" s="62"/>
      <c r="AG950" s="64"/>
      <c r="AH950" s="337"/>
      <c r="AI950" s="337"/>
      <c r="AJ950" s="337"/>
      <c r="AK950" s="337"/>
      <c r="AL950" s="412"/>
      <c r="AM950" s="414"/>
      <c r="AN950" s="45"/>
      <c r="AO950" s="45"/>
      <c r="AP950" s="45"/>
      <c r="AQ950" s="485"/>
      <c r="AR950"/>
      <c r="AS950" s="485"/>
      <c r="AT950" s="24"/>
      <c r="AU950" s="24"/>
      <c r="AV950" s="24"/>
      <c r="AW950" s="18">
        <v>24</v>
      </c>
      <c r="AX950" s="69" t="s">
        <v>305</v>
      </c>
      <c r="AY950" s="243" t="s">
        <v>194</v>
      </c>
      <c r="AZ950" s="243" t="str">
        <f t="shared" si="371"/>
        <v>Steelhead</v>
      </c>
      <c r="BA950" s="243" t="s">
        <v>419</v>
      </c>
      <c r="BB950" s="244" t="s">
        <v>626</v>
      </c>
      <c r="BC950" s="43" t="str">
        <f t="shared" si="372"/>
        <v>-</v>
      </c>
      <c r="BD950" s="43">
        <f t="shared" si="392"/>
        <v>0</v>
      </c>
      <c r="BE950" s="193">
        <f t="shared" si="389"/>
        <v>0</v>
      </c>
      <c r="BF950" s="193">
        <f t="shared" si="373"/>
        <v>0</v>
      </c>
      <c r="BG950" s="193">
        <f t="shared" si="374"/>
        <v>0</v>
      </c>
      <c r="BH950" s="307" t="str">
        <f t="shared" si="391"/>
        <v>-</v>
      </c>
      <c r="BI950" s="266"/>
      <c r="BJ950" s="26" t="str">
        <f t="shared" si="375"/>
        <v>LOST SHOE CREEKSteelhead</v>
      </c>
      <c r="BK950" s="26">
        <f t="shared" si="376"/>
        <v>0</v>
      </c>
      <c r="BL950" s="33">
        <f t="shared" si="393"/>
        <v>0</v>
      </c>
      <c r="BQ950" s="47" t="str">
        <f t="shared" si="377"/>
        <v>LOST SHOE CREEKSteelhead</v>
      </c>
      <c r="BR950" s="49">
        <f t="shared" si="378"/>
        <v>0</v>
      </c>
      <c r="BS950" s="49">
        <f t="shared" si="388"/>
        <v>0</v>
      </c>
      <c r="BT950" s="31">
        <v>0</v>
      </c>
      <c r="BU950" s="188" t="str">
        <f t="shared" si="379"/>
        <v>Redd</v>
      </c>
      <c r="BV950" s="188" t="str">
        <f t="shared" si="380"/>
        <v xml:space="preserve"> </v>
      </c>
      <c r="BW950" s="188" t="str">
        <f t="shared" si="394"/>
        <v xml:space="preserve"> </v>
      </c>
      <c r="BX950" s="188" t="str">
        <f t="shared" si="381"/>
        <v xml:space="preserve"> </v>
      </c>
      <c r="BY950" s="50" t="str">
        <f t="shared" si="370"/>
        <v>LOST SHOE CREEK_Steelhead</v>
      </c>
      <c r="BZ950" s="50" t="str">
        <f>IFERROR(VLOOKUP(BY950,'[1]WCVI Esc'!$C$5:$W$555,18,FALSE),"-")</f>
        <v>-</v>
      </c>
      <c r="CA950" s="50" t="str">
        <f t="shared" si="382"/>
        <v>-</v>
      </c>
      <c r="CB950" s="50" t="str">
        <f>IFERROR(VLOOKUP(BY950,'[1]WCVI Esc'!$C$5:$W$555,19,FALSE),"-")</f>
        <v>-</v>
      </c>
      <c r="CC950" s="50" t="str">
        <f t="shared" si="383"/>
        <v>-</v>
      </c>
      <c r="CE950" s="342" t="str">
        <f t="shared" si="369"/>
        <v>LOST SHOE CREEK_Steelhead</v>
      </c>
      <c r="CF950" s="341" t="str">
        <f>IFERROR(VLOOKUP(BY950,'RawPL+D'!$O$8:$AB$503,12,FALSE),"-")</f>
        <v>-</v>
      </c>
      <c r="CG950" s="338" t="str">
        <f t="shared" si="384"/>
        <v>-</v>
      </c>
      <c r="CH950" s="341" t="str">
        <f>IFERROR(VLOOKUP(BY950,'RawPL+D'!$O$8:$AB$503,13,FALSE),"-")</f>
        <v>-</v>
      </c>
      <c r="CI950" s="338" t="str">
        <f t="shared" si="385"/>
        <v>-</v>
      </c>
    </row>
    <row r="951" spans="1:87" ht="12.75" hidden="1" customHeight="1" x14ac:dyDescent="0.2">
      <c r="A951" s="28">
        <v>4</v>
      </c>
      <c r="B951" s="28">
        <v>1</v>
      </c>
      <c r="C951" s="11">
        <v>24</v>
      </c>
      <c r="D951" s="13" t="s">
        <v>305</v>
      </c>
      <c r="E951" s="10" t="s">
        <v>195</v>
      </c>
      <c r="F951" s="10" t="s">
        <v>207</v>
      </c>
      <c r="G951" s="10"/>
      <c r="H951" s="10"/>
      <c r="I951" s="10"/>
      <c r="J951" s="10"/>
      <c r="K951" s="575"/>
      <c r="L951" s="152"/>
      <c r="M951" s="422"/>
      <c r="N951" s="339"/>
      <c r="O951" s="62"/>
      <c r="P951" s="424"/>
      <c r="Q951" s="171"/>
      <c r="R951" s="339"/>
      <c r="S951" s="339"/>
      <c r="T951" s="63"/>
      <c r="U951" s="162"/>
      <c r="V951" s="164"/>
      <c r="W951" s="62"/>
      <c r="X951" s="62"/>
      <c r="Y951" s="62"/>
      <c r="Z951" s="64"/>
      <c r="AA951" s="164"/>
      <c r="AB951" s="62"/>
      <c r="AC951" s="62"/>
      <c r="AD951" s="64"/>
      <c r="AE951" s="164"/>
      <c r="AF951" s="62"/>
      <c r="AG951" s="64"/>
      <c r="AH951" s="337"/>
      <c r="AI951" s="337"/>
      <c r="AJ951" s="337"/>
      <c r="AK951" s="337"/>
      <c r="AL951" s="412"/>
      <c r="AM951" s="414"/>
      <c r="AN951" s="45"/>
      <c r="AO951" s="45"/>
      <c r="AP951" s="45"/>
      <c r="AQ951" s="485"/>
      <c r="AR951"/>
      <c r="AS951" s="485"/>
      <c r="AT951" s="24"/>
      <c r="AU951" s="24"/>
      <c r="AV951" s="24"/>
      <c r="AW951" s="18">
        <v>24</v>
      </c>
      <c r="AX951" s="69" t="s">
        <v>305</v>
      </c>
      <c r="AY951" s="243" t="s">
        <v>195</v>
      </c>
      <c r="AZ951" s="243" t="str">
        <f t="shared" si="371"/>
        <v>Sockeye</v>
      </c>
      <c r="BA951" s="243" t="s">
        <v>419</v>
      </c>
      <c r="BB951" s="246"/>
      <c r="BC951" s="43" t="str">
        <f t="shared" si="372"/>
        <v>-</v>
      </c>
      <c r="BD951" s="43">
        <f t="shared" si="392"/>
        <v>0</v>
      </c>
      <c r="BE951" s="193">
        <f t="shared" si="389"/>
        <v>0</v>
      </c>
      <c r="BF951" s="193">
        <f t="shared" si="373"/>
        <v>0</v>
      </c>
      <c r="BG951" s="193">
        <f t="shared" si="374"/>
        <v>0</v>
      </c>
      <c r="BH951" s="307" t="str">
        <f t="shared" si="391"/>
        <v>-</v>
      </c>
      <c r="BI951" s="266"/>
      <c r="BJ951" s="26" t="str">
        <f t="shared" si="375"/>
        <v>SANDHILL CREEKSockeye</v>
      </c>
      <c r="BK951" s="26">
        <f t="shared" si="376"/>
        <v>0</v>
      </c>
      <c r="BL951" s="33">
        <f t="shared" si="393"/>
        <v>0</v>
      </c>
      <c r="BQ951" s="47" t="str">
        <f t="shared" si="377"/>
        <v>SANDHILL CREEKSockeye</v>
      </c>
      <c r="BR951" s="49">
        <f t="shared" si="378"/>
        <v>0</v>
      </c>
      <c r="BS951" s="49">
        <f t="shared" si="388"/>
        <v>0</v>
      </c>
      <c r="BT951" s="31">
        <v>0</v>
      </c>
      <c r="BU951" s="188">
        <f t="shared" si="379"/>
        <v>0</v>
      </c>
      <c r="BV951" s="188" t="str">
        <f t="shared" si="380"/>
        <v xml:space="preserve"> </v>
      </c>
      <c r="BW951" s="188" t="str">
        <f t="shared" si="394"/>
        <v xml:space="preserve"> </v>
      </c>
      <c r="BX951" s="188" t="str">
        <f t="shared" si="381"/>
        <v xml:space="preserve"> </v>
      </c>
      <c r="BY951" s="50" t="str">
        <f t="shared" si="370"/>
        <v>SANDHILL CREEK_Sockeye</v>
      </c>
      <c r="BZ951" s="50" t="str">
        <f>IFERROR(VLOOKUP(BY951,'[1]WCVI Esc'!$C$5:$W$555,18,FALSE),"-")</f>
        <v>-</v>
      </c>
      <c r="CA951" s="50" t="str">
        <f t="shared" si="382"/>
        <v>-</v>
      </c>
      <c r="CB951" s="50" t="str">
        <f>IFERROR(VLOOKUP(BY951,'[1]WCVI Esc'!$C$5:$W$555,19,FALSE),"-")</f>
        <v>-</v>
      </c>
      <c r="CC951" s="50" t="str">
        <f t="shared" si="383"/>
        <v>-</v>
      </c>
      <c r="CE951" s="342" t="str">
        <f t="shared" si="369"/>
        <v>SANDHILL CREEK_Sockeye</v>
      </c>
      <c r="CF951" s="341" t="str">
        <f>IFERROR(VLOOKUP(BY951,'RawPL+D'!$O$8:$AB$503,12,FALSE),"-")</f>
        <v>-</v>
      </c>
      <c r="CG951" s="338" t="str">
        <f t="shared" si="384"/>
        <v>-</v>
      </c>
      <c r="CH951" s="341" t="str">
        <f>IFERROR(VLOOKUP(BY951,'RawPL+D'!$O$8:$AB$503,13,FALSE),"-")</f>
        <v>-</v>
      </c>
      <c r="CI951" s="338" t="str">
        <f t="shared" si="385"/>
        <v>-</v>
      </c>
    </row>
    <row r="952" spans="1:87" ht="12.75" hidden="1" customHeight="1" x14ac:dyDescent="0.2">
      <c r="A952" s="28">
        <v>4</v>
      </c>
      <c r="B952" s="28">
        <v>2</v>
      </c>
      <c r="C952" s="11">
        <v>24</v>
      </c>
      <c r="D952" s="13" t="s">
        <v>305</v>
      </c>
      <c r="E952" s="10" t="s">
        <v>195</v>
      </c>
      <c r="F952" s="10" t="s">
        <v>219</v>
      </c>
      <c r="G952" s="10"/>
      <c r="H952" s="10"/>
      <c r="I952" s="10"/>
      <c r="J952" s="10"/>
      <c r="K952" s="575"/>
      <c r="L952" s="152"/>
      <c r="M952" s="422"/>
      <c r="N952" s="339"/>
      <c r="O952" s="62"/>
      <c r="P952" s="424"/>
      <c r="Q952" s="171"/>
      <c r="R952" s="339"/>
      <c r="S952" s="339"/>
      <c r="T952" s="63"/>
      <c r="U952" s="162"/>
      <c r="V952" s="164"/>
      <c r="W952" s="62"/>
      <c r="X952" s="63"/>
      <c r="Y952" s="62"/>
      <c r="Z952" s="64"/>
      <c r="AA952" s="164"/>
      <c r="AB952" s="62"/>
      <c r="AC952" s="62"/>
      <c r="AD952" s="64"/>
      <c r="AE952" s="164"/>
      <c r="AF952" s="62"/>
      <c r="AG952" s="64"/>
      <c r="AH952" s="337"/>
      <c r="AI952" s="337"/>
      <c r="AJ952" s="337"/>
      <c r="AK952" s="337"/>
      <c r="AL952" s="412"/>
      <c r="AM952" s="414"/>
      <c r="AN952" s="45"/>
      <c r="AO952" s="45"/>
      <c r="AP952" s="45"/>
      <c r="AQ952" s="485"/>
      <c r="AR952"/>
      <c r="AS952" s="485"/>
      <c r="AT952" s="24"/>
      <c r="AU952" s="24"/>
      <c r="AV952" s="24"/>
      <c r="AW952" s="18">
        <v>24</v>
      </c>
      <c r="AX952" s="69" t="s">
        <v>305</v>
      </c>
      <c r="AY952" s="243" t="s">
        <v>195</v>
      </c>
      <c r="AZ952" s="243" t="str">
        <f t="shared" si="371"/>
        <v>Coho</v>
      </c>
      <c r="BA952" s="243" t="s">
        <v>419</v>
      </c>
      <c r="BB952" s="246"/>
      <c r="BC952" s="43" t="str">
        <f t="shared" si="372"/>
        <v>-</v>
      </c>
      <c r="BD952" s="43">
        <f t="shared" si="392"/>
        <v>0</v>
      </c>
      <c r="BE952" s="193">
        <f t="shared" si="389"/>
        <v>0</v>
      </c>
      <c r="BF952" s="193">
        <f t="shared" si="373"/>
        <v>0</v>
      </c>
      <c r="BG952" s="193">
        <f t="shared" si="374"/>
        <v>0</v>
      </c>
      <c r="BH952" s="307" t="str">
        <f t="shared" si="391"/>
        <v>-</v>
      </c>
      <c r="BI952" s="266"/>
      <c r="BJ952" s="26" t="str">
        <f t="shared" si="375"/>
        <v>SANDHILL CREEKCoho</v>
      </c>
      <c r="BK952" s="26">
        <f t="shared" si="376"/>
        <v>0</v>
      </c>
      <c r="BL952" s="33">
        <f t="shared" si="393"/>
        <v>0</v>
      </c>
      <c r="BQ952" s="47" t="str">
        <f t="shared" si="377"/>
        <v>SANDHILL CREEKCoho</v>
      </c>
      <c r="BR952" s="49">
        <f t="shared" si="378"/>
        <v>0</v>
      </c>
      <c r="BS952" s="49">
        <f t="shared" si="388"/>
        <v>0</v>
      </c>
      <c r="BT952" s="31">
        <v>1997</v>
      </c>
      <c r="BU952" s="188">
        <f t="shared" si="379"/>
        <v>0</v>
      </c>
      <c r="BV952" s="188" t="str">
        <f t="shared" si="380"/>
        <v xml:space="preserve"> </v>
      </c>
      <c r="BW952" s="188" t="str">
        <f t="shared" si="394"/>
        <v xml:space="preserve"> </v>
      </c>
      <c r="BX952" s="188" t="str">
        <f t="shared" si="381"/>
        <v xml:space="preserve"> </v>
      </c>
      <c r="BY952" s="50" t="str">
        <f t="shared" si="370"/>
        <v>SANDHILL CREEK_Coho</v>
      </c>
      <c r="BZ952" s="50" t="str">
        <f>IFERROR(VLOOKUP(BY952,'[1]WCVI Esc'!$C$5:$W$555,18,FALSE),"-")</f>
        <v>-</v>
      </c>
      <c r="CA952" s="50" t="str">
        <f t="shared" si="382"/>
        <v>-</v>
      </c>
      <c r="CB952" s="50">
        <f>IFERROR(VLOOKUP(BY952,'[1]WCVI Esc'!$C$5:$W$555,19,FALSE),"-")</f>
        <v>4</v>
      </c>
      <c r="CC952" s="50">
        <f t="shared" si="383"/>
        <v>0</v>
      </c>
      <c r="CE952" s="342" t="str">
        <f t="shared" ref="CE952:CE1010" si="395">CONCATENATE(E952,"_",F952)</f>
        <v>SANDHILL CREEK_Coho</v>
      </c>
      <c r="CF952" s="341" t="str">
        <f>IFERROR(VLOOKUP(BY952,'RawPL+D'!$O$8:$AB$503,12,FALSE),"-")</f>
        <v>-</v>
      </c>
      <c r="CG952" s="338" t="str">
        <f t="shared" si="384"/>
        <v>-</v>
      </c>
      <c r="CH952" s="341" t="str">
        <f>IFERROR(VLOOKUP(BY952,'RawPL+D'!$O$8:$AB$503,13,FALSE),"-")</f>
        <v>-</v>
      </c>
      <c r="CI952" s="338" t="str">
        <f t="shared" si="385"/>
        <v>-</v>
      </c>
    </row>
    <row r="953" spans="1:87" ht="12.75" hidden="1" customHeight="1" x14ac:dyDescent="0.2">
      <c r="A953" s="28">
        <v>4</v>
      </c>
      <c r="B953" s="28">
        <v>3</v>
      </c>
      <c r="C953" s="11">
        <v>24</v>
      </c>
      <c r="D953" s="13" t="s">
        <v>305</v>
      </c>
      <c r="E953" s="10" t="s">
        <v>195</v>
      </c>
      <c r="F953" s="10" t="s">
        <v>208</v>
      </c>
      <c r="G953" s="10"/>
      <c r="H953" s="10"/>
      <c r="I953" s="10"/>
      <c r="J953" s="10"/>
      <c r="K953" s="575"/>
      <c r="L953" s="152"/>
      <c r="M953" s="422"/>
      <c r="N953" s="339"/>
      <c r="O953" s="62"/>
      <c r="P953" s="424"/>
      <c r="Q953" s="171"/>
      <c r="R953" s="339"/>
      <c r="S953" s="339"/>
      <c r="T953" s="63"/>
      <c r="U953" s="162"/>
      <c r="V953" s="164"/>
      <c r="W953" s="62"/>
      <c r="X953" s="62"/>
      <c r="Y953" s="62"/>
      <c r="Z953" s="64"/>
      <c r="AA953" s="164"/>
      <c r="AB953" s="62"/>
      <c r="AC953" s="62"/>
      <c r="AD953" s="64"/>
      <c r="AE953" s="164"/>
      <c r="AF953" s="62"/>
      <c r="AG953" s="64"/>
      <c r="AH953" s="337"/>
      <c r="AI953" s="337"/>
      <c r="AJ953" s="337"/>
      <c r="AK953" s="337"/>
      <c r="AL953" s="412"/>
      <c r="AM953" s="414"/>
      <c r="AN953" s="45"/>
      <c r="AO953" s="45"/>
      <c r="AP953" s="45"/>
      <c r="AQ953" s="485"/>
      <c r="AR953"/>
      <c r="AS953" s="485"/>
      <c r="AT953" s="24"/>
      <c r="AU953" s="24"/>
      <c r="AV953" s="24"/>
      <c r="AW953" s="18">
        <v>24</v>
      </c>
      <c r="AX953" s="69" t="s">
        <v>305</v>
      </c>
      <c r="AY953" s="243" t="s">
        <v>195</v>
      </c>
      <c r="AZ953" s="243" t="str">
        <f t="shared" si="371"/>
        <v>Pink</v>
      </c>
      <c r="BA953" s="243" t="s">
        <v>419</v>
      </c>
      <c r="BB953" s="246"/>
      <c r="BC953" s="43" t="str">
        <f t="shared" si="372"/>
        <v>-</v>
      </c>
      <c r="BD953" s="43">
        <f t="shared" si="392"/>
        <v>0</v>
      </c>
      <c r="BE953" s="193">
        <f t="shared" si="389"/>
        <v>0</v>
      </c>
      <c r="BF953" s="193">
        <f t="shared" si="373"/>
        <v>0</v>
      </c>
      <c r="BG953" s="193">
        <f t="shared" si="374"/>
        <v>0</v>
      </c>
      <c r="BH953" s="307" t="str">
        <f t="shared" si="391"/>
        <v>-</v>
      </c>
      <c r="BI953" s="266"/>
      <c r="BJ953" s="26" t="str">
        <f t="shared" si="375"/>
        <v>SANDHILL CREEKPink</v>
      </c>
      <c r="BK953" s="26">
        <f t="shared" si="376"/>
        <v>0</v>
      </c>
      <c r="BL953" s="33">
        <f t="shared" si="393"/>
        <v>0</v>
      </c>
      <c r="BQ953" s="47" t="str">
        <f t="shared" si="377"/>
        <v>SANDHILL CREEKPink</v>
      </c>
      <c r="BR953" s="49">
        <f t="shared" si="378"/>
        <v>0</v>
      </c>
      <c r="BS953" s="49">
        <f t="shared" si="388"/>
        <v>0</v>
      </c>
      <c r="BT953" s="31">
        <v>0</v>
      </c>
      <c r="BU953" s="188">
        <f t="shared" si="379"/>
        <v>0</v>
      </c>
      <c r="BV953" s="188" t="str">
        <f t="shared" si="380"/>
        <v xml:space="preserve"> </v>
      </c>
      <c r="BW953" s="188" t="str">
        <f t="shared" si="394"/>
        <v xml:space="preserve"> </v>
      </c>
      <c r="BX953" s="188" t="str">
        <f t="shared" si="381"/>
        <v xml:space="preserve"> </v>
      </c>
      <c r="BY953" s="50" t="str">
        <f t="shared" si="370"/>
        <v>SANDHILL CREEK_Pink</v>
      </c>
      <c r="BZ953" s="50" t="str">
        <f>IFERROR(VLOOKUP(BY953,'[1]WCVI Esc'!$C$5:$W$555,18,FALSE),"-")</f>
        <v>-</v>
      </c>
      <c r="CA953" s="50" t="str">
        <f t="shared" si="382"/>
        <v>-</v>
      </c>
      <c r="CB953" s="50" t="str">
        <f>IFERROR(VLOOKUP(BY953,'[1]WCVI Esc'!$C$5:$W$555,19,FALSE),"-")</f>
        <v>-</v>
      </c>
      <c r="CC953" s="50" t="str">
        <f t="shared" si="383"/>
        <v>-</v>
      </c>
      <c r="CE953" s="342" t="str">
        <f t="shared" si="395"/>
        <v>SANDHILL CREEK_Pink</v>
      </c>
      <c r="CF953" s="341" t="str">
        <f>IFERROR(VLOOKUP(BY953,'RawPL+D'!$O$8:$AB$503,12,FALSE),"-")</f>
        <v>-</v>
      </c>
      <c r="CG953" s="338" t="str">
        <f t="shared" si="384"/>
        <v>-</v>
      </c>
      <c r="CH953" s="341" t="str">
        <f>IFERROR(VLOOKUP(BY953,'RawPL+D'!$O$8:$AB$503,13,FALSE),"-")</f>
        <v>-</v>
      </c>
      <c r="CI953" s="338" t="str">
        <f t="shared" si="385"/>
        <v>-</v>
      </c>
    </row>
    <row r="954" spans="1:87" ht="12.75" hidden="1" customHeight="1" x14ac:dyDescent="0.2">
      <c r="A954" s="28">
        <v>4</v>
      </c>
      <c r="B954" s="28">
        <v>4</v>
      </c>
      <c r="C954" s="11">
        <v>24</v>
      </c>
      <c r="D954" s="13" t="s">
        <v>305</v>
      </c>
      <c r="E954" s="10" t="s">
        <v>195</v>
      </c>
      <c r="F954" s="10" t="s">
        <v>209</v>
      </c>
      <c r="G954" s="10"/>
      <c r="H954" s="10"/>
      <c r="I954" s="10"/>
      <c r="J954" s="10"/>
      <c r="K954" s="575"/>
      <c r="L954" s="152"/>
      <c r="M954" s="422"/>
      <c r="N954" s="339"/>
      <c r="O954" s="62"/>
      <c r="P954" s="424"/>
      <c r="Q954" s="171"/>
      <c r="R954" s="339"/>
      <c r="S954" s="339"/>
      <c r="T954" s="63"/>
      <c r="U954" s="162"/>
      <c r="V954" s="164"/>
      <c r="W954" s="62"/>
      <c r="X954" s="63"/>
      <c r="Y954" s="62"/>
      <c r="Z954" s="64"/>
      <c r="AA954" s="164"/>
      <c r="AB954" s="62"/>
      <c r="AC954" s="62"/>
      <c r="AD954" s="64"/>
      <c r="AE954" s="164"/>
      <c r="AF954" s="62"/>
      <c r="AG954" s="64"/>
      <c r="AH954" s="337"/>
      <c r="AI954" s="337"/>
      <c r="AJ954" s="337"/>
      <c r="AK954" s="337"/>
      <c r="AL954" s="412"/>
      <c r="AM954" s="414"/>
      <c r="AN954" s="45"/>
      <c r="AO954" s="45"/>
      <c r="AP954" s="45"/>
      <c r="AQ954" s="485"/>
      <c r="AR954"/>
      <c r="AS954" s="485"/>
      <c r="AT954" s="24"/>
      <c r="AU954" s="24"/>
      <c r="AV954" s="24"/>
      <c r="AW954" s="18">
        <v>24</v>
      </c>
      <c r="AX954" s="69" t="s">
        <v>305</v>
      </c>
      <c r="AY954" s="243" t="s">
        <v>195</v>
      </c>
      <c r="AZ954" s="243" t="str">
        <f t="shared" si="371"/>
        <v>Chum</v>
      </c>
      <c r="BA954" s="243" t="s">
        <v>419</v>
      </c>
      <c r="BB954" s="246"/>
      <c r="BC954" s="43" t="str">
        <f t="shared" si="372"/>
        <v>-</v>
      </c>
      <c r="BD954" s="43">
        <f t="shared" si="392"/>
        <v>0</v>
      </c>
      <c r="BE954" s="193">
        <f t="shared" si="389"/>
        <v>0</v>
      </c>
      <c r="BF954" s="193">
        <f t="shared" si="373"/>
        <v>0</v>
      </c>
      <c r="BG954" s="193">
        <f t="shared" si="374"/>
        <v>0</v>
      </c>
      <c r="BH954" s="307" t="str">
        <f t="shared" si="391"/>
        <v>-</v>
      </c>
      <c r="BI954" s="266"/>
      <c r="BJ954" s="26" t="str">
        <f t="shared" si="375"/>
        <v>SANDHILL CREEKChum</v>
      </c>
      <c r="BK954" s="26">
        <f t="shared" si="376"/>
        <v>0</v>
      </c>
      <c r="BL954" s="33">
        <f t="shared" si="393"/>
        <v>0</v>
      </c>
      <c r="BQ954" s="47" t="str">
        <f t="shared" si="377"/>
        <v>SANDHILL CREEKChum</v>
      </c>
      <c r="BR954" s="49">
        <f t="shared" si="378"/>
        <v>0</v>
      </c>
      <c r="BS954" s="49">
        <f t="shared" si="388"/>
        <v>0</v>
      </c>
      <c r="BT954" s="31">
        <v>1981</v>
      </c>
      <c r="BU954" s="188">
        <f t="shared" si="379"/>
        <v>0</v>
      </c>
      <c r="BV954" s="188" t="str">
        <f t="shared" si="380"/>
        <v xml:space="preserve"> </v>
      </c>
      <c r="BW954" s="188" t="str">
        <f t="shared" si="394"/>
        <v xml:space="preserve"> </v>
      </c>
      <c r="BX954" s="188" t="str">
        <f t="shared" si="381"/>
        <v xml:space="preserve"> </v>
      </c>
      <c r="BY954" s="50" t="str">
        <f t="shared" si="370"/>
        <v>SANDHILL CREEK_Chum</v>
      </c>
      <c r="BZ954" s="50" t="str">
        <f>IFERROR(VLOOKUP(BY954,'[1]WCVI Esc'!$C$5:$W$555,18,FALSE),"-")</f>
        <v>-</v>
      </c>
      <c r="CA954" s="50" t="str">
        <f t="shared" si="382"/>
        <v>-</v>
      </c>
      <c r="CB954" s="50">
        <f>IFERROR(VLOOKUP(BY954,'[1]WCVI Esc'!$C$5:$W$555,19,FALSE),"-")</f>
        <v>32</v>
      </c>
      <c r="CC954" s="50">
        <f t="shared" si="383"/>
        <v>30</v>
      </c>
      <c r="CE954" s="342" t="str">
        <f t="shared" si="395"/>
        <v>SANDHILL CREEK_Chum</v>
      </c>
      <c r="CF954" s="341" t="str">
        <f>IFERROR(VLOOKUP(BY954,'RawPL+D'!$O$8:$AB$503,12,FALSE),"-")</f>
        <v>-</v>
      </c>
      <c r="CG954" s="338" t="str">
        <f t="shared" si="384"/>
        <v>-</v>
      </c>
      <c r="CH954" s="341" t="str">
        <f>IFERROR(VLOOKUP(BY954,'RawPL+D'!$O$8:$AB$503,13,FALSE),"-")</f>
        <v>-</v>
      </c>
      <c r="CI954" s="338" t="str">
        <f t="shared" si="385"/>
        <v>-</v>
      </c>
    </row>
    <row r="955" spans="1:87" ht="12.75" hidden="1" customHeight="1" x14ac:dyDescent="0.2">
      <c r="A955" s="28">
        <v>4</v>
      </c>
      <c r="B955" s="28">
        <v>5</v>
      </c>
      <c r="C955" s="11">
        <v>24</v>
      </c>
      <c r="D955" s="13" t="s">
        <v>305</v>
      </c>
      <c r="E955" s="10" t="s">
        <v>195</v>
      </c>
      <c r="F955" s="10" t="s">
        <v>210</v>
      </c>
      <c r="G955" s="10"/>
      <c r="H955" s="10"/>
      <c r="I955" s="10"/>
      <c r="J955" s="10"/>
      <c r="K955" s="575"/>
      <c r="L955" s="152"/>
      <c r="M955" s="422"/>
      <c r="N955" s="339"/>
      <c r="O955" s="62"/>
      <c r="P955" s="424"/>
      <c r="Q955" s="171"/>
      <c r="R955" s="339"/>
      <c r="S955" s="339"/>
      <c r="T955" s="63"/>
      <c r="U955" s="162"/>
      <c r="V955" s="164"/>
      <c r="W955" s="62"/>
      <c r="X955" s="62"/>
      <c r="Y955" s="62"/>
      <c r="Z955" s="64"/>
      <c r="AA955" s="164"/>
      <c r="AB955" s="62"/>
      <c r="AC955" s="62"/>
      <c r="AD955" s="64"/>
      <c r="AE955" s="164"/>
      <c r="AF955" s="62"/>
      <c r="AG955" s="64"/>
      <c r="AH955" s="337"/>
      <c r="AI955" s="337"/>
      <c r="AJ955" s="337"/>
      <c r="AK955" s="337"/>
      <c r="AL955" s="412"/>
      <c r="AM955" s="414"/>
      <c r="AN955" s="45"/>
      <c r="AO955" s="45"/>
      <c r="AP955" s="45"/>
      <c r="AQ955" s="485"/>
      <c r="AR955"/>
      <c r="AS955" s="485"/>
      <c r="AT955" s="24"/>
      <c r="AU955" s="24"/>
      <c r="AV955" s="24"/>
      <c r="AW955" s="18">
        <v>24</v>
      </c>
      <c r="AX955" s="69" t="s">
        <v>305</v>
      </c>
      <c r="AY955" s="243" t="s">
        <v>195</v>
      </c>
      <c r="AZ955" s="243" t="str">
        <f t="shared" si="371"/>
        <v>Chinook</v>
      </c>
      <c r="BA955" s="243" t="s">
        <v>419</v>
      </c>
      <c r="BB955" s="246"/>
      <c r="BC955" s="43" t="str">
        <f t="shared" si="372"/>
        <v>-</v>
      </c>
      <c r="BD955" s="43">
        <f t="shared" si="392"/>
        <v>0</v>
      </c>
      <c r="BE955" s="193">
        <f t="shared" si="389"/>
        <v>0</v>
      </c>
      <c r="BF955" s="193">
        <f t="shared" si="373"/>
        <v>0</v>
      </c>
      <c r="BG955" s="193">
        <f t="shared" si="374"/>
        <v>0</v>
      </c>
      <c r="BH955" s="307" t="str">
        <f t="shared" si="391"/>
        <v>-</v>
      </c>
      <c r="BI955" s="266"/>
      <c r="BJ955" s="26" t="str">
        <f t="shared" si="375"/>
        <v>SANDHILL CREEKChinook</v>
      </c>
      <c r="BK955" s="26">
        <f t="shared" si="376"/>
        <v>0</v>
      </c>
      <c r="BL955" s="33">
        <f t="shared" si="393"/>
        <v>0</v>
      </c>
      <c r="BQ955" s="47" t="str">
        <f t="shared" si="377"/>
        <v>SANDHILL CREEKChinook</v>
      </c>
      <c r="BR955" s="49">
        <f t="shared" si="378"/>
        <v>0</v>
      </c>
      <c r="BS955" s="49">
        <f t="shared" si="388"/>
        <v>0</v>
      </c>
      <c r="BT955" s="31">
        <v>0</v>
      </c>
      <c r="BU955" s="188">
        <f t="shared" si="379"/>
        <v>0</v>
      </c>
      <c r="BV955" s="188" t="str">
        <f t="shared" si="380"/>
        <v xml:space="preserve"> </v>
      </c>
      <c r="BW955" s="188" t="str">
        <f t="shared" si="394"/>
        <v xml:space="preserve"> </v>
      </c>
      <c r="BX955" s="188" t="str">
        <f t="shared" si="381"/>
        <v xml:space="preserve"> </v>
      </c>
      <c r="BY955" s="50" t="str">
        <f t="shared" si="370"/>
        <v>SANDHILL CREEK_Chinook</v>
      </c>
      <c r="BZ955" s="50" t="str">
        <f>IFERROR(VLOOKUP(BY955,'[1]WCVI Esc'!$C$5:$W$555,18,FALSE),"-")</f>
        <v>-</v>
      </c>
      <c r="CA955" s="50" t="str">
        <f t="shared" si="382"/>
        <v>-</v>
      </c>
      <c r="CB955" s="50" t="str">
        <f>IFERROR(VLOOKUP(BY955,'[1]WCVI Esc'!$C$5:$W$555,19,FALSE),"-")</f>
        <v>-</v>
      </c>
      <c r="CC955" s="50" t="str">
        <f t="shared" si="383"/>
        <v>-</v>
      </c>
      <c r="CE955" s="342" t="str">
        <f t="shared" si="395"/>
        <v>SANDHILL CREEK_Chinook</v>
      </c>
      <c r="CF955" s="341" t="str">
        <f>IFERROR(VLOOKUP(BY955,'RawPL+D'!$O$8:$AB$503,12,FALSE),"-")</f>
        <v>-</v>
      </c>
      <c r="CG955" s="338" t="str">
        <f t="shared" si="384"/>
        <v>-</v>
      </c>
      <c r="CH955" s="341" t="str">
        <f>IFERROR(VLOOKUP(BY955,'RawPL+D'!$O$8:$AB$503,13,FALSE),"-")</f>
        <v>-</v>
      </c>
      <c r="CI955" s="338" t="str">
        <f t="shared" si="385"/>
        <v>-</v>
      </c>
    </row>
    <row r="956" spans="1:87" ht="12.75" hidden="1" customHeight="1" x14ac:dyDescent="0.2">
      <c r="A956" s="28">
        <v>4</v>
      </c>
      <c r="B956" s="28">
        <v>6</v>
      </c>
      <c r="C956" s="11">
        <v>24</v>
      </c>
      <c r="D956" s="13" t="s">
        <v>305</v>
      </c>
      <c r="E956" s="10" t="s">
        <v>195</v>
      </c>
      <c r="F956" s="10" t="s">
        <v>211</v>
      </c>
      <c r="G956" s="10"/>
      <c r="H956" s="10"/>
      <c r="I956" s="10"/>
      <c r="J956" s="10"/>
      <c r="K956" s="575"/>
      <c r="L956" s="152"/>
      <c r="M956" s="422"/>
      <c r="N956" s="339"/>
      <c r="O956" s="62"/>
      <c r="P956" s="424"/>
      <c r="Q956" s="171"/>
      <c r="R956" s="339"/>
      <c r="S956" s="339"/>
      <c r="T956" s="63"/>
      <c r="U956" s="162"/>
      <c r="V956" s="164"/>
      <c r="W956" s="62"/>
      <c r="X956" s="62"/>
      <c r="Y956" s="62"/>
      <c r="Z956" s="64"/>
      <c r="AA956" s="164"/>
      <c r="AB956" s="62"/>
      <c r="AC956" s="62"/>
      <c r="AD956" s="64"/>
      <c r="AE956" s="164"/>
      <c r="AF956" s="62"/>
      <c r="AG956" s="64"/>
      <c r="AH956" s="337"/>
      <c r="AI956" s="337"/>
      <c r="AJ956" s="337"/>
      <c r="AK956" s="337"/>
      <c r="AL956" s="412"/>
      <c r="AM956" s="414"/>
      <c r="AN956" s="45"/>
      <c r="AO956" s="45"/>
      <c r="AP956" s="45"/>
      <c r="AQ956" s="485"/>
      <c r="AR956"/>
      <c r="AS956" s="485"/>
      <c r="AT956" s="24"/>
      <c r="AU956" s="24"/>
      <c r="AV956" s="24"/>
      <c r="AW956" s="18">
        <v>24</v>
      </c>
      <c r="AX956" s="69" t="s">
        <v>305</v>
      </c>
      <c r="AY956" s="243" t="s">
        <v>195</v>
      </c>
      <c r="AZ956" s="243" t="str">
        <f t="shared" si="371"/>
        <v>Steelhead</v>
      </c>
      <c r="BA956" s="243" t="s">
        <v>419</v>
      </c>
      <c r="BB956" s="246"/>
      <c r="BC956" s="43" t="str">
        <f t="shared" si="372"/>
        <v>-</v>
      </c>
      <c r="BD956" s="43">
        <f t="shared" si="392"/>
        <v>0</v>
      </c>
      <c r="BE956" s="193">
        <f t="shared" si="389"/>
        <v>0</v>
      </c>
      <c r="BF956" s="193">
        <f t="shared" si="373"/>
        <v>0</v>
      </c>
      <c r="BG956" s="193">
        <f t="shared" si="374"/>
        <v>0</v>
      </c>
      <c r="BH956" s="307" t="str">
        <f t="shared" si="391"/>
        <v>-</v>
      </c>
      <c r="BI956" s="266"/>
      <c r="BJ956" s="26" t="str">
        <f t="shared" si="375"/>
        <v>SANDHILL CREEKSteelhead</v>
      </c>
      <c r="BK956" s="26">
        <f t="shared" si="376"/>
        <v>0</v>
      </c>
      <c r="BL956" s="33">
        <f t="shared" si="393"/>
        <v>0</v>
      </c>
      <c r="BQ956" s="47" t="str">
        <f t="shared" si="377"/>
        <v>SANDHILL CREEKSteelhead</v>
      </c>
      <c r="BR956" s="49">
        <f t="shared" si="378"/>
        <v>0</v>
      </c>
      <c r="BS956" s="49">
        <f t="shared" si="388"/>
        <v>0</v>
      </c>
      <c r="BT956" s="31">
        <v>0</v>
      </c>
      <c r="BU956" s="188">
        <f t="shared" si="379"/>
        <v>0</v>
      </c>
      <c r="BV956" s="188" t="str">
        <f t="shared" si="380"/>
        <v xml:space="preserve"> </v>
      </c>
      <c r="BW956" s="188" t="str">
        <f t="shared" si="394"/>
        <v xml:space="preserve"> </v>
      </c>
      <c r="BX956" s="188" t="str">
        <f t="shared" si="381"/>
        <v xml:space="preserve"> </v>
      </c>
      <c r="BY956" s="50" t="str">
        <f t="shared" si="370"/>
        <v>SANDHILL CREEK_Steelhead</v>
      </c>
      <c r="BZ956" s="50" t="str">
        <f>IFERROR(VLOOKUP(BY956,'[1]WCVI Esc'!$C$5:$W$555,18,FALSE),"-")</f>
        <v>-</v>
      </c>
      <c r="CA956" s="50" t="str">
        <f t="shared" si="382"/>
        <v>-</v>
      </c>
      <c r="CB956" s="50" t="str">
        <f>IFERROR(VLOOKUP(BY956,'[1]WCVI Esc'!$C$5:$W$555,19,FALSE),"-")</f>
        <v>-</v>
      </c>
      <c r="CC956" s="50" t="str">
        <f t="shared" si="383"/>
        <v>-</v>
      </c>
      <c r="CE956" s="342" t="str">
        <f t="shared" si="395"/>
        <v>SANDHILL CREEK_Steelhead</v>
      </c>
      <c r="CF956" s="341" t="str">
        <f>IFERROR(VLOOKUP(BY956,'RawPL+D'!$O$8:$AB$503,12,FALSE),"-")</f>
        <v>-</v>
      </c>
      <c r="CG956" s="338" t="str">
        <f t="shared" si="384"/>
        <v>-</v>
      </c>
      <c r="CH956" s="341" t="str">
        <f>IFERROR(VLOOKUP(BY956,'RawPL+D'!$O$8:$AB$503,13,FALSE),"-")</f>
        <v>-</v>
      </c>
      <c r="CI956" s="338" t="str">
        <f t="shared" si="385"/>
        <v>-</v>
      </c>
    </row>
    <row r="957" spans="1:87" ht="12.75" hidden="1" customHeight="1" x14ac:dyDescent="0.2">
      <c r="A957" s="28">
        <v>3</v>
      </c>
      <c r="B957" s="28">
        <v>1</v>
      </c>
      <c r="C957" s="11">
        <v>25</v>
      </c>
      <c r="D957" s="13" t="s">
        <v>300</v>
      </c>
      <c r="E957" s="10" t="s">
        <v>135</v>
      </c>
      <c r="F957" s="10" t="s">
        <v>207</v>
      </c>
      <c r="G957" s="10"/>
      <c r="H957" s="10"/>
      <c r="I957" s="10"/>
      <c r="J957" s="10"/>
      <c r="K957" s="575"/>
      <c r="L957" s="152"/>
      <c r="M957" s="422"/>
      <c r="N957" s="62"/>
      <c r="O957" s="62"/>
      <c r="P957" s="424"/>
      <c r="Q957" s="171"/>
      <c r="R957" s="62"/>
      <c r="S957" s="339"/>
      <c r="T957" s="767">
        <v>0</v>
      </c>
      <c r="U957" s="62"/>
      <c r="V957" s="164"/>
      <c r="W957" s="62"/>
      <c r="X957" s="62"/>
      <c r="Y957" s="62"/>
      <c r="Z957" s="64"/>
      <c r="AA957" s="164"/>
      <c r="AB957" s="62"/>
      <c r="AC957" s="62"/>
      <c r="AD957" s="64"/>
      <c r="AE957" s="164"/>
      <c r="AF957" s="62"/>
      <c r="AG957" s="64"/>
      <c r="AH957" s="337"/>
      <c r="AI957" s="337"/>
      <c r="AJ957" s="337"/>
      <c r="AK957" s="337"/>
      <c r="AL957" s="555"/>
      <c r="AM957" s="552"/>
      <c r="AN957" s="841"/>
      <c r="AO957" s="45"/>
      <c r="AP957" s="44"/>
      <c r="AQ957" s="485"/>
      <c r="AR957"/>
      <c r="AS957" s="485" t="e">
        <f>BL957/BI957</f>
        <v>#DIV/0!</v>
      </c>
      <c r="AT957" s="679"/>
      <c r="AU957" s="679"/>
      <c r="AV957" s="679"/>
      <c r="AW957" s="18">
        <v>25</v>
      </c>
      <c r="AX957" s="69" t="s">
        <v>300</v>
      </c>
      <c r="AY957" s="243" t="s">
        <v>135</v>
      </c>
      <c r="AZ957" s="243" t="str">
        <f t="shared" si="371"/>
        <v>Sockeye</v>
      </c>
      <c r="BA957" s="243" t="s">
        <v>419</v>
      </c>
      <c r="BB957" s="244" t="s">
        <v>528</v>
      </c>
      <c r="BC957" s="43" t="str">
        <f t="shared" si="372"/>
        <v>Oct 22-28</v>
      </c>
      <c r="BD957" s="43">
        <f t="shared" si="392"/>
        <v>1</v>
      </c>
      <c r="BE957" s="193">
        <f t="shared" si="389"/>
        <v>0</v>
      </c>
      <c r="BF957" s="193">
        <f t="shared" si="373"/>
        <v>0</v>
      </c>
      <c r="BG957" s="193">
        <f t="shared" si="374"/>
        <v>0</v>
      </c>
      <c r="BH957" s="307">
        <f t="shared" si="391"/>
        <v>0</v>
      </c>
      <c r="BI957" s="265">
        <f>CC957</f>
        <v>0</v>
      </c>
      <c r="BJ957" s="26" t="str">
        <f t="shared" si="375"/>
        <v>CHUM CREEKSockeye</v>
      </c>
      <c r="BK957" s="26">
        <f t="shared" si="376"/>
        <v>1</v>
      </c>
      <c r="BL957" s="33">
        <f t="shared" si="393"/>
        <v>0</v>
      </c>
      <c r="BQ957" s="47" t="str">
        <f t="shared" si="377"/>
        <v>CHUM CREEKSockeye</v>
      </c>
      <c r="BR957" s="49">
        <f t="shared" si="378"/>
        <v>0</v>
      </c>
      <c r="BS957" s="49">
        <f t="shared" si="388"/>
        <v>0</v>
      </c>
      <c r="BT957" s="31">
        <v>2011</v>
      </c>
      <c r="BU957" s="188" t="str">
        <f t="shared" si="379"/>
        <v>EFN/Wildcoast</v>
      </c>
      <c r="BV957" s="188" t="str">
        <f t="shared" si="380"/>
        <v xml:space="preserve"> </v>
      </c>
      <c r="BW957" s="188" t="str">
        <f t="shared" si="394"/>
        <v>Oct 22-28</v>
      </c>
      <c r="BX957" s="188" t="str">
        <f t="shared" si="381"/>
        <v xml:space="preserve"> </v>
      </c>
      <c r="BY957" s="50" t="str">
        <f t="shared" si="370"/>
        <v>CHUM CREEK_Sockeye</v>
      </c>
      <c r="BZ957" s="50">
        <f>IFERROR(VLOOKUP(BY957,'[1]WCVI Esc'!$C$5:$W$555,18,FALSE),"-")</f>
        <v>2</v>
      </c>
      <c r="CA957" s="50">
        <f t="shared" si="382"/>
        <v>0</v>
      </c>
      <c r="CB957" s="50">
        <f>IFERROR(VLOOKUP(BY957,'[1]WCVI Esc'!$C$5:$W$555,19,FALSE),"-")</f>
        <v>3.5</v>
      </c>
      <c r="CC957" s="50">
        <f t="shared" si="383"/>
        <v>0</v>
      </c>
      <c r="CE957" s="342" t="str">
        <f t="shared" si="395"/>
        <v>CHUM CREEK_Sockeye</v>
      </c>
      <c r="CF957" s="341">
        <f>IFERROR(VLOOKUP(BY957,'RawPL+D'!$O$8:$AB$503,12,FALSE),"-")</f>
        <v>2</v>
      </c>
      <c r="CG957" s="338">
        <f t="shared" si="384"/>
        <v>0</v>
      </c>
      <c r="CH957" s="341">
        <f>IFERROR(VLOOKUP(BY957,'RawPL+D'!$O$8:$AB$503,13,FALSE),"-")</f>
        <v>1.5</v>
      </c>
      <c r="CI957" s="338">
        <f t="shared" si="385"/>
        <v>0</v>
      </c>
    </row>
    <row r="958" spans="1:87" ht="12.75" hidden="1" customHeight="1" x14ac:dyDescent="0.2">
      <c r="A958" s="28">
        <v>3</v>
      </c>
      <c r="B958" s="28">
        <v>2</v>
      </c>
      <c r="C958" s="11">
        <v>25</v>
      </c>
      <c r="D958" s="13" t="s">
        <v>300</v>
      </c>
      <c r="E958" s="10" t="s">
        <v>135</v>
      </c>
      <c r="F958" s="10" t="s">
        <v>219</v>
      </c>
      <c r="G958" s="10"/>
      <c r="H958" s="10"/>
      <c r="I958" s="10"/>
      <c r="J958" s="10"/>
      <c r="K958" s="575"/>
      <c r="L958" s="152"/>
      <c r="M958" s="422"/>
      <c r="N958" s="62"/>
      <c r="O958" s="62"/>
      <c r="P958" s="424"/>
      <c r="Q958" s="171"/>
      <c r="R958" s="62"/>
      <c r="S958" s="339"/>
      <c r="T958" s="767">
        <v>10</v>
      </c>
      <c r="U958" s="62"/>
      <c r="V958" s="164"/>
      <c r="W958" s="390"/>
      <c r="X958" s="63"/>
      <c r="Y958" s="62"/>
      <c r="Z958" s="64"/>
      <c r="AA958" s="164"/>
      <c r="AB958" s="62"/>
      <c r="AC958" s="62"/>
      <c r="AD958" s="64"/>
      <c r="AE958" s="164"/>
      <c r="AF958" s="62"/>
      <c r="AG958" s="64"/>
      <c r="AH958" s="337"/>
      <c r="AI958" s="337"/>
      <c r="AJ958" s="337"/>
      <c r="AK958" s="337"/>
      <c r="AL958" s="555"/>
      <c r="AM958" s="552"/>
      <c r="AN958" s="841"/>
      <c r="AO958" s="45"/>
      <c r="AP958" s="44"/>
      <c r="AQ958" s="485">
        <f>AL958/BI958</f>
        <v>0</v>
      </c>
      <c r="AR958" s="485">
        <f>BL958/BH958</f>
        <v>1</v>
      </c>
      <c r="AS958" s="485">
        <f>BL958/BI958</f>
        <v>0.25</v>
      </c>
      <c r="AT958" s="123"/>
      <c r="AU958" s="123"/>
      <c r="AV958" s="123"/>
      <c r="AW958" s="18">
        <v>25</v>
      </c>
      <c r="AX958" s="69" t="s">
        <v>300</v>
      </c>
      <c r="AY958" s="243" t="s">
        <v>135</v>
      </c>
      <c r="AZ958" s="243" t="str">
        <f t="shared" si="371"/>
        <v>Coho</v>
      </c>
      <c r="BA958" s="243" t="s">
        <v>419</v>
      </c>
      <c r="BB958" s="244" t="s">
        <v>528</v>
      </c>
      <c r="BC958" s="43" t="str">
        <f t="shared" si="372"/>
        <v>Oct 22-28</v>
      </c>
      <c r="BD958" s="43">
        <f t="shared" si="392"/>
        <v>1</v>
      </c>
      <c r="BE958" s="193">
        <f t="shared" si="389"/>
        <v>10</v>
      </c>
      <c r="BF958" s="193">
        <f t="shared" si="373"/>
        <v>0</v>
      </c>
      <c r="BG958" s="193">
        <f t="shared" si="374"/>
        <v>0</v>
      </c>
      <c r="BH958" s="307">
        <f t="shared" si="391"/>
        <v>10</v>
      </c>
      <c r="BI958" s="265">
        <f>CC958</f>
        <v>40</v>
      </c>
      <c r="BJ958" s="26" t="str">
        <f t="shared" si="375"/>
        <v>CHUM CREEKCoho</v>
      </c>
      <c r="BK958" s="26">
        <f t="shared" si="376"/>
        <v>1</v>
      </c>
      <c r="BL958" s="33">
        <f t="shared" si="393"/>
        <v>10</v>
      </c>
      <c r="BQ958" s="47" t="str">
        <f t="shared" si="377"/>
        <v>CHUM CREEKCoho</v>
      </c>
      <c r="BR958" s="49">
        <f t="shared" si="378"/>
        <v>0</v>
      </c>
      <c r="BS958" s="49">
        <f t="shared" si="388"/>
        <v>0</v>
      </c>
      <c r="BT958" s="31">
        <v>2012</v>
      </c>
      <c r="BU958" s="188" t="str">
        <f t="shared" si="379"/>
        <v>EFN/Wildcoast</v>
      </c>
      <c r="BV958" s="188" t="str">
        <f t="shared" si="380"/>
        <v xml:space="preserve"> </v>
      </c>
      <c r="BW958" s="188" t="str">
        <f t="shared" si="394"/>
        <v>Oct 22-28</v>
      </c>
      <c r="BX958" s="188" t="str">
        <f t="shared" si="381"/>
        <v xml:space="preserve"> </v>
      </c>
      <c r="BY958" s="50" t="str">
        <f t="shared" si="370"/>
        <v>CHUM CREEK_Coho</v>
      </c>
      <c r="BZ958" s="50">
        <f>IFERROR(VLOOKUP(BY958,'[1]WCVI Esc'!$C$5:$W$555,18,FALSE),"-")</f>
        <v>13.5</v>
      </c>
      <c r="CA958" s="50">
        <f t="shared" si="382"/>
        <v>10</v>
      </c>
      <c r="CB958" s="50">
        <f>IFERROR(VLOOKUP(BY958,'[1]WCVI Esc'!$C$5:$W$555,19,FALSE),"-")</f>
        <v>41.666666666666664</v>
      </c>
      <c r="CC958" s="50">
        <f t="shared" si="383"/>
        <v>40</v>
      </c>
      <c r="CE958" s="342" t="str">
        <f t="shared" si="395"/>
        <v>CHUM CREEK_Coho</v>
      </c>
      <c r="CF958" s="341">
        <f>IFERROR(VLOOKUP(CE958,'RawPL+D'!$O$8:$AB$503,12,FALSE),"-")</f>
        <v>0</v>
      </c>
      <c r="CG958" s="338">
        <f t="shared" si="384"/>
        <v>0</v>
      </c>
      <c r="CH958" s="341">
        <f>IFERROR(VLOOKUP(CE958,'RawPL+D'!$O$8:$AB$503,13,FALSE),"-")</f>
        <v>5.75</v>
      </c>
      <c r="CI958" s="338">
        <f t="shared" si="385"/>
        <v>10</v>
      </c>
    </row>
    <row r="959" spans="1:87" ht="12.75" hidden="1" customHeight="1" x14ac:dyDescent="0.2">
      <c r="A959" s="28">
        <v>3</v>
      </c>
      <c r="B959" s="28">
        <v>3</v>
      </c>
      <c r="C959" s="11">
        <v>25</v>
      </c>
      <c r="D959" s="13" t="s">
        <v>300</v>
      </c>
      <c r="E959" s="10" t="s">
        <v>135</v>
      </c>
      <c r="F959" s="10" t="s">
        <v>208</v>
      </c>
      <c r="G959" s="10"/>
      <c r="H959" s="10"/>
      <c r="I959" s="10"/>
      <c r="J959" s="10"/>
      <c r="K959" s="575"/>
      <c r="L959" s="152"/>
      <c r="M959" s="422"/>
      <c r="N959" s="62"/>
      <c r="O959" s="62"/>
      <c r="P959" s="424"/>
      <c r="Q959" s="171"/>
      <c r="R959" s="62"/>
      <c r="S959" s="339"/>
      <c r="T959" s="767">
        <v>0</v>
      </c>
      <c r="U959" s="62"/>
      <c r="V959" s="164"/>
      <c r="W959" s="62"/>
      <c r="X959" s="62"/>
      <c r="Y959" s="62"/>
      <c r="Z959" s="64"/>
      <c r="AA959" s="164"/>
      <c r="AB959" s="62"/>
      <c r="AC959" s="62"/>
      <c r="AD959" s="64"/>
      <c r="AE959" s="164"/>
      <c r="AF959" s="62"/>
      <c r="AG959" s="64"/>
      <c r="AH959" s="337"/>
      <c r="AI959" s="337"/>
      <c r="AJ959" s="337"/>
      <c r="AK959" s="337"/>
      <c r="AL959" s="555"/>
      <c r="AM959" s="552"/>
      <c r="AN959" s="45"/>
      <c r="AO959" s="45"/>
      <c r="AP959" s="44"/>
      <c r="AQ959" s="485"/>
      <c r="AR959" s="100"/>
      <c r="AS959" s="485"/>
      <c r="AT959" s="679"/>
      <c r="AU959" s="679"/>
      <c r="AV959" s="679"/>
      <c r="AW959" s="18">
        <v>25</v>
      </c>
      <c r="AX959" s="69" t="s">
        <v>300</v>
      </c>
      <c r="AY959" s="243" t="s">
        <v>135</v>
      </c>
      <c r="AZ959" s="243" t="str">
        <f t="shared" si="371"/>
        <v>Pink</v>
      </c>
      <c r="BA959" s="243" t="s">
        <v>419</v>
      </c>
      <c r="BB959" s="244" t="s">
        <v>528</v>
      </c>
      <c r="BC959" s="43" t="str">
        <f t="shared" si="372"/>
        <v>Oct 22-28</v>
      </c>
      <c r="BD959" s="43">
        <f t="shared" si="392"/>
        <v>1</v>
      </c>
      <c r="BE959" s="193">
        <f t="shared" si="389"/>
        <v>0</v>
      </c>
      <c r="BF959" s="193">
        <f t="shared" si="373"/>
        <v>0</v>
      </c>
      <c r="BG959" s="193">
        <f t="shared" si="374"/>
        <v>0</v>
      </c>
      <c r="BH959" s="307" t="str">
        <f t="shared" si="391"/>
        <v>-</v>
      </c>
      <c r="BI959" s="265"/>
      <c r="BJ959" s="26" t="str">
        <f t="shared" si="375"/>
        <v>CHUM CREEKPink</v>
      </c>
      <c r="BK959" s="26">
        <f t="shared" si="376"/>
        <v>1</v>
      </c>
      <c r="BL959" s="33">
        <f t="shared" si="393"/>
        <v>0</v>
      </c>
      <c r="BQ959" s="47" t="str">
        <f t="shared" si="377"/>
        <v>CHUM CREEKPink</v>
      </c>
      <c r="BR959" s="49">
        <f t="shared" si="378"/>
        <v>0</v>
      </c>
      <c r="BS959" s="49">
        <f t="shared" si="388"/>
        <v>0</v>
      </c>
      <c r="BT959" s="31">
        <v>0</v>
      </c>
      <c r="BU959" s="188" t="str">
        <f t="shared" si="379"/>
        <v>EFN/Wildcoast</v>
      </c>
      <c r="BV959" s="188" t="str">
        <f t="shared" si="380"/>
        <v xml:space="preserve"> </v>
      </c>
      <c r="BW959" s="188" t="str">
        <f t="shared" si="394"/>
        <v>Oct 22-28</v>
      </c>
      <c r="BX959" s="188" t="str">
        <f t="shared" si="381"/>
        <v xml:space="preserve"> </v>
      </c>
      <c r="BY959" s="50" t="str">
        <f t="shared" ref="BY959:BY1022" si="396">CONCATENATE(E959,"_",F959)</f>
        <v>CHUM CREEK_Pink</v>
      </c>
      <c r="BZ959" s="50" t="str">
        <f>IFERROR(VLOOKUP(BY959,'[1]WCVI Esc'!$C$5:$W$555,18,FALSE),"-")</f>
        <v>-</v>
      </c>
      <c r="CA959" s="50" t="str">
        <f t="shared" si="382"/>
        <v>-</v>
      </c>
      <c r="CB959" s="50" t="str">
        <f>IFERROR(VLOOKUP(BY959,'[1]WCVI Esc'!$C$5:$W$555,19,FALSE),"-")</f>
        <v>-</v>
      </c>
      <c r="CC959" s="50" t="str">
        <f t="shared" si="383"/>
        <v>-</v>
      </c>
      <c r="CE959" s="342" t="str">
        <f t="shared" si="395"/>
        <v>CHUM CREEK_Pink</v>
      </c>
      <c r="CF959" s="341" t="str">
        <f>IFERROR(VLOOKUP(BY959,'RawPL+D'!$O$8:$AB$503,12,FALSE),"-")</f>
        <v>-</v>
      </c>
      <c r="CG959" s="338" t="str">
        <f t="shared" si="384"/>
        <v>-</v>
      </c>
      <c r="CH959" s="341" t="str">
        <f>IFERROR(VLOOKUP(BY959,'RawPL+D'!$O$8:$AB$503,13,FALSE),"-")</f>
        <v>-</v>
      </c>
      <c r="CI959" s="338" t="str">
        <f t="shared" si="385"/>
        <v>-</v>
      </c>
    </row>
    <row r="960" spans="1:87" ht="12.75" hidden="1" customHeight="1" x14ac:dyDescent="0.2">
      <c r="A960" s="28">
        <v>3</v>
      </c>
      <c r="B960" s="28">
        <v>4</v>
      </c>
      <c r="C960" s="11">
        <v>25</v>
      </c>
      <c r="D960" s="13" t="s">
        <v>300</v>
      </c>
      <c r="E960" s="10" t="s">
        <v>135</v>
      </c>
      <c r="F960" s="10" t="s">
        <v>209</v>
      </c>
      <c r="G960" s="10"/>
      <c r="H960" s="10"/>
      <c r="I960" s="10"/>
      <c r="J960" s="10"/>
      <c r="K960" s="575"/>
      <c r="L960" s="152"/>
      <c r="M960" s="422"/>
      <c r="N960" s="62"/>
      <c r="O960" s="62"/>
      <c r="P960" s="424"/>
      <c r="Q960" s="458"/>
      <c r="R960" s="432"/>
      <c r="S960" s="339"/>
      <c r="T960" s="768">
        <f>753+113</f>
        <v>866</v>
      </c>
      <c r="U960" s="390"/>
      <c r="V960" s="421"/>
      <c r="W960" s="62"/>
      <c r="X960" s="63"/>
      <c r="Y960" s="62"/>
      <c r="Z960" s="64"/>
      <c r="AA960" s="164"/>
      <c r="AB960" s="62"/>
      <c r="AC960" s="62"/>
      <c r="AD960" s="64"/>
      <c r="AE960" s="164"/>
      <c r="AF960" s="62"/>
      <c r="AG960" s="64"/>
      <c r="AH960" s="337"/>
      <c r="AI960" s="337"/>
      <c r="AJ960" s="337"/>
      <c r="AK960" s="337"/>
      <c r="AL960" s="555"/>
      <c r="AM960" s="552"/>
      <c r="AN960" s="841"/>
      <c r="AO960" s="45"/>
      <c r="AP960" s="44"/>
      <c r="AQ960" s="485">
        <f>AL960/BI960</f>
        <v>0</v>
      </c>
      <c r="AR960" s="485">
        <f>BL960/BH960</f>
        <v>5.4124999999999996</v>
      </c>
      <c r="AS960" s="485">
        <f>BL960/BI960</f>
        <v>0.53456790123456788</v>
      </c>
      <c r="AT960" s="123"/>
      <c r="AU960" s="123"/>
      <c r="AV960" s="123"/>
      <c r="AW960" s="18">
        <v>25</v>
      </c>
      <c r="AX960" s="69" t="s">
        <v>300</v>
      </c>
      <c r="AY960" s="243" t="s">
        <v>135</v>
      </c>
      <c r="AZ960" s="243" t="str">
        <f t="shared" si="371"/>
        <v>Chum</v>
      </c>
      <c r="BA960" s="243" t="s">
        <v>419</v>
      </c>
      <c r="BB960" s="244" t="s">
        <v>528</v>
      </c>
      <c r="BC960" s="43" t="str">
        <f t="shared" si="372"/>
        <v>Oct 22-28</v>
      </c>
      <c r="BD960" s="43">
        <f t="shared" si="392"/>
        <v>1</v>
      </c>
      <c r="BE960" s="193">
        <f t="shared" si="389"/>
        <v>866</v>
      </c>
      <c r="BF960" s="193">
        <f t="shared" si="373"/>
        <v>0</v>
      </c>
      <c r="BG960" s="193">
        <f t="shared" si="374"/>
        <v>0</v>
      </c>
      <c r="BH960" s="307">
        <f t="shared" si="391"/>
        <v>160</v>
      </c>
      <c r="BI960" s="265">
        <f>CC960</f>
        <v>1620</v>
      </c>
      <c r="BJ960" s="26" t="str">
        <f t="shared" si="375"/>
        <v>CHUM CREEKChum</v>
      </c>
      <c r="BK960" s="26">
        <f t="shared" si="376"/>
        <v>1</v>
      </c>
      <c r="BL960" s="33">
        <f t="shared" si="393"/>
        <v>866</v>
      </c>
      <c r="BQ960" s="47" t="str">
        <f t="shared" si="377"/>
        <v>CHUM CREEKChum</v>
      </c>
      <c r="BR960" s="49">
        <f t="shared" si="378"/>
        <v>0</v>
      </c>
      <c r="BS960" s="49">
        <f t="shared" si="388"/>
        <v>0</v>
      </c>
      <c r="BT960" s="31">
        <v>2012</v>
      </c>
      <c r="BU960" s="188" t="str">
        <f t="shared" si="379"/>
        <v>EFN/Wildcoast</v>
      </c>
      <c r="BV960" s="188" t="str">
        <f t="shared" si="380"/>
        <v xml:space="preserve"> </v>
      </c>
      <c r="BW960" s="188" t="str">
        <f t="shared" si="394"/>
        <v>Oct 22-28</v>
      </c>
      <c r="BX960" s="188" t="str">
        <f t="shared" si="381"/>
        <v xml:space="preserve"> </v>
      </c>
      <c r="BY960" s="50" t="str">
        <f t="shared" si="396"/>
        <v>CHUM CREEK_Chum</v>
      </c>
      <c r="BZ960" s="50">
        <f>IFERROR(VLOOKUP(BY960,'[1]WCVI Esc'!$C$5:$W$555,18,FALSE),"-")</f>
        <v>191.25</v>
      </c>
      <c r="CA960" s="50">
        <f t="shared" si="382"/>
        <v>190</v>
      </c>
      <c r="CB960" s="50">
        <f>IFERROR(VLOOKUP(BY960,'[1]WCVI Esc'!$C$5:$W$555,19,FALSE),"-")</f>
        <v>1616.75</v>
      </c>
      <c r="CC960" s="50">
        <f t="shared" si="383"/>
        <v>1620</v>
      </c>
      <c r="CE960" s="342" t="str">
        <f t="shared" si="395"/>
        <v>CHUM CREEK_Chum</v>
      </c>
      <c r="CF960" s="341">
        <f>IFERROR(VLOOKUP(CE960,'RawPL+D'!$O$8:$AB$503,12,FALSE),"-")</f>
        <v>70</v>
      </c>
      <c r="CG960" s="338">
        <f t="shared" si="384"/>
        <v>70</v>
      </c>
      <c r="CH960" s="341">
        <f>IFERROR(VLOOKUP(CE960,'RawPL+D'!$O$8:$AB$503,13,FALSE),"-")</f>
        <v>155</v>
      </c>
      <c r="CI960" s="338">
        <f t="shared" si="385"/>
        <v>160</v>
      </c>
    </row>
    <row r="961" spans="1:87" ht="12.75" hidden="1" customHeight="1" x14ac:dyDescent="0.2">
      <c r="A961" s="28">
        <v>3</v>
      </c>
      <c r="B961" s="28">
        <v>5</v>
      </c>
      <c r="C961" s="11">
        <v>25</v>
      </c>
      <c r="D961" s="13" t="s">
        <v>300</v>
      </c>
      <c r="E961" s="10" t="s">
        <v>135</v>
      </c>
      <c r="F961" s="10" t="s">
        <v>210</v>
      </c>
      <c r="G961" s="10"/>
      <c r="H961" s="10"/>
      <c r="I961" s="10"/>
      <c r="J961" s="10"/>
      <c r="K961" s="575"/>
      <c r="L961" s="152"/>
      <c r="M961" s="422"/>
      <c r="N961" s="62"/>
      <c r="O961" s="62"/>
      <c r="P961" s="424"/>
      <c r="Q961" s="171"/>
      <c r="R961" s="390"/>
      <c r="S961" s="339"/>
      <c r="T961" s="768">
        <v>1</v>
      </c>
      <c r="U961" s="390"/>
      <c r="V961" s="164"/>
      <c r="W961" s="62"/>
      <c r="X961" s="63"/>
      <c r="Y961" s="62"/>
      <c r="Z961" s="64"/>
      <c r="AA961" s="164"/>
      <c r="AB961" s="62"/>
      <c r="AC961" s="62"/>
      <c r="AD961" s="64"/>
      <c r="AE961" s="164"/>
      <c r="AF961" s="62"/>
      <c r="AG961" s="64"/>
      <c r="AH961" s="337"/>
      <c r="AI961" s="337"/>
      <c r="AJ961" s="337"/>
      <c r="AK961" s="337"/>
      <c r="AL961" s="555"/>
      <c r="AM961" s="552"/>
      <c r="AN961" s="841"/>
      <c r="AO961" s="45"/>
      <c r="AP961" s="44"/>
      <c r="AQ961" s="485">
        <f>AL961/BI961</f>
        <v>0</v>
      </c>
      <c r="AR961" s="100" t="e">
        <f>BL961/BH961</f>
        <v>#DIV/0!</v>
      </c>
      <c r="AS961" s="485">
        <f>BL961/BI961</f>
        <v>0.1</v>
      </c>
      <c r="AT961" s="679"/>
      <c r="AU961" s="679"/>
      <c r="AV961" s="123">
        <f>AL961</f>
        <v>0</v>
      </c>
      <c r="AW961" s="18">
        <v>25</v>
      </c>
      <c r="AX961" s="69" t="s">
        <v>300</v>
      </c>
      <c r="AY961" s="243" t="s">
        <v>135</v>
      </c>
      <c r="AZ961" s="243" t="str">
        <f t="shared" si="371"/>
        <v>Chinook</v>
      </c>
      <c r="BA961" s="243" t="s">
        <v>419</v>
      </c>
      <c r="BB961" s="244" t="s">
        <v>528</v>
      </c>
      <c r="BC961" s="43" t="str">
        <f t="shared" si="372"/>
        <v>Oct 22-28</v>
      </c>
      <c r="BD961" s="43">
        <f t="shared" si="392"/>
        <v>1</v>
      </c>
      <c r="BE961" s="193">
        <f t="shared" si="389"/>
        <v>1</v>
      </c>
      <c r="BF961" s="193">
        <f t="shared" si="373"/>
        <v>0</v>
      </c>
      <c r="BG961" s="193">
        <f t="shared" si="374"/>
        <v>0</v>
      </c>
      <c r="BH961" s="307">
        <f t="shared" si="391"/>
        <v>0</v>
      </c>
      <c r="BI961" s="265">
        <f>CC961</f>
        <v>10</v>
      </c>
      <c r="BJ961" s="26" t="str">
        <f t="shared" si="375"/>
        <v>CHUM CREEKChinook</v>
      </c>
      <c r="BK961" s="26">
        <f t="shared" si="376"/>
        <v>1</v>
      </c>
      <c r="BL961" s="33">
        <f t="shared" si="393"/>
        <v>1</v>
      </c>
      <c r="BQ961" s="47" t="str">
        <f t="shared" si="377"/>
        <v>CHUM CREEKChinook</v>
      </c>
      <c r="BR961" s="49">
        <f t="shared" si="378"/>
        <v>0</v>
      </c>
      <c r="BS961" s="49">
        <f t="shared" si="388"/>
        <v>0</v>
      </c>
      <c r="BT961" s="31">
        <v>2011</v>
      </c>
      <c r="BU961" s="188" t="str">
        <f t="shared" si="379"/>
        <v>EFN/Wildcoast</v>
      </c>
      <c r="BV961" s="188" t="str">
        <f t="shared" si="380"/>
        <v xml:space="preserve"> </v>
      </c>
      <c r="BW961" s="188" t="str">
        <f t="shared" si="394"/>
        <v>Oct 22-28</v>
      </c>
      <c r="BX961" s="188" t="str">
        <f t="shared" si="381"/>
        <v xml:space="preserve"> </v>
      </c>
      <c r="BY961" s="50" t="str">
        <f t="shared" si="396"/>
        <v>CHUM CREEK_Chinook</v>
      </c>
      <c r="BZ961" s="50">
        <f>IFERROR(VLOOKUP(BY961,'[1]WCVI Esc'!$C$5:$W$555,18,FALSE),"-")</f>
        <v>9</v>
      </c>
      <c r="CA961" s="50">
        <f t="shared" si="382"/>
        <v>10</v>
      </c>
      <c r="CB961" s="50">
        <f>IFERROR(VLOOKUP(BY961,'[1]WCVI Esc'!$C$5:$W$555,19,FALSE),"-")</f>
        <v>13</v>
      </c>
      <c r="CC961" s="50">
        <f t="shared" si="383"/>
        <v>10</v>
      </c>
      <c r="CE961" s="342" t="str">
        <f t="shared" si="395"/>
        <v>CHUM CREEK_Chinook</v>
      </c>
      <c r="CF961" s="341">
        <f>IFERROR(VLOOKUP(CE961,'RawPL+D'!$O$8:$AB$503,12,FALSE),"-")</f>
        <v>0</v>
      </c>
      <c r="CG961" s="338">
        <f t="shared" si="384"/>
        <v>0</v>
      </c>
      <c r="CH961" s="341">
        <f>IFERROR(VLOOKUP(CE961,'RawPL+D'!$O$8:$AB$503,13,FALSE),"-")</f>
        <v>3.75</v>
      </c>
      <c r="CI961" s="338">
        <f t="shared" si="385"/>
        <v>0</v>
      </c>
    </row>
    <row r="962" spans="1:87" ht="12.75" hidden="1" customHeight="1" x14ac:dyDescent="0.2">
      <c r="A962" s="28">
        <v>3</v>
      </c>
      <c r="B962" s="28">
        <v>6</v>
      </c>
      <c r="C962" s="11">
        <v>25</v>
      </c>
      <c r="D962" s="13" t="s">
        <v>300</v>
      </c>
      <c r="E962" s="10" t="s">
        <v>135</v>
      </c>
      <c r="F962" s="10" t="s">
        <v>211</v>
      </c>
      <c r="G962" s="10"/>
      <c r="H962" s="10"/>
      <c r="I962" s="10"/>
      <c r="J962" s="10"/>
      <c r="K962" s="575"/>
      <c r="L962" s="152"/>
      <c r="M962" s="422"/>
      <c r="N962" s="62"/>
      <c r="O962" s="62"/>
      <c r="P962" s="424"/>
      <c r="Q962" s="171"/>
      <c r="R962" s="62"/>
      <c r="S962" s="339"/>
      <c r="T962" s="767">
        <v>0</v>
      </c>
      <c r="U962" s="62"/>
      <c r="V962" s="164"/>
      <c r="W962" s="62"/>
      <c r="X962" s="62"/>
      <c r="Y962" s="62"/>
      <c r="Z962" s="64"/>
      <c r="AA962" s="164"/>
      <c r="AB962" s="62"/>
      <c r="AC962" s="62"/>
      <c r="AD962" s="64"/>
      <c r="AE962" s="164"/>
      <c r="AF962" s="62"/>
      <c r="AG962" s="64"/>
      <c r="AH962" s="337"/>
      <c r="AI962" s="337"/>
      <c r="AJ962" s="337"/>
      <c r="AK962" s="337"/>
      <c r="AL962" s="555"/>
      <c r="AM962" s="552"/>
      <c r="AN962" s="45"/>
      <c r="AO962" s="45"/>
      <c r="AP962" s="44"/>
      <c r="AQ962" s="485"/>
      <c r="AR962"/>
      <c r="AS962" s="485"/>
      <c r="AT962" s="679"/>
      <c r="AU962" s="679"/>
      <c r="AV962" s="679"/>
      <c r="AW962" s="18">
        <v>25</v>
      </c>
      <c r="AX962" s="69" t="s">
        <v>300</v>
      </c>
      <c r="AY962" s="243" t="s">
        <v>135</v>
      </c>
      <c r="AZ962" s="243" t="str">
        <f t="shared" si="371"/>
        <v>Steelhead</v>
      </c>
      <c r="BA962" s="243" t="s">
        <v>419</v>
      </c>
      <c r="BB962" s="244" t="s">
        <v>528</v>
      </c>
      <c r="BC962" s="43" t="str">
        <f t="shared" si="372"/>
        <v>Oct 22-28</v>
      </c>
      <c r="BD962" s="43">
        <f t="shared" si="392"/>
        <v>1</v>
      </c>
      <c r="BE962" s="193">
        <f t="shared" si="389"/>
        <v>0</v>
      </c>
      <c r="BF962" s="193">
        <f t="shared" si="373"/>
        <v>0</v>
      </c>
      <c r="BG962" s="193">
        <f t="shared" si="374"/>
        <v>0</v>
      </c>
      <c r="BH962" s="307" t="str">
        <f t="shared" si="391"/>
        <v>-</v>
      </c>
      <c r="BI962" s="265" t="str">
        <f>CC962</f>
        <v>-</v>
      </c>
      <c r="BJ962" s="26" t="str">
        <f t="shared" si="375"/>
        <v>CHUM CREEKSteelhead</v>
      </c>
      <c r="BK962" s="26">
        <f t="shared" si="376"/>
        <v>1</v>
      </c>
      <c r="BL962" s="33">
        <f t="shared" si="393"/>
        <v>0</v>
      </c>
      <c r="BQ962" s="47" t="str">
        <f t="shared" si="377"/>
        <v>CHUM CREEKSteelhead</v>
      </c>
      <c r="BR962" s="49">
        <f t="shared" si="378"/>
        <v>0</v>
      </c>
      <c r="BS962" s="49">
        <f t="shared" si="388"/>
        <v>0</v>
      </c>
      <c r="BT962" s="31">
        <v>0</v>
      </c>
      <c r="BU962" s="188" t="str">
        <f t="shared" si="379"/>
        <v>EFN/Wildcoast</v>
      </c>
      <c r="BV962" s="188" t="str">
        <f t="shared" si="380"/>
        <v xml:space="preserve"> </v>
      </c>
      <c r="BW962" s="188" t="str">
        <f t="shared" si="394"/>
        <v>Oct 22-28</v>
      </c>
      <c r="BX962" s="188" t="str">
        <f t="shared" si="381"/>
        <v xml:space="preserve"> </v>
      </c>
      <c r="BY962" s="50" t="str">
        <f t="shared" si="396"/>
        <v>CHUM CREEK_Steelhead</v>
      </c>
      <c r="BZ962" s="50" t="str">
        <f>IFERROR(VLOOKUP(BY962,'[1]WCVI Esc'!$C$5:$W$555,18,FALSE),"-")</f>
        <v>-</v>
      </c>
      <c r="CA962" s="50" t="str">
        <f t="shared" si="382"/>
        <v>-</v>
      </c>
      <c r="CB962" s="50" t="str">
        <f>IFERROR(VLOOKUP(BY962,'[1]WCVI Esc'!$C$5:$W$555,19,FALSE),"-")</f>
        <v>-</v>
      </c>
      <c r="CC962" s="50" t="str">
        <f t="shared" si="383"/>
        <v>-</v>
      </c>
      <c r="CE962" s="342" t="str">
        <f t="shared" si="395"/>
        <v>CHUM CREEK_Steelhead</v>
      </c>
      <c r="CF962" s="341" t="str">
        <f>IFERROR(VLOOKUP(BY962,'RawPL+D'!$O$8:$AB$503,12,FALSE),"-")</f>
        <v>-</v>
      </c>
      <c r="CG962" s="338" t="str">
        <f t="shared" si="384"/>
        <v>-</v>
      </c>
      <c r="CH962" s="341" t="str">
        <f>IFERROR(VLOOKUP(BY962,'RawPL+D'!$O$8:$AB$503,13,FALSE),"-")</f>
        <v>-</v>
      </c>
      <c r="CI962" s="338" t="str">
        <f t="shared" si="385"/>
        <v>-</v>
      </c>
    </row>
    <row r="963" spans="1:87" ht="12.75" hidden="1" customHeight="1" x14ac:dyDescent="0.2">
      <c r="A963" s="28">
        <v>3</v>
      </c>
      <c r="B963" s="28">
        <v>1</v>
      </c>
      <c r="C963" s="11">
        <v>25</v>
      </c>
      <c r="D963" s="13" t="s">
        <v>300</v>
      </c>
      <c r="E963" s="10" t="s">
        <v>143</v>
      </c>
      <c r="F963" s="10" t="s">
        <v>207</v>
      </c>
      <c r="G963" s="10"/>
      <c r="H963" s="10"/>
      <c r="I963" s="10"/>
      <c r="J963" s="10"/>
      <c r="K963" s="575"/>
      <c r="L963" s="152"/>
      <c r="M963" s="422"/>
      <c r="N963" s="339"/>
      <c r="O963" s="62"/>
      <c r="P963" s="424"/>
      <c r="Q963" s="171"/>
      <c r="R963" s="339"/>
      <c r="S963" s="339"/>
      <c r="T963" s="767">
        <v>0</v>
      </c>
      <c r="U963" s="833">
        <v>0</v>
      </c>
      <c r="V963" s="429"/>
      <c r="W963" s="62"/>
      <c r="X963" s="63"/>
      <c r="Y963" s="62"/>
      <c r="Z963" s="64"/>
      <c r="AA963" s="164"/>
      <c r="AB963" s="62"/>
      <c r="AC963" s="62"/>
      <c r="AD963" s="64"/>
      <c r="AE963" s="164"/>
      <c r="AF963" s="62"/>
      <c r="AG963" s="64"/>
      <c r="AH963" s="337"/>
      <c r="AI963" s="337"/>
      <c r="AJ963" s="337"/>
      <c r="AK963" s="337"/>
      <c r="AL963" s="412"/>
      <c r="AM963" s="414"/>
      <c r="AN963" s="841"/>
      <c r="AO963" s="53"/>
      <c r="AP963" s="44"/>
      <c r="AQ963" s="485">
        <f>AL963/BI963</f>
        <v>0</v>
      </c>
      <c r="AR963" s="100"/>
      <c r="AS963" s="485">
        <f>BL963/BI963</f>
        <v>0</v>
      </c>
      <c r="AT963" s="123"/>
      <c r="AU963" s="123"/>
      <c r="AV963" s="123"/>
      <c r="AW963" s="18">
        <v>25</v>
      </c>
      <c r="AX963" s="69" t="s">
        <v>300</v>
      </c>
      <c r="AY963" s="243" t="s">
        <v>143</v>
      </c>
      <c r="AZ963" s="243" t="str">
        <f t="shared" si="371"/>
        <v>Sockeye</v>
      </c>
      <c r="BA963" s="243" t="s">
        <v>419</v>
      </c>
      <c r="BB963" s="244" t="s">
        <v>528</v>
      </c>
      <c r="BC963" s="43" t="str">
        <f t="shared" si="372"/>
        <v>Oct 29-Nov4</v>
      </c>
      <c r="BD963" s="43">
        <f t="shared" si="392"/>
        <v>2</v>
      </c>
      <c r="BE963" s="193">
        <f t="shared" si="389"/>
        <v>0</v>
      </c>
      <c r="BF963" s="193">
        <f t="shared" si="373"/>
        <v>0</v>
      </c>
      <c r="BG963" s="193">
        <f t="shared" si="374"/>
        <v>0</v>
      </c>
      <c r="BH963" s="307">
        <f t="shared" si="391"/>
        <v>20</v>
      </c>
      <c r="BI963" s="265">
        <f>CC963</f>
        <v>60</v>
      </c>
      <c r="BJ963" s="26" t="str">
        <f t="shared" si="375"/>
        <v>LITTLE ZEBALLOS RIVERSockeye</v>
      </c>
      <c r="BK963" s="26">
        <f t="shared" si="376"/>
        <v>2</v>
      </c>
      <c r="BL963" s="33">
        <f t="shared" si="393"/>
        <v>0</v>
      </c>
      <c r="BQ963" s="47" t="str">
        <f t="shared" si="377"/>
        <v>LITTLE ZEBALLOS RIVERSockeye</v>
      </c>
      <c r="BR963" s="49">
        <f t="shared" si="378"/>
        <v>0</v>
      </c>
      <c r="BS963" s="49">
        <f t="shared" si="388"/>
        <v>0</v>
      </c>
      <c r="BT963" s="31">
        <v>2016</v>
      </c>
      <c r="BU963" s="188" t="str">
        <f t="shared" si="379"/>
        <v>EFN/Wildcoast</v>
      </c>
      <c r="BV963" s="188" t="str">
        <f t="shared" si="380"/>
        <v xml:space="preserve"> </v>
      </c>
      <c r="BW963" s="188" t="str">
        <f t="shared" si="394"/>
        <v>Oct 29-Nov4</v>
      </c>
      <c r="BX963" s="188" t="str">
        <f t="shared" si="381"/>
        <v xml:space="preserve"> </v>
      </c>
      <c r="BY963" s="50" t="str">
        <f t="shared" si="396"/>
        <v>LITTLE ZEBALLOS RIVER_Sockeye</v>
      </c>
      <c r="BZ963" s="50">
        <f>IFERROR(VLOOKUP(BY963,'[1]WCVI Esc'!$C$5:$W$555,18,FALSE),"-")</f>
        <v>21</v>
      </c>
      <c r="CA963" s="50">
        <f t="shared" si="382"/>
        <v>20</v>
      </c>
      <c r="CB963" s="50">
        <f>IFERROR(VLOOKUP(BY963,'[1]WCVI Esc'!$C$5:$W$555,19,FALSE),"-")</f>
        <v>55.285714285714285</v>
      </c>
      <c r="CC963" s="50">
        <f t="shared" si="383"/>
        <v>60</v>
      </c>
      <c r="CE963" s="342" t="str">
        <f t="shared" si="395"/>
        <v>LITTLE ZEBALLOS RIVER_Sockeye</v>
      </c>
      <c r="CF963" s="341">
        <f>IFERROR(VLOOKUP(CE963,'RawPL+D'!$O$8:$AB$503,12,FALSE),"-")</f>
        <v>0</v>
      </c>
      <c r="CG963" s="338">
        <f t="shared" si="384"/>
        <v>0</v>
      </c>
      <c r="CH963" s="341">
        <f>IFERROR(VLOOKUP(CE963,'RawPL+D'!$O$8:$AB$503,13,FALSE),"-")</f>
        <v>18.5</v>
      </c>
      <c r="CI963" s="338">
        <f t="shared" si="385"/>
        <v>20</v>
      </c>
    </row>
    <row r="964" spans="1:87" ht="12.75" hidden="1" customHeight="1" x14ac:dyDescent="0.2">
      <c r="A964" s="28">
        <v>3</v>
      </c>
      <c r="B964" s="28">
        <v>2</v>
      </c>
      <c r="C964" s="11">
        <v>25</v>
      </c>
      <c r="D964" s="13" t="s">
        <v>300</v>
      </c>
      <c r="E964" s="10" t="s">
        <v>143</v>
      </c>
      <c r="F964" s="10" t="s">
        <v>219</v>
      </c>
      <c r="G964" s="10"/>
      <c r="H964" s="10"/>
      <c r="I964" s="10"/>
      <c r="J964" s="10"/>
      <c r="K964" s="575"/>
      <c r="L964" s="152"/>
      <c r="M964" s="422"/>
      <c r="N964" s="339"/>
      <c r="O964" s="62"/>
      <c r="P964" s="424"/>
      <c r="Q964" s="171"/>
      <c r="R964" s="339"/>
      <c r="S964" s="339"/>
      <c r="T964" s="767">
        <v>146</v>
      </c>
      <c r="U964" s="833">
        <v>117</v>
      </c>
      <c r="V964" s="426"/>
      <c r="W964" s="62"/>
      <c r="X964" s="63"/>
      <c r="Y964" s="62"/>
      <c r="Z964" s="64"/>
      <c r="AA964" s="164"/>
      <c r="AB964" s="62"/>
      <c r="AC964" s="62"/>
      <c r="AD964" s="64"/>
      <c r="AE964" s="164"/>
      <c r="AF964" s="62"/>
      <c r="AG964" s="64"/>
      <c r="AH964" s="337"/>
      <c r="AI964" s="337"/>
      <c r="AJ964" s="337"/>
      <c r="AK964" s="337"/>
      <c r="AL964" s="412"/>
      <c r="AM964" s="414"/>
      <c r="AN964" s="839" t="s">
        <v>774</v>
      </c>
      <c r="AO964" s="46"/>
      <c r="AP964" s="44"/>
      <c r="AQ964" s="485">
        <f>AL964/BI964</f>
        <v>0</v>
      </c>
      <c r="AR964" s="485">
        <f>BL964/BH964</f>
        <v>2.4333333333333331</v>
      </c>
      <c r="AS964" s="485">
        <f>BL964/BI964</f>
        <v>0.44242424242424244</v>
      </c>
      <c r="AT964" s="123"/>
      <c r="AU964" s="123"/>
      <c r="AV964" s="123"/>
      <c r="AW964" s="18">
        <v>25</v>
      </c>
      <c r="AX964" s="69" t="s">
        <v>300</v>
      </c>
      <c r="AY964" s="243" t="s">
        <v>143</v>
      </c>
      <c r="AZ964" s="243" t="str">
        <f t="shared" si="371"/>
        <v>Coho</v>
      </c>
      <c r="BA964" s="243" t="s">
        <v>419</v>
      </c>
      <c r="BB964" s="244" t="s">
        <v>528</v>
      </c>
      <c r="BC964" s="43" t="str">
        <f t="shared" si="372"/>
        <v>Oct 29-Nov4</v>
      </c>
      <c r="BD964" s="43">
        <f t="shared" si="392"/>
        <v>2</v>
      </c>
      <c r="BE964" s="193">
        <f t="shared" si="389"/>
        <v>146</v>
      </c>
      <c r="BF964" s="193">
        <f t="shared" si="373"/>
        <v>0</v>
      </c>
      <c r="BG964" s="193">
        <f t="shared" si="374"/>
        <v>0</v>
      </c>
      <c r="BH964" s="307">
        <f t="shared" si="391"/>
        <v>60</v>
      </c>
      <c r="BI964" s="265">
        <f>CC964</f>
        <v>330</v>
      </c>
      <c r="BJ964" s="26" t="str">
        <f t="shared" si="375"/>
        <v>LITTLE ZEBALLOS RIVERCoho</v>
      </c>
      <c r="BK964" s="26">
        <f t="shared" si="376"/>
        <v>2</v>
      </c>
      <c r="BL964" s="33">
        <f t="shared" si="393"/>
        <v>146</v>
      </c>
      <c r="BQ964" s="47" t="str">
        <f t="shared" si="377"/>
        <v>LITTLE ZEBALLOS RIVERCoho</v>
      </c>
      <c r="BR964" s="49">
        <f t="shared" si="378"/>
        <v>0</v>
      </c>
      <c r="BS964" s="49">
        <f t="shared" si="388"/>
        <v>0</v>
      </c>
      <c r="BT964" s="31">
        <v>2016</v>
      </c>
      <c r="BU964" s="188" t="str">
        <f t="shared" si="379"/>
        <v>EFN/Wildcoast</v>
      </c>
      <c r="BV964" s="188" t="str">
        <f t="shared" si="380"/>
        <v xml:space="preserve"> </v>
      </c>
      <c r="BW964" s="188" t="str">
        <f t="shared" si="394"/>
        <v>Oct 29-Nov4</v>
      </c>
      <c r="BX964" s="188" t="str">
        <f t="shared" si="381"/>
        <v xml:space="preserve"> </v>
      </c>
      <c r="BY964" s="50" t="str">
        <f t="shared" si="396"/>
        <v>LITTLE ZEBALLOS RIVER_Coho</v>
      </c>
      <c r="BZ964" s="50">
        <f>IFERROR(VLOOKUP(BY964,'[1]WCVI Esc'!$C$5:$W$555,18,FALSE),"-")</f>
        <v>72</v>
      </c>
      <c r="CA964" s="50">
        <f t="shared" si="382"/>
        <v>70</v>
      </c>
      <c r="CB964" s="50">
        <f>IFERROR(VLOOKUP(BY964,'[1]WCVI Esc'!$C$5:$W$555,19,FALSE),"-")</f>
        <v>329.9</v>
      </c>
      <c r="CC964" s="50">
        <f t="shared" si="383"/>
        <v>330</v>
      </c>
      <c r="CE964" s="342" t="str">
        <f t="shared" si="395"/>
        <v>LITTLE ZEBALLOS RIVER_Coho</v>
      </c>
      <c r="CF964" s="341">
        <f>IFERROR(VLOOKUP(CE964,'RawPL+D'!$O$8:$AB$503,12,FALSE),"-")</f>
        <v>0</v>
      </c>
      <c r="CG964" s="338">
        <f t="shared" si="384"/>
        <v>0</v>
      </c>
      <c r="CH964" s="341">
        <f>IFERROR(VLOOKUP(CE964,'RawPL+D'!$O$8:$AB$503,13,FALSE),"-")</f>
        <v>60.5</v>
      </c>
      <c r="CI964" s="338">
        <f t="shared" si="385"/>
        <v>60</v>
      </c>
    </row>
    <row r="965" spans="1:87" ht="12.75" hidden="1" customHeight="1" x14ac:dyDescent="0.2">
      <c r="A965" s="28">
        <v>3</v>
      </c>
      <c r="B965" s="28">
        <v>3</v>
      </c>
      <c r="C965" s="11">
        <v>25</v>
      </c>
      <c r="D965" s="13" t="s">
        <v>300</v>
      </c>
      <c r="E965" s="10" t="s">
        <v>143</v>
      </c>
      <c r="F965" s="10" t="s">
        <v>208</v>
      </c>
      <c r="G965" s="10"/>
      <c r="H965" s="10"/>
      <c r="I965" s="10"/>
      <c r="J965" s="10"/>
      <c r="K965" s="575"/>
      <c r="L965" s="152"/>
      <c r="M965" s="422"/>
      <c r="N965" s="339"/>
      <c r="O965" s="62"/>
      <c r="P965" s="424"/>
      <c r="Q965" s="171"/>
      <c r="R965" s="339"/>
      <c r="S965" s="339"/>
      <c r="T965" s="767">
        <v>0</v>
      </c>
      <c r="U965" s="833">
        <v>0</v>
      </c>
      <c r="V965" s="164"/>
      <c r="W965" s="62"/>
      <c r="X965" s="62"/>
      <c r="Y965" s="62"/>
      <c r="Z965" s="64"/>
      <c r="AA965" s="164"/>
      <c r="AB965" s="62"/>
      <c r="AC965" s="62"/>
      <c r="AD965" s="64"/>
      <c r="AE965" s="164"/>
      <c r="AF965" s="62"/>
      <c r="AG965" s="64"/>
      <c r="AH965" s="337"/>
      <c r="AI965" s="337"/>
      <c r="AJ965" s="337"/>
      <c r="AK965" s="337"/>
      <c r="AL965" s="412"/>
      <c r="AM965" s="414"/>
      <c r="AN965" s="45"/>
      <c r="AO965" s="45"/>
      <c r="AP965" s="44"/>
      <c r="AQ965" s="485"/>
      <c r="AR965" s="485"/>
      <c r="AS965" s="485"/>
      <c r="AT965" s="679"/>
      <c r="AU965" s="679"/>
      <c r="AV965" s="679"/>
      <c r="AW965" s="18">
        <v>25</v>
      </c>
      <c r="AX965" s="69" t="s">
        <v>300</v>
      </c>
      <c r="AY965" s="243" t="s">
        <v>143</v>
      </c>
      <c r="AZ965" s="243" t="str">
        <f t="shared" si="371"/>
        <v>Pink</v>
      </c>
      <c r="BA965" s="243" t="s">
        <v>419</v>
      </c>
      <c r="BB965" s="244" t="s">
        <v>528</v>
      </c>
      <c r="BC965" s="43" t="str">
        <f t="shared" si="372"/>
        <v>Oct 29-Nov4</v>
      </c>
      <c r="BD965" s="43">
        <f t="shared" si="392"/>
        <v>2</v>
      </c>
      <c r="BE965" s="193">
        <f t="shared" si="389"/>
        <v>0</v>
      </c>
      <c r="BF965" s="193">
        <f t="shared" si="373"/>
        <v>0</v>
      </c>
      <c r="BG965" s="193">
        <f t="shared" si="374"/>
        <v>0</v>
      </c>
      <c r="BH965" s="307">
        <f t="shared" si="391"/>
        <v>0</v>
      </c>
      <c r="BI965" s="265"/>
      <c r="BJ965" s="26" t="str">
        <f t="shared" si="375"/>
        <v>LITTLE ZEBALLOS RIVERPink</v>
      </c>
      <c r="BK965" s="26">
        <f t="shared" si="376"/>
        <v>2</v>
      </c>
      <c r="BL965" s="33">
        <f t="shared" si="393"/>
        <v>0</v>
      </c>
      <c r="BQ965" s="47" t="str">
        <f t="shared" si="377"/>
        <v>LITTLE ZEBALLOS RIVERPink</v>
      </c>
      <c r="BR965" s="49">
        <f t="shared" si="378"/>
        <v>0</v>
      </c>
      <c r="BS965" s="49">
        <f t="shared" si="388"/>
        <v>0</v>
      </c>
      <c r="BT965" s="31">
        <v>0</v>
      </c>
      <c r="BU965" s="188" t="str">
        <f t="shared" si="379"/>
        <v>EFN/Wildcoast</v>
      </c>
      <c r="BV965" s="188" t="str">
        <f t="shared" si="380"/>
        <v xml:space="preserve"> </v>
      </c>
      <c r="BW965" s="188" t="str">
        <f t="shared" si="394"/>
        <v>Oct 29-Nov4</v>
      </c>
      <c r="BX965" s="188" t="str">
        <f t="shared" si="381"/>
        <v xml:space="preserve"> </v>
      </c>
      <c r="BY965" s="50" t="str">
        <f t="shared" si="396"/>
        <v>LITTLE ZEBALLOS RIVER_Pink</v>
      </c>
      <c r="BZ965" s="50" t="str">
        <f>IFERROR(VLOOKUP(BY965,'[1]WCVI Esc'!$C$5:$W$555,18,FALSE),"-")</f>
        <v>-</v>
      </c>
      <c r="CA965" s="50" t="str">
        <f t="shared" si="382"/>
        <v>-</v>
      </c>
      <c r="CB965" s="50" t="str">
        <f>IFERROR(VLOOKUP(BY965,'[1]WCVI Esc'!$C$5:$W$555,19,FALSE),"-")</f>
        <v>-</v>
      </c>
      <c r="CC965" s="50" t="str">
        <f t="shared" si="383"/>
        <v>-</v>
      </c>
      <c r="CE965" s="342" t="str">
        <f t="shared" si="395"/>
        <v>LITTLE ZEBALLOS RIVER_Pink</v>
      </c>
      <c r="CF965" s="341">
        <f>IFERROR(VLOOKUP(BY965,'RawPL+D'!$O$8:$AB$503,12,FALSE),"-")</f>
        <v>0</v>
      </c>
      <c r="CG965" s="338">
        <f t="shared" si="384"/>
        <v>0</v>
      </c>
      <c r="CH965" s="341">
        <f>IFERROR(VLOOKUP(BY965,'RawPL+D'!$O$8:$AB$503,13,FALSE),"-")</f>
        <v>0</v>
      </c>
      <c r="CI965" s="338">
        <f t="shared" si="385"/>
        <v>0</v>
      </c>
    </row>
    <row r="966" spans="1:87" ht="12.75" customHeight="1" x14ac:dyDescent="0.2">
      <c r="A966" s="28">
        <v>3</v>
      </c>
      <c r="B966" s="28">
        <v>4</v>
      </c>
      <c r="C966" s="11">
        <v>25</v>
      </c>
      <c r="D966" s="13" t="s">
        <v>300</v>
      </c>
      <c r="E966" s="10" t="s">
        <v>143</v>
      </c>
      <c r="F966" s="10" t="s">
        <v>209</v>
      </c>
      <c r="G966" s="10"/>
      <c r="H966" s="10"/>
      <c r="I966" s="10"/>
      <c r="J966" s="10"/>
      <c r="K966" s="575"/>
      <c r="L966" s="152"/>
      <c r="M966" s="422"/>
      <c r="N966" s="339"/>
      <c r="O966" s="62"/>
      <c r="P966" s="424"/>
      <c r="Q966" s="171"/>
      <c r="R966" s="339"/>
      <c r="S966" s="339"/>
      <c r="T966" s="788">
        <f>2493+127</f>
        <v>2620</v>
      </c>
      <c r="U966" s="834">
        <v>2160</v>
      </c>
      <c r="V966" s="421"/>
      <c r="W966" s="62"/>
      <c r="X966" s="63"/>
      <c r="Y966" s="62"/>
      <c r="Z966" s="64"/>
      <c r="AA966" s="164"/>
      <c r="AB966" s="62"/>
      <c r="AC966" s="62"/>
      <c r="AD966" s="64"/>
      <c r="AE966" s="164"/>
      <c r="AF966" s="62"/>
      <c r="AG966" s="64"/>
      <c r="AH966" s="337">
        <v>4936</v>
      </c>
      <c r="AI966" s="337">
        <v>0</v>
      </c>
      <c r="AJ966" s="337">
        <v>0</v>
      </c>
      <c r="AK966" s="337">
        <v>0</v>
      </c>
      <c r="AL966" s="555">
        <v>4936</v>
      </c>
      <c r="AM966" s="552">
        <v>4936</v>
      </c>
      <c r="AN966" s="552" t="s">
        <v>768</v>
      </c>
      <c r="AO966" s="552" t="s">
        <v>773</v>
      </c>
      <c r="AP966" s="44"/>
      <c r="AQ966" s="485">
        <f>AL966/BI966</f>
        <v>1.9281250000000001</v>
      </c>
      <c r="AR966" s="485">
        <f>BL966/BH966</f>
        <v>4.5964912280701755</v>
      </c>
      <c r="AS966" s="485">
        <f>BL966/BI966</f>
        <v>1.0234375</v>
      </c>
      <c r="AT966" s="123"/>
      <c r="AU966" s="123"/>
      <c r="AV966" s="123"/>
      <c r="AW966" s="18">
        <v>25</v>
      </c>
      <c r="AX966" s="69" t="s">
        <v>300</v>
      </c>
      <c r="AY966" s="243" t="s">
        <v>143</v>
      </c>
      <c r="AZ966" s="243" t="str">
        <f t="shared" si="371"/>
        <v>Chum</v>
      </c>
      <c r="BA966" s="243" t="s">
        <v>419</v>
      </c>
      <c r="BB966" s="244" t="s">
        <v>528</v>
      </c>
      <c r="BC966" s="43" t="str">
        <f t="shared" si="372"/>
        <v>Oct 29-Nov4</v>
      </c>
      <c r="BD966" s="43">
        <f t="shared" si="392"/>
        <v>2</v>
      </c>
      <c r="BE966" s="193">
        <f t="shared" si="389"/>
        <v>2620</v>
      </c>
      <c r="BF966" s="193">
        <f t="shared" si="373"/>
        <v>4936</v>
      </c>
      <c r="BG966" s="193">
        <f t="shared" si="374"/>
        <v>4936</v>
      </c>
      <c r="BH966" s="307">
        <f t="shared" si="391"/>
        <v>570</v>
      </c>
      <c r="BI966" s="265">
        <f>CC966</f>
        <v>2560</v>
      </c>
      <c r="BJ966" s="26" t="str">
        <f t="shared" si="375"/>
        <v>LITTLE ZEBALLOS RIVERChum</v>
      </c>
      <c r="BK966" s="26">
        <f t="shared" si="376"/>
        <v>2</v>
      </c>
      <c r="BL966" s="33">
        <f t="shared" si="393"/>
        <v>2620</v>
      </c>
      <c r="BQ966" s="47" t="str">
        <f t="shared" si="377"/>
        <v>LITTLE ZEBALLOS RIVERChum</v>
      </c>
      <c r="BR966" s="49">
        <f t="shared" si="378"/>
        <v>0</v>
      </c>
      <c r="BS966" s="49">
        <f t="shared" si="388"/>
        <v>4936</v>
      </c>
      <c r="BT966" s="31">
        <v>2016</v>
      </c>
      <c r="BU966" s="188" t="str">
        <f t="shared" si="379"/>
        <v>EFN/Wildcoast</v>
      </c>
      <c r="BV966" s="188" t="str">
        <f t="shared" si="380"/>
        <v xml:space="preserve"> </v>
      </c>
      <c r="BW966" s="188" t="str">
        <f t="shared" si="394"/>
        <v>Oct 29-Nov4</v>
      </c>
      <c r="BX966" s="188" t="str">
        <f t="shared" si="381"/>
        <v xml:space="preserve"> </v>
      </c>
      <c r="BY966" s="50" t="str">
        <f t="shared" si="396"/>
        <v>LITTLE ZEBALLOS RIVER_Chum</v>
      </c>
      <c r="BZ966" s="50">
        <f>IFERROR(VLOOKUP(BY966,'[1]WCVI Esc'!$C$5:$W$555,18,FALSE),"-")</f>
        <v>608</v>
      </c>
      <c r="CA966" s="50">
        <f t="shared" si="382"/>
        <v>610</v>
      </c>
      <c r="CB966" s="50">
        <f>IFERROR(VLOOKUP(BY966,'[1]WCVI Esc'!$C$5:$W$555,19,FALSE),"-")</f>
        <v>2564.4</v>
      </c>
      <c r="CC966" s="50">
        <f t="shared" si="383"/>
        <v>2560</v>
      </c>
      <c r="CE966" s="342" t="str">
        <f t="shared" si="395"/>
        <v>LITTLE ZEBALLOS RIVER_Chum</v>
      </c>
      <c r="CF966" s="341">
        <f>IFERROR(VLOOKUP(CE966,'RawPL+D'!$O$8:$AB$503,12,FALSE),"-")</f>
        <v>0</v>
      </c>
      <c r="CG966" s="338">
        <f t="shared" si="384"/>
        <v>0</v>
      </c>
      <c r="CH966" s="341">
        <f>IFERROR(VLOOKUP(CE966,'RawPL+D'!$O$8:$AB$503,13,FALSE),"-")</f>
        <v>566.5</v>
      </c>
      <c r="CI966" s="338">
        <f t="shared" si="385"/>
        <v>570</v>
      </c>
    </row>
    <row r="967" spans="1:87" ht="12.75" hidden="1" customHeight="1" x14ac:dyDescent="0.2">
      <c r="A967" s="28">
        <v>3</v>
      </c>
      <c r="B967" s="28">
        <v>5</v>
      </c>
      <c r="C967" s="11">
        <v>25</v>
      </c>
      <c r="D967" s="13" t="s">
        <v>300</v>
      </c>
      <c r="E967" s="10" t="s">
        <v>143</v>
      </c>
      <c r="F967" s="10" t="s">
        <v>210</v>
      </c>
      <c r="G967" s="10"/>
      <c r="H967" s="10"/>
      <c r="I967" s="10"/>
      <c r="J967" s="10"/>
      <c r="K967" s="575"/>
      <c r="L967" s="152"/>
      <c r="M967" s="422"/>
      <c r="N967" s="339"/>
      <c r="O967" s="62"/>
      <c r="P967" s="424"/>
      <c r="Q967" s="171"/>
      <c r="R967" s="339"/>
      <c r="S967" s="339"/>
      <c r="T967" s="768">
        <v>2</v>
      </c>
      <c r="U967" s="834">
        <v>3</v>
      </c>
      <c r="V967" s="429"/>
      <c r="W967" s="62"/>
      <c r="X967" s="63"/>
      <c r="Y967" s="62"/>
      <c r="Z967" s="64"/>
      <c r="AA967" s="164"/>
      <c r="AB967" s="62"/>
      <c r="AC967" s="62"/>
      <c r="AD967" s="64"/>
      <c r="AE967" s="164"/>
      <c r="AF967" s="62"/>
      <c r="AG967" s="64"/>
      <c r="AH967" s="337"/>
      <c r="AI967" s="337"/>
      <c r="AJ967" s="337"/>
      <c r="AK967" s="337"/>
      <c r="AL967" s="412"/>
      <c r="AM967" s="414"/>
      <c r="AN967" s="841"/>
      <c r="AO967" s="45"/>
      <c r="AP967" s="44"/>
      <c r="AQ967" s="485">
        <f>AL967/BI967</f>
        <v>0</v>
      </c>
      <c r="AR967" s="485">
        <f>BL967/BH967</f>
        <v>0.1</v>
      </c>
      <c r="AS967" s="485">
        <f>BL967/BI967</f>
        <v>0.1</v>
      </c>
      <c r="AT967" s="123"/>
      <c r="AU967" s="123"/>
      <c r="AV967" s="123">
        <f>AL967</f>
        <v>0</v>
      </c>
      <c r="AW967" s="18">
        <v>25</v>
      </c>
      <c r="AX967" s="69" t="s">
        <v>300</v>
      </c>
      <c r="AY967" s="243" t="s">
        <v>143</v>
      </c>
      <c r="AZ967" s="243" t="str">
        <f t="shared" si="371"/>
        <v>Chinook</v>
      </c>
      <c r="BA967" s="243" t="s">
        <v>419</v>
      </c>
      <c r="BB967" s="244" t="s">
        <v>528</v>
      </c>
      <c r="BC967" s="43" t="str">
        <f t="shared" si="372"/>
        <v>Oct 29-Nov4</v>
      </c>
      <c r="BD967" s="43">
        <f t="shared" si="392"/>
        <v>2</v>
      </c>
      <c r="BE967" s="193">
        <f t="shared" si="389"/>
        <v>3</v>
      </c>
      <c r="BF967" s="193">
        <f t="shared" si="373"/>
        <v>0</v>
      </c>
      <c r="BG967" s="193">
        <f t="shared" si="374"/>
        <v>0</v>
      </c>
      <c r="BH967" s="307">
        <f t="shared" si="391"/>
        <v>30</v>
      </c>
      <c r="BI967" s="265">
        <f>CC967</f>
        <v>30</v>
      </c>
      <c r="BJ967" s="26" t="str">
        <f t="shared" si="375"/>
        <v>LITTLE ZEBALLOS RIVERChinook</v>
      </c>
      <c r="BK967" s="26">
        <f t="shared" si="376"/>
        <v>2</v>
      </c>
      <c r="BL967" s="33">
        <f t="shared" si="393"/>
        <v>3</v>
      </c>
      <c r="BQ967" s="47" t="str">
        <f t="shared" si="377"/>
        <v>LITTLE ZEBALLOS RIVERChinook</v>
      </c>
      <c r="BR967" s="49">
        <f t="shared" si="378"/>
        <v>0</v>
      </c>
      <c r="BS967" s="49">
        <f t="shared" si="388"/>
        <v>0</v>
      </c>
      <c r="BT967" s="31">
        <v>2016</v>
      </c>
      <c r="BU967" s="188" t="str">
        <f t="shared" si="379"/>
        <v>EFN/Wildcoast</v>
      </c>
      <c r="BV967" s="188" t="str">
        <f t="shared" si="380"/>
        <v xml:space="preserve"> </v>
      </c>
      <c r="BW967" s="188" t="str">
        <f t="shared" si="394"/>
        <v>Oct 29-Nov4</v>
      </c>
      <c r="BX967" s="188" t="str">
        <f t="shared" si="381"/>
        <v xml:space="preserve"> </v>
      </c>
      <c r="BY967" s="50" t="str">
        <f t="shared" si="396"/>
        <v>LITTLE ZEBALLOS RIVER_Chinook</v>
      </c>
      <c r="BZ967" s="50">
        <f>IFERROR(VLOOKUP(BY967,'[1]WCVI Esc'!$C$5:$W$555,18,FALSE),"-")</f>
        <v>30</v>
      </c>
      <c r="CA967" s="50">
        <f t="shared" si="382"/>
        <v>30</v>
      </c>
      <c r="CB967" s="50">
        <f>IFERROR(VLOOKUP(BY967,'[1]WCVI Esc'!$C$5:$W$555,19,FALSE),"-")</f>
        <v>33.5</v>
      </c>
      <c r="CC967" s="50">
        <f t="shared" si="383"/>
        <v>30</v>
      </c>
      <c r="CE967" s="342" t="str">
        <f t="shared" si="395"/>
        <v>LITTLE ZEBALLOS RIVER_Chinook</v>
      </c>
      <c r="CF967" s="341">
        <f>IFERROR(VLOOKUP(CE967,'RawPL+D'!$O$8:$AB$503,12,FALSE),"-")</f>
        <v>0</v>
      </c>
      <c r="CG967" s="338">
        <f t="shared" si="384"/>
        <v>0</v>
      </c>
      <c r="CH967" s="341">
        <f>IFERROR(VLOOKUP(CE967,'RawPL+D'!$O$8:$AB$503,13,FALSE),"-")</f>
        <v>29.5</v>
      </c>
      <c r="CI967" s="338">
        <f t="shared" si="385"/>
        <v>30</v>
      </c>
    </row>
    <row r="968" spans="1:87" ht="12.75" hidden="1" customHeight="1" x14ac:dyDescent="0.2">
      <c r="A968" s="28">
        <v>3</v>
      </c>
      <c r="B968" s="28">
        <v>6</v>
      </c>
      <c r="C968" s="11">
        <v>25</v>
      </c>
      <c r="D968" s="13" t="s">
        <v>300</v>
      </c>
      <c r="E968" s="10" t="s">
        <v>143</v>
      </c>
      <c r="F968" s="10" t="s">
        <v>211</v>
      </c>
      <c r="G968" s="10"/>
      <c r="H968" s="10"/>
      <c r="I968" s="10"/>
      <c r="J968" s="10"/>
      <c r="K968" s="575"/>
      <c r="L968" s="152"/>
      <c r="M968" s="422"/>
      <c r="N968" s="339"/>
      <c r="O968" s="62"/>
      <c r="P968" s="424"/>
      <c r="Q968" s="171"/>
      <c r="R968" s="339"/>
      <c r="S968" s="339"/>
      <c r="T968" s="767">
        <v>0</v>
      </c>
      <c r="U968" s="833">
        <v>0</v>
      </c>
      <c r="V968" s="164"/>
      <c r="W968" s="62"/>
      <c r="X968" s="62"/>
      <c r="Y968" s="62"/>
      <c r="Z968" s="64"/>
      <c r="AA968" s="164"/>
      <c r="AB968" s="62"/>
      <c r="AC968" s="62"/>
      <c r="AD968" s="64"/>
      <c r="AE968" s="164"/>
      <c r="AF968" s="62"/>
      <c r="AG968" s="64"/>
      <c r="AH968" s="337"/>
      <c r="AI968" s="337"/>
      <c r="AJ968" s="337"/>
      <c r="AK968" s="337"/>
      <c r="AL968" s="412"/>
      <c r="AM968" s="414"/>
      <c r="AN968" s="45"/>
      <c r="AO968" s="45"/>
      <c r="AP968" s="44"/>
      <c r="AQ968" s="485"/>
      <c r="AR968" s="15"/>
      <c r="AS968" s="485"/>
      <c r="AT968" s="679"/>
      <c r="AU968" s="679"/>
      <c r="AV968" s="679"/>
      <c r="AW968" s="18">
        <v>25</v>
      </c>
      <c r="AX968" s="69" t="s">
        <v>300</v>
      </c>
      <c r="AY968" s="243" t="s">
        <v>143</v>
      </c>
      <c r="AZ968" s="243" t="str">
        <f t="shared" si="371"/>
        <v>Steelhead</v>
      </c>
      <c r="BA968" s="243" t="s">
        <v>419</v>
      </c>
      <c r="BB968" s="244" t="s">
        <v>528</v>
      </c>
      <c r="BC968" s="43" t="str">
        <f t="shared" si="372"/>
        <v>Oct 29-Nov4</v>
      </c>
      <c r="BD968" s="43">
        <f t="shared" si="392"/>
        <v>2</v>
      </c>
      <c r="BE968" s="193">
        <f t="shared" si="389"/>
        <v>0</v>
      </c>
      <c r="BF968" s="193">
        <f t="shared" si="373"/>
        <v>0</v>
      </c>
      <c r="BG968" s="193">
        <f t="shared" si="374"/>
        <v>0</v>
      </c>
      <c r="BH968" s="307" t="str">
        <f t="shared" si="391"/>
        <v>-</v>
      </c>
      <c r="BI968" s="265" t="str">
        <f>CC968</f>
        <v>-</v>
      </c>
      <c r="BJ968" s="26" t="str">
        <f t="shared" si="375"/>
        <v>LITTLE ZEBALLOS RIVERSteelhead</v>
      </c>
      <c r="BK968" s="26">
        <f t="shared" si="376"/>
        <v>2</v>
      </c>
      <c r="BL968" s="33">
        <f t="shared" si="393"/>
        <v>0</v>
      </c>
      <c r="BQ968" s="47" t="str">
        <f t="shared" si="377"/>
        <v>LITTLE ZEBALLOS RIVERSteelhead</v>
      </c>
      <c r="BR968" s="49">
        <f t="shared" si="378"/>
        <v>0</v>
      </c>
      <c r="BS968" s="49">
        <f t="shared" si="388"/>
        <v>0</v>
      </c>
      <c r="BT968" s="31">
        <v>0</v>
      </c>
      <c r="BU968" s="188" t="str">
        <f t="shared" si="379"/>
        <v>EFN/Wildcoast</v>
      </c>
      <c r="BV968" s="188" t="str">
        <f t="shared" si="380"/>
        <v xml:space="preserve"> </v>
      </c>
      <c r="BW968" s="188" t="str">
        <f t="shared" si="394"/>
        <v>Oct 29-Nov4</v>
      </c>
      <c r="BX968" s="188" t="str">
        <f t="shared" si="381"/>
        <v xml:space="preserve"> </v>
      </c>
      <c r="BY968" s="50" t="str">
        <f t="shared" si="396"/>
        <v>LITTLE ZEBALLOS RIVER_Steelhead</v>
      </c>
      <c r="BZ968" s="50" t="str">
        <f>IFERROR(VLOOKUP(BY968,'[1]WCVI Esc'!$C$5:$W$555,18,FALSE),"-")</f>
        <v>-</v>
      </c>
      <c r="CA968" s="50" t="str">
        <f t="shared" si="382"/>
        <v>-</v>
      </c>
      <c r="CB968" s="50" t="str">
        <f>IFERROR(VLOOKUP(BY968,'[1]WCVI Esc'!$C$5:$W$555,19,FALSE),"-")</f>
        <v>-</v>
      </c>
      <c r="CC968" s="50" t="str">
        <f t="shared" si="383"/>
        <v>-</v>
      </c>
      <c r="CE968" s="342" t="str">
        <f t="shared" si="395"/>
        <v>LITTLE ZEBALLOS RIVER_Steelhead</v>
      </c>
      <c r="CF968" s="341" t="str">
        <f>IFERROR(VLOOKUP(BY968,'RawPL+D'!$O$8:$AB$503,12,FALSE),"-")</f>
        <v>-</v>
      </c>
      <c r="CG968" s="338" t="str">
        <f t="shared" si="384"/>
        <v>-</v>
      </c>
      <c r="CH968" s="341" t="str">
        <f>IFERROR(VLOOKUP(BY968,'RawPL+D'!$O$8:$AB$503,13,FALSE),"-")</f>
        <v>-</v>
      </c>
      <c r="CI968" s="338" t="str">
        <f t="shared" si="385"/>
        <v>-</v>
      </c>
    </row>
    <row r="969" spans="1:87" ht="12.75" hidden="1" customHeight="1" x14ac:dyDescent="0.2">
      <c r="A969" s="28">
        <v>3</v>
      </c>
      <c r="B969" s="28">
        <v>1</v>
      </c>
      <c r="C969" s="11">
        <v>25</v>
      </c>
      <c r="D969" s="13" t="s">
        <v>300</v>
      </c>
      <c r="E969" s="10" t="s">
        <v>148</v>
      </c>
      <c r="F969" s="10" t="s">
        <v>207</v>
      </c>
      <c r="G969" s="10"/>
      <c r="H969" s="10"/>
      <c r="I969" s="10"/>
      <c r="J969" s="10"/>
      <c r="K969" s="575"/>
      <c r="L969" s="152"/>
      <c r="M969" s="422"/>
      <c r="N969" s="339"/>
      <c r="O969" s="62"/>
      <c r="P969" s="424"/>
      <c r="Q969" s="171"/>
      <c r="R969" s="339"/>
      <c r="S969" s="339"/>
      <c r="T969" s="63"/>
      <c r="U969" s="423"/>
      <c r="V969" s="164"/>
      <c r="W969" s="62"/>
      <c r="X969" s="63"/>
      <c r="Y969" s="62"/>
      <c r="Z969" s="64"/>
      <c r="AA969" s="164"/>
      <c r="AB969" s="62"/>
      <c r="AC969" s="62"/>
      <c r="AD969" s="64"/>
      <c r="AE969" s="164"/>
      <c r="AF969" s="62"/>
      <c r="AG969" s="64"/>
      <c r="AH969" s="337"/>
      <c r="AI969" s="337"/>
      <c r="AJ969" s="337"/>
      <c r="AK969" s="337"/>
      <c r="AL969" s="412"/>
      <c r="AM969" s="414"/>
      <c r="AN969" s="45"/>
      <c r="AO969" s="45"/>
      <c r="AP969" s="45"/>
      <c r="AQ969" s="485">
        <f>AL969/BI969</f>
        <v>0</v>
      </c>
      <c r="AR969" s="485"/>
      <c r="AS969" s="485">
        <f>BL969/BI969</f>
        <v>0</v>
      </c>
      <c r="AT969" s="679"/>
      <c r="AU969" s="679"/>
      <c r="AV969" s="679"/>
      <c r="AW969" s="18">
        <v>25</v>
      </c>
      <c r="AX969" s="69" t="s">
        <v>300</v>
      </c>
      <c r="AY969" s="243" t="s">
        <v>148</v>
      </c>
      <c r="AZ969" s="243" t="str">
        <f t="shared" ref="AZ969:AZ1032" si="397">F969</f>
        <v>Sockeye</v>
      </c>
      <c r="BA969" s="243" t="s">
        <v>419</v>
      </c>
      <c r="BB969" s="244" t="s">
        <v>528</v>
      </c>
      <c r="BC969" s="43" t="str">
        <f t="shared" ref="BC969:BC1032" si="398">IF(BX969=" ",IF(BW969=" ", IF(BV969=" ","-",BV969),BW969), BX969)</f>
        <v>-</v>
      </c>
      <c r="BD969" s="43">
        <f t="shared" si="392"/>
        <v>0</v>
      </c>
      <c r="BE969" s="193">
        <f t="shared" si="389"/>
        <v>0</v>
      </c>
      <c r="BF969" s="193">
        <f t="shared" ref="BF969:BF1032" si="399">AL969</f>
        <v>0</v>
      </c>
      <c r="BG969" s="193">
        <f t="shared" ref="BG969:BG1032" si="400">AH969</f>
        <v>0</v>
      </c>
      <c r="BH969" s="307">
        <f t="shared" si="391"/>
        <v>0</v>
      </c>
      <c r="BI969" s="265">
        <f>CC969</f>
        <v>30</v>
      </c>
      <c r="BJ969" s="26" t="str">
        <f t="shared" ref="BJ969:BJ1032" si="401">CONCATENATE(E969,F969)</f>
        <v>PARK RIVERSockeye</v>
      </c>
      <c r="BK969" s="26">
        <f t="shared" ref="BK969:BK1032" si="402">COUNT(K969:AB969)</f>
        <v>0</v>
      </c>
      <c r="BL969" s="33">
        <f t="shared" si="393"/>
        <v>0</v>
      </c>
      <c r="BQ969" s="47" t="str">
        <f t="shared" ref="BQ969:BQ1032" si="403">CONCATENATE(E969,F969)</f>
        <v>PARK RIVERSockeye</v>
      </c>
      <c r="BR969" s="49">
        <f t="shared" ref="BR969:BR1032" si="404">AP969</f>
        <v>0</v>
      </c>
      <c r="BS969" s="49">
        <f t="shared" si="388"/>
        <v>0</v>
      </c>
      <c r="BT969" s="31">
        <v>1998</v>
      </c>
      <c r="BU969" s="188" t="str">
        <f t="shared" ref="BU969:BU1032" si="405">BB969</f>
        <v>EFN/Wildcoast</v>
      </c>
      <c r="BV969" s="188" t="str">
        <f t="shared" ref="BV969:BV1032" si="406">IF(ISNUMBER(Q969),Q$8,IF(ISNUMBER(P969),P$8,IF(ISNUMBER(O969),O$8,IF(ISNUMBER(N969),N$8,IF(ISNUMBER(M969),M$8,IF(ISNUMBER(L969),L$8, IF(ISNUMBER(K969),K$8," ")))))))</f>
        <v xml:space="preserve"> </v>
      </c>
      <c r="BW969" s="188" t="str">
        <f t="shared" si="394"/>
        <v xml:space="preserve"> </v>
      </c>
      <c r="BX969" s="188" t="str">
        <f t="shared" ref="BX969:BX1032" si="407">IF(ISNUMBER(AB969),AB$8,IF(ISNUMBER(AA969),AA$8,IF(ISNUMBER(Z969),Z$8,IF(ISNUMBER(Y969),Y$8,IF(ISNUMBER(X969),X$8," ")))))</f>
        <v xml:space="preserve"> </v>
      </c>
      <c r="BY969" s="50" t="str">
        <f t="shared" si="396"/>
        <v>PARK RIVER_Sockeye</v>
      </c>
      <c r="BZ969" s="50">
        <f>IFERROR(VLOOKUP(BY969,'[1]WCVI Esc'!$C$5:$W$555,18,FALSE),"-")</f>
        <v>6</v>
      </c>
      <c r="CA969" s="50">
        <f t="shared" ref="CA969:CA1032" si="408">IFERROR(ROUND(BZ969,-1),"-")</f>
        <v>10</v>
      </c>
      <c r="CB969" s="50">
        <f>IFERROR(VLOOKUP(BY969,'[1]WCVI Esc'!$C$5:$W$555,19,FALSE),"-")</f>
        <v>30.5</v>
      </c>
      <c r="CC969" s="50">
        <f t="shared" ref="CC969:CC1032" si="409">IFERROR(ROUND(CB969,-1),"-")</f>
        <v>30</v>
      </c>
      <c r="CE969" s="342" t="str">
        <f t="shared" si="395"/>
        <v>PARK RIVER_Sockeye</v>
      </c>
      <c r="CF969" s="341">
        <f>IFERROR(VLOOKUP(CE969,'RawPL+D'!$O$8:$AB$503,12,FALSE),"-")</f>
        <v>0</v>
      </c>
      <c r="CG969" s="338">
        <f t="shared" ref="CG969:CG1010" si="410">IFERROR(ROUND(CF969,-1),"-")</f>
        <v>0</v>
      </c>
      <c r="CH969" s="341">
        <f>IFERROR(VLOOKUP(CE969,'RawPL+D'!$O$8:$AB$503,13,FALSE),"-")</f>
        <v>2</v>
      </c>
      <c r="CI969" s="338">
        <f t="shared" ref="CI969:CI1010" si="411">IFERROR(ROUND(CH969,-1),"-")</f>
        <v>0</v>
      </c>
    </row>
    <row r="970" spans="1:87" ht="12.75" hidden="1" customHeight="1" x14ac:dyDescent="0.2">
      <c r="A970" s="28">
        <v>3</v>
      </c>
      <c r="B970" s="28">
        <v>2</v>
      </c>
      <c r="C970" s="11">
        <v>25</v>
      </c>
      <c r="D970" s="13" t="s">
        <v>300</v>
      </c>
      <c r="E970" s="10" t="s">
        <v>148</v>
      </c>
      <c r="F970" s="10" t="s">
        <v>219</v>
      </c>
      <c r="G970" s="10"/>
      <c r="H970" s="10"/>
      <c r="I970" s="10"/>
      <c r="J970" s="10"/>
      <c r="K970" s="575"/>
      <c r="L970" s="152"/>
      <c r="M970" s="422"/>
      <c r="N970" s="339"/>
      <c r="O970" s="62"/>
      <c r="P970" s="424"/>
      <c r="Q970" s="171"/>
      <c r="R970" s="339"/>
      <c r="S970" s="339"/>
      <c r="T970" s="63"/>
      <c r="U970" s="423"/>
      <c r="V970" s="164"/>
      <c r="W970" s="62"/>
      <c r="X970" s="63"/>
      <c r="Y970" s="62"/>
      <c r="Z970" s="64"/>
      <c r="AA970" s="164"/>
      <c r="AB970" s="62"/>
      <c r="AC970" s="62"/>
      <c r="AD970" s="64"/>
      <c r="AE970" s="164"/>
      <c r="AF970" s="62"/>
      <c r="AG970" s="64"/>
      <c r="AH970" s="337"/>
      <c r="AI970" s="337"/>
      <c r="AJ970" s="337"/>
      <c r="AK970" s="337"/>
      <c r="AL970" s="412"/>
      <c r="AM970" s="414"/>
      <c r="AN970" s="45"/>
      <c r="AO970" s="45"/>
      <c r="AP970" s="45"/>
      <c r="AQ970" s="485">
        <f>AL970/BI970</f>
        <v>0</v>
      </c>
      <c r="AR970" s="485">
        <f>BL970/BH970</f>
        <v>0</v>
      </c>
      <c r="AS970" s="485">
        <f>BL970/BI970</f>
        <v>0</v>
      </c>
      <c r="AT970" s="123"/>
      <c r="AU970" s="123"/>
      <c r="AV970" s="123"/>
      <c r="AW970" s="18">
        <v>25</v>
      </c>
      <c r="AX970" s="69" t="s">
        <v>300</v>
      </c>
      <c r="AY970" s="243" t="s">
        <v>148</v>
      </c>
      <c r="AZ970" s="243" t="str">
        <f t="shared" si="397"/>
        <v>Coho</v>
      </c>
      <c r="BA970" s="243" t="s">
        <v>419</v>
      </c>
      <c r="BB970" s="244" t="s">
        <v>528</v>
      </c>
      <c r="BC970" s="43" t="str">
        <f t="shared" si="398"/>
        <v>-</v>
      </c>
      <c r="BD970" s="43">
        <f t="shared" si="392"/>
        <v>0</v>
      </c>
      <c r="BE970" s="193">
        <f t="shared" si="389"/>
        <v>0</v>
      </c>
      <c r="BF970" s="193">
        <f t="shared" si="399"/>
        <v>0</v>
      </c>
      <c r="BG970" s="193">
        <f t="shared" si="400"/>
        <v>0</v>
      </c>
      <c r="BH970" s="307">
        <f t="shared" si="391"/>
        <v>20</v>
      </c>
      <c r="BI970" s="265">
        <f>CC970</f>
        <v>170</v>
      </c>
      <c r="BJ970" s="26" t="str">
        <f t="shared" si="401"/>
        <v>PARK RIVERCoho</v>
      </c>
      <c r="BK970" s="26">
        <f t="shared" si="402"/>
        <v>0</v>
      </c>
      <c r="BL970" s="33">
        <f t="shared" si="393"/>
        <v>0</v>
      </c>
      <c r="BQ970" s="47" t="str">
        <f t="shared" si="403"/>
        <v>PARK RIVERCoho</v>
      </c>
      <c r="BR970" s="49">
        <f t="shared" si="404"/>
        <v>0</v>
      </c>
      <c r="BS970" s="49">
        <f t="shared" si="388"/>
        <v>0</v>
      </c>
      <c r="BT970" s="31">
        <v>2016</v>
      </c>
      <c r="BU970" s="188" t="str">
        <f t="shared" si="405"/>
        <v>EFN/Wildcoast</v>
      </c>
      <c r="BV970" s="188" t="str">
        <f t="shared" si="406"/>
        <v xml:space="preserve"> </v>
      </c>
      <c r="BW970" s="188" t="str">
        <f t="shared" si="394"/>
        <v xml:space="preserve"> </v>
      </c>
      <c r="BX970" s="188" t="str">
        <f t="shared" si="407"/>
        <v xml:space="preserve"> </v>
      </c>
      <c r="BY970" s="50" t="str">
        <f t="shared" si="396"/>
        <v>PARK RIVER_Coho</v>
      </c>
      <c r="BZ970" s="50">
        <f>IFERROR(VLOOKUP(BY970,'[1]WCVI Esc'!$C$5:$W$555,18,FALSE),"-")</f>
        <v>40</v>
      </c>
      <c r="CA970" s="50">
        <f t="shared" si="408"/>
        <v>40</v>
      </c>
      <c r="CB970" s="50">
        <f>IFERROR(VLOOKUP(BY970,'[1]WCVI Esc'!$C$5:$W$555,19,FALSE),"-")</f>
        <v>172.5</v>
      </c>
      <c r="CC970" s="50">
        <f t="shared" si="409"/>
        <v>170</v>
      </c>
      <c r="CE970" s="342" t="str">
        <f t="shared" si="395"/>
        <v>PARK RIVER_Coho</v>
      </c>
      <c r="CF970" s="341">
        <f>IFERROR(VLOOKUP(CE970,'RawPL+D'!$O$8:$AB$503,12,FALSE),"-")</f>
        <v>0</v>
      </c>
      <c r="CG970" s="338">
        <f t="shared" si="410"/>
        <v>0</v>
      </c>
      <c r="CH970" s="341">
        <f>IFERROR(VLOOKUP(CE970,'RawPL+D'!$O$8:$AB$503,13,FALSE),"-")</f>
        <v>19</v>
      </c>
      <c r="CI970" s="338">
        <f t="shared" si="411"/>
        <v>20</v>
      </c>
    </row>
    <row r="971" spans="1:87" ht="12.75" hidden="1" customHeight="1" x14ac:dyDescent="0.2">
      <c r="A971" s="28">
        <v>3</v>
      </c>
      <c r="B971" s="28">
        <v>3</v>
      </c>
      <c r="C971" s="11">
        <v>25</v>
      </c>
      <c r="D971" s="13" t="s">
        <v>300</v>
      </c>
      <c r="E971" s="10" t="s">
        <v>148</v>
      </c>
      <c r="F971" s="10" t="s">
        <v>208</v>
      </c>
      <c r="G971" s="10"/>
      <c r="H971" s="10"/>
      <c r="I971" s="10"/>
      <c r="J971" s="10"/>
      <c r="K971" s="575"/>
      <c r="L971" s="152"/>
      <c r="M971" s="422"/>
      <c r="N971" s="339"/>
      <c r="O971" s="62"/>
      <c r="P971" s="424"/>
      <c r="Q971" s="171"/>
      <c r="R971" s="339"/>
      <c r="S971" s="339"/>
      <c r="T971" s="63"/>
      <c r="U971" s="423"/>
      <c r="V971" s="164"/>
      <c r="W971" s="62"/>
      <c r="X971" s="63"/>
      <c r="Y971" s="62"/>
      <c r="Z971" s="64"/>
      <c r="AA971" s="164"/>
      <c r="AB971" s="62"/>
      <c r="AC971" s="62"/>
      <c r="AD971" s="64"/>
      <c r="AE971" s="164"/>
      <c r="AF971" s="62"/>
      <c r="AG971" s="64"/>
      <c r="AH971" s="337"/>
      <c r="AI971" s="337"/>
      <c r="AJ971" s="337"/>
      <c r="AK971" s="337"/>
      <c r="AL971" s="412"/>
      <c r="AM971" s="414"/>
      <c r="AN971" s="45"/>
      <c r="AO971" s="45"/>
      <c r="AP971" s="45"/>
      <c r="AQ971" s="485"/>
      <c r="AR971" s="485"/>
      <c r="AS971" s="485"/>
      <c r="AT971" s="679"/>
      <c r="AU971" s="679"/>
      <c r="AV971" s="679"/>
      <c r="AW971" s="18">
        <v>25</v>
      </c>
      <c r="AX971" s="69" t="s">
        <v>300</v>
      </c>
      <c r="AY971" s="243" t="s">
        <v>148</v>
      </c>
      <c r="AZ971" s="243" t="str">
        <f t="shared" si="397"/>
        <v>Pink</v>
      </c>
      <c r="BA971" s="243" t="s">
        <v>419</v>
      </c>
      <c r="BB971" s="244" t="s">
        <v>528</v>
      </c>
      <c r="BC971" s="43" t="str">
        <f t="shared" si="398"/>
        <v>-</v>
      </c>
      <c r="BD971" s="43">
        <f t="shared" si="392"/>
        <v>0</v>
      </c>
      <c r="BE971" s="193">
        <f t="shared" si="389"/>
        <v>0</v>
      </c>
      <c r="BF971" s="193">
        <f t="shared" si="399"/>
        <v>0</v>
      </c>
      <c r="BG971" s="193">
        <f t="shared" si="400"/>
        <v>0</v>
      </c>
      <c r="BH971" s="307" t="str">
        <f t="shared" si="391"/>
        <v>-</v>
      </c>
      <c r="BI971" s="265"/>
      <c r="BJ971" s="26" t="str">
        <f t="shared" si="401"/>
        <v>PARK RIVERPink</v>
      </c>
      <c r="BK971" s="26">
        <f t="shared" si="402"/>
        <v>0</v>
      </c>
      <c r="BL971" s="33">
        <f t="shared" si="393"/>
        <v>0</v>
      </c>
      <c r="BQ971" s="47" t="str">
        <f t="shared" si="403"/>
        <v>PARK RIVERPink</v>
      </c>
      <c r="BR971" s="49">
        <f t="shared" si="404"/>
        <v>0</v>
      </c>
      <c r="BS971" s="49">
        <f t="shared" si="388"/>
        <v>0</v>
      </c>
      <c r="BT971" s="31">
        <v>0</v>
      </c>
      <c r="BU971" s="188" t="str">
        <f t="shared" si="405"/>
        <v>EFN/Wildcoast</v>
      </c>
      <c r="BV971" s="188" t="str">
        <f t="shared" si="406"/>
        <v xml:space="preserve"> </v>
      </c>
      <c r="BW971" s="188" t="str">
        <f t="shared" si="394"/>
        <v xml:space="preserve"> </v>
      </c>
      <c r="BX971" s="188" t="str">
        <f t="shared" si="407"/>
        <v xml:space="preserve"> </v>
      </c>
      <c r="BY971" s="50" t="str">
        <f t="shared" si="396"/>
        <v>PARK RIVER_Pink</v>
      </c>
      <c r="BZ971" s="50" t="str">
        <f>IFERROR(VLOOKUP(BY971,'[1]WCVI Esc'!$C$5:$W$555,18,FALSE),"-")</f>
        <v>-</v>
      </c>
      <c r="CA971" s="50" t="str">
        <f t="shared" si="408"/>
        <v>-</v>
      </c>
      <c r="CB971" s="50" t="str">
        <f>IFERROR(VLOOKUP(BY971,'[1]WCVI Esc'!$C$5:$W$555,19,FALSE),"-")</f>
        <v>-</v>
      </c>
      <c r="CC971" s="50" t="str">
        <f t="shared" si="409"/>
        <v>-</v>
      </c>
      <c r="CE971" s="342" t="str">
        <f t="shared" si="395"/>
        <v>PARK RIVER_Pink</v>
      </c>
      <c r="CF971" s="341" t="str">
        <f>IFERROR(VLOOKUP(BY971,'RawPL+D'!$O$8:$AB$503,12,FALSE),"-")</f>
        <v>-</v>
      </c>
      <c r="CG971" s="338" t="str">
        <f t="shared" si="410"/>
        <v>-</v>
      </c>
      <c r="CH971" s="341" t="str">
        <f>IFERROR(VLOOKUP(BY971,'RawPL+D'!$O$8:$AB$503,13,FALSE),"-")</f>
        <v>-</v>
      </c>
      <c r="CI971" s="338" t="str">
        <f t="shared" si="411"/>
        <v>-</v>
      </c>
    </row>
    <row r="972" spans="1:87" ht="12.75" hidden="1" customHeight="1" x14ac:dyDescent="0.2">
      <c r="A972" s="28">
        <v>3</v>
      </c>
      <c r="B972" s="28">
        <v>4</v>
      </c>
      <c r="C972" s="11">
        <v>25</v>
      </c>
      <c r="D972" s="13" t="s">
        <v>300</v>
      </c>
      <c r="E972" s="10" t="s">
        <v>148</v>
      </c>
      <c r="F972" s="10" t="s">
        <v>209</v>
      </c>
      <c r="G972" s="10"/>
      <c r="H972" s="10"/>
      <c r="I972" s="10"/>
      <c r="J972" s="10"/>
      <c r="K972" s="575"/>
      <c r="L972" s="152"/>
      <c r="M972" s="422"/>
      <c r="N972" s="339"/>
      <c r="O972" s="62"/>
      <c r="P972" s="424"/>
      <c r="Q972" s="458"/>
      <c r="R972" s="339"/>
      <c r="S972" s="339"/>
      <c r="T972" s="63"/>
      <c r="U972" s="423"/>
      <c r="V972" s="164"/>
      <c r="W972" s="62"/>
      <c r="X972" s="63"/>
      <c r="Y972" s="62"/>
      <c r="Z972" s="64"/>
      <c r="AA972" s="164"/>
      <c r="AB972" s="62"/>
      <c r="AC972" s="62"/>
      <c r="AD972" s="64"/>
      <c r="AE972" s="164"/>
      <c r="AF972" s="62"/>
      <c r="AG972" s="64"/>
      <c r="AH972" s="337"/>
      <c r="AI972" s="337"/>
      <c r="AJ972" s="337"/>
      <c r="AK972" s="337"/>
      <c r="AL972" s="412"/>
      <c r="AM972" s="414"/>
      <c r="AN972" s="45"/>
      <c r="AO972" s="45"/>
      <c r="AP972" s="45"/>
      <c r="AQ972" s="485">
        <f>AL972/BI972</f>
        <v>0</v>
      </c>
      <c r="AR972" s="100">
        <f>BL972/BH972</f>
        <v>0</v>
      </c>
      <c r="AS972" s="485">
        <f>BL972/BI972</f>
        <v>0</v>
      </c>
      <c r="AT972" s="123"/>
      <c r="AU972" s="123"/>
      <c r="AV972" s="123"/>
      <c r="AW972" s="18">
        <v>25</v>
      </c>
      <c r="AX972" s="69" t="s">
        <v>300</v>
      </c>
      <c r="AY972" s="243" t="s">
        <v>148</v>
      </c>
      <c r="AZ972" s="243" t="str">
        <f t="shared" si="397"/>
        <v>Chum</v>
      </c>
      <c r="BA972" s="243" t="s">
        <v>419</v>
      </c>
      <c r="BB972" s="244" t="s">
        <v>528</v>
      </c>
      <c r="BC972" s="43" t="str">
        <f t="shared" si="398"/>
        <v>-</v>
      </c>
      <c r="BD972" s="43">
        <f t="shared" si="392"/>
        <v>0</v>
      </c>
      <c r="BE972" s="193">
        <f t="shared" si="389"/>
        <v>0</v>
      </c>
      <c r="BF972" s="193">
        <f t="shared" si="399"/>
        <v>0</v>
      </c>
      <c r="BG972" s="193">
        <f t="shared" si="400"/>
        <v>0</v>
      </c>
      <c r="BH972" s="307">
        <f t="shared" si="391"/>
        <v>180</v>
      </c>
      <c r="BI972" s="265">
        <f t="shared" ref="BI972:BI980" si="412">CC972</f>
        <v>4460</v>
      </c>
      <c r="BJ972" s="26" t="str">
        <f t="shared" si="401"/>
        <v>PARK RIVERChum</v>
      </c>
      <c r="BK972" s="26">
        <f t="shared" si="402"/>
        <v>0</v>
      </c>
      <c r="BL972" s="33">
        <f t="shared" si="393"/>
        <v>0</v>
      </c>
      <c r="BQ972" s="47" t="str">
        <f t="shared" si="403"/>
        <v>PARK RIVERChum</v>
      </c>
      <c r="BR972" s="49">
        <f t="shared" si="404"/>
        <v>0</v>
      </c>
      <c r="BS972" s="49">
        <f t="shared" si="388"/>
        <v>0</v>
      </c>
      <c r="BT972" s="31">
        <v>2016</v>
      </c>
      <c r="BU972" s="188" t="str">
        <f t="shared" si="405"/>
        <v>EFN/Wildcoast</v>
      </c>
      <c r="BV972" s="188" t="str">
        <f t="shared" si="406"/>
        <v xml:space="preserve"> </v>
      </c>
      <c r="BW972" s="188" t="str">
        <f t="shared" si="394"/>
        <v xml:space="preserve"> </v>
      </c>
      <c r="BX972" s="188" t="str">
        <f t="shared" si="407"/>
        <v xml:space="preserve"> </v>
      </c>
      <c r="BY972" s="50" t="str">
        <f t="shared" si="396"/>
        <v>PARK RIVER_Chum</v>
      </c>
      <c r="BZ972" s="50">
        <f>IFERROR(VLOOKUP(BY972,'[1]WCVI Esc'!$C$5:$W$555,18,FALSE),"-")</f>
        <v>290</v>
      </c>
      <c r="CA972" s="50">
        <f t="shared" si="408"/>
        <v>290</v>
      </c>
      <c r="CB972" s="50">
        <f>IFERROR(VLOOKUP(BY972,'[1]WCVI Esc'!$C$5:$W$555,19,FALSE),"-")</f>
        <v>4463.5</v>
      </c>
      <c r="CC972" s="50">
        <f t="shared" si="409"/>
        <v>4460</v>
      </c>
      <c r="CE972" s="342" t="str">
        <f t="shared" si="395"/>
        <v>PARK RIVER_Chum</v>
      </c>
      <c r="CF972" s="341">
        <f>IFERROR(VLOOKUP(CE972,'RawPL+D'!$O$8:$AB$503,12,FALSE),"-")</f>
        <v>0</v>
      </c>
      <c r="CG972" s="338">
        <f t="shared" si="410"/>
        <v>0</v>
      </c>
      <c r="CH972" s="341">
        <f>IFERROR(VLOOKUP(CE972,'RawPL+D'!$O$8:$AB$503,13,FALSE),"-")</f>
        <v>180.5</v>
      </c>
      <c r="CI972" s="338">
        <f t="shared" si="411"/>
        <v>180</v>
      </c>
    </row>
    <row r="973" spans="1:87" ht="12.75" hidden="1" customHeight="1" x14ac:dyDescent="0.2">
      <c r="A973" s="28">
        <v>3</v>
      </c>
      <c r="B973" s="28">
        <v>5</v>
      </c>
      <c r="C973" s="11">
        <v>25</v>
      </c>
      <c r="D973" s="13" t="s">
        <v>300</v>
      </c>
      <c r="E973" s="10" t="s">
        <v>148</v>
      </c>
      <c r="F973" s="10" t="s">
        <v>210</v>
      </c>
      <c r="G973" s="10"/>
      <c r="H973" s="10"/>
      <c r="I973" s="10"/>
      <c r="J973" s="10"/>
      <c r="K973" s="575"/>
      <c r="L973" s="152"/>
      <c r="M973" s="422"/>
      <c r="N973" s="339"/>
      <c r="O973" s="62"/>
      <c r="P973" s="424"/>
      <c r="Q973" s="171"/>
      <c r="R973" s="339"/>
      <c r="S973" s="339"/>
      <c r="T973" s="63"/>
      <c r="U973" s="423"/>
      <c r="V973" s="164"/>
      <c r="W973" s="62"/>
      <c r="X973" s="63"/>
      <c r="Y973" s="62"/>
      <c r="Z973" s="64"/>
      <c r="AA973" s="164"/>
      <c r="AB973" s="62"/>
      <c r="AC973" s="62"/>
      <c r="AD973" s="64"/>
      <c r="AE973" s="164"/>
      <c r="AF973" s="62"/>
      <c r="AG973" s="64"/>
      <c r="AH973" s="337"/>
      <c r="AI973" s="337"/>
      <c r="AJ973" s="337"/>
      <c r="AK973" s="337"/>
      <c r="AL973" s="412"/>
      <c r="AM973" s="414"/>
      <c r="AN973" s="45"/>
      <c r="AO973" s="45"/>
      <c r="AP973" s="45"/>
      <c r="AQ973" s="485"/>
      <c r="AR973" s="15"/>
      <c r="AS973" s="485"/>
      <c r="AT973" s="679"/>
      <c r="AU973" s="679"/>
      <c r="AV973" s="123">
        <f>AL973</f>
        <v>0</v>
      </c>
      <c r="AW973" s="18">
        <v>25</v>
      </c>
      <c r="AX973" s="69" t="s">
        <v>300</v>
      </c>
      <c r="AY973" s="243" t="s">
        <v>148</v>
      </c>
      <c r="AZ973" s="243" t="str">
        <f t="shared" si="397"/>
        <v>Chinook</v>
      </c>
      <c r="BA973" s="243" t="s">
        <v>419</v>
      </c>
      <c r="BB973" s="244" t="s">
        <v>528</v>
      </c>
      <c r="BC973" s="43" t="str">
        <f t="shared" si="398"/>
        <v>-</v>
      </c>
      <c r="BD973" s="43">
        <f t="shared" si="392"/>
        <v>0</v>
      </c>
      <c r="BE973" s="193">
        <f t="shared" si="389"/>
        <v>0</v>
      </c>
      <c r="BF973" s="193">
        <f t="shared" si="399"/>
        <v>0</v>
      </c>
      <c r="BG973" s="193">
        <f t="shared" si="400"/>
        <v>0</v>
      </c>
      <c r="BH973" s="307">
        <f t="shared" si="391"/>
        <v>0</v>
      </c>
      <c r="BI973" s="265" t="str">
        <f t="shared" si="412"/>
        <v>-</v>
      </c>
      <c r="BJ973" s="26" t="str">
        <f t="shared" si="401"/>
        <v>PARK RIVERChinook</v>
      </c>
      <c r="BK973" s="26">
        <f t="shared" si="402"/>
        <v>0</v>
      </c>
      <c r="BL973" s="33">
        <f t="shared" si="393"/>
        <v>0</v>
      </c>
      <c r="BQ973" s="47" t="str">
        <f t="shared" si="403"/>
        <v>PARK RIVERChinook</v>
      </c>
      <c r="BR973" s="49">
        <f t="shared" si="404"/>
        <v>0</v>
      </c>
      <c r="BS973" s="49">
        <f t="shared" ref="BS973:BS1036" si="413">AL973</f>
        <v>0</v>
      </c>
      <c r="BT973" s="31">
        <v>1980</v>
      </c>
      <c r="BU973" s="188" t="str">
        <f t="shared" si="405"/>
        <v>EFN/Wildcoast</v>
      </c>
      <c r="BV973" s="188" t="str">
        <f t="shared" si="406"/>
        <v xml:space="preserve"> </v>
      </c>
      <c r="BW973" s="188" t="str">
        <f t="shared" si="394"/>
        <v xml:space="preserve"> </v>
      </c>
      <c r="BX973" s="188" t="str">
        <f t="shared" si="407"/>
        <v xml:space="preserve"> </v>
      </c>
      <c r="BY973" s="50" t="str">
        <f t="shared" si="396"/>
        <v>PARK RIVER_Chinook</v>
      </c>
      <c r="BZ973" s="50" t="str">
        <f>IFERROR(VLOOKUP(BY973,'[1]WCVI Esc'!$C$5:$W$555,18,FALSE),"-")</f>
        <v>-</v>
      </c>
      <c r="CA973" s="50" t="str">
        <f t="shared" si="408"/>
        <v>-</v>
      </c>
      <c r="CB973" s="50" t="str">
        <f>IFERROR(VLOOKUP(BY973,'[1]WCVI Esc'!$C$5:$W$555,19,FALSE),"-")</f>
        <v>-</v>
      </c>
      <c r="CC973" s="50" t="str">
        <f t="shared" si="409"/>
        <v>-</v>
      </c>
      <c r="CE973" s="342" t="str">
        <f t="shared" si="395"/>
        <v>PARK RIVER_Chinook</v>
      </c>
      <c r="CF973" s="341">
        <f>IFERROR(VLOOKUP(BY973,'RawPL+D'!$O$8:$AB$503,12,FALSE),"-")</f>
        <v>0</v>
      </c>
      <c r="CG973" s="338">
        <f t="shared" si="410"/>
        <v>0</v>
      </c>
      <c r="CH973" s="341">
        <f>IFERROR(VLOOKUP(BY973,'RawPL+D'!$O$8:$AB$503,13,FALSE),"-")</f>
        <v>1</v>
      </c>
      <c r="CI973" s="338">
        <f t="shared" si="411"/>
        <v>0</v>
      </c>
    </row>
    <row r="974" spans="1:87" ht="12.75" hidden="1" customHeight="1" x14ac:dyDescent="0.2">
      <c r="A974" s="28">
        <v>3</v>
      </c>
      <c r="B974" s="28">
        <v>6</v>
      </c>
      <c r="C974" s="11">
        <v>25</v>
      </c>
      <c r="D974" s="13" t="s">
        <v>300</v>
      </c>
      <c r="E974" s="10" t="s">
        <v>148</v>
      </c>
      <c r="F974" s="10" t="s">
        <v>211</v>
      </c>
      <c r="G974" s="10"/>
      <c r="H974" s="10"/>
      <c r="I974" s="10"/>
      <c r="J974" s="10"/>
      <c r="K974" s="575"/>
      <c r="L974" s="152"/>
      <c r="M974" s="422"/>
      <c r="N974" s="339"/>
      <c r="O974" s="62"/>
      <c r="P974" s="424"/>
      <c r="Q974" s="171"/>
      <c r="R974" s="339"/>
      <c r="S974" s="339"/>
      <c r="T974" s="63"/>
      <c r="U974" s="423"/>
      <c r="V974" s="164"/>
      <c r="W974" s="62"/>
      <c r="X974" s="63"/>
      <c r="Y974" s="62"/>
      <c r="Z974" s="64"/>
      <c r="AA974" s="164"/>
      <c r="AB974" s="62"/>
      <c r="AC974" s="62"/>
      <c r="AD974" s="64"/>
      <c r="AE974" s="164"/>
      <c r="AF974" s="62"/>
      <c r="AG974" s="64"/>
      <c r="AH974" s="337"/>
      <c r="AI974" s="337"/>
      <c r="AJ974" s="337"/>
      <c r="AK974" s="337"/>
      <c r="AL974" s="412"/>
      <c r="AM974" s="414"/>
      <c r="AN974" s="45"/>
      <c r="AO974" s="45"/>
      <c r="AP974" s="45"/>
      <c r="AQ974" s="485"/>
      <c r="AR974" s="15"/>
      <c r="AS974" s="485"/>
      <c r="AT974" s="679"/>
      <c r="AU974" s="679"/>
      <c r="AV974" s="679"/>
      <c r="AW974" s="18">
        <v>25</v>
      </c>
      <c r="AX974" s="69" t="s">
        <v>300</v>
      </c>
      <c r="AY974" s="243" t="s">
        <v>148</v>
      </c>
      <c r="AZ974" s="243" t="str">
        <f t="shared" si="397"/>
        <v>Steelhead</v>
      </c>
      <c r="BA974" s="243" t="s">
        <v>419</v>
      </c>
      <c r="BB974" s="244" t="s">
        <v>528</v>
      </c>
      <c r="BC974" s="43" t="str">
        <f t="shared" si="398"/>
        <v>-</v>
      </c>
      <c r="BD974" s="43">
        <f t="shared" si="392"/>
        <v>0</v>
      </c>
      <c r="BE974" s="193">
        <f t="shared" si="389"/>
        <v>0</v>
      </c>
      <c r="BF974" s="193">
        <f t="shared" si="399"/>
        <v>0</v>
      </c>
      <c r="BG974" s="193">
        <f t="shared" si="400"/>
        <v>0</v>
      </c>
      <c r="BH974" s="307" t="str">
        <f t="shared" si="391"/>
        <v>-</v>
      </c>
      <c r="BI974" s="265" t="str">
        <f t="shared" si="412"/>
        <v>-</v>
      </c>
      <c r="BJ974" s="26" t="str">
        <f t="shared" si="401"/>
        <v>PARK RIVERSteelhead</v>
      </c>
      <c r="BK974" s="26">
        <f t="shared" si="402"/>
        <v>0</v>
      </c>
      <c r="BL974" s="33">
        <f t="shared" si="393"/>
        <v>0</v>
      </c>
      <c r="BQ974" s="47" t="str">
        <f t="shared" si="403"/>
        <v>PARK RIVERSteelhead</v>
      </c>
      <c r="BR974" s="49">
        <f t="shared" si="404"/>
        <v>0</v>
      </c>
      <c r="BS974" s="49">
        <f t="shared" si="413"/>
        <v>0</v>
      </c>
      <c r="BT974" s="31">
        <v>0</v>
      </c>
      <c r="BU974" s="188" t="str">
        <f t="shared" si="405"/>
        <v>EFN/Wildcoast</v>
      </c>
      <c r="BV974" s="188" t="str">
        <f t="shared" si="406"/>
        <v xml:space="preserve"> </v>
      </c>
      <c r="BW974" s="188" t="str">
        <f t="shared" si="394"/>
        <v xml:space="preserve"> </v>
      </c>
      <c r="BX974" s="188" t="str">
        <f t="shared" si="407"/>
        <v xml:space="preserve"> </v>
      </c>
      <c r="BY974" s="50" t="str">
        <f t="shared" si="396"/>
        <v>PARK RIVER_Steelhead</v>
      </c>
      <c r="BZ974" s="50" t="str">
        <f>IFERROR(VLOOKUP(BY974,'[1]WCVI Esc'!$C$5:$W$555,18,FALSE),"-")</f>
        <v>-</v>
      </c>
      <c r="CA974" s="50" t="str">
        <f t="shared" si="408"/>
        <v>-</v>
      </c>
      <c r="CB974" s="50" t="str">
        <f>IFERROR(VLOOKUP(BY974,'[1]WCVI Esc'!$C$5:$W$555,19,FALSE),"-")</f>
        <v>-</v>
      </c>
      <c r="CC974" s="50" t="str">
        <f t="shared" si="409"/>
        <v>-</v>
      </c>
      <c r="CE974" s="342" t="str">
        <f t="shared" si="395"/>
        <v>PARK RIVER_Steelhead</v>
      </c>
      <c r="CF974" s="341" t="str">
        <f>IFERROR(VLOOKUP(BY974,'RawPL+D'!$O$8:$AB$503,12,FALSE),"-")</f>
        <v>-</v>
      </c>
      <c r="CG974" s="338" t="str">
        <f t="shared" si="410"/>
        <v>-</v>
      </c>
      <c r="CH974" s="341" t="str">
        <f>IFERROR(VLOOKUP(BY974,'RawPL+D'!$O$8:$AB$503,13,FALSE),"-")</f>
        <v>-</v>
      </c>
      <c r="CI974" s="338" t="str">
        <f t="shared" si="411"/>
        <v>-</v>
      </c>
    </row>
    <row r="975" spans="1:87" ht="12.75" hidden="1" customHeight="1" x14ac:dyDescent="0.2">
      <c r="A975" s="28">
        <v>3</v>
      </c>
      <c r="B975" s="28">
        <v>1</v>
      </c>
      <c r="C975" s="11">
        <v>25</v>
      </c>
      <c r="D975" s="13" t="s">
        <v>300</v>
      </c>
      <c r="E975" s="10" t="s">
        <v>55</v>
      </c>
      <c r="F975" s="10" t="s">
        <v>207</v>
      </c>
      <c r="G975" s="10"/>
      <c r="H975" s="10"/>
      <c r="I975" s="10"/>
      <c r="J975" s="10"/>
      <c r="K975" s="575"/>
      <c r="L975" s="152"/>
      <c r="M975" s="422"/>
      <c r="N975" s="339"/>
      <c r="O975" s="62"/>
      <c r="P975" s="424"/>
      <c r="Q975" s="461"/>
      <c r="R975" s="642">
        <v>61</v>
      </c>
      <c r="S975" s="439"/>
      <c r="T975" s="462"/>
      <c r="U975" s="772">
        <v>17</v>
      </c>
      <c r="V975" s="421"/>
      <c r="W975" s="676">
        <v>1</v>
      </c>
      <c r="X975" s="303"/>
      <c r="Y975" s="591"/>
      <c r="Z975" s="64"/>
      <c r="AA975" s="164"/>
      <c r="AB975" s="62"/>
      <c r="AC975" s="62"/>
      <c r="AD975" s="64"/>
      <c r="AE975" s="164"/>
      <c r="AF975" s="62"/>
      <c r="AG975" s="64"/>
      <c r="AH975" s="337"/>
      <c r="AI975" s="337"/>
      <c r="AJ975" s="337"/>
      <c r="AK975" s="337"/>
      <c r="AL975" s="555"/>
      <c r="AM975" s="552"/>
      <c r="AN975" s="839" t="s">
        <v>774</v>
      </c>
      <c r="AO975" s="45"/>
      <c r="AP975" s="44"/>
      <c r="AQ975" s="485">
        <f>AL975/BI975</f>
        <v>0</v>
      </c>
      <c r="AR975" s="485">
        <f>BL975/BH975</f>
        <v>0.13863636363636364</v>
      </c>
      <c r="AS975" s="485">
        <f>BL975/BI975</f>
        <v>4.4852941176470588E-2</v>
      </c>
      <c r="AT975" s="123"/>
      <c r="AU975" s="123"/>
      <c r="AV975" s="124"/>
      <c r="AW975" s="18">
        <v>25</v>
      </c>
      <c r="AX975" s="69" t="s">
        <v>300</v>
      </c>
      <c r="AY975" s="243" t="s">
        <v>55</v>
      </c>
      <c r="AZ975" s="243" t="str">
        <f t="shared" si="397"/>
        <v>Sockeye</v>
      </c>
      <c r="BA975" s="243" t="s">
        <v>419</v>
      </c>
      <c r="BB975" s="244" t="s">
        <v>528</v>
      </c>
      <c r="BC975" s="43" t="str">
        <f t="shared" si="398"/>
        <v>Nov 12-18</v>
      </c>
      <c r="BD975" s="43">
        <f t="shared" si="392"/>
        <v>3</v>
      </c>
      <c r="BE975" s="193">
        <f t="shared" si="389"/>
        <v>61</v>
      </c>
      <c r="BF975" s="193">
        <f t="shared" si="399"/>
        <v>0</v>
      </c>
      <c r="BG975" s="193">
        <f t="shared" si="400"/>
        <v>0</v>
      </c>
      <c r="BH975" s="307">
        <f t="shared" si="391"/>
        <v>440</v>
      </c>
      <c r="BI975" s="265">
        <f t="shared" si="412"/>
        <v>1360</v>
      </c>
      <c r="BJ975" s="26" t="str">
        <f t="shared" si="401"/>
        <v>ZEBALLOS RIVERSockeye</v>
      </c>
      <c r="BK975" s="26">
        <f t="shared" si="402"/>
        <v>3</v>
      </c>
      <c r="BL975" s="33">
        <f t="shared" si="393"/>
        <v>61</v>
      </c>
      <c r="BQ975" s="47" t="str">
        <f t="shared" si="403"/>
        <v>ZEBALLOS RIVERSockeye</v>
      </c>
      <c r="BR975" s="49">
        <f t="shared" si="404"/>
        <v>0</v>
      </c>
      <c r="BS975" s="49">
        <f t="shared" si="413"/>
        <v>0</v>
      </c>
      <c r="BT975" s="31">
        <v>2016</v>
      </c>
      <c r="BU975" s="188" t="str">
        <f t="shared" si="405"/>
        <v>EFN/Wildcoast</v>
      </c>
      <c r="BV975" s="188" t="str">
        <f t="shared" si="406"/>
        <v xml:space="preserve"> </v>
      </c>
      <c r="BW975" s="188" t="str">
        <f t="shared" si="394"/>
        <v>Nov 12-18</v>
      </c>
      <c r="BX975" s="188" t="str">
        <f t="shared" si="407"/>
        <v xml:space="preserve"> </v>
      </c>
      <c r="BY975" s="50" t="str">
        <f t="shared" si="396"/>
        <v>ZEBALLOS RIVER_Sockeye</v>
      </c>
      <c r="BZ975" s="50">
        <f>IFERROR(VLOOKUP(BY975,'[1]WCVI Esc'!$C$5:$W$555,18,FALSE),"-")</f>
        <v>792.5</v>
      </c>
      <c r="CA975" s="50">
        <f t="shared" si="408"/>
        <v>790</v>
      </c>
      <c r="CB975" s="50">
        <f>IFERROR(VLOOKUP(BY975,'[1]WCVI Esc'!$C$5:$W$555,19,FALSE),"-")</f>
        <v>1364.4166666666667</v>
      </c>
      <c r="CC975" s="50">
        <f t="shared" si="409"/>
        <v>1360</v>
      </c>
      <c r="CE975" s="342" t="str">
        <f t="shared" si="395"/>
        <v>ZEBALLOS RIVER_Sockeye</v>
      </c>
      <c r="CF975" s="341">
        <f>IFERROR(VLOOKUP(CE975,'RawPL+D'!$O$8:$AB$503,12,FALSE),"-")</f>
        <v>903</v>
      </c>
      <c r="CG975" s="338">
        <f t="shared" si="410"/>
        <v>900</v>
      </c>
      <c r="CH975" s="341">
        <f>IFERROR(VLOOKUP(CE975,'RawPL+D'!$O$8:$AB$503,13,FALSE),"-")</f>
        <v>443.75</v>
      </c>
      <c r="CI975" s="338">
        <f t="shared" si="411"/>
        <v>440</v>
      </c>
    </row>
    <row r="976" spans="1:87" ht="12.75" hidden="1" customHeight="1" x14ac:dyDescent="0.2">
      <c r="A976" s="28">
        <v>3</v>
      </c>
      <c r="B976" s="28">
        <v>2</v>
      </c>
      <c r="C976" s="11">
        <v>25</v>
      </c>
      <c r="D976" s="13" t="s">
        <v>300</v>
      </c>
      <c r="E976" s="10" t="s">
        <v>55</v>
      </c>
      <c r="F976" s="10" t="s">
        <v>219</v>
      </c>
      <c r="G976" s="10"/>
      <c r="H976" s="10"/>
      <c r="I976" s="10"/>
      <c r="J976" s="10"/>
      <c r="K976" s="575"/>
      <c r="L976" s="152"/>
      <c r="M976" s="422"/>
      <c r="N976" s="339"/>
      <c r="O976" s="62"/>
      <c r="P976" s="424"/>
      <c r="Q976" s="463"/>
      <c r="R976" s="642">
        <v>375</v>
      </c>
      <c r="S976" s="339"/>
      <c r="T976" s="464"/>
      <c r="U976" s="771">
        <v>157</v>
      </c>
      <c r="V976" s="164"/>
      <c r="W976" s="676">
        <v>4</v>
      </c>
      <c r="X976" s="171"/>
      <c r="Y976" s="590"/>
      <c r="Z976" s="64"/>
      <c r="AA976" s="164"/>
      <c r="AB976" s="62"/>
      <c r="AC976" s="62"/>
      <c r="AD976" s="64"/>
      <c r="AE976" s="164"/>
      <c r="AF976" s="62"/>
      <c r="AG976" s="64"/>
      <c r="AH976" s="337"/>
      <c r="AI976" s="337"/>
      <c r="AJ976" s="337"/>
      <c r="AK976" s="337"/>
      <c r="AL976" s="555"/>
      <c r="AM976" s="552"/>
      <c r="AN976" s="839" t="s">
        <v>774</v>
      </c>
      <c r="AO976" s="45"/>
      <c r="AP976" s="44"/>
      <c r="AQ976" s="485">
        <f>AL976/BI976</f>
        <v>0</v>
      </c>
      <c r="AR976" s="485">
        <f>BL976/BH976</f>
        <v>3.75</v>
      </c>
      <c r="AS976" s="485">
        <f>BL976/BI976</f>
        <v>1.1363636363636365</v>
      </c>
      <c r="AT976" s="123"/>
      <c r="AU976" s="123"/>
      <c r="AV976" s="123"/>
      <c r="AW976" s="18">
        <v>25</v>
      </c>
      <c r="AX976" s="69" t="s">
        <v>300</v>
      </c>
      <c r="AY976" s="243" t="s">
        <v>55</v>
      </c>
      <c r="AZ976" s="243" t="str">
        <f t="shared" si="397"/>
        <v>Coho</v>
      </c>
      <c r="BA976" s="243" t="s">
        <v>419</v>
      </c>
      <c r="BB976" s="244" t="s">
        <v>528</v>
      </c>
      <c r="BC976" s="43" t="str">
        <f t="shared" si="398"/>
        <v>Nov 12-18</v>
      </c>
      <c r="BD976" s="43">
        <f t="shared" si="392"/>
        <v>3</v>
      </c>
      <c r="BE976" s="193">
        <f t="shared" si="389"/>
        <v>375</v>
      </c>
      <c r="BF976" s="193">
        <f t="shared" si="399"/>
        <v>0</v>
      </c>
      <c r="BG976" s="193">
        <f t="shared" si="400"/>
        <v>0</v>
      </c>
      <c r="BH976" s="307">
        <f t="shared" si="391"/>
        <v>100</v>
      </c>
      <c r="BI976" s="265">
        <f t="shared" si="412"/>
        <v>330</v>
      </c>
      <c r="BJ976" s="26" t="str">
        <f t="shared" si="401"/>
        <v>ZEBALLOS RIVERCoho</v>
      </c>
      <c r="BK976" s="26">
        <f t="shared" si="402"/>
        <v>3</v>
      </c>
      <c r="BL976" s="33">
        <f t="shared" si="393"/>
        <v>375</v>
      </c>
      <c r="BQ976" s="47" t="str">
        <f t="shared" si="403"/>
        <v>ZEBALLOS RIVERCoho</v>
      </c>
      <c r="BR976" s="49">
        <f t="shared" si="404"/>
        <v>0</v>
      </c>
      <c r="BS976" s="49">
        <f t="shared" si="413"/>
        <v>0</v>
      </c>
      <c r="BT976" s="31">
        <v>2016</v>
      </c>
      <c r="BU976" s="188" t="str">
        <f t="shared" si="405"/>
        <v>EFN/Wildcoast</v>
      </c>
      <c r="BV976" s="188" t="str">
        <f t="shared" si="406"/>
        <v xml:space="preserve"> </v>
      </c>
      <c r="BW976" s="188" t="str">
        <f t="shared" si="394"/>
        <v>Nov 12-18</v>
      </c>
      <c r="BX976" s="188" t="str">
        <f t="shared" si="407"/>
        <v xml:space="preserve"> </v>
      </c>
      <c r="BY976" s="50" t="str">
        <f t="shared" si="396"/>
        <v>ZEBALLOS RIVER_Coho</v>
      </c>
      <c r="BZ976" s="50">
        <f>IFERROR(VLOOKUP(BY976,'[1]WCVI Esc'!$C$5:$W$555,18,FALSE),"-")</f>
        <v>149.5</v>
      </c>
      <c r="CA976" s="50">
        <f t="shared" si="408"/>
        <v>150</v>
      </c>
      <c r="CB976" s="50">
        <f>IFERROR(VLOOKUP(BY976,'[1]WCVI Esc'!$C$5:$W$555,19,FALSE),"-")</f>
        <v>328.08333333333331</v>
      </c>
      <c r="CC976" s="50">
        <f t="shared" si="409"/>
        <v>330</v>
      </c>
      <c r="CE976" s="342" t="str">
        <f t="shared" si="395"/>
        <v>ZEBALLOS RIVER_Coho</v>
      </c>
      <c r="CF976" s="341">
        <f>IFERROR(VLOOKUP(CE976,'RawPL+D'!$O$8:$AB$503,12,FALSE),"-")</f>
        <v>51</v>
      </c>
      <c r="CG976" s="338">
        <f t="shared" si="410"/>
        <v>50</v>
      </c>
      <c r="CH976" s="341">
        <f>IFERROR(VLOOKUP(CE976,'RawPL+D'!$O$8:$AB$503,13,FALSE),"-")</f>
        <v>103.75</v>
      </c>
      <c r="CI976" s="338">
        <f t="shared" si="411"/>
        <v>100</v>
      </c>
    </row>
    <row r="977" spans="1:87" ht="12.75" hidden="1" customHeight="1" x14ac:dyDescent="0.2">
      <c r="A977" s="28">
        <v>3</v>
      </c>
      <c r="B977" s="28">
        <v>3</v>
      </c>
      <c r="C977" s="11">
        <v>25</v>
      </c>
      <c r="D977" s="13" t="s">
        <v>300</v>
      </c>
      <c r="E977" s="10" t="s">
        <v>55</v>
      </c>
      <c r="F977" s="10" t="s">
        <v>208</v>
      </c>
      <c r="G977" s="10"/>
      <c r="H977" s="10"/>
      <c r="I977" s="10"/>
      <c r="J977" s="10"/>
      <c r="K977" s="575"/>
      <c r="L977" s="152"/>
      <c r="M977" s="422"/>
      <c r="N977" s="339"/>
      <c r="O977" s="62"/>
      <c r="P977" s="424"/>
      <c r="Q977" s="465"/>
      <c r="R977" s="642">
        <v>0</v>
      </c>
      <c r="S977" s="339"/>
      <c r="T977" s="464"/>
      <c r="U977" s="771">
        <v>0</v>
      </c>
      <c r="V977" s="164"/>
      <c r="W977" s="642">
        <v>0</v>
      </c>
      <c r="X977" s="171"/>
      <c r="Y977" s="590"/>
      <c r="Z977" s="64"/>
      <c r="AA977" s="164"/>
      <c r="AB977" s="62"/>
      <c r="AC977" s="62"/>
      <c r="AD977" s="64"/>
      <c r="AE977" s="164"/>
      <c r="AF977" s="62"/>
      <c r="AG977" s="64"/>
      <c r="AH977" s="337"/>
      <c r="AI977" s="337"/>
      <c r="AJ977" s="337"/>
      <c r="AK977" s="337"/>
      <c r="AL977" s="555"/>
      <c r="AM977" s="552"/>
      <c r="AN977" s="839" t="s">
        <v>774</v>
      </c>
      <c r="AO977" s="53"/>
      <c r="AP977" s="44"/>
      <c r="AQ977" s="485"/>
      <c r="AR977" s="100" t="e">
        <f>BL977/BH977</f>
        <v>#DIV/0!</v>
      </c>
      <c r="AS977" s="485">
        <f>BL977/BI977</f>
        <v>0</v>
      </c>
      <c r="AT977" s="100"/>
      <c r="AU977" s="100"/>
      <c r="AV977" s="100"/>
      <c r="AW977" s="18">
        <v>25</v>
      </c>
      <c r="AX977" s="69" t="s">
        <v>300</v>
      </c>
      <c r="AY977" s="243" t="s">
        <v>55</v>
      </c>
      <c r="AZ977" s="243" t="str">
        <f t="shared" si="397"/>
        <v>Pink</v>
      </c>
      <c r="BA977" s="243" t="s">
        <v>419</v>
      </c>
      <c r="BB977" s="244" t="s">
        <v>528</v>
      </c>
      <c r="BC977" s="43" t="str">
        <f t="shared" si="398"/>
        <v>Nov 12-18</v>
      </c>
      <c r="BD977" s="43">
        <f t="shared" si="392"/>
        <v>3</v>
      </c>
      <c r="BE977" s="193">
        <f t="shared" ref="BE977:BE1040" si="414">BL977</f>
        <v>0</v>
      </c>
      <c r="BF977" s="193">
        <f t="shared" si="399"/>
        <v>0</v>
      </c>
      <c r="BG977" s="193">
        <f t="shared" si="400"/>
        <v>0</v>
      </c>
      <c r="BH977" s="307">
        <f t="shared" si="391"/>
        <v>0</v>
      </c>
      <c r="BI977" s="265">
        <f t="shared" si="412"/>
        <v>40</v>
      </c>
      <c r="BJ977" s="26" t="str">
        <f t="shared" si="401"/>
        <v>ZEBALLOS RIVERPink</v>
      </c>
      <c r="BK977" s="26">
        <f t="shared" si="402"/>
        <v>3</v>
      </c>
      <c r="BL977" s="33">
        <f t="shared" si="393"/>
        <v>0</v>
      </c>
      <c r="BQ977" s="47" t="str">
        <f t="shared" si="403"/>
        <v>ZEBALLOS RIVERPink</v>
      </c>
      <c r="BR977" s="49">
        <f t="shared" si="404"/>
        <v>0</v>
      </c>
      <c r="BS977" s="49">
        <f t="shared" si="413"/>
        <v>0</v>
      </c>
      <c r="BT977" s="31">
        <v>2014</v>
      </c>
      <c r="BU977" s="188" t="str">
        <f t="shared" si="405"/>
        <v>EFN/Wildcoast</v>
      </c>
      <c r="BV977" s="188" t="str">
        <f t="shared" si="406"/>
        <v xml:space="preserve"> </v>
      </c>
      <c r="BW977" s="188" t="str">
        <f t="shared" si="394"/>
        <v>Nov 12-18</v>
      </c>
      <c r="BX977" s="188" t="str">
        <f t="shared" si="407"/>
        <v xml:space="preserve"> </v>
      </c>
      <c r="BY977" s="50" t="str">
        <f t="shared" si="396"/>
        <v>ZEBALLOS RIVER_Pink</v>
      </c>
      <c r="BZ977" s="50" t="str">
        <f>IFERROR(VLOOKUP(BY977,'[1]WCVI Esc'!$C$5:$W$555,18,FALSE),"-")</f>
        <v>-</v>
      </c>
      <c r="CA977" s="50" t="str">
        <f t="shared" si="408"/>
        <v>-</v>
      </c>
      <c r="CB977" s="50">
        <f>IFERROR(VLOOKUP(BY977,'[1]WCVI Esc'!$C$5:$W$555,19,FALSE),"-")</f>
        <v>43.666666666666664</v>
      </c>
      <c r="CC977" s="50">
        <f t="shared" si="409"/>
        <v>40</v>
      </c>
      <c r="CE977" s="342" t="str">
        <f t="shared" si="395"/>
        <v>ZEBALLOS RIVER_Pink</v>
      </c>
      <c r="CF977" s="341">
        <f>IFERROR(VLOOKUP(CE977,'RawPL+D'!$O$8:$AB$503,12,FALSE),"-")</f>
        <v>0</v>
      </c>
      <c r="CG977" s="338">
        <f t="shared" si="410"/>
        <v>0</v>
      </c>
      <c r="CH977" s="341">
        <f>IFERROR(VLOOKUP(CE977,'RawPL+D'!$O$8:$AB$503,13,FALSE),"-")</f>
        <v>0</v>
      </c>
      <c r="CI977" s="338">
        <f t="shared" si="411"/>
        <v>0</v>
      </c>
    </row>
    <row r="978" spans="1:87" ht="12.75" customHeight="1" x14ac:dyDescent="0.2">
      <c r="A978" s="28">
        <v>3</v>
      </c>
      <c r="B978" s="28">
        <v>4</v>
      </c>
      <c r="C978" s="11">
        <v>25</v>
      </c>
      <c r="D978" s="13" t="s">
        <v>300</v>
      </c>
      <c r="E978" s="10" t="s">
        <v>55</v>
      </c>
      <c r="F978" s="10" t="s">
        <v>209</v>
      </c>
      <c r="G978" s="10"/>
      <c r="H978" s="10"/>
      <c r="I978" s="10"/>
      <c r="J978" s="10"/>
      <c r="K978" s="575"/>
      <c r="L978" s="152"/>
      <c r="M978" s="422"/>
      <c r="N978" s="339"/>
      <c r="O978" s="62"/>
      <c r="P978" s="424"/>
      <c r="Q978" s="461"/>
      <c r="R978" s="642">
        <f>1260+12</f>
        <v>1272</v>
      </c>
      <c r="S978" s="339"/>
      <c r="T978" s="462"/>
      <c r="U978" s="772">
        <v>2405</v>
      </c>
      <c r="V978" s="421"/>
      <c r="W978" s="676">
        <v>3</v>
      </c>
      <c r="X978" s="303"/>
      <c r="Y978" s="591"/>
      <c r="Z978" s="64"/>
      <c r="AA978" s="164"/>
      <c r="AB978" s="62"/>
      <c r="AC978" s="62"/>
      <c r="AD978" s="64"/>
      <c r="AE978" s="164"/>
      <c r="AF978" s="62"/>
      <c r="AG978" s="64"/>
      <c r="AH978" s="337">
        <v>5966</v>
      </c>
      <c r="AI978" s="337">
        <v>0</v>
      </c>
      <c r="AJ978" s="337">
        <v>0</v>
      </c>
      <c r="AK978" s="337">
        <v>0</v>
      </c>
      <c r="AL978" s="555">
        <v>5966</v>
      </c>
      <c r="AM978" s="552">
        <v>5966</v>
      </c>
      <c r="AN978" s="552" t="s">
        <v>768</v>
      </c>
      <c r="AO978" s="552" t="s">
        <v>773</v>
      </c>
      <c r="AP978" s="44"/>
      <c r="AQ978" s="485">
        <f>AL978/BI978</f>
        <v>0.99765886287625416</v>
      </c>
      <c r="AR978" s="485">
        <f>BL978/BH978</f>
        <v>1.6360544217687074</v>
      </c>
      <c r="AS978" s="485">
        <f>BL978/BI978</f>
        <v>0.40217391304347827</v>
      </c>
      <c r="AT978" s="123"/>
      <c r="AU978" s="123"/>
      <c r="AV978" s="123"/>
      <c r="AW978" s="18">
        <v>25</v>
      </c>
      <c r="AX978" s="69" t="s">
        <v>300</v>
      </c>
      <c r="AY978" s="243" t="s">
        <v>55</v>
      </c>
      <c r="AZ978" s="243" t="str">
        <f t="shared" si="397"/>
        <v>Chum</v>
      </c>
      <c r="BA978" s="243" t="s">
        <v>419</v>
      </c>
      <c r="BB978" s="244" t="s">
        <v>528</v>
      </c>
      <c r="BC978" s="43" t="str">
        <f t="shared" si="398"/>
        <v>Nov 12-18</v>
      </c>
      <c r="BD978" s="43">
        <f t="shared" si="392"/>
        <v>3</v>
      </c>
      <c r="BE978" s="193">
        <f t="shared" si="414"/>
        <v>2405</v>
      </c>
      <c r="BF978" s="193">
        <f t="shared" si="399"/>
        <v>5966</v>
      </c>
      <c r="BG978" s="193">
        <f t="shared" si="400"/>
        <v>5966</v>
      </c>
      <c r="BH978" s="307">
        <f t="shared" si="391"/>
        <v>1470</v>
      </c>
      <c r="BI978" s="265">
        <f t="shared" si="412"/>
        <v>5980</v>
      </c>
      <c r="BJ978" s="26" t="str">
        <f t="shared" si="401"/>
        <v>ZEBALLOS RIVERChum</v>
      </c>
      <c r="BK978" s="26">
        <f t="shared" si="402"/>
        <v>3</v>
      </c>
      <c r="BL978" s="33">
        <f t="shared" si="393"/>
        <v>2405</v>
      </c>
      <c r="BQ978" s="47" t="str">
        <f t="shared" si="403"/>
        <v>ZEBALLOS RIVERChum</v>
      </c>
      <c r="BR978" s="49">
        <f t="shared" si="404"/>
        <v>0</v>
      </c>
      <c r="BS978" s="49">
        <f t="shared" si="413"/>
        <v>5966</v>
      </c>
      <c r="BT978" s="31">
        <v>2016</v>
      </c>
      <c r="BU978" s="188" t="str">
        <f t="shared" si="405"/>
        <v>EFN/Wildcoast</v>
      </c>
      <c r="BV978" s="188" t="str">
        <f t="shared" si="406"/>
        <v xml:space="preserve"> </v>
      </c>
      <c r="BW978" s="188" t="str">
        <f t="shared" si="394"/>
        <v>Nov 12-18</v>
      </c>
      <c r="BX978" s="188" t="str">
        <f t="shared" si="407"/>
        <v xml:space="preserve"> </v>
      </c>
      <c r="BY978" s="50" t="str">
        <f t="shared" si="396"/>
        <v>ZEBALLOS RIVER_Chum</v>
      </c>
      <c r="BZ978" s="50">
        <f>IFERROR(VLOOKUP(BY978,'[1]WCVI Esc'!$C$5:$W$555,18,FALSE),"-")</f>
        <v>2976.5</v>
      </c>
      <c r="CA978" s="50">
        <f t="shared" si="408"/>
        <v>2980</v>
      </c>
      <c r="CB978" s="50">
        <f>IFERROR(VLOOKUP(BY978,'[1]WCVI Esc'!$C$5:$W$555,19,FALSE),"-")</f>
        <v>5983.666666666667</v>
      </c>
      <c r="CC978" s="50">
        <f t="shared" si="409"/>
        <v>5980</v>
      </c>
      <c r="CE978" s="342" t="str">
        <f t="shared" si="395"/>
        <v>ZEBALLOS RIVER_Chum</v>
      </c>
      <c r="CF978" s="341">
        <f>IFERROR(VLOOKUP(CE978,'RawPL+D'!$O$8:$AB$503,12,FALSE),"-")</f>
        <v>1272</v>
      </c>
      <c r="CG978" s="338">
        <f t="shared" si="410"/>
        <v>1270</v>
      </c>
      <c r="CH978" s="341">
        <f>IFERROR(VLOOKUP(CE978,'RawPL+D'!$O$8:$AB$503,13,FALSE),"-")</f>
        <v>1470</v>
      </c>
      <c r="CI978" s="338">
        <f t="shared" si="411"/>
        <v>1470</v>
      </c>
    </row>
    <row r="979" spans="1:87" ht="12.75" hidden="1" customHeight="1" x14ac:dyDescent="0.2">
      <c r="A979" s="28">
        <v>3</v>
      </c>
      <c r="B979" s="28">
        <v>5</v>
      </c>
      <c r="C979" s="11">
        <v>25</v>
      </c>
      <c r="D979" s="13" t="s">
        <v>300</v>
      </c>
      <c r="E979" s="10" t="s">
        <v>55</v>
      </c>
      <c r="F979" s="10" t="s">
        <v>210</v>
      </c>
      <c r="G979" s="10"/>
      <c r="H979" s="10"/>
      <c r="I979" s="10"/>
      <c r="J979" s="10"/>
      <c r="K979" s="575"/>
      <c r="L979" s="152"/>
      <c r="M979" s="422"/>
      <c r="N979" s="339"/>
      <c r="O979" s="62"/>
      <c r="P979" s="424"/>
      <c r="Q979" s="461"/>
      <c r="R979" s="642">
        <v>67</v>
      </c>
      <c r="S979" s="339"/>
      <c r="T979" s="462"/>
      <c r="U979" s="771">
        <v>0</v>
      </c>
      <c r="V979" s="421"/>
      <c r="W979" s="676">
        <v>0</v>
      </c>
      <c r="X979" s="303"/>
      <c r="Y979" s="591"/>
      <c r="Z979" s="64"/>
      <c r="AA979" s="164"/>
      <c r="AB979" s="62"/>
      <c r="AC979" s="62"/>
      <c r="AD979" s="64"/>
      <c r="AE979" s="164"/>
      <c r="AF979" s="62"/>
      <c r="AG979" s="64"/>
      <c r="AH979" s="337"/>
      <c r="AI979" s="337"/>
      <c r="AJ979" s="337"/>
      <c r="AK979" s="337"/>
      <c r="AL979" s="555"/>
      <c r="AM979" s="552"/>
      <c r="AN979" s="839" t="s">
        <v>774</v>
      </c>
      <c r="AO979" s="45"/>
      <c r="AP979" s="44"/>
      <c r="AQ979" s="485">
        <f>AL979/BI979</f>
        <v>0</v>
      </c>
      <c r="AR979" s="485">
        <f>BL979/BH979</f>
        <v>0.95714285714285718</v>
      </c>
      <c r="AS979" s="485">
        <f>BL979/BI979</f>
        <v>0.27916666666666667</v>
      </c>
      <c r="AT979" s="123">
        <v>920</v>
      </c>
      <c r="AU979" s="123">
        <v>271</v>
      </c>
      <c r="AV979" s="123">
        <f>AL979</f>
        <v>0</v>
      </c>
      <c r="AW979" s="18">
        <v>25</v>
      </c>
      <c r="AX979" s="69" t="s">
        <v>300</v>
      </c>
      <c r="AY979" s="243" t="s">
        <v>55</v>
      </c>
      <c r="AZ979" s="243" t="str">
        <f t="shared" si="397"/>
        <v>Chinook</v>
      </c>
      <c r="BA979" s="243" t="s">
        <v>419</v>
      </c>
      <c r="BB979" s="244" t="s">
        <v>528</v>
      </c>
      <c r="BC979" s="43" t="str">
        <f t="shared" si="398"/>
        <v>Nov 12-18</v>
      </c>
      <c r="BD979" s="43">
        <f t="shared" si="392"/>
        <v>3</v>
      </c>
      <c r="BE979" s="193">
        <f t="shared" si="414"/>
        <v>67</v>
      </c>
      <c r="BF979" s="193">
        <f t="shared" si="399"/>
        <v>0</v>
      </c>
      <c r="BG979" s="193">
        <f t="shared" si="400"/>
        <v>0</v>
      </c>
      <c r="BH979" s="307">
        <f t="shared" si="391"/>
        <v>70</v>
      </c>
      <c r="BI979" s="265">
        <f t="shared" si="412"/>
        <v>240</v>
      </c>
      <c r="BJ979" s="26" t="str">
        <f t="shared" si="401"/>
        <v>ZEBALLOS RIVERChinook</v>
      </c>
      <c r="BK979" s="26">
        <f t="shared" si="402"/>
        <v>3</v>
      </c>
      <c r="BL979" s="33">
        <f t="shared" si="393"/>
        <v>67</v>
      </c>
      <c r="BQ979" s="47" t="str">
        <f t="shared" si="403"/>
        <v>ZEBALLOS RIVERChinook</v>
      </c>
      <c r="BR979" s="49">
        <f t="shared" si="404"/>
        <v>0</v>
      </c>
      <c r="BS979" s="49">
        <f t="shared" si="413"/>
        <v>0</v>
      </c>
      <c r="BT979" s="31">
        <v>2016</v>
      </c>
      <c r="BU979" s="188" t="str">
        <f t="shared" si="405"/>
        <v>EFN/Wildcoast</v>
      </c>
      <c r="BV979" s="188" t="str">
        <f t="shared" si="406"/>
        <v xml:space="preserve"> </v>
      </c>
      <c r="BW979" s="188" t="str">
        <f t="shared" ref="BW979:BW1010" si="415">IF(ISNUMBER(W979),W$8,IF(ISNUMBER(V979),V$8,IF(ISNUMBER(U979),U$8,IF(ISNUMBER(T979),T$8,IF(ISNUMBER(S979),S$8,IF(ISNUMBER(R979),R$8," "))))))</f>
        <v>Nov 12-18</v>
      </c>
      <c r="BX979" s="188" t="str">
        <f t="shared" si="407"/>
        <v xml:space="preserve"> </v>
      </c>
      <c r="BY979" s="50" t="str">
        <f t="shared" si="396"/>
        <v>ZEBALLOS RIVER_Chinook</v>
      </c>
      <c r="BZ979" s="50">
        <f>IFERROR(VLOOKUP(BY979,'[1]WCVI Esc'!$C$5:$W$555,18,FALSE),"-")</f>
        <v>143.33333333333334</v>
      </c>
      <c r="CA979" s="50">
        <f t="shared" si="408"/>
        <v>140</v>
      </c>
      <c r="CB979" s="50">
        <f>IFERROR(VLOOKUP(BY979,'[1]WCVI Esc'!$C$5:$W$555,19,FALSE),"-")</f>
        <v>241.09090909090909</v>
      </c>
      <c r="CC979" s="50">
        <f t="shared" si="409"/>
        <v>240</v>
      </c>
      <c r="CE979" s="342" t="str">
        <f t="shared" si="395"/>
        <v>ZEBALLOS RIVER_Chinook</v>
      </c>
      <c r="CF979" s="341">
        <f>IFERROR(VLOOKUP(CE979,'RawPL+D'!$O$8:$AB$503,12,FALSE),"-")</f>
        <v>29</v>
      </c>
      <c r="CG979" s="338">
        <f t="shared" si="410"/>
        <v>30</v>
      </c>
      <c r="CH979" s="341">
        <f>IFERROR(VLOOKUP(CE979,'RawPL+D'!$O$8:$AB$503,13,FALSE),"-")</f>
        <v>74</v>
      </c>
      <c r="CI979" s="338">
        <f t="shared" si="411"/>
        <v>70</v>
      </c>
    </row>
    <row r="980" spans="1:87" ht="12.75" hidden="1" customHeight="1" x14ac:dyDescent="0.2">
      <c r="A980" s="28">
        <v>3</v>
      </c>
      <c r="B980" s="28">
        <v>6</v>
      </c>
      <c r="C980" s="11">
        <v>25</v>
      </c>
      <c r="D980" s="13" t="s">
        <v>300</v>
      </c>
      <c r="E980" s="10" t="s">
        <v>55</v>
      </c>
      <c r="F980" s="10" t="s">
        <v>211</v>
      </c>
      <c r="G980" s="10"/>
      <c r="H980" s="10"/>
      <c r="I980" s="10"/>
      <c r="J980" s="10"/>
      <c r="K980" s="575"/>
      <c r="L980" s="152"/>
      <c r="M980" s="422"/>
      <c r="N980" s="339"/>
      <c r="O980" s="62"/>
      <c r="P980" s="424"/>
      <c r="Q980" s="465"/>
      <c r="R980" s="642">
        <v>0</v>
      </c>
      <c r="S980" s="339"/>
      <c r="T980" s="464"/>
      <c r="U980" s="771">
        <v>0</v>
      </c>
      <c r="V980" s="164"/>
      <c r="W980" s="642">
        <v>0</v>
      </c>
      <c r="X980" s="171"/>
      <c r="Y980" s="590"/>
      <c r="Z980" s="64"/>
      <c r="AA980" s="164"/>
      <c r="AB980" s="62"/>
      <c r="AC980" s="62"/>
      <c r="AD980" s="64"/>
      <c r="AE980" s="164"/>
      <c r="AF980" s="62"/>
      <c r="AG980" s="64"/>
      <c r="AH980" s="337"/>
      <c r="AI980" s="337"/>
      <c r="AJ980" s="337"/>
      <c r="AK980" s="337"/>
      <c r="AL980" s="555"/>
      <c r="AM980" s="552"/>
      <c r="AN980" s="45"/>
      <c r="AO980" s="45"/>
      <c r="AP980" s="44"/>
      <c r="AQ980" s="485" t="e">
        <f>AL980/BI980</f>
        <v>#VALUE!</v>
      </c>
      <c r="AR980"/>
      <c r="AS980" s="485"/>
      <c r="AT980" s="24"/>
      <c r="AU980" s="24"/>
      <c r="AV980" s="24"/>
      <c r="AW980" s="18">
        <v>25</v>
      </c>
      <c r="AX980" s="69" t="s">
        <v>300</v>
      </c>
      <c r="AY980" s="243" t="s">
        <v>55</v>
      </c>
      <c r="AZ980" s="243" t="str">
        <f t="shared" si="397"/>
        <v>Steelhead</v>
      </c>
      <c r="BA980" s="243" t="s">
        <v>419</v>
      </c>
      <c r="BB980" s="244" t="s">
        <v>528</v>
      </c>
      <c r="BC980" s="43" t="str">
        <f t="shared" si="398"/>
        <v>Nov 12-18</v>
      </c>
      <c r="BD980" s="43">
        <f t="shared" si="392"/>
        <v>3</v>
      </c>
      <c r="BE980" s="193">
        <f t="shared" si="414"/>
        <v>0</v>
      </c>
      <c r="BF980" s="193">
        <f t="shared" si="399"/>
        <v>0</v>
      </c>
      <c r="BG980" s="193">
        <f t="shared" si="400"/>
        <v>0</v>
      </c>
      <c r="BH980" s="307" t="str">
        <f t="shared" si="391"/>
        <v>-</v>
      </c>
      <c r="BI980" s="265" t="str">
        <f t="shared" si="412"/>
        <v>-</v>
      </c>
      <c r="BJ980" s="26" t="str">
        <f t="shared" si="401"/>
        <v>ZEBALLOS RIVERSteelhead</v>
      </c>
      <c r="BK980" s="26">
        <f t="shared" si="402"/>
        <v>3</v>
      </c>
      <c r="BL980" s="33">
        <f t="shared" si="393"/>
        <v>0</v>
      </c>
      <c r="BQ980" s="47" t="str">
        <f t="shared" si="403"/>
        <v>ZEBALLOS RIVERSteelhead</v>
      </c>
      <c r="BR980" s="49">
        <f t="shared" si="404"/>
        <v>0</v>
      </c>
      <c r="BS980" s="49">
        <f t="shared" si="413"/>
        <v>0</v>
      </c>
      <c r="BT980" s="31">
        <v>0</v>
      </c>
      <c r="BU980" s="188" t="str">
        <f t="shared" si="405"/>
        <v>EFN/Wildcoast</v>
      </c>
      <c r="BV980" s="188" t="str">
        <f t="shared" si="406"/>
        <v xml:space="preserve"> </v>
      </c>
      <c r="BW980" s="188" t="str">
        <f t="shared" si="415"/>
        <v>Nov 12-18</v>
      </c>
      <c r="BX980" s="188" t="str">
        <f t="shared" si="407"/>
        <v xml:space="preserve"> </v>
      </c>
      <c r="BY980" s="50" t="str">
        <f t="shared" si="396"/>
        <v>ZEBALLOS RIVER_Steelhead</v>
      </c>
      <c r="BZ980" s="50" t="str">
        <f>IFERROR(VLOOKUP(BY980,'[1]WCVI Esc'!$C$5:$W$555,18,FALSE),"-")</f>
        <v>-</v>
      </c>
      <c r="CA980" s="50" t="str">
        <f t="shared" si="408"/>
        <v>-</v>
      </c>
      <c r="CB980" s="50" t="str">
        <f>IFERROR(VLOOKUP(BY980,'[1]WCVI Esc'!$C$5:$W$555,19,FALSE),"-")</f>
        <v>-</v>
      </c>
      <c r="CC980" s="50" t="str">
        <f t="shared" si="409"/>
        <v>-</v>
      </c>
      <c r="CE980" s="342" t="str">
        <f t="shared" si="395"/>
        <v>ZEBALLOS RIVER_Steelhead</v>
      </c>
      <c r="CF980" s="341" t="str">
        <f>IFERROR(VLOOKUP(BY980,'RawPL+D'!$O$8:$AB$503,12,FALSE),"-")</f>
        <v>-</v>
      </c>
      <c r="CG980" s="338" t="str">
        <f t="shared" si="410"/>
        <v>-</v>
      </c>
      <c r="CH980" s="341" t="str">
        <f>IFERROR(VLOOKUP(BY980,'RawPL+D'!$O$8:$AB$503,13,FALSE),"-")</f>
        <v>-</v>
      </c>
      <c r="CI980" s="338" t="str">
        <f t="shared" si="411"/>
        <v>-</v>
      </c>
    </row>
    <row r="981" spans="1:87" ht="12.75" hidden="1" customHeight="1" x14ac:dyDescent="0.2">
      <c r="A981" s="28">
        <v>4</v>
      </c>
      <c r="B981" s="28">
        <v>1</v>
      </c>
      <c r="C981" s="11">
        <v>25</v>
      </c>
      <c r="D981" s="13" t="s">
        <v>300</v>
      </c>
      <c r="E981" s="10" t="s">
        <v>137</v>
      </c>
      <c r="F981" s="10" t="s">
        <v>207</v>
      </c>
      <c r="G981" s="10"/>
      <c r="H981" s="10"/>
      <c r="I981" s="10"/>
      <c r="J981" s="10"/>
      <c r="K981" s="575"/>
      <c r="L981" s="152"/>
      <c r="M981" s="164"/>
      <c r="N981" s="62"/>
      <c r="O981" s="62"/>
      <c r="P981" s="177"/>
      <c r="Q981" s="171"/>
      <c r="R981" s="94"/>
      <c r="S981" s="62"/>
      <c r="T981" s="642">
        <v>0</v>
      </c>
      <c r="U981" s="64"/>
      <c r="V981" s="164"/>
      <c r="W981" s="62"/>
      <c r="X981" s="62"/>
      <c r="Y981" s="62"/>
      <c r="Z981" s="64"/>
      <c r="AA981" s="164"/>
      <c r="AB981" s="62"/>
      <c r="AC981" s="62"/>
      <c r="AD981" s="64"/>
      <c r="AE981" s="164"/>
      <c r="AF981" s="62"/>
      <c r="AG981" s="64"/>
      <c r="AH981" s="337"/>
      <c r="AI981" s="337"/>
      <c r="AJ981" s="337"/>
      <c r="AK981" s="337"/>
      <c r="AL981" s="412"/>
      <c r="AM981" s="414"/>
      <c r="AN981" s="45"/>
      <c r="AO981" s="45"/>
      <c r="AP981" s="45"/>
      <c r="AQ981" s="485"/>
      <c r="AR981"/>
      <c r="AS981" s="485"/>
      <c r="AT981" s="24"/>
      <c r="AU981" s="24"/>
      <c r="AV981" s="24"/>
      <c r="AW981" s="18">
        <v>25</v>
      </c>
      <c r="AX981" s="69" t="s">
        <v>300</v>
      </c>
      <c r="AY981" s="243" t="s">
        <v>137</v>
      </c>
      <c r="AZ981" s="243" t="str">
        <f t="shared" si="397"/>
        <v>Sockeye</v>
      </c>
      <c r="BA981" s="243" t="s">
        <v>419</v>
      </c>
      <c r="BB981" s="244" t="s">
        <v>528</v>
      </c>
      <c r="BC981" s="43" t="str">
        <f t="shared" si="398"/>
        <v>Oct 22-28</v>
      </c>
      <c r="BD981" s="43">
        <f t="shared" si="392"/>
        <v>1</v>
      </c>
      <c r="BE981" s="193">
        <f t="shared" si="414"/>
        <v>0</v>
      </c>
      <c r="BF981" s="193">
        <f t="shared" si="399"/>
        <v>0</v>
      </c>
      <c r="BG981" s="193">
        <f t="shared" si="400"/>
        <v>0</v>
      </c>
      <c r="BH981" s="307" t="str">
        <f t="shared" si="391"/>
        <v>-</v>
      </c>
      <c r="BI981" s="266"/>
      <c r="BJ981" s="26" t="str">
        <f t="shared" si="401"/>
        <v>ELIZA CREEKSockeye</v>
      </c>
      <c r="BK981" s="26">
        <f t="shared" si="402"/>
        <v>1</v>
      </c>
      <c r="BL981" s="33">
        <f t="shared" si="393"/>
        <v>0</v>
      </c>
      <c r="BQ981" s="47" t="str">
        <f t="shared" si="403"/>
        <v>ELIZA CREEKSockeye</v>
      </c>
      <c r="BR981" s="49">
        <f t="shared" si="404"/>
        <v>0</v>
      </c>
      <c r="BS981" s="49">
        <f t="shared" si="413"/>
        <v>0</v>
      </c>
      <c r="BT981" s="31">
        <v>0</v>
      </c>
      <c r="BU981" s="188" t="str">
        <f t="shared" si="405"/>
        <v>EFN/Wildcoast</v>
      </c>
      <c r="BV981" s="188" t="str">
        <f t="shared" si="406"/>
        <v xml:space="preserve"> </v>
      </c>
      <c r="BW981" s="188" t="str">
        <f t="shared" si="415"/>
        <v>Oct 22-28</v>
      </c>
      <c r="BX981" s="188" t="str">
        <f t="shared" si="407"/>
        <v xml:space="preserve"> </v>
      </c>
      <c r="BY981" s="50" t="str">
        <f t="shared" si="396"/>
        <v>ELIZA CREEK_Sockeye</v>
      </c>
      <c r="BZ981" s="50" t="str">
        <f>IFERROR(VLOOKUP(BY981,'[1]WCVI Esc'!$C$5:$W$555,18,FALSE),"-")</f>
        <v>-</v>
      </c>
      <c r="CA981" s="50" t="str">
        <f t="shared" si="408"/>
        <v>-</v>
      </c>
      <c r="CB981" s="50" t="str">
        <f>IFERROR(VLOOKUP(BY981,'[1]WCVI Esc'!$C$5:$W$555,19,FALSE),"-")</f>
        <v>-</v>
      </c>
      <c r="CC981" s="50" t="str">
        <f t="shared" si="409"/>
        <v>-</v>
      </c>
      <c r="CE981" s="342" t="str">
        <f t="shared" si="395"/>
        <v>ELIZA CREEK_Sockeye</v>
      </c>
      <c r="CF981" s="341" t="str">
        <f>IFERROR(VLOOKUP(BY981,'RawPL+D'!$O$8:$AB$503,12,FALSE),"-")</f>
        <v>-</v>
      </c>
      <c r="CG981" s="338" t="str">
        <f t="shared" si="410"/>
        <v>-</v>
      </c>
      <c r="CH981" s="341" t="str">
        <f>IFERROR(VLOOKUP(BY981,'RawPL+D'!$O$8:$AB$503,13,FALSE),"-")</f>
        <v>-</v>
      </c>
      <c r="CI981" s="338" t="str">
        <f t="shared" si="411"/>
        <v>-</v>
      </c>
    </row>
    <row r="982" spans="1:87" ht="12.75" hidden="1" customHeight="1" x14ac:dyDescent="0.2">
      <c r="A982" s="28">
        <v>4</v>
      </c>
      <c r="B982" s="28">
        <v>2</v>
      </c>
      <c r="C982" s="11">
        <v>25</v>
      </c>
      <c r="D982" s="13" t="s">
        <v>300</v>
      </c>
      <c r="E982" s="10" t="s">
        <v>137</v>
      </c>
      <c r="F982" s="10" t="s">
        <v>219</v>
      </c>
      <c r="G982" s="10"/>
      <c r="H982" s="10"/>
      <c r="I982" s="10"/>
      <c r="J982" s="10"/>
      <c r="K982" s="575"/>
      <c r="L982" s="152"/>
      <c r="M982" s="164"/>
      <c r="N982" s="62"/>
      <c r="O982" s="62"/>
      <c r="P982" s="177"/>
      <c r="Q982" s="171"/>
      <c r="R982" s="94"/>
      <c r="S982" s="62"/>
      <c r="T982" s="642">
        <v>2</v>
      </c>
      <c r="U982" s="64"/>
      <c r="V982" s="164"/>
      <c r="W982" s="62"/>
      <c r="X982" s="62"/>
      <c r="Y982" s="62"/>
      <c r="Z982" s="64"/>
      <c r="AA982" s="164"/>
      <c r="AB982" s="62"/>
      <c r="AC982" s="62"/>
      <c r="AD982" s="64"/>
      <c r="AE982" s="164"/>
      <c r="AF982" s="62"/>
      <c r="AG982" s="64"/>
      <c r="AH982" s="337"/>
      <c r="AI982" s="337"/>
      <c r="AJ982" s="337"/>
      <c r="AK982" s="337"/>
      <c r="AL982" s="412"/>
      <c r="AM982" s="414"/>
      <c r="AN982" s="841"/>
      <c r="AO982" s="45"/>
      <c r="AP982" s="45"/>
      <c r="AQ982" s="485">
        <f>AL982/BI982</f>
        <v>0</v>
      </c>
      <c r="AR982" s="485">
        <f>BL982/BI982</f>
        <v>0.2</v>
      </c>
      <c r="AS982" s="485"/>
      <c r="AT982" s="24"/>
      <c r="AU982" s="24"/>
      <c r="AV982" s="24"/>
      <c r="AW982" s="18">
        <v>25</v>
      </c>
      <c r="AX982" s="69" t="s">
        <v>300</v>
      </c>
      <c r="AY982" s="243" t="s">
        <v>137</v>
      </c>
      <c r="AZ982" s="243" t="str">
        <f t="shared" si="397"/>
        <v>Coho</v>
      </c>
      <c r="BA982" s="243" t="s">
        <v>419</v>
      </c>
      <c r="BB982" s="244" t="s">
        <v>528</v>
      </c>
      <c r="BC982" s="43" t="str">
        <f t="shared" si="398"/>
        <v>Oct 22-28</v>
      </c>
      <c r="BD982" s="43">
        <f t="shared" si="392"/>
        <v>1</v>
      </c>
      <c r="BE982" s="193">
        <f t="shared" si="414"/>
        <v>2</v>
      </c>
      <c r="BF982" s="193">
        <f t="shared" si="399"/>
        <v>0</v>
      </c>
      <c r="BG982" s="193">
        <f t="shared" si="400"/>
        <v>0</v>
      </c>
      <c r="BH982" s="307">
        <f t="shared" si="391"/>
        <v>10</v>
      </c>
      <c r="BI982" s="265">
        <f>CC982</f>
        <v>10</v>
      </c>
      <c r="BJ982" s="26" t="str">
        <f t="shared" si="401"/>
        <v>ELIZA CREEKCoho</v>
      </c>
      <c r="BK982" s="26">
        <f t="shared" si="402"/>
        <v>1</v>
      </c>
      <c r="BL982" s="33">
        <f t="shared" si="393"/>
        <v>2</v>
      </c>
      <c r="BQ982" s="47" t="str">
        <f t="shared" si="403"/>
        <v>ELIZA CREEKCoho</v>
      </c>
      <c r="BR982" s="49">
        <f t="shared" si="404"/>
        <v>0</v>
      </c>
      <c r="BS982" s="49">
        <f t="shared" si="413"/>
        <v>0</v>
      </c>
      <c r="BT982" s="31">
        <v>2011</v>
      </c>
      <c r="BU982" s="188" t="str">
        <f t="shared" si="405"/>
        <v>EFN/Wildcoast</v>
      </c>
      <c r="BV982" s="188" t="str">
        <f t="shared" si="406"/>
        <v xml:space="preserve"> </v>
      </c>
      <c r="BW982" s="188" t="str">
        <f t="shared" si="415"/>
        <v>Oct 22-28</v>
      </c>
      <c r="BX982" s="188" t="str">
        <f t="shared" si="407"/>
        <v xml:space="preserve"> </v>
      </c>
      <c r="BY982" s="50" t="str">
        <f t="shared" si="396"/>
        <v>ELIZA CREEK_Coho</v>
      </c>
      <c r="BZ982" s="50">
        <f>IFERROR(VLOOKUP(BY982,'[1]WCVI Esc'!$C$5:$W$555,18,FALSE),"-")</f>
        <v>12</v>
      </c>
      <c r="CA982" s="50">
        <f t="shared" si="408"/>
        <v>10</v>
      </c>
      <c r="CB982" s="50">
        <f>IFERROR(VLOOKUP(BY982,'[1]WCVI Esc'!$C$5:$W$555,19,FALSE),"-")</f>
        <v>10</v>
      </c>
      <c r="CC982" s="50">
        <f t="shared" si="409"/>
        <v>10</v>
      </c>
      <c r="CE982" s="342" t="str">
        <f t="shared" si="395"/>
        <v>ELIZA CREEK_Coho</v>
      </c>
      <c r="CF982" s="341">
        <f>IFERROR(VLOOKUP(BY982,'RawPL+D'!$O$8:$AB$503,12,FALSE),"-")</f>
        <v>0</v>
      </c>
      <c r="CG982" s="338">
        <f t="shared" si="410"/>
        <v>0</v>
      </c>
      <c r="CH982" s="341">
        <f>IFERROR(VLOOKUP(BY982,'RawPL+D'!$O$8:$AB$503,13,FALSE),"-")</f>
        <v>11</v>
      </c>
      <c r="CI982" s="338">
        <f t="shared" si="411"/>
        <v>10</v>
      </c>
    </row>
    <row r="983" spans="1:87" ht="12.75" hidden="1" customHeight="1" x14ac:dyDescent="0.2">
      <c r="A983" s="28">
        <v>4</v>
      </c>
      <c r="B983" s="28">
        <v>3</v>
      </c>
      <c r="C983" s="11">
        <v>25</v>
      </c>
      <c r="D983" s="13" t="s">
        <v>300</v>
      </c>
      <c r="E983" s="10" t="s">
        <v>137</v>
      </c>
      <c r="F983" s="10" t="s">
        <v>208</v>
      </c>
      <c r="G983" s="10"/>
      <c r="H983" s="10"/>
      <c r="I983" s="10"/>
      <c r="J983" s="10"/>
      <c r="K983" s="575"/>
      <c r="L983" s="152"/>
      <c r="M983" s="164"/>
      <c r="N983" s="62"/>
      <c r="O983" s="62"/>
      <c r="P983" s="177"/>
      <c r="Q983" s="171"/>
      <c r="R983" s="94"/>
      <c r="S983" s="62"/>
      <c r="T983" s="642">
        <v>0</v>
      </c>
      <c r="U983" s="64"/>
      <c r="V983" s="164"/>
      <c r="W983" s="62"/>
      <c r="X983" s="62"/>
      <c r="Y983" s="62"/>
      <c r="Z983" s="64"/>
      <c r="AA983" s="164"/>
      <c r="AB983" s="62"/>
      <c r="AC983" s="62"/>
      <c r="AD983" s="64"/>
      <c r="AE983" s="164"/>
      <c r="AF983" s="62"/>
      <c r="AG983" s="64"/>
      <c r="AH983" s="337"/>
      <c r="AI983" s="337"/>
      <c r="AJ983" s="337"/>
      <c r="AK983" s="337"/>
      <c r="AL983" s="412"/>
      <c r="AM983" s="414"/>
      <c r="AN983" s="45"/>
      <c r="AO983" s="45"/>
      <c r="AP983" s="45"/>
      <c r="AQ983" s="485"/>
      <c r="AR983"/>
      <c r="AS983" s="485"/>
      <c r="AT983" s="24"/>
      <c r="AU983" s="24"/>
      <c r="AV983" s="24"/>
      <c r="AW983" s="18">
        <v>25</v>
      </c>
      <c r="AX983" s="69" t="s">
        <v>300</v>
      </c>
      <c r="AY983" s="243" t="s">
        <v>137</v>
      </c>
      <c r="AZ983" s="243" t="str">
        <f t="shared" si="397"/>
        <v>Pink</v>
      </c>
      <c r="BA983" s="243" t="s">
        <v>419</v>
      </c>
      <c r="BB983" s="244" t="s">
        <v>528</v>
      </c>
      <c r="BC983" s="43" t="str">
        <f t="shared" si="398"/>
        <v>Oct 22-28</v>
      </c>
      <c r="BD983" s="43">
        <f t="shared" si="392"/>
        <v>1</v>
      </c>
      <c r="BE983" s="193">
        <f t="shared" si="414"/>
        <v>0</v>
      </c>
      <c r="BF983" s="193">
        <f t="shared" si="399"/>
        <v>0</v>
      </c>
      <c r="BG983" s="193">
        <f t="shared" si="400"/>
        <v>0</v>
      </c>
      <c r="BH983" s="307" t="str">
        <f t="shared" si="391"/>
        <v>-</v>
      </c>
      <c r="BI983" s="266"/>
      <c r="BJ983" s="26" t="str">
        <f t="shared" si="401"/>
        <v>ELIZA CREEKPink</v>
      </c>
      <c r="BK983" s="26">
        <f t="shared" si="402"/>
        <v>1</v>
      </c>
      <c r="BL983" s="33">
        <f t="shared" si="393"/>
        <v>0</v>
      </c>
      <c r="BQ983" s="47" t="str">
        <f t="shared" si="403"/>
        <v>ELIZA CREEKPink</v>
      </c>
      <c r="BR983" s="49">
        <f t="shared" si="404"/>
        <v>0</v>
      </c>
      <c r="BS983" s="49">
        <f t="shared" si="413"/>
        <v>0</v>
      </c>
      <c r="BT983" s="31">
        <v>0</v>
      </c>
      <c r="BU983" s="188" t="str">
        <f t="shared" si="405"/>
        <v>EFN/Wildcoast</v>
      </c>
      <c r="BV983" s="188" t="str">
        <f t="shared" si="406"/>
        <v xml:space="preserve"> </v>
      </c>
      <c r="BW983" s="188" t="str">
        <f t="shared" si="415"/>
        <v>Oct 22-28</v>
      </c>
      <c r="BX983" s="188" t="str">
        <f t="shared" si="407"/>
        <v xml:space="preserve"> </v>
      </c>
      <c r="BY983" s="50" t="str">
        <f t="shared" si="396"/>
        <v>ELIZA CREEK_Pink</v>
      </c>
      <c r="BZ983" s="50" t="str">
        <f>IFERROR(VLOOKUP(BY983,'[1]WCVI Esc'!$C$5:$W$555,18,FALSE),"-")</f>
        <v>-</v>
      </c>
      <c r="CA983" s="50" t="str">
        <f t="shared" si="408"/>
        <v>-</v>
      </c>
      <c r="CB983" s="50" t="str">
        <f>IFERROR(VLOOKUP(BY983,'[1]WCVI Esc'!$C$5:$W$555,19,FALSE),"-")</f>
        <v>-</v>
      </c>
      <c r="CC983" s="50" t="str">
        <f t="shared" si="409"/>
        <v>-</v>
      </c>
      <c r="CE983" s="342" t="str">
        <f t="shared" si="395"/>
        <v>ELIZA CREEK_Pink</v>
      </c>
      <c r="CF983" s="341" t="str">
        <f>IFERROR(VLOOKUP(BY983,'RawPL+D'!$O$8:$AB$503,12,FALSE),"-")</f>
        <v>-</v>
      </c>
      <c r="CG983" s="338" t="str">
        <f t="shared" si="410"/>
        <v>-</v>
      </c>
      <c r="CH983" s="341" t="str">
        <f>IFERROR(VLOOKUP(BY983,'RawPL+D'!$O$8:$AB$503,13,FALSE),"-")</f>
        <v>-</v>
      </c>
      <c r="CI983" s="338" t="str">
        <f t="shared" si="411"/>
        <v>-</v>
      </c>
    </row>
    <row r="984" spans="1:87" ht="12.75" hidden="1" customHeight="1" x14ac:dyDescent="0.2">
      <c r="A984" s="28">
        <v>4</v>
      </c>
      <c r="B984" s="28">
        <v>4</v>
      </c>
      <c r="C984" s="11">
        <v>25</v>
      </c>
      <c r="D984" s="13" t="s">
        <v>300</v>
      </c>
      <c r="E984" s="10" t="s">
        <v>137</v>
      </c>
      <c r="F984" s="10" t="s">
        <v>209</v>
      </c>
      <c r="G984" s="10"/>
      <c r="H984" s="10"/>
      <c r="I984" s="10"/>
      <c r="J984" s="10"/>
      <c r="K984" s="575"/>
      <c r="L984" s="152"/>
      <c r="M984" s="164"/>
      <c r="N984" s="62"/>
      <c r="O984" s="62"/>
      <c r="P984" s="177"/>
      <c r="Q984" s="171"/>
      <c r="R984" s="94"/>
      <c r="S984" s="62"/>
      <c r="T984" s="676">
        <f>67+19</f>
        <v>86</v>
      </c>
      <c r="U984" s="64"/>
      <c r="V984" s="421"/>
      <c r="W984" s="62"/>
      <c r="X984" s="62"/>
      <c r="Y984" s="62"/>
      <c r="Z984" s="64"/>
      <c r="AA984" s="164"/>
      <c r="AB984" s="62"/>
      <c r="AC984" s="62"/>
      <c r="AD984" s="64"/>
      <c r="AE984" s="164"/>
      <c r="AF984" s="62"/>
      <c r="AG984" s="64"/>
      <c r="AH984" s="337"/>
      <c r="AI984" s="337"/>
      <c r="AJ984" s="337"/>
      <c r="AK984" s="337"/>
      <c r="AL984" s="412"/>
      <c r="AM984" s="414"/>
      <c r="AN984" s="841"/>
      <c r="AO984" s="45"/>
      <c r="AP984" s="45"/>
      <c r="AQ984" s="485">
        <f>AL984/BI984</f>
        <v>0</v>
      </c>
      <c r="AR984" s="485">
        <f>BL984/BI984</f>
        <v>7.3504273504273507E-2</v>
      </c>
      <c r="AS984" s="485"/>
      <c r="AT984" s="24"/>
      <c r="AU984" s="24"/>
      <c r="AV984" s="24"/>
      <c r="AW984" s="18">
        <v>25</v>
      </c>
      <c r="AX984" s="69" t="s">
        <v>300</v>
      </c>
      <c r="AY984" s="243" t="s">
        <v>137</v>
      </c>
      <c r="AZ984" s="243" t="str">
        <f t="shared" si="397"/>
        <v>Chum</v>
      </c>
      <c r="BA984" s="243" t="s">
        <v>419</v>
      </c>
      <c r="BB984" s="244" t="s">
        <v>528</v>
      </c>
      <c r="BC984" s="43" t="str">
        <f t="shared" si="398"/>
        <v>Oct 22-28</v>
      </c>
      <c r="BD984" s="43">
        <f t="shared" si="392"/>
        <v>1</v>
      </c>
      <c r="BE984" s="193">
        <f t="shared" si="414"/>
        <v>86</v>
      </c>
      <c r="BF984" s="193">
        <f t="shared" si="399"/>
        <v>0</v>
      </c>
      <c r="BG984" s="193">
        <f t="shared" si="400"/>
        <v>0</v>
      </c>
      <c r="BH984" s="307">
        <f t="shared" si="391"/>
        <v>30</v>
      </c>
      <c r="BI984" s="265">
        <f>CC984</f>
        <v>1170</v>
      </c>
      <c r="BJ984" s="26" t="str">
        <f t="shared" si="401"/>
        <v>ELIZA CREEKChum</v>
      </c>
      <c r="BK984" s="26">
        <f t="shared" si="402"/>
        <v>1</v>
      </c>
      <c r="BL984" s="33">
        <f t="shared" si="393"/>
        <v>86</v>
      </c>
      <c r="BQ984" s="47" t="str">
        <f t="shared" si="403"/>
        <v>ELIZA CREEKChum</v>
      </c>
      <c r="BR984" s="49">
        <f t="shared" si="404"/>
        <v>0</v>
      </c>
      <c r="BS984" s="49">
        <f t="shared" si="413"/>
        <v>0</v>
      </c>
      <c r="BT984" s="31">
        <v>2011</v>
      </c>
      <c r="BU984" s="188" t="str">
        <f t="shared" si="405"/>
        <v>EFN/Wildcoast</v>
      </c>
      <c r="BV984" s="188" t="str">
        <f t="shared" si="406"/>
        <v xml:space="preserve"> </v>
      </c>
      <c r="BW984" s="188" t="str">
        <f t="shared" si="415"/>
        <v>Oct 22-28</v>
      </c>
      <c r="BX984" s="188" t="str">
        <f t="shared" si="407"/>
        <v xml:space="preserve"> </v>
      </c>
      <c r="BY984" s="50" t="str">
        <f t="shared" si="396"/>
        <v>ELIZA CREEK_Chum</v>
      </c>
      <c r="BZ984" s="50">
        <f>IFERROR(VLOOKUP(BY984,'[1]WCVI Esc'!$C$5:$W$555,18,FALSE),"-")</f>
        <v>37</v>
      </c>
      <c r="CA984" s="50">
        <f t="shared" si="408"/>
        <v>40</v>
      </c>
      <c r="CB984" s="50">
        <f>IFERROR(VLOOKUP(BY984,'[1]WCVI Esc'!$C$5:$W$555,19,FALSE),"-")</f>
        <v>1170.5</v>
      </c>
      <c r="CC984" s="50">
        <f t="shared" si="409"/>
        <v>1170</v>
      </c>
      <c r="CE984" s="342" t="str">
        <f t="shared" si="395"/>
        <v>ELIZA CREEK_Chum</v>
      </c>
      <c r="CF984" s="341">
        <f>IFERROR(VLOOKUP(BY984,'RawPL+D'!$O$8:$AB$503,12,FALSE),"-")</f>
        <v>0</v>
      </c>
      <c r="CG984" s="338">
        <f t="shared" si="410"/>
        <v>0</v>
      </c>
      <c r="CH984" s="341">
        <f>IFERROR(VLOOKUP(BY984,'RawPL+D'!$O$8:$AB$503,13,FALSE),"-")</f>
        <v>33</v>
      </c>
      <c r="CI984" s="338">
        <f t="shared" si="411"/>
        <v>30</v>
      </c>
    </row>
    <row r="985" spans="1:87" ht="12.75" hidden="1" customHeight="1" x14ac:dyDescent="0.2">
      <c r="A985" s="28">
        <v>4</v>
      </c>
      <c r="B985" s="28">
        <v>5</v>
      </c>
      <c r="C985" s="11">
        <v>25</v>
      </c>
      <c r="D985" s="13" t="s">
        <v>300</v>
      </c>
      <c r="E985" s="10" t="s">
        <v>137</v>
      </c>
      <c r="F985" s="10" t="s">
        <v>210</v>
      </c>
      <c r="G985" s="10"/>
      <c r="H985" s="10"/>
      <c r="I985" s="10"/>
      <c r="J985" s="10"/>
      <c r="K985" s="575"/>
      <c r="L985" s="152"/>
      <c r="M985" s="164"/>
      <c r="N985" s="62"/>
      <c r="O985" s="62"/>
      <c r="P985" s="177"/>
      <c r="Q985" s="171"/>
      <c r="R985" s="468"/>
      <c r="S985" s="62"/>
      <c r="T985" s="642">
        <v>0</v>
      </c>
      <c r="U985" s="64"/>
      <c r="V985" s="164"/>
      <c r="W985" s="62"/>
      <c r="X985" s="62"/>
      <c r="Y985" s="62"/>
      <c r="Z985" s="64"/>
      <c r="AA985" s="164"/>
      <c r="AB985" s="62"/>
      <c r="AC985" s="62"/>
      <c r="AD985" s="64"/>
      <c r="AE985" s="164"/>
      <c r="AF985" s="62"/>
      <c r="AG985" s="64"/>
      <c r="AH985" s="337"/>
      <c r="AI985" s="337"/>
      <c r="AJ985" s="337"/>
      <c r="AK985" s="337"/>
      <c r="AL985" s="412"/>
      <c r="AM985" s="414"/>
      <c r="AN985" s="45"/>
      <c r="AO985" s="45"/>
      <c r="AP985" s="45"/>
      <c r="AQ985" s="485"/>
      <c r="AR985"/>
      <c r="AS985" s="485"/>
      <c r="AT985" s="24"/>
      <c r="AU985" s="24"/>
      <c r="AV985" s="24"/>
      <c r="AW985" s="18">
        <v>25</v>
      </c>
      <c r="AX985" s="69" t="s">
        <v>300</v>
      </c>
      <c r="AY985" s="243" t="s">
        <v>137</v>
      </c>
      <c r="AZ985" s="243" t="str">
        <f t="shared" si="397"/>
        <v>Chinook</v>
      </c>
      <c r="BA985" s="243" t="s">
        <v>419</v>
      </c>
      <c r="BB985" s="244" t="s">
        <v>528</v>
      </c>
      <c r="BC985" s="43" t="str">
        <f t="shared" si="398"/>
        <v>Oct 22-28</v>
      </c>
      <c r="BD985" s="43">
        <f t="shared" si="392"/>
        <v>1</v>
      </c>
      <c r="BE985" s="193">
        <f t="shared" si="414"/>
        <v>0</v>
      </c>
      <c r="BF985" s="193">
        <f t="shared" si="399"/>
        <v>0</v>
      </c>
      <c r="BG985" s="193">
        <f t="shared" si="400"/>
        <v>0</v>
      </c>
      <c r="BH985" s="307">
        <f t="shared" si="391"/>
        <v>0</v>
      </c>
      <c r="BI985" s="266"/>
      <c r="BJ985" s="26" t="str">
        <f t="shared" si="401"/>
        <v>ELIZA CREEKChinook</v>
      </c>
      <c r="BK985" s="26">
        <f t="shared" si="402"/>
        <v>1</v>
      </c>
      <c r="BL985" s="33">
        <f t="shared" si="393"/>
        <v>0</v>
      </c>
      <c r="BQ985" s="47" t="str">
        <f t="shared" si="403"/>
        <v>ELIZA CREEKChinook</v>
      </c>
      <c r="BR985" s="49">
        <f t="shared" si="404"/>
        <v>0</v>
      </c>
      <c r="BS985" s="49">
        <f t="shared" si="413"/>
        <v>0</v>
      </c>
      <c r="BT985" s="31">
        <v>0</v>
      </c>
      <c r="BU985" s="188" t="str">
        <f t="shared" si="405"/>
        <v>EFN/Wildcoast</v>
      </c>
      <c r="BV985" s="188" t="str">
        <f t="shared" si="406"/>
        <v xml:space="preserve"> </v>
      </c>
      <c r="BW985" s="188" t="str">
        <f t="shared" si="415"/>
        <v>Oct 22-28</v>
      </c>
      <c r="BX985" s="188" t="str">
        <f t="shared" si="407"/>
        <v xml:space="preserve"> </v>
      </c>
      <c r="BY985" s="50" t="str">
        <f t="shared" si="396"/>
        <v>ELIZA CREEK_Chinook</v>
      </c>
      <c r="BZ985" s="50" t="str">
        <f>IFERROR(VLOOKUP(BY985,'[1]WCVI Esc'!$C$5:$W$555,18,FALSE),"-")</f>
        <v>-</v>
      </c>
      <c r="CA985" s="50" t="str">
        <f t="shared" si="408"/>
        <v>-</v>
      </c>
      <c r="CB985" s="50" t="str">
        <f>IFERROR(VLOOKUP(BY985,'[1]WCVI Esc'!$C$5:$W$555,19,FALSE),"-")</f>
        <v>-</v>
      </c>
      <c r="CC985" s="50" t="str">
        <f t="shared" si="409"/>
        <v>-</v>
      </c>
      <c r="CE985" s="342" t="str">
        <f t="shared" si="395"/>
        <v>ELIZA CREEK_Chinook</v>
      </c>
      <c r="CF985" s="341">
        <f>IFERROR(VLOOKUP(BY985,'RawPL+D'!$O$8:$AB$503,12,FALSE),"-")</f>
        <v>0</v>
      </c>
      <c r="CG985" s="338">
        <f t="shared" si="410"/>
        <v>0</v>
      </c>
      <c r="CH985" s="341">
        <f>IFERROR(VLOOKUP(BY985,'RawPL+D'!$O$8:$AB$503,13,FALSE),"-")</f>
        <v>2</v>
      </c>
      <c r="CI985" s="338">
        <f t="shared" si="411"/>
        <v>0</v>
      </c>
    </row>
    <row r="986" spans="1:87" ht="12.75" hidden="1" customHeight="1" x14ac:dyDescent="0.2">
      <c r="A986" s="28">
        <v>4</v>
      </c>
      <c r="B986" s="28">
        <v>6</v>
      </c>
      <c r="C986" s="11">
        <v>25</v>
      </c>
      <c r="D986" s="13" t="s">
        <v>300</v>
      </c>
      <c r="E986" s="10" t="s">
        <v>137</v>
      </c>
      <c r="F986" s="10" t="s">
        <v>211</v>
      </c>
      <c r="G986" s="10"/>
      <c r="H986" s="10"/>
      <c r="I986" s="10"/>
      <c r="J986" s="10"/>
      <c r="K986" s="575"/>
      <c r="L986" s="152"/>
      <c r="M986" s="164"/>
      <c r="N986" s="62"/>
      <c r="O986" s="62"/>
      <c r="P986" s="177"/>
      <c r="Q986" s="171"/>
      <c r="R986" s="94"/>
      <c r="S986" s="62"/>
      <c r="T986" s="642">
        <v>0</v>
      </c>
      <c r="U986" s="64"/>
      <c r="V986" s="164"/>
      <c r="W986" s="62"/>
      <c r="X986" s="62"/>
      <c r="Y986" s="62"/>
      <c r="Z986" s="64"/>
      <c r="AA986" s="164"/>
      <c r="AB986" s="62"/>
      <c r="AC986" s="62"/>
      <c r="AD986" s="64"/>
      <c r="AE986" s="164"/>
      <c r="AF986" s="62"/>
      <c r="AG986" s="64"/>
      <c r="AH986" s="337"/>
      <c r="AI986" s="337"/>
      <c r="AJ986" s="337"/>
      <c r="AK986" s="337"/>
      <c r="AL986" s="412"/>
      <c r="AM986" s="414"/>
      <c r="AN986" s="45"/>
      <c r="AO986" s="45"/>
      <c r="AP986" s="45"/>
      <c r="AQ986" s="485"/>
      <c r="AR986" s="100"/>
      <c r="AS986" s="485"/>
      <c r="AT986" s="24"/>
      <c r="AU986" s="24"/>
      <c r="AV986" s="24"/>
      <c r="AW986" s="18">
        <v>25</v>
      </c>
      <c r="AX986" s="69" t="s">
        <v>300</v>
      </c>
      <c r="AY986" s="243" t="s">
        <v>137</v>
      </c>
      <c r="AZ986" s="243" t="str">
        <f t="shared" si="397"/>
        <v>Steelhead</v>
      </c>
      <c r="BA986" s="243" t="s">
        <v>419</v>
      </c>
      <c r="BB986" s="244" t="s">
        <v>528</v>
      </c>
      <c r="BC986" s="43" t="str">
        <f t="shared" si="398"/>
        <v>Oct 22-28</v>
      </c>
      <c r="BD986" s="43">
        <f t="shared" si="392"/>
        <v>1</v>
      </c>
      <c r="BE986" s="193">
        <f t="shared" si="414"/>
        <v>0</v>
      </c>
      <c r="BF986" s="193">
        <f t="shared" si="399"/>
        <v>0</v>
      </c>
      <c r="BG986" s="193">
        <f t="shared" si="400"/>
        <v>0</v>
      </c>
      <c r="BH986" s="307" t="str">
        <f t="shared" si="391"/>
        <v>-</v>
      </c>
      <c r="BI986" s="266"/>
      <c r="BJ986" s="26" t="str">
        <f t="shared" si="401"/>
        <v>ELIZA CREEKSteelhead</v>
      </c>
      <c r="BK986" s="26">
        <f t="shared" si="402"/>
        <v>1</v>
      </c>
      <c r="BL986" s="33">
        <f t="shared" si="393"/>
        <v>0</v>
      </c>
      <c r="BQ986" s="47" t="str">
        <f t="shared" si="403"/>
        <v>ELIZA CREEKSteelhead</v>
      </c>
      <c r="BR986" s="49">
        <f t="shared" si="404"/>
        <v>0</v>
      </c>
      <c r="BS986" s="49">
        <f t="shared" si="413"/>
        <v>0</v>
      </c>
      <c r="BT986" s="31">
        <v>0</v>
      </c>
      <c r="BU986" s="188" t="str">
        <f t="shared" si="405"/>
        <v>EFN/Wildcoast</v>
      </c>
      <c r="BV986" s="188" t="str">
        <f t="shared" si="406"/>
        <v xml:space="preserve"> </v>
      </c>
      <c r="BW986" s="188" t="str">
        <f t="shared" si="415"/>
        <v>Oct 22-28</v>
      </c>
      <c r="BX986" s="188" t="str">
        <f t="shared" si="407"/>
        <v xml:space="preserve"> </v>
      </c>
      <c r="BY986" s="50" t="str">
        <f t="shared" si="396"/>
        <v>ELIZA CREEK_Steelhead</v>
      </c>
      <c r="BZ986" s="50" t="str">
        <f>IFERROR(VLOOKUP(BY986,'[1]WCVI Esc'!$C$5:$W$555,18,FALSE),"-")</f>
        <v>-</v>
      </c>
      <c r="CA986" s="50" t="str">
        <f t="shared" si="408"/>
        <v>-</v>
      </c>
      <c r="CB986" s="50" t="str">
        <f>IFERROR(VLOOKUP(BY986,'[1]WCVI Esc'!$C$5:$W$555,19,FALSE),"-")</f>
        <v>-</v>
      </c>
      <c r="CC986" s="50" t="str">
        <f t="shared" si="409"/>
        <v>-</v>
      </c>
      <c r="CE986" s="342" t="str">
        <f t="shared" si="395"/>
        <v>ELIZA CREEK_Steelhead</v>
      </c>
      <c r="CF986" s="341" t="str">
        <f>IFERROR(VLOOKUP(BY986,'RawPL+D'!$O$8:$AB$503,12,FALSE),"-")</f>
        <v>-</v>
      </c>
      <c r="CG986" s="338" t="str">
        <f t="shared" si="410"/>
        <v>-</v>
      </c>
      <c r="CH986" s="341" t="str">
        <f>IFERROR(VLOOKUP(BY986,'RawPL+D'!$O$8:$AB$503,13,FALSE),"-")</f>
        <v>-</v>
      </c>
      <c r="CI986" s="338" t="str">
        <f t="shared" si="411"/>
        <v>-</v>
      </c>
    </row>
    <row r="987" spans="1:87" ht="12.75" hidden="1" customHeight="1" x14ac:dyDescent="0.2">
      <c r="A987" s="28">
        <v>4</v>
      </c>
      <c r="B987" s="28">
        <v>1</v>
      </c>
      <c r="C987" s="11">
        <v>25</v>
      </c>
      <c r="D987" s="13" t="s">
        <v>300</v>
      </c>
      <c r="E987" s="10" t="s">
        <v>138</v>
      </c>
      <c r="F987" s="10" t="s">
        <v>207</v>
      </c>
      <c r="G987" s="10"/>
      <c r="H987" s="10"/>
      <c r="I987" s="10"/>
      <c r="J987" s="10"/>
      <c r="K987" s="575"/>
      <c r="L987" s="152"/>
      <c r="M987" s="422"/>
      <c r="N987" s="62"/>
      <c r="O987" s="62"/>
      <c r="P987" s="424"/>
      <c r="Q987" s="171"/>
      <c r="R987" s="94"/>
      <c r="S987" s="339"/>
      <c r="T987" s="767">
        <v>0</v>
      </c>
      <c r="U987" s="391"/>
      <c r="V987" s="164"/>
      <c r="W987" s="62"/>
      <c r="X987" s="63"/>
      <c r="Y987" s="62"/>
      <c r="Z987" s="64"/>
      <c r="AA987" s="164"/>
      <c r="AB987" s="62"/>
      <c r="AC987" s="62"/>
      <c r="AD987" s="64"/>
      <c r="AE987" s="164"/>
      <c r="AF987" s="62"/>
      <c r="AG987" s="64"/>
      <c r="AH987" s="337"/>
      <c r="AI987" s="337"/>
      <c r="AJ987" s="337"/>
      <c r="AK987" s="337"/>
      <c r="AL987" s="555"/>
      <c r="AM987" s="552"/>
      <c r="AN987" s="841"/>
      <c r="AO987" s="45"/>
      <c r="AP987" s="44"/>
      <c r="AQ987" s="485">
        <f>AL987/BI987</f>
        <v>0</v>
      </c>
      <c r="AR987" s="485">
        <f>BL987/BH987</f>
        <v>0</v>
      </c>
      <c r="AS987" s="485">
        <f>BL987/BI987</f>
        <v>0</v>
      </c>
      <c r="AT987" s="123"/>
      <c r="AU987" s="123"/>
      <c r="AV987" s="123"/>
      <c r="AW987" s="18">
        <v>25</v>
      </c>
      <c r="AX987" s="69" t="s">
        <v>300</v>
      </c>
      <c r="AY987" s="243" t="s">
        <v>138</v>
      </c>
      <c r="AZ987" s="243" t="str">
        <f t="shared" si="397"/>
        <v>Sockeye</v>
      </c>
      <c r="BA987" s="243" t="s">
        <v>419</v>
      </c>
      <c r="BB987" s="244" t="s">
        <v>496</v>
      </c>
      <c r="BC987" s="43" t="str">
        <f t="shared" si="398"/>
        <v>Oct 22-28</v>
      </c>
      <c r="BD987" s="43">
        <f t="shared" si="392"/>
        <v>1</v>
      </c>
      <c r="BE987" s="193">
        <f t="shared" si="414"/>
        <v>0</v>
      </c>
      <c r="BF987" s="193">
        <f t="shared" si="399"/>
        <v>0</v>
      </c>
      <c r="BG987" s="193">
        <f t="shared" si="400"/>
        <v>0</v>
      </c>
      <c r="BH987" s="307">
        <f t="shared" si="391"/>
        <v>20</v>
      </c>
      <c r="BI987" s="265">
        <f>CC987</f>
        <v>30</v>
      </c>
      <c r="BJ987" s="26" t="str">
        <f t="shared" si="401"/>
        <v>ESPINOSA CREEKSockeye</v>
      </c>
      <c r="BK987" s="26">
        <f t="shared" si="402"/>
        <v>1</v>
      </c>
      <c r="BL987" s="33">
        <f t="shared" si="393"/>
        <v>0</v>
      </c>
      <c r="BQ987" s="47" t="str">
        <f t="shared" si="403"/>
        <v>ESPINOSA CREEKSockeye</v>
      </c>
      <c r="BR987" s="49">
        <f t="shared" si="404"/>
        <v>0</v>
      </c>
      <c r="BS987" s="49">
        <f t="shared" si="413"/>
        <v>0</v>
      </c>
      <c r="BT987" s="31">
        <v>2015</v>
      </c>
      <c r="BU987" s="188" t="str">
        <f t="shared" si="405"/>
        <v>Wildcoast</v>
      </c>
      <c r="BV987" s="188" t="str">
        <f t="shared" si="406"/>
        <v xml:space="preserve"> </v>
      </c>
      <c r="BW987" s="188" t="str">
        <f t="shared" si="415"/>
        <v>Oct 22-28</v>
      </c>
      <c r="BX987" s="188" t="str">
        <f t="shared" si="407"/>
        <v xml:space="preserve"> </v>
      </c>
      <c r="BY987" s="50" t="str">
        <f t="shared" si="396"/>
        <v>ESPINOSA CREEK_Sockeye</v>
      </c>
      <c r="BZ987" s="50">
        <f>IFERROR(VLOOKUP(BY987,'[1]WCVI Esc'!$C$5:$W$555,18,FALSE),"-")</f>
        <v>22.25</v>
      </c>
      <c r="CA987" s="50">
        <f t="shared" si="408"/>
        <v>20</v>
      </c>
      <c r="CB987" s="50">
        <f>IFERROR(VLOOKUP(BY987,'[1]WCVI Esc'!$C$5:$W$555,19,FALSE),"-")</f>
        <v>26</v>
      </c>
      <c r="CC987" s="50">
        <f t="shared" si="409"/>
        <v>30</v>
      </c>
      <c r="CE987" s="342" t="str">
        <f t="shared" si="395"/>
        <v>ESPINOSA CREEK_Sockeye</v>
      </c>
      <c r="CF987" s="341">
        <f>IFERROR(VLOOKUP(CE987,'RawPL+D'!$O$8:$AB$503,12,FALSE),"-")</f>
        <v>21</v>
      </c>
      <c r="CG987" s="338">
        <f t="shared" si="410"/>
        <v>20</v>
      </c>
      <c r="CH987" s="341">
        <f>IFERROR(VLOOKUP(CE987,'RawPL+D'!$O$8:$AB$503,13,FALSE),"-")</f>
        <v>20.5</v>
      </c>
      <c r="CI987" s="338">
        <f t="shared" si="411"/>
        <v>20</v>
      </c>
    </row>
    <row r="988" spans="1:87" ht="12.75" hidden="1" customHeight="1" x14ac:dyDescent="0.2">
      <c r="A988" s="28">
        <v>4</v>
      </c>
      <c r="B988" s="28">
        <v>2</v>
      </c>
      <c r="C988" s="11">
        <v>25</v>
      </c>
      <c r="D988" s="13" t="s">
        <v>300</v>
      </c>
      <c r="E988" s="10" t="s">
        <v>138</v>
      </c>
      <c r="F988" s="10" t="s">
        <v>219</v>
      </c>
      <c r="G988" s="10"/>
      <c r="H988" s="10"/>
      <c r="I988" s="10"/>
      <c r="J988" s="10"/>
      <c r="K988" s="575"/>
      <c r="L988" s="152"/>
      <c r="M988" s="422"/>
      <c r="N988" s="62"/>
      <c r="O988" s="62"/>
      <c r="P988" s="424"/>
      <c r="Q988" s="171"/>
      <c r="R988" s="94"/>
      <c r="S988" s="339"/>
      <c r="T988" s="767">
        <v>10</v>
      </c>
      <c r="U988" s="64"/>
      <c r="V988" s="421"/>
      <c r="W988" s="62"/>
      <c r="X988" s="63"/>
      <c r="Y988" s="62"/>
      <c r="Z988" s="64"/>
      <c r="AA988" s="164"/>
      <c r="AB988" s="62"/>
      <c r="AC988" s="62"/>
      <c r="AD988" s="64"/>
      <c r="AE988" s="164"/>
      <c r="AF988" s="62"/>
      <c r="AG988" s="64"/>
      <c r="AH988" s="337"/>
      <c r="AI988" s="337"/>
      <c r="AJ988" s="337"/>
      <c r="AK988" s="337"/>
      <c r="AL988" s="555"/>
      <c r="AM988" s="552"/>
      <c r="AN988" s="841"/>
      <c r="AO988" s="45"/>
      <c r="AP988" s="44"/>
      <c r="AQ988" s="396">
        <f>AL988/BI988</f>
        <v>0</v>
      </c>
      <c r="AR988" s="485">
        <f>BL988/BH988</f>
        <v>0.25</v>
      </c>
      <c r="AS988" s="485">
        <f>BL988/BI988</f>
        <v>0.1111111111111111</v>
      </c>
      <c r="AT988" s="123"/>
      <c r="AU988" s="123"/>
      <c r="AV988" s="123"/>
      <c r="AW988" s="18">
        <v>25</v>
      </c>
      <c r="AX988" s="69" t="s">
        <v>300</v>
      </c>
      <c r="AY988" s="243" t="s">
        <v>138</v>
      </c>
      <c r="AZ988" s="243" t="str">
        <f t="shared" si="397"/>
        <v>Coho</v>
      </c>
      <c r="BA988" s="243" t="s">
        <v>419</v>
      </c>
      <c r="BB988" s="244" t="s">
        <v>496</v>
      </c>
      <c r="BC988" s="43" t="str">
        <f t="shared" si="398"/>
        <v>Oct 22-28</v>
      </c>
      <c r="BD988" s="43">
        <f t="shared" si="392"/>
        <v>1</v>
      </c>
      <c r="BE988" s="193">
        <f t="shared" si="414"/>
        <v>10</v>
      </c>
      <c r="BF988" s="193">
        <f t="shared" si="399"/>
        <v>0</v>
      </c>
      <c r="BG988" s="193">
        <f t="shared" si="400"/>
        <v>0</v>
      </c>
      <c r="BH988" s="307">
        <f t="shared" ref="BH988:BH1051" si="416">CI988</f>
        <v>40</v>
      </c>
      <c r="BI988" s="265">
        <f>CC988</f>
        <v>90</v>
      </c>
      <c r="BJ988" s="26" t="str">
        <f t="shared" si="401"/>
        <v>ESPINOSA CREEKCoho</v>
      </c>
      <c r="BK988" s="26">
        <f t="shared" si="402"/>
        <v>1</v>
      </c>
      <c r="BL988" s="33">
        <f t="shared" si="393"/>
        <v>10</v>
      </c>
      <c r="BQ988" s="47" t="str">
        <f t="shared" si="403"/>
        <v>ESPINOSA CREEKCoho</v>
      </c>
      <c r="BR988" s="49">
        <f t="shared" si="404"/>
        <v>0</v>
      </c>
      <c r="BS988" s="49">
        <f t="shared" si="413"/>
        <v>0</v>
      </c>
      <c r="BT988" s="31">
        <v>2011</v>
      </c>
      <c r="BU988" s="188" t="str">
        <f t="shared" si="405"/>
        <v>Wildcoast</v>
      </c>
      <c r="BV988" s="188" t="str">
        <f t="shared" si="406"/>
        <v xml:space="preserve"> </v>
      </c>
      <c r="BW988" s="188" t="str">
        <f t="shared" si="415"/>
        <v>Oct 22-28</v>
      </c>
      <c r="BX988" s="188" t="str">
        <f t="shared" si="407"/>
        <v xml:space="preserve"> </v>
      </c>
      <c r="BY988" s="50" t="str">
        <f t="shared" si="396"/>
        <v>ESPINOSA CREEK_Coho</v>
      </c>
      <c r="BZ988" s="50">
        <f>IFERROR(VLOOKUP(BY988,'[1]WCVI Esc'!$C$5:$W$555,18,FALSE),"-")</f>
        <v>63.666666666666664</v>
      </c>
      <c r="CA988" s="50">
        <f t="shared" si="408"/>
        <v>60</v>
      </c>
      <c r="CB988" s="50">
        <f>IFERROR(VLOOKUP(BY988,'[1]WCVI Esc'!$C$5:$W$555,19,FALSE),"-")</f>
        <v>86.833333333333329</v>
      </c>
      <c r="CC988" s="50">
        <f t="shared" si="409"/>
        <v>90</v>
      </c>
      <c r="CE988" s="342" t="str">
        <f t="shared" si="395"/>
        <v>ESPINOSA CREEK_Coho</v>
      </c>
      <c r="CF988" s="341">
        <f>IFERROR(VLOOKUP(CE988,'RawPL+D'!$O$8:$AB$503,12,FALSE),"-")</f>
        <v>0</v>
      </c>
      <c r="CG988" s="338">
        <f t="shared" si="410"/>
        <v>0</v>
      </c>
      <c r="CH988" s="341">
        <f>IFERROR(VLOOKUP(CE988,'RawPL+D'!$O$8:$AB$503,13,FALSE),"-")</f>
        <v>41.5</v>
      </c>
      <c r="CI988" s="338">
        <f t="shared" si="411"/>
        <v>40</v>
      </c>
    </row>
    <row r="989" spans="1:87" ht="12.75" hidden="1" customHeight="1" x14ac:dyDescent="0.2">
      <c r="A989" s="28">
        <v>4</v>
      </c>
      <c r="B989" s="28">
        <v>3</v>
      </c>
      <c r="C989" s="11">
        <v>25</v>
      </c>
      <c r="D989" s="13" t="s">
        <v>300</v>
      </c>
      <c r="E989" s="10" t="s">
        <v>138</v>
      </c>
      <c r="F989" s="10" t="s">
        <v>208</v>
      </c>
      <c r="G989" s="10"/>
      <c r="H989" s="10"/>
      <c r="I989" s="10"/>
      <c r="J989" s="10"/>
      <c r="K989" s="575"/>
      <c r="L989" s="152"/>
      <c r="M989" s="422"/>
      <c r="N989" s="62"/>
      <c r="O989" s="62"/>
      <c r="P989" s="424"/>
      <c r="Q989" s="171"/>
      <c r="R989" s="94"/>
      <c r="S989" s="339"/>
      <c r="T989" s="767">
        <v>0</v>
      </c>
      <c r="U989" s="64"/>
      <c r="V989" s="164"/>
      <c r="W989" s="62"/>
      <c r="X989" s="63"/>
      <c r="Y989" s="62"/>
      <c r="Z989" s="64"/>
      <c r="AA989" s="164"/>
      <c r="AB989" s="62"/>
      <c r="AC989" s="62"/>
      <c r="AD989" s="64"/>
      <c r="AE989" s="164"/>
      <c r="AF989" s="62"/>
      <c r="AG989" s="64"/>
      <c r="AH989" s="337"/>
      <c r="AI989" s="337"/>
      <c r="AJ989" s="337"/>
      <c r="AK989" s="337"/>
      <c r="AL989" s="555"/>
      <c r="AM989" s="552"/>
      <c r="AN989" s="841"/>
      <c r="AO989" s="53"/>
      <c r="AP989" s="44"/>
      <c r="AQ989" s="396">
        <f>AL989/BI989</f>
        <v>0</v>
      </c>
      <c r="AR989" s="485">
        <f>BL989/BI989</f>
        <v>0</v>
      </c>
      <c r="AS989" s="485"/>
      <c r="AT989" s="123"/>
      <c r="AU989" s="123"/>
      <c r="AV989" s="123"/>
      <c r="AW989" s="18">
        <v>25</v>
      </c>
      <c r="AX989" s="69" t="s">
        <v>300</v>
      </c>
      <c r="AY989" s="243" t="s">
        <v>138</v>
      </c>
      <c r="AZ989" s="243" t="str">
        <f t="shared" si="397"/>
        <v>Pink</v>
      </c>
      <c r="BA989" s="243" t="s">
        <v>419</v>
      </c>
      <c r="BB989" s="244" t="s">
        <v>496</v>
      </c>
      <c r="BC989" s="43" t="str">
        <f t="shared" si="398"/>
        <v>Oct 22-28</v>
      </c>
      <c r="BD989" s="43">
        <f t="shared" si="392"/>
        <v>1</v>
      </c>
      <c r="BE989" s="193">
        <f t="shared" si="414"/>
        <v>0</v>
      </c>
      <c r="BF989" s="193">
        <f t="shared" si="399"/>
        <v>0</v>
      </c>
      <c r="BG989" s="193">
        <f t="shared" si="400"/>
        <v>0</v>
      </c>
      <c r="BH989" s="307">
        <f t="shared" si="416"/>
        <v>0</v>
      </c>
      <c r="BI989" s="265">
        <f>CC989</f>
        <v>10</v>
      </c>
      <c r="BJ989" s="26" t="str">
        <f t="shared" si="401"/>
        <v>ESPINOSA CREEKPink</v>
      </c>
      <c r="BK989" s="26">
        <f t="shared" si="402"/>
        <v>1</v>
      </c>
      <c r="BL989" s="33">
        <f t="shared" si="393"/>
        <v>0</v>
      </c>
      <c r="BQ989" s="47" t="str">
        <f t="shared" si="403"/>
        <v>ESPINOSA CREEKPink</v>
      </c>
      <c r="BR989" s="49">
        <f t="shared" si="404"/>
        <v>0</v>
      </c>
      <c r="BS989" s="49">
        <f t="shared" si="413"/>
        <v>0</v>
      </c>
      <c r="BT989" s="31">
        <v>2015</v>
      </c>
      <c r="BU989" s="188" t="str">
        <f t="shared" si="405"/>
        <v>Wildcoast</v>
      </c>
      <c r="BV989" s="188" t="str">
        <f t="shared" si="406"/>
        <v xml:space="preserve"> </v>
      </c>
      <c r="BW989" s="188" t="str">
        <f t="shared" si="415"/>
        <v>Oct 22-28</v>
      </c>
      <c r="BX989" s="188" t="str">
        <f t="shared" si="407"/>
        <v xml:space="preserve"> </v>
      </c>
      <c r="BY989" s="50" t="str">
        <f t="shared" si="396"/>
        <v>ESPINOSA CREEK_Pink</v>
      </c>
      <c r="BZ989" s="50" t="str">
        <f>IFERROR(VLOOKUP(BY989,'[1]WCVI Esc'!$C$5:$W$555,18,FALSE),"-")</f>
        <v>-</v>
      </c>
      <c r="CA989" s="50" t="str">
        <f t="shared" si="408"/>
        <v>-</v>
      </c>
      <c r="CB989" s="50">
        <f>IFERROR(VLOOKUP(BY989,'[1]WCVI Esc'!$C$5:$W$555,19,FALSE),"-")</f>
        <v>10.75</v>
      </c>
      <c r="CC989" s="50">
        <f t="shared" si="409"/>
        <v>10</v>
      </c>
      <c r="CE989" s="342" t="str">
        <f t="shared" si="395"/>
        <v>ESPINOSA CREEK_Pink</v>
      </c>
      <c r="CF989" s="341">
        <f>IFERROR(VLOOKUP(BY989,'RawPL+D'!$O$8:$AB$503,12,FALSE),"-")</f>
        <v>0</v>
      </c>
      <c r="CG989" s="338">
        <f t="shared" si="410"/>
        <v>0</v>
      </c>
      <c r="CH989" s="341">
        <f>IFERROR(VLOOKUP(BY989,'RawPL+D'!$O$8:$AB$503,13,FALSE),"-")</f>
        <v>0</v>
      </c>
      <c r="CI989" s="338">
        <f t="shared" si="411"/>
        <v>0</v>
      </c>
    </row>
    <row r="990" spans="1:87" ht="12.75" hidden="1" customHeight="1" x14ac:dyDescent="0.2">
      <c r="A990" s="28">
        <v>4</v>
      </c>
      <c r="B990" s="28">
        <v>4</v>
      </c>
      <c r="C990" s="11">
        <v>25</v>
      </c>
      <c r="D990" s="13" t="s">
        <v>300</v>
      </c>
      <c r="E990" s="10" t="s">
        <v>138</v>
      </c>
      <c r="F990" s="10" t="s">
        <v>209</v>
      </c>
      <c r="G990" s="10"/>
      <c r="H990" s="10"/>
      <c r="I990" s="10"/>
      <c r="J990" s="10"/>
      <c r="K990" s="575"/>
      <c r="L990" s="152"/>
      <c r="M990" s="422"/>
      <c r="N990" s="62"/>
      <c r="O990" s="62"/>
      <c r="P990" s="424"/>
      <c r="Q990" s="597"/>
      <c r="R990" s="434"/>
      <c r="S990" s="339"/>
      <c r="T990" s="768">
        <f>1789+169</f>
        <v>1958</v>
      </c>
      <c r="U990" s="391"/>
      <c r="V990" s="421"/>
      <c r="W990" s="62"/>
      <c r="X990" s="63"/>
      <c r="Y990" s="62"/>
      <c r="Z990" s="64"/>
      <c r="AA990" s="164"/>
      <c r="AB990" s="62"/>
      <c r="AC990" s="62"/>
      <c r="AD990" s="64"/>
      <c r="AE990" s="164"/>
      <c r="AF990" s="62"/>
      <c r="AG990" s="64"/>
      <c r="AH990" s="337"/>
      <c r="AI990" s="337"/>
      <c r="AJ990" s="337"/>
      <c r="AK990" s="337"/>
      <c r="AL990" s="555"/>
      <c r="AM990" s="552"/>
      <c r="AN990" s="841"/>
      <c r="AO990" s="46"/>
      <c r="AP990" s="44"/>
      <c r="AQ990" s="485">
        <f>AL990/BI990</f>
        <v>0</v>
      </c>
      <c r="AR990" s="485">
        <f>BL990/BH990</f>
        <v>2.303529411764706</v>
      </c>
      <c r="AS990" s="485">
        <f>BL990/BI990</f>
        <v>1.1000000000000001</v>
      </c>
      <c r="AT990" s="123"/>
      <c r="AU990" s="123"/>
      <c r="AV990" s="123"/>
      <c r="AW990" s="18">
        <v>25</v>
      </c>
      <c r="AX990" s="69" t="s">
        <v>300</v>
      </c>
      <c r="AY990" s="243" t="s">
        <v>138</v>
      </c>
      <c r="AZ990" s="243" t="str">
        <f t="shared" si="397"/>
        <v>Chum</v>
      </c>
      <c r="BA990" s="243" t="s">
        <v>419</v>
      </c>
      <c r="BB990" s="244" t="s">
        <v>496</v>
      </c>
      <c r="BC990" s="43" t="str">
        <f t="shared" si="398"/>
        <v>Oct 22-28</v>
      </c>
      <c r="BD990" s="43">
        <f t="shared" si="392"/>
        <v>1</v>
      </c>
      <c r="BE990" s="193">
        <f t="shared" si="414"/>
        <v>1958</v>
      </c>
      <c r="BF990" s="193">
        <f t="shared" si="399"/>
        <v>0</v>
      </c>
      <c r="BG990" s="193">
        <f t="shared" si="400"/>
        <v>0</v>
      </c>
      <c r="BH990" s="307">
        <f t="shared" si="416"/>
        <v>850</v>
      </c>
      <c r="BI990" s="265">
        <f>CC990</f>
        <v>1780</v>
      </c>
      <c r="BJ990" s="26" t="str">
        <f t="shared" si="401"/>
        <v>ESPINOSA CREEKChum</v>
      </c>
      <c r="BK990" s="26">
        <f t="shared" si="402"/>
        <v>1</v>
      </c>
      <c r="BL990" s="33">
        <f t="shared" si="393"/>
        <v>1958</v>
      </c>
      <c r="BQ990" s="47" t="str">
        <f t="shared" si="403"/>
        <v>ESPINOSA CREEKChum</v>
      </c>
      <c r="BR990" s="49">
        <f t="shared" si="404"/>
        <v>0</v>
      </c>
      <c r="BS990" s="49">
        <f t="shared" si="413"/>
        <v>0</v>
      </c>
      <c r="BT990" s="31">
        <v>2016</v>
      </c>
      <c r="BU990" s="188" t="str">
        <f t="shared" si="405"/>
        <v>Wildcoast</v>
      </c>
      <c r="BV990" s="188" t="str">
        <f t="shared" si="406"/>
        <v xml:space="preserve"> </v>
      </c>
      <c r="BW990" s="188" t="str">
        <f t="shared" si="415"/>
        <v>Oct 22-28</v>
      </c>
      <c r="BX990" s="188" t="str">
        <f t="shared" si="407"/>
        <v xml:space="preserve"> </v>
      </c>
      <c r="BY990" s="50" t="str">
        <f t="shared" si="396"/>
        <v>ESPINOSA CREEK_Chum</v>
      </c>
      <c r="BZ990" s="50">
        <f>IFERROR(VLOOKUP(BY990,'[1]WCVI Esc'!$C$5:$W$555,18,FALSE),"-")</f>
        <v>1036.75</v>
      </c>
      <c r="CA990" s="50">
        <f t="shared" si="408"/>
        <v>1040</v>
      </c>
      <c r="CB990" s="50">
        <f>IFERROR(VLOOKUP(BY990,'[1]WCVI Esc'!$C$5:$W$555,19,FALSE),"-")</f>
        <v>1782.9</v>
      </c>
      <c r="CC990" s="50">
        <f t="shared" si="409"/>
        <v>1780</v>
      </c>
      <c r="CE990" s="342" t="str">
        <f t="shared" si="395"/>
        <v>ESPINOSA CREEK_Chum</v>
      </c>
      <c r="CF990" s="341">
        <f>IFERROR(VLOOKUP(CE990,'RawPL+D'!$O$8:$AB$503,12,FALSE),"-")</f>
        <v>525</v>
      </c>
      <c r="CG990" s="338">
        <f t="shared" si="410"/>
        <v>530</v>
      </c>
      <c r="CH990" s="341">
        <f>IFERROR(VLOOKUP(CE990,'RawPL+D'!$O$8:$AB$503,13,FALSE),"-")</f>
        <v>846.5</v>
      </c>
      <c r="CI990" s="338">
        <f t="shared" si="411"/>
        <v>850</v>
      </c>
    </row>
    <row r="991" spans="1:87" ht="12.75" hidden="1" customHeight="1" x14ac:dyDescent="0.2">
      <c r="A991" s="28">
        <v>4</v>
      </c>
      <c r="B991" s="28">
        <v>5</v>
      </c>
      <c r="C991" s="11">
        <v>25</v>
      </c>
      <c r="D991" s="13" t="s">
        <v>300</v>
      </c>
      <c r="E991" s="10" t="s">
        <v>138</v>
      </c>
      <c r="F991" s="10" t="s">
        <v>210</v>
      </c>
      <c r="G991" s="10"/>
      <c r="H991" s="10"/>
      <c r="I991" s="10"/>
      <c r="J991" s="10"/>
      <c r="K991" s="575"/>
      <c r="L991" s="152"/>
      <c r="M991" s="422"/>
      <c r="N991" s="62"/>
      <c r="O991" s="62"/>
      <c r="P991" s="424"/>
      <c r="Q991" s="597"/>
      <c r="R991" s="434"/>
      <c r="S991" s="339"/>
      <c r="T991" s="767">
        <v>0</v>
      </c>
      <c r="U991" s="391"/>
      <c r="V991" s="421"/>
      <c r="W991" s="62"/>
      <c r="X991" s="63"/>
      <c r="Y991" s="62"/>
      <c r="Z991" s="64"/>
      <c r="AA991" s="164"/>
      <c r="AB991" s="62"/>
      <c r="AC991" s="62"/>
      <c r="AD991" s="64"/>
      <c r="AE991" s="164"/>
      <c r="AF991" s="62"/>
      <c r="AG991" s="64"/>
      <c r="AH991" s="337"/>
      <c r="AI991" s="337"/>
      <c r="AJ991" s="337"/>
      <c r="AK991" s="337"/>
      <c r="AL991" s="555"/>
      <c r="AM991" s="552"/>
      <c r="AN991" s="841"/>
      <c r="AO991" s="46"/>
      <c r="AP991" s="44"/>
      <c r="AQ991" s="485">
        <f>AL991/BI991</f>
        <v>0</v>
      </c>
      <c r="AR991" s="485">
        <f>BL991/BH991</f>
        <v>0</v>
      </c>
      <c r="AS991" s="485">
        <f>BL991/BI991</f>
        <v>0</v>
      </c>
      <c r="AT991" s="123"/>
      <c r="AU991" s="123"/>
      <c r="AV991" s="123">
        <f>AL991</f>
        <v>0</v>
      </c>
      <c r="AW991" s="18">
        <v>25</v>
      </c>
      <c r="AX991" s="69" t="s">
        <v>300</v>
      </c>
      <c r="AY991" s="243" t="s">
        <v>138</v>
      </c>
      <c r="AZ991" s="243" t="str">
        <f t="shared" si="397"/>
        <v>Chinook</v>
      </c>
      <c r="BA991" s="243" t="s">
        <v>419</v>
      </c>
      <c r="BB991" s="244" t="s">
        <v>496</v>
      </c>
      <c r="BC991" s="43" t="str">
        <f t="shared" si="398"/>
        <v>Oct 22-28</v>
      </c>
      <c r="BD991" s="43">
        <f t="shared" si="392"/>
        <v>1</v>
      </c>
      <c r="BE991" s="193">
        <f t="shared" si="414"/>
        <v>0</v>
      </c>
      <c r="BF991" s="193">
        <f t="shared" si="399"/>
        <v>0</v>
      </c>
      <c r="BG991" s="193">
        <f t="shared" si="400"/>
        <v>0</v>
      </c>
      <c r="BH991" s="307">
        <f t="shared" si="416"/>
        <v>60</v>
      </c>
      <c r="BI991" s="265">
        <f>CC991</f>
        <v>40</v>
      </c>
      <c r="BJ991" s="26" t="str">
        <f t="shared" si="401"/>
        <v>ESPINOSA CREEKChinook</v>
      </c>
      <c r="BK991" s="26">
        <f t="shared" si="402"/>
        <v>1</v>
      </c>
      <c r="BL991" s="33">
        <f t="shared" si="393"/>
        <v>0</v>
      </c>
      <c r="BQ991" s="47" t="str">
        <f t="shared" si="403"/>
        <v>ESPINOSA CREEKChinook</v>
      </c>
      <c r="BR991" s="49">
        <f t="shared" si="404"/>
        <v>0</v>
      </c>
      <c r="BS991" s="49">
        <f t="shared" si="413"/>
        <v>0</v>
      </c>
      <c r="BT991" s="31">
        <v>2015</v>
      </c>
      <c r="BU991" s="188" t="str">
        <f t="shared" si="405"/>
        <v>Wildcoast</v>
      </c>
      <c r="BV991" s="188" t="str">
        <f t="shared" si="406"/>
        <v xml:space="preserve"> </v>
      </c>
      <c r="BW991" s="188" t="str">
        <f t="shared" si="415"/>
        <v>Oct 22-28</v>
      </c>
      <c r="BX991" s="188" t="str">
        <f t="shared" si="407"/>
        <v xml:space="preserve"> </v>
      </c>
      <c r="BY991" s="50" t="str">
        <f t="shared" si="396"/>
        <v>ESPINOSA CREEK_Chinook</v>
      </c>
      <c r="BZ991" s="50">
        <f>IFERROR(VLOOKUP(BY991,'[1]WCVI Esc'!$C$5:$W$555,18,FALSE),"-")</f>
        <v>62.25</v>
      </c>
      <c r="CA991" s="50">
        <f t="shared" si="408"/>
        <v>60</v>
      </c>
      <c r="CB991" s="50">
        <f>IFERROR(VLOOKUP(BY991,'[1]WCVI Esc'!$C$5:$W$555,19,FALSE),"-")</f>
        <v>40.625</v>
      </c>
      <c r="CC991" s="50">
        <f t="shared" si="409"/>
        <v>40</v>
      </c>
      <c r="CE991" s="342" t="str">
        <f t="shared" si="395"/>
        <v>ESPINOSA CREEK_Chinook</v>
      </c>
      <c r="CF991" s="341">
        <f>IFERROR(VLOOKUP(CE991,'RawPL+D'!$O$8:$AB$503,12,FALSE),"-")</f>
        <v>5</v>
      </c>
      <c r="CG991" s="338">
        <f t="shared" si="410"/>
        <v>10</v>
      </c>
      <c r="CH991" s="341">
        <f>IFERROR(VLOOKUP(CE991,'RawPL+D'!$O$8:$AB$503,13,FALSE),"-")</f>
        <v>56</v>
      </c>
      <c r="CI991" s="338">
        <f t="shared" si="411"/>
        <v>60</v>
      </c>
    </row>
    <row r="992" spans="1:87" ht="12.75" hidden="1" customHeight="1" x14ac:dyDescent="0.2">
      <c r="A992" s="28">
        <v>4</v>
      </c>
      <c r="B992" s="28">
        <v>6</v>
      </c>
      <c r="C992" s="11">
        <v>25</v>
      </c>
      <c r="D992" s="13" t="s">
        <v>300</v>
      </c>
      <c r="E992" s="10" t="s">
        <v>138</v>
      </c>
      <c r="F992" s="10" t="s">
        <v>211</v>
      </c>
      <c r="G992" s="10"/>
      <c r="H992" s="10"/>
      <c r="I992" s="10"/>
      <c r="J992" s="10"/>
      <c r="K992" s="575"/>
      <c r="L992" s="152"/>
      <c r="M992" s="422"/>
      <c r="N992" s="62"/>
      <c r="O992" s="62"/>
      <c r="P992" s="424"/>
      <c r="Q992" s="171"/>
      <c r="R992" s="94"/>
      <c r="S992" s="339"/>
      <c r="T992" s="767">
        <v>0</v>
      </c>
      <c r="U992" s="64"/>
      <c r="V992" s="164"/>
      <c r="W992" s="62"/>
      <c r="X992" s="63"/>
      <c r="Y992" s="62"/>
      <c r="Z992" s="64"/>
      <c r="AA992" s="164"/>
      <c r="AB992" s="62"/>
      <c r="AC992" s="62"/>
      <c r="AD992" s="64"/>
      <c r="AE992" s="164"/>
      <c r="AF992" s="62"/>
      <c r="AG992" s="64"/>
      <c r="AH992" s="337"/>
      <c r="AI992" s="337"/>
      <c r="AJ992" s="337"/>
      <c r="AK992" s="337"/>
      <c r="AL992" s="555"/>
      <c r="AM992" s="552"/>
      <c r="AN992" s="45"/>
      <c r="AO992" s="45"/>
      <c r="AP992" s="44"/>
      <c r="AQ992" s="485"/>
      <c r="AR992" s="100"/>
      <c r="AS992" s="485"/>
      <c r="AT992" s="679"/>
      <c r="AU992" s="679"/>
      <c r="AV992" s="679"/>
      <c r="AW992" s="18">
        <v>25</v>
      </c>
      <c r="AX992" s="69" t="s">
        <v>300</v>
      </c>
      <c r="AY992" s="243" t="s">
        <v>138</v>
      </c>
      <c r="AZ992" s="243" t="str">
        <f t="shared" si="397"/>
        <v>Steelhead</v>
      </c>
      <c r="BA992" s="243" t="s">
        <v>419</v>
      </c>
      <c r="BB992" s="244" t="s">
        <v>496</v>
      </c>
      <c r="BC992" s="43" t="str">
        <f t="shared" si="398"/>
        <v>Oct 22-28</v>
      </c>
      <c r="BD992" s="43">
        <f t="shared" si="392"/>
        <v>1</v>
      </c>
      <c r="BE992" s="193">
        <f t="shared" si="414"/>
        <v>0</v>
      </c>
      <c r="BF992" s="193">
        <f t="shared" si="399"/>
        <v>0</v>
      </c>
      <c r="BG992" s="193">
        <f t="shared" si="400"/>
        <v>0</v>
      </c>
      <c r="BH992" s="307" t="str">
        <f t="shared" si="416"/>
        <v>-</v>
      </c>
      <c r="BI992" s="266"/>
      <c r="BJ992" s="26" t="str">
        <f t="shared" si="401"/>
        <v>ESPINOSA CREEKSteelhead</v>
      </c>
      <c r="BK992" s="26">
        <f t="shared" si="402"/>
        <v>1</v>
      </c>
      <c r="BL992" s="33">
        <f t="shared" si="393"/>
        <v>0</v>
      </c>
      <c r="BQ992" s="47" t="str">
        <f t="shared" si="403"/>
        <v>ESPINOSA CREEKSteelhead</v>
      </c>
      <c r="BR992" s="49">
        <f t="shared" si="404"/>
        <v>0</v>
      </c>
      <c r="BS992" s="49">
        <f t="shared" si="413"/>
        <v>0</v>
      </c>
      <c r="BT992" s="31">
        <v>0</v>
      </c>
      <c r="BU992" s="188" t="str">
        <f t="shared" si="405"/>
        <v>Wildcoast</v>
      </c>
      <c r="BV992" s="188" t="str">
        <f t="shared" si="406"/>
        <v xml:space="preserve"> </v>
      </c>
      <c r="BW992" s="188" t="str">
        <f t="shared" si="415"/>
        <v>Oct 22-28</v>
      </c>
      <c r="BX992" s="188" t="str">
        <f t="shared" si="407"/>
        <v xml:space="preserve"> </v>
      </c>
      <c r="BY992" s="50" t="str">
        <f t="shared" si="396"/>
        <v>ESPINOSA CREEK_Steelhead</v>
      </c>
      <c r="BZ992" s="50" t="str">
        <f>IFERROR(VLOOKUP(BY992,'[1]WCVI Esc'!$C$5:$W$555,18,FALSE),"-")</f>
        <v>-</v>
      </c>
      <c r="CA992" s="50" t="str">
        <f t="shared" si="408"/>
        <v>-</v>
      </c>
      <c r="CB992" s="50" t="str">
        <f>IFERROR(VLOOKUP(BY992,'[1]WCVI Esc'!$C$5:$W$555,19,FALSE),"-")</f>
        <v>-</v>
      </c>
      <c r="CC992" s="50" t="str">
        <f t="shared" si="409"/>
        <v>-</v>
      </c>
      <c r="CE992" s="342" t="str">
        <f t="shared" si="395"/>
        <v>ESPINOSA CREEK_Steelhead</v>
      </c>
      <c r="CF992" s="341" t="str">
        <f>IFERROR(VLOOKUP(BY992,'RawPL+D'!$O$8:$AB$503,12,FALSE),"-")</f>
        <v>-</v>
      </c>
      <c r="CG992" s="338" t="str">
        <f t="shared" si="410"/>
        <v>-</v>
      </c>
      <c r="CH992" s="341" t="str">
        <f>IFERROR(VLOOKUP(BY992,'RawPL+D'!$O$8:$AB$503,13,FALSE),"-")</f>
        <v>-</v>
      </c>
      <c r="CI992" s="338" t="str">
        <f t="shared" si="411"/>
        <v>-</v>
      </c>
    </row>
    <row r="993" spans="1:87" ht="12.75" hidden="1" customHeight="1" x14ac:dyDescent="0.2">
      <c r="A993" s="28">
        <v>4</v>
      </c>
      <c r="B993" s="28">
        <v>1</v>
      </c>
      <c r="C993" s="11">
        <v>25</v>
      </c>
      <c r="D993" s="13" t="s">
        <v>300</v>
      </c>
      <c r="E993" s="10" t="s">
        <v>139</v>
      </c>
      <c r="F993" s="10" t="s">
        <v>207</v>
      </c>
      <c r="G993" s="10"/>
      <c r="H993" s="10"/>
      <c r="I993" s="10"/>
      <c r="J993" s="10"/>
      <c r="K993" s="575"/>
      <c r="L993" s="152"/>
      <c r="M993" s="164"/>
      <c r="N993" s="62"/>
      <c r="O993" s="62"/>
      <c r="P993" s="177"/>
      <c r="Q993" s="339"/>
      <c r="R993" s="94"/>
      <c r="S993" s="62"/>
      <c r="T993" s="642">
        <v>0</v>
      </c>
      <c r="U993" s="64"/>
      <c r="V993" s="164"/>
      <c r="W993" s="62"/>
      <c r="X993" s="62"/>
      <c r="Y993" s="62"/>
      <c r="Z993" s="64"/>
      <c r="AA993" s="164"/>
      <c r="AB993" s="62"/>
      <c r="AC993" s="62"/>
      <c r="AD993" s="64"/>
      <c r="AE993" s="164"/>
      <c r="AF993" s="62"/>
      <c r="AG993" s="64"/>
      <c r="AH993" s="337"/>
      <c r="AI993" s="337"/>
      <c r="AJ993" s="337"/>
      <c r="AK993" s="337"/>
      <c r="AL993" s="555"/>
      <c r="AM993" s="552"/>
      <c r="AN993" s="841"/>
      <c r="AO993" s="45"/>
      <c r="AP993" s="45"/>
      <c r="AQ993" s="485"/>
      <c r="AR993"/>
      <c r="AS993" s="485"/>
      <c r="AT993" s="24"/>
      <c r="AU993" s="24"/>
      <c r="AV993" s="24"/>
      <c r="AW993" s="18">
        <v>25</v>
      </c>
      <c r="AX993" s="69" t="s">
        <v>300</v>
      </c>
      <c r="AY993" s="243" t="s">
        <v>139</v>
      </c>
      <c r="AZ993" s="243" t="str">
        <f t="shared" si="397"/>
        <v>Sockeye</v>
      </c>
      <c r="BA993" s="243" t="s">
        <v>419</v>
      </c>
      <c r="BB993" s="352" t="s">
        <v>528</v>
      </c>
      <c r="BC993" s="43" t="str">
        <f t="shared" si="398"/>
        <v>Oct 22-28</v>
      </c>
      <c r="BD993" s="43">
        <f t="shared" ref="BD993:BD1022" si="417">BK993</f>
        <v>1</v>
      </c>
      <c r="BE993" s="193">
        <f t="shared" si="414"/>
        <v>0</v>
      </c>
      <c r="BF993" s="193">
        <f t="shared" si="399"/>
        <v>0</v>
      </c>
      <c r="BG993" s="193">
        <f t="shared" si="400"/>
        <v>0</v>
      </c>
      <c r="BH993" s="307">
        <f t="shared" si="416"/>
        <v>0</v>
      </c>
      <c r="BI993" s="265">
        <f>CC993</f>
        <v>0</v>
      </c>
      <c r="BJ993" s="26" t="str">
        <f t="shared" si="401"/>
        <v>HAMMOND CREEKSockeye</v>
      </c>
      <c r="BK993" s="26">
        <f t="shared" si="402"/>
        <v>1</v>
      </c>
      <c r="BL993" s="33">
        <f t="shared" si="393"/>
        <v>0</v>
      </c>
      <c r="BQ993" s="47" t="str">
        <f t="shared" si="403"/>
        <v>HAMMOND CREEKSockeye</v>
      </c>
      <c r="BR993" s="49">
        <f t="shared" si="404"/>
        <v>0</v>
      </c>
      <c r="BS993" s="49">
        <f t="shared" si="413"/>
        <v>0</v>
      </c>
      <c r="BT993" s="31">
        <v>2011</v>
      </c>
      <c r="BU993" s="188" t="str">
        <f t="shared" si="405"/>
        <v>EFN/Wildcoast</v>
      </c>
      <c r="BV993" s="188" t="str">
        <f t="shared" si="406"/>
        <v xml:space="preserve"> </v>
      </c>
      <c r="BW993" s="188" t="str">
        <f t="shared" si="415"/>
        <v>Oct 22-28</v>
      </c>
      <c r="BX993" s="188" t="str">
        <f t="shared" si="407"/>
        <v xml:space="preserve"> </v>
      </c>
      <c r="BY993" s="50" t="str">
        <f t="shared" si="396"/>
        <v>HAMMOND CREEK_Sockeye</v>
      </c>
      <c r="BZ993" s="50" t="str">
        <f>IFERROR(VLOOKUP(BY993,'[1]WCVI Esc'!$C$5:$W$555,18,FALSE),"-")</f>
        <v>-</v>
      </c>
      <c r="CA993" s="50" t="str">
        <f t="shared" si="408"/>
        <v>-</v>
      </c>
      <c r="CB993" s="50">
        <f>IFERROR(VLOOKUP(BY993,'[1]WCVI Esc'!$C$5:$W$555,19,FALSE),"-")</f>
        <v>1</v>
      </c>
      <c r="CC993" s="50">
        <f t="shared" si="409"/>
        <v>0</v>
      </c>
      <c r="CE993" s="342" t="str">
        <f t="shared" si="395"/>
        <v>HAMMOND CREEK_Sockeye</v>
      </c>
      <c r="CF993" s="341">
        <f>IFERROR(VLOOKUP(BY993,'RawPL+D'!$O$8:$AB$503,12,FALSE),"-")</f>
        <v>0</v>
      </c>
      <c r="CG993" s="338">
        <f t="shared" si="410"/>
        <v>0</v>
      </c>
      <c r="CH993" s="341">
        <f>IFERROR(VLOOKUP(BY993,'RawPL+D'!$O$8:$AB$503,13,FALSE),"-")</f>
        <v>0</v>
      </c>
      <c r="CI993" s="338">
        <f t="shared" si="411"/>
        <v>0</v>
      </c>
    </row>
    <row r="994" spans="1:87" ht="12.75" hidden="1" customHeight="1" x14ac:dyDescent="0.2">
      <c r="A994" s="28">
        <v>4</v>
      </c>
      <c r="B994" s="28">
        <v>2</v>
      </c>
      <c r="C994" s="11">
        <v>25</v>
      </c>
      <c r="D994" s="13" t="s">
        <v>300</v>
      </c>
      <c r="E994" s="10" t="s">
        <v>139</v>
      </c>
      <c r="F994" s="10" t="s">
        <v>219</v>
      </c>
      <c r="G994" s="10"/>
      <c r="H994" s="10"/>
      <c r="I994" s="10"/>
      <c r="J994" s="10"/>
      <c r="K994" s="575"/>
      <c r="L994" s="152"/>
      <c r="M994" s="164"/>
      <c r="N994" s="62"/>
      <c r="O994" s="62"/>
      <c r="P994" s="177"/>
      <c r="Q994" s="339"/>
      <c r="R994" s="94"/>
      <c r="S994" s="62"/>
      <c r="T994" s="642">
        <v>25</v>
      </c>
      <c r="U994" s="64"/>
      <c r="V994" s="164"/>
      <c r="W994" s="62"/>
      <c r="X994" s="62"/>
      <c r="Y994" s="62"/>
      <c r="Z994" s="64"/>
      <c r="AA994" s="164"/>
      <c r="AB994" s="62"/>
      <c r="AC994" s="62"/>
      <c r="AD994" s="64"/>
      <c r="AE994" s="164"/>
      <c r="AF994" s="62"/>
      <c r="AG994" s="64"/>
      <c r="AH994" s="337"/>
      <c r="AI994" s="337"/>
      <c r="AJ994" s="337"/>
      <c r="AK994" s="337"/>
      <c r="AL994" s="555"/>
      <c r="AM994" s="552"/>
      <c r="AN994" s="841"/>
      <c r="AO994" s="45"/>
      <c r="AP994" s="45"/>
      <c r="AQ994" s="485">
        <f>AL994/BI994</f>
        <v>0</v>
      </c>
      <c r="AR994" s="100">
        <f>BL994/BI994</f>
        <v>0.83333333333333337</v>
      </c>
      <c r="AS994" s="485"/>
      <c r="AT994" s="24"/>
      <c r="AU994" s="24"/>
      <c r="AV994" s="24"/>
      <c r="AW994" s="18">
        <v>25</v>
      </c>
      <c r="AX994" s="69" t="s">
        <v>300</v>
      </c>
      <c r="AY994" s="243" t="s">
        <v>139</v>
      </c>
      <c r="AZ994" s="243" t="str">
        <f t="shared" si="397"/>
        <v>Coho</v>
      </c>
      <c r="BA994" s="243" t="s">
        <v>419</v>
      </c>
      <c r="BB994" s="244" t="s">
        <v>528</v>
      </c>
      <c r="BC994" s="43" t="str">
        <f t="shared" si="398"/>
        <v>Oct 22-28</v>
      </c>
      <c r="BD994" s="43">
        <f t="shared" si="417"/>
        <v>1</v>
      </c>
      <c r="BE994" s="193">
        <f t="shared" si="414"/>
        <v>25</v>
      </c>
      <c r="BF994" s="193">
        <f t="shared" si="399"/>
        <v>0</v>
      </c>
      <c r="BG994" s="193">
        <f t="shared" si="400"/>
        <v>0</v>
      </c>
      <c r="BH994" s="307">
        <f t="shared" si="416"/>
        <v>20</v>
      </c>
      <c r="BI994" s="265">
        <f>CC994</f>
        <v>30</v>
      </c>
      <c r="BJ994" s="26" t="str">
        <f t="shared" si="401"/>
        <v>HAMMOND CREEKCoho</v>
      </c>
      <c r="BK994" s="26">
        <f t="shared" si="402"/>
        <v>1</v>
      </c>
      <c r="BL994" s="33">
        <f t="shared" si="393"/>
        <v>25</v>
      </c>
      <c r="BQ994" s="47" t="str">
        <f t="shared" si="403"/>
        <v>HAMMOND CREEKCoho</v>
      </c>
      <c r="BR994" s="49">
        <f t="shared" si="404"/>
        <v>0</v>
      </c>
      <c r="BS994" s="49">
        <f t="shared" si="413"/>
        <v>0</v>
      </c>
      <c r="BT994" s="31">
        <v>2011</v>
      </c>
      <c r="BU994" s="188" t="str">
        <f t="shared" si="405"/>
        <v>EFN/Wildcoast</v>
      </c>
      <c r="BV994" s="188" t="str">
        <f t="shared" si="406"/>
        <v xml:space="preserve"> </v>
      </c>
      <c r="BW994" s="188" t="str">
        <f t="shared" si="415"/>
        <v>Oct 22-28</v>
      </c>
      <c r="BX994" s="188" t="str">
        <f t="shared" si="407"/>
        <v xml:space="preserve"> </v>
      </c>
      <c r="BY994" s="50" t="str">
        <f t="shared" si="396"/>
        <v>HAMMOND CREEK_Coho</v>
      </c>
      <c r="BZ994" s="50">
        <f>IFERROR(VLOOKUP(BY994,'[1]WCVI Esc'!$C$5:$W$555,18,FALSE),"-")</f>
        <v>23</v>
      </c>
      <c r="CA994" s="50">
        <f t="shared" si="408"/>
        <v>20</v>
      </c>
      <c r="CB994" s="50">
        <f>IFERROR(VLOOKUP(BY994,'[1]WCVI Esc'!$C$5:$W$555,19,FALSE),"-")</f>
        <v>33.333333333333336</v>
      </c>
      <c r="CC994" s="50">
        <f t="shared" si="409"/>
        <v>30</v>
      </c>
      <c r="CE994" s="342" t="str">
        <f t="shared" si="395"/>
        <v>HAMMOND CREEK_Coho</v>
      </c>
      <c r="CF994" s="341">
        <f>IFERROR(VLOOKUP(BY994,'RawPL+D'!$O$8:$AB$503,12,FALSE),"-")</f>
        <v>5</v>
      </c>
      <c r="CG994" s="338">
        <f t="shared" si="410"/>
        <v>10</v>
      </c>
      <c r="CH994" s="341">
        <f>IFERROR(VLOOKUP(BY994,'RawPL+D'!$O$8:$AB$503,13,FALSE),"-")</f>
        <v>21</v>
      </c>
      <c r="CI994" s="338">
        <f t="shared" si="411"/>
        <v>20</v>
      </c>
    </row>
    <row r="995" spans="1:87" ht="12.75" hidden="1" customHeight="1" x14ac:dyDescent="0.2">
      <c r="A995" s="28">
        <v>4</v>
      </c>
      <c r="B995" s="28">
        <v>3</v>
      </c>
      <c r="C995" s="11">
        <v>25</v>
      </c>
      <c r="D995" s="13" t="s">
        <v>300</v>
      </c>
      <c r="E995" s="10" t="s">
        <v>139</v>
      </c>
      <c r="F995" s="10" t="s">
        <v>208</v>
      </c>
      <c r="G995" s="10"/>
      <c r="H995" s="10"/>
      <c r="I995" s="10"/>
      <c r="J995" s="10"/>
      <c r="K995" s="575"/>
      <c r="L995" s="152"/>
      <c r="M995" s="164"/>
      <c r="N995" s="62"/>
      <c r="O995" s="62"/>
      <c r="P995" s="177"/>
      <c r="Q995" s="339"/>
      <c r="R995" s="94"/>
      <c r="S995" s="62"/>
      <c r="T995" s="642">
        <v>0</v>
      </c>
      <c r="U995" s="64"/>
      <c r="V995" s="164"/>
      <c r="W995" s="62"/>
      <c r="X995" s="62"/>
      <c r="Y995" s="62"/>
      <c r="Z995" s="64"/>
      <c r="AA995" s="164"/>
      <c r="AB995" s="62"/>
      <c r="AC995" s="62"/>
      <c r="AD995" s="64"/>
      <c r="AE995" s="164"/>
      <c r="AF995" s="62"/>
      <c r="AG995" s="64"/>
      <c r="AH995" s="337"/>
      <c r="AI995" s="337"/>
      <c r="AJ995" s="337"/>
      <c r="AK995" s="337"/>
      <c r="AL995" s="555"/>
      <c r="AM995" s="552"/>
      <c r="AN995" s="45"/>
      <c r="AO995" s="45"/>
      <c r="AP995" s="45"/>
      <c r="AQ995" s="485"/>
      <c r="AR995"/>
      <c r="AS995" s="485"/>
      <c r="AT995" s="24"/>
      <c r="AU995" s="24"/>
      <c r="AV995" s="24"/>
      <c r="AW995" s="18">
        <v>25</v>
      </c>
      <c r="AX995" s="69" t="s">
        <v>300</v>
      </c>
      <c r="AY995" s="243" t="s">
        <v>139</v>
      </c>
      <c r="AZ995" s="243" t="str">
        <f t="shared" si="397"/>
        <v>Pink</v>
      </c>
      <c r="BA995" s="243" t="s">
        <v>419</v>
      </c>
      <c r="BB995" s="244" t="s">
        <v>528</v>
      </c>
      <c r="BC995" s="43" t="str">
        <f t="shared" si="398"/>
        <v>Oct 22-28</v>
      </c>
      <c r="BD995" s="43">
        <f t="shared" si="417"/>
        <v>1</v>
      </c>
      <c r="BE995" s="193">
        <f t="shared" si="414"/>
        <v>0</v>
      </c>
      <c r="BF995" s="193">
        <f t="shared" si="399"/>
        <v>0</v>
      </c>
      <c r="BG995" s="193">
        <f t="shared" si="400"/>
        <v>0</v>
      </c>
      <c r="BH995" s="307" t="str">
        <f t="shared" si="416"/>
        <v>-</v>
      </c>
      <c r="BI995" s="266"/>
      <c r="BJ995" s="26" t="str">
        <f t="shared" si="401"/>
        <v>HAMMOND CREEKPink</v>
      </c>
      <c r="BK995" s="26">
        <f t="shared" si="402"/>
        <v>1</v>
      </c>
      <c r="BL995" s="33">
        <f t="shared" si="393"/>
        <v>0</v>
      </c>
      <c r="BQ995" s="47" t="str">
        <f t="shared" si="403"/>
        <v>HAMMOND CREEKPink</v>
      </c>
      <c r="BR995" s="49">
        <f t="shared" si="404"/>
        <v>0</v>
      </c>
      <c r="BS995" s="49">
        <f t="shared" si="413"/>
        <v>0</v>
      </c>
      <c r="BT995" s="31">
        <v>0</v>
      </c>
      <c r="BU995" s="188" t="str">
        <f t="shared" si="405"/>
        <v>EFN/Wildcoast</v>
      </c>
      <c r="BV995" s="188" t="str">
        <f t="shared" si="406"/>
        <v xml:space="preserve"> </v>
      </c>
      <c r="BW995" s="188" t="str">
        <f t="shared" si="415"/>
        <v>Oct 22-28</v>
      </c>
      <c r="BX995" s="188" t="str">
        <f t="shared" si="407"/>
        <v xml:space="preserve"> </v>
      </c>
      <c r="BY995" s="50" t="str">
        <f t="shared" si="396"/>
        <v>HAMMOND CREEK_Pink</v>
      </c>
      <c r="BZ995" s="50" t="str">
        <f>IFERROR(VLOOKUP(BY995,'[1]WCVI Esc'!$C$5:$W$555,18,FALSE),"-")</f>
        <v>-</v>
      </c>
      <c r="CA995" s="50" t="str">
        <f t="shared" si="408"/>
        <v>-</v>
      </c>
      <c r="CB995" s="50" t="str">
        <f>IFERROR(VLOOKUP(BY995,'[1]WCVI Esc'!$C$5:$W$555,19,FALSE),"-")</f>
        <v>-</v>
      </c>
      <c r="CC995" s="50" t="str">
        <f t="shared" si="409"/>
        <v>-</v>
      </c>
      <c r="CE995" s="342" t="str">
        <f t="shared" si="395"/>
        <v>HAMMOND CREEK_Pink</v>
      </c>
      <c r="CF995" s="341" t="str">
        <f>IFERROR(VLOOKUP(BY995,'RawPL+D'!$O$8:$AB$503,12,FALSE),"-")</f>
        <v>-</v>
      </c>
      <c r="CG995" s="338" t="str">
        <f t="shared" si="410"/>
        <v>-</v>
      </c>
      <c r="CH995" s="341" t="str">
        <f>IFERROR(VLOOKUP(BY995,'RawPL+D'!$O$8:$AB$503,13,FALSE),"-")</f>
        <v>-</v>
      </c>
      <c r="CI995" s="338" t="str">
        <f t="shared" si="411"/>
        <v>-</v>
      </c>
    </row>
    <row r="996" spans="1:87" ht="12.75" hidden="1" customHeight="1" x14ac:dyDescent="0.2">
      <c r="A996" s="28">
        <v>4</v>
      </c>
      <c r="B996" s="28">
        <v>4</v>
      </c>
      <c r="C996" s="11">
        <v>25</v>
      </c>
      <c r="D996" s="13" t="s">
        <v>300</v>
      </c>
      <c r="E996" s="10" t="s">
        <v>139</v>
      </c>
      <c r="F996" s="10" t="s">
        <v>209</v>
      </c>
      <c r="G996" s="10"/>
      <c r="H996" s="10"/>
      <c r="I996" s="10"/>
      <c r="J996" s="10"/>
      <c r="K996" s="575"/>
      <c r="L996" s="152"/>
      <c r="M996" s="164"/>
      <c r="N996" s="62"/>
      <c r="O996" s="62"/>
      <c r="P996" s="177"/>
      <c r="Q996" s="339"/>
      <c r="R996" s="94"/>
      <c r="S996" s="62"/>
      <c r="T996" s="676">
        <f>379+94</f>
        <v>473</v>
      </c>
      <c r="U996" s="64"/>
      <c r="V996" s="164"/>
      <c r="W996" s="62"/>
      <c r="X996" s="62"/>
      <c r="Y996" s="390"/>
      <c r="Z996" s="64"/>
      <c r="AA996" s="164"/>
      <c r="AB996" s="62"/>
      <c r="AC996" s="62"/>
      <c r="AD996" s="64"/>
      <c r="AE996" s="164"/>
      <c r="AF996" s="62"/>
      <c r="AG996" s="64"/>
      <c r="AH996" s="337"/>
      <c r="AI996" s="337"/>
      <c r="AJ996" s="337"/>
      <c r="AK996" s="337"/>
      <c r="AL996" s="555"/>
      <c r="AM996" s="552"/>
      <c r="AN996" s="841"/>
      <c r="AO996" s="45"/>
      <c r="AP996" s="45"/>
      <c r="AQ996" s="485">
        <f>AL996/BI996</f>
        <v>0</v>
      </c>
      <c r="AR996" s="485">
        <f>BL996/BI996</f>
        <v>1.6310344827586207</v>
      </c>
      <c r="AS996" s="485"/>
      <c r="AT996" s="24"/>
      <c r="AU996" s="24"/>
      <c r="AV996" s="24"/>
      <c r="AW996" s="18">
        <v>25</v>
      </c>
      <c r="AX996" s="69" t="s">
        <v>300</v>
      </c>
      <c r="AY996" s="243" t="s">
        <v>139</v>
      </c>
      <c r="AZ996" s="243" t="str">
        <f t="shared" si="397"/>
        <v>Chum</v>
      </c>
      <c r="BA996" s="243" t="s">
        <v>419</v>
      </c>
      <c r="BB996" s="244" t="s">
        <v>528</v>
      </c>
      <c r="BC996" s="43" t="str">
        <f t="shared" si="398"/>
        <v>Oct 22-28</v>
      </c>
      <c r="BD996" s="43">
        <f t="shared" si="417"/>
        <v>1</v>
      </c>
      <c r="BE996" s="193">
        <f t="shared" si="414"/>
        <v>473</v>
      </c>
      <c r="BF996" s="193">
        <f t="shared" si="399"/>
        <v>0</v>
      </c>
      <c r="BG996" s="193">
        <f t="shared" si="400"/>
        <v>0</v>
      </c>
      <c r="BH996" s="307">
        <f t="shared" si="416"/>
        <v>20</v>
      </c>
      <c r="BI996" s="265">
        <f>CC996</f>
        <v>290</v>
      </c>
      <c r="BJ996" s="26" t="str">
        <f t="shared" si="401"/>
        <v>HAMMOND CREEKChum</v>
      </c>
      <c r="BK996" s="26">
        <f t="shared" si="402"/>
        <v>1</v>
      </c>
      <c r="BL996" s="33">
        <f t="shared" si="393"/>
        <v>473</v>
      </c>
      <c r="BQ996" s="47" t="str">
        <f t="shared" si="403"/>
        <v>HAMMOND CREEKChum</v>
      </c>
      <c r="BR996" s="49">
        <f t="shared" si="404"/>
        <v>0</v>
      </c>
      <c r="BS996" s="49">
        <f t="shared" si="413"/>
        <v>0</v>
      </c>
      <c r="BT996" s="31">
        <v>2012</v>
      </c>
      <c r="BU996" s="188" t="str">
        <f t="shared" si="405"/>
        <v>EFN/Wildcoast</v>
      </c>
      <c r="BV996" s="188" t="str">
        <f t="shared" si="406"/>
        <v xml:space="preserve"> </v>
      </c>
      <c r="BW996" s="188" t="str">
        <f t="shared" si="415"/>
        <v>Oct 22-28</v>
      </c>
      <c r="BX996" s="188" t="str">
        <f t="shared" si="407"/>
        <v xml:space="preserve"> </v>
      </c>
      <c r="BY996" s="50" t="str">
        <f t="shared" si="396"/>
        <v>HAMMOND CREEK_Chum</v>
      </c>
      <c r="BZ996" s="50">
        <f>IFERROR(VLOOKUP(BY996,'[1]WCVI Esc'!$C$5:$W$555,18,FALSE),"-")</f>
        <v>16</v>
      </c>
      <c r="CA996" s="50">
        <f t="shared" si="408"/>
        <v>20</v>
      </c>
      <c r="CB996" s="50">
        <f>IFERROR(VLOOKUP(BY996,'[1]WCVI Esc'!$C$5:$W$555,19,FALSE),"-")</f>
        <v>288</v>
      </c>
      <c r="CC996" s="50">
        <f t="shared" si="409"/>
        <v>290</v>
      </c>
      <c r="CE996" s="342" t="str">
        <f t="shared" si="395"/>
        <v>HAMMOND CREEK_Chum</v>
      </c>
      <c r="CF996" s="341">
        <f>IFERROR(VLOOKUP(BY996,'RawPL+D'!$O$8:$AB$503,12,FALSE),"-")</f>
        <v>16</v>
      </c>
      <c r="CG996" s="338">
        <f t="shared" si="410"/>
        <v>20</v>
      </c>
      <c r="CH996" s="341">
        <f>IFERROR(VLOOKUP(BY996,'RawPL+D'!$O$8:$AB$503,13,FALSE),"-")</f>
        <v>18.5</v>
      </c>
      <c r="CI996" s="338">
        <f t="shared" si="411"/>
        <v>20</v>
      </c>
    </row>
    <row r="997" spans="1:87" ht="12.75" hidden="1" customHeight="1" x14ac:dyDescent="0.2">
      <c r="A997" s="28">
        <v>4</v>
      </c>
      <c r="B997" s="28">
        <v>5</v>
      </c>
      <c r="C997" s="11">
        <v>25</v>
      </c>
      <c r="D997" s="13" t="s">
        <v>300</v>
      </c>
      <c r="E997" s="10" t="s">
        <v>139</v>
      </c>
      <c r="F997" s="10" t="s">
        <v>210</v>
      </c>
      <c r="G997" s="10"/>
      <c r="H997" s="10"/>
      <c r="I997" s="10"/>
      <c r="J997" s="10"/>
      <c r="K997" s="575"/>
      <c r="L997" s="152"/>
      <c r="M997" s="164"/>
      <c r="N997" s="62"/>
      <c r="O997" s="62"/>
      <c r="P997" s="177"/>
      <c r="Q997" s="339"/>
      <c r="R997" s="94"/>
      <c r="S997" s="62"/>
      <c r="T997" s="642">
        <v>0</v>
      </c>
      <c r="U997" s="64"/>
      <c r="V997" s="164"/>
      <c r="W997" s="62"/>
      <c r="X997" s="62"/>
      <c r="Y997" s="62"/>
      <c r="Z997" s="64"/>
      <c r="AA997" s="164"/>
      <c r="AB997" s="62"/>
      <c r="AC997" s="62"/>
      <c r="AD997" s="64"/>
      <c r="AE997" s="164"/>
      <c r="AF997" s="62"/>
      <c r="AG997" s="64"/>
      <c r="AH997" s="337"/>
      <c r="AI997" s="337"/>
      <c r="AJ997" s="337"/>
      <c r="AK997" s="337"/>
      <c r="AL997" s="555"/>
      <c r="AM997" s="552"/>
      <c r="AN997" s="841"/>
      <c r="AO997" s="45"/>
      <c r="AP997" s="45"/>
      <c r="AQ997" s="485"/>
      <c r="AR997"/>
      <c r="AS997" s="485"/>
      <c r="AT997" s="24"/>
      <c r="AU997" s="24"/>
      <c r="AV997" s="24"/>
      <c r="AW997" s="18">
        <v>25</v>
      </c>
      <c r="AX997" s="69" t="s">
        <v>300</v>
      </c>
      <c r="AY997" s="243" t="s">
        <v>139</v>
      </c>
      <c r="AZ997" s="243" t="str">
        <f t="shared" si="397"/>
        <v>Chinook</v>
      </c>
      <c r="BA997" s="243" t="s">
        <v>419</v>
      </c>
      <c r="BB997" s="244" t="s">
        <v>528</v>
      </c>
      <c r="BC997" s="43" t="str">
        <f t="shared" si="398"/>
        <v>Oct 22-28</v>
      </c>
      <c r="BD997" s="43">
        <f t="shared" si="417"/>
        <v>1</v>
      </c>
      <c r="BE997" s="193">
        <f t="shared" si="414"/>
        <v>0</v>
      </c>
      <c r="BF997" s="193">
        <f t="shared" si="399"/>
        <v>0</v>
      </c>
      <c r="BG997" s="193">
        <f t="shared" si="400"/>
        <v>0</v>
      </c>
      <c r="BH997" s="307">
        <f t="shared" si="416"/>
        <v>0</v>
      </c>
      <c r="BI997" s="265">
        <f>CC997</f>
        <v>0</v>
      </c>
      <c r="BJ997" s="26" t="str">
        <f t="shared" si="401"/>
        <v>HAMMOND CREEKChinook</v>
      </c>
      <c r="BK997" s="26">
        <f t="shared" si="402"/>
        <v>1</v>
      </c>
      <c r="BL997" s="33">
        <f t="shared" si="393"/>
        <v>0</v>
      </c>
      <c r="BQ997" s="47" t="str">
        <f t="shared" si="403"/>
        <v>HAMMOND CREEKChinook</v>
      </c>
      <c r="BR997" s="49">
        <f t="shared" si="404"/>
        <v>0</v>
      </c>
      <c r="BS997" s="49">
        <f t="shared" si="413"/>
        <v>0</v>
      </c>
      <c r="BT997" s="31">
        <v>2011</v>
      </c>
      <c r="BU997" s="188" t="str">
        <f t="shared" si="405"/>
        <v>EFN/Wildcoast</v>
      </c>
      <c r="BV997" s="188" t="str">
        <f t="shared" si="406"/>
        <v xml:space="preserve"> </v>
      </c>
      <c r="BW997" s="188" t="str">
        <f t="shared" si="415"/>
        <v>Oct 22-28</v>
      </c>
      <c r="BX997" s="188" t="str">
        <f t="shared" si="407"/>
        <v xml:space="preserve"> </v>
      </c>
      <c r="BY997" s="50" t="str">
        <f t="shared" si="396"/>
        <v>HAMMOND CREEK_Chinook</v>
      </c>
      <c r="BZ997" s="50">
        <f>IFERROR(VLOOKUP(BY997,'[1]WCVI Esc'!$C$5:$W$555,18,FALSE),"-")</f>
        <v>1</v>
      </c>
      <c r="CA997" s="50">
        <f t="shared" si="408"/>
        <v>0</v>
      </c>
      <c r="CB997" s="50">
        <f>IFERROR(VLOOKUP(BY997,'[1]WCVI Esc'!$C$5:$W$555,19,FALSE),"-")</f>
        <v>1</v>
      </c>
      <c r="CC997" s="50">
        <f t="shared" si="409"/>
        <v>0</v>
      </c>
      <c r="CE997" s="342" t="str">
        <f t="shared" si="395"/>
        <v>HAMMOND CREEK_Chinook</v>
      </c>
      <c r="CF997" s="341">
        <f>IFERROR(VLOOKUP(BY997,'RawPL+D'!$O$8:$AB$503,12,FALSE),"-")</f>
        <v>0</v>
      </c>
      <c r="CG997" s="338">
        <f t="shared" si="410"/>
        <v>0</v>
      </c>
      <c r="CH997" s="341">
        <f>IFERROR(VLOOKUP(BY997,'RawPL+D'!$O$8:$AB$503,13,FALSE),"-")</f>
        <v>0.5</v>
      </c>
      <c r="CI997" s="338">
        <f t="shared" si="411"/>
        <v>0</v>
      </c>
    </row>
    <row r="998" spans="1:87" ht="12.75" hidden="1" customHeight="1" x14ac:dyDescent="0.2">
      <c r="A998" s="28">
        <v>4</v>
      </c>
      <c r="B998" s="28">
        <v>6</v>
      </c>
      <c r="C998" s="11">
        <v>25</v>
      </c>
      <c r="D998" s="13" t="s">
        <v>300</v>
      </c>
      <c r="E998" s="10" t="s">
        <v>139</v>
      </c>
      <c r="F998" s="10" t="s">
        <v>211</v>
      </c>
      <c r="G998" s="10"/>
      <c r="H998" s="10"/>
      <c r="I998" s="10"/>
      <c r="J998" s="10"/>
      <c r="K998" s="575"/>
      <c r="L998" s="152"/>
      <c r="M998" s="164"/>
      <c r="N998" s="62"/>
      <c r="O998" s="62"/>
      <c r="P998" s="177"/>
      <c r="Q998" s="339"/>
      <c r="R998" s="94"/>
      <c r="S998" s="62"/>
      <c r="T998" s="642">
        <v>0</v>
      </c>
      <c r="U998" s="64"/>
      <c r="V998" s="164"/>
      <c r="W998" s="62"/>
      <c r="X998" s="62"/>
      <c r="Y998" s="62"/>
      <c r="Z998" s="64"/>
      <c r="AA998" s="164"/>
      <c r="AB998" s="62"/>
      <c r="AC998" s="62"/>
      <c r="AD998" s="64"/>
      <c r="AE998" s="164"/>
      <c r="AF998" s="62"/>
      <c r="AG998" s="64"/>
      <c r="AH998" s="337"/>
      <c r="AI998" s="337"/>
      <c r="AJ998" s="337"/>
      <c r="AK998" s="337"/>
      <c r="AL998" s="555"/>
      <c r="AM998" s="552"/>
      <c r="AN998" s="45"/>
      <c r="AO998" s="45"/>
      <c r="AP998" s="45"/>
      <c r="AQ998" s="485"/>
      <c r="AR998"/>
      <c r="AS998" s="485"/>
      <c r="AT998" s="24"/>
      <c r="AU998" s="24"/>
      <c r="AV998" s="24"/>
      <c r="AW998" s="18">
        <v>25</v>
      </c>
      <c r="AX998" s="69" t="s">
        <v>300</v>
      </c>
      <c r="AY998" s="243" t="s">
        <v>139</v>
      </c>
      <c r="AZ998" s="243" t="str">
        <f t="shared" si="397"/>
        <v>Steelhead</v>
      </c>
      <c r="BA998" s="243" t="s">
        <v>419</v>
      </c>
      <c r="BB998" s="244" t="s">
        <v>528</v>
      </c>
      <c r="BC998" s="43" t="str">
        <f t="shared" si="398"/>
        <v>Oct 22-28</v>
      </c>
      <c r="BD998" s="43">
        <f t="shared" si="417"/>
        <v>1</v>
      </c>
      <c r="BE998" s="193">
        <f t="shared" si="414"/>
        <v>0</v>
      </c>
      <c r="BF998" s="193">
        <f t="shared" si="399"/>
        <v>0</v>
      </c>
      <c r="BG998" s="193">
        <f t="shared" si="400"/>
        <v>0</v>
      </c>
      <c r="BH998" s="307" t="str">
        <f t="shared" si="416"/>
        <v>-</v>
      </c>
      <c r="BI998" s="266"/>
      <c r="BJ998" s="26" t="str">
        <f t="shared" si="401"/>
        <v>HAMMOND CREEKSteelhead</v>
      </c>
      <c r="BK998" s="26">
        <f t="shared" si="402"/>
        <v>1</v>
      </c>
      <c r="BL998" s="33">
        <f t="shared" si="393"/>
        <v>0</v>
      </c>
      <c r="BQ998" s="47" t="str">
        <f t="shared" si="403"/>
        <v>HAMMOND CREEKSteelhead</v>
      </c>
      <c r="BR998" s="49">
        <f t="shared" si="404"/>
        <v>0</v>
      </c>
      <c r="BS998" s="49">
        <f t="shared" si="413"/>
        <v>0</v>
      </c>
      <c r="BT998" s="31">
        <v>0</v>
      </c>
      <c r="BU998" s="188" t="str">
        <f t="shared" si="405"/>
        <v>EFN/Wildcoast</v>
      </c>
      <c r="BV998" s="188" t="str">
        <f t="shared" si="406"/>
        <v xml:space="preserve"> </v>
      </c>
      <c r="BW998" s="188" t="str">
        <f t="shared" si="415"/>
        <v>Oct 22-28</v>
      </c>
      <c r="BX998" s="188" t="str">
        <f t="shared" si="407"/>
        <v xml:space="preserve"> </v>
      </c>
      <c r="BY998" s="50" t="str">
        <f t="shared" si="396"/>
        <v>HAMMOND CREEK_Steelhead</v>
      </c>
      <c r="BZ998" s="50" t="str">
        <f>IFERROR(VLOOKUP(BY998,'[1]WCVI Esc'!$C$5:$W$555,18,FALSE),"-")</f>
        <v>-</v>
      </c>
      <c r="CA998" s="50" t="str">
        <f t="shared" si="408"/>
        <v>-</v>
      </c>
      <c r="CB998" s="50" t="str">
        <f>IFERROR(VLOOKUP(BY998,'[1]WCVI Esc'!$C$5:$W$555,19,FALSE),"-")</f>
        <v>-</v>
      </c>
      <c r="CC998" s="50" t="str">
        <f t="shared" si="409"/>
        <v>-</v>
      </c>
      <c r="CE998" s="342" t="str">
        <f t="shared" si="395"/>
        <v>HAMMOND CREEK_Steelhead</v>
      </c>
      <c r="CF998" s="341" t="str">
        <f>IFERROR(VLOOKUP(BY998,'RawPL+D'!$O$8:$AB$503,12,FALSE),"-")</f>
        <v>-</v>
      </c>
      <c r="CG998" s="338" t="str">
        <f t="shared" si="410"/>
        <v>-</v>
      </c>
      <c r="CH998" s="341" t="str">
        <f>IFERROR(VLOOKUP(BY998,'RawPL+D'!$O$8:$AB$503,13,FALSE),"-")</f>
        <v>-</v>
      </c>
      <c r="CI998" s="338" t="str">
        <f t="shared" si="411"/>
        <v>-</v>
      </c>
    </row>
    <row r="999" spans="1:87" ht="12.75" hidden="1" customHeight="1" x14ac:dyDescent="0.2">
      <c r="A999" s="28">
        <v>4</v>
      </c>
      <c r="B999" s="28">
        <v>1</v>
      </c>
      <c r="C999" s="11">
        <v>25</v>
      </c>
      <c r="D999" s="13" t="s">
        <v>300</v>
      </c>
      <c r="E999" s="10" t="s">
        <v>145</v>
      </c>
      <c r="F999" s="10" t="s">
        <v>207</v>
      </c>
      <c r="G999" s="10"/>
      <c r="H999" s="10"/>
      <c r="I999" s="10"/>
      <c r="J999" s="10"/>
      <c r="K999" s="575"/>
      <c r="L999" s="152"/>
      <c r="M999" s="164"/>
      <c r="N999" s="62"/>
      <c r="O999" s="62"/>
      <c r="P999" s="177"/>
      <c r="Q999" s="452"/>
      <c r="R999" s="94"/>
      <c r="S999" s="62"/>
      <c r="T999" s="62"/>
      <c r="U999" s="62"/>
      <c r="V999" s="164"/>
      <c r="W999" s="62"/>
      <c r="X999" s="62"/>
      <c r="Y999" s="62"/>
      <c r="Z999" s="64"/>
      <c r="AA999" s="164"/>
      <c r="AB999" s="62"/>
      <c r="AC999" s="62"/>
      <c r="AD999" s="64"/>
      <c r="AE999" s="164"/>
      <c r="AF999" s="62"/>
      <c r="AG999" s="64"/>
      <c r="AH999" s="337"/>
      <c r="AI999" s="337"/>
      <c r="AJ999" s="337"/>
      <c r="AK999" s="337"/>
      <c r="AL999" s="412"/>
      <c r="AM999" s="414"/>
      <c r="AN999" s="45"/>
      <c r="AO999" s="45"/>
      <c r="AP999" s="45"/>
      <c r="AQ999" s="485"/>
      <c r="AR999" s="121"/>
      <c r="AS999" s="485"/>
      <c r="AT999" s="24"/>
      <c r="AU999" s="24"/>
      <c r="AV999" s="24"/>
      <c r="AW999" s="18">
        <v>25</v>
      </c>
      <c r="AX999" s="69" t="s">
        <v>300</v>
      </c>
      <c r="AY999" s="243" t="s">
        <v>145</v>
      </c>
      <c r="AZ999" s="243" t="str">
        <f t="shared" si="397"/>
        <v>Sockeye</v>
      </c>
      <c r="BA999" s="243" t="s">
        <v>419</v>
      </c>
      <c r="BB999" s="388"/>
      <c r="BC999" s="43" t="str">
        <f t="shared" si="398"/>
        <v>-</v>
      </c>
      <c r="BD999" s="43">
        <f t="shared" si="417"/>
        <v>0</v>
      </c>
      <c r="BE999" s="193">
        <f t="shared" si="414"/>
        <v>0</v>
      </c>
      <c r="BF999" s="193">
        <f t="shared" si="399"/>
        <v>0</v>
      </c>
      <c r="BG999" s="193">
        <f t="shared" si="400"/>
        <v>0</v>
      </c>
      <c r="BH999" s="307" t="str">
        <f t="shared" si="416"/>
        <v>-</v>
      </c>
      <c r="BI999" s="270"/>
      <c r="BJ999" s="26" t="str">
        <f t="shared" si="401"/>
        <v>MAMAT CREEKSockeye</v>
      </c>
      <c r="BK999" s="26">
        <f t="shared" si="402"/>
        <v>0</v>
      </c>
      <c r="BL999" s="33">
        <f t="shared" ref="BL999:BL1062" si="418">MAX(K999:AB999)</f>
        <v>0</v>
      </c>
      <c r="BQ999" s="47" t="str">
        <f t="shared" si="403"/>
        <v>MAMAT CREEKSockeye</v>
      </c>
      <c r="BR999" s="49">
        <f t="shared" si="404"/>
        <v>0</v>
      </c>
      <c r="BS999" s="49">
        <f t="shared" si="413"/>
        <v>0</v>
      </c>
      <c r="BT999" s="31">
        <v>0</v>
      </c>
      <c r="BU999" s="188">
        <f t="shared" si="405"/>
        <v>0</v>
      </c>
      <c r="BV999" s="188" t="str">
        <f t="shared" si="406"/>
        <v xml:space="preserve"> </v>
      </c>
      <c r="BW999" s="188" t="str">
        <f t="shared" si="415"/>
        <v xml:space="preserve"> </v>
      </c>
      <c r="BX999" s="188" t="str">
        <f t="shared" si="407"/>
        <v xml:space="preserve"> </v>
      </c>
      <c r="BY999" s="50" t="str">
        <f t="shared" si="396"/>
        <v>MAMAT CREEK_Sockeye</v>
      </c>
      <c r="BZ999" s="50" t="str">
        <f>IFERROR(VLOOKUP(BY999,'[1]WCVI Esc'!$C$5:$W$555,18,FALSE),"-")</f>
        <v>-</v>
      </c>
      <c r="CA999" s="50" t="str">
        <f t="shared" si="408"/>
        <v>-</v>
      </c>
      <c r="CB999" s="50" t="str">
        <f>IFERROR(VLOOKUP(BY999,'[1]WCVI Esc'!$C$5:$W$555,19,FALSE),"-")</f>
        <v>-</v>
      </c>
      <c r="CC999" s="50" t="str">
        <f t="shared" si="409"/>
        <v>-</v>
      </c>
      <c r="CE999" s="342" t="str">
        <f t="shared" si="395"/>
        <v>MAMAT CREEK_Sockeye</v>
      </c>
      <c r="CF999" s="341">
        <f>IFERROR(VLOOKUP(BY999,'RawPL+D'!$O$8:$AB$503,12,FALSE),"-")</f>
        <v>0</v>
      </c>
      <c r="CG999" s="338">
        <f t="shared" si="410"/>
        <v>0</v>
      </c>
      <c r="CH999" s="341" t="str">
        <f>IFERROR(VLOOKUP(BY999,'RawPL+D'!$O$8:$AB$503,13,FALSE),"-")</f>
        <v>-</v>
      </c>
      <c r="CI999" s="338" t="str">
        <f t="shared" si="411"/>
        <v>-</v>
      </c>
    </row>
    <row r="1000" spans="1:87" ht="12.75" hidden="1" customHeight="1" x14ac:dyDescent="0.2">
      <c r="A1000" s="28">
        <v>4</v>
      </c>
      <c r="B1000" s="28">
        <v>2</v>
      </c>
      <c r="C1000" s="11">
        <v>25</v>
      </c>
      <c r="D1000" s="13" t="s">
        <v>300</v>
      </c>
      <c r="E1000" s="10" t="s">
        <v>145</v>
      </c>
      <c r="F1000" s="10" t="s">
        <v>219</v>
      </c>
      <c r="G1000" s="10"/>
      <c r="H1000" s="10"/>
      <c r="I1000" s="10"/>
      <c r="J1000" s="10"/>
      <c r="K1000" s="575"/>
      <c r="L1000" s="152"/>
      <c r="M1000" s="164"/>
      <c r="N1000" s="62"/>
      <c r="O1000" s="62"/>
      <c r="P1000" s="177"/>
      <c r="Q1000" s="452"/>
      <c r="R1000" s="94"/>
      <c r="S1000" s="62"/>
      <c r="T1000" s="62"/>
      <c r="U1000" s="62"/>
      <c r="V1000" s="164"/>
      <c r="W1000" s="62"/>
      <c r="X1000" s="62"/>
      <c r="Y1000" s="62"/>
      <c r="Z1000" s="64"/>
      <c r="AA1000" s="164"/>
      <c r="AB1000" s="62"/>
      <c r="AC1000" s="62"/>
      <c r="AD1000" s="64"/>
      <c r="AE1000" s="164"/>
      <c r="AF1000" s="62"/>
      <c r="AG1000" s="64"/>
      <c r="AH1000" s="337"/>
      <c r="AI1000" s="337"/>
      <c r="AJ1000" s="337"/>
      <c r="AK1000" s="337"/>
      <c r="AL1000" s="412"/>
      <c r="AM1000" s="414"/>
      <c r="AN1000" s="45"/>
      <c r="AO1000" s="45"/>
      <c r="AP1000" s="45"/>
      <c r="AQ1000" s="485"/>
      <c r="AR1000" s="396">
        <f>BL1000/BI1000</f>
        <v>0</v>
      </c>
      <c r="AS1000" s="485"/>
      <c r="AT1000" s="24"/>
      <c r="AU1000" s="24"/>
      <c r="AV1000" s="24"/>
      <c r="AW1000" s="18">
        <v>25</v>
      </c>
      <c r="AX1000" s="69" t="s">
        <v>300</v>
      </c>
      <c r="AY1000" s="243" t="s">
        <v>145</v>
      </c>
      <c r="AZ1000" s="243" t="str">
        <f t="shared" si="397"/>
        <v>Coho</v>
      </c>
      <c r="BA1000" s="243" t="s">
        <v>419</v>
      </c>
      <c r="BB1000" s="246"/>
      <c r="BC1000" s="43" t="str">
        <f t="shared" si="398"/>
        <v>-</v>
      </c>
      <c r="BD1000" s="43">
        <f t="shared" si="417"/>
        <v>0</v>
      </c>
      <c r="BE1000" s="193">
        <f t="shared" si="414"/>
        <v>0</v>
      </c>
      <c r="BF1000" s="193">
        <f t="shared" si="399"/>
        <v>0</v>
      </c>
      <c r="BG1000" s="193">
        <f t="shared" si="400"/>
        <v>0</v>
      </c>
      <c r="BH1000" s="307">
        <f t="shared" si="416"/>
        <v>0</v>
      </c>
      <c r="BI1000" s="265">
        <f>CC1000</f>
        <v>120</v>
      </c>
      <c r="BJ1000" s="26" t="str">
        <f t="shared" si="401"/>
        <v>MAMAT CREEKCoho</v>
      </c>
      <c r="BK1000" s="26">
        <f t="shared" si="402"/>
        <v>0</v>
      </c>
      <c r="BL1000" s="33">
        <f t="shared" si="418"/>
        <v>0</v>
      </c>
      <c r="BQ1000" s="47" t="str">
        <f t="shared" si="403"/>
        <v>MAMAT CREEKCoho</v>
      </c>
      <c r="BR1000" s="49">
        <f t="shared" si="404"/>
        <v>0</v>
      </c>
      <c r="BS1000" s="49">
        <f t="shared" si="413"/>
        <v>0</v>
      </c>
      <c r="BT1000" s="31">
        <v>2011</v>
      </c>
      <c r="BU1000" s="188">
        <f t="shared" si="405"/>
        <v>0</v>
      </c>
      <c r="BV1000" s="188" t="str">
        <f t="shared" si="406"/>
        <v xml:space="preserve"> </v>
      </c>
      <c r="BW1000" s="188" t="str">
        <f t="shared" si="415"/>
        <v xml:space="preserve"> </v>
      </c>
      <c r="BX1000" s="188" t="str">
        <f t="shared" si="407"/>
        <v xml:space="preserve"> </v>
      </c>
      <c r="BY1000" s="50" t="str">
        <f t="shared" si="396"/>
        <v>MAMAT CREEK_Coho</v>
      </c>
      <c r="BZ1000" s="50" t="str">
        <f>IFERROR(VLOOKUP(BY1000,'[1]WCVI Esc'!$C$5:$W$555,18,FALSE),"-")</f>
        <v>-</v>
      </c>
      <c r="CA1000" s="50" t="str">
        <f t="shared" si="408"/>
        <v>-</v>
      </c>
      <c r="CB1000" s="50">
        <f>IFERROR(VLOOKUP(BY1000,'[1]WCVI Esc'!$C$5:$W$555,19,FALSE),"-")</f>
        <v>117.5</v>
      </c>
      <c r="CC1000" s="50">
        <f t="shared" si="409"/>
        <v>120</v>
      </c>
      <c r="CE1000" s="342" t="str">
        <f t="shared" si="395"/>
        <v>MAMAT CREEK_Coho</v>
      </c>
      <c r="CF1000" s="341">
        <f>IFERROR(VLOOKUP(BY1000,'RawPL+D'!$O$8:$AB$503,12,FALSE),"-")</f>
        <v>0</v>
      </c>
      <c r="CG1000" s="338">
        <f t="shared" si="410"/>
        <v>0</v>
      </c>
      <c r="CH1000" s="341">
        <f>IFERROR(VLOOKUP(BY1000,'RawPL+D'!$O$8:$AB$503,13,FALSE),"-")</f>
        <v>0</v>
      </c>
      <c r="CI1000" s="338">
        <f t="shared" si="411"/>
        <v>0</v>
      </c>
    </row>
    <row r="1001" spans="1:87" ht="12.75" hidden="1" customHeight="1" x14ac:dyDescent="0.2">
      <c r="A1001" s="28">
        <v>4</v>
      </c>
      <c r="B1001" s="28">
        <v>3</v>
      </c>
      <c r="C1001" s="11">
        <v>25</v>
      </c>
      <c r="D1001" s="13" t="s">
        <v>300</v>
      </c>
      <c r="E1001" s="10" t="s">
        <v>145</v>
      </c>
      <c r="F1001" s="10" t="s">
        <v>208</v>
      </c>
      <c r="G1001" s="10"/>
      <c r="H1001" s="10"/>
      <c r="I1001" s="10"/>
      <c r="J1001" s="10"/>
      <c r="K1001" s="575"/>
      <c r="L1001" s="152"/>
      <c r="M1001" s="164"/>
      <c r="N1001" s="62"/>
      <c r="O1001" s="62"/>
      <c r="P1001" s="177"/>
      <c r="Q1001" s="452"/>
      <c r="R1001" s="94"/>
      <c r="S1001" s="62"/>
      <c r="T1001" s="62"/>
      <c r="U1001" s="62"/>
      <c r="V1001" s="164"/>
      <c r="W1001" s="62"/>
      <c r="X1001" s="62"/>
      <c r="Y1001" s="62"/>
      <c r="Z1001" s="64"/>
      <c r="AA1001" s="164"/>
      <c r="AB1001" s="62"/>
      <c r="AC1001" s="62"/>
      <c r="AD1001" s="64"/>
      <c r="AE1001" s="164"/>
      <c r="AF1001" s="62"/>
      <c r="AG1001" s="64"/>
      <c r="AH1001" s="337"/>
      <c r="AI1001" s="337"/>
      <c r="AJ1001" s="337"/>
      <c r="AK1001" s="337"/>
      <c r="AL1001" s="412"/>
      <c r="AM1001" s="414"/>
      <c r="AN1001" s="45"/>
      <c r="AO1001" s="45"/>
      <c r="AP1001" s="45"/>
      <c r="AQ1001" s="485"/>
      <c r="AR1001" s="396"/>
      <c r="AS1001" s="485"/>
      <c r="AT1001" s="24"/>
      <c r="AU1001" s="24"/>
      <c r="AV1001" s="24"/>
      <c r="AW1001" s="18">
        <v>25</v>
      </c>
      <c r="AX1001" s="69" t="s">
        <v>300</v>
      </c>
      <c r="AY1001" s="243" t="s">
        <v>145</v>
      </c>
      <c r="AZ1001" s="243" t="str">
        <f t="shared" si="397"/>
        <v>Pink</v>
      </c>
      <c r="BA1001" s="243" t="s">
        <v>419</v>
      </c>
      <c r="BB1001" s="246"/>
      <c r="BC1001" s="43" t="str">
        <f t="shared" si="398"/>
        <v>-</v>
      </c>
      <c r="BD1001" s="43">
        <f t="shared" si="417"/>
        <v>0</v>
      </c>
      <c r="BE1001" s="193">
        <f t="shared" si="414"/>
        <v>0</v>
      </c>
      <c r="BF1001" s="193">
        <f t="shared" si="399"/>
        <v>0</v>
      </c>
      <c r="BG1001" s="193">
        <f t="shared" si="400"/>
        <v>0</v>
      </c>
      <c r="BH1001" s="307" t="str">
        <f t="shared" si="416"/>
        <v>-</v>
      </c>
      <c r="BI1001" s="266"/>
      <c r="BJ1001" s="26" t="str">
        <f t="shared" si="401"/>
        <v>MAMAT CREEKPink</v>
      </c>
      <c r="BK1001" s="26">
        <f t="shared" si="402"/>
        <v>0</v>
      </c>
      <c r="BL1001" s="33">
        <f t="shared" si="418"/>
        <v>0</v>
      </c>
      <c r="BQ1001" s="47" t="str">
        <f t="shared" si="403"/>
        <v>MAMAT CREEKPink</v>
      </c>
      <c r="BR1001" s="49">
        <f t="shared" si="404"/>
        <v>0</v>
      </c>
      <c r="BS1001" s="49">
        <f t="shared" si="413"/>
        <v>0</v>
      </c>
      <c r="BT1001" s="31">
        <v>0</v>
      </c>
      <c r="BU1001" s="188">
        <f t="shared" si="405"/>
        <v>0</v>
      </c>
      <c r="BV1001" s="188" t="str">
        <f t="shared" si="406"/>
        <v xml:space="preserve"> </v>
      </c>
      <c r="BW1001" s="188" t="str">
        <f t="shared" si="415"/>
        <v xml:space="preserve"> </v>
      </c>
      <c r="BX1001" s="188" t="str">
        <f t="shared" si="407"/>
        <v xml:space="preserve"> </v>
      </c>
      <c r="BY1001" s="50" t="str">
        <f t="shared" si="396"/>
        <v>MAMAT CREEK_Pink</v>
      </c>
      <c r="BZ1001" s="50" t="str">
        <f>IFERROR(VLOOKUP(BY1001,'[1]WCVI Esc'!$C$5:$W$555,18,FALSE),"-")</f>
        <v>-</v>
      </c>
      <c r="CA1001" s="50" t="str">
        <f t="shared" si="408"/>
        <v>-</v>
      </c>
      <c r="CB1001" s="50" t="str">
        <f>IFERROR(VLOOKUP(BY1001,'[1]WCVI Esc'!$C$5:$W$555,19,FALSE),"-")</f>
        <v>-</v>
      </c>
      <c r="CC1001" s="50" t="str">
        <f t="shared" si="409"/>
        <v>-</v>
      </c>
      <c r="CE1001" s="342" t="str">
        <f t="shared" si="395"/>
        <v>MAMAT CREEK_Pink</v>
      </c>
      <c r="CF1001" s="341" t="str">
        <f>IFERROR(VLOOKUP(BY1001,'RawPL+D'!$O$8:$AB$503,12,FALSE),"-")</f>
        <v>-</v>
      </c>
      <c r="CG1001" s="338" t="str">
        <f t="shared" si="410"/>
        <v>-</v>
      </c>
      <c r="CH1001" s="341" t="str">
        <f>IFERROR(VLOOKUP(BY1001,'RawPL+D'!$O$8:$AB$503,13,FALSE),"-")</f>
        <v>-</v>
      </c>
      <c r="CI1001" s="338" t="str">
        <f t="shared" si="411"/>
        <v>-</v>
      </c>
    </row>
    <row r="1002" spans="1:87" ht="12.75" hidden="1" customHeight="1" x14ac:dyDescent="0.2">
      <c r="A1002" s="28">
        <v>4</v>
      </c>
      <c r="B1002" s="28">
        <v>4</v>
      </c>
      <c r="C1002" s="11">
        <v>25</v>
      </c>
      <c r="D1002" s="13" t="s">
        <v>300</v>
      </c>
      <c r="E1002" s="10" t="s">
        <v>145</v>
      </c>
      <c r="F1002" s="10" t="s">
        <v>209</v>
      </c>
      <c r="G1002" s="10"/>
      <c r="H1002" s="10"/>
      <c r="I1002" s="10"/>
      <c r="J1002" s="10"/>
      <c r="K1002" s="575"/>
      <c r="L1002" s="152"/>
      <c r="M1002" s="164"/>
      <c r="N1002" s="62"/>
      <c r="O1002" s="62"/>
      <c r="P1002" s="177"/>
      <c r="Q1002" s="452"/>
      <c r="R1002" s="94"/>
      <c r="S1002" s="62"/>
      <c r="T1002" s="62"/>
      <c r="U1002" s="62"/>
      <c r="V1002" s="164"/>
      <c r="W1002" s="62"/>
      <c r="X1002" s="62"/>
      <c r="Y1002" s="62"/>
      <c r="Z1002" s="64"/>
      <c r="AA1002" s="164"/>
      <c r="AB1002" s="62"/>
      <c r="AC1002" s="62"/>
      <c r="AD1002" s="64"/>
      <c r="AE1002" s="164"/>
      <c r="AF1002" s="62"/>
      <c r="AG1002" s="64"/>
      <c r="AH1002" s="337"/>
      <c r="AI1002" s="337"/>
      <c r="AJ1002" s="337"/>
      <c r="AK1002" s="337"/>
      <c r="AL1002" s="412"/>
      <c r="AM1002" s="414"/>
      <c r="AN1002" s="45"/>
      <c r="AO1002" s="45"/>
      <c r="AP1002" s="45"/>
      <c r="AQ1002" s="485"/>
      <c r="AR1002" s="396">
        <f>BL1002/BI1002</f>
        <v>0</v>
      </c>
      <c r="AS1002" s="485"/>
      <c r="AT1002" s="24"/>
      <c r="AU1002" s="24"/>
      <c r="AV1002" s="24"/>
      <c r="AW1002" s="18">
        <v>25</v>
      </c>
      <c r="AX1002" s="69" t="s">
        <v>300</v>
      </c>
      <c r="AY1002" s="243" t="s">
        <v>145</v>
      </c>
      <c r="AZ1002" s="243" t="str">
        <f t="shared" si="397"/>
        <v>Chum</v>
      </c>
      <c r="BA1002" s="243" t="s">
        <v>419</v>
      </c>
      <c r="BB1002" s="246"/>
      <c r="BC1002" s="43" t="str">
        <f t="shared" si="398"/>
        <v>-</v>
      </c>
      <c r="BD1002" s="43">
        <f t="shared" si="417"/>
        <v>0</v>
      </c>
      <c r="BE1002" s="193">
        <f t="shared" si="414"/>
        <v>0</v>
      </c>
      <c r="BF1002" s="193">
        <f t="shared" si="399"/>
        <v>0</v>
      </c>
      <c r="BG1002" s="193">
        <f t="shared" si="400"/>
        <v>0</v>
      </c>
      <c r="BH1002" s="307">
        <f t="shared" si="416"/>
        <v>0</v>
      </c>
      <c r="BI1002" s="265">
        <f>CC1002</f>
        <v>1700</v>
      </c>
      <c r="BJ1002" s="26" t="str">
        <f t="shared" si="401"/>
        <v>MAMAT CREEKChum</v>
      </c>
      <c r="BK1002" s="26">
        <f t="shared" si="402"/>
        <v>0</v>
      </c>
      <c r="BL1002" s="33">
        <f t="shared" si="418"/>
        <v>0</v>
      </c>
      <c r="BQ1002" s="47" t="str">
        <f t="shared" si="403"/>
        <v>MAMAT CREEKChum</v>
      </c>
      <c r="BR1002" s="49">
        <f t="shared" si="404"/>
        <v>0</v>
      </c>
      <c r="BS1002" s="49">
        <f t="shared" si="413"/>
        <v>0</v>
      </c>
      <c r="BT1002" s="31">
        <v>2011</v>
      </c>
      <c r="BU1002" s="188">
        <f t="shared" si="405"/>
        <v>0</v>
      </c>
      <c r="BV1002" s="188" t="str">
        <f t="shared" si="406"/>
        <v xml:space="preserve"> </v>
      </c>
      <c r="BW1002" s="188" t="str">
        <f t="shared" si="415"/>
        <v xml:space="preserve"> </v>
      </c>
      <c r="BX1002" s="188" t="str">
        <f t="shared" si="407"/>
        <v xml:space="preserve"> </v>
      </c>
      <c r="BY1002" s="50" t="str">
        <f t="shared" si="396"/>
        <v>MAMAT CREEK_Chum</v>
      </c>
      <c r="BZ1002" s="50" t="str">
        <f>IFERROR(VLOOKUP(BY1002,'[1]WCVI Esc'!$C$5:$W$555,18,FALSE),"-")</f>
        <v>-</v>
      </c>
      <c r="CA1002" s="50" t="str">
        <f t="shared" si="408"/>
        <v>-</v>
      </c>
      <c r="CB1002" s="50">
        <f>IFERROR(VLOOKUP(BY1002,'[1]WCVI Esc'!$C$5:$W$555,19,FALSE),"-")</f>
        <v>1698.5</v>
      </c>
      <c r="CC1002" s="50">
        <f t="shared" si="409"/>
        <v>1700</v>
      </c>
      <c r="CE1002" s="342" t="str">
        <f t="shared" si="395"/>
        <v>MAMAT CREEK_Chum</v>
      </c>
      <c r="CF1002" s="341">
        <f>IFERROR(VLOOKUP(BY1002,'RawPL+D'!$O$8:$AB$503,12,FALSE),"-")</f>
        <v>0</v>
      </c>
      <c r="CG1002" s="338">
        <f t="shared" si="410"/>
        <v>0</v>
      </c>
      <c r="CH1002" s="341">
        <f>IFERROR(VLOOKUP(BY1002,'RawPL+D'!$O$8:$AB$503,13,FALSE),"-")</f>
        <v>0</v>
      </c>
      <c r="CI1002" s="338">
        <f t="shared" si="411"/>
        <v>0</v>
      </c>
    </row>
    <row r="1003" spans="1:87" ht="12.75" hidden="1" customHeight="1" x14ac:dyDescent="0.2">
      <c r="A1003" s="28">
        <v>4</v>
      </c>
      <c r="B1003" s="28">
        <v>5</v>
      </c>
      <c r="C1003" s="11">
        <v>25</v>
      </c>
      <c r="D1003" s="13" t="s">
        <v>300</v>
      </c>
      <c r="E1003" s="10" t="s">
        <v>145</v>
      </c>
      <c r="F1003" s="10" t="s">
        <v>210</v>
      </c>
      <c r="G1003" s="10"/>
      <c r="H1003" s="10"/>
      <c r="I1003" s="10"/>
      <c r="J1003" s="10"/>
      <c r="K1003" s="575"/>
      <c r="L1003" s="152"/>
      <c r="M1003" s="164"/>
      <c r="N1003" s="62"/>
      <c r="O1003" s="62"/>
      <c r="P1003" s="177"/>
      <c r="Q1003" s="452"/>
      <c r="R1003" s="94"/>
      <c r="S1003" s="62"/>
      <c r="T1003" s="62"/>
      <c r="U1003" s="62"/>
      <c r="V1003" s="164"/>
      <c r="W1003" s="62"/>
      <c r="X1003" s="62"/>
      <c r="Y1003" s="62"/>
      <c r="Z1003" s="64"/>
      <c r="AA1003" s="164"/>
      <c r="AB1003" s="62"/>
      <c r="AC1003" s="62"/>
      <c r="AD1003" s="64"/>
      <c r="AE1003" s="164"/>
      <c r="AF1003" s="62"/>
      <c r="AG1003" s="64"/>
      <c r="AH1003" s="337"/>
      <c r="AI1003" s="337"/>
      <c r="AJ1003" s="337"/>
      <c r="AK1003" s="337"/>
      <c r="AL1003" s="412"/>
      <c r="AM1003" s="414"/>
      <c r="AN1003" s="45"/>
      <c r="AO1003" s="45"/>
      <c r="AP1003" s="45"/>
      <c r="AQ1003" s="485"/>
      <c r="AR1003" s="67"/>
      <c r="AS1003" s="485"/>
      <c r="AT1003" s="24"/>
      <c r="AU1003" s="24"/>
      <c r="AV1003" s="24"/>
      <c r="AW1003" s="18">
        <v>25</v>
      </c>
      <c r="AX1003" s="69" t="s">
        <v>300</v>
      </c>
      <c r="AY1003" s="243" t="s">
        <v>145</v>
      </c>
      <c r="AZ1003" s="243" t="str">
        <f t="shared" si="397"/>
        <v>Chinook</v>
      </c>
      <c r="BA1003" s="243" t="s">
        <v>419</v>
      </c>
      <c r="BB1003" s="246"/>
      <c r="BC1003" s="43" t="str">
        <f t="shared" si="398"/>
        <v>-</v>
      </c>
      <c r="BD1003" s="43">
        <f t="shared" si="417"/>
        <v>0</v>
      </c>
      <c r="BE1003" s="193">
        <f t="shared" si="414"/>
        <v>0</v>
      </c>
      <c r="BF1003" s="193">
        <f t="shared" si="399"/>
        <v>0</v>
      </c>
      <c r="BG1003" s="193">
        <f t="shared" si="400"/>
        <v>0</v>
      </c>
      <c r="BH1003" s="307" t="str">
        <f t="shared" si="416"/>
        <v>-</v>
      </c>
      <c r="BI1003" s="266"/>
      <c r="BJ1003" s="26" t="str">
        <f t="shared" si="401"/>
        <v>MAMAT CREEKChinook</v>
      </c>
      <c r="BK1003" s="26">
        <f t="shared" si="402"/>
        <v>0</v>
      </c>
      <c r="BL1003" s="33">
        <f t="shared" si="418"/>
        <v>0</v>
      </c>
      <c r="BQ1003" s="47" t="str">
        <f t="shared" si="403"/>
        <v>MAMAT CREEKChinook</v>
      </c>
      <c r="BR1003" s="49">
        <f t="shared" si="404"/>
        <v>0</v>
      </c>
      <c r="BS1003" s="49">
        <f t="shared" si="413"/>
        <v>0</v>
      </c>
      <c r="BT1003" s="31">
        <v>1975</v>
      </c>
      <c r="BU1003" s="188">
        <f t="shared" si="405"/>
        <v>0</v>
      </c>
      <c r="BV1003" s="188" t="str">
        <f t="shared" si="406"/>
        <v xml:space="preserve"> </v>
      </c>
      <c r="BW1003" s="188" t="str">
        <f t="shared" si="415"/>
        <v xml:space="preserve"> </v>
      </c>
      <c r="BX1003" s="188" t="str">
        <f t="shared" si="407"/>
        <v xml:space="preserve"> </v>
      </c>
      <c r="BY1003" s="50" t="str">
        <f t="shared" si="396"/>
        <v>MAMAT CREEK_Chinook</v>
      </c>
      <c r="BZ1003" s="50" t="str">
        <f>IFERROR(VLOOKUP(BY1003,'[1]WCVI Esc'!$C$5:$W$555,18,FALSE),"-")</f>
        <v>-</v>
      </c>
      <c r="CA1003" s="50" t="str">
        <f t="shared" si="408"/>
        <v>-</v>
      </c>
      <c r="CB1003" s="50" t="str">
        <f>IFERROR(VLOOKUP(BY1003,'[1]WCVI Esc'!$C$5:$W$555,19,FALSE),"-")</f>
        <v>-</v>
      </c>
      <c r="CC1003" s="50" t="str">
        <f t="shared" si="409"/>
        <v>-</v>
      </c>
      <c r="CE1003" s="342" t="str">
        <f t="shared" si="395"/>
        <v>MAMAT CREEK_Chinook</v>
      </c>
      <c r="CF1003" s="341">
        <f>IFERROR(VLOOKUP(BY1003,'RawPL+D'!$O$8:$AB$503,12,FALSE),"-")</f>
        <v>0</v>
      </c>
      <c r="CG1003" s="338">
        <f t="shared" si="410"/>
        <v>0</v>
      </c>
      <c r="CH1003" s="341" t="str">
        <f>IFERROR(VLOOKUP(BY1003,'RawPL+D'!$O$8:$AB$503,13,FALSE),"-")</f>
        <v>-</v>
      </c>
      <c r="CI1003" s="338" t="str">
        <f t="shared" si="411"/>
        <v>-</v>
      </c>
    </row>
    <row r="1004" spans="1:87" ht="12.75" hidden="1" customHeight="1" x14ac:dyDescent="0.2">
      <c r="A1004" s="28">
        <v>4</v>
      </c>
      <c r="B1004" s="28">
        <v>6</v>
      </c>
      <c r="C1004" s="11">
        <v>25</v>
      </c>
      <c r="D1004" s="13" t="s">
        <v>300</v>
      </c>
      <c r="E1004" s="10" t="s">
        <v>145</v>
      </c>
      <c r="F1004" s="10" t="s">
        <v>211</v>
      </c>
      <c r="G1004" s="10"/>
      <c r="H1004" s="10"/>
      <c r="I1004" s="10"/>
      <c r="J1004" s="10"/>
      <c r="K1004" s="575"/>
      <c r="L1004" s="152"/>
      <c r="M1004" s="164"/>
      <c r="N1004" s="62"/>
      <c r="O1004" s="62"/>
      <c r="P1004" s="177"/>
      <c r="Q1004" s="452"/>
      <c r="R1004" s="94"/>
      <c r="S1004" s="62"/>
      <c r="T1004" s="62"/>
      <c r="U1004" s="62"/>
      <c r="V1004" s="164"/>
      <c r="W1004" s="62"/>
      <c r="X1004" s="62"/>
      <c r="Y1004" s="62"/>
      <c r="Z1004" s="64"/>
      <c r="AA1004" s="164"/>
      <c r="AB1004" s="62"/>
      <c r="AC1004" s="62"/>
      <c r="AD1004" s="64"/>
      <c r="AE1004" s="164"/>
      <c r="AF1004" s="62"/>
      <c r="AG1004" s="64"/>
      <c r="AH1004" s="337"/>
      <c r="AI1004" s="337"/>
      <c r="AJ1004" s="337"/>
      <c r="AK1004" s="337"/>
      <c r="AL1004" s="412"/>
      <c r="AM1004" s="414"/>
      <c r="AN1004" s="45"/>
      <c r="AO1004" s="45"/>
      <c r="AP1004" s="45"/>
      <c r="AQ1004" s="485"/>
      <c r="AR1004" s="67"/>
      <c r="AS1004" s="485"/>
      <c r="AT1004" s="24"/>
      <c r="AU1004" s="24"/>
      <c r="AV1004" s="24"/>
      <c r="AW1004" s="18">
        <v>25</v>
      </c>
      <c r="AX1004" s="69" t="s">
        <v>300</v>
      </c>
      <c r="AY1004" s="243" t="s">
        <v>145</v>
      </c>
      <c r="AZ1004" s="243" t="str">
        <f t="shared" si="397"/>
        <v>Steelhead</v>
      </c>
      <c r="BA1004" s="243" t="s">
        <v>419</v>
      </c>
      <c r="BB1004" s="246"/>
      <c r="BC1004" s="43" t="str">
        <f t="shared" si="398"/>
        <v>-</v>
      </c>
      <c r="BD1004" s="43">
        <f t="shared" si="417"/>
        <v>0</v>
      </c>
      <c r="BE1004" s="193">
        <f t="shared" si="414"/>
        <v>0</v>
      </c>
      <c r="BF1004" s="193">
        <f t="shared" si="399"/>
        <v>0</v>
      </c>
      <c r="BG1004" s="193">
        <f t="shared" si="400"/>
        <v>0</v>
      </c>
      <c r="BH1004" s="307" t="str">
        <f t="shared" si="416"/>
        <v>-</v>
      </c>
      <c r="BI1004" s="266"/>
      <c r="BJ1004" s="26" t="str">
        <f t="shared" si="401"/>
        <v>MAMAT CREEKSteelhead</v>
      </c>
      <c r="BK1004" s="26">
        <f t="shared" si="402"/>
        <v>0</v>
      </c>
      <c r="BL1004" s="33">
        <f t="shared" si="418"/>
        <v>0</v>
      </c>
      <c r="BQ1004" s="47" t="str">
        <f t="shared" si="403"/>
        <v>MAMAT CREEKSteelhead</v>
      </c>
      <c r="BR1004" s="49">
        <f t="shared" si="404"/>
        <v>0</v>
      </c>
      <c r="BS1004" s="49">
        <f t="shared" si="413"/>
        <v>0</v>
      </c>
      <c r="BT1004" s="31">
        <v>0</v>
      </c>
      <c r="BU1004" s="188">
        <f t="shared" si="405"/>
        <v>0</v>
      </c>
      <c r="BV1004" s="188" t="str">
        <f t="shared" si="406"/>
        <v xml:space="preserve"> </v>
      </c>
      <c r="BW1004" s="188" t="str">
        <f t="shared" si="415"/>
        <v xml:space="preserve"> </v>
      </c>
      <c r="BX1004" s="188" t="str">
        <f t="shared" si="407"/>
        <v xml:space="preserve"> </v>
      </c>
      <c r="BY1004" s="50" t="str">
        <f t="shared" si="396"/>
        <v>MAMAT CREEK_Steelhead</v>
      </c>
      <c r="BZ1004" s="50" t="str">
        <f>IFERROR(VLOOKUP(BY1004,'[1]WCVI Esc'!$C$5:$W$555,18,FALSE),"-")</f>
        <v>-</v>
      </c>
      <c r="CA1004" s="50" t="str">
        <f t="shared" si="408"/>
        <v>-</v>
      </c>
      <c r="CB1004" s="50" t="str">
        <f>IFERROR(VLOOKUP(BY1004,'[1]WCVI Esc'!$C$5:$W$555,19,FALSE),"-")</f>
        <v>-</v>
      </c>
      <c r="CC1004" s="50" t="str">
        <f t="shared" si="409"/>
        <v>-</v>
      </c>
      <c r="CE1004" s="342" t="str">
        <f t="shared" si="395"/>
        <v>MAMAT CREEK_Steelhead</v>
      </c>
      <c r="CF1004" s="341" t="str">
        <f>IFERROR(VLOOKUP(BY1004,'RawPL+D'!$O$8:$AB$503,12,FALSE),"-")</f>
        <v>-</v>
      </c>
      <c r="CG1004" s="338" t="str">
        <f t="shared" si="410"/>
        <v>-</v>
      </c>
      <c r="CH1004" s="341" t="str">
        <f>IFERROR(VLOOKUP(BY1004,'RawPL+D'!$O$8:$AB$503,13,FALSE),"-")</f>
        <v>-</v>
      </c>
      <c r="CI1004" s="338" t="str">
        <f t="shared" si="411"/>
        <v>-</v>
      </c>
    </row>
    <row r="1005" spans="1:87" ht="12.75" hidden="1" customHeight="1" x14ac:dyDescent="0.2">
      <c r="A1005" s="28">
        <v>4</v>
      </c>
      <c r="B1005" s="29">
        <v>1</v>
      </c>
      <c r="C1005" s="13">
        <v>25</v>
      </c>
      <c r="D1005" s="13" t="s">
        <v>300</v>
      </c>
      <c r="E1005" s="10" t="s">
        <v>198</v>
      </c>
      <c r="F1005" s="10" t="s">
        <v>207</v>
      </c>
      <c r="G1005" s="10"/>
      <c r="H1005" s="10"/>
      <c r="I1005" s="10"/>
      <c r="J1005" s="10"/>
      <c r="K1005" s="575"/>
      <c r="L1005" s="152"/>
      <c r="M1005" s="164"/>
      <c r="N1005" s="62"/>
      <c r="O1005" s="62"/>
      <c r="P1005" s="177"/>
      <c r="Q1005" s="452"/>
      <c r="R1005" s="94"/>
      <c r="S1005" s="62"/>
      <c r="T1005" s="62"/>
      <c r="U1005" s="64"/>
      <c r="V1005" s="164"/>
      <c r="W1005" s="62"/>
      <c r="X1005" s="62"/>
      <c r="Y1005" s="62"/>
      <c r="Z1005" s="64"/>
      <c r="AA1005" s="164"/>
      <c r="AB1005" s="62"/>
      <c r="AC1005" s="62"/>
      <c r="AD1005" s="64"/>
      <c r="AE1005" s="164"/>
      <c r="AF1005" s="62"/>
      <c r="AG1005" s="64"/>
      <c r="AH1005" s="337"/>
      <c r="AI1005" s="337"/>
      <c r="AJ1005" s="337"/>
      <c r="AK1005" s="337"/>
      <c r="AL1005" s="412"/>
      <c r="AM1005" s="414"/>
      <c r="AN1005" s="45"/>
      <c r="AO1005" s="45"/>
      <c r="AP1005" s="45"/>
      <c r="AQ1005" s="485"/>
      <c r="AR1005" s="121"/>
      <c r="AS1005" s="485"/>
      <c r="AT1005" s="24"/>
      <c r="AU1005" s="24"/>
      <c r="AV1005" s="24"/>
      <c r="AW1005" s="69">
        <v>25</v>
      </c>
      <c r="AX1005" s="69" t="s">
        <v>300</v>
      </c>
      <c r="AY1005" s="243" t="s">
        <v>198</v>
      </c>
      <c r="AZ1005" s="243" t="str">
        <f t="shared" si="397"/>
        <v>Sockeye</v>
      </c>
      <c r="BA1005" s="243" t="s">
        <v>419</v>
      </c>
      <c r="BB1005" s="244" t="s">
        <v>528</v>
      </c>
      <c r="BC1005" s="43" t="str">
        <f t="shared" si="398"/>
        <v>-</v>
      </c>
      <c r="BD1005" s="43">
        <f t="shared" si="417"/>
        <v>0</v>
      </c>
      <c r="BE1005" s="193">
        <f t="shared" si="414"/>
        <v>0</v>
      </c>
      <c r="BF1005" s="193">
        <f t="shared" si="399"/>
        <v>0</v>
      </c>
      <c r="BG1005" s="193">
        <f t="shared" si="400"/>
        <v>0</v>
      </c>
      <c r="BH1005" s="307" t="str">
        <f t="shared" si="416"/>
        <v>-</v>
      </c>
      <c r="BI1005" s="268"/>
      <c r="BJ1005" s="26" t="str">
        <f t="shared" si="401"/>
        <v>MIDDLE ELIZA CREEKSockeye</v>
      </c>
      <c r="BK1005" s="26">
        <f t="shared" si="402"/>
        <v>0</v>
      </c>
      <c r="BL1005" s="33">
        <f t="shared" si="418"/>
        <v>0</v>
      </c>
      <c r="BQ1005" s="47" t="str">
        <f t="shared" si="403"/>
        <v>MIDDLE ELIZA CREEKSockeye</v>
      </c>
      <c r="BR1005" s="49">
        <f t="shared" si="404"/>
        <v>0</v>
      </c>
      <c r="BS1005" s="49">
        <f t="shared" si="413"/>
        <v>0</v>
      </c>
      <c r="BT1005" s="31">
        <v>0</v>
      </c>
      <c r="BU1005" s="188" t="str">
        <f t="shared" si="405"/>
        <v>EFN/Wildcoast</v>
      </c>
      <c r="BV1005" s="188" t="str">
        <f t="shared" si="406"/>
        <v xml:space="preserve"> </v>
      </c>
      <c r="BW1005" s="188" t="str">
        <f t="shared" si="415"/>
        <v xml:space="preserve"> </v>
      </c>
      <c r="BX1005" s="188" t="str">
        <f t="shared" si="407"/>
        <v xml:space="preserve"> </v>
      </c>
      <c r="BY1005" s="50" t="str">
        <f t="shared" si="396"/>
        <v>MIDDLE ELIZA CREEK_Sockeye</v>
      </c>
      <c r="BZ1005" s="50" t="str">
        <f>IFERROR(VLOOKUP(BY1005,'[1]WCVI Esc'!$C$5:$W$555,18,FALSE),"-")</f>
        <v>-</v>
      </c>
      <c r="CA1005" s="50" t="str">
        <f t="shared" si="408"/>
        <v>-</v>
      </c>
      <c r="CB1005" s="50" t="str">
        <f>IFERROR(VLOOKUP(BY1005,'[1]WCVI Esc'!$C$5:$W$555,19,FALSE),"-")</f>
        <v>-</v>
      </c>
      <c r="CC1005" s="50" t="str">
        <f t="shared" si="409"/>
        <v>-</v>
      </c>
      <c r="CE1005" s="342" t="str">
        <f t="shared" si="395"/>
        <v>MIDDLE ELIZA CREEK_Sockeye</v>
      </c>
      <c r="CF1005" s="341" t="str">
        <f>IFERROR(VLOOKUP(BY1005,'RawPL+D'!$O$8:$AB$503,12,FALSE),"-")</f>
        <v>-</v>
      </c>
      <c r="CG1005" s="338" t="str">
        <f t="shared" si="410"/>
        <v>-</v>
      </c>
      <c r="CH1005" s="341" t="str">
        <f>IFERROR(VLOOKUP(BY1005,'RawPL+D'!$O$8:$AB$503,13,FALSE),"-")</f>
        <v>-</v>
      </c>
      <c r="CI1005" s="338" t="str">
        <f t="shared" si="411"/>
        <v>-</v>
      </c>
    </row>
    <row r="1006" spans="1:87" ht="12.75" hidden="1" customHeight="1" x14ac:dyDescent="0.2">
      <c r="A1006" s="28">
        <v>4</v>
      </c>
      <c r="B1006" s="29">
        <v>2</v>
      </c>
      <c r="C1006" s="13">
        <v>25</v>
      </c>
      <c r="D1006" s="13" t="s">
        <v>300</v>
      </c>
      <c r="E1006" s="10" t="s">
        <v>198</v>
      </c>
      <c r="F1006" s="10" t="s">
        <v>219</v>
      </c>
      <c r="G1006" s="10"/>
      <c r="H1006" s="10"/>
      <c r="I1006" s="10"/>
      <c r="J1006" s="10"/>
      <c r="K1006" s="575"/>
      <c r="L1006" s="152"/>
      <c r="M1006" s="164"/>
      <c r="N1006" s="62"/>
      <c r="O1006" s="62"/>
      <c r="P1006" s="177"/>
      <c r="Q1006" s="452"/>
      <c r="R1006" s="94"/>
      <c r="S1006" s="62"/>
      <c r="T1006" s="62"/>
      <c r="U1006" s="64"/>
      <c r="V1006" s="164"/>
      <c r="W1006" s="62"/>
      <c r="X1006" s="62"/>
      <c r="Y1006" s="62"/>
      <c r="Z1006" s="64"/>
      <c r="AA1006" s="164"/>
      <c r="AB1006" s="62"/>
      <c r="AC1006" s="62"/>
      <c r="AD1006" s="64"/>
      <c r="AE1006" s="164"/>
      <c r="AF1006" s="62"/>
      <c r="AG1006" s="64"/>
      <c r="AH1006" s="337"/>
      <c r="AI1006" s="337"/>
      <c r="AJ1006" s="337"/>
      <c r="AK1006" s="337"/>
      <c r="AL1006" s="412"/>
      <c r="AM1006" s="414"/>
      <c r="AN1006" s="45"/>
      <c r="AO1006" s="45"/>
      <c r="AP1006" s="45"/>
      <c r="AQ1006" s="485"/>
      <c r="AR1006" s="67"/>
      <c r="AS1006" s="485"/>
      <c r="AT1006" s="24"/>
      <c r="AU1006" s="24"/>
      <c r="AV1006" s="24"/>
      <c r="AW1006" s="69">
        <v>25</v>
      </c>
      <c r="AX1006" s="69" t="s">
        <v>300</v>
      </c>
      <c r="AY1006" s="243" t="s">
        <v>198</v>
      </c>
      <c r="AZ1006" s="243" t="str">
        <f t="shared" si="397"/>
        <v>Coho</v>
      </c>
      <c r="BA1006" s="243" t="s">
        <v>419</v>
      </c>
      <c r="BB1006" s="244" t="s">
        <v>528</v>
      </c>
      <c r="BC1006" s="43" t="str">
        <f t="shared" si="398"/>
        <v>-</v>
      </c>
      <c r="BD1006" s="43">
        <f t="shared" si="417"/>
        <v>0</v>
      </c>
      <c r="BE1006" s="193">
        <f t="shared" si="414"/>
        <v>0</v>
      </c>
      <c r="BF1006" s="193">
        <f t="shared" si="399"/>
        <v>0</v>
      </c>
      <c r="BG1006" s="193">
        <f t="shared" si="400"/>
        <v>0</v>
      </c>
      <c r="BH1006" s="307" t="str">
        <f t="shared" si="416"/>
        <v>-</v>
      </c>
      <c r="BI1006" s="268"/>
      <c r="BJ1006" s="26" t="str">
        <f t="shared" si="401"/>
        <v>MIDDLE ELIZA CREEKCoho</v>
      </c>
      <c r="BK1006" s="26">
        <f t="shared" si="402"/>
        <v>0</v>
      </c>
      <c r="BL1006" s="33">
        <f t="shared" si="418"/>
        <v>0</v>
      </c>
      <c r="BQ1006" s="47" t="str">
        <f t="shared" si="403"/>
        <v>MIDDLE ELIZA CREEKCoho</v>
      </c>
      <c r="BR1006" s="49">
        <f t="shared" si="404"/>
        <v>0</v>
      </c>
      <c r="BS1006" s="49">
        <f t="shared" si="413"/>
        <v>0</v>
      </c>
      <c r="BT1006" s="31">
        <v>1997</v>
      </c>
      <c r="BU1006" s="188" t="str">
        <f t="shared" si="405"/>
        <v>EFN/Wildcoast</v>
      </c>
      <c r="BV1006" s="188" t="str">
        <f t="shared" si="406"/>
        <v xml:space="preserve"> </v>
      </c>
      <c r="BW1006" s="188" t="str">
        <f t="shared" si="415"/>
        <v xml:space="preserve"> </v>
      </c>
      <c r="BX1006" s="188" t="str">
        <f t="shared" si="407"/>
        <v xml:space="preserve"> </v>
      </c>
      <c r="BY1006" s="50" t="str">
        <f t="shared" si="396"/>
        <v>MIDDLE ELIZA CREEK_Coho</v>
      </c>
      <c r="BZ1006" s="50" t="str">
        <f>IFERROR(VLOOKUP(BY1006,'[1]WCVI Esc'!$C$5:$W$555,18,FALSE),"-")</f>
        <v>-</v>
      </c>
      <c r="CA1006" s="50" t="str">
        <f t="shared" si="408"/>
        <v>-</v>
      </c>
      <c r="CB1006" s="50" t="str">
        <f>IFERROR(VLOOKUP(BY1006,'[1]WCVI Esc'!$C$5:$W$555,19,FALSE),"-")</f>
        <v>-</v>
      </c>
      <c r="CC1006" s="50" t="str">
        <f t="shared" si="409"/>
        <v>-</v>
      </c>
      <c r="CE1006" s="342" t="str">
        <f t="shared" si="395"/>
        <v>MIDDLE ELIZA CREEK_Coho</v>
      </c>
      <c r="CF1006" s="341" t="str">
        <f>IFERROR(VLOOKUP(BY1006,'RawPL+D'!$O$8:$AB$503,12,FALSE),"-")</f>
        <v>-</v>
      </c>
      <c r="CG1006" s="338" t="str">
        <f t="shared" si="410"/>
        <v>-</v>
      </c>
      <c r="CH1006" s="341" t="str">
        <f>IFERROR(VLOOKUP(BY1006,'RawPL+D'!$O$8:$AB$503,13,FALSE),"-")</f>
        <v>-</v>
      </c>
      <c r="CI1006" s="338" t="str">
        <f t="shared" si="411"/>
        <v>-</v>
      </c>
    </row>
    <row r="1007" spans="1:87" ht="12.75" hidden="1" customHeight="1" x14ac:dyDescent="0.2">
      <c r="A1007" s="28">
        <v>4</v>
      </c>
      <c r="B1007" s="29">
        <v>3</v>
      </c>
      <c r="C1007" s="13">
        <v>25</v>
      </c>
      <c r="D1007" s="13" t="s">
        <v>300</v>
      </c>
      <c r="E1007" s="10" t="s">
        <v>198</v>
      </c>
      <c r="F1007" s="10" t="s">
        <v>208</v>
      </c>
      <c r="G1007" s="10"/>
      <c r="H1007" s="10"/>
      <c r="I1007" s="10"/>
      <c r="J1007" s="10"/>
      <c r="K1007" s="575"/>
      <c r="L1007" s="152"/>
      <c r="M1007" s="164"/>
      <c r="N1007" s="62"/>
      <c r="O1007" s="62"/>
      <c r="P1007" s="177"/>
      <c r="Q1007" s="452"/>
      <c r="R1007" s="94"/>
      <c r="S1007" s="62"/>
      <c r="T1007" s="62"/>
      <c r="U1007" s="64"/>
      <c r="V1007" s="164"/>
      <c r="W1007" s="62"/>
      <c r="X1007" s="62"/>
      <c r="Y1007" s="62"/>
      <c r="Z1007" s="64"/>
      <c r="AA1007" s="164"/>
      <c r="AB1007" s="62"/>
      <c r="AC1007" s="62"/>
      <c r="AD1007" s="64"/>
      <c r="AE1007" s="164"/>
      <c r="AF1007" s="62"/>
      <c r="AG1007" s="64"/>
      <c r="AH1007" s="337"/>
      <c r="AI1007" s="337"/>
      <c r="AJ1007" s="337"/>
      <c r="AK1007" s="337"/>
      <c r="AL1007" s="412"/>
      <c r="AM1007" s="414"/>
      <c r="AN1007" s="45"/>
      <c r="AO1007" s="45"/>
      <c r="AP1007" s="45"/>
      <c r="AQ1007" s="485"/>
      <c r="AR1007" s="67"/>
      <c r="AS1007" s="485"/>
      <c r="AT1007" s="24"/>
      <c r="AU1007" s="24"/>
      <c r="AV1007" s="24"/>
      <c r="AW1007" s="69">
        <v>25</v>
      </c>
      <c r="AX1007" s="69" t="s">
        <v>300</v>
      </c>
      <c r="AY1007" s="243" t="s">
        <v>198</v>
      </c>
      <c r="AZ1007" s="243" t="str">
        <f t="shared" si="397"/>
        <v>Pink</v>
      </c>
      <c r="BA1007" s="243" t="s">
        <v>419</v>
      </c>
      <c r="BB1007" s="244" t="s">
        <v>528</v>
      </c>
      <c r="BC1007" s="43" t="str">
        <f t="shared" si="398"/>
        <v>-</v>
      </c>
      <c r="BD1007" s="43">
        <f t="shared" si="417"/>
        <v>0</v>
      </c>
      <c r="BE1007" s="193">
        <f t="shared" si="414"/>
        <v>0</v>
      </c>
      <c r="BF1007" s="193">
        <f t="shared" si="399"/>
        <v>0</v>
      </c>
      <c r="BG1007" s="193">
        <f t="shared" si="400"/>
        <v>0</v>
      </c>
      <c r="BH1007" s="307" t="str">
        <f t="shared" si="416"/>
        <v>-</v>
      </c>
      <c r="BI1007" s="267"/>
      <c r="BJ1007" s="26" t="str">
        <f t="shared" si="401"/>
        <v>MIDDLE ELIZA CREEKPink</v>
      </c>
      <c r="BK1007" s="26">
        <f t="shared" si="402"/>
        <v>0</v>
      </c>
      <c r="BL1007" s="33">
        <f t="shared" si="418"/>
        <v>0</v>
      </c>
      <c r="BQ1007" s="47" t="str">
        <f t="shared" si="403"/>
        <v>MIDDLE ELIZA CREEKPink</v>
      </c>
      <c r="BR1007" s="49">
        <f t="shared" si="404"/>
        <v>0</v>
      </c>
      <c r="BS1007" s="49">
        <f t="shared" si="413"/>
        <v>0</v>
      </c>
      <c r="BT1007" s="31">
        <v>0</v>
      </c>
      <c r="BU1007" s="188" t="str">
        <f t="shared" si="405"/>
        <v>EFN/Wildcoast</v>
      </c>
      <c r="BV1007" s="188" t="str">
        <f t="shared" si="406"/>
        <v xml:space="preserve"> </v>
      </c>
      <c r="BW1007" s="188" t="str">
        <f t="shared" si="415"/>
        <v xml:space="preserve"> </v>
      </c>
      <c r="BX1007" s="188" t="str">
        <f t="shared" si="407"/>
        <v xml:space="preserve"> </v>
      </c>
      <c r="BY1007" s="50" t="str">
        <f t="shared" si="396"/>
        <v>MIDDLE ELIZA CREEK_Pink</v>
      </c>
      <c r="BZ1007" s="50" t="str">
        <f>IFERROR(VLOOKUP(BY1007,'[1]WCVI Esc'!$C$5:$W$555,18,FALSE),"-")</f>
        <v>-</v>
      </c>
      <c r="CA1007" s="50" t="str">
        <f t="shared" si="408"/>
        <v>-</v>
      </c>
      <c r="CB1007" s="50" t="str">
        <f>IFERROR(VLOOKUP(BY1007,'[1]WCVI Esc'!$C$5:$W$555,19,FALSE),"-")</f>
        <v>-</v>
      </c>
      <c r="CC1007" s="50" t="str">
        <f t="shared" si="409"/>
        <v>-</v>
      </c>
      <c r="CE1007" s="342" t="str">
        <f t="shared" si="395"/>
        <v>MIDDLE ELIZA CREEK_Pink</v>
      </c>
      <c r="CF1007" s="341" t="str">
        <f>IFERROR(VLOOKUP(BY1007,'RawPL+D'!$O$8:$AB$503,12,FALSE),"-")</f>
        <v>-</v>
      </c>
      <c r="CG1007" s="338" t="str">
        <f t="shared" si="410"/>
        <v>-</v>
      </c>
      <c r="CH1007" s="341" t="str">
        <f>IFERROR(VLOOKUP(BY1007,'RawPL+D'!$O$8:$AB$503,13,FALSE),"-")</f>
        <v>-</v>
      </c>
      <c r="CI1007" s="338" t="str">
        <f t="shared" si="411"/>
        <v>-</v>
      </c>
    </row>
    <row r="1008" spans="1:87" ht="12.75" hidden="1" customHeight="1" x14ac:dyDescent="0.2">
      <c r="A1008" s="28">
        <v>4</v>
      </c>
      <c r="B1008" s="29">
        <v>4</v>
      </c>
      <c r="C1008" s="13">
        <v>25</v>
      </c>
      <c r="D1008" s="13" t="s">
        <v>300</v>
      </c>
      <c r="E1008" s="10" t="s">
        <v>198</v>
      </c>
      <c r="F1008" s="10" t="s">
        <v>209</v>
      </c>
      <c r="G1008" s="10"/>
      <c r="H1008" s="10"/>
      <c r="I1008" s="10"/>
      <c r="J1008" s="10"/>
      <c r="K1008" s="575"/>
      <c r="L1008" s="152"/>
      <c r="M1008" s="164"/>
      <c r="N1008" s="62"/>
      <c r="O1008" s="62"/>
      <c r="P1008" s="177"/>
      <c r="Q1008" s="452"/>
      <c r="R1008" s="94"/>
      <c r="S1008" s="62"/>
      <c r="T1008" s="62"/>
      <c r="U1008" s="64"/>
      <c r="V1008" s="164"/>
      <c r="W1008" s="62"/>
      <c r="X1008" s="62"/>
      <c r="Y1008" s="62"/>
      <c r="Z1008" s="64"/>
      <c r="AA1008" s="164"/>
      <c r="AB1008" s="62"/>
      <c r="AC1008" s="62"/>
      <c r="AD1008" s="64"/>
      <c r="AE1008" s="164"/>
      <c r="AF1008" s="62"/>
      <c r="AG1008" s="64"/>
      <c r="AH1008" s="337"/>
      <c r="AI1008" s="337"/>
      <c r="AJ1008" s="337"/>
      <c r="AK1008" s="337"/>
      <c r="AL1008" s="412"/>
      <c r="AM1008" s="414"/>
      <c r="AN1008" s="45"/>
      <c r="AO1008" s="45"/>
      <c r="AP1008" s="45"/>
      <c r="AQ1008" s="485"/>
      <c r="AR1008" s="396"/>
      <c r="AS1008" s="485"/>
      <c r="AT1008" s="24"/>
      <c r="AU1008" s="24"/>
      <c r="AV1008" s="24"/>
      <c r="AW1008" s="69">
        <v>25</v>
      </c>
      <c r="AX1008" s="69" t="s">
        <v>300</v>
      </c>
      <c r="AY1008" s="243" t="s">
        <v>198</v>
      </c>
      <c r="AZ1008" s="243" t="str">
        <f t="shared" si="397"/>
        <v>Chum</v>
      </c>
      <c r="BA1008" s="243" t="s">
        <v>419</v>
      </c>
      <c r="BB1008" s="244" t="s">
        <v>528</v>
      </c>
      <c r="BC1008" s="43" t="str">
        <f t="shared" si="398"/>
        <v>-</v>
      </c>
      <c r="BD1008" s="43">
        <f t="shared" si="417"/>
        <v>0</v>
      </c>
      <c r="BE1008" s="193">
        <f t="shared" si="414"/>
        <v>0</v>
      </c>
      <c r="BF1008" s="193">
        <f t="shared" si="399"/>
        <v>0</v>
      </c>
      <c r="BG1008" s="193">
        <f t="shared" si="400"/>
        <v>0</v>
      </c>
      <c r="BH1008" s="307" t="str">
        <f t="shared" si="416"/>
        <v>-</v>
      </c>
      <c r="BI1008" s="268"/>
      <c r="BJ1008" s="26" t="str">
        <f t="shared" si="401"/>
        <v>MIDDLE ELIZA CREEKChum</v>
      </c>
      <c r="BK1008" s="26">
        <f t="shared" si="402"/>
        <v>0</v>
      </c>
      <c r="BL1008" s="33">
        <f t="shared" si="418"/>
        <v>0</v>
      </c>
      <c r="BQ1008" s="47" t="str">
        <f t="shared" si="403"/>
        <v>MIDDLE ELIZA CREEKChum</v>
      </c>
      <c r="BR1008" s="49">
        <f t="shared" si="404"/>
        <v>0</v>
      </c>
      <c r="BS1008" s="49">
        <f t="shared" si="413"/>
        <v>0</v>
      </c>
      <c r="BT1008" s="31">
        <v>1997</v>
      </c>
      <c r="BU1008" s="188" t="str">
        <f t="shared" si="405"/>
        <v>EFN/Wildcoast</v>
      </c>
      <c r="BV1008" s="188" t="str">
        <f t="shared" si="406"/>
        <v xml:space="preserve"> </v>
      </c>
      <c r="BW1008" s="188" t="str">
        <f t="shared" si="415"/>
        <v xml:space="preserve"> </v>
      </c>
      <c r="BX1008" s="188" t="str">
        <f t="shared" si="407"/>
        <v xml:space="preserve"> </v>
      </c>
      <c r="BY1008" s="50" t="str">
        <f t="shared" si="396"/>
        <v>MIDDLE ELIZA CREEK_Chum</v>
      </c>
      <c r="BZ1008" s="50" t="str">
        <f>IFERROR(VLOOKUP(BY1008,'[1]WCVI Esc'!$C$5:$W$555,18,FALSE),"-")</f>
        <v>-</v>
      </c>
      <c r="CA1008" s="50" t="str">
        <f t="shared" si="408"/>
        <v>-</v>
      </c>
      <c r="CB1008" s="50" t="str">
        <f>IFERROR(VLOOKUP(BY1008,'[1]WCVI Esc'!$C$5:$W$555,19,FALSE),"-")</f>
        <v>-</v>
      </c>
      <c r="CC1008" s="50" t="str">
        <f t="shared" si="409"/>
        <v>-</v>
      </c>
      <c r="CE1008" s="342" t="str">
        <f t="shared" si="395"/>
        <v>MIDDLE ELIZA CREEK_Chum</v>
      </c>
      <c r="CF1008" s="341" t="str">
        <f>IFERROR(VLOOKUP(BY1008,'RawPL+D'!$O$8:$AB$503,12,FALSE),"-")</f>
        <v>-</v>
      </c>
      <c r="CG1008" s="338" t="str">
        <f t="shared" si="410"/>
        <v>-</v>
      </c>
      <c r="CH1008" s="341" t="str">
        <f>IFERROR(VLOOKUP(BY1008,'RawPL+D'!$O$8:$AB$503,13,FALSE),"-")</f>
        <v>-</v>
      </c>
      <c r="CI1008" s="338" t="str">
        <f t="shared" si="411"/>
        <v>-</v>
      </c>
    </row>
    <row r="1009" spans="1:87" ht="12.75" hidden="1" customHeight="1" x14ac:dyDescent="0.2">
      <c r="A1009" s="28">
        <v>4</v>
      </c>
      <c r="B1009" s="29">
        <v>5</v>
      </c>
      <c r="C1009" s="13">
        <v>25</v>
      </c>
      <c r="D1009" s="13" t="s">
        <v>300</v>
      </c>
      <c r="E1009" s="10" t="s">
        <v>198</v>
      </c>
      <c r="F1009" s="10" t="s">
        <v>210</v>
      </c>
      <c r="G1009" s="10"/>
      <c r="H1009" s="10"/>
      <c r="I1009" s="10"/>
      <c r="J1009" s="10"/>
      <c r="K1009" s="575"/>
      <c r="L1009" s="152"/>
      <c r="M1009" s="164"/>
      <c r="N1009" s="62"/>
      <c r="O1009" s="62"/>
      <c r="P1009" s="177"/>
      <c r="Q1009" s="452"/>
      <c r="R1009" s="94"/>
      <c r="S1009" s="62"/>
      <c r="T1009" s="62"/>
      <c r="U1009" s="64"/>
      <c r="V1009" s="164"/>
      <c r="W1009" s="62"/>
      <c r="X1009" s="62"/>
      <c r="Y1009" s="62"/>
      <c r="Z1009" s="64"/>
      <c r="AA1009" s="164"/>
      <c r="AB1009" s="62"/>
      <c r="AC1009" s="62"/>
      <c r="AD1009" s="64"/>
      <c r="AE1009" s="164"/>
      <c r="AF1009" s="62"/>
      <c r="AG1009" s="64"/>
      <c r="AH1009" s="337"/>
      <c r="AI1009" s="337"/>
      <c r="AJ1009" s="337"/>
      <c r="AK1009" s="337"/>
      <c r="AL1009" s="412"/>
      <c r="AM1009" s="414"/>
      <c r="AN1009" s="45"/>
      <c r="AO1009" s="45"/>
      <c r="AP1009" s="45"/>
      <c r="AQ1009" s="485"/>
      <c r="AR1009" s="67"/>
      <c r="AS1009" s="485"/>
      <c r="AT1009" s="24"/>
      <c r="AU1009" s="24"/>
      <c r="AV1009" s="24"/>
      <c r="AW1009" s="69">
        <v>25</v>
      </c>
      <c r="AX1009" s="69" t="s">
        <v>300</v>
      </c>
      <c r="AY1009" s="243" t="s">
        <v>198</v>
      </c>
      <c r="AZ1009" s="243" t="str">
        <f t="shared" si="397"/>
        <v>Chinook</v>
      </c>
      <c r="BA1009" s="243" t="s">
        <v>419</v>
      </c>
      <c r="BB1009" s="244" t="s">
        <v>528</v>
      </c>
      <c r="BC1009" s="43" t="str">
        <f t="shared" si="398"/>
        <v>-</v>
      </c>
      <c r="BD1009" s="43">
        <f t="shared" si="417"/>
        <v>0</v>
      </c>
      <c r="BE1009" s="193">
        <f t="shared" si="414"/>
        <v>0</v>
      </c>
      <c r="BF1009" s="193">
        <f t="shared" si="399"/>
        <v>0</v>
      </c>
      <c r="BG1009" s="193">
        <f t="shared" si="400"/>
        <v>0</v>
      </c>
      <c r="BH1009" s="307" t="str">
        <f t="shared" si="416"/>
        <v>-</v>
      </c>
      <c r="BI1009" s="268"/>
      <c r="BJ1009" s="26" t="str">
        <f t="shared" si="401"/>
        <v>MIDDLE ELIZA CREEKChinook</v>
      </c>
      <c r="BK1009" s="26">
        <f t="shared" si="402"/>
        <v>0</v>
      </c>
      <c r="BL1009" s="33">
        <f t="shared" si="418"/>
        <v>0</v>
      </c>
      <c r="BQ1009" s="47" t="str">
        <f t="shared" si="403"/>
        <v>MIDDLE ELIZA CREEKChinook</v>
      </c>
      <c r="BR1009" s="49">
        <f t="shared" si="404"/>
        <v>0</v>
      </c>
      <c r="BS1009" s="49">
        <f t="shared" si="413"/>
        <v>0</v>
      </c>
      <c r="BT1009" s="31">
        <v>0</v>
      </c>
      <c r="BU1009" s="188" t="str">
        <f t="shared" si="405"/>
        <v>EFN/Wildcoast</v>
      </c>
      <c r="BV1009" s="188" t="str">
        <f t="shared" si="406"/>
        <v xml:space="preserve"> </v>
      </c>
      <c r="BW1009" s="188" t="str">
        <f t="shared" si="415"/>
        <v xml:space="preserve"> </v>
      </c>
      <c r="BX1009" s="188" t="str">
        <f t="shared" si="407"/>
        <v xml:space="preserve"> </v>
      </c>
      <c r="BY1009" s="50" t="str">
        <f t="shared" si="396"/>
        <v>MIDDLE ELIZA CREEK_Chinook</v>
      </c>
      <c r="BZ1009" s="50" t="str">
        <f>IFERROR(VLOOKUP(BY1009,'[1]WCVI Esc'!$C$5:$W$555,18,FALSE),"-")</f>
        <v>-</v>
      </c>
      <c r="CA1009" s="50" t="str">
        <f t="shared" si="408"/>
        <v>-</v>
      </c>
      <c r="CB1009" s="50" t="str">
        <f>IFERROR(VLOOKUP(BY1009,'[1]WCVI Esc'!$C$5:$W$555,19,FALSE),"-")</f>
        <v>-</v>
      </c>
      <c r="CC1009" s="50" t="str">
        <f t="shared" si="409"/>
        <v>-</v>
      </c>
      <c r="CE1009" s="342" t="str">
        <f t="shared" si="395"/>
        <v>MIDDLE ELIZA CREEK_Chinook</v>
      </c>
      <c r="CF1009" s="341" t="str">
        <f>IFERROR(VLOOKUP(BY1009,'RawPL+D'!$O$8:$AB$503,12,FALSE),"-")</f>
        <v>-</v>
      </c>
      <c r="CG1009" s="338" t="str">
        <f t="shared" si="410"/>
        <v>-</v>
      </c>
      <c r="CH1009" s="341" t="str">
        <f>IFERROR(VLOOKUP(BY1009,'RawPL+D'!$O$8:$AB$503,13,FALSE),"-")</f>
        <v>-</v>
      </c>
      <c r="CI1009" s="338" t="str">
        <f t="shared" si="411"/>
        <v>-</v>
      </c>
    </row>
    <row r="1010" spans="1:87" ht="12.75" hidden="1" customHeight="1" x14ac:dyDescent="0.2">
      <c r="A1010" s="28">
        <v>4</v>
      </c>
      <c r="B1010" s="29">
        <v>6</v>
      </c>
      <c r="C1010" s="13">
        <v>25</v>
      </c>
      <c r="D1010" s="13" t="s">
        <v>300</v>
      </c>
      <c r="E1010" s="10" t="s">
        <v>198</v>
      </c>
      <c r="F1010" s="10" t="s">
        <v>211</v>
      </c>
      <c r="G1010" s="10"/>
      <c r="H1010" s="10"/>
      <c r="I1010" s="10"/>
      <c r="J1010" s="10"/>
      <c r="K1010" s="575"/>
      <c r="L1010" s="152"/>
      <c r="M1010" s="164"/>
      <c r="N1010" s="62"/>
      <c r="O1010" s="62"/>
      <c r="P1010" s="177"/>
      <c r="Q1010" s="452"/>
      <c r="R1010" s="94"/>
      <c r="S1010" s="62"/>
      <c r="T1010" s="62"/>
      <c r="U1010" s="64"/>
      <c r="V1010" s="164"/>
      <c r="W1010" s="62"/>
      <c r="X1010" s="62"/>
      <c r="Y1010" s="62"/>
      <c r="Z1010" s="64"/>
      <c r="AA1010" s="164"/>
      <c r="AB1010" s="62"/>
      <c r="AC1010" s="62"/>
      <c r="AD1010" s="64"/>
      <c r="AE1010" s="164"/>
      <c r="AF1010" s="62"/>
      <c r="AG1010" s="64"/>
      <c r="AH1010" s="337"/>
      <c r="AI1010" s="337"/>
      <c r="AJ1010" s="337"/>
      <c r="AK1010" s="337"/>
      <c r="AL1010" s="412"/>
      <c r="AM1010" s="414"/>
      <c r="AN1010" s="45"/>
      <c r="AO1010" s="45"/>
      <c r="AP1010" s="45"/>
      <c r="AQ1010" s="485"/>
      <c r="AR1010" s="67"/>
      <c r="AS1010" s="485"/>
      <c r="AT1010" s="24"/>
      <c r="AU1010" s="24"/>
      <c r="AV1010" s="24"/>
      <c r="AW1010" s="69">
        <v>25</v>
      </c>
      <c r="AX1010" s="69" t="s">
        <v>300</v>
      </c>
      <c r="AY1010" s="243" t="s">
        <v>198</v>
      </c>
      <c r="AZ1010" s="243" t="str">
        <f t="shared" si="397"/>
        <v>Steelhead</v>
      </c>
      <c r="BA1010" s="243" t="s">
        <v>419</v>
      </c>
      <c r="BB1010" s="244" t="s">
        <v>528</v>
      </c>
      <c r="BC1010" s="43" t="str">
        <f t="shared" si="398"/>
        <v>-</v>
      </c>
      <c r="BD1010" s="43">
        <f t="shared" si="417"/>
        <v>0</v>
      </c>
      <c r="BE1010" s="193">
        <f t="shared" si="414"/>
        <v>0</v>
      </c>
      <c r="BF1010" s="193">
        <f t="shared" si="399"/>
        <v>0</v>
      </c>
      <c r="BG1010" s="193">
        <f t="shared" si="400"/>
        <v>0</v>
      </c>
      <c r="BH1010" s="307" t="str">
        <f t="shared" si="416"/>
        <v>-</v>
      </c>
      <c r="BI1010" s="266"/>
      <c r="BJ1010" s="26" t="str">
        <f t="shared" si="401"/>
        <v>MIDDLE ELIZA CREEKSteelhead</v>
      </c>
      <c r="BK1010" s="26">
        <f t="shared" si="402"/>
        <v>0</v>
      </c>
      <c r="BL1010" s="33">
        <f t="shared" si="418"/>
        <v>0</v>
      </c>
      <c r="BQ1010" s="47" t="str">
        <f t="shared" si="403"/>
        <v>MIDDLE ELIZA CREEKSteelhead</v>
      </c>
      <c r="BR1010" s="49">
        <f t="shared" si="404"/>
        <v>0</v>
      </c>
      <c r="BS1010" s="49">
        <f t="shared" si="413"/>
        <v>0</v>
      </c>
      <c r="BT1010" s="31">
        <v>0</v>
      </c>
      <c r="BU1010" s="188" t="str">
        <f t="shared" si="405"/>
        <v>EFN/Wildcoast</v>
      </c>
      <c r="BV1010" s="188" t="str">
        <f t="shared" si="406"/>
        <v xml:space="preserve"> </v>
      </c>
      <c r="BW1010" s="188" t="str">
        <f t="shared" si="415"/>
        <v xml:space="preserve"> </v>
      </c>
      <c r="BX1010" s="188" t="str">
        <f t="shared" si="407"/>
        <v xml:space="preserve"> </v>
      </c>
      <c r="BY1010" s="50" t="str">
        <f t="shared" si="396"/>
        <v>MIDDLE ELIZA CREEK_Steelhead</v>
      </c>
      <c r="BZ1010" s="50" t="str">
        <f>IFERROR(VLOOKUP(BY1010,'[1]WCVI Esc'!$C$5:$W$555,18,FALSE),"-")</f>
        <v>-</v>
      </c>
      <c r="CA1010" s="50" t="str">
        <f t="shared" si="408"/>
        <v>-</v>
      </c>
      <c r="CB1010" s="50" t="str">
        <f>IFERROR(VLOOKUP(BY1010,'[1]WCVI Esc'!$C$5:$W$555,19,FALSE),"-")</f>
        <v>-</v>
      </c>
      <c r="CC1010" s="50" t="str">
        <f t="shared" si="409"/>
        <v>-</v>
      </c>
      <c r="CE1010" s="342" t="str">
        <f t="shared" si="395"/>
        <v>MIDDLE ELIZA CREEK_Steelhead</v>
      </c>
      <c r="CF1010" s="341" t="str">
        <f>IFERROR(VLOOKUP(BY1010,'RawPL+D'!$O$8:$AB$503,12,FALSE),"-")</f>
        <v>-</v>
      </c>
      <c r="CG1010" s="338" t="str">
        <f t="shared" si="410"/>
        <v>-</v>
      </c>
      <c r="CH1010" s="341" t="str">
        <f>IFERROR(VLOOKUP(BY1010,'RawPL+D'!$O$8:$AB$503,13,FALSE),"-")</f>
        <v>-</v>
      </c>
      <c r="CI1010" s="338" t="str">
        <f t="shared" si="411"/>
        <v>-</v>
      </c>
    </row>
    <row r="1011" spans="1:87" ht="12.75" hidden="1" customHeight="1" x14ac:dyDescent="0.2">
      <c r="A1011" s="28">
        <v>4</v>
      </c>
      <c r="B1011" s="28">
        <v>1</v>
      </c>
      <c r="C1011" s="11">
        <v>25</v>
      </c>
      <c r="D1011" s="68" t="s">
        <v>359</v>
      </c>
      <c r="E1011" s="10" t="s">
        <v>538</v>
      </c>
      <c r="F1011" s="10" t="s">
        <v>207</v>
      </c>
      <c r="G1011" s="10"/>
      <c r="H1011" s="10"/>
      <c r="I1011" s="10"/>
      <c r="J1011" s="10"/>
      <c r="K1011" s="202"/>
      <c r="L1011" s="205"/>
      <c r="M1011" s="164"/>
      <c r="N1011" s="62"/>
      <c r="O1011" s="62"/>
      <c r="P1011" s="177"/>
      <c r="Q1011" s="171"/>
      <c r="R1011" s="62"/>
      <c r="S1011" s="62"/>
      <c r="T1011" s="331">
        <v>0</v>
      </c>
      <c r="U1011" s="186"/>
      <c r="V1011" s="164"/>
      <c r="W1011" s="94"/>
      <c r="X1011" s="94"/>
      <c r="Y1011" s="62"/>
      <c r="Z1011" s="64"/>
      <c r="AA1011" s="207"/>
      <c r="AB1011" s="202"/>
      <c r="AC1011" s="202"/>
      <c r="AD1011" s="205"/>
      <c r="AE1011" s="207"/>
      <c r="AF1011" s="202"/>
      <c r="AG1011" s="205"/>
      <c r="AH1011" s="294"/>
      <c r="AI1011" s="294"/>
      <c r="AJ1011" s="294"/>
      <c r="AK1011" s="294"/>
      <c r="AL1011" s="416"/>
      <c r="AM1011" s="569"/>
      <c r="AN1011" s="127"/>
      <c r="AO1011" s="56"/>
      <c r="AP1011" s="12"/>
      <c r="AQ1011" s="485"/>
      <c r="AR1011" s="121"/>
      <c r="AS1011" s="485"/>
      <c r="AT1011" s="124"/>
      <c r="AU1011" s="124"/>
      <c r="AV1011" s="124"/>
      <c r="AW1011" s="351">
        <v>24</v>
      </c>
      <c r="AX1011" s="351" t="s">
        <v>359</v>
      </c>
      <c r="AY1011" s="243" t="s">
        <v>538</v>
      </c>
      <c r="AZ1011" s="243" t="str">
        <f t="shared" si="397"/>
        <v>Sockeye</v>
      </c>
      <c r="BA1011" s="243" t="s">
        <v>419</v>
      </c>
      <c r="BB1011" s="243" t="s">
        <v>626</v>
      </c>
      <c r="BC1011" s="43" t="str">
        <f t="shared" si="398"/>
        <v>Oct 22-28</v>
      </c>
      <c r="BD1011" s="43">
        <f t="shared" si="417"/>
        <v>1</v>
      </c>
      <c r="BE1011" s="193">
        <f t="shared" si="414"/>
        <v>0</v>
      </c>
      <c r="BF1011" s="193">
        <f t="shared" si="399"/>
        <v>0</v>
      </c>
      <c r="BG1011" s="193">
        <f t="shared" si="400"/>
        <v>0</v>
      </c>
      <c r="BH1011" s="307">
        <f t="shared" si="416"/>
        <v>0</v>
      </c>
      <c r="BI1011" s="354" t="s">
        <v>242</v>
      </c>
      <c r="BJ1011" s="26" t="str">
        <f t="shared" si="401"/>
        <v>ESCALANTE RIVERSockeye</v>
      </c>
      <c r="BK1011" s="26">
        <f t="shared" si="402"/>
        <v>1</v>
      </c>
      <c r="BL1011" s="33">
        <f t="shared" si="418"/>
        <v>0</v>
      </c>
      <c r="BM1011" s="34">
        <f t="shared" ref="BM1011:BM1016" si="419">BL1011*1.14</f>
        <v>0</v>
      </c>
      <c r="BN1011" s="34">
        <f t="shared" ref="BN1011:BN1016" si="420">BL1011*2.88</f>
        <v>0</v>
      </c>
      <c r="BO1011" s="35" t="s">
        <v>234</v>
      </c>
      <c r="BQ1011" s="47" t="str">
        <f t="shared" si="403"/>
        <v>ESCALANTE RIVERSockeye</v>
      </c>
      <c r="BR1011" s="49">
        <f t="shared" si="404"/>
        <v>0</v>
      </c>
      <c r="BS1011" s="49">
        <f t="shared" si="413"/>
        <v>0</v>
      </c>
      <c r="BT1011" s="31">
        <v>2001</v>
      </c>
      <c r="BU1011" s="188" t="str">
        <f t="shared" si="405"/>
        <v>Redd</v>
      </c>
      <c r="BV1011" s="188" t="str">
        <f t="shared" si="406"/>
        <v xml:space="preserve"> </v>
      </c>
      <c r="BW1011" s="188" t="str">
        <f>IF(ISNUMBER(W1011),W$8,IF(ISNUMBER(V1011),V$8,IF(ISNUMBER(U1011),U$8,IF(ISNUMBER(T1011),T$8,IF(ISNUMBER(R1011),S$8,IF(ISNUMBER(#REF!),R$8," "))))))</f>
        <v>Oct 22-28</v>
      </c>
      <c r="BX1011" s="188" t="str">
        <f t="shared" si="407"/>
        <v xml:space="preserve"> </v>
      </c>
      <c r="BY1011" s="50" t="str">
        <f t="shared" si="396"/>
        <v>ESCALANTE RIVER_Sockeye</v>
      </c>
      <c r="BZ1011" s="50" t="str">
        <f>IFERROR(VLOOKUP(BY1011,'[1]WCVI Esc'!$C$5:$W$555,18,FALSE),"-")</f>
        <v>-</v>
      </c>
      <c r="CA1011" s="50" t="str">
        <f t="shared" si="408"/>
        <v>-</v>
      </c>
      <c r="CB1011" s="50" t="str">
        <f>IFERROR(VLOOKUP(BY1011,'[1]WCVI Esc'!$C$5:$W$555,19,FALSE),"-")</f>
        <v>-</v>
      </c>
      <c r="CC1011" s="50" t="str">
        <f t="shared" si="409"/>
        <v>-</v>
      </c>
    </row>
    <row r="1012" spans="1:87" ht="12.75" hidden="1" customHeight="1" x14ac:dyDescent="0.2">
      <c r="A1012" s="28">
        <v>4</v>
      </c>
      <c r="B1012" s="28">
        <v>2</v>
      </c>
      <c r="C1012" s="11">
        <v>25</v>
      </c>
      <c r="D1012" s="68" t="s">
        <v>359</v>
      </c>
      <c r="E1012" s="10" t="s">
        <v>538</v>
      </c>
      <c r="F1012" s="10" t="s">
        <v>219</v>
      </c>
      <c r="G1012" s="10"/>
      <c r="H1012" s="10"/>
      <c r="I1012" s="10"/>
      <c r="J1012" s="10"/>
      <c r="K1012" s="202"/>
      <c r="L1012" s="205"/>
      <c r="M1012" s="164"/>
      <c r="N1012" s="62"/>
      <c r="O1012" s="62"/>
      <c r="P1012" s="177"/>
      <c r="Q1012" s="171"/>
      <c r="R1012" s="62"/>
      <c r="S1012" s="62"/>
      <c r="T1012" s="331">
        <v>104</v>
      </c>
      <c r="U1012" s="186"/>
      <c r="V1012" s="164"/>
      <c r="W1012" s="94"/>
      <c r="X1012" s="94"/>
      <c r="Y1012" s="62"/>
      <c r="Z1012" s="64"/>
      <c r="AA1012" s="207"/>
      <c r="AB1012" s="202"/>
      <c r="AC1012" s="202"/>
      <c r="AD1012" s="205"/>
      <c r="AE1012" s="207"/>
      <c r="AF1012" s="202"/>
      <c r="AG1012" s="205"/>
      <c r="AH1012" s="294"/>
      <c r="AI1012" s="294"/>
      <c r="AJ1012" s="294"/>
      <c r="AK1012" s="294"/>
      <c r="AL1012" s="416"/>
      <c r="AM1012" s="569"/>
      <c r="AN1012" s="843"/>
      <c r="AO1012" s="56"/>
      <c r="AP1012" s="12"/>
      <c r="AQ1012" s="485"/>
      <c r="AR1012" s="396" t="e">
        <f t="shared" ref="AR1012:AR1018" si="421">BL1012/BH1012</f>
        <v>#DIV/0!</v>
      </c>
      <c r="AS1012" s="485"/>
      <c r="AT1012" s="124"/>
      <c r="AU1012" s="124"/>
      <c r="AV1012" s="124"/>
      <c r="AW1012" s="351">
        <v>24</v>
      </c>
      <c r="AX1012" s="351" t="s">
        <v>359</v>
      </c>
      <c r="AY1012" s="243" t="s">
        <v>538</v>
      </c>
      <c r="AZ1012" s="243" t="str">
        <f t="shared" si="397"/>
        <v>Coho</v>
      </c>
      <c r="BA1012" s="243" t="s">
        <v>419</v>
      </c>
      <c r="BB1012" s="243" t="s">
        <v>626</v>
      </c>
      <c r="BC1012" s="43" t="str">
        <f t="shared" si="398"/>
        <v>Oct 22-28</v>
      </c>
      <c r="BD1012" s="43">
        <f t="shared" si="417"/>
        <v>1</v>
      </c>
      <c r="BE1012" s="193">
        <f t="shared" si="414"/>
        <v>104</v>
      </c>
      <c r="BF1012" s="193">
        <f t="shared" si="399"/>
        <v>0</v>
      </c>
      <c r="BG1012" s="193">
        <f t="shared" si="400"/>
        <v>0</v>
      </c>
      <c r="BH1012" s="307">
        <f t="shared" si="416"/>
        <v>0</v>
      </c>
      <c r="BI1012" s="354" t="s">
        <v>242</v>
      </c>
      <c r="BJ1012" s="26" t="str">
        <f t="shared" si="401"/>
        <v>ESCALANTE RIVERCoho</v>
      </c>
      <c r="BK1012" s="26">
        <f t="shared" si="402"/>
        <v>1</v>
      </c>
      <c r="BL1012" s="33">
        <f t="shared" si="418"/>
        <v>104</v>
      </c>
      <c r="BM1012" s="34">
        <f t="shared" si="419"/>
        <v>118.55999999999999</v>
      </c>
      <c r="BN1012" s="34">
        <f t="shared" si="420"/>
        <v>299.52</v>
      </c>
      <c r="BO1012" s="35" t="s">
        <v>234</v>
      </c>
      <c r="BQ1012" s="47" t="str">
        <f t="shared" si="403"/>
        <v>ESCALANTE RIVERCoho</v>
      </c>
      <c r="BR1012" s="49">
        <f t="shared" si="404"/>
        <v>0</v>
      </c>
      <c r="BS1012" s="49">
        <f t="shared" si="413"/>
        <v>0</v>
      </c>
      <c r="BT1012" s="31">
        <v>2001</v>
      </c>
      <c r="BU1012" s="188" t="str">
        <f t="shared" si="405"/>
        <v>Redd</v>
      </c>
      <c r="BV1012" s="188" t="str">
        <f t="shared" si="406"/>
        <v xml:space="preserve"> </v>
      </c>
      <c r="BW1012" s="188" t="str">
        <f>IF(ISNUMBER(W1012),W$8,IF(ISNUMBER(V1012),V$8,IF(ISNUMBER(U1012),U$8,IF(ISNUMBER(T1012),T$8,IF(ISNUMBER(R1012),S$8,IF(ISNUMBER(#REF!),R$8," "))))))</f>
        <v>Oct 22-28</v>
      </c>
      <c r="BX1012" s="188" t="str">
        <f t="shared" si="407"/>
        <v xml:space="preserve"> </v>
      </c>
      <c r="BY1012" s="50" t="str">
        <f t="shared" si="396"/>
        <v>ESCALANTE RIVER_Coho</v>
      </c>
      <c r="BZ1012" s="50">
        <f>IFERROR(VLOOKUP(BY1012,'[1]WCVI Esc'!$C$5:$W$555,18,FALSE),"-")</f>
        <v>478</v>
      </c>
      <c r="CA1012" s="50">
        <f t="shared" si="408"/>
        <v>480</v>
      </c>
      <c r="CB1012" s="50">
        <f>IFERROR(VLOOKUP(BY1012,'[1]WCVI Esc'!$C$5:$W$555,19,FALSE),"-")</f>
        <v>478</v>
      </c>
      <c r="CC1012" s="50">
        <f t="shared" si="409"/>
        <v>480</v>
      </c>
    </row>
    <row r="1013" spans="1:87" ht="12.75" hidden="1" customHeight="1" x14ac:dyDescent="0.2">
      <c r="A1013" s="28">
        <v>4</v>
      </c>
      <c r="B1013" s="28">
        <v>3</v>
      </c>
      <c r="C1013" s="11">
        <v>25</v>
      </c>
      <c r="D1013" s="68" t="s">
        <v>359</v>
      </c>
      <c r="E1013" s="10" t="s">
        <v>538</v>
      </c>
      <c r="F1013" s="10" t="s">
        <v>208</v>
      </c>
      <c r="G1013" s="10"/>
      <c r="H1013" s="10"/>
      <c r="I1013" s="10"/>
      <c r="J1013" s="10"/>
      <c r="K1013" s="202"/>
      <c r="L1013" s="205"/>
      <c r="M1013" s="164"/>
      <c r="N1013" s="62"/>
      <c r="O1013" s="62"/>
      <c r="P1013" s="177"/>
      <c r="Q1013" s="171"/>
      <c r="R1013" s="62"/>
      <c r="S1013" s="62"/>
      <c r="T1013" s="331">
        <v>1</v>
      </c>
      <c r="U1013" s="186"/>
      <c r="V1013" s="164"/>
      <c r="W1013" s="94"/>
      <c r="X1013" s="94"/>
      <c r="Y1013" s="62"/>
      <c r="Z1013" s="64"/>
      <c r="AA1013" s="207"/>
      <c r="AB1013" s="202"/>
      <c r="AC1013" s="202"/>
      <c r="AD1013" s="205"/>
      <c r="AE1013" s="207"/>
      <c r="AF1013" s="202"/>
      <c r="AG1013" s="205"/>
      <c r="AH1013" s="294"/>
      <c r="AI1013" s="294"/>
      <c r="AJ1013" s="294"/>
      <c r="AK1013" s="294"/>
      <c r="AL1013" s="416"/>
      <c r="AM1013" s="569"/>
      <c r="AN1013" s="127"/>
      <c r="AO1013" s="56"/>
      <c r="AP1013" s="12"/>
      <c r="AQ1013" s="485"/>
      <c r="AR1013" s="396" t="e">
        <f t="shared" si="421"/>
        <v>#DIV/0!</v>
      </c>
      <c r="AS1013" s="485"/>
      <c r="AT1013" s="124"/>
      <c r="AU1013" s="124"/>
      <c r="AV1013" s="124"/>
      <c r="AW1013" s="351">
        <v>24</v>
      </c>
      <c r="AX1013" s="351" t="s">
        <v>359</v>
      </c>
      <c r="AY1013" s="243" t="s">
        <v>538</v>
      </c>
      <c r="AZ1013" s="243" t="str">
        <f t="shared" si="397"/>
        <v>Pink</v>
      </c>
      <c r="BA1013" s="243" t="s">
        <v>419</v>
      </c>
      <c r="BB1013" s="243" t="s">
        <v>626</v>
      </c>
      <c r="BC1013" s="43" t="str">
        <f t="shared" si="398"/>
        <v>Oct 22-28</v>
      </c>
      <c r="BD1013" s="43">
        <f t="shared" si="417"/>
        <v>1</v>
      </c>
      <c r="BE1013" s="193">
        <f t="shared" si="414"/>
        <v>1</v>
      </c>
      <c r="BF1013" s="193">
        <f t="shared" si="399"/>
        <v>0</v>
      </c>
      <c r="BG1013" s="193">
        <f t="shared" si="400"/>
        <v>0</v>
      </c>
      <c r="BH1013" s="307">
        <f t="shared" si="416"/>
        <v>0</v>
      </c>
      <c r="BI1013" s="354" t="s">
        <v>242</v>
      </c>
      <c r="BJ1013" s="26" t="str">
        <f t="shared" si="401"/>
        <v>ESCALANTE RIVERPink</v>
      </c>
      <c r="BK1013" s="26">
        <f t="shared" si="402"/>
        <v>1</v>
      </c>
      <c r="BL1013" s="33">
        <f t="shared" si="418"/>
        <v>1</v>
      </c>
      <c r="BM1013" s="34">
        <f t="shared" si="419"/>
        <v>1.1399999999999999</v>
      </c>
      <c r="BN1013" s="34">
        <f t="shared" si="420"/>
        <v>2.88</v>
      </c>
      <c r="BO1013" s="35" t="s">
        <v>234</v>
      </c>
      <c r="BQ1013" s="47" t="str">
        <f t="shared" si="403"/>
        <v>ESCALANTE RIVERPink</v>
      </c>
      <c r="BR1013" s="49">
        <f t="shared" si="404"/>
        <v>0</v>
      </c>
      <c r="BS1013" s="49">
        <f t="shared" si="413"/>
        <v>0</v>
      </c>
      <c r="BT1013" s="31">
        <v>2001</v>
      </c>
      <c r="BU1013" s="188" t="str">
        <f t="shared" si="405"/>
        <v>Redd</v>
      </c>
      <c r="BV1013" s="188" t="str">
        <f t="shared" si="406"/>
        <v xml:space="preserve"> </v>
      </c>
      <c r="BW1013" s="188" t="str">
        <f>IF(ISNUMBER(W1013),W$8,IF(ISNUMBER(V1013),V$8,IF(ISNUMBER(U1013),U$8,IF(ISNUMBER(T1013),T$8,IF(ISNUMBER(R1013),S$8,IF(ISNUMBER(#REF!),R$8," "))))))</f>
        <v>Oct 22-28</v>
      </c>
      <c r="BX1013" s="188" t="str">
        <f t="shared" si="407"/>
        <v xml:space="preserve"> </v>
      </c>
      <c r="BY1013" s="50" t="str">
        <f t="shared" si="396"/>
        <v>ESCALANTE RIVER_Pink</v>
      </c>
      <c r="BZ1013" s="50" t="str">
        <f>IFERROR(VLOOKUP(BY1013,'[1]WCVI Esc'!$C$5:$W$555,18,FALSE),"-")</f>
        <v>-</v>
      </c>
      <c r="CA1013" s="50" t="str">
        <f t="shared" si="408"/>
        <v>-</v>
      </c>
      <c r="CB1013" s="50" t="str">
        <f>IFERROR(VLOOKUP(BY1013,'[1]WCVI Esc'!$C$5:$W$555,19,FALSE),"-")</f>
        <v>-</v>
      </c>
      <c r="CC1013" s="50" t="str">
        <f t="shared" si="409"/>
        <v>-</v>
      </c>
    </row>
    <row r="1014" spans="1:87" ht="12.75" hidden="1" customHeight="1" x14ac:dyDescent="0.2">
      <c r="A1014" s="28">
        <v>4</v>
      </c>
      <c r="B1014" s="28">
        <v>4</v>
      </c>
      <c r="C1014" s="11">
        <v>25</v>
      </c>
      <c r="D1014" s="68" t="s">
        <v>359</v>
      </c>
      <c r="E1014" s="10" t="s">
        <v>538</v>
      </c>
      <c r="F1014" s="10" t="s">
        <v>209</v>
      </c>
      <c r="G1014" s="10"/>
      <c r="H1014" s="10"/>
      <c r="I1014" s="10"/>
      <c r="J1014" s="10"/>
      <c r="K1014" s="202"/>
      <c r="L1014" s="606"/>
      <c r="M1014" s="164"/>
      <c r="N1014" s="62"/>
      <c r="O1014" s="62"/>
      <c r="P1014" s="177"/>
      <c r="Q1014" s="171"/>
      <c r="R1014" s="62"/>
      <c r="S1014" s="62"/>
      <c r="T1014" s="331">
        <v>27</v>
      </c>
      <c r="U1014" s="186"/>
      <c r="V1014" s="164"/>
      <c r="W1014" s="94"/>
      <c r="X1014" s="94"/>
      <c r="Y1014" s="62"/>
      <c r="Z1014" s="64"/>
      <c r="AA1014" s="207"/>
      <c r="AB1014" s="202"/>
      <c r="AC1014" s="202"/>
      <c r="AD1014" s="205"/>
      <c r="AE1014" s="207"/>
      <c r="AF1014" s="202"/>
      <c r="AG1014" s="205"/>
      <c r="AH1014" s="294"/>
      <c r="AI1014" s="294"/>
      <c r="AJ1014" s="294"/>
      <c r="AK1014" s="294"/>
      <c r="AL1014" s="416"/>
      <c r="AM1014" s="569"/>
      <c r="AN1014" s="843"/>
      <c r="AO1014" s="56"/>
      <c r="AP1014" s="12"/>
      <c r="AQ1014" s="485"/>
      <c r="AR1014" s="396" t="e">
        <f t="shared" si="421"/>
        <v>#DIV/0!</v>
      </c>
      <c r="AS1014" s="485"/>
      <c r="AT1014" s="124"/>
      <c r="AU1014" s="124"/>
      <c r="AV1014" s="124"/>
      <c r="AW1014" s="351">
        <v>24</v>
      </c>
      <c r="AX1014" s="351" t="s">
        <v>359</v>
      </c>
      <c r="AY1014" s="243" t="s">
        <v>538</v>
      </c>
      <c r="AZ1014" s="243" t="str">
        <f t="shared" si="397"/>
        <v>Chum</v>
      </c>
      <c r="BA1014" s="243" t="s">
        <v>419</v>
      </c>
      <c r="BB1014" s="243" t="s">
        <v>626</v>
      </c>
      <c r="BC1014" s="43" t="str">
        <f t="shared" si="398"/>
        <v>Oct 22-28</v>
      </c>
      <c r="BD1014" s="43">
        <f t="shared" si="417"/>
        <v>1</v>
      </c>
      <c r="BE1014" s="193">
        <f t="shared" si="414"/>
        <v>27</v>
      </c>
      <c r="BF1014" s="193">
        <f t="shared" si="399"/>
        <v>0</v>
      </c>
      <c r="BG1014" s="193">
        <f t="shared" si="400"/>
        <v>0</v>
      </c>
      <c r="BH1014" s="307">
        <f t="shared" si="416"/>
        <v>0</v>
      </c>
      <c r="BI1014" s="354" t="s">
        <v>242</v>
      </c>
      <c r="BJ1014" s="26" t="str">
        <f t="shared" si="401"/>
        <v>ESCALANTE RIVERChum</v>
      </c>
      <c r="BK1014" s="26">
        <f t="shared" si="402"/>
        <v>1</v>
      </c>
      <c r="BL1014" s="33">
        <f t="shared" si="418"/>
        <v>27</v>
      </c>
      <c r="BM1014" s="34">
        <f t="shared" si="419"/>
        <v>30.779999999999998</v>
      </c>
      <c r="BN1014" s="34">
        <f t="shared" si="420"/>
        <v>77.759999999999991</v>
      </c>
      <c r="BO1014" s="35" t="s">
        <v>234</v>
      </c>
      <c r="BQ1014" s="47" t="str">
        <f t="shared" si="403"/>
        <v>ESCALANTE RIVERChum</v>
      </c>
      <c r="BR1014" s="49">
        <f t="shared" si="404"/>
        <v>0</v>
      </c>
      <c r="BS1014" s="49">
        <f t="shared" si="413"/>
        <v>0</v>
      </c>
      <c r="BT1014" s="31">
        <v>2001</v>
      </c>
      <c r="BU1014" s="188" t="str">
        <f t="shared" si="405"/>
        <v>Redd</v>
      </c>
      <c r="BV1014" s="188" t="str">
        <f t="shared" si="406"/>
        <v xml:space="preserve"> </v>
      </c>
      <c r="BW1014" s="188" t="str">
        <f>IF(ISNUMBER(W1014),W$8,IF(ISNUMBER(V1014),V$8,IF(ISNUMBER(U1014),U$8,IF(ISNUMBER(T1014),T$8,IF(ISNUMBER(R1014),S$8,IF(ISNUMBER(#REF!),R$8," "))))))</f>
        <v>Oct 22-28</v>
      </c>
      <c r="BX1014" s="188" t="str">
        <f t="shared" si="407"/>
        <v xml:space="preserve"> </v>
      </c>
      <c r="BY1014" s="50" t="str">
        <f t="shared" si="396"/>
        <v>ESCALANTE RIVER_Chum</v>
      </c>
      <c r="BZ1014" s="50">
        <f>IFERROR(VLOOKUP(BY1014,'[1]WCVI Esc'!$C$5:$W$555,18,FALSE),"-")</f>
        <v>32</v>
      </c>
      <c r="CA1014" s="50">
        <f t="shared" si="408"/>
        <v>30</v>
      </c>
      <c r="CB1014" s="50">
        <f>IFERROR(VLOOKUP(BY1014,'[1]WCVI Esc'!$C$5:$W$555,19,FALSE),"-")</f>
        <v>32</v>
      </c>
      <c r="CC1014" s="50">
        <f t="shared" si="409"/>
        <v>30</v>
      </c>
    </row>
    <row r="1015" spans="1:87" ht="12.75" hidden="1" customHeight="1" x14ac:dyDescent="0.2">
      <c r="A1015" s="28">
        <v>4</v>
      </c>
      <c r="B1015" s="28">
        <v>5</v>
      </c>
      <c r="C1015" s="11">
        <v>25</v>
      </c>
      <c r="D1015" s="68" t="s">
        <v>359</v>
      </c>
      <c r="E1015" s="10" t="s">
        <v>538</v>
      </c>
      <c r="F1015" s="10" t="s">
        <v>210</v>
      </c>
      <c r="G1015" s="10"/>
      <c r="H1015" s="10"/>
      <c r="I1015" s="10"/>
      <c r="J1015" s="10"/>
      <c r="K1015" s="62"/>
      <c r="L1015" s="64"/>
      <c r="M1015" s="164"/>
      <c r="N1015" s="62"/>
      <c r="O1015" s="62"/>
      <c r="P1015" s="177"/>
      <c r="Q1015" s="171"/>
      <c r="R1015" s="62"/>
      <c r="S1015" s="62"/>
      <c r="T1015" s="331">
        <v>1</v>
      </c>
      <c r="U1015" s="186"/>
      <c r="V1015" s="164"/>
      <c r="W1015" s="94"/>
      <c r="X1015" s="94"/>
      <c r="Y1015" s="62"/>
      <c r="Z1015" s="64"/>
      <c r="AA1015" s="207"/>
      <c r="AB1015" s="202"/>
      <c r="AC1015" s="202"/>
      <c r="AD1015" s="205"/>
      <c r="AE1015" s="207"/>
      <c r="AF1015" s="202"/>
      <c r="AG1015" s="205"/>
      <c r="AH1015" s="294"/>
      <c r="AI1015" s="294"/>
      <c r="AJ1015" s="294"/>
      <c r="AK1015" s="294"/>
      <c r="AL1015" s="416"/>
      <c r="AM1015" s="569"/>
      <c r="AN1015" s="127"/>
      <c r="AO1015" s="56"/>
      <c r="AP1015" s="12"/>
      <c r="AQ1015" s="485"/>
      <c r="AR1015" s="396" t="e">
        <f t="shared" si="421"/>
        <v>#DIV/0!</v>
      </c>
      <c r="AS1015" s="485"/>
      <c r="AT1015" s="124"/>
      <c r="AU1015" s="124"/>
      <c r="AV1015" s="124"/>
      <c r="AW1015" s="351">
        <v>24</v>
      </c>
      <c r="AX1015" s="351" t="s">
        <v>359</v>
      </c>
      <c r="AY1015" s="243" t="s">
        <v>538</v>
      </c>
      <c r="AZ1015" s="243" t="str">
        <f t="shared" si="397"/>
        <v>Chinook</v>
      </c>
      <c r="BA1015" s="243" t="s">
        <v>419</v>
      </c>
      <c r="BB1015" s="243" t="s">
        <v>626</v>
      </c>
      <c r="BC1015" s="43" t="str">
        <f t="shared" si="398"/>
        <v>Oct 22-28</v>
      </c>
      <c r="BD1015" s="43">
        <f t="shared" si="417"/>
        <v>1</v>
      </c>
      <c r="BE1015" s="193">
        <f t="shared" si="414"/>
        <v>1</v>
      </c>
      <c r="BF1015" s="193">
        <f t="shared" si="399"/>
        <v>0</v>
      </c>
      <c r="BG1015" s="193">
        <f t="shared" si="400"/>
        <v>0</v>
      </c>
      <c r="BH1015" s="307">
        <f t="shared" si="416"/>
        <v>0</v>
      </c>
      <c r="BI1015" s="354" t="s">
        <v>242</v>
      </c>
      <c r="BJ1015" s="26" t="str">
        <f t="shared" si="401"/>
        <v>ESCALANTE RIVERChinook</v>
      </c>
      <c r="BK1015" s="26">
        <f t="shared" si="402"/>
        <v>1</v>
      </c>
      <c r="BL1015" s="33">
        <f t="shared" si="418"/>
        <v>1</v>
      </c>
      <c r="BM1015" s="34">
        <f t="shared" si="419"/>
        <v>1.1399999999999999</v>
      </c>
      <c r="BN1015" s="34">
        <f t="shared" si="420"/>
        <v>2.88</v>
      </c>
      <c r="BO1015" s="35" t="s">
        <v>234</v>
      </c>
      <c r="BQ1015" s="47" t="str">
        <f t="shared" si="403"/>
        <v>ESCALANTE RIVERChinook</v>
      </c>
      <c r="BR1015" s="49">
        <f t="shared" si="404"/>
        <v>0</v>
      </c>
      <c r="BS1015" s="49">
        <f t="shared" si="413"/>
        <v>0</v>
      </c>
      <c r="BT1015" s="31">
        <v>2001</v>
      </c>
      <c r="BU1015" s="188" t="str">
        <f t="shared" si="405"/>
        <v>Redd</v>
      </c>
      <c r="BV1015" s="188" t="str">
        <f t="shared" si="406"/>
        <v xml:space="preserve"> </v>
      </c>
      <c r="BW1015" s="188" t="str">
        <f>IF(ISNUMBER(W1015),W$8,IF(ISNUMBER(V1015),V$8,IF(ISNUMBER(U1015),U$8,IF(ISNUMBER(T1015),T$8,IF(ISNUMBER(R1015),S$8,IF(ISNUMBER(#REF!),R$8," "))))))</f>
        <v>Oct 22-28</v>
      </c>
      <c r="BX1015" s="188" t="str">
        <f t="shared" si="407"/>
        <v xml:space="preserve"> </v>
      </c>
      <c r="BY1015" s="50" t="str">
        <f t="shared" si="396"/>
        <v>ESCALANTE RIVER_Chinook</v>
      </c>
      <c r="BZ1015" s="50" t="str">
        <f>IFERROR(VLOOKUP(BY1015,'[1]WCVI Esc'!$C$5:$W$555,18,FALSE),"-")</f>
        <v>-</v>
      </c>
      <c r="CA1015" s="50" t="str">
        <f t="shared" si="408"/>
        <v>-</v>
      </c>
      <c r="CB1015" s="50" t="str">
        <f>IFERROR(VLOOKUP(BY1015,'[1]WCVI Esc'!$C$5:$W$555,19,FALSE),"-")</f>
        <v>-</v>
      </c>
      <c r="CC1015" s="50" t="str">
        <f t="shared" si="409"/>
        <v>-</v>
      </c>
    </row>
    <row r="1016" spans="1:87" ht="12.75" hidden="1" customHeight="1" x14ac:dyDescent="0.2">
      <c r="A1016" s="28">
        <v>4</v>
      </c>
      <c r="B1016" s="28">
        <v>6</v>
      </c>
      <c r="C1016" s="11">
        <v>25</v>
      </c>
      <c r="D1016" s="68" t="s">
        <v>359</v>
      </c>
      <c r="E1016" s="10" t="s">
        <v>538</v>
      </c>
      <c r="F1016" s="10" t="s">
        <v>211</v>
      </c>
      <c r="G1016" s="10"/>
      <c r="H1016" s="10"/>
      <c r="I1016" s="10"/>
      <c r="J1016" s="10"/>
      <c r="K1016" s="202"/>
      <c r="L1016" s="205"/>
      <c r="M1016" s="164"/>
      <c r="N1016" s="62"/>
      <c r="O1016" s="62"/>
      <c r="P1016" s="177"/>
      <c r="Q1016" s="171"/>
      <c r="R1016" s="62"/>
      <c r="S1016" s="62"/>
      <c r="T1016" s="331">
        <v>0</v>
      </c>
      <c r="U1016" s="186"/>
      <c r="V1016" s="164"/>
      <c r="W1016" s="94"/>
      <c r="X1016" s="94"/>
      <c r="Y1016" s="62"/>
      <c r="Z1016" s="64"/>
      <c r="AA1016" s="207"/>
      <c r="AB1016" s="202"/>
      <c r="AC1016" s="202"/>
      <c r="AD1016" s="205"/>
      <c r="AE1016" s="207"/>
      <c r="AF1016" s="202"/>
      <c r="AG1016" s="205"/>
      <c r="AH1016" s="294"/>
      <c r="AI1016" s="294"/>
      <c r="AJ1016" s="294"/>
      <c r="AK1016" s="294"/>
      <c r="AL1016" s="416"/>
      <c r="AM1016" s="569"/>
      <c r="AN1016" s="127"/>
      <c r="AO1016" s="56"/>
      <c r="AP1016" s="12"/>
      <c r="AQ1016" s="485"/>
      <c r="AR1016" s="396" t="e">
        <f t="shared" si="421"/>
        <v>#DIV/0!</v>
      </c>
      <c r="AS1016" s="485"/>
      <c r="AT1016" s="124"/>
      <c r="AU1016" s="124"/>
      <c r="AV1016" s="124"/>
      <c r="AW1016" s="351">
        <v>24</v>
      </c>
      <c r="AX1016" s="351" t="s">
        <v>359</v>
      </c>
      <c r="AY1016" s="243" t="s">
        <v>538</v>
      </c>
      <c r="AZ1016" s="243" t="str">
        <f t="shared" si="397"/>
        <v>Steelhead</v>
      </c>
      <c r="BA1016" s="243" t="s">
        <v>419</v>
      </c>
      <c r="BB1016" s="243" t="s">
        <v>626</v>
      </c>
      <c r="BC1016" s="43" t="str">
        <f t="shared" si="398"/>
        <v>Oct 22-28</v>
      </c>
      <c r="BD1016" s="43">
        <f t="shared" si="417"/>
        <v>1</v>
      </c>
      <c r="BE1016" s="193">
        <f t="shared" si="414"/>
        <v>0</v>
      </c>
      <c r="BF1016" s="193">
        <f t="shared" si="399"/>
        <v>0</v>
      </c>
      <c r="BG1016" s="193">
        <f t="shared" si="400"/>
        <v>0</v>
      </c>
      <c r="BH1016" s="307">
        <f t="shared" si="416"/>
        <v>0</v>
      </c>
      <c r="BI1016" s="354" t="s">
        <v>242</v>
      </c>
      <c r="BJ1016" s="26" t="str">
        <f t="shared" si="401"/>
        <v>ESCALANTE RIVERSteelhead</v>
      </c>
      <c r="BK1016" s="26">
        <f t="shared" si="402"/>
        <v>1</v>
      </c>
      <c r="BL1016" s="33">
        <f t="shared" si="418"/>
        <v>0</v>
      </c>
      <c r="BM1016" s="34">
        <f t="shared" si="419"/>
        <v>0</v>
      </c>
      <c r="BN1016" s="34">
        <f t="shared" si="420"/>
        <v>0</v>
      </c>
      <c r="BO1016" s="35" t="s">
        <v>234</v>
      </c>
      <c r="BQ1016" s="47" t="str">
        <f t="shared" si="403"/>
        <v>ESCALANTE RIVERSteelhead</v>
      </c>
      <c r="BR1016" s="49">
        <f t="shared" si="404"/>
        <v>0</v>
      </c>
      <c r="BS1016" s="49">
        <f t="shared" si="413"/>
        <v>0</v>
      </c>
      <c r="BT1016" s="31">
        <v>2001</v>
      </c>
      <c r="BU1016" s="188" t="str">
        <f t="shared" si="405"/>
        <v>Redd</v>
      </c>
      <c r="BV1016" s="188" t="str">
        <f t="shared" si="406"/>
        <v xml:space="preserve"> </v>
      </c>
      <c r="BW1016" s="188" t="str">
        <f>IF(ISNUMBER(W1016),W$8,IF(ISNUMBER(V1016),V$8,IF(ISNUMBER(U1016),U$8,IF(ISNUMBER(T1016),T$8,IF(ISNUMBER(R1016),S$8,IF(ISNUMBER(#REF!),R$8," "))))))</f>
        <v>Oct 22-28</v>
      </c>
      <c r="BX1016" s="188" t="str">
        <f t="shared" si="407"/>
        <v xml:space="preserve"> </v>
      </c>
      <c r="BY1016" s="50" t="str">
        <f t="shared" si="396"/>
        <v>ESCALANTE RIVER_Steelhead</v>
      </c>
      <c r="BZ1016" s="50" t="str">
        <f>IFERROR(VLOOKUP(BY1016,'[1]WCVI Esc'!$C$5:$W$555,18,FALSE),"-")</f>
        <v>-</v>
      </c>
      <c r="CA1016" s="50" t="str">
        <f t="shared" si="408"/>
        <v>-</v>
      </c>
      <c r="CB1016" s="50" t="str">
        <f>IFERROR(VLOOKUP(BY1016,'[1]WCVI Esc'!$C$5:$W$555,19,FALSE),"-")</f>
        <v>-</v>
      </c>
      <c r="CC1016" s="50" t="str">
        <f t="shared" si="409"/>
        <v>-</v>
      </c>
    </row>
    <row r="1017" spans="1:87" ht="12.75" customHeight="1" x14ac:dyDescent="0.2">
      <c r="A1017" s="29">
        <v>2</v>
      </c>
      <c r="B1017" s="29">
        <v>1</v>
      </c>
      <c r="C1017" s="13">
        <v>25</v>
      </c>
      <c r="D1017" s="573" t="s">
        <v>299</v>
      </c>
      <c r="E1017" s="10" t="s">
        <v>44</v>
      </c>
      <c r="F1017" s="10" t="s">
        <v>207</v>
      </c>
      <c r="G1017" s="10"/>
      <c r="H1017" s="10"/>
      <c r="I1017" s="10"/>
      <c r="J1017" s="10"/>
      <c r="K1017" s="575"/>
      <c r="L1017" s="152"/>
      <c r="M1017" s="647">
        <v>0</v>
      </c>
      <c r="N1017" s="642">
        <v>0</v>
      </c>
      <c r="O1017" s="62"/>
      <c r="P1017" s="603"/>
      <c r="Q1017" s="693">
        <v>136</v>
      </c>
      <c r="R1017" s="428"/>
      <c r="S1017" s="428"/>
      <c r="T1017" s="390"/>
      <c r="U1017" s="607"/>
      <c r="V1017" s="421"/>
      <c r="W1017" s="62"/>
      <c r="X1017" s="63"/>
      <c r="Y1017" s="62"/>
      <c r="Z1017" s="64"/>
      <c r="AA1017" s="164"/>
      <c r="AB1017" s="62"/>
      <c r="AC1017" s="62"/>
      <c r="AD1017" s="64"/>
      <c r="AE1017" s="164"/>
      <c r="AF1017" s="62"/>
      <c r="AG1017" s="64"/>
      <c r="AH1017" s="337">
        <v>135</v>
      </c>
      <c r="AI1017" s="337">
        <v>1</v>
      </c>
      <c r="AJ1017" s="337">
        <v>0</v>
      </c>
      <c r="AK1017" s="337">
        <v>0</v>
      </c>
      <c r="AL1017" s="555">
        <v>135</v>
      </c>
      <c r="AM1017" s="552">
        <v>136</v>
      </c>
      <c r="AN1017" s="552" t="s">
        <v>765</v>
      </c>
      <c r="AO1017" s="552" t="s">
        <v>769</v>
      </c>
      <c r="AP1017" s="44">
        <v>3</v>
      </c>
      <c r="AQ1017" s="485">
        <f>AL1017/BI1017</f>
        <v>0.18493150684931506</v>
      </c>
      <c r="AR1017" s="396">
        <f t="shared" si="421"/>
        <v>0.75555555555555554</v>
      </c>
      <c r="AS1017" s="485">
        <f>BL1017/BI1017</f>
        <v>0.18630136986301371</v>
      </c>
      <c r="AT1017" s="123"/>
      <c r="AU1017" s="123"/>
      <c r="AV1017" s="123"/>
      <c r="AW1017" s="69">
        <v>25</v>
      </c>
      <c r="AX1017" s="196" t="s">
        <v>299</v>
      </c>
      <c r="AY1017" s="243" t="s">
        <v>44</v>
      </c>
      <c r="AZ1017" s="243" t="str">
        <f t="shared" si="397"/>
        <v>Sockeye</v>
      </c>
      <c r="BA1017" s="243" t="s">
        <v>419</v>
      </c>
      <c r="BB1017" s="244" t="s">
        <v>452</v>
      </c>
      <c r="BC1017" s="43" t="str">
        <f t="shared" si="398"/>
        <v>Oct 1-7</v>
      </c>
      <c r="BD1017" s="43">
        <f t="shared" si="417"/>
        <v>3</v>
      </c>
      <c r="BE1017" s="193">
        <f t="shared" si="414"/>
        <v>136</v>
      </c>
      <c r="BF1017" s="193">
        <f t="shared" si="399"/>
        <v>135</v>
      </c>
      <c r="BG1017" s="193">
        <f t="shared" si="400"/>
        <v>135</v>
      </c>
      <c r="BH1017" s="307">
        <f t="shared" si="416"/>
        <v>180</v>
      </c>
      <c r="BI1017" s="265">
        <f t="shared" ref="BI1017:BI1024" si="422">CC1017</f>
        <v>730</v>
      </c>
      <c r="BJ1017" s="26" t="str">
        <f t="shared" si="401"/>
        <v>BURMAN RIVERSockeye</v>
      </c>
      <c r="BK1017" s="26">
        <f t="shared" si="402"/>
        <v>3</v>
      </c>
      <c r="BL1017" s="33">
        <f t="shared" si="418"/>
        <v>136</v>
      </c>
      <c r="BO1017"/>
      <c r="BP1017" s="34"/>
      <c r="BQ1017" s="47" t="str">
        <f t="shared" si="403"/>
        <v>BURMAN RIVERSockeye</v>
      </c>
      <c r="BR1017" s="49">
        <f t="shared" si="404"/>
        <v>3</v>
      </c>
      <c r="BS1017" s="49">
        <f t="shared" si="413"/>
        <v>135</v>
      </c>
      <c r="BT1017" s="31">
        <v>2016</v>
      </c>
      <c r="BU1017" s="188" t="str">
        <f t="shared" si="405"/>
        <v>MMFN</v>
      </c>
      <c r="BV1017" s="188" t="str">
        <f t="shared" si="406"/>
        <v>Oct 1-7</v>
      </c>
      <c r="BW1017" s="188" t="str">
        <f t="shared" ref="BW1017:BW1052" si="423">IF(ISNUMBER(W1017),W$8,IF(ISNUMBER(V1017),V$8,IF(ISNUMBER(U1017),U$8,IF(ISNUMBER(T1017),T$8,IF(ISNUMBER(S1017),S$8,IF(ISNUMBER(R1017),R$8," "))))))</f>
        <v xml:space="preserve"> </v>
      </c>
      <c r="BX1017" s="188" t="str">
        <f t="shared" si="407"/>
        <v xml:space="preserve"> </v>
      </c>
      <c r="BY1017" s="50" t="str">
        <f t="shared" si="396"/>
        <v>BURMAN RIVER_Sockeye</v>
      </c>
      <c r="BZ1017" s="50">
        <f>IFERROR(VLOOKUP(BY1017,'[1]WCVI Esc'!$C$5:$W$555,18,FALSE),"-")</f>
        <v>207</v>
      </c>
      <c r="CA1017" s="50">
        <f t="shared" si="408"/>
        <v>210</v>
      </c>
      <c r="CB1017" s="50">
        <f>IFERROR(VLOOKUP(BY1017,'[1]WCVI Esc'!$C$5:$W$555,19,FALSE),"-")</f>
        <v>725.41666666666663</v>
      </c>
      <c r="CC1017" s="50">
        <f t="shared" si="409"/>
        <v>730</v>
      </c>
      <c r="CE1017" s="342" t="str">
        <f t="shared" ref="CE1017:CE1048" si="424">CONCATENATE(E1017,"_",F1017)</f>
        <v>BURMAN RIVER_Sockeye</v>
      </c>
      <c r="CF1017" s="341">
        <f>IFERROR(VLOOKUP(CE1017,'RawPL+D'!$O$8:$AB$503,12,FALSE),"-")</f>
        <v>24</v>
      </c>
      <c r="CG1017" s="338">
        <f t="shared" ref="CG1017:CG1080" si="425">IFERROR(ROUND(CF1017,-1),"-")</f>
        <v>20</v>
      </c>
      <c r="CH1017" s="341">
        <f>IFERROR(VLOOKUP(BY1017,'RawPL+D'!$O$8:$AB$503,13,FALSE),"-")</f>
        <v>176.25</v>
      </c>
      <c r="CI1017" s="338">
        <f t="shared" ref="CI1017:CI1080" si="426">IFERROR(ROUND(CH1017,-1),"-")</f>
        <v>180</v>
      </c>
    </row>
    <row r="1018" spans="1:87" ht="12.75" customHeight="1" x14ac:dyDescent="0.2">
      <c r="A1018" s="29">
        <v>2</v>
      </c>
      <c r="B1018" s="29">
        <v>2</v>
      </c>
      <c r="C1018" s="13">
        <v>25</v>
      </c>
      <c r="D1018" s="573" t="s">
        <v>299</v>
      </c>
      <c r="E1018" s="10" t="s">
        <v>44</v>
      </c>
      <c r="F1018" s="10" t="s">
        <v>219</v>
      </c>
      <c r="G1018" s="10"/>
      <c r="H1018" s="10"/>
      <c r="I1018" s="10"/>
      <c r="J1018" s="10"/>
      <c r="K1018" s="575"/>
      <c r="L1018" s="152"/>
      <c r="M1018" s="647">
        <v>0</v>
      </c>
      <c r="N1018" s="642">
        <v>6</v>
      </c>
      <c r="O1018" s="62"/>
      <c r="P1018" s="424"/>
      <c r="Q1018" s="683">
        <v>263</v>
      </c>
      <c r="R1018" s="428"/>
      <c r="S1018" s="428"/>
      <c r="T1018" s="432"/>
      <c r="U1018" s="608"/>
      <c r="V1018" s="429"/>
      <c r="W1018" s="62"/>
      <c r="X1018" s="63"/>
      <c r="Y1018" s="62"/>
      <c r="Z1018" s="64"/>
      <c r="AA1018" s="164"/>
      <c r="AB1018" s="62"/>
      <c r="AC1018" s="62"/>
      <c r="AD1018" s="64"/>
      <c r="AE1018" s="164"/>
      <c r="AF1018" s="62"/>
      <c r="AG1018" s="64"/>
      <c r="AH1018" s="337">
        <v>262</v>
      </c>
      <c r="AI1018" s="337">
        <v>0</v>
      </c>
      <c r="AJ1018" s="337">
        <v>0</v>
      </c>
      <c r="AK1018" s="337">
        <v>0</v>
      </c>
      <c r="AL1018" s="555">
        <v>262</v>
      </c>
      <c r="AM1018" s="552">
        <v>262</v>
      </c>
      <c r="AN1018" s="552" t="s">
        <v>765</v>
      </c>
      <c r="AO1018" s="45" t="s">
        <v>769</v>
      </c>
      <c r="AP1018" s="44">
        <v>3</v>
      </c>
      <c r="AQ1018" s="485">
        <f>AL1018/BI1018</f>
        <v>0.31566265060240961</v>
      </c>
      <c r="AR1018" s="396">
        <f t="shared" si="421"/>
        <v>0.97407407407407409</v>
      </c>
      <c r="AS1018" s="485">
        <f>BL1018/BI1018</f>
        <v>0.31686746987951808</v>
      </c>
      <c r="AT1018" s="123"/>
      <c r="AU1018" s="123"/>
      <c r="AV1018" s="123"/>
      <c r="AW1018" s="69">
        <v>25</v>
      </c>
      <c r="AX1018" s="196" t="s">
        <v>299</v>
      </c>
      <c r="AY1018" s="243" t="s">
        <v>44</v>
      </c>
      <c r="AZ1018" s="243" t="str">
        <f t="shared" si="397"/>
        <v>Coho</v>
      </c>
      <c r="BA1018" s="243" t="s">
        <v>419</v>
      </c>
      <c r="BB1018" s="244" t="s">
        <v>452</v>
      </c>
      <c r="BC1018" s="43" t="str">
        <f t="shared" si="398"/>
        <v>Oct 1-7</v>
      </c>
      <c r="BD1018" s="43">
        <f t="shared" si="417"/>
        <v>3</v>
      </c>
      <c r="BE1018" s="193">
        <f t="shared" si="414"/>
        <v>263</v>
      </c>
      <c r="BF1018" s="193">
        <f t="shared" si="399"/>
        <v>262</v>
      </c>
      <c r="BG1018" s="193">
        <f t="shared" si="400"/>
        <v>262</v>
      </c>
      <c r="BH1018" s="307">
        <f t="shared" si="416"/>
        <v>270</v>
      </c>
      <c r="BI1018" s="265">
        <f t="shared" si="422"/>
        <v>830</v>
      </c>
      <c r="BJ1018" s="26" t="str">
        <f t="shared" si="401"/>
        <v>BURMAN RIVERCoho</v>
      </c>
      <c r="BK1018" s="26">
        <f t="shared" si="402"/>
        <v>3</v>
      </c>
      <c r="BL1018" s="33">
        <f t="shared" si="418"/>
        <v>263</v>
      </c>
      <c r="BO1018"/>
      <c r="BP1018" s="34"/>
      <c r="BQ1018" s="47" t="str">
        <f t="shared" si="403"/>
        <v>BURMAN RIVERCoho</v>
      </c>
      <c r="BR1018" s="49">
        <f t="shared" si="404"/>
        <v>3</v>
      </c>
      <c r="BS1018" s="49">
        <f t="shared" si="413"/>
        <v>262</v>
      </c>
      <c r="BT1018" s="31">
        <v>2016</v>
      </c>
      <c r="BU1018" s="188" t="str">
        <f t="shared" si="405"/>
        <v>MMFN</v>
      </c>
      <c r="BV1018" s="188" t="str">
        <f t="shared" si="406"/>
        <v>Oct 1-7</v>
      </c>
      <c r="BW1018" s="188" t="str">
        <f t="shared" si="423"/>
        <v xml:space="preserve"> </v>
      </c>
      <c r="BX1018" s="188" t="str">
        <f t="shared" si="407"/>
        <v xml:space="preserve"> </v>
      </c>
      <c r="BY1018" s="50" t="str">
        <f t="shared" si="396"/>
        <v>BURMAN RIVER_Coho</v>
      </c>
      <c r="BZ1018" s="50">
        <f>IFERROR(VLOOKUP(BY1018,'[1]WCVI Esc'!$C$5:$W$555,18,FALSE),"-")</f>
        <v>329</v>
      </c>
      <c r="CA1018" s="50">
        <f t="shared" si="408"/>
        <v>330</v>
      </c>
      <c r="CB1018" s="50">
        <f>IFERROR(VLOOKUP(BY1018,'[1]WCVI Esc'!$C$5:$W$555,19,FALSE),"-")</f>
        <v>825.58333333333337</v>
      </c>
      <c r="CC1018" s="50">
        <f t="shared" si="409"/>
        <v>830</v>
      </c>
      <c r="CE1018" s="342" t="str">
        <f t="shared" si="424"/>
        <v>BURMAN RIVER_Coho</v>
      </c>
      <c r="CF1018" s="341">
        <f>IFERROR(VLOOKUP(CE1018,'RawPL+D'!$O$8:$AB$503,12,FALSE),"-")</f>
        <v>134</v>
      </c>
      <c r="CG1018" s="338">
        <f t="shared" si="425"/>
        <v>130</v>
      </c>
      <c r="CH1018" s="341">
        <f>IFERROR(VLOOKUP(BY1018,'RawPL+D'!$O$8:$AB$503,13,FALSE),"-")</f>
        <v>269.5</v>
      </c>
      <c r="CI1018" s="338">
        <f t="shared" si="426"/>
        <v>270</v>
      </c>
    </row>
    <row r="1019" spans="1:87" ht="12.75" hidden="1" customHeight="1" x14ac:dyDescent="0.2">
      <c r="A1019" s="29">
        <v>2</v>
      </c>
      <c r="B1019" s="29">
        <v>3</v>
      </c>
      <c r="C1019" s="13">
        <v>25</v>
      </c>
      <c r="D1019" s="573" t="s">
        <v>299</v>
      </c>
      <c r="E1019" s="10" t="s">
        <v>44</v>
      </c>
      <c r="F1019" s="10" t="s">
        <v>208</v>
      </c>
      <c r="G1019" s="10"/>
      <c r="H1019" s="10"/>
      <c r="I1019" s="10"/>
      <c r="J1019" s="10"/>
      <c r="K1019" s="575"/>
      <c r="L1019" s="152"/>
      <c r="M1019" s="647">
        <v>0</v>
      </c>
      <c r="N1019" s="642">
        <v>0</v>
      </c>
      <c r="O1019" s="62"/>
      <c r="P1019" s="424"/>
      <c r="Q1019" s="683">
        <v>0</v>
      </c>
      <c r="R1019" s="339"/>
      <c r="S1019" s="339"/>
      <c r="T1019" s="62"/>
      <c r="U1019" s="186"/>
      <c r="V1019" s="164"/>
      <c r="W1019" s="62"/>
      <c r="X1019" s="63"/>
      <c r="Y1019" s="62"/>
      <c r="Z1019" s="64"/>
      <c r="AA1019" s="164"/>
      <c r="AB1019" s="62"/>
      <c r="AC1019" s="62"/>
      <c r="AD1019" s="64"/>
      <c r="AE1019" s="164"/>
      <c r="AF1019" s="62"/>
      <c r="AG1019" s="64"/>
      <c r="AH1019" s="337"/>
      <c r="AI1019" s="337"/>
      <c r="AJ1019" s="337"/>
      <c r="AK1019" s="337"/>
      <c r="AL1019" s="555"/>
      <c r="AM1019" s="552"/>
      <c r="AN1019" s="552" t="s">
        <v>770</v>
      </c>
      <c r="AO1019" s="45"/>
      <c r="AP1019" s="44"/>
      <c r="AQ1019" s="485"/>
      <c r="AR1019" s="100"/>
      <c r="AS1019" s="485">
        <f>BL1019/BI1019</f>
        <v>0</v>
      </c>
      <c r="AT1019" s="123"/>
      <c r="AU1019" s="123"/>
      <c r="AV1019" s="123"/>
      <c r="AW1019" s="69">
        <v>25</v>
      </c>
      <c r="AX1019" s="196" t="s">
        <v>299</v>
      </c>
      <c r="AY1019" s="243" t="s">
        <v>44</v>
      </c>
      <c r="AZ1019" s="243" t="str">
        <f t="shared" si="397"/>
        <v>Pink</v>
      </c>
      <c r="BA1019" s="243" t="s">
        <v>419</v>
      </c>
      <c r="BB1019" s="244" t="s">
        <v>452</v>
      </c>
      <c r="BC1019" s="43" t="str">
        <f t="shared" si="398"/>
        <v>Oct 1-7</v>
      </c>
      <c r="BD1019" s="43">
        <f t="shared" si="417"/>
        <v>3</v>
      </c>
      <c r="BE1019" s="193">
        <f t="shared" si="414"/>
        <v>0</v>
      </c>
      <c r="BF1019" s="193">
        <f t="shared" si="399"/>
        <v>0</v>
      </c>
      <c r="BG1019" s="193">
        <f t="shared" si="400"/>
        <v>0</v>
      </c>
      <c r="BH1019" s="307">
        <f t="shared" si="416"/>
        <v>0</v>
      </c>
      <c r="BI1019" s="265">
        <f t="shared" si="422"/>
        <v>20</v>
      </c>
      <c r="BJ1019" s="26" t="str">
        <f t="shared" si="401"/>
        <v>BURMAN RIVERPink</v>
      </c>
      <c r="BK1019" s="26">
        <f t="shared" si="402"/>
        <v>3</v>
      </c>
      <c r="BL1019" s="33">
        <f t="shared" si="418"/>
        <v>0</v>
      </c>
      <c r="BO1019"/>
      <c r="BP1019" s="34"/>
      <c r="BQ1019" s="47" t="str">
        <f t="shared" si="403"/>
        <v>BURMAN RIVERPink</v>
      </c>
      <c r="BR1019" s="49">
        <f t="shared" si="404"/>
        <v>0</v>
      </c>
      <c r="BS1019" s="49">
        <f t="shared" si="413"/>
        <v>0</v>
      </c>
      <c r="BT1019" s="31">
        <v>2016</v>
      </c>
      <c r="BU1019" s="188" t="str">
        <f t="shared" si="405"/>
        <v>MMFN</v>
      </c>
      <c r="BV1019" s="188" t="str">
        <f t="shared" si="406"/>
        <v>Oct 1-7</v>
      </c>
      <c r="BW1019" s="188" t="str">
        <f t="shared" si="423"/>
        <v xml:space="preserve"> </v>
      </c>
      <c r="BX1019" s="188" t="str">
        <f t="shared" si="407"/>
        <v xml:space="preserve"> </v>
      </c>
      <c r="BY1019" s="50" t="str">
        <f t="shared" si="396"/>
        <v>BURMAN RIVER_Pink</v>
      </c>
      <c r="BZ1019" s="50">
        <f>IFERROR(VLOOKUP(BY1019,'[1]WCVI Esc'!$C$5:$W$555,18,FALSE),"-")</f>
        <v>2</v>
      </c>
      <c r="CA1019" s="50">
        <f t="shared" si="408"/>
        <v>0</v>
      </c>
      <c r="CB1019" s="50">
        <f>IFERROR(VLOOKUP(BY1019,'[1]WCVI Esc'!$C$5:$W$555,19,FALSE),"-")</f>
        <v>16.8</v>
      </c>
      <c r="CC1019" s="50">
        <f t="shared" si="409"/>
        <v>20</v>
      </c>
      <c r="CE1019" s="342" t="str">
        <f t="shared" si="424"/>
        <v>BURMAN RIVER_Pink</v>
      </c>
      <c r="CF1019" s="341">
        <f>IFERROR(VLOOKUP(CE1019,'RawPL+D'!$O$8:$AB$503,12,FALSE),"-")</f>
        <v>0</v>
      </c>
      <c r="CG1019" s="338">
        <f t="shared" si="425"/>
        <v>0</v>
      </c>
      <c r="CH1019" s="341">
        <f>IFERROR(VLOOKUP(BY1019,'RawPL+D'!$O$8:$AB$503,13,FALSE),"-")</f>
        <v>0.5</v>
      </c>
      <c r="CI1019" s="338">
        <f t="shared" si="426"/>
        <v>0</v>
      </c>
    </row>
    <row r="1020" spans="1:87" ht="12.75" customHeight="1" x14ac:dyDescent="0.2">
      <c r="A1020" s="29">
        <v>2</v>
      </c>
      <c r="B1020" s="29">
        <v>4</v>
      </c>
      <c r="C1020" s="13">
        <v>25</v>
      </c>
      <c r="D1020" s="573" t="s">
        <v>299</v>
      </c>
      <c r="E1020" s="10" t="s">
        <v>44</v>
      </c>
      <c r="F1020" s="10" t="s">
        <v>209</v>
      </c>
      <c r="G1020" s="10"/>
      <c r="H1020" s="10"/>
      <c r="I1020" s="10"/>
      <c r="J1020" s="10"/>
      <c r="K1020" s="575"/>
      <c r="L1020" s="152"/>
      <c r="M1020" s="647">
        <v>10</v>
      </c>
      <c r="N1020" s="642">
        <v>10</v>
      </c>
      <c r="O1020" s="62"/>
      <c r="P1020" s="603"/>
      <c r="Q1020" s="693">
        <v>608</v>
      </c>
      <c r="R1020" s="428"/>
      <c r="S1020" s="428"/>
      <c r="T1020" s="390"/>
      <c r="U1020" s="607"/>
      <c r="V1020" s="421"/>
      <c r="W1020" s="62"/>
      <c r="X1020" s="63"/>
      <c r="Y1020" s="62"/>
      <c r="Z1020" s="64"/>
      <c r="AA1020" s="164"/>
      <c r="AB1020" s="62"/>
      <c r="AC1020" s="62"/>
      <c r="AD1020" s="64"/>
      <c r="AE1020" s="164"/>
      <c r="AF1020" s="62"/>
      <c r="AG1020" s="64"/>
      <c r="AH1020" s="337">
        <v>608</v>
      </c>
      <c r="AI1020" s="337">
        <v>0</v>
      </c>
      <c r="AJ1020" s="337">
        <v>0</v>
      </c>
      <c r="AK1020" s="337">
        <v>0</v>
      </c>
      <c r="AL1020" s="555">
        <v>608</v>
      </c>
      <c r="AM1020" s="552">
        <v>608</v>
      </c>
      <c r="AN1020" s="552" t="s">
        <v>765</v>
      </c>
      <c r="AO1020" s="45" t="s">
        <v>769</v>
      </c>
      <c r="AP1020" s="44">
        <v>3</v>
      </c>
      <c r="AQ1020" s="485">
        <f>AL1020/BI1020</f>
        <v>0.15510204081632653</v>
      </c>
      <c r="AR1020" s="396">
        <f>BL1020/BH1020</f>
        <v>0.71529411764705886</v>
      </c>
      <c r="AS1020" s="485">
        <f>BL1020/BI1020</f>
        <v>0.15510204081632653</v>
      </c>
      <c r="AT1020" s="123"/>
      <c r="AU1020" s="123"/>
      <c r="AV1020" s="123"/>
      <c r="AW1020" s="69">
        <v>25</v>
      </c>
      <c r="AX1020" s="196" t="s">
        <v>299</v>
      </c>
      <c r="AY1020" s="243" t="s">
        <v>44</v>
      </c>
      <c r="AZ1020" s="243" t="str">
        <f t="shared" si="397"/>
        <v>Chum</v>
      </c>
      <c r="BA1020" s="243" t="s">
        <v>419</v>
      </c>
      <c r="BB1020" s="244" t="s">
        <v>452</v>
      </c>
      <c r="BC1020" s="43" t="str">
        <f t="shared" si="398"/>
        <v>Oct 1-7</v>
      </c>
      <c r="BD1020" s="43">
        <f t="shared" si="417"/>
        <v>3</v>
      </c>
      <c r="BE1020" s="193">
        <f t="shared" si="414"/>
        <v>608</v>
      </c>
      <c r="BF1020" s="193">
        <f t="shared" si="399"/>
        <v>608</v>
      </c>
      <c r="BG1020" s="193">
        <f t="shared" si="400"/>
        <v>608</v>
      </c>
      <c r="BH1020" s="307">
        <f t="shared" si="416"/>
        <v>850</v>
      </c>
      <c r="BI1020" s="265">
        <f t="shared" si="422"/>
        <v>3920</v>
      </c>
      <c r="BJ1020" s="26" t="str">
        <f t="shared" si="401"/>
        <v>BURMAN RIVERChum</v>
      </c>
      <c r="BK1020" s="26">
        <f t="shared" si="402"/>
        <v>3</v>
      </c>
      <c r="BL1020" s="33">
        <f t="shared" si="418"/>
        <v>608</v>
      </c>
      <c r="BO1020"/>
      <c r="BP1020" s="34"/>
      <c r="BQ1020" s="47" t="str">
        <f t="shared" si="403"/>
        <v>BURMAN RIVERChum</v>
      </c>
      <c r="BR1020" s="49">
        <f t="shared" si="404"/>
        <v>3</v>
      </c>
      <c r="BS1020" s="49">
        <f t="shared" si="413"/>
        <v>608</v>
      </c>
      <c r="BT1020" s="31">
        <v>2016</v>
      </c>
      <c r="BU1020" s="188" t="str">
        <f t="shared" si="405"/>
        <v>MMFN</v>
      </c>
      <c r="BV1020" s="188" t="str">
        <f t="shared" si="406"/>
        <v>Oct 1-7</v>
      </c>
      <c r="BW1020" s="188" t="str">
        <f t="shared" si="423"/>
        <v xml:space="preserve"> </v>
      </c>
      <c r="BX1020" s="188" t="str">
        <f t="shared" si="407"/>
        <v xml:space="preserve"> </v>
      </c>
      <c r="BY1020" s="50" t="str">
        <f t="shared" si="396"/>
        <v>BURMAN RIVER_Chum</v>
      </c>
      <c r="BZ1020" s="50">
        <f>IFERROR(VLOOKUP(BY1020,'[1]WCVI Esc'!$C$5:$W$555,18,FALSE),"-")</f>
        <v>1521</v>
      </c>
      <c r="CA1020" s="50">
        <f t="shared" si="408"/>
        <v>1520</v>
      </c>
      <c r="CB1020" s="50">
        <f>IFERROR(VLOOKUP(BY1020,'[1]WCVI Esc'!$C$5:$W$555,19,FALSE),"-")</f>
        <v>3916.5833333333335</v>
      </c>
      <c r="CC1020" s="50">
        <f t="shared" si="409"/>
        <v>3920</v>
      </c>
      <c r="CE1020" s="342" t="str">
        <f t="shared" si="424"/>
        <v>BURMAN RIVER_Chum</v>
      </c>
      <c r="CF1020" s="341">
        <f>IFERROR(VLOOKUP(CE1020,'RawPL+D'!$O$8:$AB$503,12,FALSE),"-")</f>
        <v>2094</v>
      </c>
      <c r="CG1020" s="338">
        <f t="shared" si="425"/>
        <v>2090</v>
      </c>
      <c r="CH1020" s="341">
        <f>IFERROR(VLOOKUP(BY1020,'RawPL+D'!$O$8:$AB$503,13,FALSE),"-")</f>
        <v>852.25</v>
      </c>
      <c r="CI1020" s="338">
        <f t="shared" si="426"/>
        <v>850</v>
      </c>
    </row>
    <row r="1021" spans="1:87" ht="12.75" customHeight="1" x14ac:dyDescent="0.2">
      <c r="A1021" s="29">
        <v>2</v>
      </c>
      <c r="B1021" s="29">
        <v>5</v>
      </c>
      <c r="C1021" s="13">
        <v>25</v>
      </c>
      <c r="D1021" s="573" t="s">
        <v>299</v>
      </c>
      <c r="E1021" s="10" t="s">
        <v>44</v>
      </c>
      <c r="F1021" s="10" t="s">
        <v>210</v>
      </c>
      <c r="G1021" s="10"/>
      <c r="H1021" s="10"/>
      <c r="I1021" s="10"/>
      <c r="J1021" s="10"/>
      <c r="K1021" s="575"/>
      <c r="L1021" s="152"/>
      <c r="M1021" s="647">
        <v>4500</v>
      </c>
      <c r="N1021" s="642">
        <v>4500</v>
      </c>
      <c r="O1021" s="62"/>
      <c r="P1021" s="603"/>
      <c r="Q1021" s="693">
        <v>926</v>
      </c>
      <c r="R1021" s="428"/>
      <c r="S1021" s="428"/>
      <c r="T1021" s="390"/>
      <c r="U1021" s="186"/>
      <c r="V1021" s="421"/>
      <c r="W1021" s="62"/>
      <c r="X1021" s="63"/>
      <c r="Y1021" s="62"/>
      <c r="Z1021" s="64"/>
      <c r="AA1021" s="164"/>
      <c r="AB1021" s="62"/>
      <c r="AC1021" s="62"/>
      <c r="AD1021" s="64"/>
      <c r="AE1021" s="164"/>
      <c r="AF1021" s="62"/>
      <c r="AG1021" s="64"/>
      <c r="AH1021" s="337">
        <v>4746</v>
      </c>
      <c r="AI1021" s="337">
        <v>114</v>
      </c>
      <c r="AJ1021" s="337">
        <v>222</v>
      </c>
      <c r="AK1021" s="337">
        <v>0</v>
      </c>
      <c r="AL1021" s="555">
        <v>4968</v>
      </c>
      <c r="AM1021" s="552">
        <v>5082</v>
      </c>
      <c r="AN1021" s="552" t="s">
        <v>768</v>
      </c>
      <c r="AO1021" s="552" t="s">
        <v>771</v>
      </c>
      <c r="AP1021" s="44"/>
      <c r="AQ1021" s="485">
        <f>AL1021/BI1021</f>
        <v>1.3319034852546916</v>
      </c>
      <c r="AR1021" s="396">
        <f>BL1021/BH1021</f>
        <v>4.0178571428571432</v>
      </c>
      <c r="AS1021" s="485">
        <f>BL1021/BI1021</f>
        <v>1.2064343163538873</v>
      </c>
      <c r="AT1021" s="123">
        <v>1131</v>
      </c>
      <c r="AU1021" s="123">
        <v>333</v>
      </c>
      <c r="AV1021" s="123">
        <f>AL1021</f>
        <v>4968</v>
      </c>
      <c r="AW1021" s="69">
        <v>25</v>
      </c>
      <c r="AX1021" s="196" t="s">
        <v>299</v>
      </c>
      <c r="AY1021" s="243" t="s">
        <v>44</v>
      </c>
      <c r="AZ1021" s="243" t="str">
        <f t="shared" si="397"/>
        <v>Chinook</v>
      </c>
      <c r="BA1021" s="243" t="s">
        <v>419</v>
      </c>
      <c r="BB1021" s="244" t="s">
        <v>452</v>
      </c>
      <c r="BC1021" s="43" t="str">
        <f t="shared" si="398"/>
        <v>Oct 1-7</v>
      </c>
      <c r="BD1021" s="43">
        <f t="shared" si="417"/>
        <v>3</v>
      </c>
      <c r="BE1021" s="193">
        <f t="shared" si="414"/>
        <v>4500</v>
      </c>
      <c r="BF1021" s="193">
        <f t="shared" si="399"/>
        <v>4968</v>
      </c>
      <c r="BG1021" s="193">
        <f t="shared" si="400"/>
        <v>4746</v>
      </c>
      <c r="BH1021" s="307">
        <f t="shared" si="416"/>
        <v>1120</v>
      </c>
      <c r="BI1021" s="265">
        <f t="shared" si="422"/>
        <v>3730</v>
      </c>
      <c r="BJ1021" s="26" t="str">
        <f t="shared" si="401"/>
        <v>BURMAN RIVERChinook</v>
      </c>
      <c r="BK1021" s="26">
        <f t="shared" si="402"/>
        <v>3</v>
      </c>
      <c r="BL1021" s="33">
        <f t="shared" si="418"/>
        <v>4500</v>
      </c>
      <c r="BM1021" s="34">
        <f>BL1021*1.14</f>
        <v>5130</v>
      </c>
      <c r="BN1021" s="34">
        <f>BL1021*2.88</f>
        <v>12960</v>
      </c>
      <c r="BO1021" s="36"/>
      <c r="BP1021" s="34">
        <f>SUM(BM1021:BN1021)/2</f>
        <v>9045</v>
      </c>
      <c r="BQ1021" s="47" t="str">
        <f t="shared" si="403"/>
        <v>BURMAN RIVERChinook</v>
      </c>
      <c r="BR1021" s="49">
        <f t="shared" si="404"/>
        <v>0</v>
      </c>
      <c r="BS1021" s="49">
        <f t="shared" si="413"/>
        <v>4968</v>
      </c>
      <c r="BT1021" s="31">
        <v>2016</v>
      </c>
      <c r="BU1021" s="188" t="str">
        <f t="shared" si="405"/>
        <v>MMFN</v>
      </c>
      <c r="BV1021" s="188" t="str">
        <f t="shared" si="406"/>
        <v>Oct 1-7</v>
      </c>
      <c r="BW1021" s="188" t="str">
        <f t="shared" si="423"/>
        <v xml:space="preserve"> </v>
      </c>
      <c r="BX1021" s="188" t="str">
        <f t="shared" si="407"/>
        <v xml:space="preserve"> </v>
      </c>
      <c r="BY1021" s="50" t="str">
        <f t="shared" si="396"/>
        <v>BURMAN RIVER_Chinook</v>
      </c>
      <c r="BZ1021" s="50">
        <f>IFERROR(VLOOKUP(BY1021,'[1]WCVI Esc'!$C$5:$W$555,18,FALSE),"-")</f>
        <v>2347</v>
      </c>
      <c r="CA1021" s="50">
        <f t="shared" si="408"/>
        <v>2350</v>
      </c>
      <c r="CB1021" s="50">
        <f>IFERROR(VLOOKUP(BY1021,'[1]WCVI Esc'!$C$5:$W$555,19,FALSE),"-")</f>
        <v>3729.25</v>
      </c>
      <c r="CC1021" s="50">
        <f t="shared" si="409"/>
        <v>3730</v>
      </c>
      <c r="CE1021" s="342" t="str">
        <f t="shared" si="424"/>
        <v>BURMAN RIVER_Chinook</v>
      </c>
      <c r="CF1021" s="341">
        <f>IFERROR(VLOOKUP(CE1021,'RawPL+D'!$O$8:$AB$503,12,FALSE),"-")</f>
        <v>650</v>
      </c>
      <c r="CG1021" s="338">
        <f t="shared" si="425"/>
        <v>650</v>
      </c>
      <c r="CH1021" s="341">
        <f>IFERROR(VLOOKUP(BY1021,'RawPL+D'!$O$8:$AB$503,13,FALSE),"-")</f>
        <v>1121.25</v>
      </c>
      <c r="CI1021" s="338">
        <f t="shared" si="426"/>
        <v>1120</v>
      </c>
    </row>
    <row r="1022" spans="1:87" ht="12.75" hidden="1" customHeight="1" x14ac:dyDescent="0.2">
      <c r="A1022" s="29">
        <v>2</v>
      </c>
      <c r="B1022" s="29">
        <v>6</v>
      </c>
      <c r="C1022" s="13">
        <v>25</v>
      </c>
      <c r="D1022" s="573" t="s">
        <v>299</v>
      </c>
      <c r="E1022" s="10" t="s">
        <v>44</v>
      </c>
      <c r="F1022" s="10" t="s">
        <v>211</v>
      </c>
      <c r="G1022" s="10"/>
      <c r="H1022" s="10"/>
      <c r="I1022" s="10"/>
      <c r="J1022" s="10"/>
      <c r="K1022" s="575"/>
      <c r="L1022" s="152"/>
      <c r="M1022" s="647">
        <v>0</v>
      </c>
      <c r="N1022" s="642">
        <v>0</v>
      </c>
      <c r="O1022" s="62"/>
      <c r="P1022" s="424"/>
      <c r="Q1022" s="683">
        <v>0</v>
      </c>
      <c r="R1022" s="339"/>
      <c r="S1022" s="339"/>
      <c r="T1022" s="62"/>
      <c r="U1022" s="186"/>
      <c r="V1022" s="164"/>
      <c r="W1022" s="62"/>
      <c r="X1022" s="63"/>
      <c r="Y1022" s="62"/>
      <c r="Z1022" s="64"/>
      <c r="AA1022" s="164"/>
      <c r="AB1022" s="62"/>
      <c r="AC1022" s="62"/>
      <c r="AD1022" s="64"/>
      <c r="AE1022" s="164"/>
      <c r="AF1022" s="62"/>
      <c r="AG1022" s="64"/>
      <c r="AH1022" s="337"/>
      <c r="AI1022" s="337"/>
      <c r="AJ1022" s="337"/>
      <c r="AK1022" s="337"/>
      <c r="AL1022" s="555"/>
      <c r="AM1022" s="552"/>
      <c r="AN1022" s="45"/>
      <c r="AO1022" s="45"/>
      <c r="AP1022" s="44"/>
      <c r="AQ1022" s="485"/>
      <c r="AR1022" s="100"/>
      <c r="AS1022" s="485"/>
      <c r="AT1022" s="123"/>
      <c r="AU1022" s="123"/>
      <c r="AV1022" s="123"/>
      <c r="AW1022" s="69">
        <v>25</v>
      </c>
      <c r="AX1022" s="196" t="s">
        <v>299</v>
      </c>
      <c r="AY1022" s="243" t="s">
        <v>44</v>
      </c>
      <c r="AZ1022" s="243" t="str">
        <f t="shared" si="397"/>
        <v>Steelhead</v>
      </c>
      <c r="BA1022" s="243" t="s">
        <v>419</v>
      </c>
      <c r="BB1022" s="244" t="s">
        <v>452</v>
      </c>
      <c r="BC1022" s="43" t="str">
        <f t="shared" si="398"/>
        <v>Oct 1-7</v>
      </c>
      <c r="BD1022" s="43">
        <f t="shared" si="417"/>
        <v>3</v>
      </c>
      <c r="BE1022" s="193">
        <f t="shared" si="414"/>
        <v>0</v>
      </c>
      <c r="BF1022" s="193">
        <f t="shared" si="399"/>
        <v>0</v>
      </c>
      <c r="BG1022" s="193">
        <f t="shared" si="400"/>
        <v>0</v>
      </c>
      <c r="BH1022" s="307" t="str">
        <f t="shared" si="416"/>
        <v>-</v>
      </c>
      <c r="BI1022" s="265" t="str">
        <f t="shared" si="422"/>
        <v>-</v>
      </c>
      <c r="BJ1022" s="26" t="str">
        <f t="shared" si="401"/>
        <v>BURMAN RIVERSteelhead</v>
      </c>
      <c r="BK1022" s="26">
        <f t="shared" si="402"/>
        <v>3</v>
      </c>
      <c r="BL1022" s="33">
        <f t="shared" si="418"/>
        <v>0</v>
      </c>
      <c r="BO1022"/>
      <c r="BP1022" s="34"/>
      <c r="BQ1022" s="47" t="str">
        <f t="shared" si="403"/>
        <v>BURMAN RIVERSteelhead</v>
      </c>
      <c r="BR1022" s="49">
        <f t="shared" si="404"/>
        <v>0</v>
      </c>
      <c r="BS1022" s="49">
        <f t="shared" si="413"/>
        <v>0</v>
      </c>
      <c r="BT1022" s="31">
        <v>0</v>
      </c>
      <c r="BU1022" s="188" t="str">
        <f t="shared" si="405"/>
        <v>MMFN</v>
      </c>
      <c r="BV1022" s="188" t="str">
        <f t="shared" si="406"/>
        <v>Oct 1-7</v>
      </c>
      <c r="BW1022" s="188" t="str">
        <f t="shared" si="423"/>
        <v xml:space="preserve"> </v>
      </c>
      <c r="BX1022" s="188" t="str">
        <f t="shared" si="407"/>
        <v xml:space="preserve"> </v>
      </c>
      <c r="BY1022" s="50" t="str">
        <f t="shared" si="396"/>
        <v>BURMAN RIVER_Steelhead</v>
      </c>
      <c r="BZ1022" s="50" t="str">
        <f>IFERROR(VLOOKUP(BY1022,'[1]WCVI Esc'!$C$5:$W$555,18,FALSE),"-")</f>
        <v>-</v>
      </c>
      <c r="CA1022" s="50" t="str">
        <f t="shared" si="408"/>
        <v>-</v>
      </c>
      <c r="CB1022" s="50" t="str">
        <f>IFERROR(VLOOKUP(BY1022,'[1]WCVI Esc'!$C$5:$W$555,19,FALSE),"-")</f>
        <v>-</v>
      </c>
      <c r="CC1022" s="50" t="str">
        <f t="shared" si="409"/>
        <v>-</v>
      </c>
      <c r="CE1022" s="342" t="str">
        <f t="shared" si="424"/>
        <v>BURMAN RIVER_Steelhead</v>
      </c>
      <c r="CF1022" s="341" t="str">
        <f>IFERROR(VLOOKUP(BY1022,'RawPL+D'!$O$8:$AB$503,12,FALSE),"-")</f>
        <v>-</v>
      </c>
      <c r="CG1022" s="338" t="str">
        <f t="shared" si="425"/>
        <v>-</v>
      </c>
      <c r="CH1022" s="341" t="str">
        <f>IFERROR(VLOOKUP(BY1022,'RawPL+D'!$O$8:$AB$503,13,FALSE),"-")</f>
        <v>-</v>
      </c>
      <c r="CI1022" s="338" t="str">
        <f t="shared" si="426"/>
        <v>-</v>
      </c>
    </row>
    <row r="1023" spans="1:87" ht="12.75" hidden="1" customHeight="1" x14ac:dyDescent="0.2">
      <c r="A1023" s="29">
        <v>2</v>
      </c>
      <c r="B1023" s="29">
        <v>1</v>
      </c>
      <c r="C1023" s="13">
        <v>25</v>
      </c>
      <c r="D1023" s="13" t="s">
        <v>299</v>
      </c>
      <c r="E1023" s="10" t="s">
        <v>45</v>
      </c>
      <c r="F1023" s="10" t="s">
        <v>207</v>
      </c>
      <c r="G1023" s="10"/>
      <c r="H1023" s="10"/>
      <c r="I1023" s="10"/>
      <c r="J1023" s="10"/>
      <c r="K1023" s="575"/>
      <c r="L1023" s="152"/>
      <c r="M1023" s="647">
        <v>0</v>
      </c>
      <c r="N1023" s="339"/>
      <c r="O1023" s="62"/>
      <c r="P1023" s="177"/>
      <c r="Q1023" s="447"/>
      <c r="R1023" s="339"/>
      <c r="S1023" s="428"/>
      <c r="T1023" s="94"/>
      <c r="U1023" s="607"/>
      <c r="V1023" s="419"/>
      <c r="W1023" s="62"/>
      <c r="X1023" s="63"/>
      <c r="Y1023" s="62"/>
      <c r="Z1023" s="64"/>
      <c r="AA1023" s="164"/>
      <c r="AB1023" s="62"/>
      <c r="AC1023" s="62"/>
      <c r="AD1023" s="64"/>
      <c r="AE1023" s="164"/>
      <c r="AF1023" s="62"/>
      <c r="AG1023" s="64"/>
      <c r="AH1023" s="337"/>
      <c r="AI1023" s="337"/>
      <c r="AJ1023" s="337"/>
      <c r="AK1023" s="337"/>
      <c r="AL1023" s="555"/>
      <c r="AM1023" s="552"/>
      <c r="AN1023" s="841"/>
      <c r="AO1023" s="46"/>
      <c r="AP1023" s="44"/>
      <c r="AQ1023" s="485">
        <f>AL1023/BI1023</f>
        <v>0</v>
      </c>
      <c r="AR1023" s="396">
        <f>BL1023/BH1023</f>
        <v>0</v>
      </c>
      <c r="AS1023" s="485">
        <f>BL1023/BI1023</f>
        <v>0</v>
      </c>
      <c r="AT1023" s="123"/>
      <c r="AU1023" s="123"/>
      <c r="AV1023" s="123"/>
      <c r="AW1023" s="69">
        <v>25</v>
      </c>
      <c r="AX1023" s="69" t="s">
        <v>299</v>
      </c>
      <c r="AY1023" s="243" t="s">
        <v>45</v>
      </c>
      <c r="AZ1023" s="243" t="str">
        <f t="shared" si="397"/>
        <v>Sockeye</v>
      </c>
      <c r="BA1023" s="243" t="s">
        <v>419</v>
      </c>
      <c r="BB1023" s="244" t="s">
        <v>452</v>
      </c>
      <c r="BC1023" s="43" t="str">
        <f t="shared" si="398"/>
        <v>Sep 3-9</v>
      </c>
      <c r="BD1023" s="43">
        <f t="shared" ref="BD1023:BD1028" si="427">BK1023+2</f>
        <v>3</v>
      </c>
      <c r="BE1023" s="193">
        <f t="shared" si="414"/>
        <v>0</v>
      </c>
      <c r="BF1023" s="193">
        <f t="shared" si="399"/>
        <v>0</v>
      </c>
      <c r="BG1023" s="193">
        <f t="shared" si="400"/>
        <v>0</v>
      </c>
      <c r="BH1023" s="307">
        <f t="shared" si="416"/>
        <v>10</v>
      </c>
      <c r="BI1023" s="265">
        <f t="shared" si="422"/>
        <v>50</v>
      </c>
      <c r="BJ1023" s="26" t="str">
        <f t="shared" si="401"/>
        <v>CANTON CREEKSockeye</v>
      </c>
      <c r="BK1023" s="26">
        <f t="shared" si="402"/>
        <v>1</v>
      </c>
      <c r="BL1023" s="33">
        <f t="shared" si="418"/>
        <v>0</v>
      </c>
      <c r="BP1023" s="34"/>
      <c r="BQ1023" s="47" t="str">
        <f t="shared" si="403"/>
        <v>CANTON CREEKSockeye</v>
      </c>
      <c r="BR1023" s="49">
        <f t="shared" si="404"/>
        <v>0</v>
      </c>
      <c r="BS1023" s="49">
        <f t="shared" si="413"/>
        <v>0</v>
      </c>
      <c r="BT1023" s="31">
        <v>2016</v>
      </c>
      <c r="BU1023" s="188" t="str">
        <f t="shared" si="405"/>
        <v>MMFN</v>
      </c>
      <c r="BV1023" s="188" t="str">
        <f t="shared" si="406"/>
        <v>Sep 3-9</v>
      </c>
      <c r="BW1023" s="188" t="str">
        <f t="shared" si="423"/>
        <v xml:space="preserve"> </v>
      </c>
      <c r="BX1023" s="188" t="str">
        <f t="shared" si="407"/>
        <v xml:space="preserve"> </v>
      </c>
      <c r="BY1023" s="50" t="str">
        <f t="shared" ref="BY1023:BY1086" si="428">CONCATENATE(E1023,"_",F1023)</f>
        <v>CANTON CREEK_Sockeye</v>
      </c>
      <c r="BZ1023" s="50">
        <f>IFERROR(VLOOKUP(BY1023,'[1]WCVI Esc'!$C$5:$W$555,18,FALSE),"-")</f>
        <v>13</v>
      </c>
      <c r="CA1023" s="50">
        <f t="shared" si="408"/>
        <v>10</v>
      </c>
      <c r="CB1023" s="50">
        <f>IFERROR(VLOOKUP(BY1023,'[1]WCVI Esc'!$C$5:$W$555,19,FALSE),"-")</f>
        <v>49.833333333333336</v>
      </c>
      <c r="CC1023" s="50">
        <f t="shared" si="409"/>
        <v>50</v>
      </c>
      <c r="CE1023" s="342" t="str">
        <f t="shared" si="424"/>
        <v>CANTON CREEK_Sockeye</v>
      </c>
      <c r="CF1023" s="341">
        <f>IFERROR(VLOOKUP(CE1023,'RawPL+D'!$O$8:$AB$503,12,FALSE),"-")</f>
        <v>0</v>
      </c>
      <c r="CG1023" s="338">
        <f t="shared" si="425"/>
        <v>0</v>
      </c>
      <c r="CH1023" s="341">
        <f>IFERROR(VLOOKUP(BY1023,'RawPL+D'!$O$8:$AB$503,13,FALSE),"-")</f>
        <v>7.25</v>
      </c>
      <c r="CI1023" s="338">
        <f t="shared" si="426"/>
        <v>10</v>
      </c>
    </row>
    <row r="1024" spans="1:87" ht="12.75" hidden="1" customHeight="1" x14ac:dyDescent="0.2">
      <c r="A1024" s="29">
        <v>2</v>
      </c>
      <c r="B1024" s="29">
        <v>2</v>
      </c>
      <c r="C1024" s="13">
        <v>25</v>
      </c>
      <c r="D1024" s="13" t="s">
        <v>299</v>
      </c>
      <c r="E1024" s="10" t="s">
        <v>45</v>
      </c>
      <c r="F1024" s="10" t="s">
        <v>219</v>
      </c>
      <c r="G1024" s="10"/>
      <c r="H1024" s="10"/>
      <c r="I1024" s="10"/>
      <c r="J1024" s="10"/>
      <c r="K1024" s="575"/>
      <c r="L1024" s="152"/>
      <c r="M1024" s="647">
        <v>0</v>
      </c>
      <c r="N1024" s="339"/>
      <c r="O1024" s="62"/>
      <c r="P1024" s="177"/>
      <c r="Q1024" s="597"/>
      <c r="R1024" s="339"/>
      <c r="S1024" s="439"/>
      <c r="T1024" s="94"/>
      <c r="U1024" s="607"/>
      <c r="V1024" s="169"/>
      <c r="W1024" s="62"/>
      <c r="X1024" s="63"/>
      <c r="Y1024" s="62"/>
      <c r="Z1024" s="64"/>
      <c r="AA1024" s="164"/>
      <c r="AB1024" s="62"/>
      <c r="AC1024" s="62"/>
      <c r="AD1024" s="64"/>
      <c r="AE1024" s="164"/>
      <c r="AF1024" s="62"/>
      <c r="AG1024" s="64"/>
      <c r="AH1024" s="337"/>
      <c r="AI1024" s="337"/>
      <c r="AJ1024" s="337"/>
      <c r="AK1024" s="337"/>
      <c r="AL1024" s="555"/>
      <c r="AM1024" s="552"/>
      <c r="AN1024" s="841"/>
      <c r="AO1024" s="45"/>
      <c r="AP1024" s="44"/>
      <c r="AQ1024" s="485">
        <f>AL1024/BI1024</f>
        <v>0</v>
      </c>
      <c r="AR1024" s="396">
        <f>BL1024/BH1024</f>
        <v>0</v>
      </c>
      <c r="AS1024" s="485">
        <f>BL1024/BI1024</f>
        <v>0</v>
      </c>
      <c r="AT1024" s="123"/>
      <c r="AU1024" s="123"/>
      <c r="AV1024" s="123"/>
      <c r="AW1024" s="69">
        <v>25</v>
      </c>
      <c r="AX1024" s="69" t="s">
        <v>299</v>
      </c>
      <c r="AY1024" s="243" t="s">
        <v>45</v>
      </c>
      <c r="AZ1024" s="243" t="str">
        <f t="shared" si="397"/>
        <v>Coho</v>
      </c>
      <c r="BA1024" s="243" t="s">
        <v>419</v>
      </c>
      <c r="BB1024" s="244" t="s">
        <v>452</v>
      </c>
      <c r="BC1024" s="43" t="str">
        <f t="shared" si="398"/>
        <v>Sep 3-9</v>
      </c>
      <c r="BD1024" s="43">
        <f t="shared" si="427"/>
        <v>3</v>
      </c>
      <c r="BE1024" s="193">
        <f t="shared" si="414"/>
        <v>0</v>
      </c>
      <c r="BF1024" s="193">
        <f t="shared" si="399"/>
        <v>0</v>
      </c>
      <c r="BG1024" s="193">
        <f t="shared" si="400"/>
        <v>0</v>
      </c>
      <c r="BH1024" s="307">
        <f t="shared" si="416"/>
        <v>290</v>
      </c>
      <c r="BI1024" s="265">
        <f t="shared" si="422"/>
        <v>550</v>
      </c>
      <c r="BJ1024" s="26" t="str">
        <f t="shared" si="401"/>
        <v>CANTON CREEKCoho</v>
      </c>
      <c r="BK1024" s="26">
        <f t="shared" si="402"/>
        <v>1</v>
      </c>
      <c r="BL1024" s="33">
        <f t="shared" si="418"/>
        <v>0</v>
      </c>
      <c r="BP1024" s="34"/>
      <c r="BQ1024" s="47" t="str">
        <f t="shared" si="403"/>
        <v>CANTON CREEKCoho</v>
      </c>
      <c r="BR1024" s="49">
        <f t="shared" si="404"/>
        <v>0</v>
      </c>
      <c r="BS1024" s="49">
        <f t="shared" si="413"/>
        <v>0</v>
      </c>
      <c r="BT1024" s="31">
        <v>2016</v>
      </c>
      <c r="BU1024" s="188" t="str">
        <f t="shared" si="405"/>
        <v>MMFN</v>
      </c>
      <c r="BV1024" s="188" t="str">
        <f t="shared" si="406"/>
        <v>Sep 3-9</v>
      </c>
      <c r="BW1024" s="188" t="str">
        <f t="shared" si="423"/>
        <v xml:space="preserve"> </v>
      </c>
      <c r="BX1024" s="188" t="str">
        <f t="shared" si="407"/>
        <v xml:space="preserve"> </v>
      </c>
      <c r="BY1024" s="50" t="str">
        <f t="shared" si="428"/>
        <v>CANTON CREEK_Coho</v>
      </c>
      <c r="BZ1024" s="50">
        <f>IFERROR(VLOOKUP(BY1024,'[1]WCVI Esc'!$C$5:$W$555,18,FALSE),"-")</f>
        <v>350.25</v>
      </c>
      <c r="CA1024" s="50">
        <f t="shared" si="408"/>
        <v>350</v>
      </c>
      <c r="CB1024" s="50">
        <f>IFERROR(VLOOKUP(BY1024,'[1]WCVI Esc'!$C$5:$W$555,19,FALSE),"-")</f>
        <v>548.125</v>
      </c>
      <c r="CC1024" s="50">
        <f t="shared" si="409"/>
        <v>550</v>
      </c>
      <c r="CE1024" s="342" t="str">
        <f t="shared" si="424"/>
        <v>CANTON CREEK_Coho</v>
      </c>
      <c r="CF1024" s="341">
        <f>IFERROR(VLOOKUP(CE1024,'RawPL+D'!$O$8:$AB$503,12,FALSE),"-")</f>
        <v>36</v>
      </c>
      <c r="CG1024" s="338">
        <f t="shared" si="425"/>
        <v>40</v>
      </c>
      <c r="CH1024" s="341">
        <f>IFERROR(VLOOKUP(BY1024,'RawPL+D'!$O$8:$AB$503,13,FALSE),"-")</f>
        <v>287</v>
      </c>
      <c r="CI1024" s="338">
        <f t="shared" si="426"/>
        <v>290</v>
      </c>
    </row>
    <row r="1025" spans="1:87" ht="12.75" hidden="1" customHeight="1" x14ac:dyDescent="0.2">
      <c r="A1025" s="29">
        <v>2</v>
      </c>
      <c r="B1025" s="29">
        <v>3</v>
      </c>
      <c r="C1025" s="13">
        <v>25</v>
      </c>
      <c r="D1025" s="573" t="s">
        <v>299</v>
      </c>
      <c r="E1025" s="10" t="s">
        <v>45</v>
      </c>
      <c r="F1025" s="10" t="s">
        <v>208</v>
      </c>
      <c r="G1025" s="10"/>
      <c r="H1025" s="10"/>
      <c r="I1025" s="10"/>
      <c r="J1025" s="10"/>
      <c r="K1025" s="575"/>
      <c r="L1025" s="152"/>
      <c r="M1025" s="647">
        <v>0</v>
      </c>
      <c r="N1025" s="339"/>
      <c r="O1025" s="62"/>
      <c r="P1025" s="177"/>
      <c r="Q1025" s="447"/>
      <c r="R1025" s="339"/>
      <c r="S1025" s="339"/>
      <c r="T1025" s="94"/>
      <c r="U1025" s="186"/>
      <c r="V1025" s="169"/>
      <c r="W1025" s="62"/>
      <c r="X1025" s="63"/>
      <c r="Y1025" s="62"/>
      <c r="Z1025" s="64"/>
      <c r="AA1025" s="164"/>
      <c r="AB1025" s="62"/>
      <c r="AC1025" s="62"/>
      <c r="AD1025" s="64"/>
      <c r="AE1025" s="164"/>
      <c r="AF1025" s="62"/>
      <c r="AG1025" s="64"/>
      <c r="AH1025" s="337"/>
      <c r="AI1025" s="337"/>
      <c r="AJ1025" s="337"/>
      <c r="AK1025" s="337"/>
      <c r="AL1025" s="555"/>
      <c r="AM1025" s="552"/>
      <c r="AN1025" s="45"/>
      <c r="AO1025" s="45"/>
      <c r="AP1025" s="44"/>
      <c r="AQ1025" s="485"/>
      <c r="AR1025" s="100"/>
      <c r="AS1025" s="485"/>
      <c r="AT1025" s="100"/>
      <c r="AU1025" s="100"/>
      <c r="AV1025" s="100"/>
      <c r="AW1025" s="69">
        <v>25</v>
      </c>
      <c r="AX1025" s="69" t="s">
        <v>299</v>
      </c>
      <c r="AY1025" s="243" t="s">
        <v>45</v>
      </c>
      <c r="AZ1025" s="243" t="str">
        <f t="shared" si="397"/>
        <v>Pink</v>
      </c>
      <c r="BA1025" s="243" t="s">
        <v>419</v>
      </c>
      <c r="BB1025" s="244" t="s">
        <v>452</v>
      </c>
      <c r="BC1025" s="43" t="str">
        <f t="shared" si="398"/>
        <v>Sep 3-9</v>
      </c>
      <c r="BD1025" s="43">
        <f t="shared" si="427"/>
        <v>3</v>
      </c>
      <c r="BE1025" s="193">
        <f t="shared" si="414"/>
        <v>0</v>
      </c>
      <c r="BF1025" s="193">
        <f t="shared" si="399"/>
        <v>0</v>
      </c>
      <c r="BG1025" s="193">
        <f t="shared" si="400"/>
        <v>0</v>
      </c>
      <c r="BH1025" s="307">
        <f t="shared" si="416"/>
        <v>0</v>
      </c>
      <c r="BI1025" s="265"/>
      <c r="BJ1025" s="26" t="str">
        <f t="shared" si="401"/>
        <v>CANTON CREEKPink</v>
      </c>
      <c r="BK1025" s="26">
        <f t="shared" si="402"/>
        <v>1</v>
      </c>
      <c r="BL1025" s="33">
        <f t="shared" si="418"/>
        <v>0</v>
      </c>
      <c r="BP1025" s="34"/>
      <c r="BQ1025" s="47" t="str">
        <f t="shared" si="403"/>
        <v>CANTON CREEKPink</v>
      </c>
      <c r="BR1025" s="49">
        <f t="shared" si="404"/>
        <v>0</v>
      </c>
      <c r="BS1025" s="49">
        <f t="shared" si="413"/>
        <v>0</v>
      </c>
      <c r="BT1025" s="31">
        <v>0</v>
      </c>
      <c r="BU1025" s="188" t="str">
        <f t="shared" si="405"/>
        <v>MMFN</v>
      </c>
      <c r="BV1025" s="188" t="str">
        <f t="shared" si="406"/>
        <v>Sep 3-9</v>
      </c>
      <c r="BW1025" s="188" t="str">
        <f t="shared" si="423"/>
        <v xml:space="preserve"> </v>
      </c>
      <c r="BX1025" s="188" t="str">
        <f t="shared" si="407"/>
        <v xml:space="preserve"> </v>
      </c>
      <c r="BY1025" s="50" t="str">
        <f t="shared" si="428"/>
        <v>CANTON CREEK_Pink</v>
      </c>
      <c r="BZ1025" s="50" t="str">
        <f>IFERROR(VLOOKUP(BY1025,'[1]WCVI Esc'!$C$5:$W$555,18,FALSE),"-")</f>
        <v>-</v>
      </c>
      <c r="CA1025" s="50" t="str">
        <f t="shared" si="408"/>
        <v>-</v>
      </c>
      <c r="CB1025" s="50" t="str">
        <f>IFERROR(VLOOKUP(BY1025,'[1]WCVI Esc'!$C$5:$W$555,19,FALSE),"-")</f>
        <v>-</v>
      </c>
      <c r="CC1025" s="50" t="str">
        <f t="shared" si="409"/>
        <v>-</v>
      </c>
      <c r="CE1025" s="342" t="str">
        <f t="shared" si="424"/>
        <v>CANTON CREEK_Pink</v>
      </c>
      <c r="CF1025" s="341">
        <f>IFERROR(VLOOKUP(BY1025,'RawPL+D'!$O$8:$AB$503,12,FALSE),"-")</f>
        <v>0</v>
      </c>
      <c r="CG1025" s="338">
        <f t="shared" si="425"/>
        <v>0</v>
      </c>
      <c r="CH1025" s="341">
        <f>IFERROR(VLOOKUP(BY1025,'RawPL+D'!$O$8:$AB$503,13,FALSE),"-")</f>
        <v>0</v>
      </c>
      <c r="CI1025" s="338">
        <f t="shared" si="426"/>
        <v>0</v>
      </c>
    </row>
    <row r="1026" spans="1:87" ht="12.75" hidden="1" customHeight="1" x14ac:dyDescent="0.2">
      <c r="A1026" s="29">
        <v>2</v>
      </c>
      <c r="B1026" s="29">
        <v>4</v>
      </c>
      <c r="C1026" s="13">
        <v>25</v>
      </c>
      <c r="D1026" s="573" t="s">
        <v>299</v>
      </c>
      <c r="E1026" s="10" t="s">
        <v>45</v>
      </c>
      <c r="F1026" s="10" t="s">
        <v>209</v>
      </c>
      <c r="G1026" s="10"/>
      <c r="H1026" s="10"/>
      <c r="I1026" s="10"/>
      <c r="J1026" s="10"/>
      <c r="K1026" s="575"/>
      <c r="L1026" s="152"/>
      <c r="M1026" s="647">
        <v>0</v>
      </c>
      <c r="N1026" s="339"/>
      <c r="O1026" s="62"/>
      <c r="P1026" s="177"/>
      <c r="Q1026" s="447"/>
      <c r="R1026" s="428"/>
      <c r="S1026" s="428"/>
      <c r="T1026" s="468"/>
      <c r="U1026" s="607"/>
      <c r="V1026" s="419"/>
      <c r="W1026" s="62"/>
      <c r="X1026" s="63"/>
      <c r="Y1026" s="62"/>
      <c r="Z1026" s="64"/>
      <c r="AA1026" s="164"/>
      <c r="AB1026" s="62"/>
      <c r="AC1026" s="62"/>
      <c r="AD1026" s="64"/>
      <c r="AE1026" s="164"/>
      <c r="AF1026" s="62"/>
      <c r="AG1026" s="64"/>
      <c r="AH1026" s="337"/>
      <c r="AI1026" s="337"/>
      <c r="AJ1026" s="337"/>
      <c r="AK1026" s="337"/>
      <c r="AL1026" s="555"/>
      <c r="AM1026" s="552"/>
      <c r="AN1026" s="841"/>
      <c r="AO1026" s="45"/>
      <c r="AP1026" s="44"/>
      <c r="AQ1026" s="485">
        <f t="shared" ref="AQ1026:AQ1046" si="429">AL1026/BI1026</f>
        <v>0</v>
      </c>
      <c r="AR1026" s="396">
        <f>BL1026/BH1026</f>
        <v>0</v>
      </c>
      <c r="AS1026" s="485">
        <f>BL1026/BI1026</f>
        <v>0</v>
      </c>
      <c r="AT1026" s="123"/>
      <c r="AU1026" s="123"/>
      <c r="AV1026" s="123"/>
      <c r="AW1026" s="69">
        <v>25</v>
      </c>
      <c r="AX1026" s="69" t="s">
        <v>299</v>
      </c>
      <c r="AY1026" s="243" t="s">
        <v>45</v>
      </c>
      <c r="AZ1026" s="243" t="str">
        <f t="shared" si="397"/>
        <v>Chum</v>
      </c>
      <c r="BA1026" s="243" t="s">
        <v>419</v>
      </c>
      <c r="BB1026" s="244" t="s">
        <v>452</v>
      </c>
      <c r="BC1026" s="43" t="str">
        <f t="shared" si="398"/>
        <v>Sep 3-9</v>
      </c>
      <c r="BD1026" s="43">
        <f t="shared" si="427"/>
        <v>3</v>
      </c>
      <c r="BE1026" s="193">
        <f t="shared" si="414"/>
        <v>0</v>
      </c>
      <c r="BF1026" s="193">
        <f t="shared" si="399"/>
        <v>0</v>
      </c>
      <c r="BG1026" s="193">
        <f t="shared" si="400"/>
        <v>0</v>
      </c>
      <c r="BH1026" s="307">
        <f t="shared" si="416"/>
        <v>780</v>
      </c>
      <c r="BI1026" s="265">
        <f t="shared" ref="BI1026:BI1046" si="430">CC1026</f>
        <v>2110</v>
      </c>
      <c r="BJ1026" s="26" t="str">
        <f t="shared" si="401"/>
        <v>CANTON CREEKChum</v>
      </c>
      <c r="BK1026" s="26">
        <f t="shared" si="402"/>
        <v>1</v>
      </c>
      <c r="BL1026" s="33">
        <f t="shared" si="418"/>
        <v>0</v>
      </c>
      <c r="BP1026" s="34"/>
      <c r="BQ1026" s="47" t="str">
        <f t="shared" si="403"/>
        <v>CANTON CREEKChum</v>
      </c>
      <c r="BR1026" s="49">
        <f t="shared" si="404"/>
        <v>0</v>
      </c>
      <c r="BS1026" s="49">
        <f t="shared" si="413"/>
        <v>0</v>
      </c>
      <c r="BT1026" s="31">
        <v>2016</v>
      </c>
      <c r="BU1026" s="188" t="str">
        <f t="shared" si="405"/>
        <v>MMFN</v>
      </c>
      <c r="BV1026" s="188" t="str">
        <f t="shared" si="406"/>
        <v>Sep 3-9</v>
      </c>
      <c r="BW1026" s="188" t="str">
        <f t="shared" si="423"/>
        <v xml:space="preserve"> </v>
      </c>
      <c r="BX1026" s="188" t="str">
        <f t="shared" si="407"/>
        <v xml:space="preserve"> </v>
      </c>
      <c r="BY1026" s="50" t="str">
        <f t="shared" si="428"/>
        <v>CANTON CREEK_Chum</v>
      </c>
      <c r="BZ1026" s="50">
        <f>IFERROR(VLOOKUP(BY1026,'[1]WCVI Esc'!$C$5:$W$555,18,FALSE),"-")</f>
        <v>1808.25</v>
      </c>
      <c r="CA1026" s="50">
        <f t="shared" si="408"/>
        <v>1810</v>
      </c>
      <c r="CB1026" s="50">
        <f>IFERROR(VLOOKUP(BY1026,'[1]WCVI Esc'!$C$5:$W$555,19,FALSE),"-")</f>
        <v>2110.6363636363635</v>
      </c>
      <c r="CC1026" s="50">
        <f t="shared" si="409"/>
        <v>2110</v>
      </c>
      <c r="CE1026" s="342" t="str">
        <f t="shared" si="424"/>
        <v>CANTON CREEK_Chum</v>
      </c>
      <c r="CF1026" s="341">
        <f>IFERROR(VLOOKUP(CE1026,'RawPL+D'!$O$8:$AB$503,12,FALSE),"-")</f>
        <v>530</v>
      </c>
      <c r="CG1026" s="338">
        <f t="shared" si="425"/>
        <v>530</v>
      </c>
      <c r="CH1026" s="341">
        <f>IFERROR(VLOOKUP(BY1026,'RawPL+D'!$O$8:$AB$503,13,FALSE),"-")</f>
        <v>776.25</v>
      </c>
      <c r="CI1026" s="338">
        <f t="shared" si="426"/>
        <v>780</v>
      </c>
    </row>
    <row r="1027" spans="1:87" ht="12.75" hidden="1" customHeight="1" x14ac:dyDescent="0.2">
      <c r="A1027" s="29">
        <v>2</v>
      </c>
      <c r="B1027" s="29">
        <v>5</v>
      </c>
      <c r="C1027" s="13">
        <v>25</v>
      </c>
      <c r="D1027" s="13" t="s">
        <v>299</v>
      </c>
      <c r="E1027" s="10" t="s">
        <v>45</v>
      </c>
      <c r="F1027" s="10" t="s">
        <v>210</v>
      </c>
      <c r="G1027" s="10"/>
      <c r="H1027" s="10"/>
      <c r="I1027" s="10"/>
      <c r="J1027" s="10"/>
      <c r="K1027" s="575"/>
      <c r="L1027" s="152"/>
      <c r="M1027" s="647">
        <v>0</v>
      </c>
      <c r="N1027" s="554"/>
      <c r="O1027" s="62"/>
      <c r="P1027" s="496"/>
      <c r="Q1027" s="447"/>
      <c r="R1027" s="428"/>
      <c r="S1027" s="428"/>
      <c r="T1027" s="468"/>
      <c r="U1027" s="186"/>
      <c r="V1027" s="419"/>
      <c r="W1027" s="62"/>
      <c r="X1027" s="63"/>
      <c r="Y1027" s="62"/>
      <c r="Z1027" s="64"/>
      <c r="AA1027" s="164"/>
      <c r="AB1027" s="62"/>
      <c r="AC1027" s="62"/>
      <c r="AD1027" s="64"/>
      <c r="AE1027" s="164"/>
      <c r="AF1027" s="62"/>
      <c r="AG1027" s="64"/>
      <c r="AH1027" s="337"/>
      <c r="AI1027" s="337"/>
      <c r="AJ1027" s="337"/>
      <c r="AK1027" s="337"/>
      <c r="AL1027" s="555"/>
      <c r="AM1027" s="552"/>
      <c r="AN1027" s="841"/>
      <c r="AO1027" s="45"/>
      <c r="AP1027" s="44"/>
      <c r="AQ1027" s="485">
        <f t="shared" si="429"/>
        <v>0</v>
      </c>
      <c r="AR1027" s="396">
        <f>BL1027/BH1027</f>
        <v>0</v>
      </c>
      <c r="AS1027" s="485">
        <f>BL1027/BI1027</f>
        <v>0</v>
      </c>
      <c r="AT1027" s="123"/>
      <c r="AU1027" s="123"/>
      <c r="AV1027" s="123">
        <f>AL1027</f>
        <v>0</v>
      </c>
      <c r="AW1027" s="69">
        <v>25</v>
      </c>
      <c r="AX1027" s="69" t="s">
        <v>299</v>
      </c>
      <c r="AY1027" s="243" t="s">
        <v>45</v>
      </c>
      <c r="AZ1027" s="243" t="str">
        <f t="shared" si="397"/>
        <v>Chinook</v>
      </c>
      <c r="BA1027" s="243" t="s">
        <v>419</v>
      </c>
      <c r="BB1027" s="244" t="s">
        <v>452</v>
      </c>
      <c r="BC1027" s="43" t="str">
        <f t="shared" si="398"/>
        <v>Sep 3-9</v>
      </c>
      <c r="BD1027" s="43">
        <f t="shared" si="427"/>
        <v>3</v>
      </c>
      <c r="BE1027" s="193">
        <f t="shared" si="414"/>
        <v>0</v>
      </c>
      <c r="BF1027" s="193">
        <f t="shared" si="399"/>
        <v>0</v>
      </c>
      <c r="BG1027" s="193">
        <f t="shared" si="400"/>
        <v>0</v>
      </c>
      <c r="BH1027" s="307">
        <f t="shared" si="416"/>
        <v>610</v>
      </c>
      <c r="BI1027" s="265">
        <f t="shared" si="430"/>
        <v>2320</v>
      </c>
      <c r="BJ1027" s="26" t="str">
        <f t="shared" si="401"/>
        <v>CANTON CREEKChinook</v>
      </c>
      <c r="BK1027" s="26">
        <f t="shared" si="402"/>
        <v>1</v>
      </c>
      <c r="BL1027" s="33">
        <f t="shared" si="418"/>
        <v>0</v>
      </c>
      <c r="BM1027" s="34">
        <f>BL1027*1.14</f>
        <v>0</v>
      </c>
      <c r="BN1027" s="34">
        <f>BL1027*2.88</f>
        <v>0</v>
      </c>
      <c r="BO1027" s="37"/>
      <c r="BP1027" s="34">
        <f>SUM(BM1027:BN1027)/2</f>
        <v>0</v>
      </c>
      <c r="BQ1027" s="47" t="str">
        <f t="shared" si="403"/>
        <v>CANTON CREEKChinook</v>
      </c>
      <c r="BR1027" s="49">
        <f t="shared" si="404"/>
        <v>0</v>
      </c>
      <c r="BS1027" s="49">
        <f t="shared" si="413"/>
        <v>0</v>
      </c>
      <c r="BT1027" s="31">
        <v>2016</v>
      </c>
      <c r="BU1027" s="188" t="str">
        <f t="shared" si="405"/>
        <v>MMFN</v>
      </c>
      <c r="BV1027" s="188" t="str">
        <f t="shared" si="406"/>
        <v>Sep 3-9</v>
      </c>
      <c r="BW1027" s="188" t="str">
        <f t="shared" si="423"/>
        <v xml:space="preserve"> </v>
      </c>
      <c r="BX1027" s="188" t="str">
        <f t="shared" si="407"/>
        <v xml:space="preserve"> </v>
      </c>
      <c r="BY1027" s="50" t="str">
        <f t="shared" si="428"/>
        <v>CANTON CREEK_Chinook</v>
      </c>
      <c r="BZ1027" s="50">
        <f>IFERROR(VLOOKUP(BY1027,'[1]WCVI Esc'!$C$5:$W$555,18,FALSE),"-")</f>
        <v>916.75</v>
      </c>
      <c r="CA1027" s="50">
        <f t="shared" si="408"/>
        <v>920</v>
      </c>
      <c r="CB1027" s="50">
        <f>IFERROR(VLOOKUP(BY1027,'[1]WCVI Esc'!$C$5:$W$555,19,FALSE),"-")</f>
        <v>2317.1</v>
      </c>
      <c r="CC1027" s="50">
        <f t="shared" si="409"/>
        <v>2320</v>
      </c>
      <c r="CE1027" s="342" t="str">
        <f t="shared" si="424"/>
        <v>CANTON CREEK_Chinook</v>
      </c>
      <c r="CF1027" s="341">
        <f>IFERROR(VLOOKUP(CE1027,'RawPL+D'!$O$8:$AB$503,12,FALSE),"-")</f>
        <v>506</v>
      </c>
      <c r="CG1027" s="338">
        <f t="shared" si="425"/>
        <v>510</v>
      </c>
      <c r="CH1027" s="341">
        <f>IFERROR(VLOOKUP(BY1027,'RawPL+D'!$O$8:$AB$503,13,FALSE),"-")</f>
        <v>605</v>
      </c>
      <c r="CI1027" s="338">
        <f t="shared" si="426"/>
        <v>610</v>
      </c>
    </row>
    <row r="1028" spans="1:87" ht="12.75" hidden="1" customHeight="1" x14ac:dyDescent="0.2">
      <c r="A1028" s="29">
        <v>2</v>
      </c>
      <c r="B1028" s="29">
        <v>6</v>
      </c>
      <c r="C1028" s="13">
        <v>25</v>
      </c>
      <c r="D1028" s="573" t="s">
        <v>299</v>
      </c>
      <c r="E1028" s="10" t="s">
        <v>45</v>
      </c>
      <c r="F1028" s="10" t="s">
        <v>211</v>
      </c>
      <c r="G1028" s="10"/>
      <c r="H1028" s="10"/>
      <c r="I1028" s="10"/>
      <c r="J1028" s="10"/>
      <c r="K1028" s="575"/>
      <c r="L1028" s="152"/>
      <c r="M1028" s="647">
        <v>0</v>
      </c>
      <c r="N1028" s="339"/>
      <c r="O1028" s="62"/>
      <c r="P1028" s="177"/>
      <c r="Q1028" s="171"/>
      <c r="R1028" s="339"/>
      <c r="S1028" s="339"/>
      <c r="T1028" s="94"/>
      <c r="U1028" s="186"/>
      <c r="V1028" s="169"/>
      <c r="W1028" s="62"/>
      <c r="X1028" s="63"/>
      <c r="Y1028" s="62"/>
      <c r="Z1028" s="64"/>
      <c r="AA1028" s="164"/>
      <c r="AB1028" s="62"/>
      <c r="AC1028" s="62"/>
      <c r="AD1028" s="64"/>
      <c r="AE1028" s="164"/>
      <c r="AF1028" s="62"/>
      <c r="AG1028" s="64"/>
      <c r="AH1028" s="337"/>
      <c r="AI1028" s="337"/>
      <c r="AJ1028" s="337"/>
      <c r="AK1028" s="337"/>
      <c r="AL1028" s="555"/>
      <c r="AM1028" s="552"/>
      <c r="AN1028" s="45"/>
      <c r="AO1028" s="45"/>
      <c r="AP1028" s="44"/>
      <c r="AQ1028" s="485" t="e">
        <f t="shared" si="429"/>
        <v>#VALUE!</v>
      </c>
      <c r="AR1028" s="100"/>
      <c r="AS1028" s="485"/>
      <c r="AT1028" s="100"/>
      <c r="AU1028" s="100"/>
      <c r="AV1028" s="100"/>
      <c r="AW1028" s="69">
        <v>25</v>
      </c>
      <c r="AX1028" s="69" t="s">
        <v>299</v>
      </c>
      <c r="AY1028" s="243" t="s">
        <v>45</v>
      </c>
      <c r="AZ1028" s="243" t="str">
        <f t="shared" si="397"/>
        <v>Steelhead</v>
      </c>
      <c r="BA1028" s="243" t="s">
        <v>419</v>
      </c>
      <c r="BB1028" s="244" t="s">
        <v>452</v>
      </c>
      <c r="BC1028" s="43" t="str">
        <f t="shared" si="398"/>
        <v>Sep 3-9</v>
      </c>
      <c r="BD1028" s="43">
        <f t="shared" si="427"/>
        <v>3</v>
      </c>
      <c r="BE1028" s="193">
        <f t="shared" si="414"/>
        <v>0</v>
      </c>
      <c r="BF1028" s="193">
        <f t="shared" si="399"/>
        <v>0</v>
      </c>
      <c r="BG1028" s="193">
        <f t="shared" si="400"/>
        <v>0</v>
      </c>
      <c r="BH1028" s="307" t="str">
        <f t="shared" si="416"/>
        <v>-</v>
      </c>
      <c r="BI1028" s="265" t="str">
        <f t="shared" si="430"/>
        <v>-</v>
      </c>
      <c r="BJ1028" s="26" t="str">
        <f t="shared" si="401"/>
        <v>CANTON CREEKSteelhead</v>
      </c>
      <c r="BK1028" s="26">
        <f t="shared" si="402"/>
        <v>1</v>
      </c>
      <c r="BL1028" s="33">
        <f t="shared" si="418"/>
        <v>0</v>
      </c>
      <c r="BP1028" s="34"/>
      <c r="BQ1028" s="47" t="str">
        <f t="shared" si="403"/>
        <v>CANTON CREEKSteelhead</v>
      </c>
      <c r="BR1028" s="49">
        <f t="shared" si="404"/>
        <v>0</v>
      </c>
      <c r="BS1028" s="49">
        <f t="shared" si="413"/>
        <v>0</v>
      </c>
      <c r="BT1028" s="31">
        <v>0</v>
      </c>
      <c r="BU1028" s="188" t="str">
        <f t="shared" si="405"/>
        <v>MMFN</v>
      </c>
      <c r="BV1028" s="188" t="str">
        <f t="shared" si="406"/>
        <v>Sep 3-9</v>
      </c>
      <c r="BW1028" s="188" t="str">
        <f t="shared" si="423"/>
        <v xml:space="preserve"> </v>
      </c>
      <c r="BX1028" s="188" t="str">
        <f t="shared" si="407"/>
        <v xml:space="preserve"> </v>
      </c>
      <c r="BY1028" s="50" t="str">
        <f t="shared" si="428"/>
        <v>CANTON CREEK_Steelhead</v>
      </c>
      <c r="BZ1028" s="50" t="str">
        <f>IFERROR(VLOOKUP(BY1028,'[1]WCVI Esc'!$C$5:$W$555,18,FALSE),"-")</f>
        <v>-</v>
      </c>
      <c r="CA1028" s="50" t="str">
        <f t="shared" si="408"/>
        <v>-</v>
      </c>
      <c r="CB1028" s="50" t="str">
        <f>IFERROR(VLOOKUP(BY1028,'[1]WCVI Esc'!$C$5:$W$555,19,FALSE),"-")</f>
        <v>-</v>
      </c>
      <c r="CC1028" s="50" t="str">
        <f t="shared" si="409"/>
        <v>-</v>
      </c>
      <c r="CE1028" s="342" t="str">
        <f t="shared" si="424"/>
        <v>CANTON CREEK_Steelhead</v>
      </c>
      <c r="CF1028" s="341" t="str">
        <f>IFERROR(VLOOKUP(BY1028,'RawPL+D'!$O$8:$AB$503,12,FALSE),"-")</f>
        <v>-</v>
      </c>
      <c r="CG1028" s="338" t="str">
        <f t="shared" si="425"/>
        <v>-</v>
      </c>
      <c r="CH1028" s="341" t="str">
        <f>IFERROR(VLOOKUP(BY1028,'RawPL+D'!$O$8:$AB$503,13,FALSE),"-")</f>
        <v>-</v>
      </c>
      <c r="CI1028" s="338" t="str">
        <f t="shared" si="426"/>
        <v>-</v>
      </c>
    </row>
    <row r="1029" spans="1:87" ht="12.75" customHeight="1" x14ac:dyDescent="0.2">
      <c r="A1029" s="29">
        <v>2</v>
      </c>
      <c r="B1029" s="29">
        <v>1</v>
      </c>
      <c r="C1029" s="13">
        <v>25</v>
      </c>
      <c r="D1029" s="573" t="s">
        <v>299</v>
      </c>
      <c r="E1029" s="10" t="s">
        <v>46</v>
      </c>
      <c r="F1029" s="10" t="s">
        <v>207</v>
      </c>
      <c r="G1029" s="10"/>
      <c r="H1029" s="10"/>
      <c r="I1029" s="10"/>
      <c r="J1029" s="10"/>
      <c r="K1029" s="62"/>
      <c r="L1029" s="632">
        <v>14</v>
      </c>
      <c r="M1029" s="641">
        <v>0</v>
      </c>
      <c r="N1029" s="676">
        <v>9</v>
      </c>
      <c r="O1029" s="62"/>
      <c r="P1029" s="715">
        <v>9</v>
      </c>
      <c r="Q1029" s="171"/>
      <c r="R1029" s="642">
        <v>9</v>
      </c>
      <c r="S1029" s="339"/>
      <c r="T1029" s="642">
        <v>8</v>
      </c>
      <c r="U1029" s="162"/>
      <c r="V1029" s="164"/>
      <c r="W1029" s="390"/>
      <c r="X1029" s="63"/>
      <c r="Y1029" s="62"/>
      <c r="Z1029" s="64"/>
      <c r="AA1029" s="164"/>
      <c r="AB1029" s="62"/>
      <c r="AC1029" s="62"/>
      <c r="AD1029" s="64"/>
      <c r="AE1029" s="164"/>
      <c r="AF1029" s="62"/>
      <c r="AG1029" s="64"/>
      <c r="AH1029" s="337">
        <v>16</v>
      </c>
      <c r="AI1029" s="337">
        <v>0</v>
      </c>
      <c r="AJ1029" s="337">
        <v>0</v>
      </c>
      <c r="AK1029" s="337">
        <v>0</v>
      </c>
      <c r="AL1029" s="555">
        <v>16</v>
      </c>
      <c r="AM1029" s="552">
        <v>16</v>
      </c>
      <c r="AN1029" s="552" t="s">
        <v>765</v>
      </c>
      <c r="AO1029" s="552" t="s">
        <v>772</v>
      </c>
      <c r="AP1029" s="44"/>
      <c r="AQ1029" s="485">
        <f t="shared" si="429"/>
        <v>8.8888888888888892E-2</v>
      </c>
      <c r="AR1029" s="396">
        <f>BL1029/BH1029</f>
        <v>0.15555555555555556</v>
      </c>
      <c r="AS1029" s="485">
        <f>BL1029/BI1029</f>
        <v>7.7777777777777779E-2</v>
      </c>
      <c r="AT1029" s="123"/>
      <c r="AU1029" s="123"/>
      <c r="AV1029" s="123"/>
      <c r="AW1029" s="69">
        <v>25</v>
      </c>
      <c r="AX1029" s="69" t="s">
        <v>299</v>
      </c>
      <c r="AY1029" s="243" t="s">
        <v>46</v>
      </c>
      <c r="AZ1029" s="243" t="str">
        <f t="shared" si="397"/>
        <v>Sockeye</v>
      </c>
      <c r="BA1029" s="243" t="s">
        <v>419</v>
      </c>
      <c r="BB1029" s="244" t="s">
        <v>593</v>
      </c>
      <c r="BC1029" s="43" t="str">
        <f t="shared" si="398"/>
        <v>Oct 22-28</v>
      </c>
      <c r="BD1029" s="43">
        <f t="shared" ref="BD1029:BD1092" si="431">BK1029</f>
        <v>6</v>
      </c>
      <c r="BE1029" s="193">
        <f t="shared" si="414"/>
        <v>14</v>
      </c>
      <c r="BF1029" s="193">
        <f t="shared" si="399"/>
        <v>16</v>
      </c>
      <c r="BG1029" s="193">
        <f t="shared" si="400"/>
        <v>16</v>
      </c>
      <c r="BH1029" s="307">
        <f t="shared" si="416"/>
        <v>90</v>
      </c>
      <c r="BI1029" s="265">
        <f t="shared" si="430"/>
        <v>180</v>
      </c>
      <c r="BJ1029" s="26" t="str">
        <f t="shared" si="401"/>
        <v>CONUMA RIVERSockeye</v>
      </c>
      <c r="BK1029" s="26">
        <f t="shared" si="402"/>
        <v>6</v>
      </c>
      <c r="BL1029" s="33">
        <f t="shared" si="418"/>
        <v>14</v>
      </c>
      <c r="BP1029" s="34"/>
      <c r="BQ1029" s="47" t="str">
        <f t="shared" si="403"/>
        <v>CONUMA RIVERSockeye</v>
      </c>
      <c r="BR1029" s="49">
        <f t="shared" si="404"/>
        <v>0</v>
      </c>
      <c r="BS1029" s="49">
        <f t="shared" si="413"/>
        <v>16</v>
      </c>
      <c r="BT1029" s="31">
        <v>2016</v>
      </c>
      <c r="BU1029" s="188" t="str">
        <f t="shared" si="405"/>
        <v>MMFN/Conuma</v>
      </c>
      <c r="BV1029" s="188" t="str">
        <f t="shared" si="406"/>
        <v>Sep 24-30</v>
      </c>
      <c r="BW1029" s="188" t="str">
        <f t="shared" si="423"/>
        <v>Oct 22-28</v>
      </c>
      <c r="BX1029" s="188" t="str">
        <f t="shared" si="407"/>
        <v xml:space="preserve"> </v>
      </c>
      <c r="BY1029" s="50" t="str">
        <f t="shared" si="428"/>
        <v>CONUMA RIVER_Sockeye</v>
      </c>
      <c r="BZ1029" s="50">
        <f>IFERROR(VLOOKUP(BY1029,'[1]WCVI Esc'!$C$5:$W$555,18,FALSE),"-")</f>
        <v>78.75</v>
      </c>
      <c r="CA1029" s="50">
        <f t="shared" si="408"/>
        <v>80</v>
      </c>
      <c r="CB1029" s="50">
        <f>IFERROR(VLOOKUP(BY1029,'[1]WCVI Esc'!$C$5:$W$555,19,FALSE),"-")</f>
        <v>176.81818181818181</v>
      </c>
      <c r="CC1029" s="50">
        <f t="shared" si="409"/>
        <v>180</v>
      </c>
      <c r="CE1029" s="342" t="str">
        <f t="shared" si="424"/>
        <v>CONUMA RIVER_Sockeye</v>
      </c>
      <c r="CF1029" s="341">
        <f>IFERROR(VLOOKUP(CE1029,'RawPL+D'!$O$8:$AB$503,12,FALSE),"-")</f>
        <v>115</v>
      </c>
      <c r="CG1029" s="338">
        <f t="shared" si="425"/>
        <v>120</v>
      </c>
      <c r="CH1029" s="341">
        <f>IFERROR(VLOOKUP(BY1029,'RawPL+D'!$O$8:$AB$503,13,FALSE),"-")</f>
        <v>88.5</v>
      </c>
      <c r="CI1029" s="338">
        <f t="shared" si="426"/>
        <v>90</v>
      </c>
    </row>
    <row r="1030" spans="1:87" ht="12.75" customHeight="1" x14ac:dyDescent="0.2">
      <c r="A1030" s="29">
        <v>2</v>
      </c>
      <c r="B1030" s="29">
        <v>2</v>
      </c>
      <c r="C1030" s="13">
        <v>25</v>
      </c>
      <c r="D1030" s="13" t="s">
        <v>299</v>
      </c>
      <c r="E1030" s="10" t="s">
        <v>46</v>
      </c>
      <c r="F1030" s="10" t="s">
        <v>219</v>
      </c>
      <c r="G1030" s="10"/>
      <c r="H1030" s="10"/>
      <c r="I1030" s="10"/>
      <c r="J1030" s="10"/>
      <c r="K1030" s="62"/>
      <c r="L1030" s="632">
        <v>7</v>
      </c>
      <c r="M1030" s="641">
        <v>2</v>
      </c>
      <c r="N1030" s="642">
        <v>34</v>
      </c>
      <c r="O1030" s="62"/>
      <c r="P1030" s="695">
        <v>2332</v>
      </c>
      <c r="Q1030" s="171"/>
      <c r="R1030" s="642">
        <v>1712</v>
      </c>
      <c r="S1030" s="428"/>
      <c r="T1030" s="646">
        <v>1597</v>
      </c>
      <c r="U1030" s="162"/>
      <c r="V1030" s="164"/>
      <c r="W1030" s="390"/>
      <c r="X1030" s="437"/>
      <c r="Y1030" s="62"/>
      <c r="Z1030" s="64"/>
      <c r="AA1030" s="164"/>
      <c r="AB1030" s="62"/>
      <c r="AC1030" s="62"/>
      <c r="AD1030" s="64"/>
      <c r="AE1030" s="164"/>
      <c r="AF1030" s="62"/>
      <c r="AG1030" s="64"/>
      <c r="AH1030" s="337">
        <v>3617</v>
      </c>
      <c r="AI1030" s="337">
        <v>401</v>
      </c>
      <c r="AJ1030" s="337">
        <v>293</v>
      </c>
      <c r="AK1030" s="337">
        <v>0</v>
      </c>
      <c r="AL1030" s="555">
        <v>3910</v>
      </c>
      <c r="AM1030" s="552">
        <v>4311</v>
      </c>
      <c r="AN1030" s="552" t="s">
        <v>768</v>
      </c>
      <c r="AO1030" s="552" t="s">
        <v>773</v>
      </c>
      <c r="AP1030" s="44"/>
      <c r="AQ1030" s="485">
        <f t="shared" si="429"/>
        <v>1.458955223880597</v>
      </c>
      <c r="AR1030" s="396">
        <f>BL1030/BH1030</f>
        <v>1.189795918367347</v>
      </c>
      <c r="AS1030" s="485">
        <f>BL1030/BI1030</f>
        <v>0.87014925373134333</v>
      </c>
      <c r="AT1030" s="123"/>
      <c r="AU1030" s="123"/>
      <c r="AV1030" s="123"/>
      <c r="AW1030" s="69">
        <v>25</v>
      </c>
      <c r="AX1030" s="69" t="s">
        <v>299</v>
      </c>
      <c r="AY1030" s="243" t="s">
        <v>46</v>
      </c>
      <c r="AZ1030" s="243" t="str">
        <f t="shared" si="397"/>
        <v>Coho</v>
      </c>
      <c r="BA1030" s="243" t="s">
        <v>419</v>
      </c>
      <c r="BB1030" s="244" t="s">
        <v>593</v>
      </c>
      <c r="BC1030" s="43" t="str">
        <f t="shared" si="398"/>
        <v>Oct 22-28</v>
      </c>
      <c r="BD1030" s="43">
        <f t="shared" si="431"/>
        <v>6</v>
      </c>
      <c r="BE1030" s="193">
        <f t="shared" si="414"/>
        <v>2332</v>
      </c>
      <c r="BF1030" s="193">
        <f t="shared" si="399"/>
        <v>3910</v>
      </c>
      <c r="BG1030" s="193">
        <f t="shared" si="400"/>
        <v>3617</v>
      </c>
      <c r="BH1030" s="307">
        <f t="shared" si="416"/>
        <v>1960</v>
      </c>
      <c r="BI1030" s="265">
        <f t="shared" si="430"/>
        <v>2680</v>
      </c>
      <c r="BJ1030" s="26" t="str">
        <f t="shared" si="401"/>
        <v>CONUMA RIVERCoho</v>
      </c>
      <c r="BK1030" s="26">
        <f t="shared" si="402"/>
        <v>6</v>
      </c>
      <c r="BL1030" s="33">
        <f t="shared" si="418"/>
        <v>2332</v>
      </c>
      <c r="BP1030" s="34"/>
      <c r="BQ1030" s="47" t="str">
        <f t="shared" si="403"/>
        <v>CONUMA RIVERCoho</v>
      </c>
      <c r="BR1030" s="49">
        <f t="shared" si="404"/>
        <v>0</v>
      </c>
      <c r="BS1030" s="49">
        <f t="shared" si="413"/>
        <v>3910</v>
      </c>
      <c r="BT1030" s="31">
        <v>2016</v>
      </c>
      <c r="BU1030" s="188" t="str">
        <f t="shared" si="405"/>
        <v>MMFN/Conuma</v>
      </c>
      <c r="BV1030" s="188" t="str">
        <f t="shared" si="406"/>
        <v>Sep 24-30</v>
      </c>
      <c r="BW1030" s="188" t="str">
        <f t="shared" si="423"/>
        <v>Oct 22-28</v>
      </c>
      <c r="BX1030" s="188" t="str">
        <f t="shared" si="407"/>
        <v xml:space="preserve"> </v>
      </c>
      <c r="BY1030" s="50" t="str">
        <f t="shared" si="428"/>
        <v>CONUMA RIVER_Coho</v>
      </c>
      <c r="BZ1030" s="50">
        <f>IFERROR(VLOOKUP(BY1030,'[1]WCVI Esc'!$C$5:$W$555,18,FALSE),"-")</f>
        <v>3087.75</v>
      </c>
      <c r="CA1030" s="50">
        <f t="shared" si="408"/>
        <v>3090</v>
      </c>
      <c r="CB1030" s="50">
        <f>IFERROR(VLOOKUP(BY1030,'[1]WCVI Esc'!$C$5:$W$555,19,FALSE),"-")</f>
        <v>2675</v>
      </c>
      <c r="CC1030" s="50">
        <f t="shared" si="409"/>
        <v>2680</v>
      </c>
      <c r="CE1030" s="342" t="str">
        <f t="shared" si="424"/>
        <v>CONUMA RIVER_Coho</v>
      </c>
      <c r="CF1030" s="341">
        <f>IFERROR(VLOOKUP(CE1030,'RawPL+D'!$O$8:$AB$503,12,FALSE),"-")</f>
        <v>556</v>
      </c>
      <c r="CG1030" s="338">
        <f t="shared" si="425"/>
        <v>560</v>
      </c>
      <c r="CH1030" s="341">
        <f>IFERROR(VLOOKUP(BY1030,'RawPL+D'!$O$8:$AB$503,13,FALSE),"-")</f>
        <v>1959</v>
      </c>
      <c r="CI1030" s="338">
        <f t="shared" si="426"/>
        <v>1960</v>
      </c>
    </row>
    <row r="1031" spans="1:87" ht="12.75" customHeight="1" x14ac:dyDescent="0.2">
      <c r="A1031" s="29">
        <v>2</v>
      </c>
      <c r="B1031" s="29">
        <v>3</v>
      </c>
      <c r="C1031" s="13">
        <v>25</v>
      </c>
      <c r="D1031" s="573" t="s">
        <v>299</v>
      </c>
      <c r="E1031" s="10" t="s">
        <v>46</v>
      </c>
      <c r="F1031" s="10" t="s">
        <v>208</v>
      </c>
      <c r="G1031" s="10"/>
      <c r="H1031" s="10"/>
      <c r="I1031" s="10"/>
      <c r="J1031" s="10"/>
      <c r="K1031" s="62"/>
      <c r="L1031" s="632">
        <v>2</v>
      </c>
      <c r="M1031" s="641">
        <v>0</v>
      </c>
      <c r="N1031" s="642">
        <v>3</v>
      </c>
      <c r="O1031" s="62"/>
      <c r="P1031" s="695">
        <v>1</v>
      </c>
      <c r="Q1031" s="171"/>
      <c r="R1031" s="642">
        <v>0</v>
      </c>
      <c r="S1031" s="339"/>
      <c r="T1031" s="642">
        <v>0</v>
      </c>
      <c r="U1031" s="162"/>
      <c r="V1031" s="164"/>
      <c r="W1031" s="62"/>
      <c r="X1031" s="63"/>
      <c r="Y1031" s="62"/>
      <c r="Z1031" s="64"/>
      <c r="AA1031" s="164"/>
      <c r="AB1031" s="62"/>
      <c r="AC1031" s="62"/>
      <c r="AD1031" s="64"/>
      <c r="AE1031" s="164"/>
      <c r="AF1031" s="62"/>
      <c r="AG1031" s="64"/>
      <c r="AH1031" s="337">
        <v>3</v>
      </c>
      <c r="AI1031" s="337">
        <v>0</v>
      </c>
      <c r="AJ1031" s="337">
        <v>0</v>
      </c>
      <c r="AK1031" s="337">
        <v>0</v>
      </c>
      <c r="AL1031" s="555">
        <v>3</v>
      </c>
      <c r="AM1031" s="552">
        <v>3</v>
      </c>
      <c r="AN1031" s="552" t="s">
        <v>765</v>
      </c>
      <c r="AO1031" s="567" t="s">
        <v>772</v>
      </c>
      <c r="AP1031" s="44"/>
      <c r="AQ1031" s="485" t="e">
        <f t="shared" si="429"/>
        <v>#DIV/0!</v>
      </c>
      <c r="AR1031" s="120"/>
      <c r="AS1031" s="485"/>
      <c r="AT1031" s="100"/>
      <c r="AU1031" s="100"/>
      <c r="AV1031" s="100"/>
      <c r="AW1031" s="69">
        <v>25</v>
      </c>
      <c r="AX1031" s="69" t="s">
        <v>299</v>
      </c>
      <c r="AY1031" s="243" t="s">
        <v>46</v>
      </c>
      <c r="AZ1031" s="243" t="str">
        <f t="shared" si="397"/>
        <v>Pink</v>
      </c>
      <c r="BA1031" s="243" t="s">
        <v>419</v>
      </c>
      <c r="BB1031" s="244" t="s">
        <v>593</v>
      </c>
      <c r="BC1031" s="43" t="str">
        <f t="shared" si="398"/>
        <v>Oct 22-28</v>
      </c>
      <c r="BD1031" s="43">
        <f t="shared" si="431"/>
        <v>6</v>
      </c>
      <c r="BE1031" s="193">
        <f t="shared" si="414"/>
        <v>3</v>
      </c>
      <c r="BF1031" s="193">
        <f t="shared" si="399"/>
        <v>3</v>
      </c>
      <c r="BG1031" s="193">
        <f t="shared" si="400"/>
        <v>3</v>
      </c>
      <c r="BH1031" s="307">
        <f t="shared" si="416"/>
        <v>0</v>
      </c>
      <c r="BI1031" s="265">
        <f t="shared" si="430"/>
        <v>0</v>
      </c>
      <c r="BJ1031" s="26" t="str">
        <f t="shared" si="401"/>
        <v>CONUMA RIVERPink</v>
      </c>
      <c r="BK1031" s="26">
        <f t="shared" si="402"/>
        <v>6</v>
      </c>
      <c r="BL1031" s="33">
        <f t="shared" si="418"/>
        <v>3</v>
      </c>
      <c r="BP1031" s="34"/>
      <c r="BQ1031" s="47" t="str">
        <f t="shared" si="403"/>
        <v>CONUMA RIVERPink</v>
      </c>
      <c r="BR1031" s="49">
        <f t="shared" si="404"/>
        <v>0</v>
      </c>
      <c r="BS1031" s="49">
        <f t="shared" si="413"/>
        <v>3</v>
      </c>
      <c r="BT1031" s="31">
        <v>2013</v>
      </c>
      <c r="BU1031" s="188" t="str">
        <f t="shared" si="405"/>
        <v>MMFN/Conuma</v>
      </c>
      <c r="BV1031" s="188" t="str">
        <f t="shared" si="406"/>
        <v>Sep 24-30</v>
      </c>
      <c r="BW1031" s="188" t="str">
        <f t="shared" si="423"/>
        <v>Oct 22-28</v>
      </c>
      <c r="BX1031" s="188" t="str">
        <f t="shared" si="407"/>
        <v xml:space="preserve"> </v>
      </c>
      <c r="BY1031" s="50" t="str">
        <f t="shared" si="428"/>
        <v>CONUMA RIVER_Pink</v>
      </c>
      <c r="BZ1031" s="50">
        <f>IFERROR(VLOOKUP(BY1031,'[1]WCVI Esc'!$C$5:$W$555,18,FALSE),"-")</f>
        <v>1</v>
      </c>
      <c r="CA1031" s="50">
        <f t="shared" si="408"/>
        <v>0</v>
      </c>
      <c r="CB1031" s="50">
        <f>IFERROR(VLOOKUP(BY1031,'[1]WCVI Esc'!$C$5:$W$555,19,FALSE),"-")</f>
        <v>1.6666666666666667</v>
      </c>
      <c r="CC1031" s="50">
        <f t="shared" si="409"/>
        <v>0</v>
      </c>
      <c r="CE1031" s="342" t="str">
        <f t="shared" si="424"/>
        <v>CONUMA RIVER_Pink</v>
      </c>
      <c r="CF1031" s="341">
        <f>IFERROR(VLOOKUP(BY1031,'RawPL+D'!$O$8:$AB$503,12,FALSE),"-")</f>
        <v>1</v>
      </c>
      <c r="CG1031" s="338">
        <f t="shared" si="425"/>
        <v>0</v>
      </c>
      <c r="CH1031" s="341">
        <f>IFERROR(VLOOKUP(BY1031,'RawPL+D'!$O$8:$AB$503,13,FALSE),"-")</f>
        <v>1</v>
      </c>
      <c r="CI1031" s="338">
        <f t="shared" si="426"/>
        <v>0</v>
      </c>
    </row>
    <row r="1032" spans="1:87" ht="12.75" customHeight="1" x14ac:dyDescent="0.2">
      <c r="A1032" s="29">
        <v>2</v>
      </c>
      <c r="B1032" s="29">
        <v>4</v>
      </c>
      <c r="C1032" s="13">
        <v>25</v>
      </c>
      <c r="D1032" s="573" t="s">
        <v>299</v>
      </c>
      <c r="E1032" s="10" t="s">
        <v>46</v>
      </c>
      <c r="F1032" s="10" t="s">
        <v>209</v>
      </c>
      <c r="G1032" s="10"/>
      <c r="H1032" s="10"/>
      <c r="I1032" s="10"/>
      <c r="J1032" s="10"/>
      <c r="K1032" s="62"/>
      <c r="L1032" s="632">
        <v>10</v>
      </c>
      <c r="M1032" s="641">
        <v>0</v>
      </c>
      <c r="N1032" s="676">
        <v>13</v>
      </c>
      <c r="O1032" s="62"/>
      <c r="P1032" s="716">
        <f>2615+1</f>
        <v>2616</v>
      </c>
      <c r="Q1032" s="171"/>
      <c r="R1032" s="675">
        <f>12145+645</f>
        <v>12790</v>
      </c>
      <c r="S1032" s="428"/>
      <c r="T1032" s="676">
        <f>8328+2553</f>
        <v>10881</v>
      </c>
      <c r="U1032" s="162"/>
      <c r="V1032" s="429"/>
      <c r="W1032" s="390"/>
      <c r="X1032" s="437"/>
      <c r="Y1032" s="62"/>
      <c r="Z1032" s="64"/>
      <c r="AA1032" s="164"/>
      <c r="AB1032" s="62"/>
      <c r="AC1032" s="62"/>
      <c r="AD1032" s="64"/>
      <c r="AE1032" s="164"/>
      <c r="AF1032" s="62"/>
      <c r="AG1032" s="64"/>
      <c r="AH1032" s="337">
        <v>23228</v>
      </c>
      <c r="AI1032" s="337">
        <v>0</v>
      </c>
      <c r="AJ1032" s="337">
        <v>3100</v>
      </c>
      <c r="AK1032" s="337">
        <v>0</v>
      </c>
      <c r="AL1032" s="556">
        <v>26328</v>
      </c>
      <c r="AM1032" s="567">
        <v>26328</v>
      </c>
      <c r="AN1032" s="552" t="s">
        <v>768</v>
      </c>
      <c r="AO1032" s="552" t="s">
        <v>773</v>
      </c>
      <c r="AP1032" s="44"/>
      <c r="AQ1032" s="485">
        <f t="shared" si="429"/>
        <v>2.9220865704772474</v>
      </c>
      <c r="AR1032" s="507">
        <f>BL1032/BH1032</f>
        <v>2.7270788912579955</v>
      </c>
      <c r="AS1032" s="485">
        <f>BL1032/BI1032</f>
        <v>1.4195338512763596</v>
      </c>
      <c r="AT1032" s="123"/>
      <c r="AU1032" s="123"/>
      <c r="AV1032" s="123"/>
      <c r="AW1032" s="69">
        <v>25</v>
      </c>
      <c r="AX1032" s="69" t="s">
        <v>299</v>
      </c>
      <c r="AY1032" s="243" t="s">
        <v>46</v>
      </c>
      <c r="AZ1032" s="243" t="str">
        <f t="shared" si="397"/>
        <v>Chum</v>
      </c>
      <c r="BA1032" s="243" t="s">
        <v>419</v>
      </c>
      <c r="BB1032" s="244" t="s">
        <v>593</v>
      </c>
      <c r="BC1032" s="43" t="str">
        <f t="shared" si="398"/>
        <v>Oct 22-28</v>
      </c>
      <c r="BD1032" s="43">
        <f t="shared" si="431"/>
        <v>6</v>
      </c>
      <c r="BE1032" s="193">
        <f t="shared" si="414"/>
        <v>12790</v>
      </c>
      <c r="BF1032" s="193">
        <f t="shared" si="399"/>
        <v>26328</v>
      </c>
      <c r="BG1032" s="193">
        <f t="shared" si="400"/>
        <v>23228</v>
      </c>
      <c r="BH1032" s="307">
        <f t="shared" si="416"/>
        <v>4690</v>
      </c>
      <c r="BI1032" s="265">
        <f t="shared" si="430"/>
        <v>9010</v>
      </c>
      <c r="BJ1032" s="26" t="str">
        <f t="shared" si="401"/>
        <v>CONUMA RIVERChum</v>
      </c>
      <c r="BK1032" s="26">
        <f t="shared" si="402"/>
        <v>6</v>
      </c>
      <c r="BL1032" s="33">
        <f t="shared" si="418"/>
        <v>12790</v>
      </c>
      <c r="BP1032" s="34"/>
      <c r="BQ1032" s="47" t="str">
        <f t="shared" si="403"/>
        <v>CONUMA RIVERChum</v>
      </c>
      <c r="BR1032" s="49">
        <f t="shared" si="404"/>
        <v>0</v>
      </c>
      <c r="BS1032" s="49">
        <f t="shared" si="413"/>
        <v>26328</v>
      </c>
      <c r="BT1032" s="31">
        <v>2016</v>
      </c>
      <c r="BU1032" s="188" t="str">
        <f t="shared" si="405"/>
        <v>MMFN/Conuma</v>
      </c>
      <c r="BV1032" s="188" t="str">
        <f t="shared" si="406"/>
        <v>Sep 24-30</v>
      </c>
      <c r="BW1032" s="188" t="str">
        <f t="shared" si="423"/>
        <v>Oct 22-28</v>
      </c>
      <c r="BX1032" s="188" t="str">
        <f t="shared" si="407"/>
        <v xml:space="preserve"> </v>
      </c>
      <c r="BY1032" s="50" t="str">
        <f t="shared" si="428"/>
        <v>CONUMA RIVER_Chum</v>
      </c>
      <c r="BZ1032" s="50">
        <f>IFERROR(VLOOKUP(BY1032,'[1]WCVI Esc'!$C$5:$W$555,18,FALSE),"-")</f>
        <v>9877</v>
      </c>
      <c r="CA1032" s="50">
        <f t="shared" si="408"/>
        <v>9880</v>
      </c>
      <c r="CB1032" s="50">
        <f>IFERROR(VLOOKUP(BY1032,'[1]WCVI Esc'!$C$5:$W$555,19,FALSE),"-")</f>
        <v>9013.0833333333339</v>
      </c>
      <c r="CC1032" s="50">
        <f t="shared" si="409"/>
        <v>9010</v>
      </c>
      <c r="CE1032" s="342" t="str">
        <f t="shared" si="424"/>
        <v>CONUMA RIVER_Chum</v>
      </c>
      <c r="CF1032" s="341">
        <f>IFERROR(VLOOKUP(CE1032,'RawPL+D'!$O$8:$AB$503,12,FALSE),"-")</f>
        <v>892</v>
      </c>
      <c r="CG1032" s="338">
        <f t="shared" si="425"/>
        <v>890</v>
      </c>
      <c r="CH1032" s="341">
        <f>IFERROR(VLOOKUP(BY1032,'RawPL+D'!$O$8:$AB$503,13,FALSE),"-")</f>
        <v>4690.5</v>
      </c>
      <c r="CI1032" s="338">
        <f t="shared" si="426"/>
        <v>4690</v>
      </c>
    </row>
    <row r="1033" spans="1:87" ht="12.75" customHeight="1" x14ac:dyDescent="0.2">
      <c r="A1033" s="29">
        <v>2</v>
      </c>
      <c r="B1033" s="29">
        <v>5</v>
      </c>
      <c r="C1033" s="13">
        <v>25</v>
      </c>
      <c r="D1033" s="13" t="s">
        <v>299</v>
      </c>
      <c r="E1033" s="10" t="s">
        <v>46</v>
      </c>
      <c r="F1033" s="10" t="s">
        <v>210</v>
      </c>
      <c r="G1033" s="10"/>
      <c r="H1033" s="10"/>
      <c r="I1033" s="10"/>
      <c r="J1033" s="10"/>
      <c r="K1033" s="62"/>
      <c r="L1033" s="632">
        <f>7234+262</f>
        <v>7496</v>
      </c>
      <c r="M1033" s="648">
        <v>15026</v>
      </c>
      <c r="N1033" s="675">
        <f>12918+50</f>
        <v>12968</v>
      </c>
      <c r="O1033" s="62"/>
      <c r="P1033" s="717">
        <f>4479+1189</f>
        <v>5668</v>
      </c>
      <c r="Q1033" s="447"/>
      <c r="R1033" s="675">
        <f>75+152</f>
        <v>227</v>
      </c>
      <c r="S1033" s="428"/>
      <c r="T1033" s="642">
        <f>10+5</f>
        <v>15</v>
      </c>
      <c r="U1033" s="162"/>
      <c r="V1033" s="164"/>
      <c r="W1033" s="62"/>
      <c r="X1033" s="63"/>
      <c r="Y1033" s="62"/>
      <c r="Z1033" s="64"/>
      <c r="AA1033" s="164"/>
      <c r="AB1033" s="62"/>
      <c r="AC1033" s="62"/>
      <c r="AD1033" s="64"/>
      <c r="AE1033" s="164"/>
      <c r="AF1033" s="62"/>
      <c r="AG1033" s="64"/>
      <c r="AH1033" s="337">
        <v>20670</v>
      </c>
      <c r="AI1033" s="337">
        <v>256</v>
      </c>
      <c r="AJ1033" s="337">
        <v>2009</v>
      </c>
      <c r="AK1033" s="337">
        <v>0</v>
      </c>
      <c r="AL1033" s="556">
        <v>22679</v>
      </c>
      <c r="AM1033" s="567">
        <v>22935</v>
      </c>
      <c r="AN1033" s="552" t="s">
        <v>768</v>
      </c>
      <c r="AO1033" s="552" t="s">
        <v>773</v>
      </c>
      <c r="AP1033" s="44"/>
      <c r="AQ1033" s="485">
        <f t="shared" si="429"/>
        <v>1.2232470334412082</v>
      </c>
      <c r="AR1033" s="485">
        <f>BL1033/BH1033</f>
        <v>1.5442959917780061</v>
      </c>
      <c r="AS1033" s="485">
        <f>BL1033/BI1033</f>
        <v>0.81046386192017261</v>
      </c>
      <c r="AT1033" s="123">
        <v>614</v>
      </c>
      <c r="AU1033" s="123">
        <v>181</v>
      </c>
      <c r="AV1033" s="123">
        <f>AL1033</f>
        <v>22679</v>
      </c>
      <c r="AW1033" s="69">
        <v>25</v>
      </c>
      <c r="AX1033" s="69" t="s">
        <v>299</v>
      </c>
      <c r="AY1033" s="243" t="s">
        <v>46</v>
      </c>
      <c r="AZ1033" s="243" t="str">
        <f t="shared" ref="AZ1033:AZ1096" si="432">F1033</f>
        <v>Chinook</v>
      </c>
      <c r="BA1033" s="243" t="s">
        <v>419</v>
      </c>
      <c r="BB1033" s="244" t="s">
        <v>593</v>
      </c>
      <c r="BC1033" s="43" t="str">
        <f t="shared" ref="BC1033:BC1096" si="433">IF(BX1033=" ",IF(BW1033=" ", IF(BV1033=" ","-",BV1033),BW1033), BX1033)</f>
        <v>Oct 22-28</v>
      </c>
      <c r="BD1033" s="43">
        <f t="shared" si="431"/>
        <v>6</v>
      </c>
      <c r="BE1033" s="193">
        <f t="shared" si="414"/>
        <v>15026</v>
      </c>
      <c r="BF1033" s="193">
        <f t="shared" ref="BF1033:BF1096" si="434">AL1033</f>
        <v>22679</v>
      </c>
      <c r="BG1033" s="193">
        <f t="shared" ref="BG1033:BG1096" si="435">AH1033</f>
        <v>20670</v>
      </c>
      <c r="BH1033" s="307">
        <f t="shared" si="416"/>
        <v>9730</v>
      </c>
      <c r="BI1033" s="265">
        <f t="shared" si="430"/>
        <v>18540</v>
      </c>
      <c r="BJ1033" s="26" t="str">
        <f t="shared" ref="BJ1033:BJ1096" si="436">CONCATENATE(E1033,F1033)</f>
        <v>CONUMA RIVERChinook</v>
      </c>
      <c r="BK1033" s="26">
        <f t="shared" ref="BK1033:BK1096" si="437">COUNT(K1033:AB1033)</f>
        <v>6</v>
      </c>
      <c r="BL1033" s="33">
        <f t="shared" si="418"/>
        <v>15026</v>
      </c>
      <c r="BM1033" s="34">
        <f>BL1033*1.14</f>
        <v>17129.64</v>
      </c>
      <c r="BN1033" s="34">
        <f>BL1033*2.88</f>
        <v>43274.879999999997</v>
      </c>
      <c r="BO1033" s="36"/>
      <c r="BP1033" s="34">
        <f>SUM(BM1033:BN1033)/2</f>
        <v>30202.26</v>
      </c>
      <c r="BQ1033" s="47" t="str">
        <f t="shared" ref="BQ1033:BQ1096" si="438">CONCATENATE(E1033,F1033)</f>
        <v>CONUMA RIVERChinook</v>
      </c>
      <c r="BR1033" s="49">
        <f t="shared" ref="BR1033:BR1096" si="439">AP1033</f>
        <v>0</v>
      </c>
      <c r="BS1033" s="49">
        <f t="shared" si="413"/>
        <v>22679</v>
      </c>
      <c r="BT1033" s="31">
        <v>2016</v>
      </c>
      <c r="BU1033" s="188" t="str">
        <f t="shared" ref="BU1033:BU1096" si="440">BB1033</f>
        <v>MMFN/Conuma</v>
      </c>
      <c r="BV1033" s="188" t="str">
        <f t="shared" ref="BV1033:BV1096" si="441">IF(ISNUMBER(Q1033),Q$8,IF(ISNUMBER(P1033),P$8,IF(ISNUMBER(O1033),O$8,IF(ISNUMBER(N1033),N$8,IF(ISNUMBER(M1033),M$8,IF(ISNUMBER(L1033),L$8, IF(ISNUMBER(K1033),K$8," ")))))))</f>
        <v>Sep 24-30</v>
      </c>
      <c r="BW1033" s="188" t="str">
        <f t="shared" si="423"/>
        <v>Oct 22-28</v>
      </c>
      <c r="BX1033" s="188" t="str">
        <f t="shared" ref="BX1033:BX1096" si="442">IF(ISNUMBER(AB1033),AB$8,IF(ISNUMBER(AA1033),AA$8,IF(ISNUMBER(Z1033),Z$8,IF(ISNUMBER(Y1033),Y$8,IF(ISNUMBER(X1033),X$8," ")))))</f>
        <v xml:space="preserve"> </v>
      </c>
      <c r="BY1033" s="50" t="str">
        <f t="shared" si="428"/>
        <v>CONUMA RIVER_Chinook</v>
      </c>
      <c r="BZ1033" s="50">
        <f>IFERROR(VLOOKUP(BY1033,'[1]WCVI Esc'!$C$5:$W$555,18,FALSE),"-")</f>
        <v>7462.5</v>
      </c>
      <c r="CA1033" s="50">
        <f t="shared" ref="CA1033:CA1096" si="443">IFERROR(ROUND(BZ1033,-1),"-")</f>
        <v>7460</v>
      </c>
      <c r="CB1033" s="50">
        <f>IFERROR(VLOOKUP(BY1033,'[1]WCVI Esc'!$C$5:$W$555,19,FALSE),"-")</f>
        <v>18535.833333333332</v>
      </c>
      <c r="CC1033" s="50">
        <f t="shared" ref="CC1033:CC1096" si="444">IFERROR(ROUND(CB1033,-1),"-")</f>
        <v>18540</v>
      </c>
      <c r="CE1033" s="342" t="str">
        <f t="shared" si="424"/>
        <v>CONUMA RIVER_Chinook</v>
      </c>
      <c r="CF1033" s="341">
        <f>IFERROR(VLOOKUP(CE1033,'RawPL+D'!$O$8:$AB$503,12,FALSE),"-")</f>
        <v>18623</v>
      </c>
      <c r="CG1033" s="338">
        <f t="shared" si="425"/>
        <v>18620</v>
      </c>
      <c r="CH1033" s="341">
        <f>IFERROR(VLOOKUP(BY1033,'RawPL+D'!$O$8:$AB$503,13,FALSE),"-")</f>
        <v>9728</v>
      </c>
      <c r="CI1033" s="338">
        <f t="shared" si="426"/>
        <v>9730</v>
      </c>
    </row>
    <row r="1034" spans="1:87" ht="12.75" hidden="1" customHeight="1" x14ac:dyDescent="0.2">
      <c r="A1034" s="29">
        <v>2</v>
      </c>
      <c r="B1034" s="29">
        <v>6</v>
      </c>
      <c r="C1034" s="13">
        <v>25</v>
      </c>
      <c r="D1034" s="13" t="s">
        <v>299</v>
      </c>
      <c r="E1034" s="10" t="s">
        <v>46</v>
      </c>
      <c r="F1034" s="10" t="s">
        <v>211</v>
      </c>
      <c r="G1034" s="10"/>
      <c r="H1034" s="10"/>
      <c r="I1034" s="10"/>
      <c r="J1034" s="10"/>
      <c r="K1034" s="62"/>
      <c r="L1034" s="632">
        <v>5</v>
      </c>
      <c r="M1034" s="641">
        <v>0</v>
      </c>
      <c r="N1034" s="642">
        <v>2</v>
      </c>
      <c r="O1034" s="62"/>
      <c r="P1034" s="695">
        <v>4</v>
      </c>
      <c r="Q1034" s="171"/>
      <c r="R1034" s="642">
        <v>2</v>
      </c>
      <c r="S1034" s="339"/>
      <c r="T1034" s="642">
        <v>3</v>
      </c>
      <c r="U1034" s="162"/>
      <c r="V1034" s="164"/>
      <c r="W1034" s="62"/>
      <c r="X1034" s="63"/>
      <c r="Y1034" s="62"/>
      <c r="Z1034" s="64"/>
      <c r="AA1034" s="164"/>
      <c r="AB1034" s="62"/>
      <c r="AC1034" s="62"/>
      <c r="AD1034" s="64"/>
      <c r="AE1034" s="164"/>
      <c r="AF1034" s="62"/>
      <c r="AG1034" s="64"/>
      <c r="AH1034" s="337"/>
      <c r="AI1034" s="337"/>
      <c r="AJ1034" s="337"/>
      <c r="AK1034" s="337"/>
      <c r="AL1034" s="555"/>
      <c r="AM1034" s="552"/>
      <c r="AN1034" s="45"/>
      <c r="AO1034" s="45"/>
      <c r="AP1034" s="44"/>
      <c r="AQ1034" s="485" t="e">
        <f t="shared" si="429"/>
        <v>#VALUE!</v>
      </c>
      <c r="AR1034" s="100"/>
      <c r="AS1034" s="485"/>
      <c r="AT1034" s="100"/>
      <c r="AU1034" s="100"/>
      <c r="AV1034" s="100"/>
      <c r="AW1034" s="69">
        <v>25</v>
      </c>
      <c r="AX1034" s="69" t="s">
        <v>299</v>
      </c>
      <c r="AY1034" s="243" t="s">
        <v>46</v>
      </c>
      <c r="AZ1034" s="243" t="str">
        <f t="shared" si="432"/>
        <v>Steelhead</v>
      </c>
      <c r="BA1034" s="243" t="s">
        <v>419</v>
      </c>
      <c r="BB1034" s="244" t="s">
        <v>593</v>
      </c>
      <c r="BC1034" s="43" t="str">
        <f t="shared" si="433"/>
        <v>Oct 22-28</v>
      </c>
      <c r="BD1034" s="43">
        <f t="shared" si="431"/>
        <v>6</v>
      </c>
      <c r="BE1034" s="193">
        <f t="shared" si="414"/>
        <v>5</v>
      </c>
      <c r="BF1034" s="193">
        <f t="shared" si="434"/>
        <v>0</v>
      </c>
      <c r="BG1034" s="193">
        <f t="shared" si="435"/>
        <v>0</v>
      </c>
      <c r="BH1034" s="307" t="str">
        <f t="shared" si="416"/>
        <v>-</v>
      </c>
      <c r="BI1034" s="265" t="str">
        <f t="shared" si="430"/>
        <v>-</v>
      </c>
      <c r="BJ1034" s="26" t="str">
        <f t="shared" si="436"/>
        <v>CONUMA RIVERSteelhead</v>
      </c>
      <c r="BK1034" s="26">
        <f t="shared" si="437"/>
        <v>6</v>
      </c>
      <c r="BL1034" s="33">
        <f t="shared" si="418"/>
        <v>5</v>
      </c>
      <c r="BP1034" s="34"/>
      <c r="BQ1034" s="47" t="str">
        <f t="shared" si="438"/>
        <v>CONUMA RIVERSteelhead</v>
      </c>
      <c r="BR1034" s="49">
        <f t="shared" si="439"/>
        <v>0</v>
      </c>
      <c r="BS1034" s="49">
        <f t="shared" si="413"/>
        <v>0</v>
      </c>
      <c r="BT1034" s="31">
        <v>0</v>
      </c>
      <c r="BU1034" s="188" t="str">
        <f t="shared" si="440"/>
        <v>MMFN/Conuma</v>
      </c>
      <c r="BV1034" s="188" t="str">
        <f t="shared" si="441"/>
        <v>Sep 24-30</v>
      </c>
      <c r="BW1034" s="188" t="str">
        <f t="shared" si="423"/>
        <v>Oct 22-28</v>
      </c>
      <c r="BX1034" s="188" t="str">
        <f t="shared" si="442"/>
        <v xml:space="preserve"> </v>
      </c>
      <c r="BY1034" s="50" t="str">
        <f t="shared" si="428"/>
        <v>CONUMA RIVER_Steelhead</v>
      </c>
      <c r="BZ1034" s="50" t="str">
        <f>IFERROR(VLOOKUP(BY1034,'[1]WCVI Esc'!$C$5:$W$555,18,FALSE),"-")</f>
        <v>-</v>
      </c>
      <c r="CA1034" s="50" t="str">
        <f t="shared" si="443"/>
        <v>-</v>
      </c>
      <c r="CB1034" s="50" t="str">
        <f>IFERROR(VLOOKUP(BY1034,'[1]WCVI Esc'!$C$5:$W$555,19,FALSE),"-")</f>
        <v>-</v>
      </c>
      <c r="CC1034" s="50" t="str">
        <f t="shared" si="444"/>
        <v>-</v>
      </c>
      <c r="CE1034" s="342" t="str">
        <f t="shared" si="424"/>
        <v>CONUMA RIVER_Steelhead</v>
      </c>
      <c r="CF1034" s="341" t="str">
        <f>IFERROR(VLOOKUP(BY1034,'RawPL+D'!$O$8:$AB$503,12,FALSE),"-")</f>
        <v>-</v>
      </c>
      <c r="CG1034" s="338" t="str">
        <f t="shared" si="425"/>
        <v>-</v>
      </c>
      <c r="CH1034" s="341" t="str">
        <f>IFERROR(VLOOKUP(BY1034,'RawPL+D'!$O$8:$AB$503,13,FALSE),"-")</f>
        <v>-</v>
      </c>
      <c r="CI1034" s="338" t="str">
        <f t="shared" si="426"/>
        <v>-</v>
      </c>
    </row>
    <row r="1035" spans="1:87" ht="12.75" customHeight="1" x14ac:dyDescent="0.2">
      <c r="A1035" s="29">
        <v>2</v>
      </c>
      <c r="B1035" s="29">
        <v>1</v>
      </c>
      <c r="C1035" s="13">
        <v>25</v>
      </c>
      <c r="D1035" s="573" t="s">
        <v>299</v>
      </c>
      <c r="E1035" s="10" t="s">
        <v>48</v>
      </c>
      <c r="F1035" s="10" t="s">
        <v>207</v>
      </c>
      <c r="G1035" s="10"/>
      <c r="H1035" s="10"/>
      <c r="I1035" s="10"/>
      <c r="J1035" s="10"/>
      <c r="K1035" s="575"/>
      <c r="L1035" s="64"/>
      <c r="M1035" s="641">
        <f>53+1</f>
        <v>54</v>
      </c>
      <c r="N1035" s="339"/>
      <c r="O1035" s="642">
        <f>28+1</f>
        <v>29</v>
      </c>
      <c r="P1035" s="686">
        <v>42</v>
      </c>
      <c r="Q1035" s="171"/>
      <c r="R1035" s="675">
        <v>51</v>
      </c>
      <c r="S1035" s="708">
        <v>40</v>
      </c>
      <c r="T1035" s="437"/>
      <c r="U1035" s="787">
        <v>26</v>
      </c>
      <c r="V1035" s="429"/>
      <c r="W1035" s="431"/>
      <c r="X1035" s="63"/>
      <c r="Y1035" s="62"/>
      <c r="Z1035" s="64"/>
      <c r="AA1035" s="164"/>
      <c r="AB1035" s="62"/>
      <c r="AC1035" s="62"/>
      <c r="AD1035" s="64"/>
      <c r="AE1035" s="164"/>
      <c r="AF1035" s="62"/>
      <c r="AG1035" s="64"/>
      <c r="AH1035" s="337">
        <v>81</v>
      </c>
      <c r="AI1035" s="337">
        <v>10</v>
      </c>
      <c r="AJ1035" s="337">
        <v>0</v>
      </c>
      <c r="AK1035" s="337">
        <v>0</v>
      </c>
      <c r="AL1035" s="555">
        <v>81</v>
      </c>
      <c r="AM1035" s="552">
        <v>91</v>
      </c>
      <c r="AN1035" s="552" t="s">
        <v>768</v>
      </c>
      <c r="AO1035" s="552" t="s">
        <v>773</v>
      </c>
      <c r="AP1035" s="44"/>
      <c r="AQ1035" s="485">
        <f t="shared" si="429"/>
        <v>9.7590361445783133E-2</v>
      </c>
      <c r="AR1035" s="485">
        <f>BL1035/BH1035</f>
        <v>0.14210526315789473</v>
      </c>
      <c r="AS1035" s="485">
        <f>BL1035/BI1035</f>
        <v>6.5060240963855417E-2</v>
      </c>
      <c r="AT1035" s="123"/>
      <c r="AU1035" s="123"/>
      <c r="AV1035" s="123"/>
      <c r="AW1035" s="69">
        <v>25</v>
      </c>
      <c r="AX1035" s="196" t="s">
        <v>299</v>
      </c>
      <c r="AY1035" s="243" t="s">
        <v>48</v>
      </c>
      <c r="AZ1035" s="243" t="str">
        <f t="shared" si="432"/>
        <v>Sockeye</v>
      </c>
      <c r="BA1035" s="243" t="s">
        <v>419</v>
      </c>
      <c r="BB1035" s="244" t="s">
        <v>495</v>
      </c>
      <c r="BC1035" s="43" t="str">
        <f t="shared" si="433"/>
        <v>Oct 29-Nov4</v>
      </c>
      <c r="BD1035" s="43">
        <f t="shared" si="431"/>
        <v>6</v>
      </c>
      <c r="BE1035" s="193">
        <f t="shared" si="414"/>
        <v>54</v>
      </c>
      <c r="BF1035" s="193">
        <f t="shared" si="434"/>
        <v>81</v>
      </c>
      <c r="BG1035" s="193">
        <f t="shared" si="435"/>
        <v>81</v>
      </c>
      <c r="BH1035" s="307">
        <f t="shared" si="416"/>
        <v>380</v>
      </c>
      <c r="BI1035" s="265">
        <f t="shared" si="430"/>
        <v>830</v>
      </c>
      <c r="BJ1035" s="26" t="str">
        <f t="shared" si="436"/>
        <v>LEINER RIVERSockeye</v>
      </c>
      <c r="BK1035" s="26">
        <f t="shared" si="437"/>
        <v>6</v>
      </c>
      <c r="BL1035" s="33">
        <f t="shared" si="418"/>
        <v>54</v>
      </c>
      <c r="BO1035"/>
      <c r="BP1035" s="34"/>
      <c r="BQ1035" s="47" t="str">
        <f t="shared" si="438"/>
        <v>LEINER RIVERSockeye</v>
      </c>
      <c r="BR1035" s="49">
        <f t="shared" si="439"/>
        <v>0</v>
      </c>
      <c r="BS1035" s="49">
        <f t="shared" si="413"/>
        <v>81</v>
      </c>
      <c r="BT1035" s="31">
        <v>2016</v>
      </c>
      <c r="BU1035" s="188" t="str">
        <f t="shared" si="440"/>
        <v>Ecofish</v>
      </c>
      <c r="BV1035" s="188" t="str">
        <f t="shared" si="441"/>
        <v>Sep 24-30</v>
      </c>
      <c r="BW1035" s="188" t="str">
        <f t="shared" si="423"/>
        <v>Oct 29-Nov4</v>
      </c>
      <c r="BX1035" s="188" t="str">
        <f t="shared" si="442"/>
        <v xml:space="preserve"> </v>
      </c>
      <c r="BY1035" s="50" t="str">
        <f t="shared" si="428"/>
        <v>LEINER RIVER_Sockeye</v>
      </c>
      <c r="BZ1035" s="50">
        <f>IFERROR(VLOOKUP(BY1035,'[1]WCVI Esc'!$C$5:$W$555,18,FALSE),"-")</f>
        <v>684.25</v>
      </c>
      <c r="CA1035" s="50">
        <f t="shared" si="443"/>
        <v>680</v>
      </c>
      <c r="CB1035" s="50">
        <f>IFERROR(VLOOKUP(BY1035,'[1]WCVI Esc'!$C$5:$W$555,19,FALSE),"-")</f>
        <v>825.66666666666663</v>
      </c>
      <c r="CC1035" s="50">
        <f t="shared" si="444"/>
        <v>830</v>
      </c>
      <c r="CE1035" s="342" t="str">
        <f t="shared" si="424"/>
        <v>LEINER RIVER_Sockeye</v>
      </c>
      <c r="CF1035" s="341">
        <f>IFERROR(VLOOKUP(CE1035,'RawPL+D'!$O$8:$AB$503,12,FALSE),"-")</f>
        <v>443</v>
      </c>
      <c r="CG1035" s="338">
        <f t="shared" si="425"/>
        <v>440</v>
      </c>
      <c r="CH1035" s="341">
        <f>IFERROR(VLOOKUP(BY1035,'RawPL+D'!$O$8:$AB$503,13,FALSE),"-")</f>
        <v>380.25</v>
      </c>
      <c r="CI1035" s="338">
        <f t="shared" si="426"/>
        <v>380</v>
      </c>
    </row>
    <row r="1036" spans="1:87" ht="12.75" customHeight="1" x14ac:dyDescent="0.2">
      <c r="A1036" s="29">
        <v>2</v>
      </c>
      <c r="B1036" s="29">
        <v>2</v>
      </c>
      <c r="C1036" s="13">
        <v>25</v>
      </c>
      <c r="D1036" s="573" t="s">
        <v>299</v>
      </c>
      <c r="E1036" s="10" t="s">
        <v>48</v>
      </c>
      <c r="F1036" s="10" t="s">
        <v>219</v>
      </c>
      <c r="G1036" s="10"/>
      <c r="H1036" s="10"/>
      <c r="I1036" s="10"/>
      <c r="J1036" s="10"/>
      <c r="K1036" s="575"/>
      <c r="L1036" s="64"/>
      <c r="M1036" s="641">
        <v>66</v>
      </c>
      <c r="N1036" s="339"/>
      <c r="O1036" s="642">
        <v>294</v>
      </c>
      <c r="P1036" s="686">
        <v>317</v>
      </c>
      <c r="Q1036" s="171"/>
      <c r="R1036" s="642">
        <v>286</v>
      </c>
      <c r="S1036" s="643">
        <v>332</v>
      </c>
      <c r="T1036" s="63"/>
      <c r="U1036" s="767">
        <f>267+1</f>
        <v>268</v>
      </c>
      <c r="V1036" s="164"/>
      <c r="W1036" s="432"/>
      <c r="X1036" s="63"/>
      <c r="Y1036" s="62"/>
      <c r="Z1036" s="64"/>
      <c r="AA1036" s="164"/>
      <c r="AB1036" s="62"/>
      <c r="AC1036" s="62"/>
      <c r="AD1036" s="64"/>
      <c r="AE1036" s="164"/>
      <c r="AF1036" s="62"/>
      <c r="AG1036" s="64"/>
      <c r="AH1036" s="337">
        <v>760</v>
      </c>
      <c r="AI1036" s="337">
        <v>218</v>
      </c>
      <c r="AJ1036" s="337">
        <v>0</v>
      </c>
      <c r="AK1036" s="337">
        <v>0</v>
      </c>
      <c r="AL1036" s="555">
        <v>760</v>
      </c>
      <c r="AM1036" s="552">
        <v>978</v>
      </c>
      <c r="AN1036" s="552" t="s">
        <v>768</v>
      </c>
      <c r="AO1036" s="552" t="s">
        <v>773</v>
      </c>
      <c r="AP1036" s="44"/>
      <c r="AQ1036" s="485">
        <f t="shared" si="429"/>
        <v>0.8</v>
      </c>
      <c r="AR1036" s="485">
        <f>BL1036/BH1036</f>
        <v>1.0060606060606061</v>
      </c>
      <c r="AS1036" s="485">
        <f>BL1036/BI1036</f>
        <v>0.34947368421052633</v>
      </c>
      <c r="AT1036" s="123"/>
      <c r="AU1036" s="123"/>
      <c r="AV1036" s="123"/>
      <c r="AW1036" s="69">
        <v>25</v>
      </c>
      <c r="AX1036" s="196" t="s">
        <v>299</v>
      </c>
      <c r="AY1036" s="243" t="s">
        <v>48</v>
      </c>
      <c r="AZ1036" s="243" t="str">
        <f t="shared" si="432"/>
        <v>Coho</v>
      </c>
      <c r="BA1036" s="243" t="s">
        <v>419</v>
      </c>
      <c r="BB1036" s="244" t="s">
        <v>495</v>
      </c>
      <c r="BC1036" s="43" t="str">
        <f t="shared" si="433"/>
        <v>Oct 29-Nov4</v>
      </c>
      <c r="BD1036" s="43">
        <f t="shared" si="431"/>
        <v>6</v>
      </c>
      <c r="BE1036" s="193">
        <f t="shared" si="414"/>
        <v>332</v>
      </c>
      <c r="BF1036" s="193">
        <f t="shared" si="434"/>
        <v>760</v>
      </c>
      <c r="BG1036" s="193">
        <f t="shared" si="435"/>
        <v>760</v>
      </c>
      <c r="BH1036" s="307">
        <f t="shared" si="416"/>
        <v>330</v>
      </c>
      <c r="BI1036" s="265">
        <f t="shared" si="430"/>
        <v>950</v>
      </c>
      <c r="BJ1036" s="26" t="str">
        <f t="shared" si="436"/>
        <v>LEINER RIVERCoho</v>
      </c>
      <c r="BK1036" s="26">
        <f t="shared" si="437"/>
        <v>6</v>
      </c>
      <c r="BL1036" s="33">
        <f t="shared" si="418"/>
        <v>332</v>
      </c>
      <c r="BO1036"/>
      <c r="BP1036" s="34"/>
      <c r="BQ1036" s="47" t="str">
        <f t="shared" si="438"/>
        <v>LEINER RIVERCoho</v>
      </c>
      <c r="BR1036" s="49">
        <f t="shared" si="439"/>
        <v>0</v>
      </c>
      <c r="BS1036" s="49">
        <f t="shared" si="413"/>
        <v>760</v>
      </c>
      <c r="BT1036" s="31">
        <v>2016</v>
      </c>
      <c r="BU1036" s="188" t="str">
        <f t="shared" si="440"/>
        <v>Ecofish</v>
      </c>
      <c r="BV1036" s="188" t="str">
        <f t="shared" si="441"/>
        <v>Sep 24-30</v>
      </c>
      <c r="BW1036" s="188" t="str">
        <f t="shared" si="423"/>
        <v>Oct 29-Nov4</v>
      </c>
      <c r="BX1036" s="188" t="str">
        <f t="shared" si="442"/>
        <v xml:space="preserve"> </v>
      </c>
      <c r="BY1036" s="50" t="str">
        <f t="shared" si="428"/>
        <v>LEINER RIVER_Coho</v>
      </c>
      <c r="BZ1036" s="50">
        <f>IFERROR(VLOOKUP(BY1036,'[1]WCVI Esc'!$C$5:$W$555,18,FALSE),"-")</f>
        <v>691.75</v>
      </c>
      <c r="CA1036" s="50">
        <f t="shared" si="443"/>
        <v>690</v>
      </c>
      <c r="CB1036" s="50">
        <f>IFERROR(VLOOKUP(BY1036,'[1]WCVI Esc'!$C$5:$W$555,19,FALSE),"-")</f>
        <v>945.91666666666663</v>
      </c>
      <c r="CC1036" s="50">
        <f t="shared" si="444"/>
        <v>950</v>
      </c>
      <c r="CE1036" s="342" t="str">
        <f t="shared" si="424"/>
        <v>LEINER RIVER_Coho</v>
      </c>
      <c r="CF1036" s="341">
        <f>IFERROR(VLOOKUP(CE1036,'RawPL+D'!$O$8:$AB$503,12,FALSE),"-")</f>
        <v>551</v>
      </c>
      <c r="CG1036" s="338">
        <f t="shared" si="425"/>
        <v>550</v>
      </c>
      <c r="CH1036" s="341">
        <f>IFERROR(VLOOKUP(BY1036,'RawPL+D'!$O$8:$AB$503,13,FALSE),"-")</f>
        <v>326.25</v>
      </c>
      <c r="CI1036" s="338">
        <f t="shared" si="426"/>
        <v>330</v>
      </c>
    </row>
    <row r="1037" spans="1:87" ht="12.75" customHeight="1" x14ac:dyDescent="0.2">
      <c r="A1037" s="29">
        <v>2</v>
      </c>
      <c r="B1037" s="29">
        <v>3</v>
      </c>
      <c r="C1037" s="13">
        <v>25</v>
      </c>
      <c r="D1037" s="573" t="s">
        <v>299</v>
      </c>
      <c r="E1037" s="10" t="s">
        <v>48</v>
      </c>
      <c r="F1037" s="10" t="s">
        <v>208</v>
      </c>
      <c r="G1037" s="10"/>
      <c r="H1037" s="10"/>
      <c r="I1037" s="10"/>
      <c r="J1037" s="10"/>
      <c r="K1037" s="575"/>
      <c r="L1037" s="64"/>
      <c r="M1037" s="673">
        <v>7</v>
      </c>
      <c r="N1037" s="339"/>
      <c r="O1037" s="642">
        <v>1</v>
      </c>
      <c r="P1037" s="686">
        <v>2</v>
      </c>
      <c r="Q1037" s="171"/>
      <c r="R1037" s="642">
        <v>0</v>
      </c>
      <c r="S1037" s="643">
        <v>0</v>
      </c>
      <c r="T1037" s="63"/>
      <c r="U1037" s="767">
        <v>0</v>
      </c>
      <c r="V1037" s="164"/>
      <c r="W1037" s="62"/>
      <c r="X1037" s="62"/>
      <c r="Y1037" s="62"/>
      <c r="Z1037" s="64"/>
      <c r="AA1037" s="164"/>
      <c r="AB1037" s="62"/>
      <c r="AC1037" s="62"/>
      <c r="AD1037" s="64"/>
      <c r="AE1037" s="164"/>
      <c r="AF1037" s="62"/>
      <c r="AG1037" s="64"/>
      <c r="AH1037" s="337">
        <v>8</v>
      </c>
      <c r="AI1037" s="337">
        <v>0</v>
      </c>
      <c r="AJ1037" s="337">
        <v>0</v>
      </c>
      <c r="AK1037" s="337">
        <v>0</v>
      </c>
      <c r="AL1037" s="555">
        <v>8</v>
      </c>
      <c r="AM1037" s="552">
        <v>8</v>
      </c>
      <c r="AN1037" s="552" t="s">
        <v>765</v>
      </c>
      <c r="AO1037" s="567" t="s">
        <v>772</v>
      </c>
      <c r="AP1037" s="44"/>
      <c r="AQ1037" s="485" t="e">
        <f t="shared" si="429"/>
        <v>#DIV/0!</v>
      </c>
      <c r="AR1037" s="100"/>
      <c r="AS1037" s="485"/>
      <c r="AT1037" s="123"/>
      <c r="AU1037" s="123"/>
      <c r="AV1037" s="123"/>
      <c r="AW1037" s="69">
        <v>25</v>
      </c>
      <c r="AX1037" s="196" t="s">
        <v>299</v>
      </c>
      <c r="AY1037" s="243" t="s">
        <v>48</v>
      </c>
      <c r="AZ1037" s="243" t="str">
        <f t="shared" si="432"/>
        <v>Pink</v>
      </c>
      <c r="BA1037" s="243" t="s">
        <v>419</v>
      </c>
      <c r="BB1037" s="244" t="s">
        <v>495</v>
      </c>
      <c r="BC1037" s="43" t="str">
        <f t="shared" si="433"/>
        <v>Oct 29-Nov4</v>
      </c>
      <c r="BD1037" s="43">
        <f t="shared" si="431"/>
        <v>6</v>
      </c>
      <c r="BE1037" s="193">
        <f t="shared" si="414"/>
        <v>7</v>
      </c>
      <c r="BF1037" s="193">
        <f t="shared" si="434"/>
        <v>8</v>
      </c>
      <c r="BG1037" s="193">
        <f t="shared" si="435"/>
        <v>8</v>
      </c>
      <c r="BH1037" s="307">
        <f t="shared" si="416"/>
        <v>0</v>
      </c>
      <c r="BI1037" s="265">
        <f t="shared" si="430"/>
        <v>0</v>
      </c>
      <c r="BJ1037" s="26" t="str">
        <f t="shared" si="436"/>
        <v>LEINER RIVERPink</v>
      </c>
      <c r="BK1037" s="26">
        <f t="shared" si="437"/>
        <v>6</v>
      </c>
      <c r="BL1037" s="33">
        <f t="shared" si="418"/>
        <v>7</v>
      </c>
      <c r="BO1037"/>
      <c r="BP1037" s="34"/>
      <c r="BQ1037" s="47" t="str">
        <f t="shared" si="438"/>
        <v>LEINER RIVERPink</v>
      </c>
      <c r="BR1037" s="49">
        <f t="shared" si="439"/>
        <v>0</v>
      </c>
      <c r="BS1037" s="49">
        <f t="shared" ref="BS1037:BS1054" si="445">AL1037</f>
        <v>8</v>
      </c>
      <c r="BT1037" s="31">
        <v>2016</v>
      </c>
      <c r="BU1037" s="188" t="str">
        <f t="shared" si="440"/>
        <v>Ecofish</v>
      </c>
      <c r="BV1037" s="188" t="str">
        <f t="shared" si="441"/>
        <v>Sep 24-30</v>
      </c>
      <c r="BW1037" s="188" t="str">
        <f t="shared" si="423"/>
        <v>Oct 29-Nov4</v>
      </c>
      <c r="BX1037" s="188" t="str">
        <f t="shared" si="442"/>
        <v xml:space="preserve"> </v>
      </c>
      <c r="BY1037" s="50" t="str">
        <f t="shared" si="428"/>
        <v>LEINER RIVER_Pink</v>
      </c>
      <c r="BZ1037" s="50">
        <f>IFERROR(VLOOKUP(BY1037,'[1]WCVI Esc'!$C$5:$W$555,18,FALSE),"-")</f>
        <v>3</v>
      </c>
      <c r="CA1037" s="50">
        <f t="shared" si="443"/>
        <v>0</v>
      </c>
      <c r="CB1037" s="50">
        <f>IFERROR(VLOOKUP(BY1037,'[1]WCVI Esc'!$C$5:$W$555,19,FALSE),"-")</f>
        <v>4</v>
      </c>
      <c r="CC1037" s="50">
        <f t="shared" si="444"/>
        <v>0</v>
      </c>
      <c r="CE1037" s="342" t="str">
        <f t="shared" si="424"/>
        <v>LEINER RIVER_Pink</v>
      </c>
      <c r="CF1037" s="341">
        <f>IFERROR(VLOOKUP(BY1037,'RawPL+D'!$O$8:$AB$503,12,FALSE),"-")</f>
        <v>2</v>
      </c>
      <c r="CG1037" s="338">
        <f t="shared" si="425"/>
        <v>0</v>
      </c>
      <c r="CH1037" s="341">
        <f>IFERROR(VLOOKUP(BY1037,'RawPL+D'!$O$8:$AB$503,13,FALSE),"-")</f>
        <v>2.75</v>
      </c>
      <c r="CI1037" s="338">
        <f t="shared" si="426"/>
        <v>0</v>
      </c>
    </row>
    <row r="1038" spans="1:87" ht="12.75" customHeight="1" x14ac:dyDescent="0.2">
      <c r="A1038" s="29">
        <v>2</v>
      </c>
      <c r="B1038" s="29">
        <v>4</v>
      </c>
      <c r="C1038" s="13">
        <v>25</v>
      </c>
      <c r="D1038" s="573" t="s">
        <v>299</v>
      </c>
      <c r="E1038" s="10" t="s">
        <v>48</v>
      </c>
      <c r="F1038" s="10" t="s">
        <v>209</v>
      </c>
      <c r="G1038" s="10"/>
      <c r="H1038" s="10"/>
      <c r="I1038" s="10"/>
      <c r="J1038" s="10"/>
      <c r="K1038" s="575"/>
      <c r="L1038" s="64"/>
      <c r="M1038" s="641">
        <v>1</v>
      </c>
      <c r="N1038" s="339"/>
      <c r="O1038" s="642">
        <v>1</v>
      </c>
      <c r="P1038" s="711">
        <v>101</v>
      </c>
      <c r="Q1038" s="171"/>
      <c r="R1038" s="642">
        <v>422</v>
      </c>
      <c r="S1038" s="705">
        <v>510</v>
      </c>
      <c r="T1038" s="436"/>
      <c r="U1038" s="787">
        <f>493+18</f>
        <v>511</v>
      </c>
      <c r="V1038" s="429"/>
      <c r="W1038" s="390"/>
      <c r="X1038" s="63"/>
      <c r="Y1038" s="62"/>
      <c r="Z1038" s="64"/>
      <c r="AA1038" s="164"/>
      <c r="AB1038" s="62"/>
      <c r="AC1038" s="62"/>
      <c r="AD1038" s="64"/>
      <c r="AE1038" s="164"/>
      <c r="AF1038" s="62"/>
      <c r="AG1038" s="64"/>
      <c r="AH1038" s="337">
        <v>1222</v>
      </c>
      <c r="AI1038" s="337">
        <v>0</v>
      </c>
      <c r="AJ1038" s="337">
        <v>0</v>
      </c>
      <c r="AK1038" s="337">
        <v>0</v>
      </c>
      <c r="AL1038" s="555">
        <v>1222</v>
      </c>
      <c r="AM1038" s="552">
        <v>1222</v>
      </c>
      <c r="AN1038" s="552" t="s">
        <v>768</v>
      </c>
      <c r="AO1038" s="552" t="s">
        <v>773</v>
      </c>
      <c r="AP1038" s="44"/>
      <c r="AQ1038" s="485">
        <f t="shared" si="429"/>
        <v>0.51344537815126046</v>
      </c>
      <c r="AR1038" s="485">
        <f>BL1038/BH1038</f>
        <v>0.96415094339622642</v>
      </c>
      <c r="AS1038" s="485">
        <f>BL1038/BI1038</f>
        <v>0.21470588235294116</v>
      </c>
      <c r="AT1038" s="123"/>
      <c r="AU1038" s="123"/>
      <c r="AV1038" s="123"/>
      <c r="AW1038" s="69">
        <v>25</v>
      </c>
      <c r="AX1038" s="196" t="s">
        <v>299</v>
      </c>
      <c r="AY1038" s="243" t="s">
        <v>48</v>
      </c>
      <c r="AZ1038" s="243" t="str">
        <f t="shared" si="432"/>
        <v>Chum</v>
      </c>
      <c r="BA1038" s="243" t="s">
        <v>419</v>
      </c>
      <c r="BB1038" s="244" t="s">
        <v>495</v>
      </c>
      <c r="BC1038" s="43" t="str">
        <f t="shared" si="433"/>
        <v>Oct 29-Nov4</v>
      </c>
      <c r="BD1038" s="43">
        <f t="shared" si="431"/>
        <v>6</v>
      </c>
      <c r="BE1038" s="193">
        <f t="shared" si="414"/>
        <v>511</v>
      </c>
      <c r="BF1038" s="193">
        <f t="shared" si="434"/>
        <v>1222</v>
      </c>
      <c r="BG1038" s="193">
        <f t="shared" si="435"/>
        <v>1222</v>
      </c>
      <c r="BH1038" s="307">
        <f t="shared" si="416"/>
        <v>530</v>
      </c>
      <c r="BI1038" s="265">
        <f t="shared" si="430"/>
        <v>2380</v>
      </c>
      <c r="BJ1038" s="26" t="str">
        <f t="shared" si="436"/>
        <v>LEINER RIVERChum</v>
      </c>
      <c r="BK1038" s="26">
        <f t="shared" si="437"/>
        <v>6</v>
      </c>
      <c r="BL1038" s="33">
        <f t="shared" si="418"/>
        <v>511</v>
      </c>
      <c r="BO1038"/>
      <c r="BP1038" s="34"/>
      <c r="BQ1038" s="47" t="str">
        <f t="shared" si="438"/>
        <v>LEINER RIVERChum</v>
      </c>
      <c r="BR1038" s="49">
        <f t="shared" si="439"/>
        <v>0</v>
      </c>
      <c r="BS1038" s="49">
        <f t="shared" si="445"/>
        <v>1222</v>
      </c>
      <c r="BT1038" s="31">
        <v>2016</v>
      </c>
      <c r="BU1038" s="188" t="str">
        <f t="shared" si="440"/>
        <v>Ecofish</v>
      </c>
      <c r="BV1038" s="188" t="str">
        <f t="shared" si="441"/>
        <v>Sep 24-30</v>
      </c>
      <c r="BW1038" s="188" t="str">
        <f t="shared" si="423"/>
        <v>Oct 29-Nov4</v>
      </c>
      <c r="BX1038" s="188" t="str">
        <f t="shared" si="442"/>
        <v xml:space="preserve"> </v>
      </c>
      <c r="BY1038" s="50" t="str">
        <f t="shared" si="428"/>
        <v>LEINER RIVER_Chum</v>
      </c>
      <c r="BZ1038" s="50">
        <f>IFERROR(VLOOKUP(BY1038,'[1]WCVI Esc'!$C$5:$W$555,18,FALSE),"-")</f>
        <v>1162.75</v>
      </c>
      <c r="CA1038" s="50">
        <f t="shared" si="443"/>
        <v>1160</v>
      </c>
      <c r="CB1038" s="50">
        <f>IFERROR(VLOOKUP(BY1038,'[1]WCVI Esc'!$C$5:$W$555,19,FALSE),"-")</f>
        <v>2380.75</v>
      </c>
      <c r="CC1038" s="50">
        <f t="shared" si="444"/>
        <v>2380</v>
      </c>
      <c r="CE1038" s="342" t="str">
        <f t="shared" si="424"/>
        <v>LEINER RIVER_Chum</v>
      </c>
      <c r="CF1038" s="341">
        <f>IFERROR(VLOOKUP(CE1038,'RawPL+D'!$O$8:$AB$503,12,FALSE),"-")</f>
        <v>732</v>
      </c>
      <c r="CG1038" s="338">
        <f t="shared" si="425"/>
        <v>730</v>
      </c>
      <c r="CH1038" s="341">
        <f>IFERROR(VLOOKUP(BY1038,'RawPL+D'!$O$8:$AB$503,13,FALSE),"-")</f>
        <v>526</v>
      </c>
      <c r="CI1038" s="338">
        <f t="shared" si="426"/>
        <v>530</v>
      </c>
    </row>
    <row r="1039" spans="1:87" ht="12.75" customHeight="1" x14ac:dyDescent="0.2">
      <c r="A1039" s="29">
        <v>2</v>
      </c>
      <c r="B1039" s="29">
        <v>5</v>
      </c>
      <c r="C1039" s="13">
        <v>25</v>
      </c>
      <c r="D1039" s="573" t="s">
        <v>299</v>
      </c>
      <c r="E1039" s="10" t="s">
        <v>48</v>
      </c>
      <c r="F1039" s="10" t="s">
        <v>210</v>
      </c>
      <c r="G1039" s="10"/>
      <c r="H1039" s="10"/>
      <c r="I1039" s="10"/>
      <c r="J1039" s="10"/>
      <c r="K1039" s="575"/>
      <c r="L1039" s="64"/>
      <c r="M1039" s="641">
        <v>11</v>
      </c>
      <c r="N1039" s="460"/>
      <c r="O1039" s="646">
        <v>394</v>
      </c>
      <c r="P1039" s="713">
        <f>439+4</f>
        <v>443</v>
      </c>
      <c r="Q1039" s="597"/>
      <c r="R1039" s="642">
        <v>134</v>
      </c>
      <c r="S1039" s="643">
        <v>25</v>
      </c>
      <c r="T1039" s="63"/>
      <c r="U1039" s="767">
        <f>8+1</f>
        <v>9</v>
      </c>
      <c r="V1039" s="421"/>
      <c r="W1039" s="62"/>
      <c r="X1039" s="63"/>
      <c r="Y1039" s="62"/>
      <c r="Z1039" s="64"/>
      <c r="AA1039" s="164"/>
      <c r="AB1039" s="62"/>
      <c r="AC1039" s="62"/>
      <c r="AD1039" s="64"/>
      <c r="AE1039" s="164"/>
      <c r="AF1039" s="62"/>
      <c r="AG1039" s="64"/>
      <c r="AH1039" s="337">
        <v>857</v>
      </c>
      <c r="AI1039" s="337">
        <v>41</v>
      </c>
      <c r="AJ1039" s="840">
        <v>0</v>
      </c>
      <c r="AK1039" s="337">
        <v>0</v>
      </c>
      <c r="AL1039" s="555">
        <v>857</v>
      </c>
      <c r="AM1039" s="552">
        <v>898</v>
      </c>
      <c r="AN1039" s="552" t="s">
        <v>768</v>
      </c>
      <c r="AO1039" s="552" t="s">
        <v>773</v>
      </c>
      <c r="AP1039" s="44"/>
      <c r="AQ1039" s="485">
        <f t="shared" si="429"/>
        <v>1.1276315789473683</v>
      </c>
      <c r="AR1039" s="485">
        <f>BL1039/BH1039</f>
        <v>0.82037037037037042</v>
      </c>
      <c r="AS1039" s="485">
        <f>BL1039/BI1039</f>
        <v>0.58289473684210524</v>
      </c>
      <c r="AT1039" s="123">
        <v>527</v>
      </c>
      <c r="AU1039" s="123">
        <v>155</v>
      </c>
      <c r="AV1039" s="123">
        <f>AL1039</f>
        <v>857</v>
      </c>
      <c r="AW1039" s="69">
        <v>25</v>
      </c>
      <c r="AX1039" s="196" t="s">
        <v>299</v>
      </c>
      <c r="AY1039" s="243" t="s">
        <v>48</v>
      </c>
      <c r="AZ1039" s="243" t="str">
        <f t="shared" si="432"/>
        <v>Chinook</v>
      </c>
      <c r="BA1039" s="243" t="s">
        <v>419</v>
      </c>
      <c r="BB1039" s="244" t="s">
        <v>495</v>
      </c>
      <c r="BC1039" s="43" t="str">
        <f t="shared" si="433"/>
        <v>Oct 29-Nov4</v>
      </c>
      <c r="BD1039" s="43">
        <f t="shared" si="431"/>
        <v>6</v>
      </c>
      <c r="BE1039" s="193">
        <f t="shared" si="414"/>
        <v>443</v>
      </c>
      <c r="BF1039" s="193">
        <f t="shared" si="434"/>
        <v>857</v>
      </c>
      <c r="BG1039" s="193">
        <f t="shared" si="435"/>
        <v>857</v>
      </c>
      <c r="BH1039" s="307">
        <f t="shared" si="416"/>
        <v>540</v>
      </c>
      <c r="BI1039" s="265">
        <f t="shared" si="430"/>
        <v>760</v>
      </c>
      <c r="BJ1039" s="26" t="str">
        <f t="shared" si="436"/>
        <v>LEINER RIVERChinook</v>
      </c>
      <c r="BK1039" s="26">
        <f t="shared" si="437"/>
        <v>6</v>
      </c>
      <c r="BL1039" s="33">
        <f t="shared" si="418"/>
        <v>443</v>
      </c>
      <c r="BM1039" s="34">
        <f>BL1039*1.14</f>
        <v>505.02</v>
      </c>
      <c r="BN1039" s="34">
        <f>BL1039*2.88</f>
        <v>1275.8399999999999</v>
      </c>
      <c r="BO1039" s="36"/>
      <c r="BP1039" s="34">
        <f>SUM(BM1039:BN1039)/2</f>
        <v>890.43</v>
      </c>
      <c r="BQ1039" s="47" t="str">
        <f t="shared" si="438"/>
        <v>LEINER RIVERChinook</v>
      </c>
      <c r="BR1039" s="49">
        <f t="shared" si="439"/>
        <v>0</v>
      </c>
      <c r="BS1039" s="49">
        <f t="shared" si="445"/>
        <v>857</v>
      </c>
      <c r="BT1039" s="31">
        <v>2016</v>
      </c>
      <c r="BU1039" s="188" t="str">
        <f t="shared" si="440"/>
        <v>Ecofish</v>
      </c>
      <c r="BV1039" s="188" t="str">
        <f t="shared" si="441"/>
        <v>Sep 24-30</v>
      </c>
      <c r="BW1039" s="188" t="str">
        <f t="shared" si="423"/>
        <v>Oct 29-Nov4</v>
      </c>
      <c r="BX1039" s="188" t="str">
        <f t="shared" si="442"/>
        <v xml:space="preserve"> </v>
      </c>
      <c r="BY1039" s="50" t="str">
        <f t="shared" si="428"/>
        <v>LEINER RIVER_Chinook</v>
      </c>
      <c r="BZ1039" s="50">
        <f>IFERROR(VLOOKUP(BY1039,'[1]WCVI Esc'!$C$5:$W$555,18,FALSE),"-")</f>
        <v>704.5</v>
      </c>
      <c r="CA1039" s="50">
        <f t="shared" si="443"/>
        <v>700</v>
      </c>
      <c r="CB1039" s="50">
        <f>IFERROR(VLOOKUP(BY1039,'[1]WCVI Esc'!$C$5:$W$555,19,FALSE),"-")</f>
        <v>762.83333333333337</v>
      </c>
      <c r="CC1039" s="50">
        <f t="shared" si="444"/>
        <v>760</v>
      </c>
      <c r="CE1039" s="342" t="str">
        <f t="shared" si="424"/>
        <v>LEINER RIVER_Chinook</v>
      </c>
      <c r="CF1039" s="341">
        <f>IFERROR(VLOOKUP(CE1039,'RawPL+D'!$O$8:$AB$503,12,FALSE),"-")</f>
        <v>257</v>
      </c>
      <c r="CG1039" s="338">
        <f t="shared" si="425"/>
        <v>260</v>
      </c>
      <c r="CH1039" s="341">
        <f>IFERROR(VLOOKUP(BY1039,'RawPL+D'!$O$8:$AB$503,13,FALSE),"-")</f>
        <v>544.75</v>
      </c>
      <c r="CI1039" s="338">
        <f t="shared" si="426"/>
        <v>540</v>
      </c>
    </row>
    <row r="1040" spans="1:87" ht="12.75" hidden="1" customHeight="1" x14ac:dyDescent="0.2">
      <c r="A1040" s="29">
        <v>2</v>
      </c>
      <c r="B1040" s="29">
        <v>6</v>
      </c>
      <c r="C1040" s="13">
        <v>25</v>
      </c>
      <c r="D1040" s="573" t="s">
        <v>299</v>
      </c>
      <c r="E1040" s="10" t="s">
        <v>48</v>
      </c>
      <c r="F1040" s="10" t="s">
        <v>211</v>
      </c>
      <c r="G1040" s="10"/>
      <c r="H1040" s="10"/>
      <c r="I1040" s="10"/>
      <c r="J1040" s="10"/>
      <c r="K1040" s="575"/>
      <c r="L1040" s="64"/>
      <c r="M1040" s="641">
        <v>8</v>
      </c>
      <c r="N1040" s="339"/>
      <c r="O1040" s="642">
        <v>6</v>
      </c>
      <c r="P1040" s="686">
        <v>3</v>
      </c>
      <c r="Q1040" s="171"/>
      <c r="R1040" s="642">
        <v>1</v>
      </c>
      <c r="S1040" s="643">
        <v>4</v>
      </c>
      <c r="T1040" s="63"/>
      <c r="U1040" s="767">
        <v>5</v>
      </c>
      <c r="V1040" s="164"/>
      <c r="W1040" s="62"/>
      <c r="X1040" s="63"/>
      <c r="Y1040" s="62"/>
      <c r="Z1040" s="64"/>
      <c r="AA1040" s="164"/>
      <c r="AB1040" s="62"/>
      <c r="AC1040" s="62"/>
      <c r="AD1040" s="64"/>
      <c r="AE1040" s="164"/>
      <c r="AF1040" s="62"/>
      <c r="AG1040" s="64"/>
      <c r="AH1040" s="337"/>
      <c r="AI1040" s="337"/>
      <c r="AJ1040" s="337"/>
      <c r="AK1040" s="337"/>
      <c r="AL1040" s="555"/>
      <c r="AM1040" s="552"/>
      <c r="AN1040" s="45"/>
      <c r="AO1040" s="45"/>
      <c r="AP1040" s="44"/>
      <c r="AQ1040" s="485" t="e">
        <f t="shared" si="429"/>
        <v>#VALUE!</v>
      </c>
      <c r="AR1040" s="100"/>
      <c r="AS1040" s="485"/>
      <c r="AT1040" s="123"/>
      <c r="AU1040" s="123"/>
      <c r="AV1040" s="123"/>
      <c r="AW1040" s="69">
        <v>25</v>
      </c>
      <c r="AX1040" s="196" t="s">
        <v>299</v>
      </c>
      <c r="AY1040" s="243" t="s">
        <v>48</v>
      </c>
      <c r="AZ1040" s="243" t="str">
        <f t="shared" si="432"/>
        <v>Steelhead</v>
      </c>
      <c r="BA1040" s="243" t="s">
        <v>419</v>
      </c>
      <c r="BB1040" s="244" t="s">
        <v>495</v>
      </c>
      <c r="BC1040" s="43" t="str">
        <f t="shared" si="433"/>
        <v>Oct 29-Nov4</v>
      </c>
      <c r="BD1040" s="43">
        <f t="shared" si="431"/>
        <v>6</v>
      </c>
      <c r="BE1040" s="193">
        <f t="shared" si="414"/>
        <v>8</v>
      </c>
      <c r="BF1040" s="193">
        <f t="shared" si="434"/>
        <v>0</v>
      </c>
      <c r="BG1040" s="193">
        <f t="shared" si="435"/>
        <v>0</v>
      </c>
      <c r="BH1040" s="307" t="str">
        <f t="shared" si="416"/>
        <v>-</v>
      </c>
      <c r="BI1040" s="265" t="str">
        <f t="shared" si="430"/>
        <v>-</v>
      </c>
      <c r="BJ1040" s="26" t="str">
        <f t="shared" si="436"/>
        <v>LEINER RIVERSteelhead</v>
      </c>
      <c r="BK1040" s="26">
        <f t="shared" si="437"/>
        <v>6</v>
      </c>
      <c r="BL1040" s="33">
        <f t="shared" si="418"/>
        <v>8</v>
      </c>
      <c r="BO1040"/>
      <c r="BP1040" s="34"/>
      <c r="BQ1040" s="47" t="str">
        <f t="shared" si="438"/>
        <v>LEINER RIVERSteelhead</v>
      </c>
      <c r="BR1040" s="49">
        <f t="shared" si="439"/>
        <v>0</v>
      </c>
      <c r="BS1040" s="49">
        <f t="shared" si="445"/>
        <v>0</v>
      </c>
      <c r="BT1040" s="31">
        <v>0</v>
      </c>
      <c r="BU1040" s="188" t="str">
        <f t="shared" si="440"/>
        <v>Ecofish</v>
      </c>
      <c r="BV1040" s="188" t="str">
        <f t="shared" si="441"/>
        <v>Sep 24-30</v>
      </c>
      <c r="BW1040" s="188" t="str">
        <f t="shared" si="423"/>
        <v>Oct 29-Nov4</v>
      </c>
      <c r="BX1040" s="188" t="str">
        <f t="shared" si="442"/>
        <v xml:space="preserve"> </v>
      </c>
      <c r="BY1040" s="50" t="str">
        <f t="shared" si="428"/>
        <v>LEINER RIVER_Steelhead</v>
      </c>
      <c r="BZ1040" s="50" t="str">
        <f>IFERROR(VLOOKUP(BY1040,'[1]WCVI Esc'!$C$5:$W$555,18,FALSE),"-")</f>
        <v>-</v>
      </c>
      <c r="CA1040" s="50" t="str">
        <f t="shared" si="443"/>
        <v>-</v>
      </c>
      <c r="CB1040" s="50" t="str">
        <f>IFERROR(VLOOKUP(BY1040,'[1]WCVI Esc'!$C$5:$W$555,19,FALSE),"-")</f>
        <v>-</v>
      </c>
      <c r="CC1040" s="50" t="str">
        <f t="shared" si="444"/>
        <v>-</v>
      </c>
      <c r="CE1040" s="342" t="str">
        <f t="shared" si="424"/>
        <v>LEINER RIVER_Steelhead</v>
      </c>
      <c r="CF1040" s="341" t="str">
        <f>IFERROR(VLOOKUP(BY1040,'RawPL+D'!$O$8:$AB$503,12,FALSE),"-")</f>
        <v>-</v>
      </c>
      <c r="CG1040" s="338" t="str">
        <f t="shared" si="425"/>
        <v>-</v>
      </c>
      <c r="CH1040" s="341" t="str">
        <f>IFERROR(VLOOKUP(BY1040,'RawPL+D'!$O$8:$AB$503,13,FALSE),"-")</f>
        <v>-</v>
      </c>
      <c r="CI1040" s="338" t="str">
        <f t="shared" si="426"/>
        <v>-</v>
      </c>
    </row>
    <row r="1041" spans="1:87" ht="12.75" customHeight="1" x14ac:dyDescent="0.2">
      <c r="A1041" s="29">
        <v>2</v>
      </c>
      <c r="B1041" s="29">
        <v>1</v>
      </c>
      <c r="C1041" s="13">
        <v>25</v>
      </c>
      <c r="D1041" s="13" t="s">
        <v>299</v>
      </c>
      <c r="E1041" s="10" t="s">
        <v>52</v>
      </c>
      <c r="F1041" s="10" t="s">
        <v>207</v>
      </c>
      <c r="G1041" s="10"/>
      <c r="H1041" s="10"/>
      <c r="I1041" s="10"/>
      <c r="J1041" s="10"/>
      <c r="K1041" s="575"/>
      <c r="L1041" s="632">
        <v>26</v>
      </c>
      <c r="M1041" s="164"/>
      <c r="N1041" s="644">
        <v>25</v>
      </c>
      <c r="O1041" s="62"/>
      <c r="P1041" s="686">
        <v>24</v>
      </c>
      <c r="Q1041" s="171"/>
      <c r="R1041" s="642">
        <v>29</v>
      </c>
      <c r="S1041" s="339"/>
      <c r="T1041" s="767">
        <v>19</v>
      </c>
      <c r="U1041" s="767">
        <v>15</v>
      </c>
      <c r="V1041" s="429"/>
      <c r="W1041" s="62"/>
      <c r="X1041" s="63"/>
      <c r="Y1041" s="62"/>
      <c r="Z1041" s="64"/>
      <c r="AA1041" s="164"/>
      <c r="AB1041" s="62"/>
      <c r="AC1041" s="62"/>
      <c r="AD1041" s="64"/>
      <c r="AE1041" s="164"/>
      <c r="AF1041" s="62"/>
      <c r="AG1041" s="64"/>
      <c r="AH1041" s="337">
        <v>30</v>
      </c>
      <c r="AI1041" s="337">
        <v>8</v>
      </c>
      <c r="AJ1041" s="337">
        <v>0</v>
      </c>
      <c r="AK1041" s="337">
        <v>0</v>
      </c>
      <c r="AL1041" s="555">
        <v>30</v>
      </c>
      <c r="AM1041" s="552">
        <v>38</v>
      </c>
      <c r="AN1041" s="552" t="s">
        <v>765</v>
      </c>
      <c r="AO1041" s="552" t="s">
        <v>773</v>
      </c>
      <c r="AP1041" s="44"/>
      <c r="AQ1041" s="485">
        <f t="shared" si="429"/>
        <v>6.9767441860465115E-2</v>
      </c>
      <c r="AR1041" s="485">
        <f>BL1041/BH1041</f>
        <v>0.1</v>
      </c>
      <c r="AS1041" s="485">
        <f>BL1041/BI1041</f>
        <v>6.7441860465116285E-2</v>
      </c>
      <c r="AT1041" s="123"/>
      <c r="AU1041" s="123"/>
      <c r="AV1041" s="123"/>
      <c r="AW1041" s="69">
        <v>25</v>
      </c>
      <c r="AX1041" s="69" t="s">
        <v>299</v>
      </c>
      <c r="AY1041" s="243" t="s">
        <v>52</v>
      </c>
      <c r="AZ1041" s="243" t="str">
        <f t="shared" si="432"/>
        <v>Sockeye</v>
      </c>
      <c r="BA1041" s="243" t="s">
        <v>419</v>
      </c>
      <c r="BB1041" s="244" t="s">
        <v>495</v>
      </c>
      <c r="BC1041" s="43" t="str">
        <f t="shared" si="433"/>
        <v>Oct 29-Nov4</v>
      </c>
      <c r="BD1041" s="43">
        <f t="shared" si="431"/>
        <v>6</v>
      </c>
      <c r="BE1041" s="193">
        <f t="shared" ref="BE1041:BE1104" si="446">BL1041</f>
        <v>29</v>
      </c>
      <c r="BF1041" s="193">
        <f t="shared" si="434"/>
        <v>30</v>
      </c>
      <c r="BG1041" s="193">
        <f t="shared" si="435"/>
        <v>30</v>
      </c>
      <c r="BH1041" s="307">
        <f t="shared" si="416"/>
        <v>290</v>
      </c>
      <c r="BI1041" s="265">
        <f t="shared" si="430"/>
        <v>430</v>
      </c>
      <c r="BJ1041" s="26" t="str">
        <f t="shared" si="436"/>
        <v>TAHSIS RIVERSockeye</v>
      </c>
      <c r="BK1041" s="26">
        <f t="shared" si="437"/>
        <v>6</v>
      </c>
      <c r="BL1041" s="33">
        <f t="shared" si="418"/>
        <v>29</v>
      </c>
      <c r="BP1041" s="34"/>
      <c r="BQ1041" s="47" t="str">
        <f t="shared" si="438"/>
        <v>TAHSIS RIVERSockeye</v>
      </c>
      <c r="BR1041" s="49">
        <f t="shared" si="439"/>
        <v>0</v>
      </c>
      <c r="BS1041" s="49">
        <f t="shared" si="445"/>
        <v>30</v>
      </c>
      <c r="BT1041" s="31">
        <v>2016</v>
      </c>
      <c r="BU1041" s="188" t="str">
        <f t="shared" si="440"/>
        <v>Ecofish</v>
      </c>
      <c r="BV1041" s="188" t="str">
        <f t="shared" si="441"/>
        <v>Sep 24-30</v>
      </c>
      <c r="BW1041" s="188" t="str">
        <f t="shared" si="423"/>
        <v>Oct 29-Nov4</v>
      </c>
      <c r="BX1041" s="188" t="str">
        <f t="shared" si="442"/>
        <v xml:space="preserve"> </v>
      </c>
      <c r="BY1041" s="50" t="str">
        <f t="shared" si="428"/>
        <v>TAHSIS RIVER_Sockeye</v>
      </c>
      <c r="BZ1041" s="50">
        <f>IFERROR(VLOOKUP(BY1041,'[1]WCVI Esc'!$C$5:$W$555,18,FALSE),"-")</f>
        <v>461.5</v>
      </c>
      <c r="CA1041" s="50">
        <f t="shared" si="443"/>
        <v>460</v>
      </c>
      <c r="CB1041" s="50">
        <f>IFERROR(VLOOKUP(BY1041,'[1]WCVI Esc'!$C$5:$W$555,19,FALSE),"-")</f>
        <v>426.16666666666669</v>
      </c>
      <c r="CC1041" s="50">
        <f t="shared" si="444"/>
        <v>430</v>
      </c>
      <c r="CE1041" s="342" t="str">
        <f t="shared" si="424"/>
        <v>TAHSIS RIVER_Sockeye</v>
      </c>
      <c r="CF1041" s="341">
        <f>IFERROR(VLOOKUP(CE1041,'RawPL+D'!$O$8:$AB$503,12,FALSE),"-")</f>
        <v>245</v>
      </c>
      <c r="CG1041" s="338">
        <f t="shared" si="425"/>
        <v>250</v>
      </c>
      <c r="CH1041" s="341">
        <f>IFERROR(VLOOKUP(BY1041,'RawPL+D'!$O$8:$AB$503,13,FALSE),"-")</f>
        <v>293</v>
      </c>
      <c r="CI1041" s="338">
        <f t="shared" si="426"/>
        <v>290</v>
      </c>
    </row>
    <row r="1042" spans="1:87" ht="12.75" customHeight="1" x14ac:dyDescent="0.2">
      <c r="A1042" s="29">
        <v>2</v>
      </c>
      <c r="B1042" s="29">
        <v>2</v>
      </c>
      <c r="C1042" s="13">
        <v>25</v>
      </c>
      <c r="D1042" s="13" t="s">
        <v>299</v>
      </c>
      <c r="E1042" s="10" t="s">
        <v>52</v>
      </c>
      <c r="F1042" s="10" t="s">
        <v>219</v>
      </c>
      <c r="G1042" s="10"/>
      <c r="H1042" s="10"/>
      <c r="I1042" s="10"/>
      <c r="J1042" s="10"/>
      <c r="K1042" s="575"/>
      <c r="L1042" s="632">
        <v>1</v>
      </c>
      <c r="M1042" s="164"/>
      <c r="N1042" s="643">
        <v>14</v>
      </c>
      <c r="O1042" s="62"/>
      <c r="P1042" s="686">
        <v>366</v>
      </c>
      <c r="Q1042" s="171"/>
      <c r="R1042" s="642">
        <v>590</v>
      </c>
      <c r="S1042" s="339"/>
      <c r="T1042" s="767">
        <v>1070</v>
      </c>
      <c r="U1042" s="767">
        <v>731</v>
      </c>
      <c r="V1042" s="164"/>
      <c r="W1042" s="62"/>
      <c r="X1042" s="63"/>
      <c r="Y1042" s="62"/>
      <c r="Z1042" s="64"/>
      <c r="AA1042" s="164"/>
      <c r="AB1042" s="62"/>
      <c r="AC1042" s="62"/>
      <c r="AD1042" s="64"/>
      <c r="AE1042" s="164"/>
      <c r="AF1042" s="62"/>
      <c r="AG1042" s="64"/>
      <c r="AH1042" s="337">
        <v>1386</v>
      </c>
      <c r="AI1042" s="337">
        <v>555</v>
      </c>
      <c r="AJ1042" s="337">
        <v>0</v>
      </c>
      <c r="AK1042" s="337">
        <v>0</v>
      </c>
      <c r="AL1042" s="555">
        <v>1386</v>
      </c>
      <c r="AM1042" s="552">
        <v>1941</v>
      </c>
      <c r="AN1042" s="552" t="s">
        <v>768</v>
      </c>
      <c r="AO1042" s="552" t="s">
        <v>773</v>
      </c>
      <c r="AP1042" s="44"/>
      <c r="AQ1042" s="485">
        <f t="shared" si="429"/>
        <v>1.0913385826771653</v>
      </c>
      <c r="AR1042" s="485">
        <f>BL1042/BH1042</f>
        <v>1.7540983606557377</v>
      </c>
      <c r="AS1042" s="485">
        <f>BL1042/BI1042</f>
        <v>0.84251968503937003</v>
      </c>
      <c r="AT1042" s="123"/>
      <c r="AU1042" s="123"/>
      <c r="AV1042" s="123"/>
      <c r="AW1042" s="69">
        <v>25</v>
      </c>
      <c r="AX1042" s="69" t="s">
        <v>299</v>
      </c>
      <c r="AY1042" s="243" t="s">
        <v>52</v>
      </c>
      <c r="AZ1042" s="243" t="str">
        <f t="shared" si="432"/>
        <v>Coho</v>
      </c>
      <c r="BA1042" s="243" t="s">
        <v>419</v>
      </c>
      <c r="BB1042" s="244" t="s">
        <v>495</v>
      </c>
      <c r="BC1042" s="43" t="str">
        <f t="shared" si="433"/>
        <v>Oct 29-Nov4</v>
      </c>
      <c r="BD1042" s="43">
        <f t="shared" si="431"/>
        <v>6</v>
      </c>
      <c r="BE1042" s="193">
        <f t="shared" si="446"/>
        <v>1070</v>
      </c>
      <c r="BF1042" s="193">
        <f t="shared" si="434"/>
        <v>1386</v>
      </c>
      <c r="BG1042" s="193">
        <f t="shared" si="435"/>
        <v>1386</v>
      </c>
      <c r="BH1042" s="307">
        <f t="shared" si="416"/>
        <v>610</v>
      </c>
      <c r="BI1042" s="265">
        <f t="shared" si="430"/>
        <v>1270</v>
      </c>
      <c r="BJ1042" s="26" t="str">
        <f t="shared" si="436"/>
        <v>TAHSIS RIVERCoho</v>
      </c>
      <c r="BK1042" s="26">
        <f t="shared" si="437"/>
        <v>6</v>
      </c>
      <c r="BL1042" s="33">
        <f t="shared" si="418"/>
        <v>1070</v>
      </c>
      <c r="BP1042" s="34"/>
      <c r="BQ1042" s="47" t="str">
        <f t="shared" si="438"/>
        <v>TAHSIS RIVERCoho</v>
      </c>
      <c r="BR1042" s="49">
        <f t="shared" si="439"/>
        <v>0</v>
      </c>
      <c r="BS1042" s="49">
        <f t="shared" si="445"/>
        <v>1386</v>
      </c>
      <c r="BT1042" s="31">
        <v>2016</v>
      </c>
      <c r="BU1042" s="188" t="str">
        <f t="shared" si="440"/>
        <v>Ecofish</v>
      </c>
      <c r="BV1042" s="188" t="str">
        <f t="shared" si="441"/>
        <v>Sep 24-30</v>
      </c>
      <c r="BW1042" s="188" t="str">
        <f t="shared" si="423"/>
        <v>Oct 29-Nov4</v>
      </c>
      <c r="BX1042" s="188" t="str">
        <f t="shared" si="442"/>
        <v xml:space="preserve"> </v>
      </c>
      <c r="BY1042" s="50" t="str">
        <f t="shared" si="428"/>
        <v>TAHSIS RIVER_Coho</v>
      </c>
      <c r="BZ1042" s="50">
        <f>IFERROR(VLOOKUP(BY1042,'[1]WCVI Esc'!$C$5:$W$555,18,FALSE),"-")</f>
        <v>1143.5</v>
      </c>
      <c r="CA1042" s="50">
        <f t="shared" si="443"/>
        <v>1140</v>
      </c>
      <c r="CB1042" s="50">
        <f>IFERROR(VLOOKUP(BY1042,'[1]WCVI Esc'!$C$5:$W$555,19,FALSE),"-")</f>
        <v>1274.3333333333333</v>
      </c>
      <c r="CC1042" s="50">
        <f t="shared" si="444"/>
        <v>1270</v>
      </c>
      <c r="CE1042" s="342" t="str">
        <f t="shared" si="424"/>
        <v>TAHSIS RIVER_Coho</v>
      </c>
      <c r="CF1042" s="341">
        <f>IFERROR(VLOOKUP(CE1042,'RawPL+D'!$O$8:$AB$503,12,FALSE),"-")</f>
        <v>765</v>
      </c>
      <c r="CG1042" s="338">
        <f t="shared" si="425"/>
        <v>770</v>
      </c>
      <c r="CH1042" s="341">
        <f>IFERROR(VLOOKUP(BY1042,'RawPL+D'!$O$8:$AB$503,13,FALSE),"-")</f>
        <v>614.5</v>
      </c>
      <c r="CI1042" s="338">
        <f t="shared" si="426"/>
        <v>610</v>
      </c>
    </row>
    <row r="1043" spans="1:87" ht="12.75" customHeight="1" x14ac:dyDescent="0.2">
      <c r="A1043" s="29">
        <v>2</v>
      </c>
      <c r="B1043" s="29">
        <v>3</v>
      </c>
      <c r="C1043" s="13">
        <v>25</v>
      </c>
      <c r="D1043" s="13" t="s">
        <v>299</v>
      </c>
      <c r="E1043" s="10" t="s">
        <v>52</v>
      </c>
      <c r="F1043" s="10" t="s">
        <v>208</v>
      </c>
      <c r="G1043" s="10"/>
      <c r="H1043" s="10"/>
      <c r="I1043" s="10"/>
      <c r="J1043" s="10"/>
      <c r="K1043" s="575"/>
      <c r="L1043" s="632">
        <v>4</v>
      </c>
      <c r="M1043" s="164"/>
      <c r="N1043" s="643">
        <v>1</v>
      </c>
      <c r="O1043" s="62"/>
      <c r="P1043" s="714">
        <v>1</v>
      </c>
      <c r="Q1043" s="171"/>
      <c r="R1043" s="642">
        <v>0</v>
      </c>
      <c r="S1043" s="339"/>
      <c r="T1043" s="767">
        <v>0</v>
      </c>
      <c r="U1043" s="767">
        <v>0</v>
      </c>
      <c r="V1043" s="164"/>
      <c r="W1043" s="62"/>
      <c r="X1043" s="62"/>
      <c r="Y1043" s="62"/>
      <c r="Z1043" s="64"/>
      <c r="AA1043" s="164"/>
      <c r="AB1043" s="62"/>
      <c r="AC1043" s="62"/>
      <c r="AD1043" s="64"/>
      <c r="AE1043" s="164"/>
      <c r="AF1043" s="62"/>
      <c r="AG1043" s="64"/>
      <c r="AH1043" s="337">
        <v>4</v>
      </c>
      <c r="AI1043" s="337">
        <v>0</v>
      </c>
      <c r="AJ1043" s="337">
        <v>0</v>
      </c>
      <c r="AK1043" s="337">
        <v>0</v>
      </c>
      <c r="AL1043" s="555">
        <v>4</v>
      </c>
      <c r="AM1043" s="552">
        <v>4</v>
      </c>
      <c r="AN1043" s="552" t="s">
        <v>765</v>
      </c>
      <c r="AO1043" s="552" t="s">
        <v>773</v>
      </c>
      <c r="AP1043" s="44"/>
      <c r="AQ1043" s="485" t="e">
        <f t="shared" si="429"/>
        <v>#DIV/0!</v>
      </c>
      <c r="AR1043"/>
      <c r="AS1043" s="485"/>
      <c r="AT1043" s="123"/>
      <c r="AU1043" s="123"/>
      <c r="AV1043" s="123"/>
      <c r="AW1043" s="69">
        <v>25</v>
      </c>
      <c r="AX1043" s="69" t="s">
        <v>299</v>
      </c>
      <c r="AY1043" s="243" t="s">
        <v>52</v>
      </c>
      <c r="AZ1043" s="243" t="str">
        <f t="shared" si="432"/>
        <v>Pink</v>
      </c>
      <c r="BA1043" s="243" t="s">
        <v>419</v>
      </c>
      <c r="BB1043" s="244" t="s">
        <v>495</v>
      </c>
      <c r="BC1043" s="43" t="str">
        <f t="shared" si="433"/>
        <v>Oct 29-Nov4</v>
      </c>
      <c r="BD1043" s="43">
        <f t="shared" si="431"/>
        <v>6</v>
      </c>
      <c r="BE1043" s="193">
        <f t="shared" si="446"/>
        <v>4</v>
      </c>
      <c r="BF1043" s="193">
        <f t="shared" si="434"/>
        <v>4</v>
      </c>
      <c r="BG1043" s="193">
        <f t="shared" si="435"/>
        <v>4</v>
      </c>
      <c r="BH1043" s="307">
        <f t="shared" si="416"/>
        <v>0</v>
      </c>
      <c r="BI1043" s="265">
        <f t="shared" si="430"/>
        <v>0</v>
      </c>
      <c r="BJ1043" s="26" t="str">
        <f t="shared" si="436"/>
        <v>TAHSIS RIVERPink</v>
      </c>
      <c r="BK1043" s="26">
        <f t="shared" si="437"/>
        <v>6</v>
      </c>
      <c r="BL1043" s="33">
        <f t="shared" si="418"/>
        <v>4</v>
      </c>
      <c r="BP1043" s="34"/>
      <c r="BQ1043" s="47" t="str">
        <f t="shared" si="438"/>
        <v>TAHSIS RIVERPink</v>
      </c>
      <c r="BR1043" s="49">
        <f t="shared" si="439"/>
        <v>0</v>
      </c>
      <c r="BS1043" s="49">
        <f t="shared" si="445"/>
        <v>4</v>
      </c>
      <c r="BT1043" s="31">
        <v>2016</v>
      </c>
      <c r="BU1043" s="188" t="str">
        <f t="shared" si="440"/>
        <v>Ecofish</v>
      </c>
      <c r="BV1043" s="188" t="str">
        <f t="shared" si="441"/>
        <v>Sep 24-30</v>
      </c>
      <c r="BW1043" s="188" t="str">
        <f t="shared" si="423"/>
        <v>Oct 29-Nov4</v>
      </c>
      <c r="BX1043" s="188" t="str">
        <f t="shared" si="442"/>
        <v xml:space="preserve"> </v>
      </c>
      <c r="BY1043" s="50" t="str">
        <f t="shared" si="428"/>
        <v>TAHSIS RIVER_Pink</v>
      </c>
      <c r="BZ1043" s="50">
        <f>IFERROR(VLOOKUP(BY1043,'[1]WCVI Esc'!$C$5:$W$555,18,FALSE),"-")</f>
        <v>4.333333333333333</v>
      </c>
      <c r="CA1043" s="50">
        <f t="shared" si="443"/>
        <v>0</v>
      </c>
      <c r="CB1043" s="50">
        <f>IFERROR(VLOOKUP(BY1043,'[1]WCVI Esc'!$C$5:$W$555,19,FALSE),"-")</f>
        <v>3.75</v>
      </c>
      <c r="CC1043" s="50">
        <f t="shared" si="444"/>
        <v>0</v>
      </c>
      <c r="CE1043" s="342" t="str">
        <f t="shared" si="424"/>
        <v>TAHSIS RIVER_Pink</v>
      </c>
      <c r="CF1043" s="341">
        <f>IFERROR(VLOOKUP(BY1043,'RawPL+D'!$O$8:$AB$503,12,FALSE),"-")</f>
        <v>1</v>
      </c>
      <c r="CG1043" s="338">
        <f t="shared" si="425"/>
        <v>0</v>
      </c>
      <c r="CH1043" s="341">
        <f>IFERROR(VLOOKUP(BY1043,'RawPL+D'!$O$8:$AB$503,13,FALSE),"-")</f>
        <v>3.25</v>
      </c>
      <c r="CI1043" s="338">
        <f t="shared" si="426"/>
        <v>0</v>
      </c>
    </row>
    <row r="1044" spans="1:87" ht="12.75" customHeight="1" x14ac:dyDescent="0.2">
      <c r="A1044" s="29">
        <v>2</v>
      </c>
      <c r="B1044" s="29">
        <v>4</v>
      </c>
      <c r="C1044" s="13">
        <v>25</v>
      </c>
      <c r="D1044" s="13" t="s">
        <v>299</v>
      </c>
      <c r="E1044" s="10" t="s">
        <v>52</v>
      </c>
      <c r="F1044" s="10" t="s">
        <v>209</v>
      </c>
      <c r="G1044" s="10"/>
      <c r="H1044" s="10"/>
      <c r="I1044" s="10"/>
      <c r="J1044" s="10"/>
      <c r="K1044" s="575"/>
      <c r="L1044" s="632">
        <v>2</v>
      </c>
      <c r="M1044" s="164"/>
      <c r="N1044" s="643">
        <v>4</v>
      </c>
      <c r="O1044" s="62"/>
      <c r="P1044" s="686">
        <v>97</v>
      </c>
      <c r="Q1044" s="171"/>
      <c r="R1044" s="642">
        <v>266</v>
      </c>
      <c r="S1044" s="339"/>
      <c r="T1044" s="788">
        <v>794</v>
      </c>
      <c r="U1044" s="787">
        <f>573+50</f>
        <v>623</v>
      </c>
      <c r="V1044" s="426"/>
      <c r="W1044" s="62"/>
      <c r="X1044" s="63"/>
      <c r="Y1044" s="62"/>
      <c r="Z1044" s="64"/>
      <c r="AA1044" s="164"/>
      <c r="AB1044" s="62"/>
      <c r="AC1044" s="62"/>
      <c r="AD1044" s="64"/>
      <c r="AE1044" s="164"/>
      <c r="AF1044" s="62"/>
      <c r="AG1044" s="64"/>
      <c r="AH1044" s="337">
        <v>1384</v>
      </c>
      <c r="AI1044" s="337">
        <v>0</v>
      </c>
      <c r="AJ1044" s="337">
        <v>0</v>
      </c>
      <c r="AK1044" s="337">
        <v>0</v>
      </c>
      <c r="AL1044" s="556">
        <v>1384</v>
      </c>
      <c r="AM1044" s="567">
        <v>1384</v>
      </c>
      <c r="AN1044" s="552" t="s">
        <v>768</v>
      </c>
      <c r="AO1044" s="552" t="s">
        <v>773</v>
      </c>
      <c r="AP1044" s="44"/>
      <c r="AQ1044" s="485">
        <f t="shared" si="429"/>
        <v>0.39656160458452722</v>
      </c>
      <c r="AR1044" s="485">
        <f>BL1044/BH1044</f>
        <v>1.2215384615384615</v>
      </c>
      <c r="AS1044" s="485">
        <f>BL1044/BI1044</f>
        <v>0.22750716332378224</v>
      </c>
      <c r="AT1044" s="123"/>
      <c r="AU1044" s="123"/>
      <c r="AV1044" s="123"/>
      <c r="AW1044" s="69">
        <v>25</v>
      </c>
      <c r="AX1044" s="69" t="s">
        <v>299</v>
      </c>
      <c r="AY1044" s="243" t="s">
        <v>52</v>
      </c>
      <c r="AZ1044" s="243" t="str">
        <f t="shared" si="432"/>
        <v>Chum</v>
      </c>
      <c r="BA1044" s="243" t="s">
        <v>419</v>
      </c>
      <c r="BB1044" s="244" t="s">
        <v>495</v>
      </c>
      <c r="BC1044" s="43" t="str">
        <f t="shared" si="433"/>
        <v>Oct 29-Nov4</v>
      </c>
      <c r="BD1044" s="43">
        <f t="shared" si="431"/>
        <v>6</v>
      </c>
      <c r="BE1044" s="193">
        <f t="shared" si="446"/>
        <v>794</v>
      </c>
      <c r="BF1044" s="193">
        <f t="shared" si="434"/>
        <v>1384</v>
      </c>
      <c r="BG1044" s="193">
        <f t="shared" si="435"/>
        <v>1384</v>
      </c>
      <c r="BH1044" s="307">
        <f t="shared" si="416"/>
        <v>650</v>
      </c>
      <c r="BI1044" s="265">
        <f t="shared" si="430"/>
        <v>3490</v>
      </c>
      <c r="BJ1044" s="26" t="str">
        <f t="shared" si="436"/>
        <v>TAHSIS RIVERChum</v>
      </c>
      <c r="BK1044" s="26">
        <f t="shared" si="437"/>
        <v>6</v>
      </c>
      <c r="BL1044" s="33">
        <f t="shared" si="418"/>
        <v>794</v>
      </c>
      <c r="BP1044" s="34"/>
      <c r="BQ1044" s="47" t="str">
        <f t="shared" si="438"/>
        <v>TAHSIS RIVERChum</v>
      </c>
      <c r="BR1044" s="49">
        <f t="shared" si="439"/>
        <v>0</v>
      </c>
      <c r="BS1044" s="49">
        <f t="shared" si="445"/>
        <v>1384</v>
      </c>
      <c r="BT1044" s="31">
        <v>2016</v>
      </c>
      <c r="BU1044" s="188" t="str">
        <f t="shared" si="440"/>
        <v>Ecofish</v>
      </c>
      <c r="BV1044" s="188" t="str">
        <f t="shared" si="441"/>
        <v>Sep 24-30</v>
      </c>
      <c r="BW1044" s="188" t="str">
        <f t="shared" si="423"/>
        <v>Oct 29-Nov4</v>
      </c>
      <c r="BX1044" s="188" t="str">
        <f t="shared" si="442"/>
        <v xml:space="preserve"> </v>
      </c>
      <c r="BY1044" s="50" t="str">
        <f t="shared" si="428"/>
        <v>TAHSIS RIVER_Chum</v>
      </c>
      <c r="BZ1044" s="50">
        <f>IFERROR(VLOOKUP(BY1044,'[1]WCVI Esc'!$C$5:$W$555,18,FALSE),"-")</f>
        <v>1230</v>
      </c>
      <c r="CA1044" s="50">
        <f t="shared" si="443"/>
        <v>1230</v>
      </c>
      <c r="CB1044" s="50">
        <f>IFERROR(VLOOKUP(BY1044,'[1]WCVI Esc'!$C$5:$W$555,19,FALSE),"-")</f>
        <v>3492.1666666666665</v>
      </c>
      <c r="CC1044" s="50">
        <f t="shared" si="444"/>
        <v>3490</v>
      </c>
      <c r="CE1044" s="342" t="str">
        <f t="shared" si="424"/>
        <v>TAHSIS RIVER_Chum</v>
      </c>
      <c r="CF1044" s="341">
        <f>IFERROR(VLOOKUP(CE1044,'RawPL+D'!$O$8:$AB$503,12,FALSE),"-")</f>
        <v>490</v>
      </c>
      <c r="CG1044" s="338">
        <f t="shared" si="425"/>
        <v>490</v>
      </c>
      <c r="CH1044" s="341">
        <f>IFERROR(VLOOKUP(BY1044,'RawPL+D'!$O$8:$AB$503,13,FALSE),"-")</f>
        <v>651.5</v>
      </c>
      <c r="CI1044" s="338">
        <f t="shared" si="426"/>
        <v>650</v>
      </c>
    </row>
    <row r="1045" spans="1:87" ht="12.75" customHeight="1" x14ac:dyDescent="0.2">
      <c r="A1045" s="29">
        <v>2</v>
      </c>
      <c r="B1045" s="29">
        <v>5</v>
      </c>
      <c r="C1045" s="13">
        <v>25</v>
      </c>
      <c r="D1045" s="13" t="s">
        <v>299</v>
      </c>
      <c r="E1045" s="10" t="s">
        <v>52</v>
      </c>
      <c r="F1045" s="10" t="s">
        <v>210</v>
      </c>
      <c r="G1045" s="10"/>
      <c r="H1045" s="10"/>
      <c r="I1045" s="10"/>
      <c r="J1045" s="10"/>
      <c r="K1045" s="575"/>
      <c r="L1045" s="632">
        <v>0</v>
      </c>
      <c r="M1045" s="164"/>
      <c r="N1045" s="643">
        <v>35</v>
      </c>
      <c r="O1045" s="62"/>
      <c r="P1045" s="713">
        <v>1015</v>
      </c>
      <c r="Q1045" s="171"/>
      <c r="R1045" s="642">
        <v>213</v>
      </c>
      <c r="S1045" s="339"/>
      <c r="T1045" s="767">
        <f>30+12</f>
        <v>42</v>
      </c>
      <c r="U1045" s="767">
        <v>5</v>
      </c>
      <c r="V1045" s="429"/>
      <c r="W1045" s="62"/>
      <c r="X1045" s="63"/>
      <c r="Y1045" s="62"/>
      <c r="Z1045" s="64"/>
      <c r="AA1045" s="164"/>
      <c r="AB1045" s="62"/>
      <c r="AC1045" s="62"/>
      <c r="AD1045" s="64"/>
      <c r="AE1045" s="164"/>
      <c r="AF1045" s="62"/>
      <c r="AG1045" s="64"/>
      <c r="AH1045" s="337">
        <v>1777</v>
      </c>
      <c r="AI1045" s="337">
        <v>134</v>
      </c>
      <c r="AJ1045" s="337">
        <v>0</v>
      </c>
      <c r="AK1045" s="337">
        <v>0</v>
      </c>
      <c r="AL1045" s="556">
        <v>1777</v>
      </c>
      <c r="AM1045" s="567">
        <v>1135</v>
      </c>
      <c r="AN1045" s="552" t="s">
        <v>768</v>
      </c>
      <c r="AO1045" s="552" t="s">
        <v>773</v>
      </c>
      <c r="AP1045" s="44"/>
      <c r="AQ1045" s="485">
        <f t="shared" si="429"/>
        <v>2.8661290322580646</v>
      </c>
      <c r="AR1045" s="485">
        <f>BL1045/BH1045</f>
        <v>1.3181818181818181</v>
      </c>
      <c r="AS1045" s="485">
        <f>BL1045/BI1045</f>
        <v>1.6370967741935485</v>
      </c>
      <c r="AT1045" s="123">
        <v>395</v>
      </c>
      <c r="AU1045" s="123">
        <v>116</v>
      </c>
      <c r="AV1045" s="123">
        <f>AL1045</f>
        <v>1777</v>
      </c>
      <c r="AW1045" s="69">
        <v>25</v>
      </c>
      <c r="AX1045" s="69" t="s">
        <v>299</v>
      </c>
      <c r="AY1045" s="243" t="s">
        <v>52</v>
      </c>
      <c r="AZ1045" s="243" t="str">
        <f t="shared" si="432"/>
        <v>Chinook</v>
      </c>
      <c r="BA1045" s="243" t="s">
        <v>419</v>
      </c>
      <c r="BB1045" s="244" t="s">
        <v>495</v>
      </c>
      <c r="BC1045" s="43" t="str">
        <f t="shared" si="433"/>
        <v>Oct 29-Nov4</v>
      </c>
      <c r="BD1045" s="43">
        <f t="shared" si="431"/>
        <v>6</v>
      </c>
      <c r="BE1045" s="193">
        <f t="shared" si="446"/>
        <v>1015</v>
      </c>
      <c r="BF1045" s="193">
        <f t="shared" si="434"/>
        <v>1777</v>
      </c>
      <c r="BG1045" s="193">
        <f t="shared" si="435"/>
        <v>1777</v>
      </c>
      <c r="BH1045" s="307">
        <f t="shared" si="416"/>
        <v>770</v>
      </c>
      <c r="BI1045" s="265">
        <f t="shared" si="430"/>
        <v>620</v>
      </c>
      <c r="BJ1045" s="26" t="str">
        <f t="shared" si="436"/>
        <v>TAHSIS RIVERChinook</v>
      </c>
      <c r="BK1045" s="26">
        <f t="shared" si="437"/>
        <v>6</v>
      </c>
      <c r="BL1045" s="33">
        <f t="shared" si="418"/>
        <v>1015</v>
      </c>
      <c r="BM1045" s="34">
        <f>BL1045*1.14</f>
        <v>1157.0999999999999</v>
      </c>
      <c r="BN1045" s="34">
        <f>BL1045*2.88</f>
        <v>2923.2</v>
      </c>
      <c r="BO1045" s="36"/>
      <c r="BP1045" s="34">
        <f>SUM(BM1045:BN1045)/2</f>
        <v>2040.1499999999999</v>
      </c>
      <c r="BQ1045" s="47" t="str">
        <f t="shared" si="438"/>
        <v>TAHSIS RIVERChinook</v>
      </c>
      <c r="BR1045" s="49">
        <f t="shared" si="439"/>
        <v>0</v>
      </c>
      <c r="BS1045" s="49">
        <f t="shared" si="445"/>
        <v>1777</v>
      </c>
      <c r="BT1045" s="31">
        <v>2016</v>
      </c>
      <c r="BU1045" s="188" t="str">
        <f t="shared" si="440"/>
        <v>Ecofish</v>
      </c>
      <c r="BV1045" s="188" t="str">
        <f t="shared" si="441"/>
        <v>Sep 24-30</v>
      </c>
      <c r="BW1045" s="188" t="str">
        <f t="shared" si="423"/>
        <v>Oct 29-Nov4</v>
      </c>
      <c r="BX1045" s="188" t="str">
        <f t="shared" si="442"/>
        <v xml:space="preserve"> </v>
      </c>
      <c r="BY1045" s="50" t="str">
        <f t="shared" si="428"/>
        <v>TAHSIS RIVER_Chinook</v>
      </c>
      <c r="BZ1045" s="50">
        <f>IFERROR(VLOOKUP(BY1045,'[1]WCVI Esc'!$C$5:$W$555,18,FALSE),"-")</f>
        <v>992.25</v>
      </c>
      <c r="CA1045" s="50">
        <f t="shared" si="443"/>
        <v>990</v>
      </c>
      <c r="CB1045" s="50">
        <f>IFERROR(VLOOKUP(BY1045,'[1]WCVI Esc'!$C$5:$W$555,19,FALSE),"-")</f>
        <v>621.16666666666663</v>
      </c>
      <c r="CC1045" s="50">
        <f t="shared" si="444"/>
        <v>620</v>
      </c>
      <c r="CE1045" s="342" t="str">
        <f t="shared" si="424"/>
        <v>TAHSIS RIVER_Chinook</v>
      </c>
      <c r="CF1045" s="341">
        <f>IFERROR(VLOOKUP(CE1045,'RawPL+D'!$O$8:$AB$503,12,FALSE),"-")</f>
        <v>119</v>
      </c>
      <c r="CG1045" s="338">
        <f t="shared" si="425"/>
        <v>120</v>
      </c>
      <c r="CH1045" s="341">
        <f>IFERROR(VLOOKUP(BY1045,'RawPL+D'!$O$8:$AB$503,13,FALSE),"-")</f>
        <v>765.5</v>
      </c>
      <c r="CI1045" s="338">
        <f t="shared" si="426"/>
        <v>770</v>
      </c>
    </row>
    <row r="1046" spans="1:87" ht="12.75" hidden="1" customHeight="1" x14ac:dyDescent="0.2">
      <c r="A1046" s="29">
        <v>2</v>
      </c>
      <c r="B1046" s="29">
        <v>6</v>
      </c>
      <c r="C1046" s="13">
        <v>25</v>
      </c>
      <c r="D1046" s="13" t="s">
        <v>299</v>
      </c>
      <c r="E1046" s="10" t="s">
        <v>52</v>
      </c>
      <c r="F1046" s="10" t="s">
        <v>211</v>
      </c>
      <c r="G1046" s="10"/>
      <c r="H1046" s="10"/>
      <c r="I1046" s="10"/>
      <c r="J1046" s="10"/>
      <c r="K1046" s="575"/>
      <c r="L1046" s="632">
        <v>7</v>
      </c>
      <c r="M1046" s="164"/>
      <c r="N1046" s="643">
        <v>4</v>
      </c>
      <c r="O1046" s="62"/>
      <c r="P1046" s="686">
        <v>3</v>
      </c>
      <c r="Q1046" s="171"/>
      <c r="R1046" s="642">
        <v>2</v>
      </c>
      <c r="S1046" s="339"/>
      <c r="T1046" s="767">
        <v>0</v>
      </c>
      <c r="U1046" s="767">
        <v>0</v>
      </c>
      <c r="V1046" s="164"/>
      <c r="W1046" s="62"/>
      <c r="X1046" s="63"/>
      <c r="Y1046" s="62"/>
      <c r="Z1046" s="64"/>
      <c r="AA1046" s="164"/>
      <c r="AB1046" s="62"/>
      <c r="AC1046" s="62"/>
      <c r="AD1046" s="64"/>
      <c r="AE1046" s="164"/>
      <c r="AF1046" s="62"/>
      <c r="AG1046" s="64"/>
      <c r="AH1046" s="337"/>
      <c r="AI1046" s="337"/>
      <c r="AJ1046" s="337"/>
      <c r="AK1046" s="337"/>
      <c r="AL1046" s="555"/>
      <c r="AM1046" s="552"/>
      <c r="AN1046" s="45"/>
      <c r="AO1046" s="45"/>
      <c r="AP1046" s="44"/>
      <c r="AQ1046" s="485" t="e">
        <f t="shared" si="429"/>
        <v>#VALUE!</v>
      </c>
      <c r="AR1046"/>
      <c r="AS1046" s="485"/>
      <c r="AT1046" s="123"/>
      <c r="AU1046" s="123"/>
      <c r="AV1046" s="123"/>
      <c r="AW1046" s="69">
        <v>25</v>
      </c>
      <c r="AX1046" s="69" t="s">
        <v>299</v>
      </c>
      <c r="AY1046" s="243" t="s">
        <v>52</v>
      </c>
      <c r="AZ1046" s="243" t="str">
        <f t="shared" si="432"/>
        <v>Steelhead</v>
      </c>
      <c r="BA1046" s="243" t="s">
        <v>419</v>
      </c>
      <c r="BB1046" s="244" t="s">
        <v>495</v>
      </c>
      <c r="BC1046" s="43" t="str">
        <f t="shared" si="433"/>
        <v>Oct 29-Nov4</v>
      </c>
      <c r="BD1046" s="43">
        <f t="shared" si="431"/>
        <v>6</v>
      </c>
      <c r="BE1046" s="193">
        <f t="shared" si="446"/>
        <v>7</v>
      </c>
      <c r="BF1046" s="193">
        <f t="shared" si="434"/>
        <v>0</v>
      </c>
      <c r="BG1046" s="193">
        <f t="shared" si="435"/>
        <v>0</v>
      </c>
      <c r="BH1046" s="307" t="str">
        <f t="shared" si="416"/>
        <v>-</v>
      </c>
      <c r="BI1046" s="265" t="str">
        <f t="shared" si="430"/>
        <v>-</v>
      </c>
      <c r="BJ1046" s="26" t="str">
        <f t="shared" si="436"/>
        <v>TAHSIS RIVERSteelhead</v>
      </c>
      <c r="BK1046" s="26">
        <f t="shared" si="437"/>
        <v>6</v>
      </c>
      <c r="BL1046" s="33">
        <f t="shared" si="418"/>
        <v>7</v>
      </c>
      <c r="BP1046" s="34"/>
      <c r="BQ1046" s="47" t="str">
        <f t="shared" si="438"/>
        <v>TAHSIS RIVERSteelhead</v>
      </c>
      <c r="BR1046" s="49">
        <f t="shared" si="439"/>
        <v>0</v>
      </c>
      <c r="BS1046" s="49">
        <f t="shared" si="445"/>
        <v>0</v>
      </c>
      <c r="BT1046" s="31">
        <v>0</v>
      </c>
      <c r="BU1046" s="188" t="str">
        <f t="shared" si="440"/>
        <v>Ecofish</v>
      </c>
      <c r="BV1046" s="188" t="str">
        <f t="shared" si="441"/>
        <v>Sep 24-30</v>
      </c>
      <c r="BW1046" s="188" t="str">
        <f t="shared" si="423"/>
        <v>Oct 29-Nov4</v>
      </c>
      <c r="BX1046" s="188" t="str">
        <f t="shared" si="442"/>
        <v xml:space="preserve"> </v>
      </c>
      <c r="BY1046" s="50" t="str">
        <f t="shared" si="428"/>
        <v>TAHSIS RIVER_Steelhead</v>
      </c>
      <c r="BZ1046" s="50" t="str">
        <f>IFERROR(VLOOKUP(BY1046,'[1]WCVI Esc'!$C$5:$W$555,18,FALSE),"-")</f>
        <v>-</v>
      </c>
      <c r="CA1046" s="50" t="str">
        <f t="shared" si="443"/>
        <v>-</v>
      </c>
      <c r="CB1046" s="50" t="str">
        <f>IFERROR(VLOOKUP(BY1046,'[1]WCVI Esc'!$C$5:$W$555,19,FALSE),"-")</f>
        <v>-</v>
      </c>
      <c r="CC1046" s="50" t="str">
        <f t="shared" si="444"/>
        <v>-</v>
      </c>
      <c r="CE1046" s="342" t="str">
        <f t="shared" si="424"/>
        <v>TAHSIS RIVER_Steelhead</v>
      </c>
      <c r="CF1046" s="341" t="str">
        <f>IFERROR(VLOOKUP(BY1046,'RawPL+D'!$O$8:$AB$503,12,FALSE),"-")</f>
        <v>-</v>
      </c>
      <c r="CG1046" s="338" t="str">
        <f t="shared" si="425"/>
        <v>-</v>
      </c>
      <c r="CH1046" s="341" t="str">
        <f>IFERROR(VLOOKUP(BY1046,'RawPL+D'!$O$8:$AB$503,13,FALSE),"-")</f>
        <v>-</v>
      </c>
      <c r="CI1046" s="338" t="str">
        <f t="shared" si="426"/>
        <v>-</v>
      </c>
    </row>
    <row r="1047" spans="1:87" ht="12.75" customHeight="1" x14ac:dyDescent="0.2">
      <c r="A1047" s="28">
        <v>3</v>
      </c>
      <c r="B1047" s="28">
        <v>1</v>
      </c>
      <c r="C1047" s="11">
        <v>25</v>
      </c>
      <c r="D1047" s="13" t="s">
        <v>299</v>
      </c>
      <c r="E1047" s="10" t="s">
        <v>47</v>
      </c>
      <c r="F1047" s="10" t="s">
        <v>207</v>
      </c>
      <c r="G1047" s="10"/>
      <c r="H1047" s="10"/>
      <c r="I1047" s="10"/>
      <c r="J1047" s="10"/>
      <c r="K1047" s="94"/>
      <c r="L1047" s="186"/>
      <c r="M1047" s="674">
        <f>166+1</f>
        <v>167</v>
      </c>
      <c r="N1047" s="642">
        <v>150</v>
      </c>
      <c r="O1047" s="62"/>
      <c r="P1047" s="177"/>
      <c r="Q1047" s="718">
        <v>45</v>
      </c>
      <c r="R1047" s="707">
        <v>0</v>
      </c>
      <c r="S1047" s="554"/>
      <c r="T1047" s="832">
        <v>6</v>
      </c>
      <c r="U1047" s="62"/>
      <c r="V1047" s="164"/>
      <c r="W1047" s="62"/>
      <c r="X1047" s="62"/>
      <c r="Y1047" s="62"/>
      <c r="Z1047" s="64"/>
      <c r="AA1047" s="164"/>
      <c r="AB1047" s="62"/>
      <c r="AC1047" s="62"/>
      <c r="AD1047" s="64"/>
      <c r="AE1047" s="164"/>
      <c r="AF1047" s="62"/>
      <c r="AG1047" s="64"/>
      <c r="AH1047" s="337">
        <v>209</v>
      </c>
      <c r="AI1047" s="337">
        <v>3</v>
      </c>
      <c r="AJ1047" s="337">
        <v>0</v>
      </c>
      <c r="AK1047" s="337">
        <v>0</v>
      </c>
      <c r="AL1047" s="555">
        <v>209</v>
      </c>
      <c r="AM1047" s="552">
        <v>212</v>
      </c>
      <c r="AN1047" s="14" t="s">
        <v>765</v>
      </c>
      <c r="AO1047" s="552" t="s">
        <v>772</v>
      </c>
      <c r="AP1047" s="45"/>
      <c r="AQ1047" s="485"/>
      <c r="AR1047"/>
      <c r="AS1047" s="485"/>
      <c r="AT1047" s="24"/>
      <c r="AU1047" s="24"/>
      <c r="AV1047" s="24"/>
      <c r="AW1047" s="18">
        <v>25</v>
      </c>
      <c r="AX1047" s="69" t="s">
        <v>299</v>
      </c>
      <c r="AY1047" s="243" t="s">
        <v>47</v>
      </c>
      <c r="AZ1047" s="243" t="str">
        <f t="shared" si="432"/>
        <v>Sockeye</v>
      </c>
      <c r="BA1047" s="243" t="s">
        <v>419</v>
      </c>
      <c r="BB1047" s="244" t="s">
        <v>495</v>
      </c>
      <c r="BC1047" s="43" t="str">
        <f t="shared" si="433"/>
        <v>Oct 22-28</v>
      </c>
      <c r="BD1047" s="43">
        <f t="shared" si="431"/>
        <v>5</v>
      </c>
      <c r="BE1047" s="193">
        <f t="shared" si="446"/>
        <v>167</v>
      </c>
      <c r="BF1047" s="193">
        <f t="shared" si="434"/>
        <v>209</v>
      </c>
      <c r="BG1047" s="193">
        <f t="shared" si="435"/>
        <v>209</v>
      </c>
      <c r="BH1047" s="307">
        <f t="shared" si="416"/>
        <v>570</v>
      </c>
      <c r="BI1047" s="311" t="s">
        <v>242</v>
      </c>
      <c r="BJ1047" s="26" t="str">
        <f t="shared" si="436"/>
        <v>GOLD RIVERSockeye</v>
      </c>
      <c r="BK1047" s="26">
        <f t="shared" si="437"/>
        <v>5</v>
      </c>
      <c r="BL1047" s="33">
        <f t="shared" si="418"/>
        <v>167</v>
      </c>
      <c r="BQ1047" s="47" t="str">
        <f t="shared" si="438"/>
        <v>GOLD RIVERSockeye</v>
      </c>
      <c r="BR1047" s="49">
        <f t="shared" si="439"/>
        <v>0</v>
      </c>
      <c r="BS1047" s="49">
        <f t="shared" si="445"/>
        <v>209</v>
      </c>
      <c r="BT1047" s="31">
        <v>2001</v>
      </c>
      <c r="BU1047" s="188" t="str">
        <f t="shared" si="440"/>
        <v>Ecofish</v>
      </c>
      <c r="BV1047" s="188" t="str">
        <f t="shared" si="441"/>
        <v>Oct 1-7</v>
      </c>
      <c r="BW1047" s="188" t="str">
        <f t="shared" si="423"/>
        <v>Oct 22-28</v>
      </c>
      <c r="BX1047" s="188" t="str">
        <f t="shared" si="442"/>
        <v xml:space="preserve"> </v>
      </c>
      <c r="BY1047" s="50" t="str">
        <f t="shared" si="428"/>
        <v>GOLD RIVER_Sockeye</v>
      </c>
      <c r="BZ1047" s="50">
        <f>IFERROR(VLOOKUP(BY1047,'[1]WCVI Esc'!$C$5:$W$555,18,FALSE),"-")</f>
        <v>1105.5</v>
      </c>
      <c r="CA1047" s="50">
        <f t="shared" si="443"/>
        <v>1110</v>
      </c>
      <c r="CB1047" s="50">
        <f>IFERROR(VLOOKUP(BY1047,'[1]WCVI Esc'!$C$5:$W$555,19,FALSE),"-")</f>
        <v>1105.5</v>
      </c>
      <c r="CC1047" s="50">
        <f t="shared" si="444"/>
        <v>1110</v>
      </c>
      <c r="CE1047" s="342" t="str">
        <f t="shared" si="424"/>
        <v>GOLD RIVER_Sockeye</v>
      </c>
      <c r="CF1047" s="341">
        <f>IFERROR(VLOOKUP(BY1047,'RawPL+D'!$O$8:$AB$503,12,FALSE),"-")</f>
        <v>423</v>
      </c>
      <c r="CG1047" s="338">
        <f t="shared" si="425"/>
        <v>420</v>
      </c>
      <c r="CH1047" s="341">
        <f>IFERROR(VLOOKUP(BY1047,'RawPL+D'!$O$8:$AB$503,13,FALSE),"-")</f>
        <v>568.75</v>
      </c>
      <c r="CI1047" s="338">
        <f t="shared" si="426"/>
        <v>570</v>
      </c>
    </row>
    <row r="1048" spans="1:87" ht="12.75" customHeight="1" x14ac:dyDescent="0.2">
      <c r="A1048" s="28">
        <v>3</v>
      </c>
      <c r="B1048" s="28">
        <v>2</v>
      </c>
      <c r="C1048" s="11">
        <v>25</v>
      </c>
      <c r="D1048" s="13" t="s">
        <v>299</v>
      </c>
      <c r="E1048" s="10" t="s">
        <v>47</v>
      </c>
      <c r="F1048" s="10" t="s">
        <v>219</v>
      </c>
      <c r="G1048" s="10"/>
      <c r="H1048" s="10"/>
      <c r="I1048" s="10"/>
      <c r="J1048" s="10"/>
      <c r="K1048" s="94"/>
      <c r="L1048" s="186"/>
      <c r="M1048" s="674">
        <f>1679+1</f>
        <v>1680</v>
      </c>
      <c r="N1048" s="642">
        <v>1245</v>
      </c>
      <c r="O1048" s="62"/>
      <c r="P1048" s="177"/>
      <c r="Q1048" s="718">
        <v>98</v>
      </c>
      <c r="R1048" s="707">
        <v>2</v>
      </c>
      <c r="S1048" s="609"/>
      <c r="T1048" s="832">
        <v>5</v>
      </c>
      <c r="U1048" s="62"/>
      <c r="V1048" s="164"/>
      <c r="W1048" s="62"/>
      <c r="X1048" s="62"/>
      <c r="Y1048" s="62"/>
      <c r="Z1048" s="64"/>
      <c r="AA1048" s="164"/>
      <c r="AB1048" s="62"/>
      <c r="AC1048" s="62"/>
      <c r="AD1048" s="64"/>
      <c r="AE1048" s="164"/>
      <c r="AF1048" s="62"/>
      <c r="AG1048" s="64"/>
      <c r="AH1048" s="337">
        <v>1221</v>
      </c>
      <c r="AI1048" s="337">
        <v>83</v>
      </c>
      <c r="AJ1048" s="337">
        <v>0</v>
      </c>
      <c r="AK1048" s="337">
        <v>0</v>
      </c>
      <c r="AL1048" s="555">
        <v>1221</v>
      </c>
      <c r="AM1048" s="552">
        <v>1304</v>
      </c>
      <c r="AN1048" s="14" t="s">
        <v>765</v>
      </c>
      <c r="AO1048" s="552" t="s">
        <v>773</v>
      </c>
      <c r="AP1048" s="45"/>
      <c r="AQ1048" s="485">
        <f>AL1048/BI1048</f>
        <v>0.4392086330935252</v>
      </c>
      <c r="AR1048" s="485">
        <f>BL1048/BH1048</f>
        <v>1.0059880239520957</v>
      </c>
      <c r="AS1048" s="485">
        <f>BL1048/BI1048</f>
        <v>0.60431654676258995</v>
      </c>
      <c r="AT1048" s="24"/>
      <c r="AU1048" s="24"/>
      <c r="AV1048" s="24"/>
      <c r="AW1048" s="18">
        <v>25</v>
      </c>
      <c r="AX1048" s="69" t="s">
        <v>299</v>
      </c>
      <c r="AY1048" s="243" t="s">
        <v>47</v>
      </c>
      <c r="AZ1048" s="243" t="str">
        <f t="shared" si="432"/>
        <v>Coho</v>
      </c>
      <c r="BA1048" s="243" t="s">
        <v>419</v>
      </c>
      <c r="BB1048" s="244" t="s">
        <v>495</v>
      </c>
      <c r="BC1048" s="43" t="str">
        <f t="shared" si="433"/>
        <v>Oct 22-28</v>
      </c>
      <c r="BD1048" s="43">
        <f t="shared" si="431"/>
        <v>5</v>
      </c>
      <c r="BE1048" s="193">
        <f t="shared" si="446"/>
        <v>1680</v>
      </c>
      <c r="BF1048" s="193">
        <f t="shared" si="434"/>
        <v>1221</v>
      </c>
      <c r="BG1048" s="193">
        <f t="shared" si="435"/>
        <v>1221</v>
      </c>
      <c r="BH1048" s="307">
        <f t="shared" si="416"/>
        <v>1670</v>
      </c>
      <c r="BI1048" s="265">
        <f>CC1048</f>
        <v>2780</v>
      </c>
      <c r="BJ1048" s="26" t="str">
        <f t="shared" si="436"/>
        <v>GOLD RIVERCoho</v>
      </c>
      <c r="BK1048" s="26">
        <f t="shared" si="437"/>
        <v>5</v>
      </c>
      <c r="BL1048" s="33">
        <f t="shared" si="418"/>
        <v>1680</v>
      </c>
      <c r="BQ1048" s="47" t="str">
        <f t="shared" si="438"/>
        <v>GOLD RIVERCoho</v>
      </c>
      <c r="BR1048" s="49">
        <f t="shared" si="439"/>
        <v>0</v>
      </c>
      <c r="BS1048" s="49">
        <f t="shared" si="445"/>
        <v>1221</v>
      </c>
      <c r="BT1048" s="31">
        <v>2014</v>
      </c>
      <c r="BU1048" s="188" t="str">
        <f t="shared" si="440"/>
        <v>Ecofish</v>
      </c>
      <c r="BV1048" s="188" t="str">
        <f t="shared" si="441"/>
        <v>Oct 1-7</v>
      </c>
      <c r="BW1048" s="188" t="str">
        <f t="shared" si="423"/>
        <v>Oct 22-28</v>
      </c>
      <c r="BX1048" s="188" t="str">
        <f t="shared" si="442"/>
        <v xml:space="preserve"> </v>
      </c>
      <c r="BY1048" s="50" t="str">
        <f t="shared" si="428"/>
        <v>GOLD RIVER_Coho</v>
      </c>
      <c r="BZ1048" s="50">
        <f>IFERROR(VLOOKUP(BY1048,'[1]WCVI Esc'!$C$5:$W$555,18,FALSE),"-")</f>
        <v>2975</v>
      </c>
      <c r="CA1048" s="50">
        <f t="shared" si="443"/>
        <v>2980</v>
      </c>
      <c r="CB1048" s="50">
        <f>IFERROR(VLOOKUP(BY1048,'[1]WCVI Esc'!$C$5:$W$555,19,FALSE),"-")</f>
        <v>2781.25</v>
      </c>
      <c r="CC1048" s="50">
        <f t="shared" si="444"/>
        <v>2780</v>
      </c>
      <c r="CE1048" s="342" t="str">
        <f t="shared" si="424"/>
        <v>GOLD RIVER_Coho</v>
      </c>
      <c r="CF1048" s="341">
        <f>IFERROR(VLOOKUP(CE1048,'RawPL+D'!$O$8:$AB$503,12,FALSE),"-")</f>
        <v>4607</v>
      </c>
      <c r="CG1048" s="338">
        <f t="shared" si="425"/>
        <v>4610</v>
      </c>
      <c r="CH1048" s="341">
        <f>IFERROR(VLOOKUP(BY1048,'RawPL+D'!$O$8:$AB$503,13,FALSE),"-")</f>
        <v>1665</v>
      </c>
      <c r="CI1048" s="338">
        <f t="shared" si="426"/>
        <v>1670</v>
      </c>
    </row>
    <row r="1049" spans="1:87" ht="12.75" hidden="1" customHeight="1" x14ac:dyDescent="0.2">
      <c r="A1049" s="28">
        <v>3</v>
      </c>
      <c r="B1049" s="28">
        <v>3</v>
      </c>
      <c r="C1049" s="11">
        <v>25</v>
      </c>
      <c r="D1049" s="13" t="s">
        <v>299</v>
      </c>
      <c r="E1049" s="10" t="s">
        <v>47</v>
      </c>
      <c r="F1049" s="10" t="s">
        <v>208</v>
      </c>
      <c r="G1049" s="10"/>
      <c r="H1049" s="10"/>
      <c r="I1049" s="10"/>
      <c r="J1049" s="10"/>
      <c r="K1049" s="94"/>
      <c r="L1049" s="186"/>
      <c r="M1049" s="674">
        <v>8</v>
      </c>
      <c r="N1049" s="675">
        <v>30</v>
      </c>
      <c r="O1049" s="62"/>
      <c r="P1049" s="177"/>
      <c r="Q1049" s="718">
        <v>0</v>
      </c>
      <c r="R1049" s="707">
        <v>0</v>
      </c>
      <c r="S1049" s="565"/>
      <c r="T1049" s="832">
        <v>0</v>
      </c>
      <c r="U1049" s="62"/>
      <c r="V1049" s="164"/>
      <c r="W1049" s="62"/>
      <c r="X1049" s="62"/>
      <c r="Y1049" s="62"/>
      <c r="Z1049" s="64"/>
      <c r="AA1049" s="164"/>
      <c r="AB1049" s="62"/>
      <c r="AC1049" s="62"/>
      <c r="AD1049" s="64"/>
      <c r="AE1049" s="164"/>
      <c r="AF1049" s="62"/>
      <c r="AG1049" s="64"/>
      <c r="AH1049" s="337"/>
      <c r="AI1049" s="337"/>
      <c r="AJ1049" s="337"/>
      <c r="AK1049" s="337"/>
      <c r="AL1049" s="555"/>
      <c r="AM1049" s="552"/>
      <c r="AN1049" s="14"/>
      <c r="AO1049" s="45"/>
      <c r="AP1049" s="45"/>
      <c r="AQ1049" s="485"/>
      <c r="AR1049" s="12"/>
      <c r="AS1049" s="485"/>
      <c r="AT1049" s="24"/>
      <c r="AU1049" s="24"/>
      <c r="AV1049" s="24"/>
      <c r="AW1049" s="18">
        <v>25</v>
      </c>
      <c r="AX1049" s="69" t="s">
        <v>299</v>
      </c>
      <c r="AY1049" s="243" t="s">
        <v>47</v>
      </c>
      <c r="AZ1049" s="243" t="str">
        <f t="shared" si="432"/>
        <v>Pink</v>
      </c>
      <c r="BA1049" s="243" t="s">
        <v>419</v>
      </c>
      <c r="BB1049" s="244" t="s">
        <v>495</v>
      </c>
      <c r="BC1049" s="43" t="str">
        <f t="shared" si="433"/>
        <v>Oct 22-28</v>
      </c>
      <c r="BD1049" s="43">
        <f t="shared" si="431"/>
        <v>5</v>
      </c>
      <c r="BE1049" s="193">
        <f t="shared" si="446"/>
        <v>30</v>
      </c>
      <c r="BF1049" s="193">
        <f t="shared" si="434"/>
        <v>0</v>
      </c>
      <c r="BG1049" s="193">
        <f t="shared" si="435"/>
        <v>0</v>
      </c>
      <c r="BH1049" s="307">
        <f t="shared" si="416"/>
        <v>0</v>
      </c>
      <c r="BI1049" s="308" t="s">
        <v>242</v>
      </c>
      <c r="BJ1049" s="26" t="str">
        <f t="shared" si="436"/>
        <v>GOLD RIVERPink</v>
      </c>
      <c r="BK1049" s="26">
        <f t="shared" si="437"/>
        <v>5</v>
      </c>
      <c r="BL1049" s="33">
        <f t="shared" si="418"/>
        <v>30</v>
      </c>
      <c r="BQ1049" s="47" t="str">
        <f t="shared" si="438"/>
        <v>GOLD RIVERPink</v>
      </c>
      <c r="BR1049" s="49">
        <f t="shared" si="439"/>
        <v>0</v>
      </c>
      <c r="BS1049" s="49">
        <f t="shared" si="445"/>
        <v>0</v>
      </c>
      <c r="BT1049" s="31">
        <v>0</v>
      </c>
      <c r="BU1049" s="188" t="str">
        <f t="shared" si="440"/>
        <v>Ecofish</v>
      </c>
      <c r="BV1049" s="188" t="str">
        <f t="shared" si="441"/>
        <v>Oct 1-7</v>
      </c>
      <c r="BW1049" s="188" t="str">
        <f t="shared" si="423"/>
        <v>Oct 22-28</v>
      </c>
      <c r="BX1049" s="188" t="str">
        <f t="shared" si="442"/>
        <v xml:space="preserve"> </v>
      </c>
      <c r="BY1049" s="50" t="str">
        <f t="shared" si="428"/>
        <v>GOLD RIVER_Pink</v>
      </c>
      <c r="BZ1049" s="50" t="str">
        <f>IFERROR(VLOOKUP(BY1049,'[1]WCVI Esc'!$C$5:$W$555,18,FALSE),"-")</f>
        <v>-</v>
      </c>
      <c r="CA1049" s="50" t="str">
        <f t="shared" si="443"/>
        <v>-</v>
      </c>
      <c r="CB1049" s="50" t="str">
        <f>IFERROR(VLOOKUP(BY1049,'[1]WCVI Esc'!$C$5:$W$555,19,FALSE),"-")</f>
        <v>-</v>
      </c>
      <c r="CC1049" s="50" t="str">
        <f t="shared" si="444"/>
        <v>-</v>
      </c>
      <c r="CE1049" s="342" t="str">
        <f t="shared" ref="CE1049:CE1080" si="447">CONCATENATE(E1049,"_",F1049)</f>
        <v>GOLD RIVER_Pink</v>
      </c>
      <c r="CF1049" s="341">
        <f>IFERROR(VLOOKUP(BY1049,'RawPL+D'!$O$8:$AB$503,12,FALSE),"-")</f>
        <v>3</v>
      </c>
      <c r="CG1049" s="338">
        <f t="shared" si="425"/>
        <v>0</v>
      </c>
      <c r="CH1049" s="341">
        <f>IFERROR(VLOOKUP(BY1049,'RawPL+D'!$O$8:$AB$503,13,FALSE),"-")</f>
        <v>4.333333333333333</v>
      </c>
      <c r="CI1049" s="338">
        <f t="shared" si="426"/>
        <v>0</v>
      </c>
    </row>
    <row r="1050" spans="1:87" ht="12.75" customHeight="1" x14ac:dyDescent="0.2">
      <c r="A1050" s="28">
        <v>3</v>
      </c>
      <c r="B1050" s="28">
        <v>4</v>
      </c>
      <c r="C1050" s="11">
        <v>25</v>
      </c>
      <c r="D1050" s="13" t="s">
        <v>299</v>
      </c>
      <c r="E1050" s="10" t="s">
        <v>47</v>
      </c>
      <c r="F1050" s="10" t="s">
        <v>209</v>
      </c>
      <c r="G1050" s="10"/>
      <c r="H1050" s="10"/>
      <c r="I1050" s="10"/>
      <c r="J1050" s="10"/>
      <c r="K1050" s="94"/>
      <c r="L1050" s="186"/>
      <c r="M1050" s="674">
        <v>0</v>
      </c>
      <c r="N1050" s="642">
        <v>1</v>
      </c>
      <c r="O1050" s="390"/>
      <c r="P1050" s="177"/>
      <c r="Q1050" s="719">
        <v>49</v>
      </c>
      <c r="R1050" s="707">
        <v>0</v>
      </c>
      <c r="S1050" s="609"/>
      <c r="T1050" s="832">
        <f>4+1</f>
        <v>5</v>
      </c>
      <c r="U1050" s="62"/>
      <c r="V1050" s="164"/>
      <c r="W1050" s="62"/>
      <c r="X1050" s="62"/>
      <c r="Y1050" s="62"/>
      <c r="Z1050" s="64"/>
      <c r="AA1050" s="164"/>
      <c r="AB1050" s="62"/>
      <c r="AC1050" s="62"/>
      <c r="AD1050" s="64"/>
      <c r="AE1050" s="164"/>
      <c r="AF1050" s="62"/>
      <c r="AG1050" s="64"/>
      <c r="AH1050" s="337">
        <v>69</v>
      </c>
      <c r="AI1050" s="337">
        <v>0</v>
      </c>
      <c r="AJ1050" s="337">
        <v>0</v>
      </c>
      <c r="AK1050" s="337">
        <v>0</v>
      </c>
      <c r="AL1050" s="555">
        <v>69</v>
      </c>
      <c r="AM1050" s="552">
        <v>69</v>
      </c>
      <c r="AN1050" s="14" t="s">
        <v>765</v>
      </c>
      <c r="AO1050" s="552" t="s">
        <v>772</v>
      </c>
      <c r="AP1050" s="45">
        <v>3</v>
      </c>
      <c r="AQ1050" s="485"/>
      <c r="AR1050" s="12"/>
      <c r="AS1050" s="485"/>
      <c r="AT1050" s="24"/>
      <c r="AU1050" s="24"/>
      <c r="AV1050" s="24"/>
      <c r="AW1050" s="18">
        <v>25</v>
      </c>
      <c r="AX1050" s="69" t="s">
        <v>299</v>
      </c>
      <c r="AY1050" s="243" t="s">
        <v>47</v>
      </c>
      <c r="AZ1050" s="243" t="str">
        <f t="shared" si="432"/>
        <v>Chum</v>
      </c>
      <c r="BA1050" s="243" t="s">
        <v>419</v>
      </c>
      <c r="BB1050" s="244" t="s">
        <v>495</v>
      </c>
      <c r="BC1050" s="43" t="str">
        <f t="shared" si="433"/>
        <v>Oct 22-28</v>
      </c>
      <c r="BD1050" s="43">
        <f t="shared" si="431"/>
        <v>5</v>
      </c>
      <c r="BE1050" s="193">
        <f t="shared" si="446"/>
        <v>49</v>
      </c>
      <c r="BF1050" s="193">
        <f t="shared" si="434"/>
        <v>69</v>
      </c>
      <c r="BG1050" s="193">
        <f t="shared" si="435"/>
        <v>69</v>
      </c>
      <c r="BH1050" s="307">
        <f t="shared" si="416"/>
        <v>20</v>
      </c>
      <c r="BI1050" s="308" t="s">
        <v>242</v>
      </c>
      <c r="BJ1050" s="26" t="str">
        <f t="shared" si="436"/>
        <v>GOLD RIVERChum</v>
      </c>
      <c r="BK1050" s="26">
        <f t="shared" si="437"/>
        <v>5</v>
      </c>
      <c r="BL1050" s="33">
        <f t="shared" si="418"/>
        <v>49</v>
      </c>
      <c r="BQ1050" s="47" t="str">
        <f t="shared" si="438"/>
        <v>GOLD RIVERChum</v>
      </c>
      <c r="BR1050" s="49">
        <f t="shared" si="439"/>
        <v>3</v>
      </c>
      <c r="BS1050" s="49">
        <f t="shared" si="445"/>
        <v>69</v>
      </c>
      <c r="BT1050" s="31">
        <v>2001</v>
      </c>
      <c r="BU1050" s="188" t="str">
        <f t="shared" si="440"/>
        <v>Ecofish</v>
      </c>
      <c r="BV1050" s="188" t="str">
        <f t="shared" si="441"/>
        <v>Oct 1-7</v>
      </c>
      <c r="BW1050" s="188" t="str">
        <f t="shared" si="423"/>
        <v>Oct 22-28</v>
      </c>
      <c r="BX1050" s="188" t="str">
        <f t="shared" si="442"/>
        <v xml:space="preserve"> </v>
      </c>
      <c r="BY1050" s="50" t="str">
        <f t="shared" si="428"/>
        <v>GOLD RIVER_Chum</v>
      </c>
      <c r="BZ1050" s="50">
        <f>IFERROR(VLOOKUP(BY1050,'[1]WCVI Esc'!$C$5:$W$555,18,FALSE),"-")</f>
        <v>113</v>
      </c>
      <c r="CA1050" s="50">
        <f t="shared" si="443"/>
        <v>110</v>
      </c>
      <c r="CB1050" s="50">
        <f>IFERROR(VLOOKUP(BY1050,'[1]WCVI Esc'!$C$5:$W$555,19,FALSE),"-")</f>
        <v>113</v>
      </c>
      <c r="CC1050" s="50">
        <f t="shared" si="444"/>
        <v>110</v>
      </c>
      <c r="CE1050" s="342" t="str">
        <f t="shared" si="447"/>
        <v>GOLD RIVER_Chum</v>
      </c>
      <c r="CF1050" s="341">
        <f>IFERROR(VLOOKUP(BY1050,'RawPL+D'!$O$8:$AB$503,12,FALSE),"-")</f>
        <v>65</v>
      </c>
      <c r="CG1050" s="338">
        <f t="shared" si="425"/>
        <v>70</v>
      </c>
      <c r="CH1050" s="341">
        <f>IFERROR(VLOOKUP(BY1050,'RawPL+D'!$O$8:$AB$503,13,FALSE),"-")</f>
        <v>23.5</v>
      </c>
      <c r="CI1050" s="338">
        <f t="shared" si="426"/>
        <v>20</v>
      </c>
    </row>
    <row r="1051" spans="1:87" ht="12.75" customHeight="1" x14ac:dyDescent="0.2">
      <c r="A1051" s="28">
        <v>3</v>
      </c>
      <c r="B1051" s="28">
        <v>5</v>
      </c>
      <c r="C1051" s="11">
        <v>25</v>
      </c>
      <c r="D1051" s="13" t="s">
        <v>299</v>
      </c>
      <c r="E1051" s="10" t="s">
        <v>47</v>
      </c>
      <c r="F1051" s="10" t="s">
        <v>210</v>
      </c>
      <c r="G1051" s="10"/>
      <c r="H1051" s="10"/>
      <c r="I1051" s="10"/>
      <c r="J1051" s="10"/>
      <c r="K1051" s="94"/>
      <c r="L1051" s="186"/>
      <c r="M1051" s="674">
        <f>3071+2</f>
        <v>3073</v>
      </c>
      <c r="N1051" s="675">
        <f>10357+5</f>
        <v>10362</v>
      </c>
      <c r="O1051" s="62"/>
      <c r="P1051" s="177"/>
      <c r="Q1051" s="720">
        <f>546+12</f>
        <v>558</v>
      </c>
      <c r="R1051" s="707">
        <f>53+5</f>
        <v>58</v>
      </c>
      <c r="S1051" s="609"/>
      <c r="T1051" s="831">
        <f>12+11</f>
        <v>23</v>
      </c>
      <c r="U1051" s="62"/>
      <c r="V1051" s="164"/>
      <c r="W1051" s="62"/>
      <c r="X1051" s="62"/>
      <c r="Y1051" s="62"/>
      <c r="Z1051" s="64"/>
      <c r="AA1051" s="164"/>
      <c r="AB1051" s="62"/>
      <c r="AC1051" s="62"/>
      <c r="AD1051" s="64"/>
      <c r="AE1051" s="164"/>
      <c r="AF1051" s="62"/>
      <c r="AG1051" s="64"/>
      <c r="AH1051" s="337">
        <v>11510</v>
      </c>
      <c r="AI1051" s="337">
        <v>237</v>
      </c>
      <c r="AJ1051" s="337">
        <v>321</v>
      </c>
      <c r="AK1051" s="337">
        <v>0</v>
      </c>
      <c r="AL1051" s="555">
        <v>11831</v>
      </c>
      <c r="AM1051" s="552">
        <v>12068</v>
      </c>
      <c r="AN1051" s="14" t="s">
        <v>765</v>
      </c>
      <c r="AO1051" s="45"/>
      <c r="AP1051" s="45"/>
      <c r="AQ1051" s="485">
        <f>AL1051/BI1051</f>
        <v>4.3178832116788319</v>
      </c>
      <c r="AR1051" s="485">
        <f>BL1051/BH1051</f>
        <v>2.2428571428571429</v>
      </c>
      <c r="AS1051" s="485">
        <f>BL1051/BI1051</f>
        <v>3.7817518248175181</v>
      </c>
      <c r="AT1051" s="24"/>
      <c r="AU1051" s="24"/>
      <c r="AV1051" s="24"/>
      <c r="AW1051" s="18">
        <v>25</v>
      </c>
      <c r="AX1051" s="69" t="s">
        <v>299</v>
      </c>
      <c r="AY1051" s="243" t="s">
        <v>47</v>
      </c>
      <c r="AZ1051" s="243" t="str">
        <f t="shared" si="432"/>
        <v>Chinook</v>
      </c>
      <c r="BA1051" s="243" t="s">
        <v>419</v>
      </c>
      <c r="BB1051" s="244" t="s">
        <v>495</v>
      </c>
      <c r="BC1051" s="43" t="str">
        <f t="shared" si="433"/>
        <v>Oct 22-28</v>
      </c>
      <c r="BD1051" s="43">
        <f t="shared" si="431"/>
        <v>5</v>
      </c>
      <c r="BE1051" s="193">
        <f t="shared" si="446"/>
        <v>10362</v>
      </c>
      <c r="BF1051" s="193">
        <f t="shared" si="434"/>
        <v>11831</v>
      </c>
      <c r="BG1051" s="193">
        <f t="shared" si="435"/>
        <v>11510</v>
      </c>
      <c r="BH1051" s="307">
        <f t="shared" si="416"/>
        <v>4620</v>
      </c>
      <c r="BI1051" s="265">
        <f>CC1051</f>
        <v>2740</v>
      </c>
      <c r="BJ1051" s="26" t="str">
        <f t="shared" si="436"/>
        <v>GOLD RIVERChinook</v>
      </c>
      <c r="BK1051" s="26">
        <f t="shared" si="437"/>
        <v>5</v>
      </c>
      <c r="BL1051" s="33">
        <f t="shared" si="418"/>
        <v>10362</v>
      </c>
      <c r="BQ1051" s="47" t="str">
        <f t="shared" si="438"/>
        <v>GOLD RIVERChinook</v>
      </c>
      <c r="BR1051" s="49">
        <f t="shared" si="439"/>
        <v>0</v>
      </c>
      <c r="BS1051" s="49">
        <f t="shared" si="445"/>
        <v>11831</v>
      </c>
      <c r="BT1051" s="31">
        <v>2016</v>
      </c>
      <c r="BU1051" s="188" t="str">
        <f t="shared" si="440"/>
        <v>Ecofish</v>
      </c>
      <c r="BV1051" s="188" t="str">
        <f t="shared" si="441"/>
        <v>Oct 1-7</v>
      </c>
      <c r="BW1051" s="188" t="str">
        <f t="shared" si="423"/>
        <v>Oct 22-28</v>
      </c>
      <c r="BX1051" s="188" t="str">
        <f t="shared" si="442"/>
        <v xml:space="preserve"> </v>
      </c>
      <c r="BY1051" s="50" t="str">
        <f t="shared" si="428"/>
        <v>GOLD RIVER_Chinook</v>
      </c>
      <c r="BZ1051" s="50">
        <f>IFERROR(VLOOKUP(BY1051,'[1]WCVI Esc'!$C$5:$W$555,18,FALSE),"-")</f>
        <v>5256.5</v>
      </c>
      <c r="CA1051" s="50">
        <f t="shared" si="443"/>
        <v>5260</v>
      </c>
      <c r="CB1051" s="50">
        <f>IFERROR(VLOOKUP(BY1051,'[1]WCVI Esc'!$C$5:$W$555,19,FALSE),"-")</f>
        <v>2740</v>
      </c>
      <c r="CC1051" s="50">
        <f t="shared" si="444"/>
        <v>2740</v>
      </c>
      <c r="CE1051" s="342" t="str">
        <f t="shared" si="447"/>
        <v>GOLD RIVER_Chinook</v>
      </c>
      <c r="CF1051" s="341">
        <f>IFERROR(VLOOKUP(CE1051,'RawPL+D'!$O$8:$AB$503,12,FALSE),"-")</f>
        <v>6469</v>
      </c>
      <c r="CG1051" s="338">
        <f t="shared" si="425"/>
        <v>6470</v>
      </c>
      <c r="CH1051" s="341">
        <f>IFERROR(VLOOKUP(BY1051,'RawPL+D'!$O$8:$AB$503,13,FALSE),"-")</f>
        <v>4617.25</v>
      </c>
      <c r="CI1051" s="338">
        <f t="shared" si="426"/>
        <v>4620</v>
      </c>
    </row>
    <row r="1052" spans="1:87" ht="12.75" hidden="1" customHeight="1" x14ac:dyDescent="0.2">
      <c r="A1052" s="28">
        <v>3</v>
      </c>
      <c r="B1052" s="28">
        <v>6</v>
      </c>
      <c r="C1052" s="11">
        <v>25</v>
      </c>
      <c r="D1052" s="13" t="s">
        <v>299</v>
      </c>
      <c r="E1052" s="10" t="s">
        <v>47</v>
      </c>
      <c r="F1052" s="10" t="s">
        <v>211</v>
      </c>
      <c r="G1052" s="10"/>
      <c r="H1052" s="10"/>
      <c r="I1052" s="10"/>
      <c r="J1052" s="10"/>
      <c r="K1052" s="94"/>
      <c r="L1052" s="186"/>
      <c r="M1052" s="674">
        <v>22</v>
      </c>
      <c r="N1052" s="642">
        <v>10</v>
      </c>
      <c r="O1052" s="62"/>
      <c r="P1052" s="177"/>
      <c r="Q1052" s="718">
        <v>0</v>
      </c>
      <c r="R1052" s="707">
        <v>0</v>
      </c>
      <c r="S1052" s="565"/>
      <c r="T1052" s="832">
        <v>0</v>
      </c>
      <c r="U1052" s="62"/>
      <c r="V1052" s="164"/>
      <c r="W1052" s="62"/>
      <c r="X1052" s="62"/>
      <c r="Y1052" s="62"/>
      <c r="Z1052" s="64"/>
      <c r="AA1052" s="164"/>
      <c r="AB1052" s="62"/>
      <c r="AC1052" s="62"/>
      <c r="AD1052" s="64"/>
      <c r="AE1052" s="164"/>
      <c r="AF1052" s="62"/>
      <c r="AG1052" s="64"/>
      <c r="AH1052" s="337"/>
      <c r="AI1052" s="337"/>
      <c r="AJ1052" s="337"/>
      <c r="AK1052" s="337"/>
      <c r="AL1052" s="555"/>
      <c r="AM1052" s="552"/>
      <c r="AN1052" s="45"/>
      <c r="AO1052" s="45"/>
      <c r="AP1052" s="45"/>
      <c r="AQ1052" s="485"/>
      <c r="AR1052"/>
      <c r="AS1052" s="485"/>
      <c r="AT1052" s="24"/>
      <c r="AU1052" s="24"/>
      <c r="AV1052" s="24"/>
      <c r="AW1052" s="18">
        <v>25</v>
      </c>
      <c r="AX1052" s="69" t="s">
        <v>299</v>
      </c>
      <c r="AY1052" s="243" t="s">
        <v>47</v>
      </c>
      <c r="AZ1052" s="243" t="str">
        <f t="shared" si="432"/>
        <v>Steelhead</v>
      </c>
      <c r="BA1052" s="243" t="s">
        <v>419</v>
      </c>
      <c r="BB1052" s="244" t="s">
        <v>495</v>
      </c>
      <c r="BC1052" s="43" t="str">
        <f t="shared" si="433"/>
        <v>Oct 22-28</v>
      </c>
      <c r="BD1052" s="43">
        <f t="shared" si="431"/>
        <v>5</v>
      </c>
      <c r="BE1052" s="193">
        <f t="shared" si="446"/>
        <v>22</v>
      </c>
      <c r="BF1052" s="193">
        <f t="shared" si="434"/>
        <v>0</v>
      </c>
      <c r="BG1052" s="193">
        <f t="shared" si="435"/>
        <v>0</v>
      </c>
      <c r="BH1052" s="307" t="str">
        <f t="shared" ref="BH1052:BH1115" si="448">CI1052</f>
        <v>-</v>
      </c>
      <c r="BI1052" s="266"/>
      <c r="BJ1052" s="26" t="str">
        <f t="shared" si="436"/>
        <v>GOLD RIVERSteelhead</v>
      </c>
      <c r="BK1052" s="26">
        <f t="shared" si="437"/>
        <v>5</v>
      </c>
      <c r="BL1052" s="33">
        <f t="shared" si="418"/>
        <v>22</v>
      </c>
      <c r="BQ1052" s="47" t="str">
        <f t="shared" si="438"/>
        <v>GOLD RIVERSteelhead</v>
      </c>
      <c r="BR1052" s="49">
        <f t="shared" si="439"/>
        <v>0</v>
      </c>
      <c r="BS1052" s="49">
        <f t="shared" si="445"/>
        <v>0</v>
      </c>
      <c r="BT1052" s="31">
        <v>0</v>
      </c>
      <c r="BU1052" s="188" t="str">
        <f t="shared" si="440"/>
        <v>Ecofish</v>
      </c>
      <c r="BV1052" s="188" t="str">
        <f t="shared" si="441"/>
        <v>Oct 1-7</v>
      </c>
      <c r="BW1052" s="188" t="str">
        <f t="shared" si="423"/>
        <v>Oct 22-28</v>
      </c>
      <c r="BX1052" s="188" t="str">
        <f t="shared" si="442"/>
        <v xml:space="preserve"> </v>
      </c>
      <c r="BY1052" s="50" t="str">
        <f t="shared" si="428"/>
        <v>GOLD RIVER_Steelhead</v>
      </c>
      <c r="BZ1052" s="50" t="str">
        <f>IFERROR(VLOOKUP(BY1052,'[1]WCVI Esc'!$C$5:$W$555,18,FALSE),"-")</f>
        <v>-</v>
      </c>
      <c r="CA1052" s="50" t="str">
        <f t="shared" si="443"/>
        <v>-</v>
      </c>
      <c r="CB1052" s="50" t="str">
        <f>IFERROR(VLOOKUP(BY1052,'[1]WCVI Esc'!$C$5:$W$555,19,FALSE),"-")</f>
        <v>-</v>
      </c>
      <c r="CC1052" s="50" t="str">
        <f t="shared" si="444"/>
        <v>-</v>
      </c>
      <c r="CE1052" s="342" t="str">
        <f t="shared" si="447"/>
        <v>GOLD RIVER_Steelhead</v>
      </c>
      <c r="CF1052" s="341" t="str">
        <f>IFERROR(VLOOKUP(BY1052,'RawPL+D'!$O$8:$AB$503,12,FALSE),"-")</f>
        <v>-</v>
      </c>
      <c r="CG1052" s="338" t="str">
        <f t="shared" si="425"/>
        <v>-</v>
      </c>
      <c r="CH1052" s="341" t="str">
        <f>IFERROR(VLOOKUP(BY1052,'RawPL+D'!$O$8:$AB$503,13,FALSE),"-")</f>
        <v>-</v>
      </c>
      <c r="CI1052" s="338" t="str">
        <f t="shared" si="426"/>
        <v>-</v>
      </c>
    </row>
    <row r="1053" spans="1:87" ht="12.75" hidden="1" customHeight="1" x14ac:dyDescent="0.2">
      <c r="A1053" s="28">
        <v>3</v>
      </c>
      <c r="B1053" s="28">
        <v>1</v>
      </c>
      <c r="C1053" s="11">
        <v>25</v>
      </c>
      <c r="D1053" s="13" t="s">
        <v>299</v>
      </c>
      <c r="E1053" s="10" t="s">
        <v>49</v>
      </c>
      <c r="F1053" s="10" t="s">
        <v>207</v>
      </c>
      <c r="G1053" s="10"/>
      <c r="H1053" s="10"/>
      <c r="I1053" s="10"/>
      <c r="J1053" s="10"/>
      <c r="K1053" s="575"/>
      <c r="L1053" s="152"/>
      <c r="M1053" s="641">
        <v>0</v>
      </c>
      <c r="N1053" s="62"/>
      <c r="O1053" s="62"/>
      <c r="P1053" s="177"/>
      <c r="Q1053" s="449"/>
      <c r="R1053" s="94"/>
      <c r="S1053" s="610"/>
      <c r="T1053" s="444"/>
      <c r="U1053" s="459"/>
      <c r="V1053" s="62"/>
      <c r="W1053" s="445"/>
      <c r="X1053" s="62"/>
      <c r="Y1053" s="62"/>
      <c r="Z1053" s="64"/>
      <c r="AA1053" s="164"/>
      <c r="AB1053" s="62"/>
      <c r="AC1053" s="62"/>
      <c r="AD1053" s="64"/>
      <c r="AE1053" s="164"/>
      <c r="AF1053" s="62"/>
      <c r="AG1053" s="64"/>
      <c r="AH1053" s="337"/>
      <c r="AI1053" s="337"/>
      <c r="AJ1053" s="337"/>
      <c r="AK1053" s="337"/>
      <c r="AL1053" s="555"/>
      <c r="AM1053" s="552"/>
      <c r="AN1053" s="841"/>
      <c r="AO1053" s="46"/>
      <c r="AP1053" s="45"/>
      <c r="AQ1053" s="485"/>
      <c r="AR1053" s="485">
        <f>BL1053/BH1053</f>
        <v>0</v>
      </c>
      <c r="AS1053" s="485"/>
      <c r="AT1053" s="24"/>
      <c r="AU1053" s="24"/>
      <c r="AV1053" s="24"/>
      <c r="AW1053" s="18">
        <v>25</v>
      </c>
      <c r="AX1053" s="69" t="s">
        <v>299</v>
      </c>
      <c r="AY1053" s="243" t="s">
        <v>49</v>
      </c>
      <c r="AZ1053" s="243" t="str">
        <f t="shared" si="432"/>
        <v>Sockeye</v>
      </c>
      <c r="BA1053" s="243" t="s">
        <v>419</v>
      </c>
      <c r="BB1053" s="352" t="s">
        <v>452</v>
      </c>
      <c r="BC1053" s="43" t="str">
        <f t="shared" si="433"/>
        <v>Sep 3-9</v>
      </c>
      <c r="BD1053" s="43">
        <f t="shared" si="431"/>
        <v>1</v>
      </c>
      <c r="BE1053" s="193">
        <f t="shared" si="446"/>
        <v>0</v>
      </c>
      <c r="BF1053" s="193">
        <f t="shared" si="434"/>
        <v>0</v>
      </c>
      <c r="BG1053" s="193">
        <f t="shared" si="435"/>
        <v>0</v>
      </c>
      <c r="BH1053" s="307">
        <f t="shared" si="448"/>
        <v>50</v>
      </c>
      <c r="BI1053" s="353" t="s">
        <v>242</v>
      </c>
      <c r="BJ1053" s="26" t="str">
        <f t="shared" si="436"/>
        <v>MUCHALAT RIVERSockeye</v>
      </c>
      <c r="BK1053" s="26">
        <f t="shared" si="437"/>
        <v>1</v>
      </c>
      <c r="BL1053" s="33">
        <f t="shared" si="418"/>
        <v>0</v>
      </c>
      <c r="BQ1053" s="47" t="str">
        <f t="shared" si="438"/>
        <v>MUCHALAT RIVERSockeye</v>
      </c>
      <c r="BR1053" s="49">
        <f t="shared" si="439"/>
        <v>0</v>
      </c>
      <c r="BS1053" s="49">
        <f t="shared" si="445"/>
        <v>0</v>
      </c>
      <c r="BT1053" s="31">
        <v>2001</v>
      </c>
      <c r="BU1053" s="188" t="str">
        <f t="shared" si="440"/>
        <v>MMFN</v>
      </c>
      <c r="BV1053" s="188" t="str">
        <f t="shared" si="441"/>
        <v>Sep 3-9</v>
      </c>
      <c r="BW1053" s="188" t="str">
        <f>IF(ISNUMBER(W1053),W$8,IF(ISNUMBER(V1053),V$8,IF(ISNUMBER(U1053),U$8,IF(ISNUMBER(T1053),T$8,IF(ISNUMBER(R1053),S$8,IF(ISNUMBER(#REF!),R$8," "))))))</f>
        <v xml:space="preserve"> </v>
      </c>
      <c r="BX1053" s="188" t="str">
        <f t="shared" si="442"/>
        <v xml:space="preserve"> </v>
      </c>
      <c r="BY1053" s="50" t="str">
        <f t="shared" si="428"/>
        <v>MUCHALAT RIVER_Sockeye</v>
      </c>
      <c r="BZ1053" s="50">
        <f>IFERROR(VLOOKUP(BY1053,'[1]WCVI Esc'!$C$5:$W$555,18,FALSE),"-")</f>
        <v>76.5</v>
      </c>
      <c r="CA1053" s="50">
        <f t="shared" si="443"/>
        <v>80</v>
      </c>
      <c r="CB1053" s="50">
        <f>IFERROR(VLOOKUP(BY1053,'[1]WCVI Esc'!$C$5:$W$555,19,FALSE),"-")</f>
        <v>76.5</v>
      </c>
      <c r="CC1053" s="50">
        <f t="shared" si="444"/>
        <v>80</v>
      </c>
      <c r="CE1053" s="342" t="str">
        <f t="shared" si="447"/>
        <v>MUCHALAT RIVER_Sockeye</v>
      </c>
      <c r="CF1053" s="341">
        <f>IFERROR(VLOOKUP(BY1053,'RawPL+D'!$O$8:$AB$503,12,FALSE),"-")</f>
        <v>27</v>
      </c>
      <c r="CG1053" s="338">
        <f t="shared" si="425"/>
        <v>30</v>
      </c>
      <c r="CH1053" s="341">
        <f>IFERROR(VLOOKUP(BY1053,'RawPL+D'!$O$8:$AB$503,13,FALSE),"-")</f>
        <v>46</v>
      </c>
      <c r="CI1053" s="338">
        <f t="shared" si="426"/>
        <v>50</v>
      </c>
    </row>
    <row r="1054" spans="1:87" ht="12.75" hidden="1" customHeight="1" x14ac:dyDescent="0.2">
      <c r="A1054" s="28">
        <v>3</v>
      </c>
      <c r="B1054" s="28">
        <v>2</v>
      </c>
      <c r="C1054" s="11">
        <v>25</v>
      </c>
      <c r="D1054" s="13" t="s">
        <v>299</v>
      </c>
      <c r="E1054" s="10" t="s">
        <v>49</v>
      </c>
      <c r="F1054" s="10" t="s">
        <v>219</v>
      </c>
      <c r="G1054" s="10"/>
      <c r="H1054" s="10"/>
      <c r="I1054" s="10"/>
      <c r="J1054" s="10"/>
      <c r="K1054" s="575"/>
      <c r="L1054" s="152"/>
      <c r="M1054" s="641">
        <v>0</v>
      </c>
      <c r="N1054" s="62"/>
      <c r="O1054" s="62"/>
      <c r="P1054" s="450"/>
      <c r="Q1054" s="451"/>
      <c r="R1054" s="94"/>
      <c r="S1054" s="214"/>
      <c r="T1054" s="444"/>
      <c r="U1054" s="459"/>
      <c r="V1054" s="62"/>
      <c r="W1054" s="445"/>
      <c r="X1054" s="62"/>
      <c r="Y1054" s="62"/>
      <c r="Z1054" s="64"/>
      <c r="AA1054" s="164"/>
      <c r="AB1054" s="62"/>
      <c r="AC1054" s="62"/>
      <c r="AD1054" s="64"/>
      <c r="AE1054" s="164"/>
      <c r="AF1054" s="62"/>
      <c r="AG1054" s="64"/>
      <c r="AH1054" s="337"/>
      <c r="AI1054" s="337"/>
      <c r="AJ1054" s="337"/>
      <c r="AK1054" s="337"/>
      <c r="AL1054" s="555"/>
      <c r="AM1054" s="552"/>
      <c r="AN1054" s="841"/>
      <c r="AO1054" s="46"/>
      <c r="AP1054" s="45"/>
      <c r="AQ1054" s="485"/>
      <c r="AR1054" s="485">
        <f>BL1054/BH1054</f>
        <v>0</v>
      </c>
      <c r="AS1054" s="485"/>
      <c r="AT1054" s="24"/>
      <c r="AU1054" s="24"/>
      <c r="AV1054" s="24"/>
      <c r="AW1054" s="18">
        <v>25</v>
      </c>
      <c r="AX1054" s="69" t="s">
        <v>299</v>
      </c>
      <c r="AY1054" s="243" t="s">
        <v>49</v>
      </c>
      <c r="AZ1054" s="243" t="str">
        <f t="shared" si="432"/>
        <v>Coho</v>
      </c>
      <c r="BA1054" s="243" t="s">
        <v>419</v>
      </c>
      <c r="BB1054" s="352" t="s">
        <v>452</v>
      </c>
      <c r="BC1054" s="43" t="str">
        <f t="shared" si="433"/>
        <v>Sep 3-9</v>
      </c>
      <c r="BD1054" s="43">
        <f t="shared" si="431"/>
        <v>1</v>
      </c>
      <c r="BE1054" s="193">
        <f t="shared" si="446"/>
        <v>0</v>
      </c>
      <c r="BF1054" s="193">
        <f t="shared" si="434"/>
        <v>0</v>
      </c>
      <c r="BG1054" s="193">
        <f t="shared" si="435"/>
        <v>0</v>
      </c>
      <c r="BH1054" s="307">
        <f t="shared" si="448"/>
        <v>50</v>
      </c>
      <c r="BI1054" s="353" t="s">
        <v>242</v>
      </c>
      <c r="BJ1054" s="26" t="str">
        <f t="shared" si="436"/>
        <v>MUCHALAT RIVERCoho</v>
      </c>
      <c r="BK1054" s="26">
        <f t="shared" si="437"/>
        <v>1</v>
      </c>
      <c r="BL1054" s="33">
        <f t="shared" si="418"/>
        <v>0</v>
      </c>
      <c r="BQ1054" s="47" t="str">
        <f t="shared" si="438"/>
        <v>MUCHALAT RIVERCoho</v>
      </c>
      <c r="BR1054" s="49">
        <f t="shared" si="439"/>
        <v>0</v>
      </c>
      <c r="BS1054" s="49">
        <f t="shared" si="445"/>
        <v>0</v>
      </c>
      <c r="BT1054" s="31">
        <v>2001</v>
      </c>
      <c r="BU1054" s="188" t="str">
        <f t="shared" si="440"/>
        <v>MMFN</v>
      </c>
      <c r="BV1054" s="188" t="str">
        <f t="shared" si="441"/>
        <v>Sep 3-9</v>
      </c>
      <c r="BW1054" s="188" t="str">
        <f>IF(ISNUMBER(W1054),W$8,IF(ISNUMBER(V1054),V$8,IF(ISNUMBER(U1054),U$8,IF(ISNUMBER(T1054),T$8,IF(ISNUMBER(R1054),S$8,IF(ISNUMBER(#REF!),R$8," "))))))</f>
        <v xml:space="preserve"> </v>
      </c>
      <c r="BX1054" s="188" t="str">
        <f t="shared" si="442"/>
        <v xml:space="preserve"> </v>
      </c>
      <c r="BY1054" s="50" t="str">
        <f t="shared" si="428"/>
        <v>MUCHALAT RIVER_Coho</v>
      </c>
      <c r="BZ1054" s="50">
        <f>IFERROR(VLOOKUP(BY1054,'[1]WCVI Esc'!$C$5:$W$555,18,FALSE),"-")</f>
        <v>62.25</v>
      </c>
      <c r="CA1054" s="50">
        <f t="shared" si="443"/>
        <v>60</v>
      </c>
      <c r="CB1054" s="50">
        <f>IFERROR(VLOOKUP(BY1054,'[1]WCVI Esc'!$C$5:$W$555,19,FALSE),"-")</f>
        <v>62.25</v>
      </c>
      <c r="CC1054" s="50">
        <f t="shared" si="444"/>
        <v>60</v>
      </c>
      <c r="CE1054" s="342" t="str">
        <f t="shared" si="447"/>
        <v>MUCHALAT RIVER_Coho</v>
      </c>
      <c r="CF1054" s="341">
        <f>IFERROR(VLOOKUP(BY1054,'RawPL+D'!$O$8:$AB$503,12,FALSE),"-")</f>
        <v>30</v>
      </c>
      <c r="CG1054" s="338">
        <f t="shared" si="425"/>
        <v>30</v>
      </c>
      <c r="CH1054" s="341">
        <f>IFERROR(VLOOKUP(BY1054,'RawPL+D'!$O$8:$AB$503,13,FALSE),"-")</f>
        <v>48</v>
      </c>
      <c r="CI1054" s="338">
        <f t="shared" si="426"/>
        <v>50</v>
      </c>
    </row>
    <row r="1055" spans="1:87" ht="12.75" hidden="1" customHeight="1" x14ac:dyDescent="0.2">
      <c r="A1055" s="28">
        <v>3</v>
      </c>
      <c r="B1055" s="28">
        <v>3</v>
      </c>
      <c r="C1055" s="11">
        <v>25</v>
      </c>
      <c r="D1055" s="13" t="s">
        <v>299</v>
      </c>
      <c r="E1055" s="10" t="s">
        <v>49</v>
      </c>
      <c r="F1055" s="10" t="s">
        <v>208</v>
      </c>
      <c r="G1055" s="10"/>
      <c r="H1055" s="10"/>
      <c r="I1055" s="10"/>
      <c r="J1055" s="10"/>
      <c r="K1055" s="575"/>
      <c r="L1055" s="152"/>
      <c r="M1055" s="641">
        <v>0</v>
      </c>
      <c r="N1055" s="62"/>
      <c r="O1055" s="62"/>
      <c r="P1055" s="177"/>
      <c r="Q1055" s="452"/>
      <c r="R1055" s="94"/>
      <c r="S1055" s="610"/>
      <c r="T1055" s="444"/>
      <c r="U1055" s="177"/>
      <c r="V1055" s="62"/>
      <c r="W1055" s="444"/>
      <c r="X1055" s="62"/>
      <c r="Y1055" s="62"/>
      <c r="Z1055" s="64"/>
      <c r="AA1055" s="164"/>
      <c r="AB1055" s="62"/>
      <c r="AC1055" s="62"/>
      <c r="AD1055" s="64"/>
      <c r="AE1055" s="164"/>
      <c r="AF1055" s="62"/>
      <c r="AG1055" s="64"/>
      <c r="AH1055" s="337"/>
      <c r="AI1055" s="337"/>
      <c r="AJ1055" s="337"/>
      <c r="AK1055" s="337"/>
      <c r="AL1055" s="565"/>
      <c r="AM1055" s="571"/>
      <c r="AN1055" s="14"/>
      <c r="AO1055" s="12"/>
      <c r="AP1055" s="45"/>
      <c r="AQ1055" s="485"/>
      <c r="AR1055" s="485"/>
      <c r="AS1055" s="485"/>
      <c r="AT1055" s="24"/>
      <c r="AU1055" s="24"/>
      <c r="AV1055" s="24"/>
      <c r="AW1055" s="18">
        <v>25</v>
      </c>
      <c r="AX1055" s="69" t="s">
        <v>299</v>
      </c>
      <c r="AY1055" s="243" t="s">
        <v>49</v>
      </c>
      <c r="AZ1055" s="243" t="str">
        <f t="shared" si="432"/>
        <v>Pink</v>
      </c>
      <c r="BA1055" s="243" t="s">
        <v>419</v>
      </c>
      <c r="BB1055" s="352" t="s">
        <v>452</v>
      </c>
      <c r="BC1055" s="43" t="str">
        <f t="shared" si="433"/>
        <v>Sep 3-9</v>
      </c>
      <c r="BD1055" s="43">
        <f t="shared" si="431"/>
        <v>1</v>
      </c>
      <c r="BE1055" s="193">
        <f t="shared" si="446"/>
        <v>0</v>
      </c>
      <c r="BF1055" s="193">
        <f t="shared" si="434"/>
        <v>0</v>
      </c>
      <c r="BG1055" s="193">
        <f t="shared" si="435"/>
        <v>0</v>
      </c>
      <c r="BH1055" s="307" t="str">
        <f t="shared" si="448"/>
        <v>-</v>
      </c>
      <c r="BI1055" s="354" t="s">
        <v>242</v>
      </c>
      <c r="BJ1055" s="26" t="str">
        <f t="shared" si="436"/>
        <v>MUCHALAT RIVERPink</v>
      </c>
      <c r="BK1055" s="26">
        <f t="shared" si="437"/>
        <v>1</v>
      </c>
      <c r="BL1055" s="33">
        <f t="shared" si="418"/>
        <v>0</v>
      </c>
      <c r="BQ1055" s="47" t="str">
        <f t="shared" si="438"/>
        <v>MUCHALAT RIVERPink</v>
      </c>
      <c r="BR1055" s="49">
        <f t="shared" si="439"/>
        <v>0</v>
      </c>
      <c r="BS1055" s="49">
        <f>AL1056</f>
        <v>0</v>
      </c>
      <c r="BT1055" s="31">
        <v>2001</v>
      </c>
      <c r="BU1055" s="188" t="str">
        <f t="shared" si="440"/>
        <v>MMFN</v>
      </c>
      <c r="BV1055" s="188" t="str">
        <f t="shared" si="441"/>
        <v>Sep 3-9</v>
      </c>
      <c r="BW1055" s="188" t="str">
        <f>IF(ISNUMBER(W1055),W$8,IF(ISNUMBER(V1055),V$8,IF(ISNUMBER(U1055),U$8,IF(ISNUMBER(T1055),T$8,IF(ISNUMBER(R1055),S$8,IF(ISNUMBER(#REF!),R$8," "))))))</f>
        <v xml:space="preserve"> </v>
      </c>
      <c r="BX1055" s="188" t="str">
        <f t="shared" si="442"/>
        <v xml:space="preserve"> </v>
      </c>
      <c r="BY1055" s="50" t="str">
        <f t="shared" si="428"/>
        <v>MUCHALAT RIVER_Pink</v>
      </c>
      <c r="BZ1055" s="50" t="str">
        <f>IFERROR(VLOOKUP(BY1055,'[1]WCVI Esc'!$C$5:$W$555,18,FALSE),"-")</f>
        <v>-</v>
      </c>
      <c r="CA1055" s="50" t="str">
        <f t="shared" si="443"/>
        <v>-</v>
      </c>
      <c r="CB1055" s="50" t="str">
        <f>IFERROR(VLOOKUP(BY1055,'[1]WCVI Esc'!$C$5:$W$555,19,FALSE),"-")</f>
        <v>-</v>
      </c>
      <c r="CC1055" s="50" t="str">
        <f t="shared" si="444"/>
        <v>-</v>
      </c>
      <c r="CE1055" s="342" t="str">
        <f t="shared" si="447"/>
        <v>MUCHALAT RIVER_Pink</v>
      </c>
      <c r="CF1055" s="341" t="str">
        <f>IFERROR(VLOOKUP(BY1055,'RawPL+D'!$O$8:$AB$503,12,FALSE),"-")</f>
        <v>-</v>
      </c>
      <c r="CG1055" s="338" t="str">
        <f t="shared" si="425"/>
        <v>-</v>
      </c>
      <c r="CH1055" s="341" t="str">
        <f>IFERROR(VLOOKUP(BY1055,'RawPL+D'!$O$8:$AB$503,13,FALSE),"-")</f>
        <v>-</v>
      </c>
      <c r="CI1055" s="338" t="str">
        <f t="shared" si="426"/>
        <v>-</v>
      </c>
    </row>
    <row r="1056" spans="1:87" ht="12.75" hidden="1" customHeight="1" x14ac:dyDescent="0.2">
      <c r="A1056" s="28">
        <v>3</v>
      </c>
      <c r="B1056" s="28">
        <v>4</v>
      </c>
      <c r="C1056" s="11">
        <v>25</v>
      </c>
      <c r="D1056" s="13" t="s">
        <v>299</v>
      </c>
      <c r="E1056" s="10" t="s">
        <v>49</v>
      </c>
      <c r="F1056" s="10" t="s">
        <v>209</v>
      </c>
      <c r="G1056" s="10"/>
      <c r="H1056" s="10"/>
      <c r="I1056" s="10"/>
      <c r="J1056" s="10"/>
      <c r="K1056" s="575"/>
      <c r="L1056" s="152"/>
      <c r="M1056" s="641">
        <v>0</v>
      </c>
      <c r="N1056" s="62"/>
      <c r="O1056" s="62"/>
      <c r="P1056" s="177"/>
      <c r="Q1056" s="449"/>
      <c r="R1056" s="94"/>
      <c r="S1056" s="610"/>
      <c r="T1056" s="444"/>
      <c r="U1056" s="459"/>
      <c r="V1056" s="62"/>
      <c r="W1056" s="444"/>
      <c r="X1056" s="62"/>
      <c r="Y1056" s="62"/>
      <c r="Z1056" s="64"/>
      <c r="AA1056" s="164"/>
      <c r="AB1056" s="62"/>
      <c r="AC1056" s="62"/>
      <c r="AD1056" s="64"/>
      <c r="AE1056" s="164"/>
      <c r="AF1056" s="62"/>
      <c r="AG1056" s="64"/>
      <c r="AH1056" s="337"/>
      <c r="AI1056" s="337"/>
      <c r="AJ1056" s="337"/>
      <c r="AK1056" s="337"/>
      <c r="AL1056" s="565"/>
      <c r="AM1056" s="571"/>
      <c r="AN1056" s="841"/>
      <c r="AO1056" s="45"/>
      <c r="AP1056" s="45"/>
      <c r="AQ1056" s="485"/>
      <c r="AR1056" s="485">
        <f>BL1056/BH1056</f>
        <v>0</v>
      </c>
      <c r="AS1056" s="485"/>
      <c r="AT1056" s="24"/>
      <c r="AU1056" s="24"/>
      <c r="AV1056" s="24"/>
      <c r="AW1056" s="18">
        <v>25</v>
      </c>
      <c r="AX1056" s="69" t="s">
        <v>299</v>
      </c>
      <c r="AY1056" s="243" t="s">
        <v>49</v>
      </c>
      <c r="AZ1056" s="243" t="str">
        <f t="shared" si="432"/>
        <v>Chum</v>
      </c>
      <c r="BA1056" s="243" t="s">
        <v>419</v>
      </c>
      <c r="BB1056" s="352" t="s">
        <v>452</v>
      </c>
      <c r="BC1056" s="43" t="str">
        <f t="shared" si="433"/>
        <v>Sep 3-9</v>
      </c>
      <c r="BD1056" s="43">
        <f t="shared" si="431"/>
        <v>1</v>
      </c>
      <c r="BE1056" s="193">
        <f t="shared" si="446"/>
        <v>0</v>
      </c>
      <c r="BF1056" s="193">
        <f t="shared" si="434"/>
        <v>0</v>
      </c>
      <c r="BG1056" s="193">
        <f t="shared" si="435"/>
        <v>0</v>
      </c>
      <c r="BH1056" s="307">
        <f t="shared" si="448"/>
        <v>10</v>
      </c>
      <c r="BI1056" s="353"/>
      <c r="BJ1056" s="26" t="str">
        <f t="shared" si="436"/>
        <v>MUCHALAT RIVERChum</v>
      </c>
      <c r="BK1056" s="26">
        <f t="shared" si="437"/>
        <v>1</v>
      </c>
      <c r="BL1056" s="33">
        <f t="shared" si="418"/>
        <v>0</v>
      </c>
      <c r="BQ1056" s="47" t="str">
        <f t="shared" si="438"/>
        <v>MUCHALAT RIVERChum</v>
      </c>
      <c r="BR1056" s="49">
        <f t="shared" si="439"/>
        <v>0</v>
      </c>
      <c r="BS1056" s="49" t="e">
        <f>#REF!</f>
        <v>#REF!</v>
      </c>
      <c r="BT1056" s="31">
        <v>2001</v>
      </c>
      <c r="BU1056" s="188" t="str">
        <f t="shared" si="440"/>
        <v>MMFN</v>
      </c>
      <c r="BV1056" s="188" t="str">
        <f t="shared" si="441"/>
        <v>Sep 3-9</v>
      </c>
      <c r="BW1056" s="188" t="str">
        <f>IF(ISNUMBER(W1056),W$8,IF(ISNUMBER(V1056),V$8,IF(ISNUMBER(U1056),U$8,IF(ISNUMBER(T1056),T$8,IF(ISNUMBER(R1056),S$8,IF(ISNUMBER(#REF!),R$8," "))))))</f>
        <v xml:space="preserve"> </v>
      </c>
      <c r="BX1056" s="188" t="str">
        <f t="shared" si="442"/>
        <v xml:space="preserve"> </v>
      </c>
      <c r="BY1056" s="50" t="str">
        <f t="shared" si="428"/>
        <v>MUCHALAT RIVER_Chum</v>
      </c>
      <c r="BZ1056" s="50">
        <f>IFERROR(VLOOKUP(BY1056,'[1]WCVI Esc'!$C$5:$W$555,18,FALSE),"-")</f>
        <v>23</v>
      </c>
      <c r="CA1056" s="50">
        <f t="shared" si="443"/>
        <v>20</v>
      </c>
      <c r="CB1056" s="50">
        <f>IFERROR(VLOOKUP(BY1056,'[1]WCVI Esc'!$C$5:$W$555,19,FALSE),"-")</f>
        <v>23</v>
      </c>
      <c r="CC1056" s="50">
        <f t="shared" si="444"/>
        <v>20</v>
      </c>
      <c r="CE1056" s="342" t="str">
        <f t="shared" si="447"/>
        <v>MUCHALAT RIVER_Chum</v>
      </c>
      <c r="CF1056" s="341">
        <f>IFERROR(VLOOKUP(BY1056,'RawPL+D'!$O$8:$AB$503,12,FALSE),"-")</f>
        <v>0</v>
      </c>
      <c r="CG1056" s="338">
        <f t="shared" si="425"/>
        <v>0</v>
      </c>
      <c r="CH1056" s="341">
        <f>IFERROR(VLOOKUP(BY1056,'RawPL+D'!$O$8:$AB$503,13,FALSE),"-")</f>
        <v>5.5</v>
      </c>
      <c r="CI1056" s="338">
        <f t="shared" si="426"/>
        <v>10</v>
      </c>
    </row>
    <row r="1057" spans="1:87" ht="12.75" hidden="1" customHeight="1" x14ac:dyDescent="0.2">
      <c r="A1057" s="28">
        <v>3</v>
      </c>
      <c r="B1057" s="28">
        <v>5</v>
      </c>
      <c r="C1057" s="11">
        <v>25</v>
      </c>
      <c r="D1057" s="13" t="s">
        <v>299</v>
      </c>
      <c r="E1057" s="10" t="s">
        <v>49</v>
      </c>
      <c r="F1057" s="10" t="s">
        <v>210</v>
      </c>
      <c r="G1057" s="10"/>
      <c r="H1057" s="10"/>
      <c r="I1057" s="10"/>
      <c r="J1057" s="10"/>
      <c r="K1057" s="575"/>
      <c r="L1057" s="152"/>
      <c r="M1057" s="641">
        <v>0</v>
      </c>
      <c r="N1057" s="62"/>
      <c r="O1057" s="62"/>
      <c r="P1057" s="450"/>
      <c r="Q1057" s="451"/>
      <c r="R1057" s="94"/>
      <c r="S1057" s="214"/>
      <c r="T1057" s="444"/>
      <c r="U1057" s="177"/>
      <c r="V1057" s="62"/>
      <c r="W1057" s="445"/>
      <c r="X1057" s="62"/>
      <c r="Y1057" s="62"/>
      <c r="Z1057" s="64"/>
      <c r="AA1057" s="164"/>
      <c r="AB1057" s="62"/>
      <c r="AC1057" s="62"/>
      <c r="AD1057" s="64"/>
      <c r="AE1057" s="164"/>
      <c r="AF1057" s="62"/>
      <c r="AG1057" s="64"/>
      <c r="AH1057" s="337"/>
      <c r="AI1057" s="337"/>
      <c r="AJ1057" s="337"/>
      <c r="AK1057" s="337"/>
      <c r="AL1057" s="555"/>
      <c r="AM1057" s="552"/>
      <c r="AN1057" s="841"/>
      <c r="AO1057" s="46"/>
      <c r="AP1057" s="45"/>
      <c r="AQ1057" s="485"/>
      <c r="AR1057" s="485">
        <f>BL1057/BH1057</f>
        <v>0</v>
      </c>
      <c r="AS1057" s="485"/>
      <c r="AT1057" s="24"/>
      <c r="AU1057" s="24"/>
      <c r="AV1057" s="24"/>
      <c r="AW1057" s="18">
        <v>25</v>
      </c>
      <c r="AX1057" s="69" t="s">
        <v>299</v>
      </c>
      <c r="AY1057" s="243" t="s">
        <v>49</v>
      </c>
      <c r="AZ1057" s="243" t="str">
        <f t="shared" si="432"/>
        <v>Chinook</v>
      </c>
      <c r="BA1057" s="243" t="s">
        <v>419</v>
      </c>
      <c r="BB1057" s="352" t="s">
        <v>452</v>
      </c>
      <c r="BC1057" s="43" t="str">
        <f t="shared" si="433"/>
        <v>Sep 3-9</v>
      </c>
      <c r="BD1057" s="43">
        <f t="shared" si="431"/>
        <v>1</v>
      </c>
      <c r="BE1057" s="193">
        <f t="shared" si="446"/>
        <v>0</v>
      </c>
      <c r="BF1057" s="193">
        <f t="shared" si="434"/>
        <v>0</v>
      </c>
      <c r="BG1057" s="193">
        <f t="shared" si="435"/>
        <v>0</v>
      </c>
      <c r="BH1057" s="307">
        <f t="shared" si="448"/>
        <v>290</v>
      </c>
      <c r="BI1057" s="353" t="s">
        <v>242</v>
      </c>
      <c r="BJ1057" s="26" t="str">
        <f t="shared" si="436"/>
        <v>MUCHALAT RIVERChinook</v>
      </c>
      <c r="BK1057" s="26">
        <f t="shared" si="437"/>
        <v>1</v>
      </c>
      <c r="BL1057" s="33">
        <f t="shared" si="418"/>
        <v>0</v>
      </c>
      <c r="BM1057" s="34">
        <f>BL1057*1.14</f>
        <v>0</v>
      </c>
      <c r="BN1057" s="34">
        <f>BL1057*2.88</f>
        <v>0</v>
      </c>
      <c r="BO1057" s="35" t="s">
        <v>234</v>
      </c>
      <c r="BQ1057" s="47" t="str">
        <f t="shared" si="438"/>
        <v>MUCHALAT RIVERChinook</v>
      </c>
      <c r="BR1057" s="49">
        <f t="shared" si="439"/>
        <v>0</v>
      </c>
      <c r="BS1057" s="49">
        <f t="shared" ref="BS1057:BS1120" si="449">AL1057</f>
        <v>0</v>
      </c>
      <c r="BT1057" s="31">
        <v>2001</v>
      </c>
      <c r="BU1057" s="188" t="str">
        <f t="shared" si="440"/>
        <v>MMFN</v>
      </c>
      <c r="BV1057" s="188" t="str">
        <f t="shared" si="441"/>
        <v>Sep 3-9</v>
      </c>
      <c r="BW1057" s="188" t="str">
        <f>IF(ISNUMBER(W1057),W$8,IF(ISNUMBER(V1057),V$8,IF(ISNUMBER(U1057),U$8,IF(ISNUMBER(T1057),T$8,IF(ISNUMBER(R1057),S$8,IF(ISNUMBER(#REF!),R$8," "))))))</f>
        <v xml:space="preserve"> </v>
      </c>
      <c r="BX1057" s="188" t="str">
        <f t="shared" si="442"/>
        <v xml:space="preserve"> </v>
      </c>
      <c r="BY1057" s="50" t="str">
        <f t="shared" si="428"/>
        <v>MUCHALAT RIVER_Chinook</v>
      </c>
      <c r="BZ1057" s="50">
        <f>IFERROR(VLOOKUP(BY1057,'[1]WCVI Esc'!$C$5:$W$555,18,FALSE),"-")</f>
        <v>427.5</v>
      </c>
      <c r="CA1057" s="50">
        <f t="shared" si="443"/>
        <v>430</v>
      </c>
      <c r="CB1057" s="50">
        <f>IFERROR(VLOOKUP(BY1057,'[1]WCVI Esc'!$C$5:$W$555,19,FALSE),"-")</f>
        <v>427.5</v>
      </c>
      <c r="CC1057" s="50">
        <f t="shared" si="444"/>
        <v>430</v>
      </c>
      <c r="CE1057" s="342" t="str">
        <f t="shared" si="447"/>
        <v>MUCHALAT RIVER_Chinook</v>
      </c>
      <c r="CF1057" s="341">
        <f>IFERROR(VLOOKUP(BY1057,'RawPL+D'!$O$8:$AB$503,12,FALSE),"-")</f>
        <v>21</v>
      </c>
      <c r="CG1057" s="338">
        <f t="shared" si="425"/>
        <v>20</v>
      </c>
      <c r="CH1057" s="341">
        <f>IFERROR(VLOOKUP(BY1057,'RawPL+D'!$O$8:$AB$503,13,FALSE),"-")</f>
        <v>293.5</v>
      </c>
      <c r="CI1057" s="338">
        <f t="shared" si="426"/>
        <v>290</v>
      </c>
    </row>
    <row r="1058" spans="1:87" ht="12.75" hidden="1" customHeight="1" x14ac:dyDescent="0.2">
      <c r="A1058" s="28">
        <v>3</v>
      </c>
      <c r="B1058" s="28">
        <v>6</v>
      </c>
      <c r="C1058" s="11">
        <v>25</v>
      </c>
      <c r="D1058" s="13" t="s">
        <v>299</v>
      </c>
      <c r="E1058" s="10" t="s">
        <v>49</v>
      </c>
      <c r="F1058" s="10" t="s">
        <v>211</v>
      </c>
      <c r="G1058" s="10"/>
      <c r="H1058" s="10"/>
      <c r="I1058" s="10"/>
      <c r="J1058" s="10"/>
      <c r="K1058" s="575"/>
      <c r="L1058" s="152"/>
      <c r="M1058" s="641">
        <v>0</v>
      </c>
      <c r="N1058" s="62"/>
      <c r="O1058" s="62"/>
      <c r="P1058" s="177"/>
      <c r="Q1058" s="452"/>
      <c r="R1058" s="94"/>
      <c r="S1058" s="610"/>
      <c r="T1058" s="444"/>
      <c r="U1058" s="177"/>
      <c r="V1058" s="62"/>
      <c r="W1058" s="444"/>
      <c r="X1058" s="62"/>
      <c r="Y1058" s="62"/>
      <c r="Z1058" s="64"/>
      <c r="AA1058" s="164"/>
      <c r="AB1058" s="62"/>
      <c r="AC1058" s="62"/>
      <c r="AD1058" s="64"/>
      <c r="AE1058" s="164"/>
      <c r="AF1058" s="62"/>
      <c r="AG1058" s="64"/>
      <c r="AH1058" s="337"/>
      <c r="AI1058" s="337"/>
      <c r="AJ1058" s="337"/>
      <c r="AK1058" s="337"/>
      <c r="AL1058" s="555"/>
      <c r="AM1058" s="552"/>
      <c r="AN1058" s="45"/>
      <c r="AO1058" s="45"/>
      <c r="AP1058" s="45"/>
      <c r="AQ1058" s="485"/>
      <c r="AR1058" s="485"/>
      <c r="AS1058" s="485"/>
      <c r="AT1058" s="24"/>
      <c r="AU1058" s="24"/>
      <c r="AV1058" s="24"/>
      <c r="AW1058" s="18">
        <v>25</v>
      </c>
      <c r="AX1058" s="69" t="s">
        <v>299</v>
      </c>
      <c r="AY1058" s="243" t="s">
        <v>49</v>
      </c>
      <c r="AZ1058" s="243" t="str">
        <f t="shared" si="432"/>
        <v>Steelhead</v>
      </c>
      <c r="BA1058" s="243" t="s">
        <v>419</v>
      </c>
      <c r="BB1058" s="352" t="s">
        <v>452</v>
      </c>
      <c r="BC1058" s="43" t="str">
        <f t="shared" si="433"/>
        <v>Sep 3-9</v>
      </c>
      <c r="BD1058" s="43">
        <f t="shared" si="431"/>
        <v>1</v>
      </c>
      <c r="BE1058" s="193">
        <f t="shared" si="446"/>
        <v>0</v>
      </c>
      <c r="BF1058" s="193">
        <f t="shared" si="434"/>
        <v>0</v>
      </c>
      <c r="BG1058" s="193">
        <f t="shared" si="435"/>
        <v>0</v>
      </c>
      <c r="BH1058" s="307" t="str">
        <f t="shared" si="448"/>
        <v>-</v>
      </c>
      <c r="BI1058" s="354" t="s">
        <v>242</v>
      </c>
      <c r="BJ1058" s="26" t="str">
        <f t="shared" si="436"/>
        <v>MUCHALAT RIVERSteelhead</v>
      </c>
      <c r="BK1058" s="26">
        <f t="shared" si="437"/>
        <v>1</v>
      </c>
      <c r="BL1058" s="33">
        <f t="shared" si="418"/>
        <v>0</v>
      </c>
      <c r="BM1058" s="34">
        <f>BL1058*1.14</f>
        <v>0</v>
      </c>
      <c r="BN1058" s="34">
        <f>BL1058*2.88</f>
        <v>0</v>
      </c>
      <c r="BO1058" s="35" t="s">
        <v>234</v>
      </c>
      <c r="BQ1058" s="47" t="str">
        <f t="shared" si="438"/>
        <v>MUCHALAT RIVERSteelhead</v>
      </c>
      <c r="BR1058" s="49">
        <f t="shared" si="439"/>
        <v>0</v>
      </c>
      <c r="BS1058" s="49">
        <f t="shared" si="449"/>
        <v>0</v>
      </c>
      <c r="BT1058" s="31">
        <v>2001</v>
      </c>
      <c r="BU1058" s="188" t="str">
        <f t="shared" si="440"/>
        <v>MMFN</v>
      </c>
      <c r="BV1058" s="188" t="str">
        <f t="shared" si="441"/>
        <v>Sep 3-9</v>
      </c>
      <c r="BW1058" s="188" t="str">
        <f>IF(ISNUMBER(W1058),W$8,IF(ISNUMBER(V1058),V$8,IF(ISNUMBER(U1058),U$8,IF(ISNUMBER(T1058),T$8,IF(ISNUMBER(R1058),S$8,IF(ISNUMBER(#REF!),R$8," "))))))</f>
        <v xml:space="preserve"> </v>
      </c>
      <c r="BX1058" s="188" t="str">
        <f t="shared" si="442"/>
        <v xml:space="preserve"> </v>
      </c>
      <c r="BY1058" s="50" t="str">
        <f t="shared" si="428"/>
        <v>MUCHALAT RIVER_Steelhead</v>
      </c>
      <c r="BZ1058" s="50" t="str">
        <f>IFERROR(VLOOKUP(BY1058,'[1]WCVI Esc'!$C$5:$W$555,18,FALSE),"-")</f>
        <v>-</v>
      </c>
      <c r="CA1058" s="50" t="str">
        <f t="shared" si="443"/>
        <v>-</v>
      </c>
      <c r="CB1058" s="50" t="str">
        <f>IFERROR(VLOOKUP(BY1058,'[1]WCVI Esc'!$C$5:$W$555,19,FALSE),"-")</f>
        <v>-</v>
      </c>
      <c r="CC1058" s="50" t="str">
        <f t="shared" si="444"/>
        <v>-</v>
      </c>
      <c r="CE1058" s="342" t="str">
        <f t="shared" si="447"/>
        <v>MUCHALAT RIVER_Steelhead</v>
      </c>
      <c r="CF1058" s="341" t="str">
        <f>IFERROR(VLOOKUP(BY1058,'RawPL+D'!$O$8:$AB$503,12,FALSE),"-")</f>
        <v>-</v>
      </c>
      <c r="CG1058" s="338" t="str">
        <f t="shared" si="425"/>
        <v>-</v>
      </c>
      <c r="CH1058" s="341" t="str">
        <f>IFERROR(VLOOKUP(BY1058,'RawPL+D'!$O$8:$AB$503,13,FALSE),"-")</f>
        <v>-</v>
      </c>
      <c r="CI1058" s="338" t="str">
        <f t="shared" si="426"/>
        <v>-</v>
      </c>
    </row>
    <row r="1059" spans="1:87" ht="12.75" hidden="1" customHeight="1" x14ac:dyDescent="0.2">
      <c r="A1059" s="28">
        <v>3</v>
      </c>
      <c r="B1059" s="28">
        <v>1</v>
      </c>
      <c r="C1059" s="11">
        <v>25</v>
      </c>
      <c r="D1059" s="13" t="s">
        <v>299</v>
      </c>
      <c r="E1059" s="10" t="s">
        <v>50</v>
      </c>
      <c r="F1059" s="10" t="s">
        <v>207</v>
      </c>
      <c r="G1059" s="10"/>
      <c r="H1059" s="10"/>
      <c r="I1059" s="10"/>
      <c r="J1059" s="10"/>
      <c r="K1059" s="575"/>
      <c r="L1059" s="152"/>
      <c r="M1059" s="422"/>
      <c r="N1059" s="339"/>
      <c r="O1059" s="642">
        <v>0</v>
      </c>
      <c r="P1059" s="453"/>
      <c r="Q1059" s="694">
        <v>130</v>
      </c>
      <c r="R1059" s="448"/>
      <c r="S1059" s="454"/>
      <c r="T1059" s="420"/>
      <c r="U1059" s="162"/>
      <c r="V1059" s="421"/>
      <c r="W1059" s="62"/>
      <c r="X1059" s="63"/>
      <c r="Y1059" s="62"/>
      <c r="Z1059" s="64"/>
      <c r="AA1059" s="164"/>
      <c r="AB1059" s="62"/>
      <c r="AC1059" s="62"/>
      <c r="AD1059" s="64"/>
      <c r="AE1059" s="164"/>
      <c r="AF1059" s="62"/>
      <c r="AG1059" s="64"/>
      <c r="AH1059" s="337"/>
      <c r="AI1059" s="337"/>
      <c r="AJ1059" s="337"/>
      <c r="AK1059" s="337"/>
      <c r="AL1059" s="555"/>
      <c r="AM1059" s="552"/>
      <c r="AN1059" s="841"/>
      <c r="AO1059" s="46"/>
      <c r="AP1059" s="44"/>
      <c r="AQ1059" s="485">
        <f>AL1059/BI1059</f>
        <v>0</v>
      </c>
      <c r="AR1059" s="485">
        <f>BL1059/BH1059</f>
        <v>0.22807017543859648</v>
      </c>
      <c r="AS1059" s="485">
        <f>BL1059/BI1059</f>
        <v>0.25490196078431371</v>
      </c>
      <c r="AT1059" s="123"/>
      <c r="AU1059" s="123"/>
      <c r="AV1059" s="123"/>
      <c r="AW1059" s="18">
        <v>25</v>
      </c>
      <c r="AX1059" s="69" t="s">
        <v>299</v>
      </c>
      <c r="AY1059" s="243" t="s">
        <v>50</v>
      </c>
      <c r="AZ1059" s="243" t="str">
        <f t="shared" si="432"/>
        <v>Sockeye</v>
      </c>
      <c r="BA1059" s="243" t="s">
        <v>419</v>
      </c>
      <c r="BB1059" s="244" t="s">
        <v>452</v>
      </c>
      <c r="BC1059" s="43" t="str">
        <f t="shared" si="433"/>
        <v>Oct 1-7</v>
      </c>
      <c r="BD1059" s="43">
        <f t="shared" si="431"/>
        <v>2</v>
      </c>
      <c r="BE1059" s="193">
        <f t="shared" si="446"/>
        <v>130</v>
      </c>
      <c r="BF1059" s="193">
        <f t="shared" si="434"/>
        <v>0</v>
      </c>
      <c r="BG1059" s="193">
        <f t="shared" si="435"/>
        <v>0</v>
      </c>
      <c r="BH1059" s="307">
        <f t="shared" si="448"/>
        <v>570</v>
      </c>
      <c r="BI1059" s="265">
        <f>CC1059</f>
        <v>510</v>
      </c>
      <c r="BJ1059" s="26" t="str">
        <f t="shared" si="436"/>
        <v>OKTWANCH RIVERSockeye</v>
      </c>
      <c r="BK1059" s="26">
        <f t="shared" si="437"/>
        <v>2</v>
      </c>
      <c r="BL1059" s="33">
        <f t="shared" si="418"/>
        <v>130</v>
      </c>
      <c r="BQ1059" s="47" t="str">
        <f t="shared" si="438"/>
        <v>OKTWANCH RIVERSockeye</v>
      </c>
      <c r="BR1059" s="49">
        <f t="shared" si="439"/>
        <v>0</v>
      </c>
      <c r="BS1059" s="49">
        <f t="shared" si="449"/>
        <v>0</v>
      </c>
      <c r="BT1059" s="31">
        <v>2016</v>
      </c>
      <c r="BU1059" s="188" t="str">
        <f t="shared" si="440"/>
        <v>MMFN</v>
      </c>
      <c r="BV1059" s="188" t="str">
        <f t="shared" si="441"/>
        <v>Oct 1-7</v>
      </c>
      <c r="BW1059" s="188" t="str">
        <f t="shared" ref="BW1059:BW1122" si="450">IF(ISNUMBER(W1059),W$8,IF(ISNUMBER(V1059),V$8,IF(ISNUMBER(U1059),U$8,IF(ISNUMBER(T1059),T$8,IF(ISNUMBER(S1059),S$8,IF(ISNUMBER(R1059),R$8," "))))))</f>
        <v xml:space="preserve"> </v>
      </c>
      <c r="BX1059" s="188" t="str">
        <f t="shared" si="442"/>
        <v xml:space="preserve"> </v>
      </c>
      <c r="BY1059" s="50" t="str">
        <f t="shared" si="428"/>
        <v>OKTWANCH RIVER_Sockeye</v>
      </c>
      <c r="BZ1059" s="50">
        <f>IFERROR(VLOOKUP(BY1059,'[1]WCVI Esc'!$C$5:$W$555,18,FALSE),"-")</f>
        <v>725</v>
      </c>
      <c r="CA1059" s="50">
        <f t="shared" si="443"/>
        <v>730</v>
      </c>
      <c r="CB1059" s="50">
        <f>IFERROR(VLOOKUP(BY1059,'[1]WCVI Esc'!$C$5:$W$555,19,FALSE),"-")</f>
        <v>511</v>
      </c>
      <c r="CC1059" s="50">
        <f t="shared" si="444"/>
        <v>510</v>
      </c>
      <c r="CE1059" s="342" t="str">
        <f t="shared" si="447"/>
        <v>OKTWANCH RIVER_Sockeye</v>
      </c>
      <c r="CF1059" s="341">
        <f>IFERROR(VLOOKUP(CE1059,'RawPL+D'!$O$8:$AB$503,12,FALSE),"-")</f>
        <v>253</v>
      </c>
      <c r="CG1059" s="338">
        <f t="shared" si="425"/>
        <v>250</v>
      </c>
      <c r="CH1059" s="341">
        <f>IFERROR(VLOOKUP(BY1059,'RawPL+D'!$O$8:$AB$503,13,FALSE),"-")</f>
        <v>566.5</v>
      </c>
      <c r="CI1059" s="338">
        <f t="shared" si="426"/>
        <v>570</v>
      </c>
    </row>
    <row r="1060" spans="1:87" ht="12.75" hidden="1" customHeight="1" x14ac:dyDescent="0.2">
      <c r="A1060" s="28">
        <v>3</v>
      </c>
      <c r="B1060" s="28">
        <v>2</v>
      </c>
      <c r="C1060" s="11">
        <v>25</v>
      </c>
      <c r="D1060" s="13" t="s">
        <v>299</v>
      </c>
      <c r="E1060" s="10" t="s">
        <v>50</v>
      </c>
      <c r="F1060" s="10" t="s">
        <v>219</v>
      </c>
      <c r="G1060" s="10"/>
      <c r="H1060" s="10"/>
      <c r="I1060" s="10"/>
      <c r="J1060" s="10"/>
      <c r="K1060" s="575"/>
      <c r="L1060" s="152"/>
      <c r="M1060" s="422"/>
      <c r="N1060" s="339"/>
      <c r="O1060" s="642">
        <v>0</v>
      </c>
      <c r="P1060" s="424"/>
      <c r="Q1060" s="694">
        <v>0</v>
      </c>
      <c r="R1060" s="448"/>
      <c r="S1060" s="455"/>
      <c r="T1060" s="420"/>
      <c r="U1060" s="162"/>
      <c r="V1060" s="421"/>
      <c r="W1060" s="62"/>
      <c r="X1060" s="63"/>
      <c r="Y1060" s="62"/>
      <c r="Z1060" s="64"/>
      <c r="AA1060" s="164"/>
      <c r="AB1060" s="62"/>
      <c r="AC1060" s="62"/>
      <c r="AD1060" s="64"/>
      <c r="AE1060" s="164"/>
      <c r="AF1060" s="62"/>
      <c r="AG1060" s="64"/>
      <c r="AH1060" s="337"/>
      <c r="AI1060" s="337"/>
      <c r="AJ1060" s="337"/>
      <c r="AK1060" s="337"/>
      <c r="AL1060" s="555"/>
      <c r="AM1060" s="552"/>
      <c r="AN1060" s="841"/>
      <c r="AO1060" s="46"/>
      <c r="AP1060" s="44"/>
      <c r="AQ1060" s="485">
        <f>AL1060/BI1060</f>
        <v>0</v>
      </c>
      <c r="AR1060" s="485">
        <f>BL1060/BH1060</f>
        <v>0</v>
      </c>
      <c r="AS1060" s="485">
        <f>BL1060/BI1060</f>
        <v>0</v>
      </c>
      <c r="AT1060" s="679"/>
      <c r="AU1060" s="679"/>
      <c r="AV1060" s="679"/>
      <c r="AW1060" s="18">
        <v>25</v>
      </c>
      <c r="AX1060" s="69" t="s">
        <v>299</v>
      </c>
      <c r="AY1060" s="243" t="s">
        <v>50</v>
      </c>
      <c r="AZ1060" s="243" t="str">
        <f t="shared" si="432"/>
        <v>Coho</v>
      </c>
      <c r="BA1060" s="243" t="s">
        <v>419</v>
      </c>
      <c r="BB1060" s="244" t="s">
        <v>452</v>
      </c>
      <c r="BC1060" s="43" t="str">
        <f t="shared" si="433"/>
        <v>Oct 1-7</v>
      </c>
      <c r="BD1060" s="43">
        <f t="shared" si="431"/>
        <v>2</v>
      </c>
      <c r="BE1060" s="193">
        <f t="shared" si="446"/>
        <v>0</v>
      </c>
      <c r="BF1060" s="193">
        <f t="shared" si="434"/>
        <v>0</v>
      </c>
      <c r="BG1060" s="193">
        <f t="shared" si="435"/>
        <v>0</v>
      </c>
      <c r="BH1060" s="307">
        <f t="shared" si="448"/>
        <v>50</v>
      </c>
      <c r="BI1060" s="265">
        <f>CC1060</f>
        <v>80</v>
      </c>
      <c r="BJ1060" s="26" t="str">
        <f t="shared" si="436"/>
        <v>OKTWANCH RIVERCoho</v>
      </c>
      <c r="BK1060" s="26">
        <f t="shared" si="437"/>
        <v>2</v>
      </c>
      <c r="BL1060" s="33">
        <f t="shared" si="418"/>
        <v>0</v>
      </c>
      <c r="BQ1060" s="47" t="str">
        <f t="shared" si="438"/>
        <v>OKTWANCH RIVERCoho</v>
      </c>
      <c r="BR1060" s="49">
        <f t="shared" si="439"/>
        <v>0</v>
      </c>
      <c r="BS1060" s="49">
        <f t="shared" si="449"/>
        <v>0</v>
      </c>
      <c r="BT1060" s="31">
        <v>2015</v>
      </c>
      <c r="BU1060" s="188" t="str">
        <f t="shared" si="440"/>
        <v>MMFN</v>
      </c>
      <c r="BV1060" s="188" t="str">
        <f t="shared" si="441"/>
        <v>Oct 1-7</v>
      </c>
      <c r="BW1060" s="188" t="str">
        <f t="shared" si="450"/>
        <v xml:space="preserve"> </v>
      </c>
      <c r="BX1060" s="188" t="str">
        <f t="shared" si="442"/>
        <v xml:space="preserve"> </v>
      </c>
      <c r="BY1060" s="50" t="str">
        <f t="shared" si="428"/>
        <v>OKTWANCH RIVER_Coho</v>
      </c>
      <c r="BZ1060" s="50">
        <f>IFERROR(VLOOKUP(BY1060,'[1]WCVI Esc'!$C$5:$W$555,18,FALSE),"-")</f>
        <v>76.333333333333329</v>
      </c>
      <c r="CA1060" s="50">
        <f t="shared" si="443"/>
        <v>80</v>
      </c>
      <c r="CB1060" s="50">
        <f>IFERROR(VLOOKUP(BY1060,'[1]WCVI Esc'!$C$5:$W$555,19,FALSE),"-")</f>
        <v>83.2</v>
      </c>
      <c r="CC1060" s="50">
        <f t="shared" si="444"/>
        <v>80</v>
      </c>
      <c r="CE1060" s="342" t="str">
        <f t="shared" si="447"/>
        <v>OKTWANCH RIVER_Coho</v>
      </c>
      <c r="CF1060" s="341">
        <f>IFERROR(VLOOKUP(CE1060,'RawPL+D'!$O$8:$AB$503,12,FALSE),"-")</f>
        <v>11</v>
      </c>
      <c r="CG1060" s="338">
        <f t="shared" si="425"/>
        <v>10</v>
      </c>
      <c r="CH1060" s="341">
        <f>IFERROR(VLOOKUP(BY1060,'RawPL+D'!$O$8:$AB$503,13,FALSE),"-")</f>
        <v>45.25</v>
      </c>
      <c r="CI1060" s="338">
        <f t="shared" si="426"/>
        <v>50</v>
      </c>
    </row>
    <row r="1061" spans="1:87" ht="12.75" hidden="1" customHeight="1" x14ac:dyDescent="0.2">
      <c r="A1061" s="28">
        <v>3</v>
      </c>
      <c r="B1061" s="28">
        <v>3</v>
      </c>
      <c r="C1061" s="11">
        <v>25</v>
      </c>
      <c r="D1061" s="13" t="s">
        <v>299</v>
      </c>
      <c r="E1061" s="10" t="s">
        <v>50</v>
      </c>
      <c r="F1061" s="10" t="s">
        <v>208</v>
      </c>
      <c r="G1061" s="10"/>
      <c r="H1061" s="10"/>
      <c r="I1061" s="10"/>
      <c r="J1061" s="10"/>
      <c r="K1061" s="575"/>
      <c r="L1061" s="152"/>
      <c r="M1061" s="422"/>
      <c r="N1061" s="339"/>
      <c r="O1061" s="642">
        <v>0</v>
      </c>
      <c r="P1061" s="424"/>
      <c r="Q1061" s="694">
        <v>0</v>
      </c>
      <c r="R1061" s="448"/>
      <c r="S1061" s="455"/>
      <c r="T1061" s="63"/>
      <c r="U1061" s="162"/>
      <c r="V1061" s="164"/>
      <c r="W1061" s="62"/>
      <c r="X1061" s="63"/>
      <c r="Y1061" s="62"/>
      <c r="Z1061" s="64"/>
      <c r="AA1061" s="164"/>
      <c r="AB1061" s="62"/>
      <c r="AC1061" s="62"/>
      <c r="AD1061" s="64"/>
      <c r="AE1061" s="164"/>
      <c r="AF1061" s="62"/>
      <c r="AG1061" s="64"/>
      <c r="AH1061" s="337"/>
      <c r="AI1061" s="337"/>
      <c r="AJ1061" s="337"/>
      <c r="AK1061" s="337"/>
      <c r="AL1061" s="555"/>
      <c r="AM1061" s="552"/>
      <c r="AN1061" s="45"/>
      <c r="AO1061" s="45"/>
      <c r="AP1061" s="44"/>
      <c r="AQ1061" s="485"/>
      <c r="AR1061" s="485"/>
      <c r="AS1061" s="485"/>
      <c r="AT1061" s="679"/>
      <c r="AU1061" s="679"/>
      <c r="AV1061" s="679"/>
      <c r="AW1061" s="18">
        <v>25</v>
      </c>
      <c r="AX1061" s="69" t="s">
        <v>299</v>
      </c>
      <c r="AY1061" s="243" t="s">
        <v>50</v>
      </c>
      <c r="AZ1061" s="243" t="str">
        <f t="shared" si="432"/>
        <v>Pink</v>
      </c>
      <c r="BA1061" s="243" t="s">
        <v>419</v>
      </c>
      <c r="BB1061" s="244" t="s">
        <v>452</v>
      </c>
      <c r="BC1061" s="43" t="str">
        <f t="shared" si="433"/>
        <v>Oct 1-7</v>
      </c>
      <c r="BD1061" s="43">
        <f t="shared" si="431"/>
        <v>2</v>
      </c>
      <c r="BE1061" s="193">
        <f t="shared" si="446"/>
        <v>0</v>
      </c>
      <c r="BF1061" s="193">
        <f t="shared" si="434"/>
        <v>0</v>
      </c>
      <c r="BG1061" s="193">
        <f t="shared" si="435"/>
        <v>0</v>
      </c>
      <c r="BH1061" s="307" t="str">
        <f t="shared" si="448"/>
        <v>-</v>
      </c>
      <c r="BI1061" s="265"/>
      <c r="BJ1061" s="26" t="str">
        <f t="shared" si="436"/>
        <v>OKTWANCH RIVERPink</v>
      </c>
      <c r="BK1061" s="26">
        <f t="shared" si="437"/>
        <v>2</v>
      </c>
      <c r="BL1061" s="33">
        <f t="shared" si="418"/>
        <v>0</v>
      </c>
      <c r="BQ1061" s="47" t="str">
        <f t="shared" si="438"/>
        <v>OKTWANCH RIVERPink</v>
      </c>
      <c r="BR1061" s="49">
        <f t="shared" si="439"/>
        <v>0</v>
      </c>
      <c r="BS1061" s="49">
        <f t="shared" si="449"/>
        <v>0</v>
      </c>
      <c r="BT1061" s="31">
        <v>0</v>
      </c>
      <c r="BU1061" s="188" t="str">
        <f t="shared" si="440"/>
        <v>MMFN</v>
      </c>
      <c r="BV1061" s="188" t="str">
        <f t="shared" si="441"/>
        <v>Oct 1-7</v>
      </c>
      <c r="BW1061" s="188" t="str">
        <f t="shared" si="450"/>
        <v xml:space="preserve"> </v>
      </c>
      <c r="BX1061" s="188" t="str">
        <f t="shared" si="442"/>
        <v xml:space="preserve"> </v>
      </c>
      <c r="BY1061" s="50" t="str">
        <f t="shared" si="428"/>
        <v>OKTWANCH RIVER_Pink</v>
      </c>
      <c r="BZ1061" s="50" t="str">
        <f>IFERROR(VLOOKUP(BY1061,'[1]WCVI Esc'!$C$5:$W$555,18,FALSE),"-")</f>
        <v>-</v>
      </c>
      <c r="CA1061" s="50" t="str">
        <f t="shared" si="443"/>
        <v>-</v>
      </c>
      <c r="CB1061" s="50" t="str">
        <f>IFERROR(VLOOKUP(BY1061,'[1]WCVI Esc'!$C$5:$W$555,19,FALSE),"-")</f>
        <v>-</v>
      </c>
      <c r="CC1061" s="50" t="str">
        <f t="shared" si="444"/>
        <v>-</v>
      </c>
      <c r="CE1061" s="342" t="str">
        <f t="shared" si="447"/>
        <v>OKTWANCH RIVER_Pink</v>
      </c>
      <c r="CF1061" s="341" t="str">
        <f>IFERROR(VLOOKUP(BY1061,'RawPL+D'!$O$8:$AB$503,12,FALSE),"-")</f>
        <v>-</v>
      </c>
      <c r="CG1061" s="338" t="str">
        <f t="shared" si="425"/>
        <v>-</v>
      </c>
      <c r="CH1061" s="341" t="str">
        <f>IFERROR(VLOOKUP(BY1061,'RawPL+D'!$O$8:$AB$503,13,FALSE),"-")</f>
        <v>-</v>
      </c>
      <c r="CI1061" s="338" t="str">
        <f t="shared" si="426"/>
        <v>-</v>
      </c>
    </row>
    <row r="1062" spans="1:87" ht="12.75" hidden="1" customHeight="1" x14ac:dyDescent="0.2">
      <c r="A1062" s="28">
        <v>3</v>
      </c>
      <c r="B1062" s="28">
        <v>4</v>
      </c>
      <c r="C1062" s="11">
        <v>25</v>
      </c>
      <c r="D1062" s="13" t="s">
        <v>299</v>
      </c>
      <c r="E1062" s="10" t="s">
        <v>50</v>
      </c>
      <c r="F1062" s="10" t="s">
        <v>209</v>
      </c>
      <c r="G1062" s="10"/>
      <c r="H1062" s="10"/>
      <c r="I1062" s="10"/>
      <c r="J1062" s="10"/>
      <c r="K1062" s="575"/>
      <c r="L1062" s="152"/>
      <c r="M1062" s="422"/>
      <c r="N1062" s="339"/>
      <c r="O1062" s="642">
        <v>0</v>
      </c>
      <c r="P1062" s="424"/>
      <c r="Q1062" s="694">
        <v>0</v>
      </c>
      <c r="R1062" s="448"/>
      <c r="S1062" s="455"/>
      <c r="T1062" s="420"/>
      <c r="U1062" s="162"/>
      <c r="V1062" s="164"/>
      <c r="W1062" s="62"/>
      <c r="X1062" s="63"/>
      <c r="Y1062" s="62"/>
      <c r="Z1062" s="64"/>
      <c r="AA1062" s="164"/>
      <c r="AB1062" s="62"/>
      <c r="AC1062" s="62"/>
      <c r="AD1062" s="64"/>
      <c r="AE1062" s="164"/>
      <c r="AF1062" s="62"/>
      <c r="AG1062" s="64"/>
      <c r="AH1062" s="337"/>
      <c r="AI1062" s="337"/>
      <c r="AJ1062" s="337"/>
      <c r="AK1062" s="337"/>
      <c r="AL1062" s="555"/>
      <c r="AM1062" s="552"/>
      <c r="AN1062" s="841"/>
      <c r="AO1062" s="53"/>
      <c r="AP1062" s="44"/>
      <c r="AQ1062" s="485"/>
      <c r="AR1062" s="485"/>
      <c r="AS1062" s="485"/>
      <c r="AT1062" s="679"/>
      <c r="AU1062" s="679"/>
      <c r="AV1062" s="679"/>
      <c r="AW1062" s="18">
        <v>25</v>
      </c>
      <c r="AX1062" s="69" t="s">
        <v>299</v>
      </c>
      <c r="AY1062" s="243" t="s">
        <v>50</v>
      </c>
      <c r="AZ1062" s="243" t="str">
        <f t="shared" si="432"/>
        <v>Chum</v>
      </c>
      <c r="BA1062" s="243" t="s">
        <v>419</v>
      </c>
      <c r="BB1062" s="244" t="s">
        <v>452</v>
      </c>
      <c r="BC1062" s="43" t="str">
        <f t="shared" si="433"/>
        <v>Oct 1-7</v>
      </c>
      <c r="BD1062" s="43">
        <f t="shared" si="431"/>
        <v>2</v>
      </c>
      <c r="BE1062" s="193">
        <f t="shared" si="446"/>
        <v>0</v>
      </c>
      <c r="BF1062" s="193">
        <f t="shared" si="434"/>
        <v>0</v>
      </c>
      <c r="BG1062" s="193">
        <f t="shared" si="435"/>
        <v>0</v>
      </c>
      <c r="BH1062" s="307">
        <f t="shared" si="448"/>
        <v>110</v>
      </c>
      <c r="BI1062" s="311" t="s">
        <v>242</v>
      </c>
      <c r="BJ1062" s="26" t="str">
        <f t="shared" si="436"/>
        <v>OKTWANCH RIVERChum</v>
      </c>
      <c r="BK1062" s="26">
        <f t="shared" si="437"/>
        <v>2</v>
      </c>
      <c r="BL1062" s="33">
        <f t="shared" si="418"/>
        <v>0</v>
      </c>
      <c r="BQ1062" s="47" t="str">
        <f t="shared" si="438"/>
        <v>OKTWANCH RIVERChum</v>
      </c>
      <c r="BR1062" s="49">
        <f t="shared" si="439"/>
        <v>0</v>
      </c>
      <c r="BS1062" s="49">
        <f t="shared" si="449"/>
        <v>0</v>
      </c>
      <c r="BT1062" s="31">
        <v>0</v>
      </c>
      <c r="BU1062" s="188" t="str">
        <f t="shared" si="440"/>
        <v>MMFN</v>
      </c>
      <c r="BV1062" s="188" t="str">
        <f t="shared" si="441"/>
        <v>Oct 1-7</v>
      </c>
      <c r="BW1062" s="188" t="str">
        <f t="shared" si="450"/>
        <v xml:space="preserve"> </v>
      </c>
      <c r="BX1062" s="188" t="str">
        <f t="shared" si="442"/>
        <v xml:space="preserve"> </v>
      </c>
      <c r="BY1062" s="50" t="str">
        <f t="shared" si="428"/>
        <v>OKTWANCH RIVER_Chum</v>
      </c>
      <c r="BZ1062" s="50">
        <f>IFERROR(VLOOKUP(BY1062,'[1]WCVI Esc'!$C$5:$W$555,18,FALSE),"-")</f>
        <v>169.66666666666666</v>
      </c>
      <c r="CA1062" s="50">
        <f t="shared" si="443"/>
        <v>170</v>
      </c>
      <c r="CB1062" s="50">
        <f>IFERROR(VLOOKUP(BY1062,'[1]WCVI Esc'!$C$5:$W$555,19,FALSE),"-")</f>
        <v>169.66666666666666</v>
      </c>
      <c r="CC1062" s="50">
        <f t="shared" si="444"/>
        <v>170</v>
      </c>
      <c r="CE1062" s="342" t="str">
        <f t="shared" si="447"/>
        <v>OKTWANCH RIVER_Chum</v>
      </c>
      <c r="CF1062" s="341">
        <f>IFERROR(VLOOKUP(BY1062,'RawPL+D'!$O$8:$AB$503,12,FALSE),"-")</f>
        <v>47</v>
      </c>
      <c r="CG1062" s="338">
        <f t="shared" si="425"/>
        <v>50</v>
      </c>
      <c r="CH1062" s="341">
        <f>IFERROR(VLOOKUP(BY1062,'RawPL+D'!$O$8:$AB$503,13,FALSE),"-")</f>
        <v>112.25</v>
      </c>
      <c r="CI1062" s="338">
        <f t="shared" si="426"/>
        <v>110</v>
      </c>
    </row>
    <row r="1063" spans="1:87" ht="12.75" hidden="1" customHeight="1" x14ac:dyDescent="0.2">
      <c r="A1063" s="28">
        <v>3</v>
      </c>
      <c r="B1063" s="28">
        <v>5</v>
      </c>
      <c r="C1063" s="11">
        <v>25</v>
      </c>
      <c r="D1063" s="13" t="s">
        <v>299</v>
      </c>
      <c r="E1063" s="10" t="s">
        <v>50</v>
      </c>
      <c r="F1063" s="10" t="s">
        <v>210</v>
      </c>
      <c r="G1063" s="10"/>
      <c r="H1063" s="10"/>
      <c r="I1063" s="10"/>
      <c r="J1063" s="10"/>
      <c r="K1063" s="575"/>
      <c r="L1063" s="152"/>
      <c r="M1063" s="422"/>
      <c r="N1063" s="339"/>
      <c r="O1063" s="642">
        <v>0</v>
      </c>
      <c r="P1063" s="456"/>
      <c r="Q1063" s="694">
        <v>3</v>
      </c>
      <c r="R1063" s="457"/>
      <c r="S1063" s="454"/>
      <c r="T1063" s="420"/>
      <c r="U1063" s="162"/>
      <c r="V1063" s="421"/>
      <c r="W1063" s="62"/>
      <c r="X1063" s="63"/>
      <c r="Y1063" s="62"/>
      <c r="Z1063" s="64"/>
      <c r="AA1063" s="164"/>
      <c r="AB1063" s="62"/>
      <c r="AC1063" s="62"/>
      <c r="AD1063" s="64"/>
      <c r="AE1063" s="164"/>
      <c r="AF1063" s="62"/>
      <c r="AG1063" s="64"/>
      <c r="AH1063" s="337"/>
      <c r="AI1063" s="337"/>
      <c r="AJ1063" s="337"/>
      <c r="AK1063" s="337"/>
      <c r="AL1063" s="555"/>
      <c r="AM1063" s="552"/>
      <c r="AN1063" s="844"/>
      <c r="AO1063" s="45"/>
      <c r="AP1063" s="44"/>
      <c r="AQ1063" s="485">
        <f>AL1063/BI1063</f>
        <v>0</v>
      </c>
      <c r="AR1063" s="485">
        <f>BL1063/BH1063</f>
        <v>3.3333333333333333E-2</v>
      </c>
      <c r="AS1063" s="485">
        <f>BL1063/BI1063</f>
        <v>3.3333333333333333E-2</v>
      </c>
      <c r="AT1063" s="679"/>
      <c r="AU1063" s="679"/>
      <c r="AV1063" s="123">
        <f>AL1063</f>
        <v>0</v>
      </c>
      <c r="AW1063" s="18">
        <v>25</v>
      </c>
      <c r="AX1063" s="69" t="s">
        <v>299</v>
      </c>
      <c r="AY1063" s="243" t="s">
        <v>50</v>
      </c>
      <c r="AZ1063" s="243" t="str">
        <f t="shared" si="432"/>
        <v>Chinook</v>
      </c>
      <c r="BA1063" s="243" t="s">
        <v>419</v>
      </c>
      <c r="BB1063" s="244" t="s">
        <v>452</v>
      </c>
      <c r="BC1063" s="43" t="str">
        <f t="shared" si="433"/>
        <v>Oct 1-7</v>
      </c>
      <c r="BD1063" s="43">
        <f t="shared" si="431"/>
        <v>2</v>
      </c>
      <c r="BE1063" s="193">
        <f t="shared" si="446"/>
        <v>3</v>
      </c>
      <c r="BF1063" s="193">
        <f t="shared" si="434"/>
        <v>0</v>
      </c>
      <c r="BG1063" s="193">
        <f t="shared" si="435"/>
        <v>0</v>
      </c>
      <c r="BH1063" s="307">
        <f t="shared" si="448"/>
        <v>90</v>
      </c>
      <c r="BI1063" s="265">
        <f t="shared" ref="BI1063:BI1078" si="451">CC1063</f>
        <v>90</v>
      </c>
      <c r="BJ1063" s="26" t="str">
        <f t="shared" si="436"/>
        <v>OKTWANCH RIVERChinook</v>
      </c>
      <c r="BK1063" s="26">
        <f t="shared" si="437"/>
        <v>2</v>
      </c>
      <c r="BL1063" s="33">
        <f t="shared" ref="BL1063:BL1126" si="452">MAX(K1063:AB1063)</f>
        <v>3</v>
      </c>
      <c r="BQ1063" s="47" t="str">
        <f t="shared" si="438"/>
        <v>OKTWANCH RIVERChinook</v>
      </c>
      <c r="BR1063" s="49">
        <f t="shared" si="439"/>
        <v>0</v>
      </c>
      <c r="BS1063" s="49">
        <f t="shared" si="449"/>
        <v>0</v>
      </c>
      <c r="BT1063" s="31">
        <v>2016</v>
      </c>
      <c r="BU1063" s="188" t="str">
        <f t="shared" si="440"/>
        <v>MMFN</v>
      </c>
      <c r="BV1063" s="188" t="str">
        <f t="shared" si="441"/>
        <v>Oct 1-7</v>
      </c>
      <c r="BW1063" s="188" t="str">
        <f t="shared" si="450"/>
        <v xml:space="preserve"> </v>
      </c>
      <c r="BX1063" s="188" t="str">
        <f t="shared" si="442"/>
        <v xml:space="preserve"> </v>
      </c>
      <c r="BY1063" s="50" t="str">
        <f t="shared" si="428"/>
        <v>OKTWANCH RIVER_Chinook</v>
      </c>
      <c r="BZ1063" s="50">
        <f>IFERROR(VLOOKUP(BY1063,'[1]WCVI Esc'!$C$5:$W$555,18,FALSE),"-")</f>
        <v>144.33333333333334</v>
      </c>
      <c r="CA1063" s="50">
        <f t="shared" si="443"/>
        <v>140</v>
      </c>
      <c r="CB1063" s="50">
        <f>IFERROR(VLOOKUP(BY1063,'[1]WCVI Esc'!$C$5:$W$555,19,FALSE),"-")</f>
        <v>91.5</v>
      </c>
      <c r="CC1063" s="50">
        <f t="shared" si="444"/>
        <v>90</v>
      </c>
      <c r="CE1063" s="342" t="str">
        <f t="shared" si="447"/>
        <v>OKTWANCH RIVER_Chinook</v>
      </c>
      <c r="CF1063" s="341">
        <f>IFERROR(VLOOKUP(CE1063,'RawPL+D'!$O$8:$AB$503,12,FALSE),"-")</f>
        <v>0</v>
      </c>
      <c r="CG1063" s="338">
        <f t="shared" si="425"/>
        <v>0</v>
      </c>
      <c r="CH1063" s="341">
        <f>IFERROR(VLOOKUP(BY1063,'RawPL+D'!$O$8:$AB$503,13,FALSE),"-")</f>
        <v>87.25</v>
      </c>
      <c r="CI1063" s="338">
        <f t="shared" si="426"/>
        <v>90</v>
      </c>
    </row>
    <row r="1064" spans="1:87" ht="12.75" hidden="1" customHeight="1" x14ac:dyDescent="0.2">
      <c r="A1064" s="28">
        <v>3</v>
      </c>
      <c r="B1064" s="28">
        <v>6</v>
      </c>
      <c r="C1064" s="11">
        <v>25</v>
      </c>
      <c r="D1064" s="13" t="s">
        <v>299</v>
      </c>
      <c r="E1064" s="10" t="s">
        <v>50</v>
      </c>
      <c r="F1064" s="10" t="s">
        <v>211</v>
      </c>
      <c r="G1064" s="10"/>
      <c r="H1064" s="10"/>
      <c r="I1064" s="10"/>
      <c r="J1064" s="10"/>
      <c r="K1064" s="575"/>
      <c r="L1064" s="152"/>
      <c r="M1064" s="422"/>
      <c r="N1064" s="339"/>
      <c r="O1064" s="642">
        <v>0</v>
      </c>
      <c r="P1064" s="424"/>
      <c r="Q1064" s="694">
        <v>1</v>
      </c>
      <c r="R1064" s="448"/>
      <c r="S1064" s="455"/>
      <c r="T1064" s="63"/>
      <c r="U1064" s="162"/>
      <c r="V1064" s="164"/>
      <c r="W1064" s="62"/>
      <c r="X1064" s="63"/>
      <c r="Y1064" s="62"/>
      <c r="Z1064" s="64"/>
      <c r="AA1064" s="164"/>
      <c r="AB1064" s="62"/>
      <c r="AC1064" s="62"/>
      <c r="AD1064" s="64"/>
      <c r="AE1064" s="164"/>
      <c r="AF1064" s="62"/>
      <c r="AG1064" s="64"/>
      <c r="AH1064" s="337"/>
      <c r="AI1064" s="337"/>
      <c r="AJ1064" s="337"/>
      <c r="AK1064" s="337"/>
      <c r="AL1064" s="555"/>
      <c r="AM1064" s="552"/>
      <c r="AN1064" s="45"/>
      <c r="AO1064" s="45"/>
      <c r="AP1064" s="44"/>
      <c r="AQ1064" s="485"/>
      <c r="AR1064" s="15"/>
      <c r="AS1064" s="485"/>
      <c r="AT1064" s="679"/>
      <c r="AU1064" s="679"/>
      <c r="AV1064" s="679"/>
      <c r="AW1064" s="18">
        <v>25</v>
      </c>
      <c r="AX1064" s="69" t="s">
        <v>299</v>
      </c>
      <c r="AY1064" s="243" t="s">
        <v>50</v>
      </c>
      <c r="AZ1064" s="243" t="str">
        <f t="shared" si="432"/>
        <v>Steelhead</v>
      </c>
      <c r="BA1064" s="243" t="s">
        <v>419</v>
      </c>
      <c r="BB1064" s="244" t="s">
        <v>452</v>
      </c>
      <c r="BC1064" s="43" t="str">
        <f t="shared" si="433"/>
        <v>Oct 1-7</v>
      </c>
      <c r="BD1064" s="43">
        <f t="shared" si="431"/>
        <v>2</v>
      </c>
      <c r="BE1064" s="193">
        <f t="shared" si="446"/>
        <v>1</v>
      </c>
      <c r="BF1064" s="193">
        <f t="shared" si="434"/>
        <v>0</v>
      </c>
      <c r="BG1064" s="193">
        <f t="shared" si="435"/>
        <v>0</v>
      </c>
      <c r="BH1064" s="307" t="str">
        <f t="shared" si="448"/>
        <v>-</v>
      </c>
      <c r="BI1064" s="265" t="str">
        <f t="shared" si="451"/>
        <v>-</v>
      </c>
      <c r="BJ1064" s="26" t="str">
        <f t="shared" si="436"/>
        <v>OKTWANCH RIVERSteelhead</v>
      </c>
      <c r="BK1064" s="26">
        <f t="shared" si="437"/>
        <v>2</v>
      </c>
      <c r="BL1064" s="33">
        <f t="shared" si="452"/>
        <v>1</v>
      </c>
      <c r="BQ1064" s="47" t="str">
        <f t="shared" si="438"/>
        <v>OKTWANCH RIVERSteelhead</v>
      </c>
      <c r="BR1064" s="49">
        <f t="shared" si="439"/>
        <v>0</v>
      </c>
      <c r="BS1064" s="49">
        <f t="shared" si="449"/>
        <v>0</v>
      </c>
      <c r="BT1064" s="31">
        <v>0</v>
      </c>
      <c r="BU1064" s="188" t="str">
        <f t="shared" si="440"/>
        <v>MMFN</v>
      </c>
      <c r="BV1064" s="188" t="str">
        <f t="shared" si="441"/>
        <v>Oct 1-7</v>
      </c>
      <c r="BW1064" s="188" t="str">
        <f t="shared" si="450"/>
        <v xml:space="preserve"> </v>
      </c>
      <c r="BX1064" s="188" t="str">
        <f t="shared" si="442"/>
        <v xml:space="preserve"> </v>
      </c>
      <c r="BY1064" s="50" t="str">
        <f t="shared" si="428"/>
        <v>OKTWANCH RIVER_Steelhead</v>
      </c>
      <c r="BZ1064" s="50" t="str">
        <f>IFERROR(VLOOKUP(BY1064,'[1]WCVI Esc'!$C$5:$W$555,18,FALSE),"-")</f>
        <v>-</v>
      </c>
      <c r="CA1064" s="50" t="str">
        <f t="shared" si="443"/>
        <v>-</v>
      </c>
      <c r="CB1064" s="50" t="str">
        <f>IFERROR(VLOOKUP(BY1064,'[1]WCVI Esc'!$C$5:$W$555,19,FALSE),"-")</f>
        <v>-</v>
      </c>
      <c r="CC1064" s="50" t="str">
        <f t="shared" si="444"/>
        <v>-</v>
      </c>
      <c r="CE1064" s="342" t="str">
        <f t="shared" si="447"/>
        <v>OKTWANCH RIVER_Steelhead</v>
      </c>
      <c r="CF1064" s="341" t="str">
        <f>IFERROR(VLOOKUP(BY1064,'RawPL+D'!$O$8:$AB$503,12,FALSE),"-")</f>
        <v>-</v>
      </c>
      <c r="CG1064" s="338" t="str">
        <f t="shared" si="425"/>
        <v>-</v>
      </c>
      <c r="CH1064" s="341" t="str">
        <f>IFERROR(VLOOKUP(BY1064,'RawPL+D'!$O$8:$AB$503,13,FALSE),"-")</f>
        <v>-</v>
      </c>
      <c r="CI1064" s="338" t="str">
        <f t="shared" si="426"/>
        <v>-</v>
      </c>
    </row>
    <row r="1065" spans="1:87" ht="12.75" hidden="1" customHeight="1" x14ac:dyDescent="0.2">
      <c r="A1065" s="29">
        <v>3</v>
      </c>
      <c r="B1065" s="29">
        <v>1</v>
      </c>
      <c r="C1065" s="13">
        <v>25</v>
      </c>
      <c r="D1065" s="148" t="s">
        <v>299</v>
      </c>
      <c r="E1065" s="10" t="s">
        <v>51</v>
      </c>
      <c r="F1065" s="10" t="s">
        <v>207</v>
      </c>
      <c r="G1065" s="10"/>
      <c r="H1065" s="10"/>
      <c r="I1065" s="10"/>
      <c r="J1065" s="10"/>
      <c r="K1065" s="575"/>
      <c r="L1065" s="152"/>
      <c r="M1065" s="422"/>
      <c r="N1065" s="339"/>
      <c r="O1065" s="62"/>
      <c r="P1065" s="424"/>
      <c r="Q1065" s="171"/>
      <c r="R1065" s="339"/>
      <c r="S1065" s="339"/>
      <c r="T1065" s="63"/>
      <c r="U1065" s="611"/>
      <c r="V1065" s="164"/>
      <c r="W1065" s="62"/>
      <c r="X1065" s="63"/>
      <c r="Y1065" s="62"/>
      <c r="Z1065" s="64"/>
      <c r="AA1065" s="164"/>
      <c r="AB1065" s="62"/>
      <c r="AC1065" s="62"/>
      <c r="AD1065" s="64"/>
      <c r="AE1065" s="164"/>
      <c r="AF1065" s="62"/>
      <c r="AG1065" s="64"/>
      <c r="AH1065" s="337"/>
      <c r="AI1065" s="337"/>
      <c r="AJ1065" s="337"/>
      <c r="AK1065" s="337"/>
      <c r="AL1065" s="412"/>
      <c r="AM1065" s="414"/>
      <c r="AN1065" s="45"/>
      <c r="AO1065" s="45"/>
      <c r="AP1065" s="45"/>
      <c r="AQ1065" s="485">
        <f>AL1065/BI1065</f>
        <v>0</v>
      </c>
      <c r="AR1065"/>
      <c r="AS1065" s="485">
        <f>BL1065/BI1065</f>
        <v>0</v>
      </c>
      <c r="AT1065" s="100"/>
      <c r="AU1065" s="100"/>
      <c r="AV1065" s="100"/>
      <c r="AW1065" s="69">
        <v>25</v>
      </c>
      <c r="AX1065" s="69" t="s">
        <v>299</v>
      </c>
      <c r="AY1065" s="243" t="s">
        <v>51</v>
      </c>
      <c r="AZ1065" s="243" t="str">
        <f t="shared" si="432"/>
        <v>Sockeye</v>
      </c>
      <c r="BA1065" s="243" t="s">
        <v>419</v>
      </c>
      <c r="BB1065" s="246"/>
      <c r="BC1065" s="43" t="str">
        <f t="shared" si="433"/>
        <v>-</v>
      </c>
      <c r="BD1065" s="43">
        <f t="shared" si="431"/>
        <v>0</v>
      </c>
      <c r="BE1065" s="193">
        <f t="shared" si="446"/>
        <v>0</v>
      </c>
      <c r="BF1065" s="193">
        <f t="shared" si="434"/>
        <v>0</v>
      </c>
      <c r="BG1065" s="193">
        <f t="shared" si="435"/>
        <v>0</v>
      </c>
      <c r="BH1065" s="307" t="str">
        <f t="shared" si="448"/>
        <v>-</v>
      </c>
      <c r="BI1065" s="265">
        <f t="shared" si="451"/>
        <v>340</v>
      </c>
      <c r="BJ1065" s="26" t="str">
        <f t="shared" si="436"/>
        <v>SUCWOA RIVERSockeye</v>
      </c>
      <c r="BK1065" s="26">
        <f t="shared" si="437"/>
        <v>0</v>
      </c>
      <c r="BL1065" s="33">
        <f t="shared" si="452"/>
        <v>0</v>
      </c>
      <c r="BP1065" s="34"/>
      <c r="BQ1065" s="47" t="str">
        <f t="shared" si="438"/>
        <v>SUCWOA RIVERSockeye</v>
      </c>
      <c r="BR1065" s="49">
        <f t="shared" si="439"/>
        <v>0</v>
      </c>
      <c r="BS1065" s="49">
        <f t="shared" si="449"/>
        <v>0</v>
      </c>
      <c r="BT1065" s="31">
        <v>2011</v>
      </c>
      <c r="BU1065" s="188">
        <f t="shared" si="440"/>
        <v>0</v>
      </c>
      <c r="BV1065" s="188" t="str">
        <f t="shared" si="441"/>
        <v xml:space="preserve"> </v>
      </c>
      <c r="BW1065" s="188" t="str">
        <f t="shared" si="450"/>
        <v xml:space="preserve"> </v>
      </c>
      <c r="BX1065" s="188" t="str">
        <f t="shared" si="442"/>
        <v xml:space="preserve"> </v>
      </c>
      <c r="BY1065" s="50" t="str">
        <f t="shared" si="428"/>
        <v>SUCWOA RIVER_Sockeye</v>
      </c>
      <c r="BZ1065" s="50" t="str">
        <f>IFERROR(VLOOKUP(BY1065,'[1]WCVI Esc'!$C$5:$W$555,18,FALSE),"-")</f>
        <v>-</v>
      </c>
      <c r="CA1065" s="50" t="str">
        <f t="shared" si="443"/>
        <v>-</v>
      </c>
      <c r="CB1065" s="50">
        <f>IFERROR(VLOOKUP(BY1065,'[1]WCVI Esc'!$C$5:$W$555,19,FALSE),"-")</f>
        <v>336</v>
      </c>
      <c r="CC1065" s="50">
        <f t="shared" si="444"/>
        <v>340</v>
      </c>
      <c r="CE1065" s="342" t="str">
        <f t="shared" si="447"/>
        <v>SUCWOA RIVER_Sockeye</v>
      </c>
      <c r="CF1065" s="341">
        <f>IFERROR(VLOOKUP(CE1065,'RawPL+D'!$O$8:$AB$503,12,FALSE),"-")</f>
        <v>0</v>
      </c>
      <c r="CG1065" s="338">
        <f t="shared" si="425"/>
        <v>0</v>
      </c>
      <c r="CH1065" s="341" t="str">
        <f>IFERROR(VLOOKUP(BY1065,'RawPL+D'!$O$8:$AB$503,13,FALSE),"-")</f>
        <v>-</v>
      </c>
      <c r="CI1065" s="338" t="str">
        <f t="shared" si="426"/>
        <v>-</v>
      </c>
    </row>
    <row r="1066" spans="1:87" ht="12.75" hidden="1" customHeight="1" x14ac:dyDescent="0.2">
      <c r="A1066" s="29">
        <v>3</v>
      </c>
      <c r="B1066" s="29">
        <v>2</v>
      </c>
      <c r="C1066" s="13">
        <v>25</v>
      </c>
      <c r="D1066" s="148" t="s">
        <v>299</v>
      </c>
      <c r="E1066" s="10" t="s">
        <v>51</v>
      </c>
      <c r="F1066" s="10" t="s">
        <v>219</v>
      </c>
      <c r="G1066" s="10"/>
      <c r="H1066" s="10"/>
      <c r="I1066" s="10"/>
      <c r="J1066" s="10"/>
      <c r="K1066" s="575"/>
      <c r="L1066" s="152"/>
      <c r="M1066" s="422"/>
      <c r="N1066" s="339"/>
      <c r="O1066" s="62"/>
      <c r="P1066" s="424"/>
      <c r="Q1066" s="171"/>
      <c r="R1066" s="339"/>
      <c r="S1066" s="339"/>
      <c r="T1066" s="63"/>
      <c r="U1066" s="611"/>
      <c r="V1066" s="164"/>
      <c r="W1066" s="62"/>
      <c r="X1066" s="63"/>
      <c r="Y1066" s="62"/>
      <c r="Z1066" s="64"/>
      <c r="AA1066" s="164"/>
      <c r="AB1066" s="62"/>
      <c r="AC1066" s="62"/>
      <c r="AD1066" s="64"/>
      <c r="AE1066" s="164"/>
      <c r="AF1066" s="62"/>
      <c r="AG1066" s="64"/>
      <c r="AH1066" s="337"/>
      <c r="AI1066" s="337"/>
      <c r="AJ1066" s="337"/>
      <c r="AK1066" s="337"/>
      <c r="AL1066" s="412"/>
      <c r="AM1066" s="414"/>
      <c r="AN1066" s="45"/>
      <c r="AO1066" s="45"/>
      <c r="AP1066" s="45"/>
      <c r="AQ1066" s="485">
        <f>AL1066/BI1066</f>
        <v>0</v>
      </c>
      <c r="AR1066" s="485"/>
      <c r="AS1066" s="485">
        <f>BL1066/BI1066</f>
        <v>0</v>
      </c>
      <c r="AT1066" s="100"/>
      <c r="AU1066" s="100"/>
      <c r="AV1066" s="100"/>
      <c r="AW1066" s="69">
        <v>25</v>
      </c>
      <c r="AX1066" s="69" t="s">
        <v>299</v>
      </c>
      <c r="AY1066" s="243" t="s">
        <v>51</v>
      </c>
      <c r="AZ1066" s="243" t="str">
        <f t="shared" si="432"/>
        <v>Coho</v>
      </c>
      <c r="BA1066" s="243" t="s">
        <v>419</v>
      </c>
      <c r="BB1066" s="244"/>
      <c r="BC1066" s="43" t="str">
        <f t="shared" si="433"/>
        <v>-</v>
      </c>
      <c r="BD1066" s="43">
        <f t="shared" si="431"/>
        <v>0</v>
      </c>
      <c r="BE1066" s="193">
        <f t="shared" si="446"/>
        <v>0</v>
      </c>
      <c r="BF1066" s="193">
        <f t="shared" si="434"/>
        <v>0</v>
      </c>
      <c r="BG1066" s="193">
        <f t="shared" si="435"/>
        <v>0</v>
      </c>
      <c r="BH1066" s="307">
        <f t="shared" si="448"/>
        <v>0</v>
      </c>
      <c r="BI1066" s="265">
        <f t="shared" si="451"/>
        <v>300</v>
      </c>
      <c r="BJ1066" s="26" t="str">
        <f t="shared" si="436"/>
        <v>SUCWOA RIVERCoho</v>
      </c>
      <c r="BK1066" s="26">
        <f t="shared" si="437"/>
        <v>0</v>
      </c>
      <c r="BL1066" s="33">
        <f t="shared" si="452"/>
        <v>0</v>
      </c>
      <c r="BP1066" s="34"/>
      <c r="BQ1066" s="47" t="str">
        <f t="shared" si="438"/>
        <v>SUCWOA RIVERCoho</v>
      </c>
      <c r="BR1066" s="49">
        <f t="shared" si="439"/>
        <v>0</v>
      </c>
      <c r="BS1066" s="49">
        <f t="shared" si="449"/>
        <v>0</v>
      </c>
      <c r="BT1066" s="31">
        <v>2014</v>
      </c>
      <c r="BU1066" s="188">
        <f t="shared" si="440"/>
        <v>0</v>
      </c>
      <c r="BV1066" s="188" t="str">
        <f t="shared" si="441"/>
        <v xml:space="preserve"> </v>
      </c>
      <c r="BW1066" s="188" t="str">
        <f t="shared" si="450"/>
        <v xml:space="preserve"> </v>
      </c>
      <c r="BX1066" s="188" t="str">
        <f t="shared" si="442"/>
        <v xml:space="preserve"> </v>
      </c>
      <c r="BY1066" s="50" t="str">
        <f t="shared" si="428"/>
        <v>SUCWOA RIVER_Coho</v>
      </c>
      <c r="BZ1066" s="50" t="str">
        <f>IFERROR(VLOOKUP(BY1066,'[1]WCVI Esc'!$C$5:$W$555,18,FALSE),"-")</f>
        <v>-</v>
      </c>
      <c r="CA1066" s="50" t="str">
        <f t="shared" si="443"/>
        <v>-</v>
      </c>
      <c r="CB1066" s="50">
        <f>IFERROR(VLOOKUP(BY1066,'[1]WCVI Esc'!$C$5:$W$555,19,FALSE),"-")</f>
        <v>303.5</v>
      </c>
      <c r="CC1066" s="50">
        <f t="shared" si="444"/>
        <v>300</v>
      </c>
      <c r="CE1066" s="342" t="str">
        <f t="shared" si="447"/>
        <v>SUCWOA RIVER_Coho</v>
      </c>
      <c r="CF1066" s="341">
        <f>IFERROR(VLOOKUP(CE1066,'RawPL+D'!$O$8:$AB$503,12,FALSE),"-")</f>
        <v>0</v>
      </c>
      <c r="CG1066" s="338">
        <f t="shared" si="425"/>
        <v>0</v>
      </c>
      <c r="CH1066" s="341">
        <f>IFERROR(VLOOKUP(BY1066,'RawPL+D'!$O$8:$AB$503,13,FALSE),"-")</f>
        <v>0</v>
      </c>
      <c r="CI1066" s="338">
        <f t="shared" si="426"/>
        <v>0</v>
      </c>
    </row>
    <row r="1067" spans="1:87" ht="12.75" hidden="1" customHeight="1" x14ac:dyDescent="0.2">
      <c r="A1067" s="29">
        <v>3</v>
      </c>
      <c r="B1067" s="29">
        <v>3</v>
      </c>
      <c r="C1067" s="13">
        <v>25</v>
      </c>
      <c r="D1067" s="148" t="s">
        <v>299</v>
      </c>
      <c r="E1067" s="10" t="s">
        <v>51</v>
      </c>
      <c r="F1067" s="10" t="s">
        <v>208</v>
      </c>
      <c r="G1067" s="10"/>
      <c r="H1067" s="10"/>
      <c r="I1067" s="10"/>
      <c r="J1067" s="10"/>
      <c r="K1067" s="575"/>
      <c r="L1067" s="152"/>
      <c r="M1067" s="422"/>
      <c r="N1067" s="339"/>
      <c r="O1067" s="62"/>
      <c r="P1067" s="424"/>
      <c r="Q1067" s="171"/>
      <c r="R1067" s="339"/>
      <c r="S1067" s="339"/>
      <c r="T1067" s="63"/>
      <c r="U1067" s="611"/>
      <c r="V1067" s="164"/>
      <c r="W1067" s="62"/>
      <c r="X1067" s="63"/>
      <c r="Y1067" s="62"/>
      <c r="Z1067" s="64"/>
      <c r="AA1067" s="164"/>
      <c r="AB1067" s="62"/>
      <c r="AC1067" s="62"/>
      <c r="AD1067" s="64"/>
      <c r="AE1067" s="164"/>
      <c r="AF1067" s="62"/>
      <c r="AG1067" s="64"/>
      <c r="AH1067" s="337"/>
      <c r="AI1067" s="337"/>
      <c r="AJ1067" s="337"/>
      <c r="AK1067" s="337"/>
      <c r="AL1067" s="412"/>
      <c r="AM1067" s="414"/>
      <c r="AN1067" s="45"/>
      <c r="AO1067" s="45"/>
      <c r="AP1067" s="45"/>
      <c r="AQ1067" s="485">
        <f>AL1067/BI1067</f>
        <v>0</v>
      </c>
      <c r="AR1067" s="15"/>
      <c r="AS1067" s="485">
        <f>BL1067/BI1067</f>
        <v>0</v>
      </c>
      <c r="AT1067" s="100"/>
      <c r="AU1067" s="100"/>
      <c r="AV1067" s="100"/>
      <c r="AW1067" s="69">
        <v>25</v>
      </c>
      <c r="AX1067" s="69" t="s">
        <v>299</v>
      </c>
      <c r="AY1067" s="243" t="s">
        <v>51</v>
      </c>
      <c r="AZ1067" s="243" t="str">
        <f t="shared" si="432"/>
        <v>Pink</v>
      </c>
      <c r="BA1067" s="243" t="s">
        <v>419</v>
      </c>
      <c r="BB1067" s="246"/>
      <c r="BC1067" s="43" t="str">
        <f t="shared" si="433"/>
        <v>-</v>
      </c>
      <c r="BD1067" s="43">
        <f t="shared" si="431"/>
        <v>0</v>
      </c>
      <c r="BE1067" s="193">
        <f t="shared" si="446"/>
        <v>0</v>
      </c>
      <c r="BF1067" s="193">
        <f t="shared" si="434"/>
        <v>0</v>
      </c>
      <c r="BG1067" s="193">
        <f t="shared" si="435"/>
        <v>0</v>
      </c>
      <c r="BH1067" s="307">
        <f t="shared" si="448"/>
        <v>0</v>
      </c>
      <c r="BI1067" s="265">
        <f t="shared" si="451"/>
        <v>10</v>
      </c>
      <c r="BJ1067" s="26" t="str">
        <f t="shared" si="436"/>
        <v>SUCWOA RIVERPink</v>
      </c>
      <c r="BK1067" s="26">
        <f t="shared" si="437"/>
        <v>0</v>
      </c>
      <c r="BL1067" s="33">
        <f t="shared" si="452"/>
        <v>0</v>
      </c>
      <c r="BP1067" s="34"/>
      <c r="BQ1067" s="47" t="str">
        <f t="shared" si="438"/>
        <v>SUCWOA RIVERPink</v>
      </c>
      <c r="BR1067" s="49">
        <f t="shared" si="439"/>
        <v>0</v>
      </c>
      <c r="BS1067" s="49">
        <f t="shared" si="449"/>
        <v>0</v>
      </c>
      <c r="BT1067" s="31">
        <v>2011</v>
      </c>
      <c r="BU1067" s="188">
        <f t="shared" si="440"/>
        <v>0</v>
      </c>
      <c r="BV1067" s="188" t="str">
        <f t="shared" si="441"/>
        <v xml:space="preserve"> </v>
      </c>
      <c r="BW1067" s="188" t="str">
        <f t="shared" si="450"/>
        <v xml:space="preserve"> </v>
      </c>
      <c r="BX1067" s="188" t="str">
        <f t="shared" si="442"/>
        <v xml:space="preserve"> </v>
      </c>
      <c r="BY1067" s="50" t="str">
        <f t="shared" si="428"/>
        <v>SUCWOA RIVER_Pink</v>
      </c>
      <c r="BZ1067" s="50" t="str">
        <f>IFERROR(VLOOKUP(BY1067,'[1]WCVI Esc'!$C$5:$W$555,18,FALSE),"-")</f>
        <v>-</v>
      </c>
      <c r="CA1067" s="50" t="str">
        <f t="shared" si="443"/>
        <v>-</v>
      </c>
      <c r="CB1067" s="50">
        <f>IFERROR(VLOOKUP(BY1067,'[1]WCVI Esc'!$C$5:$W$555,19,FALSE),"-")</f>
        <v>5</v>
      </c>
      <c r="CC1067" s="50">
        <f t="shared" si="444"/>
        <v>10</v>
      </c>
      <c r="CE1067" s="342" t="str">
        <f t="shared" si="447"/>
        <v>SUCWOA RIVER_Pink</v>
      </c>
      <c r="CF1067" s="341">
        <f>IFERROR(VLOOKUP(CE1067,'RawPL+D'!$O$8:$AB$503,12,FALSE),"-")</f>
        <v>0</v>
      </c>
      <c r="CG1067" s="338">
        <f t="shared" si="425"/>
        <v>0</v>
      </c>
      <c r="CH1067" s="341">
        <f>IFERROR(VLOOKUP(BY1067,'RawPL+D'!$O$8:$AB$503,13,FALSE),"-")</f>
        <v>0</v>
      </c>
      <c r="CI1067" s="338">
        <f t="shared" si="426"/>
        <v>0</v>
      </c>
    </row>
    <row r="1068" spans="1:87" ht="11.25" hidden="1" customHeight="1" x14ac:dyDescent="0.2">
      <c r="A1068" s="29">
        <v>3</v>
      </c>
      <c r="B1068" s="29">
        <v>4</v>
      </c>
      <c r="C1068" s="13">
        <v>25</v>
      </c>
      <c r="D1068" s="148" t="s">
        <v>299</v>
      </c>
      <c r="E1068" s="10" t="s">
        <v>51</v>
      </c>
      <c r="F1068" s="10" t="s">
        <v>209</v>
      </c>
      <c r="G1068" s="10"/>
      <c r="H1068" s="10"/>
      <c r="I1068" s="10"/>
      <c r="J1068" s="10"/>
      <c r="K1068" s="575"/>
      <c r="L1068" s="152"/>
      <c r="M1068" s="422"/>
      <c r="N1068" s="339"/>
      <c r="O1068" s="62"/>
      <c r="P1068" s="424"/>
      <c r="Q1068" s="171"/>
      <c r="R1068" s="339"/>
      <c r="S1068" s="339"/>
      <c r="T1068" s="63"/>
      <c r="U1068" s="611"/>
      <c r="V1068" s="164"/>
      <c r="W1068" s="62"/>
      <c r="X1068" s="63"/>
      <c r="Y1068" s="62"/>
      <c r="Z1068" s="64"/>
      <c r="AA1068" s="164"/>
      <c r="AB1068" s="62"/>
      <c r="AC1068" s="62"/>
      <c r="AD1068" s="64"/>
      <c r="AE1068" s="164"/>
      <c r="AF1068" s="62"/>
      <c r="AG1068" s="64"/>
      <c r="AH1068" s="337"/>
      <c r="AI1068" s="337"/>
      <c r="AJ1068" s="337"/>
      <c r="AK1068" s="337"/>
      <c r="AL1068" s="412"/>
      <c r="AM1068" s="414"/>
      <c r="AN1068" s="45"/>
      <c r="AO1068" s="45"/>
      <c r="AP1068" s="45"/>
      <c r="AQ1068" s="485">
        <f>AL1068/BI1068</f>
        <v>0</v>
      </c>
      <c r="AR1068" s="100" t="e">
        <f>BL1068/BH1068</f>
        <v>#DIV/0!</v>
      </c>
      <c r="AS1068" s="485">
        <f>BL1068/BI1068</f>
        <v>0</v>
      </c>
      <c r="AT1068" s="100"/>
      <c r="AU1068" s="100"/>
      <c r="AV1068" s="100"/>
      <c r="AW1068" s="69">
        <v>25</v>
      </c>
      <c r="AX1068" s="69" t="s">
        <v>299</v>
      </c>
      <c r="AY1068" s="243" t="s">
        <v>51</v>
      </c>
      <c r="AZ1068" s="243" t="str">
        <f t="shared" si="432"/>
        <v>Chum</v>
      </c>
      <c r="BA1068" s="243" t="s">
        <v>419</v>
      </c>
      <c r="BB1068" s="246"/>
      <c r="BC1068" s="43" t="str">
        <f t="shared" si="433"/>
        <v>-</v>
      </c>
      <c r="BD1068" s="43">
        <f t="shared" si="431"/>
        <v>0</v>
      </c>
      <c r="BE1068" s="193">
        <f t="shared" si="446"/>
        <v>0</v>
      </c>
      <c r="BF1068" s="193">
        <f t="shared" si="434"/>
        <v>0</v>
      </c>
      <c r="BG1068" s="193">
        <f t="shared" si="435"/>
        <v>0</v>
      </c>
      <c r="BH1068" s="307">
        <f t="shared" si="448"/>
        <v>0</v>
      </c>
      <c r="BI1068" s="265">
        <f t="shared" si="451"/>
        <v>850</v>
      </c>
      <c r="BJ1068" s="26" t="str">
        <f t="shared" si="436"/>
        <v>SUCWOA RIVERChum</v>
      </c>
      <c r="BK1068" s="26">
        <f t="shared" si="437"/>
        <v>0</v>
      </c>
      <c r="BL1068" s="33">
        <f t="shared" si="452"/>
        <v>0</v>
      </c>
      <c r="BP1068" s="34"/>
      <c r="BQ1068" s="47" t="str">
        <f t="shared" si="438"/>
        <v>SUCWOA RIVERChum</v>
      </c>
      <c r="BR1068" s="49">
        <f t="shared" si="439"/>
        <v>0</v>
      </c>
      <c r="BS1068" s="49">
        <f t="shared" si="449"/>
        <v>0</v>
      </c>
      <c r="BT1068" s="31">
        <v>2014</v>
      </c>
      <c r="BU1068" s="188">
        <f t="shared" si="440"/>
        <v>0</v>
      </c>
      <c r="BV1068" s="188" t="str">
        <f t="shared" si="441"/>
        <v xml:space="preserve"> </v>
      </c>
      <c r="BW1068" s="188" t="str">
        <f t="shared" si="450"/>
        <v xml:space="preserve"> </v>
      </c>
      <c r="BX1068" s="188" t="str">
        <f t="shared" si="442"/>
        <v xml:space="preserve"> </v>
      </c>
      <c r="BY1068" s="50" t="str">
        <f t="shared" si="428"/>
        <v>SUCWOA RIVER_Chum</v>
      </c>
      <c r="BZ1068" s="50" t="str">
        <f>IFERROR(VLOOKUP(BY1068,'[1]WCVI Esc'!$C$5:$W$555,18,FALSE),"-")</f>
        <v>-</v>
      </c>
      <c r="CA1068" s="50" t="str">
        <f t="shared" si="443"/>
        <v>-</v>
      </c>
      <c r="CB1068" s="50">
        <f>IFERROR(VLOOKUP(BY1068,'[1]WCVI Esc'!$C$5:$W$555,19,FALSE),"-")</f>
        <v>849.25</v>
      </c>
      <c r="CC1068" s="50">
        <f t="shared" si="444"/>
        <v>850</v>
      </c>
      <c r="CE1068" s="342" t="str">
        <f t="shared" si="447"/>
        <v>SUCWOA RIVER_Chum</v>
      </c>
      <c r="CF1068" s="341">
        <f>IFERROR(VLOOKUP(CE1068,'RawPL+D'!$O$8:$AB$503,12,FALSE),"-")</f>
        <v>0</v>
      </c>
      <c r="CG1068" s="338">
        <f t="shared" si="425"/>
        <v>0</v>
      </c>
      <c r="CH1068" s="341">
        <f>IFERROR(VLOOKUP(BY1068,'RawPL+D'!$O$8:$AB$503,13,FALSE),"-")</f>
        <v>0</v>
      </c>
      <c r="CI1068" s="338">
        <f t="shared" si="426"/>
        <v>0</v>
      </c>
    </row>
    <row r="1069" spans="1:87" ht="12.75" hidden="1" customHeight="1" x14ac:dyDescent="0.2">
      <c r="A1069" s="29">
        <v>3</v>
      </c>
      <c r="B1069" s="29">
        <v>5</v>
      </c>
      <c r="C1069" s="13">
        <v>25</v>
      </c>
      <c r="D1069" s="148" t="s">
        <v>299</v>
      </c>
      <c r="E1069" s="10" t="s">
        <v>51</v>
      </c>
      <c r="F1069" s="10" t="s">
        <v>210</v>
      </c>
      <c r="G1069" s="10"/>
      <c r="H1069" s="10"/>
      <c r="I1069" s="10"/>
      <c r="J1069" s="10"/>
      <c r="K1069" s="575"/>
      <c r="L1069" s="152"/>
      <c r="M1069" s="422"/>
      <c r="N1069" s="339"/>
      <c r="O1069" s="62"/>
      <c r="P1069" s="424"/>
      <c r="Q1069" s="171"/>
      <c r="R1069" s="339"/>
      <c r="S1069" s="339"/>
      <c r="T1069" s="63"/>
      <c r="U1069" s="611"/>
      <c r="V1069" s="164"/>
      <c r="W1069" s="62"/>
      <c r="X1069" s="63"/>
      <c r="Y1069" s="62"/>
      <c r="Z1069" s="64"/>
      <c r="AA1069" s="164"/>
      <c r="AB1069" s="62"/>
      <c r="AC1069" s="62"/>
      <c r="AD1069" s="64"/>
      <c r="AE1069" s="164"/>
      <c r="AF1069" s="62"/>
      <c r="AG1069" s="64"/>
      <c r="AH1069" s="337"/>
      <c r="AI1069" s="337"/>
      <c r="AJ1069" s="337"/>
      <c r="AK1069" s="337"/>
      <c r="AL1069" s="412"/>
      <c r="AM1069" s="414"/>
      <c r="AN1069" s="45"/>
      <c r="AO1069" s="45"/>
      <c r="AP1069" s="45"/>
      <c r="AQ1069" s="485"/>
      <c r="AR1069" s="485"/>
      <c r="AS1069" s="485">
        <f>BL1069/BI1069</f>
        <v>0</v>
      </c>
      <c r="AT1069" s="100"/>
      <c r="AU1069" s="100"/>
      <c r="AV1069" s="100"/>
      <c r="AW1069" s="69">
        <v>25</v>
      </c>
      <c r="AX1069" s="69" t="s">
        <v>299</v>
      </c>
      <c r="AY1069" s="243" t="s">
        <v>51</v>
      </c>
      <c r="AZ1069" s="243" t="str">
        <f t="shared" si="432"/>
        <v>Chinook</v>
      </c>
      <c r="BA1069" s="243" t="s">
        <v>419</v>
      </c>
      <c r="BB1069" s="246"/>
      <c r="BC1069" s="43" t="str">
        <f t="shared" si="433"/>
        <v>-</v>
      </c>
      <c r="BD1069" s="43">
        <f t="shared" si="431"/>
        <v>0</v>
      </c>
      <c r="BE1069" s="193">
        <f t="shared" si="446"/>
        <v>0</v>
      </c>
      <c r="BF1069" s="193">
        <f t="shared" si="434"/>
        <v>0</v>
      </c>
      <c r="BG1069" s="193">
        <f t="shared" si="435"/>
        <v>0</v>
      </c>
      <c r="BH1069" s="307" t="str">
        <f t="shared" si="448"/>
        <v>-</v>
      </c>
      <c r="BI1069" s="265">
        <f t="shared" si="451"/>
        <v>80</v>
      </c>
      <c r="BJ1069" s="26" t="str">
        <f t="shared" si="436"/>
        <v>SUCWOA RIVERChinook</v>
      </c>
      <c r="BK1069" s="26">
        <f t="shared" si="437"/>
        <v>0</v>
      </c>
      <c r="BL1069" s="33">
        <f t="shared" si="452"/>
        <v>0</v>
      </c>
      <c r="BM1069" s="34">
        <f>BL1069*1.14</f>
        <v>0</v>
      </c>
      <c r="BN1069" s="34">
        <f>BL1069*2.88</f>
        <v>0</v>
      </c>
      <c r="BO1069" s="37"/>
      <c r="BP1069" s="34">
        <f>SUM(BM1069:BN1069)/2</f>
        <v>0</v>
      </c>
      <c r="BQ1069" s="47" t="str">
        <f t="shared" si="438"/>
        <v>SUCWOA RIVERChinook</v>
      </c>
      <c r="BR1069" s="49">
        <f t="shared" si="439"/>
        <v>0</v>
      </c>
      <c r="BS1069" s="49">
        <f t="shared" si="449"/>
        <v>0</v>
      </c>
      <c r="BT1069" s="31">
        <v>2014</v>
      </c>
      <c r="BU1069" s="188">
        <f t="shared" si="440"/>
        <v>0</v>
      </c>
      <c r="BV1069" s="188" t="str">
        <f t="shared" si="441"/>
        <v xml:space="preserve"> </v>
      </c>
      <c r="BW1069" s="188" t="str">
        <f t="shared" si="450"/>
        <v xml:space="preserve"> </v>
      </c>
      <c r="BX1069" s="188" t="str">
        <f t="shared" si="442"/>
        <v xml:space="preserve"> </v>
      </c>
      <c r="BY1069" s="50" t="str">
        <f t="shared" si="428"/>
        <v>SUCWOA RIVER_Chinook</v>
      </c>
      <c r="BZ1069" s="50" t="str">
        <f>IFERROR(VLOOKUP(BY1069,'[1]WCVI Esc'!$C$5:$W$555,18,FALSE),"-")</f>
        <v>-</v>
      </c>
      <c r="CA1069" s="50" t="str">
        <f t="shared" si="443"/>
        <v>-</v>
      </c>
      <c r="CB1069" s="50">
        <f>IFERROR(VLOOKUP(BY1069,'[1]WCVI Esc'!$C$5:$W$555,19,FALSE),"-")</f>
        <v>79.25</v>
      </c>
      <c r="CC1069" s="50">
        <f t="shared" si="444"/>
        <v>80</v>
      </c>
      <c r="CE1069" s="342" t="str">
        <f t="shared" si="447"/>
        <v>SUCWOA RIVER_Chinook</v>
      </c>
      <c r="CF1069" s="341">
        <f>IFERROR(VLOOKUP(CE1069,'RawPL+D'!$O$8:$AB$503,12,FALSE),"-")</f>
        <v>0</v>
      </c>
      <c r="CG1069" s="338">
        <f t="shared" si="425"/>
        <v>0</v>
      </c>
      <c r="CH1069" s="341" t="str">
        <f>IFERROR(VLOOKUP(BY1069,'RawPL+D'!$O$8:$AB$503,13,FALSE),"-")</f>
        <v>-</v>
      </c>
      <c r="CI1069" s="338" t="str">
        <f t="shared" si="426"/>
        <v>-</v>
      </c>
    </row>
    <row r="1070" spans="1:87" ht="12.75" hidden="1" customHeight="1" x14ac:dyDescent="0.2">
      <c r="A1070" s="29">
        <v>3</v>
      </c>
      <c r="B1070" s="29">
        <v>6</v>
      </c>
      <c r="C1070" s="13">
        <v>25</v>
      </c>
      <c r="D1070" s="148" t="s">
        <v>299</v>
      </c>
      <c r="E1070" s="10" t="s">
        <v>51</v>
      </c>
      <c r="F1070" s="10" t="s">
        <v>211</v>
      </c>
      <c r="G1070" s="10"/>
      <c r="H1070" s="10"/>
      <c r="I1070" s="10"/>
      <c r="J1070" s="10"/>
      <c r="K1070" s="575"/>
      <c r="L1070" s="152"/>
      <c r="M1070" s="422"/>
      <c r="N1070" s="339"/>
      <c r="O1070" s="62"/>
      <c r="P1070" s="424"/>
      <c r="Q1070" s="171"/>
      <c r="R1070" s="339"/>
      <c r="S1070" s="339"/>
      <c r="T1070" s="63"/>
      <c r="U1070" s="611"/>
      <c r="V1070" s="164"/>
      <c r="W1070" s="62"/>
      <c r="X1070" s="63"/>
      <c r="Y1070" s="62"/>
      <c r="Z1070" s="64"/>
      <c r="AA1070" s="164"/>
      <c r="AB1070" s="62"/>
      <c r="AC1070" s="62"/>
      <c r="AD1070" s="64"/>
      <c r="AE1070" s="164"/>
      <c r="AF1070" s="62"/>
      <c r="AG1070" s="64"/>
      <c r="AH1070" s="337"/>
      <c r="AI1070" s="337"/>
      <c r="AJ1070" s="337"/>
      <c r="AK1070" s="337"/>
      <c r="AL1070" s="412"/>
      <c r="AM1070" s="414"/>
      <c r="AN1070" s="45"/>
      <c r="AO1070" s="45"/>
      <c r="AP1070" s="45"/>
      <c r="AQ1070" s="485"/>
      <c r="AR1070" s="15"/>
      <c r="AS1070" s="485"/>
      <c r="AT1070" s="100"/>
      <c r="AU1070" s="100"/>
      <c r="AV1070" s="100"/>
      <c r="AW1070" s="69">
        <v>25</v>
      </c>
      <c r="AX1070" s="69" t="s">
        <v>299</v>
      </c>
      <c r="AY1070" s="243" t="s">
        <v>51</v>
      </c>
      <c r="AZ1070" s="243" t="str">
        <f t="shared" si="432"/>
        <v>Steelhead</v>
      </c>
      <c r="BA1070" s="243" t="s">
        <v>419</v>
      </c>
      <c r="BB1070" s="246"/>
      <c r="BC1070" s="43" t="str">
        <f t="shared" si="433"/>
        <v>-</v>
      </c>
      <c r="BD1070" s="43">
        <f t="shared" si="431"/>
        <v>0</v>
      </c>
      <c r="BE1070" s="193">
        <f t="shared" si="446"/>
        <v>0</v>
      </c>
      <c r="BF1070" s="193">
        <f t="shared" si="434"/>
        <v>0</v>
      </c>
      <c r="BG1070" s="193">
        <f t="shared" si="435"/>
        <v>0</v>
      </c>
      <c r="BH1070" s="307" t="str">
        <f t="shared" si="448"/>
        <v>-</v>
      </c>
      <c r="BI1070" s="265" t="str">
        <f t="shared" si="451"/>
        <v>-</v>
      </c>
      <c r="BJ1070" s="26" t="str">
        <f t="shared" si="436"/>
        <v>SUCWOA RIVERSteelhead</v>
      </c>
      <c r="BK1070" s="26">
        <f t="shared" si="437"/>
        <v>0</v>
      </c>
      <c r="BL1070" s="33">
        <f t="shared" si="452"/>
        <v>0</v>
      </c>
      <c r="BP1070" s="34"/>
      <c r="BQ1070" s="47" t="str">
        <f t="shared" si="438"/>
        <v>SUCWOA RIVERSteelhead</v>
      </c>
      <c r="BR1070" s="49">
        <f t="shared" si="439"/>
        <v>0</v>
      </c>
      <c r="BS1070" s="49">
        <f t="shared" si="449"/>
        <v>0</v>
      </c>
      <c r="BT1070" s="31">
        <v>0</v>
      </c>
      <c r="BU1070" s="188">
        <f t="shared" si="440"/>
        <v>0</v>
      </c>
      <c r="BV1070" s="188" t="str">
        <f t="shared" si="441"/>
        <v xml:space="preserve"> </v>
      </c>
      <c r="BW1070" s="188" t="str">
        <f t="shared" si="450"/>
        <v xml:space="preserve"> </v>
      </c>
      <c r="BX1070" s="188" t="str">
        <f t="shared" si="442"/>
        <v xml:space="preserve"> </v>
      </c>
      <c r="BY1070" s="50" t="str">
        <f t="shared" si="428"/>
        <v>SUCWOA RIVER_Steelhead</v>
      </c>
      <c r="BZ1070" s="50" t="str">
        <f>IFERROR(VLOOKUP(BY1070,'[1]WCVI Esc'!$C$5:$W$555,18,FALSE),"-")</f>
        <v>-</v>
      </c>
      <c r="CA1070" s="50" t="str">
        <f t="shared" si="443"/>
        <v>-</v>
      </c>
      <c r="CB1070" s="50" t="str">
        <f>IFERROR(VLOOKUP(BY1070,'[1]WCVI Esc'!$C$5:$W$555,19,FALSE),"-")</f>
        <v>-</v>
      </c>
      <c r="CC1070" s="50" t="str">
        <f t="shared" si="444"/>
        <v>-</v>
      </c>
      <c r="CE1070" s="342" t="str">
        <f t="shared" si="447"/>
        <v>SUCWOA RIVER_Steelhead</v>
      </c>
      <c r="CF1070" s="341" t="str">
        <f>IFERROR(VLOOKUP(BY1070,'RawPL+D'!$O$8:$AB$503,12,FALSE),"-")</f>
        <v>-</v>
      </c>
      <c r="CG1070" s="338" t="str">
        <f t="shared" si="425"/>
        <v>-</v>
      </c>
      <c r="CH1070" s="341" t="str">
        <f>IFERROR(VLOOKUP(BY1070,'RawPL+D'!$O$8:$AB$503,13,FALSE),"-")</f>
        <v>-</v>
      </c>
      <c r="CI1070" s="338" t="str">
        <f t="shared" si="426"/>
        <v>-</v>
      </c>
    </row>
    <row r="1071" spans="1:87" ht="12.75" hidden="1" customHeight="1" x14ac:dyDescent="0.2">
      <c r="A1071" s="29">
        <v>3</v>
      </c>
      <c r="B1071" s="29">
        <v>1</v>
      </c>
      <c r="C1071" s="13">
        <v>25</v>
      </c>
      <c r="D1071" s="148" t="s">
        <v>299</v>
      </c>
      <c r="E1071" s="10" t="s">
        <v>53</v>
      </c>
      <c r="F1071" s="10" t="s">
        <v>207</v>
      </c>
      <c r="G1071" s="10"/>
      <c r="H1071" s="10"/>
      <c r="I1071" s="10"/>
      <c r="J1071" s="10"/>
      <c r="K1071" s="575"/>
      <c r="L1071" s="152"/>
      <c r="M1071" s="422"/>
      <c r="N1071" s="339"/>
      <c r="O1071" s="62"/>
      <c r="P1071" s="424"/>
      <c r="Q1071" s="602"/>
      <c r="R1071" s="339"/>
      <c r="S1071" s="339"/>
      <c r="T1071" s="63"/>
      <c r="U1071" s="162"/>
      <c r="V1071" s="164"/>
      <c r="W1071" s="62"/>
      <c r="X1071" s="63"/>
      <c r="Y1071" s="62"/>
      <c r="Z1071" s="64"/>
      <c r="AA1071" s="164"/>
      <c r="AB1071" s="62"/>
      <c r="AC1071" s="62"/>
      <c r="AD1071" s="64"/>
      <c r="AE1071" s="164"/>
      <c r="AF1071" s="62"/>
      <c r="AG1071" s="64"/>
      <c r="AH1071" s="337"/>
      <c r="AI1071" s="337"/>
      <c r="AJ1071" s="337"/>
      <c r="AK1071" s="337"/>
      <c r="AL1071" s="412"/>
      <c r="AM1071" s="414"/>
      <c r="AN1071" s="45"/>
      <c r="AO1071" s="46"/>
      <c r="AP1071" s="45"/>
      <c r="AQ1071" s="485"/>
      <c r="AR1071"/>
      <c r="AS1071" s="485">
        <f>BL1071/BI1071</f>
        <v>0</v>
      </c>
      <c r="AT1071" s="100"/>
      <c r="AU1071" s="100"/>
      <c r="AV1071" s="100"/>
      <c r="AW1071" s="69">
        <v>25</v>
      </c>
      <c r="AX1071" s="69" t="s">
        <v>299</v>
      </c>
      <c r="AY1071" s="243" t="s">
        <v>53</v>
      </c>
      <c r="AZ1071" s="243" t="str">
        <f t="shared" si="432"/>
        <v>Sockeye</v>
      </c>
      <c r="BA1071" s="243" t="s">
        <v>419</v>
      </c>
      <c r="BB1071" s="244" t="s">
        <v>360</v>
      </c>
      <c r="BC1071" s="43" t="str">
        <f t="shared" si="433"/>
        <v>-</v>
      </c>
      <c r="BD1071" s="43">
        <f t="shared" si="431"/>
        <v>0</v>
      </c>
      <c r="BE1071" s="193">
        <f t="shared" si="446"/>
        <v>0</v>
      </c>
      <c r="BF1071" s="193">
        <f t="shared" si="434"/>
        <v>0</v>
      </c>
      <c r="BG1071" s="193">
        <f t="shared" si="435"/>
        <v>0</v>
      </c>
      <c r="BH1071" s="307">
        <f t="shared" si="448"/>
        <v>0</v>
      </c>
      <c r="BI1071" s="265">
        <f t="shared" si="451"/>
        <v>20</v>
      </c>
      <c r="BJ1071" s="26" t="str">
        <f t="shared" si="436"/>
        <v>TLUPANA RIVERSockeye</v>
      </c>
      <c r="BK1071" s="26">
        <f t="shared" si="437"/>
        <v>0</v>
      </c>
      <c r="BL1071" s="33">
        <f t="shared" si="452"/>
        <v>0</v>
      </c>
      <c r="BP1071" s="34"/>
      <c r="BQ1071" s="47" t="str">
        <f t="shared" si="438"/>
        <v>TLUPANA RIVERSockeye</v>
      </c>
      <c r="BR1071" s="49">
        <f t="shared" si="439"/>
        <v>0</v>
      </c>
      <c r="BS1071" s="49">
        <f t="shared" si="449"/>
        <v>0</v>
      </c>
      <c r="BT1071" s="31">
        <v>2016</v>
      </c>
      <c r="BU1071" s="188" t="str">
        <f t="shared" si="440"/>
        <v>Conuma Hatchery</v>
      </c>
      <c r="BV1071" s="188" t="str">
        <f t="shared" si="441"/>
        <v xml:space="preserve"> </v>
      </c>
      <c r="BW1071" s="188" t="str">
        <f t="shared" si="450"/>
        <v xml:space="preserve"> </v>
      </c>
      <c r="BX1071" s="188" t="str">
        <f t="shared" si="442"/>
        <v xml:space="preserve"> </v>
      </c>
      <c r="BY1071" s="50" t="str">
        <f t="shared" si="428"/>
        <v>TLUPANA RIVER_Sockeye</v>
      </c>
      <c r="BZ1071" s="50" t="str">
        <f>IFERROR(VLOOKUP(BY1071,'[1]WCVI Esc'!$C$5:$W$555,18,FALSE),"-")</f>
        <v>-</v>
      </c>
      <c r="CA1071" s="50" t="str">
        <f t="shared" si="443"/>
        <v>-</v>
      </c>
      <c r="CB1071" s="50">
        <f>IFERROR(VLOOKUP(BY1071,'[1]WCVI Esc'!$C$5:$W$555,19,FALSE),"-")</f>
        <v>19.5</v>
      </c>
      <c r="CC1071" s="50">
        <f t="shared" si="444"/>
        <v>20</v>
      </c>
      <c r="CE1071" s="342" t="str">
        <f t="shared" si="447"/>
        <v>TLUPANA RIVER_Sockeye</v>
      </c>
      <c r="CF1071" s="341">
        <f>IFERROR(VLOOKUP(CE1071,'RawPL+D'!$O$8:$AB$503,12,FALSE),"-")</f>
        <v>0</v>
      </c>
      <c r="CG1071" s="338">
        <f t="shared" si="425"/>
        <v>0</v>
      </c>
      <c r="CH1071" s="341">
        <f>IFERROR(VLOOKUP(BY1071,'RawPL+D'!$O$8:$AB$503,13,FALSE),"-")</f>
        <v>0</v>
      </c>
      <c r="CI1071" s="338">
        <f t="shared" si="426"/>
        <v>0</v>
      </c>
    </row>
    <row r="1072" spans="1:87" ht="12.75" hidden="1" customHeight="1" x14ac:dyDescent="0.2">
      <c r="A1072" s="29">
        <v>3</v>
      </c>
      <c r="B1072" s="29">
        <v>2</v>
      </c>
      <c r="C1072" s="13">
        <v>25</v>
      </c>
      <c r="D1072" s="148" t="s">
        <v>299</v>
      </c>
      <c r="E1072" s="10" t="s">
        <v>53</v>
      </c>
      <c r="F1072" s="10" t="s">
        <v>219</v>
      </c>
      <c r="G1072" s="10"/>
      <c r="H1072" s="10"/>
      <c r="I1072" s="10"/>
      <c r="J1072" s="10"/>
      <c r="K1072" s="575"/>
      <c r="L1072" s="152"/>
      <c r="M1072" s="422"/>
      <c r="N1072" s="339"/>
      <c r="O1072" s="62"/>
      <c r="P1072" s="424"/>
      <c r="Q1072" s="602"/>
      <c r="R1072" s="339"/>
      <c r="S1072" s="339"/>
      <c r="T1072" s="63"/>
      <c r="U1072" s="162"/>
      <c r="V1072" s="164"/>
      <c r="W1072" s="62"/>
      <c r="X1072" s="63"/>
      <c r="Y1072" s="62"/>
      <c r="Z1072" s="64"/>
      <c r="AA1072" s="164"/>
      <c r="AB1072" s="62"/>
      <c r="AC1072" s="62"/>
      <c r="AD1072" s="64"/>
      <c r="AE1072" s="164"/>
      <c r="AF1072" s="62"/>
      <c r="AG1072" s="64"/>
      <c r="AH1072" s="337"/>
      <c r="AI1072" s="337"/>
      <c r="AJ1072" s="337"/>
      <c r="AK1072" s="337"/>
      <c r="AL1072" s="412"/>
      <c r="AM1072" s="414"/>
      <c r="AN1072" s="45"/>
      <c r="AO1072" s="46"/>
      <c r="AP1072" s="45"/>
      <c r="AQ1072" s="485">
        <f>AL1072/BI1072</f>
        <v>0</v>
      </c>
      <c r="AR1072" s="485" t="e">
        <f>BL1072/BH1072</f>
        <v>#DIV/0!</v>
      </c>
      <c r="AS1072" s="485">
        <f>BL1072/BI1072</f>
        <v>0</v>
      </c>
      <c r="AT1072" s="100"/>
      <c r="AU1072" s="100"/>
      <c r="AV1072" s="100"/>
      <c r="AW1072" s="69">
        <v>25</v>
      </c>
      <c r="AX1072" s="69" t="s">
        <v>299</v>
      </c>
      <c r="AY1072" s="243" t="s">
        <v>53</v>
      </c>
      <c r="AZ1072" s="243" t="str">
        <f t="shared" si="432"/>
        <v>Coho</v>
      </c>
      <c r="BA1072" s="243" t="s">
        <v>419</v>
      </c>
      <c r="BB1072" s="244" t="s">
        <v>360</v>
      </c>
      <c r="BC1072" s="43" t="str">
        <f t="shared" si="433"/>
        <v>-</v>
      </c>
      <c r="BD1072" s="43">
        <f t="shared" si="431"/>
        <v>0</v>
      </c>
      <c r="BE1072" s="193">
        <f t="shared" si="446"/>
        <v>0</v>
      </c>
      <c r="BF1072" s="193">
        <f t="shared" si="434"/>
        <v>0</v>
      </c>
      <c r="BG1072" s="193">
        <f t="shared" si="435"/>
        <v>0</v>
      </c>
      <c r="BH1072" s="307">
        <f t="shared" si="448"/>
        <v>0</v>
      </c>
      <c r="BI1072" s="265">
        <f t="shared" si="451"/>
        <v>490</v>
      </c>
      <c r="BJ1072" s="26" t="str">
        <f t="shared" si="436"/>
        <v>TLUPANA RIVERCoho</v>
      </c>
      <c r="BK1072" s="26">
        <f t="shared" si="437"/>
        <v>0</v>
      </c>
      <c r="BL1072" s="33">
        <f t="shared" si="452"/>
        <v>0</v>
      </c>
      <c r="BP1072" s="34"/>
      <c r="BQ1072" s="47" t="str">
        <f t="shared" si="438"/>
        <v>TLUPANA RIVERCoho</v>
      </c>
      <c r="BR1072" s="49">
        <f t="shared" si="439"/>
        <v>0</v>
      </c>
      <c r="BS1072" s="49">
        <f t="shared" si="449"/>
        <v>0</v>
      </c>
      <c r="BT1072" s="31">
        <v>2016</v>
      </c>
      <c r="BU1072" s="188" t="str">
        <f t="shared" si="440"/>
        <v>Conuma Hatchery</v>
      </c>
      <c r="BV1072" s="188" t="str">
        <f t="shared" si="441"/>
        <v xml:space="preserve"> </v>
      </c>
      <c r="BW1072" s="188" t="str">
        <f t="shared" si="450"/>
        <v xml:space="preserve"> </v>
      </c>
      <c r="BX1072" s="188" t="str">
        <f t="shared" si="442"/>
        <v xml:space="preserve"> </v>
      </c>
      <c r="BY1072" s="50" t="str">
        <f t="shared" si="428"/>
        <v>TLUPANA RIVER_Coho</v>
      </c>
      <c r="BZ1072" s="50" t="str">
        <f>IFERROR(VLOOKUP(BY1072,'[1]WCVI Esc'!$C$5:$W$555,18,FALSE),"-")</f>
        <v>-</v>
      </c>
      <c r="CA1072" s="50" t="str">
        <f t="shared" si="443"/>
        <v>-</v>
      </c>
      <c r="CB1072" s="50">
        <f>IFERROR(VLOOKUP(BY1072,'[1]WCVI Esc'!$C$5:$W$555,19,FALSE),"-")</f>
        <v>490</v>
      </c>
      <c r="CC1072" s="50">
        <f t="shared" si="444"/>
        <v>490</v>
      </c>
      <c r="CE1072" s="342" t="str">
        <f t="shared" si="447"/>
        <v>TLUPANA RIVER_Coho</v>
      </c>
      <c r="CF1072" s="341">
        <f>IFERROR(VLOOKUP(CE1072,'RawPL+D'!$O$8:$AB$503,12,FALSE),"-")</f>
        <v>0</v>
      </c>
      <c r="CG1072" s="338">
        <f t="shared" si="425"/>
        <v>0</v>
      </c>
      <c r="CH1072" s="341">
        <f>IFERROR(VLOOKUP(BY1072,'RawPL+D'!$O$8:$AB$503,13,FALSE),"-")</f>
        <v>3.5</v>
      </c>
      <c r="CI1072" s="338">
        <f t="shared" si="426"/>
        <v>0</v>
      </c>
    </row>
    <row r="1073" spans="1:87" ht="12.75" hidden="1" customHeight="1" x14ac:dyDescent="0.2">
      <c r="A1073" s="29">
        <v>3</v>
      </c>
      <c r="B1073" s="29">
        <v>3</v>
      </c>
      <c r="C1073" s="13">
        <v>25</v>
      </c>
      <c r="D1073" s="148" t="s">
        <v>299</v>
      </c>
      <c r="E1073" s="10" t="s">
        <v>53</v>
      </c>
      <c r="F1073" s="10" t="s">
        <v>208</v>
      </c>
      <c r="G1073" s="10"/>
      <c r="H1073" s="10"/>
      <c r="I1073" s="10"/>
      <c r="J1073" s="10"/>
      <c r="K1073" s="575"/>
      <c r="L1073" s="152"/>
      <c r="M1073" s="422"/>
      <c r="N1073" s="339"/>
      <c r="O1073" s="62"/>
      <c r="P1073" s="424"/>
      <c r="Q1073" s="602"/>
      <c r="R1073" s="339"/>
      <c r="S1073" s="339"/>
      <c r="T1073" s="63"/>
      <c r="U1073" s="162"/>
      <c r="V1073" s="164"/>
      <c r="W1073" s="62"/>
      <c r="X1073" s="63"/>
      <c r="Y1073" s="62"/>
      <c r="Z1073" s="64"/>
      <c r="AA1073" s="164"/>
      <c r="AB1073" s="62"/>
      <c r="AC1073" s="62"/>
      <c r="AD1073" s="64"/>
      <c r="AE1073" s="164"/>
      <c r="AF1073" s="62"/>
      <c r="AG1073" s="64"/>
      <c r="AH1073" s="337"/>
      <c r="AI1073" s="337"/>
      <c r="AJ1073" s="337"/>
      <c r="AK1073" s="337"/>
      <c r="AL1073" s="412"/>
      <c r="AM1073" s="414"/>
      <c r="AN1073" s="45"/>
      <c r="AO1073" s="46"/>
      <c r="AP1073" s="45"/>
      <c r="AQ1073" s="485"/>
      <c r="AR1073" s="15"/>
      <c r="AS1073" s="485"/>
      <c r="AT1073" s="100"/>
      <c r="AU1073" s="100"/>
      <c r="AV1073" s="100"/>
      <c r="AW1073" s="69">
        <v>25</v>
      </c>
      <c r="AX1073" s="69" t="s">
        <v>299</v>
      </c>
      <c r="AY1073" s="243" t="s">
        <v>53</v>
      </c>
      <c r="AZ1073" s="243" t="str">
        <f t="shared" si="432"/>
        <v>Pink</v>
      </c>
      <c r="BA1073" s="243" t="s">
        <v>419</v>
      </c>
      <c r="BB1073" s="244" t="s">
        <v>360</v>
      </c>
      <c r="BC1073" s="43" t="str">
        <f t="shared" si="433"/>
        <v>-</v>
      </c>
      <c r="BD1073" s="43">
        <f t="shared" si="431"/>
        <v>0</v>
      </c>
      <c r="BE1073" s="193">
        <f t="shared" si="446"/>
        <v>0</v>
      </c>
      <c r="BF1073" s="193">
        <f t="shared" si="434"/>
        <v>0</v>
      </c>
      <c r="BG1073" s="193">
        <f t="shared" si="435"/>
        <v>0</v>
      </c>
      <c r="BH1073" s="307">
        <f t="shared" si="448"/>
        <v>0</v>
      </c>
      <c r="BI1073" s="265">
        <f t="shared" si="451"/>
        <v>0</v>
      </c>
      <c r="BJ1073" s="26" t="str">
        <f t="shared" si="436"/>
        <v>TLUPANA RIVERPink</v>
      </c>
      <c r="BK1073" s="26">
        <f t="shared" si="437"/>
        <v>0</v>
      </c>
      <c r="BL1073" s="33">
        <f t="shared" si="452"/>
        <v>0</v>
      </c>
      <c r="BP1073" s="34"/>
      <c r="BQ1073" s="47" t="str">
        <f t="shared" si="438"/>
        <v>TLUPANA RIVERPink</v>
      </c>
      <c r="BR1073" s="49">
        <f t="shared" si="439"/>
        <v>0</v>
      </c>
      <c r="BS1073" s="49">
        <f t="shared" si="449"/>
        <v>0</v>
      </c>
      <c r="BT1073" s="31">
        <v>2011</v>
      </c>
      <c r="BU1073" s="188" t="str">
        <f t="shared" si="440"/>
        <v>Conuma Hatchery</v>
      </c>
      <c r="BV1073" s="188" t="str">
        <f t="shared" si="441"/>
        <v xml:space="preserve"> </v>
      </c>
      <c r="BW1073" s="188" t="str">
        <f t="shared" si="450"/>
        <v xml:space="preserve"> </v>
      </c>
      <c r="BX1073" s="188" t="str">
        <f t="shared" si="442"/>
        <v xml:space="preserve"> </v>
      </c>
      <c r="BY1073" s="50" t="str">
        <f t="shared" si="428"/>
        <v>TLUPANA RIVER_Pink</v>
      </c>
      <c r="BZ1073" s="50" t="str">
        <f>IFERROR(VLOOKUP(BY1073,'[1]WCVI Esc'!$C$5:$W$555,18,FALSE),"-")</f>
        <v>-</v>
      </c>
      <c r="CA1073" s="50" t="str">
        <f t="shared" si="443"/>
        <v>-</v>
      </c>
      <c r="CB1073" s="50">
        <f>IFERROR(VLOOKUP(BY1073,'[1]WCVI Esc'!$C$5:$W$555,19,FALSE),"-")</f>
        <v>2</v>
      </c>
      <c r="CC1073" s="50">
        <f t="shared" si="444"/>
        <v>0</v>
      </c>
      <c r="CE1073" s="342" t="str">
        <f t="shared" si="447"/>
        <v>TLUPANA RIVER_Pink</v>
      </c>
      <c r="CF1073" s="341">
        <f>IFERROR(VLOOKUP(BY1073,'RawPL+D'!$O$8:$AB$503,12,FALSE),"-")</f>
        <v>0</v>
      </c>
      <c r="CG1073" s="338">
        <f t="shared" si="425"/>
        <v>0</v>
      </c>
      <c r="CH1073" s="341">
        <f>IFERROR(VLOOKUP(BY1073,'RawPL+D'!$O$8:$AB$503,13,FALSE),"-")</f>
        <v>0</v>
      </c>
      <c r="CI1073" s="338">
        <f t="shared" si="426"/>
        <v>0</v>
      </c>
    </row>
    <row r="1074" spans="1:87" ht="12.75" hidden="1" customHeight="1" x14ac:dyDescent="0.2">
      <c r="A1074" s="29">
        <v>3</v>
      </c>
      <c r="B1074" s="29">
        <v>4</v>
      </c>
      <c r="C1074" s="13">
        <v>25</v>
      </c>
      <c r="D1074" s="148" t="s">
        <v>299</v>
      </c>
      <c r="E1074" s="10" t="s">
        <v>53</v>
      </c>
      <c r="F1074" s="10" t="s">
        <v>209</v>
      </c>
      <c r="G1074" s="10"/>
      <c r="H1074" s="10"/>
      <c r="I1074" s="10"/>
      <c r="J1074" s="10"/>
      <c r="K1074" s="575"/>
      <c r="L1074" s="152"/>
      <c r="M1074" s="422"/>
      <c r="N1074" s="339"/>
      <c r="O1074" s="62"/>
      <c r="P1074" s="424"/>
      <c r="Q1074" s="602"/>
      <c r="R1074" s="339"/>
      <c r="S1074" s="339"/>
      <c r="T1074" s="63"/>
      <c r="U1074" s="162"/>
      <c r="V1074" s="164"/>
      <c r="W1074" s="62"/>
      <c r="X1074" s="63"/>
      <c r="Y1074" s="62"/>
      <c r="Z1074" s="64"/>
      <c r="AA1074" s="164"/>
      <c r="AB1074" s="62"/>
      <c r="AC1074" s="62"/>
      <c r="AD1074" s="64"/>
      <c r="AE1074" s="164"/>
      <c r="AF1074" s="62"/>
      <c r="AG1074" s="64"/>
      <c r="AH1074" s="337"/>
      <c r="AI1074" s="337"/>
      <c r="AJ1074" s="337"/>
      <c r="AK1074" s="337"/>
      <c r="AL1074" s="412"/>
      <c r="AM1074" s="414"/>
      <c r="AN1074" s="45"/>
      <c r="AO1074" s="46"/>
      <c r="AP1074" s="45"/>
      <c r="AQ1074" s="485">
        <f>AL1074/BI1074</f>
        <v>0</v>
      </c>
      <c r="AR1074" s="485">
        <f>BL1074/BH1074</f>
        <v>0</v>
      </c>
      <c r="AS1074" s="485">
        <f>BL1074/BI1074</f>
        <v>0</v>
      </c>
      <c r="AT1074" s="100"/>
      <c r="AU1074" s="100"/>
      <c r="AV1074" s="100"/>
      <c r="AW1074" s="69">
        <v>25</v>
      </c>
      <c r="AX1074" s="69" t="s">
        <v>299</v>
      </c>
      <c r="AY1074" s="243" t="s">
        <v>53</v>
      </c>
      <c r="AZ1074" s="243" t="str">
        <f t="shared" si="432"/>
        <v>Chum</v>
      </c>
      <c r="BA1074" s="243" t="s">
        <v>419</v>
      </c>
      <c r="BB1074" s="244" t="s">
        <v>360</v>
      </c>
      <c r="BC1074" s="43" t="str">
        <f t="shared" si="433"/>
        <v>-</v>
      </c>
      <c r="BD1074" s="43">
        <f t="shared" si="431"/>
        <v>0</v>
      </c>
      <c r="BE1074" s="193">
        <f t="shared" si="446"/>
        <v>0</v>
      </c>
      <c r="BF1074" s="193">
        <f t="shared" si="434"/>
        <v>0</v>
      </c>
      <c r="BG1074" s="193">
        <f t="shared" si="435"/>
        <v>0</v>
      </c>
      <c r="BH1074" s="307">
        <f t="shared" si="448"/>
        <v>280</v>
      </c>
      <c r="BI1074" s="265">
        <f t="shared" si="451"/>
        <v>2540</v>
      </c>
      <c r="BJ1074" s="26" t="str">
        <f t="shared" si="436"/>
        <v>TLUPANA RIVERChum</v>
      </c>
      <c r="BK1074" s="26">
        <f t="shared" si="437"/>
        <v>0</v>
      </c>
      <c r="BL1074" s="33">
        <f t="shared" si="452"/>
        <v>0</v>
      </c>
      <c r="BP1074" s="34"/>
      <c r="BQ1074" s="47" t="str">
        <f t="shared" si="438"/>
        <v>TLUPANA RIVERChum</v>
      </c>
      <c r="BR1074" s="49">
        <f t="shared" si="439"/>
        <v>0</v>
      </c>
      <c r="BS1074" s="49">
        <f t="shared" si="449"/>
        <v>0</v>
      </c>
      <c r="BT1074" s="31">
        <v>2016</v>
      </c>
      <c r="BU1074" s="188" t="str">
        <f t="shared" si="440"/>
        <v>Conuma Hatchery</v>
      </c>
      <c r="BV1074" s="188" t="str">
        <f t="shared" si="441"/>
        <v xml:space="preserve"> </v>
      </c>
      <c r="BW1074" s="188" t="str">
        <f t="shared" si="450"/>
        <v xml:space="preserve"> </v>
      </c>
      <c r="BX1074" s="188" t="str">
        <f t="shared" si="442"/>
        <v xml:space="preserve"> </v>
      </c>
      <c r="BY1074" s="50" t="str">
        <f t="shared" si="428"/>
        <v>TLUPANA RIVER_Chum</v>
      </c>
      <c r="BZ1074" s="50">
        <f>IFERROR(VLOOKUP(BY1074,'[1]WCVI Esc'!$C$5:$W$555,18,FALSE),"-")</f>
        <v>496.5</v>
      </c>
      <c r="CA1074" s="50">
        <f t="shared" si="443"/>
        <v>500</v>
      </c>
      <c r="CB1074" s="50">
        <f>IFERROR(VLOOKUP(BY1074,'[1]WCVI Esc'!$C$5:$W$555,19,FALSE),"-")</f>
        <v>2542.5</v>
      </c>
      <c r="CC1074" s="50">
        <f t="shared" si="444"/>
        <v>2540</v>
      </c>
      <c r="CE1074" s="342" t="str">
        <f t="shared" si="447"/>
        <v>TLUPANA RIVER_Chum</v>
      </c>
      <c r="CF1074" s="341">
        <f>IFERROR(VLOOKUP(CE1074,'RawPL+D'!$O$8:$AB$503,12,FALSE),"-")</f>
        <v>0</v>
      </c>
      <c r="CG1074" s="338">
        <f t="shared" si="425"/>
        <v>0</v>
      </c>
      <c r="CH1074" s="341">
        <f>IFERROR(VLOOKUP(BY1074,'RawPL+D'!$O$8:$AB$503,13,FALSE),"-")</f>
        <v>275</v>
      </c>
      <c r="CI1074" s="338">
        <f t="shared" si="426"/>
        <v>280</v>
      </c>
    </row>
    <row r="1075" spans="1:87" ht="12.75" hidden="1" customHeight="1" x14ac:dyDescent="0.2">
      <c r="A1075" s="29">
        <v>3</v>
      </c>
      <c r="B1075" s="29">
        <v>5</v>
      </c>
      <c r="C1075" s="13">
        <v>25</v>
      </c>
      <c r="D1075" s="148" t="s">
        <v>299</v>
      </c>
      <c r="E1075" s="10" t="s">
        <v>53</v>
      </c>
      <c r="F1075" s="10" t="s">
        <v>210</v>
      </c>
      <c r="G1075" s="10"/>
      <c r="H1075" s="10"/>
      <c r="I1075" s="10"/>
      <c r="J1075" s="10"/>
      <c r="K1075" s="575"/>
      <c r="L1075" s="152"/>
      <c r="M1075" s="612"/>
      <c r="N1075" s="339"/>
      <c r="O1075" s="62"/>
      <c r="P1075" s="424"/>
      <c r="Q1075" s="602"/>
      <c r="R1075" s="339"/>
      <c r="S1075" s="339"/>
      <c r="T1075" s="63"/>
      <c r="U1075" s="162"/>
      <c r="V1075" s="164"/>
      <c r="W1075" s="62"/>
      <c r="X1075" s="63"/>
      <c r="Y1075" s="62"/>
      <c r="Z1075" s="64"/>
      <c r="AA1075" s="164"/>
      <c r="AB1075" s="62"/>
      <c r="AC1075" s="62"/>
      <c r="AD1075" s="64"/>
      <c r="AE1075" s="164"/>
      <c r="AF1075" s="62"/>
      <c r="AG1075" s="64"/>
      <c r="AH1075" s="337"/>
      <c r="AI1075" s="337"/>
      <c r="AJ1075" s="337"/>
      <c r="AK1075" s="337"/>
      <c r="AL1075" s="412"/>
      <c r="AM1075" s="414"/>
      <c r="AN1075" s="45"/>
      <c r="AO1075" s="46"/>
      <c r="AP1075" s="45"/>
      <c r="AQ1075" s="485">
        <f>AL1075/BI1075</f>
        <v>0</v>
      </c>
      <c r="AR1075" s="485">
        <f>BL1075/BH1075</f>
        <v>0</v>
      </c>
      <c r="AS1075" s="485">
        <f>BL1075/BI1075</f>
        <v>0</v>
      </c>
      <c r="AT1075" s="100"/>
      <c r="AU1075" s="100"/>
      <c r="AV1075" s="100"/>
      <c r="AW1075" s="69">
        <v>25</v>
      </c>
      <c r="AX1075" s="69" t="s">
        <v>299</v>
      </c>
      <c r="AY1075" s="243" t="s">
        <v>53</v>
      </c>
      <c r="AZ1075" s="243" t="str">
        <f t="shared" si="432"/>
        <v>Chinook</v>
      </c>
      <c r="BA1075" s="243" t="s">
        <v>419</v>
      </c>
      <c r="BB1075" s="244" t="s">
        <v>360</v>
      </c>
      <c r="BC1075" s="43" t="str">
        <f t="shared" si="433"/>
        <v>-</v>
      </c>
      <c r="BD1075" s="43">
        <f t="shared" si="431"/>
        <v>0</v>
      </c>
      <c r="BE1075" s="193">
        <f t="shared" si="446"/>
        <v>0</v>
      </c>
      <c r="BF1075" s="193">
        <f t="shared" si="434"/>
        <v>0</v>
      </c>
      <c r="BG1075" s="193">
        <f t="shared" si="435"/>
        <v>0</v>
      </c>
      <c r="BH1075" s="307">
        <f t="shared" si="448"/>
        <v>20</v>
      </c>
      <c r="BI1075" s="265">
        <f t="shared" si="451"/>
        <v>580</v>
      </c>
      <c r="BJ1075" s="26" t="str">
        <f t="shared" si="436"/>
        <v>TLUPANA RIVERChinook</v>
      </c>
      <c r="BK1075" s="26">
        <f t="shared" si="437"/>
        <v>0</v>
      </c>
      <c r="BL1075" s="33">
        <f t="shared" si="452"/>
        <v>0</v>
      </c>
      <c r="BM1075" s="34"/>
      <c r="BN1075" s="34"/>
      <c r="BP1075" s="34">
        <f>SUM(BM1075:BN1075)/2</f>
        <v>0</v>
      </c>
      <c r="BQ1075" s="47" t="str">
        <f t="shared" si="438"/>
        <v>TLUPANA RIVERChinook</v>
      </c>
      <c r="BR1075" s="49">
        <f t="shared" si="439"/>
        <v>0</v>
      </c>
      <c r="BS1075" s="49">
        <f t="shared" si="449"/>
        <v>0</v>
      </c>
      <c r="BT1075" s="31">
        <v>2016</v>
      </c>
      <c r="BU1075" s="188" t="str">
        <f t="shared" si="440"/>
        <v>Conuma Hatchery</v>
      </c>
      <c r="BV1075" s="188" t="str">
        <f t="shared" si="441"/>
        <v xml:space="preserve"> </v>
      </c>
      <c r="BW1075" s="188" t="str">
        <f t="shared" si="450"/>
        <v xml:space="preserve"> </v>
      </c>
      <c r="BX1075" s="188" t="str">
        <f t="shared" si="442"/>
        <v xml:space="preserve"> </v>
      </c>
      <c r="BY1075" s="50" t="str">
        <f t="shared" si="428"/>
        <v>TLUPANA RIVER_Chinook</v>
      </c>
      <c r="BZ1075" s="50">
        <f>IFERROR(VLOOKUP(BY1075,'[1]WCVI Esc'!$C$5:$W$555,18,FALSE),"-")</f>
        <v>23</v>
      </c>
      <c r="CA1075" s="50">
        <f t="shared" si="443"/>
        <v>20</v>
      </c>
      <c r="CB1075" s="50">
        <f>IFERROR(VLOOKUP(BY1075,'[1]WCVI Esc'!$C$5:$W$555,19,FALSE),"-")</f>
        <v>578.57142857142856</v>
      </c>
      <c r="CC1075" s="50">
        <f t="shared" si="444"/>
        <v>580</v>
      </c>
      <c r="CE1075" s="342" t="str">
        <f t="shared" si="447"/>
        <v>TLUPANA RIVER_Chinook</v>
      </c>
      <c r="CF1075" s="341">
        <f>IFERROR(VLOOKUP(CE1075,'RawPL+D'!$O$8:$AB$503,12,FALSE),"-")</f>
        <v>0</v>
      </c>
      <c r="CG1075" s="338">
        <f t="shared" si="425"/>
        <v>0</v>
      </c>
      <c r="CH1075" s="341">
        <f>IFERROR(VLOOKUP(BY1075,'RawPL+D'!$O$8:$AB$503,13,FALSE),"-")</f>
        <v>16</v>
      </c>
      <c r="CI1075" s="338">
        <f t="shared" si="426"/>
        <v>20</v>
      </c>
    </row>
    <row r="1076" spans="1:87" ht="12.75" hidden="1" customHeight="1" x14ac:dyDescent="0.2">
      <c r="A1076" s="29">
        <v>3</v>
      </c>
      <c r="B1076" s="29">
        <v>6</v>
      </c>
      <c r="C1076" s="13">
        <v>25</v>
      </c>
      <c r="D1076" s="148" t="s">
        <v>299</v>
      </c>
      <c r="E1076" s="10" t="s">
        <v>53</v>
      </c>
      <c r="F1076" s="10" t="s">
        <v>211</v>
      </c>
      <c r="G1076" s="10"/>
      <c r="H1076" s="10"/>
      <c r="I1076" s="10"/>
      <c r="J1076" s="10"/>
      <c r="K1076" s="575"/>
      <c r="L1076" s="152"/>
      <c r="M1076" s="422"/>
      <c r="N1076" s="339"/>
      <c r="O1076" s="62"/>
      <c r="P1076" s="424"/>
      <c r="Q1076" s="602"/>
      <c r="R1076" s="339"/>
      <c r="S1076" s="339"/>
      <c r="T1076" s="63"/>
      <c r="U1076" s="162"/>
      <c r="V1076" s="164"/>
      <c r="W1076" s="62"/>
      <c r="X1076" s="63"/>
      <c r="Y1076" s="62"/>
      <c r="Z1076" s="64"/>
      <c r="AA1076" s="164"/>
      <c r="AB1076" s="62"/>
      <c r="AC1076" s="62"/>
      <c r="AD1076" s="64"/>
      <c r="AE1076" s="164"/>
      <c r="AF1076" s="62"/>
      <c r="AG1076" s="64"/>
      <c r="AH1076" s="337"/>
      <c r="AI1076" s="337"/>
      <c r="AJ1076" s="337"/>
      <c r="AK1076" s="337"/>
      <c r="AL1076" s="412"/>
      <c r="AM1076" s="414"/>
      <c r="AN1076" s="45"/>
      <c r="AO1076" s="45"/>
      <c r="AP1076" s="45"/>
      <c r="AQ1076" s="485"/>
      <c r="AR1076"/>
      <c r="AS1076" s="485"/>
      <c r="AT1076" s="100"/>
      <c r="AU1076" s="100"/>
      <c r="AV1076" s="100"/>
      <c r="AW1076" s="69">
        <v>25</v>
      </c>
      <c r="AX1076" s="69" t="s">
        <v>299</v>
      </c>
      <c r="AY1076" s="243" t="s">
        <v>53</v>
      </c>
      <c r="AZ1076" s="243" t="str">
        <f t="shared" si="432"/>
        <v>Steelhead</v>
      </c>
      <c r="BA1076" s="243" t="s">
        <v>419</v>
      </c>
      <c r="BB1076" s="244" t="s">
        <v>360</v>
      </c>
      <c r="BC1076" s="43" t="str">
        <f t="shared" si="433"/>
        <v>-</v>
      </c>
      <c r="BD1076" s="43">
        <f t="shared" si="431"/>
        <v>0</v>
      </c>
      <c r="BE1076" s="193">
        <f t="shared" si="446"/>
        <v>0</v>
      </c>
      <c r="BF1076" s="193">
        <f t="shared" si="434"/>
        <v>0</v>
      </c>
      <c r="BG1076" s="193">
        <f t="shared" si="435"/>
        <v>0</v>
      </c>
      <c r="BH1076" s="307" t="str">
        <f t="shared" si="448"/>
        <v>-</v>
      </c>
      <c r="BI1076" s="265" t="str">
        <f t="shared" si="451"/>
        <v>-</v>
      </c>
      <c r="BJ1076" s="26" t="str">
        <f t="shared" si="436"/>
        <v>TLUPANA RIVERSteelhead</v>
      </c>
      <c r="BK1076" s="26">
        <f t="shared" si="437"/>
        <v>0</v>
      </c>
      <c r="BL1076" s="33">
        <f t="shared" si="452"/>
        <v>0</v>
      </c>
      <c r="BP1076" s="34"/>
      <c r="BQ1076" s="47" t="str">
        <f t="shared" si="438"/>
        <v>TLUPANA RIVERSteelhead</v>
      </c>
      <c r="BR1076" s="49">
        <f t="shared" si="439"/>
        <v>0</v>
      </c>
      <c r="BS1076" s="49">
        <f t="shared" si="449"/>
        <v>0</v>
      </c>
      <c r="BT1076" s="31">
        <v>0</v>
      </c>
      <c r="BU1076" s="188" t="str">
        <f t="shared" si="440"/>
        <v>Conuma Hatchery</v>
      </c>
      <c r="BV1076" s="188" t="str">
        <f t="shared" si="441"/>
        <v xml:space="preserve"> </v>
      </c>
      <c r="BW1076" s="188" t="str">
        <f t="shared" si="450"/>
        <v xml:space="preserve"> </v>
      </c>
      <c r="BX1076" s="188" t="str">
        <f t="shared" si="442"/>
        <v xml:space="preserve"> </v>
      </c>
      <c r="BY1076" s="50" t="str">
        <f t="shared" si="428"/>
        <v>TLUPANA RIVER_Steelhead</v>
      </c>
      <c r="BZ1076" s="50" t="str">
        <f>IFERROR(VLOOKUP(BY1076,'[1]WCVI Esc'!$C$5:$W$555,18,FALSE),"-")</f>
        <v>-</v>
      </c>
      <c r="CA1076" s="50" t="str">
        <f t="shared" si="443"/>
        <v>-</v>
      </c>
      <c r="CB1076" s="50" t="str">
        <f>IFERROR(VLOOKUP(BY1076,'[1]WCVI Esc'!$C$5:$W$555,19,FALSE),"-")</f>
        <v>-</v>
      </c>
      <c r="CC1076" s="50" t="str">
        <f t="shared" si="444"/>
        <v>-</v>
      </c>
      <c r="CE1076" s="342" t="str">
        <f t="shared" si="447"/>
        <v>TLUPANA RIVER_Steelhead</v>
      </c>
      <c r="CF1076" s="341" t="str">
        <f>IFERROR(VLOOKUP(BY1076,'RawPL+D'!$O$8:$AB$503,12,FALSE),"-")</f>
        <v>-</v>
      </c>
      <c r="CG1076" s="338" t="str">
        <f t="shared" si="425"/>
        <v>-</v>
      </c>
      <c r="CH1076" s="341" t="str">
        <f>IFERROR(VLOOKUP(BY1076,'RawPL+D'!$O$8:$AB$503,13,FALSE),"-")</f>
        <v>-</v>
      </c>
      <c r="CI1076" s="338" t="str">
        <f t="shared" si="426"/>
        <v>-</v>
      </c>
    </row>
    <row r="1077" spans="1:87" ht="12.75" hidden="1" customHeight="1" x14ac:dyDescent="0.2">
      <c r="A1077" s="29">
        <v>3</v>
      </c>
      <c r="B1077" s="29">
        <v>1</v>
      </c>
      <c r="C1077" s="13">
        <v>25</v>
      </c>
      <c r="D1077" s="13" t="s">
        <v>299</v>
      </c>
      <c r="E1077" s="10" t="s">
        <v>54</v>
      </c>
      <c r="F1077" s="10" t="s">
        <v>207</v>
      </c>
      <c r="G1077" s="10"/>
      <c r="H1077" s="10"/>
      <c r="I1077" s="10"/>
      <c r="J1077" s="10"/>
      <c r="K1077" s="575"/>
      <c r="L1077" s="152"/>
      <c r="M1077" s="422"/>
      <c r="N1077" s="339"/>
      <c r="O1077" s="62"/>
      <c r="P1077" s="695">
        <v>0</v>
      </c>
      <c r="Q1077" s="171"/>
      <c r="R1077" s="428"/>
      <c r="S1077" s="339"/>
      <c r="T1077" s="433"/>
      <c r="U1077" s="391"/>
      <c r="V1077" s="164"/>
      <c r="W1077" s="62"/>
      <c r="X1077" s="63"/>
      <c r="Y1077" s="62"/>
      <c r="Z1077" s="64"/>
      <c r="AA1077" s="164"/>
      <c r="AB1077" s="62"/>
      <c r="AC1077" s="62"/>
      <c r="AD1077" s="64"/>
      <c r="AE1077" s="164"/>
      <c r="AF1077" s="62"/>
      <c r="AG1077" s="64"/>
      <c r="AH1077" s="337"/>
      <c r="AI1077" s="337"/>
      <c r="AJ1077" s="337"/>
      <c r="AK1077" s="337"/>
      <c r="AL1077" s="555"/>
      <c r="AM1077" s="552"/>
      <c r="AN1077" s="841"/>
      <c r="AO1077" s="45"/>
      <c r="AP1077" s="45"/>
      <c r="AQ1077" s="485">
        <f>AL1077/BI1077</f>
        <v>0</v>
      </c>
      <c r="AR1077" s="485">
        <f>BL1077/BH1077</f>
        <v>0</v>
      </c>
      <c r="AS1077" s="485">
        <f>BL1077/BI1077</f>
        <v>0</v>
      </c>
      <c r="AT1077" s="100"/>
      <c r="AU1077" s="100"/>
      <c r="AV1077" s="100"/>
      <c r="AW1077" s="69">
        <v>25</v>
      </c>
      <c r="AX1077" s="69" t="s">
        <v>299</v>
      </c>
      <c r="AY1077" s="243" t="s">
        <v>54</v>
      </c>
      <c r="AZ1077" s="243" t="str">
        <f t="shared" si="432"/>
        <v>Sockeye</v>
      </c>
      <c r="BA1077" s="243" t="s">
        <v>419</v>
      </c>
      <c r="BB1077" s="244" t="s">
        <v>452</v>
      </c>
      <c r="BC1077" s="43" t="str">
        <f t="shared" si="433"/>
        <v>Sep 24-30</v>
      </c>
      <c r="BD1077" s="43">
        <f t="shared" si="431"/>
        <v>1</v>
      </c>
      <c r="BE1077" s="193">
        <f t="shared" si="446"/>
        <v>0</v>
      </c>
      <c r="BF1077" s="193">
        <f t="shared" si="434"/>
        <v>0</v>
      </c>
      <c r="BG1077" s="193">
        <f t="shared" si="435"/>
        <v>0</v>
      </c>
      <c r="BH1077" s="307">
        <f t="shared" si="448"/>
        <v>10</v>
      </c>
      <c r="BI1077" s="265">
        <f t="shared" si="451"/>
        <v>20</v>
      </c>
      <c r="BJ1077" s="26" t="str">
        <f t="shared" si="436"/>
        <v>TSOWWIN RIVERSockeye</v>
      </c>
      <c r="BK1077" s="26">
        <f t="shared" si="437"/>
        <v>1</v>
      </c>
      <c r="BL1077" s="33">
        <f t="shared" si="452"/>
        <v>0</v>
      </c>
      <c r="BP1077" s="34"/>
      <c r="BQ1077" s="47" t="str">
        <f t="shared" si="438"/>
        <v>TSOWWIN RIVERSockeye</v>
      </c>
      <c r="BR1077" s="49">
        <f t="shared" si="439"/>
        <v>0</v>
      </c>
      <c r="BS1077" s="49">
        <f t="shared" si="449"/>
        <v>0</v>
      </c>
      <c r="BT1077" s="31">
        <v>2013</v>
      </c>
      <c r="BU1077" s="188" t="str">
        <f t="shared" si="440"/>
        <v>MMFN</v>
      </c>
      <c r="BV1077" s="188" t="str">
        <f t="shared" si="441"/>
        <v>Sep 24-30</v>
      </c>
      <c r="BW1077" s="188" t="str">
        <f t="shared" si="450"/>
        <v xml:space="preserve"> </v>
      </c>
      <c r="BX1077" s="188" t="str">
        <f t="shared" si="442"/>
        <v xml:space="preserve"> </v>
      </c>
      <c r="BY1077" s="50" t="str">
        <f t="shared" si="428"/>
        <v>TSOWWIN RIVER_Sockeye</v>
      </c>
      <c r="BZ1077" s="50">
        <f>IFERROR(VLOOKUP(BY1077,'[1]WCVI Esc'!$C$5:$W$555,18,FALSE),"-")</f>
        <v>18.666666666666668</v>
      </c>
      <c r="CA1077" s="50">
        <f t="shared" si="443"/>
        <v>20</v>
      </c>
      <c r="CB1077" s="50">
        <f>IFERROR(VLOOKUP(BY1077,'[1]WCVI Esc'!$C$5:$W$555,19,FALSE),"-")</f>
        <v>21.6</v>
      </c>
      <c r="CC1077" s="50">
        <f t="shared" si="444"/>
        <v>20</v>
      </c>
      <c r="CE1077" s="342" t="str">
        <f t="shared" si="447"/>
        <v>TSOWWIN RIVER_Sockeye</v>
      </c>
      <c r="CF1077" s="341">
        <f>IFERROR(VLOOKUP(CE1077,'RawPL+D'!$O$8:$AB$503,12,FALSE),"-")</f>
        <v>0</v>
      </c>
      <c r="CG1077" s="338">
        <f t="shared" si="425"/>
        <v>0</v>
      </c>
      <c r="CH1077" s="341">
        <f>IFERROR(VLOOKUP(BY1077,'RawPL+D'!$O$8:$AB$503,13,FALSE),"-")</f>
        <v>10.5</v>
      </c>
      <c r="CI1077" s="338">
        <f t="shared" si="426"/>
        <v>10</v>
      </c>
    </row>
    <row r="1078" spans="1:87" ht="12.75" hidden="1" customHeight="1" x14ac:dyDescent="0.2">
      <c r="A1078" s="29">
        <v>3</v>
      </c>
      <c r="B1078" s="29">
        <v>2</v>
      </c>
      <c r="C1078" s="13">
        <v>25</v>
      </c>
      <c r="D1078" s="13" t="s">
        <v>299</v>
      </c>
      <c r="E1078" s="10" t="s">
        <v>54</v>
      </c>
      <c r="F1078" s="10" t="s">
        <v>219</v>
      </c>
      <c r="G1078" s="10"/>
      <c r="H1078" s="10"/>
      <c r="I1078" s="10"/>
      <c r="J1078" s="10"/>
      <c r="K1078" s="575"/>
      <c r="L1078" s="152"/>
      <c r="M1078" s="422"/>
      <c r="N1078" s="339"/>
      <c r="O1078" s="62"/>
      <c r="P1078" s="695">
        <v>0</v>
      </c>
      <c r="Q1078" s="171"/>
      <c r="R1078" s="339"/>
      <c r="S1078" s="339"/>
      <c r="T1078" s="425"/>
      <c r="U1078" s="391"/>
      <c r="V1078" s="164"/>
      <c r="W1078" s="62"/>
      <c r="X1078" s="63"/>
      <c r="Y1078" s="62"/>
      <c r="Z1078" s="64"/>
      <c r="AA1078" s="164"/>
      <c r="AB1078" s="62"/>
      <c r="AC1078" s="62"/>
      <c r="AD1078" s="64"/>
      <c r="AE1078" s="164"/>
      <c r="AF1078" s="62"/>
      <c r="AG1078" s="64"/>
      <c r="AH1078" s="337"/>
      <c r="AI1078" s="337"/>
      <c r="AJ1078" s="337"/>
      <c r="AK1078" s="337"/>
      <c r="AL1078" s="555"/>
      <c r="AM1078" s="552"/>
      <c r="AN1078" s="841"/>
      <c r="AO1078" s="45"/>
      <c r="AP1078" s="45"/>
      <c r="AQ1078" s="485">
        <f>AL1078/BI1078</f>
        <v>0</v>
      </c>
      <c r="AR1078" s="485">
        <f>BL1078/BH1078</f>
        <v>0</v>
      </c>
      <c r="AS1078" s="485">
        <f>BL1078/BI1078</f>
        <v>0</v>
      </c>
      <c r="AT1078" s="100"/>
      <c r="AU1078" s="100"/>
      <c r="AV1078" s="100"/>
      <c r="AW1078" s="69">
        <v>25</v>
      </c>
      <c r="AX1078" s="69" t="s">
        <v>299</v>
      </c>
      <c r="AY1078" s="243" t="s">
        <v>54</v>
      </c>
      <c r="AZ1078" s="243" t="str">
        <f t="shared" si="432"/>
        <v>Coho</v>
      </c>
      <c r="BA1078" s="243" t="s">
        <v>419</v>
      </c>
      <c r="BB1078" s="244" t="s">
        <v>452</v>
      </c>
      <c r="BC1078" s="43" t="str">
        <f t="shared" si="433"/>
        <v>Sep 24-30</v>
      </c>
      <c r="BD1078" s="43">
        <f t="shared" si="431"/>
        <v>1</v>
      </c>
      <c r="BE1078" s="193">
        <f t="shared" si="446"/>
        <v>0</v>
      </c>
      <c r="BF1078" s="193">
        <f t="shared" si="434"/>
        <v>0</v>
      </c>
      <c r="BG1078" s="193">
        <f t="shared" si="435"/>
        <v>0</v>
      </c>
      <c r="BH1078" s="307">
        <f t="shared" si="448"/>
        <v>50</v>
      </c>
      <c r="BI1078" s="265">
        <f t="shared" si="451"/>
        <v>220</v>
      </c>
      <c r="BJ1078" s="26" t="str">
        <f t="shared" si="436"/>
        <v>TSOWWIN RIVERCoho</v>
      </c>
      <c r="BK1078" s="26">
        <f t="shared" si="437"/>
        <v>1</v>
      </c>
      <c r="BL1078" s="33">
        <f t="shared" si="452"/>
        <v>0</v>
      </c>
      <c r="BP1078" s="34"/>
      <c r="BQ1078" s="47" t="str">
        <f t="shared" si="438"/>
        <v>TSOWWIN RIVERCoho</v>
      </c>
      <c r="BR1078" s="49">
        <f t="shared" si="439"/>
        <v>0</v>
      </c>
      <c r="BS1078" s="49">
        <f t="shared" si="449"/>
        <v>0</v>
      </c>
      <c r="BT1078" s="31">
        <v>2014</v>
      </c>
      <c r="BU1078" s="188" t="str">
        <f t="shared" si="440"/>
        <v>MMFN</v>
      </c>
      <c r="BV1078" s="188" t="str">
        <f t="shared" si="441"/>
        <v>Sep 24-30</v>
      </c>
      <c r="BW1078" s="188" t="str">
        <f t="shared" si="450"/>
        <v xml:space="preserve"> </v>
      </c>
      <c r="BX1078" s="188" t="str">
        <f t="shared" si="442"/>
        <v xml:space="preserve"> </v>
      </c>
      <c r="BY1078" s="50" t="str">
        <f t="shared" si="428"/>
        <v>TSOWWIN RIVER_Coho</v>
      </c>
      <c r="BZ1078" s="50">
        <f>IFERROR(VLOOKUP(BY1078,'[1]WCVI Esc'!$C$5:$W$555,18,FALSE),"-")</f>
        <v>79</v>
      </c>
      <c r="CA1078" s="50">
        <f t="shared" si="443"/>
        <v>80</v>
      </c>
      <c r="CB1078" s="50">
        <f>IFERROR(VLOOKUP(BY1078,'[1]WCVI Esc'!$C$5:$W$555,19,FALSE),"-")</f>
        <v>224.42857142857142</v>
      </c>
      <c r="CC1078" s="50">
        <f t="shared" si="444"/>
        <v>220</v>
      </c>
      <c r="CE1078" s="342" t="str">
        <f t="shared" si="447"/>
        <v>TSOWWIN RIVER_Coho</v>
      </c>
      <c r="CF1078" s="341">
        <f>IFERROR(VLOOKUP(CE1078,'RawPL+D'!$O$8:$AB$503,12,FALSE),"-")</f>
        <v>0</v>
      </c>
      <c r="CG1078" s="338">
        <f t="shared" si="425"/>
        <v>0</v>
      </c>
      <c r="CH1078" s="341">
        <f>IFERROR(VLOOKUP(BY1078,'RawPL+D'!$O$8:$AB$503,13,FALSE),"-")</f>
        <v>48.75</v>
      </c>
      <c r="CI1078" s="338">
        <f t="shared" si="426"/>
        <v>50</v>
      </c>
    </row>
    <row r="1079" spans="1:87" ht="12.75" hidden="1" customHeight="1" x14ac:dyDescent="0.2">
      <c r="A1079" s="29">
        <v>3</v>
      </c>
      <c r="B1079" s="29">
        <v>3</v>
      </c>
      <c r="C1079" s="13">
        <v>25</v>
      </c>
      <c r="D1079" s="13" t="s">
        <v>299</v>
      </c>
      <c r="E1079" s="10" t="s">
        <v>54</v>
      </c>
      <c r="F1079" s="10" t="s">
        <v>208</v>
      </c>
      <c r="G1079" s="10"/>
      <c r="H1079" s="10"/>
      <c r="I1079" s="10"/>
      <c r="J1079" s="10"/>
      <c r="K1079" s="575"/>
      <c r="L1079" s="152"/>
      <c r="M1079" s="422"/>
      <c r="N1079" s="339"/>
      <c r="O1079" s="62"/>
      <c r="P1079" s="695">
        <v>0</v>
      </c>
      <c r="Q1079" s="171"/>
      <c r="R1079" s="339"/>
      <c r="S1079" s="339"/>
      <c r="T1079" s="425"/>
      <c r="U1079" s="64"/>
      <c r="V1079" s="164"/>
      <c r="W1079" s="62"/>
      <c r="X1079" s="63"/>
      <c r="Y1079" s="62"/>
      <c r="Z1079" s="64"/>
      <c r="AA1079" s="164"/>
      <c r="AB1079" s="62"/>
      <c r="AC1079" s="62"/>
      <c r="AD1079" s="64"/>
      <c r="AE1079" s="164"/>
      <c r="AF1079" s="62"/>
      <c r="AG1079" s="64"/>
      <c r="AH1079" s="337"/>
      <c r="AI1079" s="337"/>
      <c r="AJ1079" s="337"/>
      <c r="AK1079" s="337"/>
      <c r="AL1079" s="555"/>
      <c r="AM1079" s="552"/>
      <c r="AN1079" s="45"/>
      <c r="AO1079" s="45"/>
      <c r="AP1079" s="45"/>
      <c r="AQ1079" s="485"/>
      <c r="AR1079" s="100"/>
      <c r="AS1079" s="485"/>
      <c r="AT1079" s="100"/>
      <c r="AU1079" s="100"/>
      <c r="AV1079" s="100"/>
      <c r="AW1079" s="69">
        <v>25</v>
      </c>
      <c r="AX1079" s="69" t="s">
        <v>299</v>
      </c>
      <c r="AY1079" s="243" t="s">
        <v>54</v>
      </c>
      <c r="AZ1079" s="243" t="str">
        <f t="shared" si="432"/>
        <v>Pink</v>
      </c>
      <c r="BA1079" s="243" t="s">
        <v>419</v>
      </c>
      <c r="BB1079" s="244" t="s">
        <v>452</v>
      </c>
      <c r="BC1079" s="43" t="str">
        <f t="shared" si="433"/>
        <v>Sep 24-30</v>
      </c>
      <c r="BD1079" s="43">
        <f t="shared" si="431"/>
        <v>1</v>
      </c>
      <c r="BE1079" s="193">
        <f t="shared" si="446"/>
        <v>0</v>
      </c>
      <c r="BF1079" s="193">
        <f t="shared" si="434"/>
        <v>0</v>
      </c>
      <c r="BG1079" s="193">
        <f t="shared" si="435"/>
        <v>0</v>
      </c>
      <c r="BH1079" s="307" t="str">
        <f t="shared" si="448"/>
        <v>-</v>
      </c>
      <c r="BI1079" s="265"/>
      <c r="BJ1079" s="26" t="str">
        <f t="shared" si="436"/>
        <v>TSOWWIN RIVERPink</v>
      </c>
      <c r="BK1079" s="26">
        <f t="shared" si="437"/>
        <v>1</v>
      </c>
      <c r="BL1079" s="33">
        <f t="shared" si="452"/>
        <v>0</v>
      </c>
      <c r="BP1079" s="34"/>
      <c r="BQ1079" s="47" t="str">
        <f t="shared" si="438"/>
        <v>TSOWWIN RIVERPink</v>
      </c>
      <c r="BR1079" s="49">
        <f t="shared" si="439"/>
        <v>0</v>
      </c>
      <c r="BS1079" s="49">
        <f t="shared" si="449"/>
        <v>0</v>
      </c>
      <c r="BT1079" s="31">
        <v>0</v>
      </c>
      <c r="BU1079" s="188" t="str">
        <f t="shared" si="440"/>
        <v>MMFN</v>
      </c>
      <c r="BV1079" s="188" t="str">
        <f t="shared" si="441"/>
        <v>Sep 24-30</v>
      </c>
      <c r="BW1079" s="188" t="str">
        <f t="shared" si="450"/>
        <v xml:space="preserve"> </v>
      </c>
      <c r="BX1079" s="188" t="str">
        <f t="shared" si="442"/>
        <v xml:space="preserve"> </v>
      </c>
      <c r="BY1079" s="50" t="str">
        <f t="shared" si="428"/>
        <v>TSOWWIN RIVER_Pink</v>
      </c>
      <c r="BZ1079" s="50" t="str">
        <f>IFERROR(VLOOKUP(BY1079,'[1]WCVI Esc'!$C$5:$W$555,18,FALSE),"-")</f>
        <v>-</v>
      </c>
      <c r="CA1079" s="50" t="str">
        <f t="shared" si="443"/>
        <v>-</v>
      </c>
      <c r="CB1079" s="50" t="str">
        <f>IFERROR(VLOOKUP(BY1079,'[1]WCVI Esc'!$C$5:$W$555,19,FALSE),"-")</f>
        <v>-</v>
      </c>
      <c r="CC1079" s="50" t="str">
        <f t="shared" si="444"/>
        <v>-</v>
      </c>
      <c r="CE1079" s="342" t="str">
        <f t="shared" si="447"/>
        <v>TSOWWIN RIVER_Pink</v>
      </c>
      <c r="CF1079" s="341" t="str">
        <f>IFERROR(VLOOKUP(BY1079,'RawPL+D'!$O$8:$AB$503,12,FALSE),"-")</f>
        <v>-</v>
      </c>
      <c r="CG1079" s="338" t="str">
        <f t="shared" si="425"/>
        <v>-</v>
      </c>
      <c r="CH1079" s="341" t="str">
        <f>IFERROR(VLOOKUP(BY1079,'RawPL+D'!$O$8:$AB$503,13,FALSE),"-")</f>
        <v>-</v>
      </c>
      <c r="CI1079" s="338" t="str">
        <f t="shared" si="426"/>
        <v>-</v>
      </c>
    </row>
    <row r="1080" spans="1:87" ht="12.75" hidden="1" customHeight="1" x14ac:dyDescent="0.2">
      <c r="A1080" s="29">
        <v>3</v>
      </c>
      <c r="B1080" s="29">
        <v>4</v>
      </c>
      <c r="C1080" s="13">
        <v>25</v>
      </c>
      <c r="D1080" s="13" t="s">
        <v>299</v>
      </c>
      <c r="E1080" s="10" t="s">
        <v>54</v>
      </c>
      <c r="F1080" s="10" t="s">
        <v>209</v>
      </c>
      <c r="G1080" s="10"/>
      <c r="H1080" s="10"/>
      <c r="I1080" s="10"/>
      <c r="J1080" s="10"/>
      <c r="K1080" s="575"/>
      <c r="L1080" s="152"/>
      <c r="M1080" s="422"/>
      <c r="N1080" s="339"/>
      <c r="O1080" s="62"/>
      <c r="P1080" s="695">
        <v>0</v>
      </c>
      <c r="Q1080" s="171"/>
      <c r="R1080" s="460"/>
      <c r="S1080" s="339"/>
      <c r="T1080" s="438"/>
      <c r="U1080" s="391"/>
      <c r="V1080" s="421"/>
      <c r="W1080" s="62"/>
      <c r="X1080" s="63"/>
      <c r="Y1080" s="62"/>
      <c r="Z1080" s="64"/>
      <c r="AA1080" s="164"/>
      <c r="AB1080" s="62"/>
      <c r="AC1080" s="62"/>
      <c r="AD1080" s="64"/>
      <c r="AE1080" s="164"/>
      <c r="AF1080" s="62"/>
      <c r="AG1080" s="64"/>
      <c r="AH1080" s="337"/>
      <c r="AI1080" s="337"/>
      <c r="AJ1080" s="337"/>
      <c r="AK1080" s="337"/>
      <c r="AL1080" s="555"/>
      <c r="AM1080" s="552"/>
      <c r="AN1080" s="841"/>
      <c r="AO1080" s="45"/>
      <c r="AP1080" s="45"/>
      <c r="AQ1080" s="485">
        <f>AL1080/BI1080</f>
        <v>0</v>
      </c>
      <c r="AR1080" s="485">
        <f>BL1080/BH1080</f>
        <v>0</v>
      </c>
      <c r="AS1080" s="485">
        <f>BL1080/BI1080</f>
        <v>0</v>
      </c>
      <c r="AT1080" s="100"/>
      <c r="AU1080" s="100"/>
      <c r="AV1080" s="100"/>
      <c r="AW1080" s="69">
        <v>25</v>
      </c>
      <c r="AX1080" s="69" t="s">
        <v>299</v>
      </c>
      <c r="AY1080" s="243" t="s">
        <v>54</v>
      </c>
      <c r="AZ1080" s="243" t="str">
        <f t="shared" si="432"/>
        <v>Chum</v>
      </c>
      <c r="BA1080" s="243" t="s">
        <v>419</v>
      </c>
      <c r="BB1080" s="244" t="s">
        <v>452</v>
      </c>
      <c r="BC1080" s="43" t="str">
        <f t="shared" si="433"/>
        <v>Sep 24-30</v>
      </c>
      <c r="BD1080" s="43">
        <f t="shared" si="431"/>
        <v>1</v>
      </c>
      <c r="BE1080" s="193">
        <f t="shared" si="446"/>
        <v>0</v>
      </c>
      <c r="BF1080" s="193">
        <f t="shared" si="434"/>
        <v>0</v>
      </c>
      <c r="BG1080" s="193">
        <f t="shared" si="435"/>
        <v>0</v>
      </c>
      <c r="BH1080" s="307">
        <f t="shared" si="448"/>
        <v>180</v>
      </c>
      <c r="BI1080" s="265">
        <f>CC1080</f>
        <v>1040</v>
      </c>
      <c r="BJ1080" s="26" t="str">
        <f t="shared" si="436"/>
        <v>TSOWWIN RIVERChum</v>
      </c>
      <c r="BK1080" s="26">
        <f t="shared" si="437"/>
        <v>1</v>
      </c>
      <c r="BL1080" s="33">
        <f t="shared" si="452"/>
        <v>0</v>
      </c>
      <c r="BP1080" s="34"/>
      <c r="BQ1080" s="47" t="str">
        <f t="shared" si="438"/>
        <v>TSOWWIN RIVERChum</v>
      </c>
      <c r="BR1080" s="49">
        <f t="shared" si="439"/>
        <v>0</v>
      </c>
      <c r="BS1080" s="49">
        <f t="shared" si="449"/>
        <v>0</v>
      </c>
      <c r="BT1080" s="31">
        <v>2014</v>
      </c>
      <c r="BU1080" s="188" t="str">
        <f t="shared" si="440"/>
        <v>MMFN</v>
      </c>
      <c r="BV1080" s="188" t="str">
        <f t="shared" si="441"/>
        <v>Sep 24-30</v>
      </c>
      <c r="BW1080" s="188" t="str">
        <f t="shared" si="450"/>
        <v xml:space="preserve"> </v>
      </c>
      <c r="BX1080" s="188" t="str">
        <f t="shared" si="442"/>
        <v xml:space="preserve"> </v>
      </c>
      <c r="BY1080" s="50" t="str">
        <f t="shared" si="428"/>
        <v>TSOWWIN RIVER_Chum</v>
      </c>
      <c r="BZ1080" s="50">
        <f>IFERROR(VLOOKUP(BY1080,'[1]WCVI Esc'!$C$5:$W$555,18,FALSE),"-")</f>
        <v>301</v>
      </c>
      <c r="CA1080" s="50">
        <f t="shared" si="443"/>
        <v>300</v>
      </c>
      <c r="CB1080" s="50">
        <f>IFERROR(VLOOKUP(BY1080,'[1]WCVI Esc'!$C$5:$W$555,19,FALSE),"-")</f>
        <v>1040.7142857142858</v>
      </c>
      <c r="CC1080" s="50">
        <f t="shared" si="444"/>
        <v>1040</v>
      </c>
      <c r="CE1080" s="342" t="str">
        <f t="shared" si="447"/>
        <v>TSOWWIN RIVER_Chum</v>
      </c>
      <c r="CF1080" s="341">
        <f>IFERROR(VLOOKUP(CE1080,'RawPL+D'!$O$8:$AB$503,12,FALSE),"-")</f>
        <v>0</v>
      </c>
      <c r="CG1080" s="338">
        <f t="shared" si="425"/>
        <v>0</v>
      </c>
      <c r="CH1080" s="341">
        <f>IFERROR(VLOOKUP(BY1080,'RawPL+D'!$O$8:$AB$503,13,FALSE),"-")</f>
        <v>181</v>
      </c>
      <c r="CI1080" s="338">
        <f t="shared" si="426"/>
        <v>180</v>
      </c>
    </row>
    <row r="1081" spans="1:87" ht="12.75" hidden="1" customHeight="1" x14ac:dyDescent="0.2">
      <c r="A1081" s="29">
        <v>3</v>
      </c>
      <c r="B1081" s="29">
        <v>5</v>
      </c>
      <c r="C1081" s="13">
        <v>25</v>
      </c>
      <c r="D1081" s="13" t="s">
        <v>299</v>
      </c>
      <c r="E1081" s="10" t="s">
        <v>54</v>
      </c>
      <c r="F1081" s="10" t="s">
        <v>210</v>
      </c>
      <c r="G1081" s="10"/>
      <c r="H1081" s="10"/>
      <c r="I1081" s="10"/>
      <c r="J1081" s="10"/>
      <c r="K1081" s="575"/>
      <c r="L1081" s="152"/>
      <c r="M1081" s="422"/>
      <c r="N1081" s="339"/>
      <c r="O1081" s="62"/>
      <c r="P1081" s="695">
        <v>0</v>
      </c>
      <c r="Q1081" s="171"/>
      <c r="R1081" s="439"/>
      <c r="S1081" s="339"/>
      <c r="T1081" s="433"/>
      <c r="U1081" s="391"/>
      <c r="V1081" s="164"/>
      <c r="W1081" s="62"/>
      <c r="X1081" s="63"/>
      <c r="Y1081" s="62"/>
      <c r="Z1081" s="64"/>
      <c r="AA1081" s="164"/>
      <c r="AB1081" s="62"/>
      <c r="AC1081" s="62"/>
      <c r="AD1081" s="64"/>
      <c r="AE1081" s="164"/>
      <c r="AF1081" s="62"/>
      <c r="AG1081" s="64"/>
      <c r="AH1081" s="337"/>
      <c r="AI1081" s="337"/>
      <c r="AJ1081" s="337"/>
      <c r="AK1081" s="337"/>
      <c r="AL1081" s="555"/>
      <c r="AM1081" s="552"/>
      <c r="AN1081" s="841"/>
      <c r="AO1081" s="45"/>
      <c r="AP1081" s="45"/>
      <c r="AQ1081" s="485">
        <f>AL1081/BI1081</f>
        <v>0</v>
      </c>
      <c r="AR1081" s="485">
        <f>BL1081/BH1081</f>
        <v>0</v>
      </c>
      <c r="AS1081" s="485">
        <f>BL1081/BI1081</f>
        <v>0</v>
      </c>
      <c r="AT1081" s="100"/>
      <c r="AU1081" s="100"/>
      <c r="AV1081" s="100"/>
      <c r="AW1081" s="69">
        <v>25</v>
      </c>
      <c r="AX1081" s="69" t="s">
        <v>299</v>
      </c>
      <c r="AY1081" s="243" t="s">
        <v>54</v>
      </c>
      <c r="AZ1081" s="243" t="str">
        <f t="shared" si="432"/>
        <v>Chinook</v>
      </c>
      <c r="BA1081" s="243" t="s">
        <v>419</v>
      </c>
      <c r="BB1081" s="244" t="s">
        <v>452</v>
      </c>
      <c r="BC1081" s="43" t="str">
        <f t="shared" si="433"/>
        <v>Sep 24-30</v>
      </c>
      <c r="BD1081" s="43">
        <f t="shared" si="431"/>
        <v>1</v>
      </c>
      <c r="BE1081" s="193">
        <f t="shared" si="446"/>
        <v>0</v>
      </c>
      <c r="BF1081" s="193">
        <f t="shared" si="434"/>
        <v>0</v>
      </c>
      <c r="BG1081" s="193">
        <f t="shared" si="435"/>
        <v>0</v>
      </c>
      <c r="BH1081" s="307">
        <f t="shared" si="448"/>
        <v>10</v>
      </c>
      <c r="BI1081" s="265">
        <f>CC1081</f>
        <v>30</v>
      </c>
      <c r="BJ1081" s="26" t="str">
        <f t="shared" si="436"/>
        <v>TSOWWIN RIVERChinook</v>
      </c>
      <c r="BK1081" s="26">
        <f t="shared" si="437"/>
        <v>1</v>
      </c>
      <c r="BL1081" s="33">
        <f t="shared" si="452"/>
        <v>0</v>
      </c>
      <c r="BM1081" s="34"/>
      <c r="BN1081" s="34"/>
      <c r="BP1081" s="34">
        <f>SUM(BM1081:BN1081)/2</f>
        <v>0</v>
      </c>
      <c r="BQ1081" s="47" t="str">
        <f t="shared" si="438"/>
        <v>TSOWWIN RIVERChinook</v>
      </c>
      <c r="BR1081" s="49">
        <f t="shared" si="439"/>
        <v>0</v>
      </c>
      <c r="BS1081" s="49">
        <f t="shared" si="449"/>
        <v>0</v>
      </c>
      <c r="BT1081" s="31">
        <v>2014</v>
      </c>
      <c r="BU1081" s="188" t="str">
        <f t="shared" si="440"/>
        <v>MMFN</v>
      </c>
      <c r="BV1081" s="188" t="str">
        <f t="shared" si="441"/>
        <v>Sep 24-30</v>
      </c>
      <c r="BW1081" s="188" t="str">
        <f t="shared" si="450"/>
        <v xml:space="preserve"> </v>
      </c>
      <c r="BX1081" s="188" t="str">
        <f t="shared" si="442"/>
        <v xml:space="preserve"> </v>
      </c>
      <c r="BY1081" s="50" t="str">
        <f t="shared" si="428"/>
        <v>TSOWWIN RIVER_Chinook</v>
      </c>
      <c r="BZ1081" s="50">
        <f>IFERROR(VLOOKUP(BY1081,'[1]WCVI Esc'!$C$5:$W$555,18,FALSE),"-")</f>
        <v>29</v>
      </c>
      <c r="CA1081" s="50">
        <f t="shared" si="443"/>
        <v>30</v>
      </c>
      <c r="CB1081" s="50">
        <f>IFERROR(VLOOKUP(BY1081,'[1]WCVI Esc'!$C$5:$W$555,19,FALSE),"-")</f>
        <v>26.2</v>
      </c>
      <c r="CC1081" s="50">
        <f t="shared" si="444"/>
        <v>30</v>
      </c>
      <c r="CE1081" s="342" t="str">
        <f t="shared" ref="CE1081:CE1112" si="453">CONCATENATE(E1081,"_",F1081)</f>
        <v>TSOWWIN RIVER_Chinook</v>
      </c>
      <c r="CF1081" s="341">
        <f>IFERROR(VLOOKUP(CE1081,'RawPL+D'!$O$8:$AB$503,12,FALSE),"-")</f>
        <v>0</v>
      </c>
      <c r="CG1081" s="338">
        <f t="shared" ref="CG1081:CG1144" si="454">IFERROR(ROUND(CF1081,-1),"-")</f>
        <v>0</v>
      </c>
      <c r="CH1081" s="341">
        <f>IFERROR(VLOOKUP(BY1081,'RawPL+D'!$O$8:$AB$503,13,FALSE),"-")</f>
        <v>10.75</v>
      </c>
      <c r="CI1081" s="338">
        <f t="shared" ref="CI1081:CI1144" si="455">IFERROR(ROUND(CH1081,-1),"-")</f>
        <v>10</v>
      </c>
    </row>
    <row r="1082" spans="1:87" ht="12.75" hidden="1" customHeight="1" x14ac:dyDescent="0.2">
      <c r="A1082" s="29">
        <v>3</v>
      </c>
      <c r="B1082" s="29">
        <v>6</v>
      </c>
      <c r="C1082" s="13">
        <v>25</v>
      </c>
      <c r="D1082" s="13" t="s">
        <v>299</v>
      </c>
      <c r="E1082" s="10" t="s">
        <v>54</v>
      </c>
      <c r="F1082" s="10" t="s">
        <v>211</v>
      </c>
      <c r="G1082" s="10"/>
      <c r="H1082" s="10"/>
      <c r="I1082" s="10"/>
      <c r="J1082" s="10"/>
      <c r="K1082" s="575"/>
      <c r="L1082" s="152"/>
      <c r="M1082" s="422"/>
      <c r="N1082" s="339"/>
      <c r="O1082" s="62"/>
      <c r="P1082" s="695">
        <v>0</v>
      </c>
      <c r="Q1082" s="171"/>
      <c r="R1082" s="339"/>
      <c r="S1082" s="339"/>
      <c r="T1082" s="425"/>
      <c r="U1082" s="64"/>
      <c r="V1082" s="164"/>
      <c r="W1082" s="62"/>
      <c r="X1082" s="63"/>
      <c r="Y1082" s="62"/>
      <c r="Z1082" s="64"/>
      <c r="AA1082" s="164"/>
      <c r="AB1082" s="62"/>
      <c r="AC1082" s="62"/>
      <c r="AD1082" s="64"/>
      <c r="AE1082" s="164"/>
      <c r="AF1082" s="62"/>
      <c r="AG1082" s="64"/>
      <c r="AH1082" s="337"/>
      <c r="AI1082" s="337"/>
      <c r="AJ1082" s="337"/>
      <c r="AK1082" s="337"/>
      <c r="AL1082" s="555"/>
      <c r="AM1082" s="552"/>
      <c r="AN1082" s="45"/>
      <c r="AO1082" s="45"/>
      <c r="AP1082" s="45"/>
      <c r="AQ1082" s="485" t="e">
        <f>AL1082/BI1082</f>
        <v>#VALUE!</v>
      </c>
      <c r="AR1082"/>
      <c r="AS1082"/>
      <c r="AT1082" s="100"/>
      <c r="AU1082" s="100"/>
      <c r="AV1082" s="100"/>
      <c r="AW1082" s="69">
        <v>25</v>
      </c>
      <c r="AX1082" s="69" t="s">
        <v>299</v>
      </c>
      <c r="AY1082" s="243" t="s">
        <v>54</v>
      </c>
      <c r="AZ1082" s="243" t="str">
        <f t="shared" si="432"/>
        <v>Steelhead</v>
      </c>
      <c r="BA1082" s="243" t="s">
        <v>419</v>
      </c>
      <c r="BB1082" s="244" t="s">
        <v>452</v>
      </c>
      <c r="BC1082" s="43" t="str">
        <f t="shared" si="433"/>
        <v>Sep 24-30</v>
      </c>
      <c r="BD1082" s="43">
        <f t="shared" si="431"/>
        <v>1</v>
      </c>
      <c r="BE1082" s="193">
        <f t="shared" si="446"/>
        <v>0</v>
      </c>
      <c r="BF1082" s="193">
        <f t="shared" si="434"/>
        <v>0</v>
      </c>
      <c r="BG1082" s="193">
        <f t="shared" si="435"/>
        <v>0</v>
      </c>
      <c r="BH1082" s="307" t="str">
        <f t="shared" si="448"/>
        <v>-</v>
      </c>
      <c r="BI1082" s="265" t="str">
        <f>CC1082</f>
        <v>-</v>
      </c>
      <c r="BJ1082" s="26" t="str">
        <f t="shared" si="436"/>
        <v>TSOWWIN RIVERSteelhead</v>
      </c>
      <c r="BK1082" s="26">
        <f t="shared" si="437"/>
        <v>1</v>
      </c>
      <c r="BL1082" s="33">
        <f t="shared" si="452"/>
        <v>0</v>
      </c>
      <c r="BP1082" s="34"/>
      <c r="BQ1082" s="47" t="str">
        <f t="shared" si="438"/>
        <v>TSOWWIN RIVERSteelhead</v>
      </c>
      <c r="BR1082" s="49">
        <f t="shared" si="439"/>
        <v>0</v>
      </c>
      <c r="BS1082" s="49">
        <f t="shared" si="449"/>
        <v>0</v>
      </c>
      <c r="BT1082" s="31">
        <v>0</v>
      </c>
      <c r="BU1082" s="188" t="str">
        <f t="shared" si="440"/>
        <v>MMFN</v>
      </c>
      <c r="BV1082" s="188" t="str">
        <f t="shared" si="441"/>
        <v>Sep 24-30</v>
      </c>
      <c r="BW1082" s="188" t="str">
        <f t="shared" si="450"/>
        <v xml:space="preserve"> </v>
      </c>
      <c r="BX1082" s="188" t="str">
        <f t="shared" si="442"/>
        <v xml:space="preserve"> </v>
      </c>
      <c r="BY1082" s="50" t="str">
        <f t="shared" si="428"/>
        <v>TSOWWIN RIVER_Steelhead</v>
      </c>
      <c r="BZ1082" s="50" t="str">
        <f>IFERROR(VLOOKUP(BY1082,'[1]WCVI Esc'!$C$5:$W$555,18,FALSE),"-")</f>
        <v>-</v>
      </c>
      <c r="CA1082" s="50" t="str">
        <f t="shared" si="443"/>
        <v>-</v>
      </c>
      <c r="CB1082" s="50" t="str">
        <f>IFERROR(VLOOKUP(BY1082,'[1]WCVI Esc'!$C$5:$W$555,19,FALSE),"-")</f>
        <v>-</v>
      </c>
      <c r="CC1082" s="50" t="str">
        <f t="shared" si="444"/>
        <v>-</v>
      </c>
      <c r="CE1082" s="342" t="str">
        <f t="shared" si="453"/>
        <v>TSOWWIN RIVER_Steelhead</v>
      </c>
      <c r="CF1082" s="341" t="str">
        <f>IFERROR(VLOOKUP(BY1082,'RawPL+D'!$O$8:$AB$503,12,FALSE),"-")</f>
        <v>-</v>
      </c>
      <c r="CG1082" s="338" t="str">
        <f t="shared" si="454"/>
        <v>-</v>
      </c>
      <c r="CH1082" s="341" t="str">
        <f>IFERROR(VLOOKUP(BY1082,'RawPL+D'!$O$8:$AB$503,13,FALSE),"-")</f>
        <v>-</v>
      </c>
      <c r="CI1082" s="338" t="str">
        <f t="shared" si="455"/>
        <v>-</v>
      </c>
    </row>
    <row r="1083" spans="1:87" ht="12.75" hidden="1" customHeight="1" x14ac:dyDescent="0.2">
      <c r="A1083" s="28">
        <v>4</v>
      </c>
      <c r="B1083" s="28">
        <v>1</v>
      </c>
      <c r="C1083" s="11">
        <v>25</v>
      </c>
      <c r="D1083" s="148" t="s">
        <v>299</v>
      </c>
      <c r="E1083" s="10" t="s">
        <v>136</v>
      </c>
      <c r="F1083" s="10" t="s">
        <v>207</v>
      </c>
      <c r="G1083" s="10"/>
      <c r="H1083" s="10"/>
      <c r="I1083" s="10"/>
      <c r="J1083" s="10"/>
      <c r="K1083" s="575"/>
      <c r="L1083" s="152"/>
      <c r="M1083" s="164"/>
      <c r="N1083" s="62"/>
      <c r="O1083" s="62"/>
      <c r="P1083" s="177"/>
      <c r="Q1083" s="171"/>
      <c r="R1083" s="94"/>
      <c r="S1083" s="62"/>
      <c r="T1083" s="62"/>
      <c r="U1083" s="64"/>
      <c r="V1083" s="164"/>
      <c r="W1083" s="62"/>
      <c r="X1083" s="62"/>
      <c r="Y1083" s="62"/>
      <c r="Z1083" s="64"/>
      <c r="AA1083" s="164"/>
      <c r="AB1083" s="62"/>
      <c r="AC1083" s="62"/>
      <c r="AD1083" s="64"/>
      <c r="AE1083" s="164"/>
      <c r="AF1083" s="62"/>
      <c r="AG1083" s="64"/>
      <c r="AH1083" s="337"/>
      <c r="AI1083" s="337"/>
      <c r="AJ1083" s="337"/>
      <c r="AK1083" s="337"/>
      <c r="AL1083" s="412"/>
      <c r="AM1083" s="414"/>
      <c r="AN1083" s="45"/>
      <c r="AO1083" s="45"/>
      <c r="AP1083" s="45"/>
      <c r="AQ1083" s="485"/>
      <c r="AR1083"/>
      <c r="AS1083" s="24"/>
      <c r="AT1083" s="24"/>
      <c r="AU1083" s="24"/>
      <c r="AV1083" s="24"/>
      <c r="AW1083" s="18">
        <v>25</v>
      </c>
      <c r="AX1083" s="69" t="s">
        <v>299</v>
      </c>
      <c r="AY1083" s="243" t="s">
        <v>136</v>
      </c>
      <c r="AZ1083" s="243" t="str">
        <f t="shared" si="432"/>
        <v>Sockeye</v>
      </c>
      <c r="BA1083" s="243" t="s">
        <v>419</v>
      </c>
      <c r="BB1083" s="246"/>
      <c r="BC1083" s="43" t="str">
        <f t="shared" si="433"/>
        <v>-</v>
      </c>
      <c r="BD1083" s="43">
        <f t="shared" si="431"/>
        <v>0</v>
      </c>
      <c r="BE1083" s="193">
        <f t="shared" si="446"/>
        <v>0</v>
      </c>
      <c r="BF1083" s="193">
        <f t="shared" si="434"/>
        <v>0</v>
      </c>
      <c r="BG1083" s="193">
        <f t="shared" si="435"/>
        <v>0</v>
      </c>
      <c r="BH1083" s="307" t="str">
        <f t="shared" si="448"/>
        <v>-</v>
      </c>
      <c r="BI1083" s="271"/>
      <c r="BJ1083" s="26" t="str">
        <f t="shared" si="436"/>
        <v>DESERTED CREEKSockeye</v>
      </c>
      <c r="BK1083" s="26">
        <f t="shared" si="437"/>
        <v>0</v>
      </c>
      <c r="BL1083" s="33">
        <f t="shared" si="452"/>
        <v>0</v>
      </c>
      <c r="BQ1083" s="47" t="str">
        <f t="shared" si="438"/>
        <v>DESERTED CREEKSockeye</v>
      </c>
      <c r="BR1083" s="49">
        <f t="shared" si="439"/>
        <v>0</v>
      </c>
      <c r="BS1083" s="49">
        <f t="shared" si="449"/>
        <v>0</v>
      </c>
      <c r="BT1083" s="31">
        <v>1998</v>
      </c>
      <c r="BU1083" s="188">
        <f t="shared" si="440"/>
        <v>0</v>
      </c>
      <c r="BV1083" s="188" t="str">
        <f t="shared" si="441"/>
        <v xml:space="preserve"> </v>
      </c>
      <c r="BW1083" s="188" t="str">
        <f t="shared" si="450"/>
        <v xml:space="preserve"> </v>
      </c>
      <c r="BX1083" s="188" t="str">
        <f t="shared" si="442"/>
        <v xml:space="preserve"> </v>
      </c>
      <c r="BY1083" s="50" t="str">
        <f t="shared" si="428"/>
        <v>DESERTED CREEK_Sockeye</v>
      </c>
      <c r="BZ1083" s="50" t="str">
        <f>IFERROR(VLOOKUP(BY1083,'[1]WCVI Esc'!$C$5:$W$555,18,FALSE),"-")</f>
        <v>-</v>
      </c>
      <c r="CA1083" s="50" t="str">
        <f t="shared" si="443"/>
        <v>-</v>
      </c>
      <c r="CB1083" s="50" t="str">
        <f>IFERROR(VLOOKUP(BY1083,'[1]WCVI Esc'!$C$5:$W$555,19,FALSE),"-")</f>
        <v>-</v>
      </c>
      <c r="CC1083" s="50" t="str">
        <f t="shared" si="444"/>
        <v>-</v>
      </c>
      <c r="CE1083" s="342" t="str">
        <f t="shared" si="453"/>
        <v>DESERTED CREEK_Sockeye</v>
      </c>
      <c r="CF1083" s="341">
        <f>IFERROR(VLOOKUP(BY1083,'RawPL+D'!$O$8:$AB$503,12,FALSE),"-")</f>
        <v>0</v>
      </c>
      <c r="CG1083" s="338">
        <f t="shared" si="454"/>
        <v>0</v>
      </c>
      <c r="CH1083" s="341" t="str">
        <f>IFERROR(VLOOKUP(BY1083,'RawPL+D'!$O$8:$AB$503,13,FALSE),"-")</f>
        <v>-</v>
      </c>
      <c r="CI1083" s="338" t="str">
        <f t="shared" si="455"/>
        <v>-</v>
      </c>
    </row>
    <row r="1084" spans="1:87" ht="12.75" hidden="1" customHeight="1" x14ac:dyDescent="0.2">
      <c r="A1084" s="28">
        <v>4</v>
      </c>
      <c r="B1084" s="28">
        <v>2</v>
      </c>
      <c r="C1084" s="11">
        <v>25</v>
      </c>
      <c r="D1084" s="148" t="s">
        <v>299</v>
      </c>
      <c r="E1084" s="10" t="s">
        <v>136</v>
      </c>
      <c r="F1084" s="10" t="s">
        <v>219</v>
      </c>
      <c r="G1084" s="10"/>
      <c r="H1084" s="10"/>
      <c r="I1084" s="10"/>
      <c r="J1084" s="10"/>
      <c r="K1084" s="575"/>
      <c r="L1084" s="152"/>
      <c r="M1084" s="164"/>
      <c r="N1084" s="62"/>
      <c r="O1084" s="62"/>
      <c r="P1084" s="177"/>
      <c r="Q1084" s="171"/>
      <c r="R1084" s="94"/>
      <c r="S1084" s="62"/>
      <c r="T1084" s="62"/>
      <c r="U1084" s="64"/>
      <c r="V1084" s="164"/>
      <c r="W1084" s="62"/>
      <c r="X1084" s="62"/>
      <c r="Y1084" s="62"/>
      <c r="Z1084" s="64"/>
      <c r="AA1084" s="164"/>
      <c r="AB1084" s="62"/>
      <c r="AC1084" s="62"/>
      <c r="AD1084" s="64"/>
      <c r="AE1084" s="164"/>
      <c r="AF1084" s="62"/>
      <c r="AG1084" s="64"/>
      <c r="AH1084" s="337"/>
      <c r="AI1084" s="337"/>
      <c r="AJ1084" s="337"/>
      <c r="AK1084" s="337"/>
      <c r="AL1084" s="412"/>
      <c r="AM1084" s="414"/>
      <c r="AN1084" s="45"/>
      <c r="AO1084" s="45"/>
      <c r="AP1084" s="45"/>
      <c r="AQ1084" s="485"/>
      <c r="AR1084"/>
      <c r="AS1084" s="24"/>
      <c r="AT1084" s="24"/>
      <c r="AU1084" s="24"/>
      <c r="AV1084" s="24"/>
      <c r="AW1084" s="18">
        <v>25</v>
      </c>
      <c r="AX1084" s="69" t="s">
        <v>299</v>
      </c>
      <c r="AY1084" s="243" t="s">
        <v>136</v>
      </c>
      <c r="AZ1084" s="243" t="str">
        <f t="shared" si="432"/>
        <v>Coho</v>
      </c>
      <c r="BA1084" s="243" t="s">
        <v>419</v>
      </c>
      <c r="BB1084" s="246"/>
      <c r="BC1084" s="43" t="str">
        <f t="shared" si="433"/>
        <v>-</v>
      </c>
      <c r="BD1084" s="43">
        <f t="shared" si="431"/>
        <v>0</v>
      </c>
      <c r="BE1084" s="193">
        <f t="shared" si="446"/>
        <v>0</v>
      </c>
      <c r="BF1084" s="193">
        <f t="shared" si="434"/>
        <v>0</v>
      </c>
      <c r="BG1084" s="193">
        <f t="shared" si="435"/>
        <v>0</v>
      </c>
      <c r="BH1084" s="307">
        <f t="shared" si="448"/>
        <v>0</v>
      </c>
      <c r="BI1084" s="265">
        <f>CC1084</f>
        <v>10</v>
      </c>
      <c r="BJ1084" s="26" t="str">
        <f t="shared" si="436"/>
        <v>DESERTED CREEKCoho</v>
      </c>
      <c r="BK1084" s="26">
        <f t="shared" si="437"/>
        <v>0</v>
      </c>
      <c r="BL1084" s="33">
        <f t="shared" si="452"/>
        <v>0</v>
      </c>
      <c r="BQ1084" s="47" t="str">
        <f t="shared" si="438"/>
        <v>DESERTED CREEKCoho</v>
      </c>
      <c r="BR1084" s="49">
        <f t="shared" si="439"/>
        <v>0</v>
      </c>
      <c r="BS1084" s="49">
        <f t="shared" si="449"/>
        <v>0</v>
      </c>
      <c r="BT1084" s="31">
        <v>2011</v>
      </c>
      <c r="BU1084" s="188">
        <f t="shared" si="440"/>
        <v>0</v>
      </c>
      <c r="BV1084" s="188" t="str">
        <f t="shared" si="441"/>
        <v xml:space="preserve"> </v>
      </c>
      <c r="BW1084" s="188" t="str">
        <f t="shared" si="450"/>
        <v xml:space="preserve"> </v>
      </c>
      <c r="BX1084" s="188" t="str">
        <f t="shared" si="442"/>
        <v xml:space="preserve"> </v>
      </c>
      <c r="BY1084" s="50" t="str">
        <f t="shared" si="428"/>
        <v>DESERTED CREEK_Coho</v>
      </c>
      <c r="BZ1084" s="50" t="str">
        <f>IFERROR(VLOOKUP(BY1084,'[1]WCVI Esc'!$C$5:$W$555,18,FALSE),"-")</f>
        <v>-</v>
      </c>
      <c r="CA1084" s="50" t="str">
        <f t="shared" si="443"/>
        <v>-</v>
      </c>
      <c r="CB1084" s="50">
        <f>IFERROR(VLOOKUP(BY1084,'[1]WCVI Esc'!$C$5:$W$555,19,FALSE),"-")</f>
        <v>6</v>
      </c>
      <c r="CC1084" s="50">
        <f t="shared" si="444"/>
        <v>10</v>
      </c>
      <c r="CE1084" s="342" t="str">
        <f t="shared" si="453"/>
        <v>DESERTED CREEK_Coho</v>
      </c>
      <c r="CF1084" s="341">
        <f>IFERROR(VLOOKUP(BY1084,'RawPL+D'!$O$8:$AB$503,12,FALSE),"-")</f>
        <v>0</v>
      </c>
      <c r="CG1084" s="338">
        <f t="shared" si="454"/>
        <v>0</v>
      </c>
      <c r="CH1084" s="341">
        <f>IFERROR(VLOOKUP(BY1084,'RawPL+D'!$O$8:$AB$503,13,FALSE),"-")</f>
        <v>0</v>
      </c>
      <c r="CI1084" s="338">
        <f t="shared" si="455"/>
        <v>0</v>
      </c>
    </row>
    <row r="1085" spans="1:87" ht="12.75" hidden="1" customHeight="1" x14ac:dyDescent="0.2">
      <c r="A1085" s="28">
        <v>4</v>
      </c>
      <c r="B1085" s="28">
        <v>3</v>
      </c>
      <c r="C1085" s="11">
        <v>25</v>
      </c>
      <c r="D1085" s="148" t="s">
        <v>299</v>
      </c>
      <c r="E1085" s="10" t="s">
        <v>136</v>
      </c>
      <c r="F1085" s="10" t="s">
        <v>208</v>
      </c>
      <c r="G1085" s="10"/>
      <c r="H1085" s="10"/>
      <c r="I1085" s="10"/>
      <c r="J1085" s="10"/>
      <c r="K1085" s="575"/>
      <c r="L1085" s="152"/>
      <c r="M1085" s="164"/>
      <c r="N1085" s="62"/>
      <c r="O1085" s="62"/>
      <c r="P1085" s="177"/>
      <c r="Q1085" s="171"/>
      <c r="R1085" s="94"/>
      <c r="S1085" s="62"/>
      <c r="T1085" s="62"/>
      <c r="U1085" s="64"/>
      <c r="V1085" s="164"/>
      <c r="W1085" s="62"/>
      <c r="X1085" s="62"/>
      <c r="Y1085" s="62"/>
      <c r="Z1085" s="64"/>
      <c r="AA1085" s="164"/>
      <c r="AB1085" s="62"/>
      <c r="AC1085" s="62"/>
      <c r="AD1085" s="64"/>
      <c r="AE1085" s="164"/>
      <c r="AF1085" s="62"/>
      <c r="AG1085" s="64"/>
      <c r="AH1085" s="337"/>
      <c r="AI1085" s="337"/>
      <c r="AJ1085" s="337"/>
      <c r="AK1085" s="337"/>
      <c r="AL1085" s="412"/>
      <c r="AM1085" s="414"/>
      <c r="AN1085" s="45"/>
      <c r="AO1085" s="45"/>
      <c r="AP1085" s="45"/>
      <c r="AQ1085" s="485"/>
      <c r="AR1085"/>
      <c r="AS1085" s="24"/>
      <c r="AT1085" s="24"/>
      <c r="AU1085" s="24"/>
      <c r="AV1085" s="24"/>
      <c r="AW1085" s="18">
        <v>25</v>
      </c>
      <c r="AX1085" s="69" t="s">
        <v>299</v>
      </c>
      <c r="AY1085" s="243" t="s">
        <v>136</v>
      </c>
      <c r="AZ1085" s="243" t="str">
        <f t="shared" si="432"/>
        <v>Pink</v>
      </c>
      <c r="BA1085" s="243" t="s">
        <v>419</v>
      </c>
      <c r="BB1085" s="246"/>
      <c r="BC1085" s="43" t="str">
        <f t="shared" si="433"/>
        <v>-</v>
      </c>
      <c r="BD1085" s="43">
        <f t="shared" si="431"/>
        <v>0</v>
      </c>
      <c r="BE1085" s="193">
        <f t="shared" si="446"/>
        <v>0</v>
      </c>
      <c r="BF1085" s="193">
        <f t="shared" si="434"/>
        <v>0</v>
      </c>
      <c r="BG1085" s="193">
        <f t="shared" si="435"/>
        <v>0</v>
      </c>
      <c r="BH1085" s="307">
        <f t="shared" si="448"/>
        <v>0</v>
      </c>
      <c r="BI1085" s="266"/>
      <c r="BJ1085" s="26" t="str">
        <f t="shared" si="436"/>
        <v>DESERTED CREEKPink</v>
      </c>
      <c r="BK1085" s="26">
        <f t="shared" si="437"/>
        <v>0</v>
      </c>
      <c r="BL1085" s="33">
        <f t="shared" si="452"/>
        <v>0</v>
      </c>
      <c r="BQ1085" s="47" t="str">
        <f t="shared" si="438"/>
        <v>DESERTED CREEKPink</v>
      </c>
      <c r="BR1085" s="49">
        <f t="shared" si="439"/>
        <v>0</v>
      </c>
      <c r="BS1085" s="49">
        <f t="shared" si="449"/>
        <v>0</v>
      </c>
      <c r="BT1085" s="31">
        <v>0</v>
      </c>
      <c r="BU1085" s="188">
        <f t="shared" si="440"/>
        <v>0</v>
      </c>
      <c r="BV1085" s="188" t="str">
        <f t="shared" si="441"/>
        <v xml:space="preserve"> </v>
      </c>
      <c r="BW1085" s="188" t="str">
        <f t="shared" si="450"/>
        <v xml:space="preserve"> </v>
      </c>
      <c r="BX1085" s="188" t="str">
        <f t="shared" si="442"/>
        <v xml:space="preserve"> </v>
      </c>
      <c r="BY1085" s="50" t="str">
        <f t="shared" si="428"/>
        <v>DESERTED CREEK_Pink</v>
      </c>
      <c r="BZ1085" s="50" t="str">
        <f>IFERROR(VLOOKUP(BY1085,'[1]WCVI Esc'!$C$5:$W$555,18,FALSE),"-")</f>
        <v>-</v>
      </c>
      <c r="CA1085" s="50" t="str">
        <f t="shared" si="443"/>
        <v>-</v>
      </c>
      <c r="CB1085" s="50" t="str">
        <f>IFERROR(VLOOKUP(BY1085,'[1]WCVI Esc'!$C$5:$W$555,19,FALSE),"-")</f>
        <v>-</v>
      </c>
      <c r="CC1085" s="50" t="str">
        <f t="shared" si="444"/>
        <v>-</v>
      </c>
      <c r="CE1085" s="342" t="str">
        <f t="shared" si="453"/>
        <v>DESERTED CREEK_Pink</v>
      </c>
      <c r="CF1085" s="341">
        <f>IFERROR(VLOOKUP(BY1085,'RawPL+D'!$O$8:$AB$503,12,FALSE),"-")</f>
        <v>0</v>
      </c>
      <c r="CG1085" s="338">
        <f t="shared" si="454"/>
        <v>0</v>
      </c>
      <c r="CH1085" s="341">
        <f>IFERROR(VLOOKUP(BY1085,'RawPL+D'!$O$8:$AB$503,13,FALSE),"-")</f>
        <v>0</v>
      </c>
      <c r="CI1085" s="338">
        <f t="shared" si="455"/>
        <v>0</v>
      </c>
    </row>
    <row r="1086" spans="1:87" ht="12.75" hidden="1" customHeight="1" x14ac:dyDescent="0.2">
      <c r="A1086" s="28">
        <v>4</v>
      </c>
      <c r="B1086" s="28">
        <v>4</v>
      </c>
      <c r="C1086" s="11">
        <v>25</v>
      </c>
      <c r="D1086" s="148" t="s">
        <v>299</v>
      </c>
      <c r="E1086" s="10" t="s">
        <v>136</v>
      </c>
      <c r="F1086" s="10" t="s">
        <v>209</v>
      </c>
      <c r="G1086" s="10"/>
      <c r="H1086" s="10"/>
      <c r="I1086" s="10"/>
      <c r="J1086" s="10"/>
      <c r="K1086" s="575"/>
      <c r="L1086" s="152"/>
      <c r="M1086" s="164"/>
      <c r="N1086" s="62"/>
      <c r="O1086" s="62"/>
      <c r="P1086" s="177"/>
      <c r="Q1086" s="171"/>
      <c r="R1086" s="94"/>
      <c r="S1086" s="62"/>
      <c r="T1086" s="62"/>
      <c r="U1086" s="64"/>
      <c r="V1086" s="164"/>
      <c r="W1086" s="62"/>
      <c r="X1086" s="62"/>
      <c r="Y1086" s="62"/>
      <c r="Z1086" s="64"/>
      <c r="AA1086" s="164"/>
      <c r="AB1086" s="62"/>
      <c r="AC1086" s="62"/>
      <c r="AD1086" s="64"/>
      <c r="AE1086" s="164"/>
      <c r="AF1086" s="62"/>
      <c r="AG1086" s="64"/>
      <c r="AH1086" s="337"/>
      <c r="AI1086" s="337"/>
      <c r="AJ1086" s="337"/>
      <c r="AK1086" s="337"/>
      <c r="AL1086" s="412"/>
      <c r="AM1086" s="414"/>
      <c r="AN1086" s="45"/>
      <c r="AO1086" s="45"/>
      <c r="AP1086" s="45"/>
      <c r="AQ1086" s="485">
        <f>AL1086/BI1086</f>
        <v>0</v>
      </c>
      <c r="AR1086" s="485" t="e">
        <f>BL1086/BH1086</f>
        <v>#DIV/0!</v>
      </c>
      <c r="AS1086" s="24"/>
      <c r="AT1086" s="24"/>
      <c r="AU1086" s="24"/>
      <c r="AV1086" s="24"/>
      <c r="AW1086" s="18">
        <v>25</v>
      </c>
      <c r="AX1086" s="69" t="s">
        <v>299</v>
      </c>
      <c r="AY1086" s="243" t="s">
        <v>136</v>
      </c>
      <c r="AZ1086" s="243" t="str">
        <f t="shared" si="432"/>
        <v>Chum</v>
      </c>
      <c r="BA1086" s="243" t="s">
        <v>419</v>
      </c>
      <c r="BB1086" s="246"/>
      <c r="BC1086" s="43" t="str">
        <f t="shared" si="433"/>
        <v>-</v>
      </c>
      <c r="BD1086" s="43">
        <f t="shared" si="431"/>
        <v>0</v>
      </c>
      <c r="BE1086" s="193">
        <f t="shared" si="446"/>
        <v>0</v>
      </c>
      <c r="BF1086" s="193">
        <f t="shared" si="434"/>
        <v>0</v>
      </c>
      <c r="BG1086" s="193">
        <f t="shared" si="435"/>
        <v>0</v>
      </c>
      <c r="BH1086" s="307">
        <f t="shared" si="448"/>
        <v>0</v>
      </c>
      <c r="BI1086" s="265">
        <f>CC1086</f>
        <v>770</v>
      </c>
      <c r="BJ1086" s="26" t="str">
        <f t="shared" si="436"/>
        <v>DESERTED CREEKChum</v>
      </c>
      <c r="BK1086" s="26">
        <f t="shared" si="437"/>
        <v>0</v>
      </c>
      <c r="BL1086" s="33">
        <f t="shared" si="452"/>
        <v>0</v>
      </c>
      <c r="BQ1086" s="47" t="str">
        <f t="shared" si="438"/>
        <v>DESERTED CREEKChum</v>
      </c>
      <c r="BR1086" s="49">
        <f t="shared" si="439"/>
        <v>0</v>
      </c>
      <c r="BS1086" s="49">
        <f t="shared" si="449"/>
        <v>0</v>
      </c>
      <c r="BT1086" s="31">
        <v>2013</v>
      </c>
      <c r="BU1086" s="188">
        <f t="shared" si="440"/>
        <v>0</v>
      </c>
      <c r="BV1086" s="188" t="str">
        <f t="shared" si="441"/>
        <v xml:space="preserve"> </v>
      </c>
      <c r="BW1086" s="188" t="str">
        <f t="shared" si="450"/>
        <v xml:space="preserve"> </v>
      </c>
      <c r="BX1086" s="188" t="str">
        <f t="shared" si="442"/>
        <v xml:space="preserve"> </v>
      </c>
      <c r="BY1086" s="50" t="str">
        <f t="shared" si="428"/>
        <v>DESERTED CREEK_Chum</v>
      </c>
      <c r="BZ1086" s="50" t="str">
        <f>IFERROR(VLOOKUP(BY1086,'[1]WCVI Esc'!$C$5:$W$555,18,FALSE),"-")</f>
        <v>-</v>
      </c>
      <c r="CA1086" s="50" t="str">
        <f t="shared" si="443"/>
        <v>-</v>
      </c>
      <c r="CB1086" s="50">
        <f>IFERROR(VLOOKUP(BY1086,'[1]WCVI Esc'!$C$5:$W$555,19,FALSE),"-")</f>
        <v>770.33333333333337</v>
      </c>
      <c r="CC1086" s="50">
        <f t="shared" si="444"/>
        <v>770</v>
      </c>
      <c r="CE1086" s="342" t="str">
        <f t="shared" si="453"/>
        <v>DESERTED CREEK_Chum</v>
      </c>
      <c r="CF1086" s="341">
        <f>IFERROR(VLOOKUP(BY1086,'RawPL+D'!$O$8:$AB$503,12,FALSE),"-")</f>
        <v>0</v>
      </c>
      <c r="CG1086" s="338">
        <f t="shared" si="454"/>
        <v>0</v>
      </c>
      <c r="CH1086" s="341">
        <f>IFERROR(VLOOKUP(BY1086,'RawPL+D'!$O$8:$AB$503,13,FALSE),"-")</f>
        <v>0</v>
      </c>
      <c r="CI1086" s="338">
        <f t="shared" si="455"/>
        <v>0</v>
      </c>
    </row>
    <row r="1087" spans="1:87" ht="12.75" hidden="1" customHeight="1" x14ac:dyDescent="0.2">
      <c r="A1087" s="28">
        <v>4</v>
      </c>
      <c r="B1087" s="28">
        <v>5</v>
      </c>
      <c r="C1087" s="11">
        <v>25</v>
      </c>
      <c r="D1087" s="148" t="s">
        <v>299</v>
      </c>
      <c r="E1087" s="10" t="s">
        <v>136</v>
      </c>
      <c r="F1087" s="10" t="s">
        <v>210</v>
      </c>
      <c r="G1087" s="10"/>
      <c r="H1087" s="10"/>
      <c r="I1087" s="10"/>
      <c r="J1087" s="10"/>
      <c r="K1087" s="575"/>
      <c r="L1087" s="152"/>
      <c r="M1087" s="164"/>
      <c r="N1087" s="62"/>
      <c r="O1087" s="62"/>
      <c r="P1087" s="177"/>
      <c r="Q1087" s="171"/>
      <c r="R1087" s="94"/>
      <c r="S1087" s="62"/>
      <c r="T1087" s="62"/>
      <c r="U1087" s="64"/>
      <c r="V1087" s="164"/>
      <c r="W1087" s="62"/>
      <c r="X1087" s="62"/>
      <c r="Y1087" s="62"/>
      <c r="Z1087" s="64"/>
      <c r="AA1087" s="164"/>
      <c r="AB1087" s="62"/>
      <c r="AC1087" s="62"/>
      <c r="AD1087" s="64"/>
      <c r="AE1087" s="164"/>
      <c r="AF1087" s="62"/>
      <c r="AG1087" s="64"/>
      <c r="AH1087" s="337"/>
      <c r="AI1087" s="337"/>
      <c r="AJ1087" s="337"/>
      <c r="AK1087" s="337"/>
      <c r="AL1087" s="412"/>
      <c r="AM1087" s="414"/>
      <c r="AN1087" s="45"/>
      <c r="AO1087" s="45"/>
      <c r="AP1087" s="45"/>
      <c r="AQ1087" s="485"/>
      <c r="AR1087"/>
      <c r="AS1087" s="24"/>
      <c r="AT1087" s="24"/>
      <c r="AU1087" s="24"/>
      <c r="AV1087" s="24"/>
      <c r="AW1087" s="18">
        <v>25</v>
      </c>
      <c r="AX1087" s="69" t="s">
        <v>299</v>
      </c>
      <c r="AY1087" s="243" t="s">
        <v>136</v>
      </c>
      <c r="AZ1087" s="243" t="str">
        <f t="shared" si="432"/>
        <v>Chinook</v>
      </c>
      <c r="BA1087" s="243" t="s">
        <v>419</v>
      </c>
      <c r="BB1087" s="246"/>
      <c r="BC1087" s="43" t="str">
        <f t="shared" si="433"/>
        <v>-</v>
      </c>
      <c r="BD1087" s="43">
        <f t="shared" si="431"/>
        <v>0</v>
      </c>
      <c r="BE1087" s="193">
        <f t="shared" si="446"/>
        <v>0</v>
      </c>
      <c r="BF1087" s="193">
        <f t="shared" si="434"/>
        <v>0</v>
      </c>
      <c r="BG1087" s="193">
        <f t="shared" si="435"/>
        <v>0</v>
      </c>
      <c r="BH1087" s="307" t="str">
        <f t="shared" si="448"/>
        <v>-</v>
      </c>
      <c r="BI1087" s="265" t="str">
        <f>CC1087</f>
        <v>-</v>
      </c>
      <c r="BJ1087" s="26" t="str">
        <f t="shared" si="436"/>
        <v>DESERTED CREEKChinook</v>
      </c>
      <c r="BK1087" s="26">
        <f t="shared" si="437"/>
        <v>0</v>
      </c>
      <c r="BL1087" s="33">
        <f t="shared" si="452"/>
        <v>0</v>
      </c>
      <c r="BQ1087" s="47" t="str">
        <f t="shared" si="438"/>
        <v>DESERTED CREEKChinook</v>
      </c>
      <c r="BR1087" s="49">
        <f t="shared" si="439"/>
        <v>0</v>
      </c>
      <c r="BS1087" s="49">
        <f t="shared" si="449"/>
        <v>0</v>
      </c>
      <c r="BT1087" s="31">
        <v>2006</v>
      </c>
      <c r="BU1087" s="188">
        <f t="shared" si="440"/>
        <v>0</v>
      </c>
      <c r="BV1087" s="188" t="str">
        <f t="shared" si="441"/>
        <v xml:space="preserve"> </v>
      </c>
      <c r="BW1087" s="188" t="str">
        <f t="shared" si="450"/>
        <v xml:space="preserve"> </v>
      </c>
      <c r="BX1087" s="188" t="str">
        <f t="shared" si="442"/>
        <v xml:space="preserve"> </v>
      </c>
      <c r="BY1087" s="50" t="str">
        <f t="shared" ref="BY1087:BY1150" si="456">CONCATENATE(E1087,"_",F1087)</f>
        <v>DESERTED CREEK_Chinook</v>
      </c>
      <c r="BZ1087" s="50" t="str">
        <f>IFERROR(VLOOKUP(BY1087,'[1]WCVI Esc'!$C$5:$W$555,18,FALSE),"-")</f>
        <v>-</v>
      </c>
      <c r="CA1087" s="50" t="str">
        <f t="shared" si="443"/>
        <v>-</v>
      </c>
      <c r="CB1087" s="50" t="str">
        <f>IFERROR(VLOOKUP(BY1087,'[1]WCVI Esc'!$C$5:$W$555,19,FALSE),"-")</f>
        <v>-</v>
      </c>
      <c r="CC1087" s="50" t="str">
        <f t="shared" si="444"/>
        <v>-</v>
      </c>
      <c r="CE1087" s="342" t="str">
        <f t="shared" si="453"/>
        <v>DESERTED CREEK_Chinook</v>
      </c>
      <c r="CF1087" s="341">
        <f>IFERROR(VLOOKUP(BY1087,'RawPL+D'!$O$8:$AB$503,12,FALSE),"-")</f>
        <v>0</v>
      </c>
      <c r="CG1087" s="338">
        <f t="shared" si="454"/>
        <v>0</v>
      </c>
      <c r="CH1087" s="341" t="str">
        <f>IFERROR(VLOOKUP(BY1087,'RawPL+D'!$O$8:$AB$503,13,FALSE),"-")</f>
        <v>-</v>
      </c>
      <c r="CI1087" s="338" t="str">
        <f t="shared" si="455"/>
        <v>-</v>
      </c>
    </row>
    <row r="1088" spans="1:87" ht="12.75" hidden="1" customHeight="1" x14ac:dyDescent="0.2">
      <c r="A1088" s="28">
        <v>4</v>
      </c>
      <c r="B1088" s="28">
        <v>6</v>
      </c>
      <c r="C1088" s="11">
        <v>25</v>
      </c>
      <c r="D1088" s="148" t="s">
        <v>299</v>
      </c>
      <c r="E1088" s="10" t="s">
        <v>136</v>
      </c>
      <c r="F1088" s="10" t="s">
        <v>211</v>
      </c>
      <c r="G1088" s="10"/>
      <c r="H1088" s="10"/>
      <c r="I1088" s="10"/>
      <c r="J1088" s="10"/>
      <c r="K1088" s="575"/>
      <c r="L1088" s="152"/>
      <c r="M1088" s="164"/>
      <c r="N1088" s="62"/>
      <c r="O1088" s="62"/>
      <c r="P1088" s="177"/>
      <c r="Q1088" s="171"/>
      <c r="R1088" s="94"/>
      <c r="S1088" s="62"/>
      <c r="T1088" s="62"/>
      <c r="U1088" s="64"/>
      <c r="V1088" s="164"/>
      <c r="W1088" s="62"/>
      <c r="X1088" s="62"/>
      <c r="Y1088" s="62"/>
      <c r="Z1088" s="64"/>
      <c r="AA1088" s="164"/>
      <c r="AB1088" s="62"/>
      <c r="AC1088" s="62"/>
      <c r="AD1088" s="64"/>
      <c r="AE1088" s="164"/>
      <c r="AF1088" s="62"/>
      <c r="AG1088" s="64"/>
      <c r="AH1088" s="337"/>
      <c r="AI1088" s="337"/>
      <c r="AJ1088" s="337"/>
      <c r="AK1088" s="337"/>
      <c r="AL1088" s="412"/>
      <c r="AM1088" s="414"/>
      <c r="AN1088" s="45"/>
      <c r="AO1088" s="45"/>
      <c r="AP1088" s="45"/>
      <c r="AQ1088" s="485"/>
      <c r="AR1088"/>
      <c r="AS1088" s="24"/>
      <c r="AT1088" s="24"/>
      <c r="AU1088" s="24"/>
      <c r="AV1088" s="24"/>
      <c r="AW1088" s="18">
        <v>25</v>
      </c>
      <c r="AX1088" s="69" t="s">
        <v>299</v>
      </c>
      <c r="AY1088" s="243" t="s">
        <v>136</v>
      </c>
      <c r="AZ1088" s="243" t="str">
        <f t="shared" si="432"/>
        <v>Steelhead</v>
      </c>
      <c r="BA1088" s="243" t="s">
        <v>419</v>
      </c>
      <c r="BB1088" s="246"/>
      <c r="BC1088" s="43" t="str">
        <f t="shared" si="433"/>
        <v>-</v>
      </c>
      <c r="BD1088" s="43">
        <f t="shared" si="431"/>
        <v>0</v>
      </c>
      <c r="BE1088" s="193">
        <f t="shared" si="446"/>
        <v>0</v>
      </c>
      <c r="BF1088" s="193">
        <f t="shared" si="434"/>
        <v>0</v>
      </c>
      <c r="BG1088" s="193">
        <f t="shared" si="435"/>
        <v>0</v>
      </c>
      <c r="BH1088" s="307" t="str">
        <f t="shared" si="448"/>
        <v>-</v>
      </c>
      <c r="BI1088" s="266"/>
      <c r="BJ1088" s="26" t="str">
        <f t="shared" si="436"/>
        <v>DESERTED CREEKSteelhead</v>
      </c>
      <c r="BK1088" s="26">
        <f t="shared" si="437"/>
        <v>0</v>
      </c>
      <c r="BL1088" s="33">
        <f t="shared" si="452"/>
        <v>0</v>
      </c>
      <c r="BQ1088" s="47" t="str">
        <f t="shared" si="438"/>
        <v>DESERTED CREEKSteelhead</v>
      </c>
      <c r="BR1088" s="49">
        <f t="shared" si="439"/>
        <v>0</v>
      </c>
      <c r="BS1088" s="49">
        <f t="shared" si="449"/>
        <v>0</v>
      </c>
      <c r="BT1088" s="31">
        <v>0</v>
      </c>
      <c r="BU1088" s="188">
        <f t="shared" si="440"/>
        <v>0</v>
      </c>
      <c r="BV1088" s="188" t="str">
        <f t="shared" si="441"/>
        <v xml:space="preserve"> </v>
      </c>
      <c r="BW1088" s="188" t="str">
        <f t="shared" si="450"/>
        <v xml:space="preserve"> </v>
      </c>
      <c r="BX1088" s="188" t="str">
        <f t="shared" si="442"/>
        <v xml:space="preserve"> </v>
      </c>
      <c r="BY1088" s="50" t="str">
        <f t="shared" si="456"/>
        <v>DESERTED CREEK_Steelhead</v>
      </c>
      <c r="BZ1088" s="50" t="str">
        <f>IFERROR(VLOOKUP(BY1088,'[1]WCVI Esc'!$C$5:$W$555,18,FALSE),"-")</f>
        <v>-</v>
      </c>
      <c r="CA1088" s="50" t="str">
        <f t="shared" si="443"/>
        <v>-</v>
      </c>
      <c r="CB1088" s="50" t="str">
        <f>IFERROR(VLOOKUP(BY1088,'[1]WCVI Esc'!$C$5:$W$555,19,FALSE),"-")</f>
        <v>-</v>
      </c>
      <c r="CC1088" s="50" t="str">
        <f t="shared" si="444"/>
        <v>-</v>
      </c>
      <c r="CE1088" s="342" t="str">
        <f t="shared" si="453"/>
        <v>DESERTED CREEK_Steelhead</v>
      </c>
      <c r="CF1088" s="341" t="str">
        <f>IFERROR(VLOOKUP(BY1088,'RawPL+D'!$O$8:$AB$503,12,FALSE),"-")</f>
        <v>-</v>
      </c>
      <c r="CG1088" s="338" t="str">
        <f t="shared" si="454"/>
        <v>-</v>
      </c>
      <c r="CH1088" s="341" t="str">
        <f>IFERROR(VLOOKUP(BY1088,'RawPL+D'!$O$8:$AB$503,13,FALSE),"-")</f>
        <v>-</v>
      </c>
      <c r="CI1088" s="338" t="str">
        <f t="shared" si="455"/>
        <v>-</v>
      </c>
    </row>
    <row r="1089" spans="1:87" ht="12.75" hidden="1" customHeight="1" x14ac:dyDescent="0.2">
      <c r="A1089" s="28">
        <v>4</v>
      </c>
      <c r="B1089" s="28">
        <v>1</v>
      </c>
      <c r="C1089" s="11">
        <v>25</v>
      </c>
      <c r="D1089" s="13" t="s">
        <v>299</v>
      </c>
      <c r="E1089" s="10" t="s">
        <v>140</v>
      </c>
      <c r="F1089" s="10" t="s">
        <v>207</v>
      </c>
      <c r="G1089" s="10"/>
      <c r="H1089" s="10"/>
      <c r="I1089" s="10"/>
      <c r="J1089" s="10"/>
      <c r="K1089" s="575"/>
      <c r="L1089" s="152"/>
      <c r="M1089" s="164"/>
      <c r="N1089" s="62"/>
      <c r="O1089" s="62"/>
      <c r="P1089" s="177"/>
      <c r="Q1089" s="452"/>
      <c r="R1089" s="94"/>
      <c r="S1089" s="62"/>
      <c r="T1089" s="62"/>
      <c r="U1089" s="64"/>
      <c r="V1089" s="164"/>
      <c r="W1089" s="62"/>
      <c r="X1089" s="62"/>
      <c r="Y1089" s="62"/>
      <c r="Z1089" s="64"/>
      <c r="AA1089" s="164"/>
      <c r="AB1089" s="62"/>
      <c r="AC1089" s="62"/>
      <c r="AD1089" s="64"/>
      <c r="AE1089" s="164"/>
      <c r="AF1089" s="62"/>
      <c r="AG1089" s="64"/>
      <c r="AH1089" s="337"/>
      <c r="AI1089" s="337"/>
      <c r="AJ1089" s="337"/>
      <c r="AK1089" s="337"/>
      <c r="AL1089" s="412"/>
      <c r="AM1089" s="414"/>
      <c r="AN1089" s="45"/>
      <c r="AO1089" s="45"/>
      <c r="AP1089" s="45"/>
      <c r="AQ1089" s="485"/>
      <c r="AR1089"/>
      <c r="AS1089" s="24"/>
      <c r="AT1089" s="24"/>
      <c r="AU1089" s="24"/>
      <c r="AV1089" s="24"/>
      <c r="AW1089" s="18">
        <v>25</v>
      </c>
      <c r="AX1089" s="69" t="s">
        <v>299</v>
      </c>
      <c r="AY1089" s="243" t="s">
        <v>140</v>
      </c>
      <c r="AZ1089" s="243" t="str">
        <f t="shared" si="432"/>
        <v>Sockeye</v>
      </c>
      <c r="BA1089" s="243" t="s">
        <v>419</v>
      </c>
      <c r="BB1089" s="246"/>
      <c r="BC1089" s="43" t="str">
        <f t="shared" si="433"/>
        <v>-</v>
      </c>
      <c r="BD1089" s="43">
        <f t="shared" si="431"/>
        <v>0</v>
      </c>
      <c r="BE1089" s="193">
        <f t="shared" si="446"/>
        <v>0</v>
      </c>
      <c r="BF1089" s="193">
        <f t="shared" si="434"/>
        <v>0</v>
      </c>
      <c r="BG1089" s="193">
        <f t="shared" si="435"/>
        <v>0</v>
      </c>
      <c r="BH1089" s="307" t="str">
        <f t="shared" si="448"/>
        <v>-</v>
      </c>
      <c r="BI1089" s="265">
        <f>CC1089</f>
        <v>0</v>
      </c>
      <c r="BJ1089" s="26" t="str">
        <f t="shared" si="436"/>
        <v>HOISS CREEKSockeye</v>
      </c>
      <c r="BK1089" s="26">
        <f t="shared" si="437"/>
        <v>0</v>
      </c>
      <c r="BL1089" s="33">
        <f t="shared" si="452"/>
        <v>0</v>
      </c>
      <c r="BQ1089" s="47" t="str">
        <f t="shared" si="438"/>
        <v>HOISS CREEKSockeye</v>
      </c>
      <c r="BR1089" s="49">
        <f t="shared" si="439"/>
        <v>0</v>
      </c>
      <c r="BS1089" s="49">
        <f t="shared" si="449"/>
        <v>0</v>
      </c>
      <c r="BT1089" s="31">
        <v>2011</v>
      </c>
      <c r="BU1089" s="188">
        <f t="shared" si="440"/>
        <v>0</v>
      </c>
      <c r="BV1089" s="188" t="str">
        <f t="shared" si="441"/>
        <v xml:space="preserve"> </v>
      </c>
      <c r="BW1089" s="188" t="str">
        <f t="shared" si="450"/>
        <v xml:space="preserve"> </v>
      </c>
      <c r="BX1089" s="188" t="str">
        <f t="shared" si="442"/>
        <v xml:space="preserve"> </v>
      </c>
      <c r="BY1089" s="50" t="str">
        <f t="shared" si="456"/>
        <v>HOISS CREEK_Sockeye</v>
      </c>
      <c r="BZ1089" s="50" t="str">
        <f>IFERROR(VLOOKUP(BY1089,'[1]WCVI Esc'!$C$5:$W$555,18,FALSE),"-")</f>
        <v>-</v>
      </c>
      <c r="CA1089" s="50" t="str">
        <f t="shared" si="443"/>
        <v>-</v>
      </c>
      <c r="CB1089" s="50">
        <f>IFERROR(VLOOKUP(BY1089,'[1]WCVI Esc'!$C$5:$W$555,19,FALSE),"-")</f>
        <v>4</v>
      </c>
      <c r="CC1089" s="50">
        <f t="shared" si="444"/>
        <v>0</v>
      </c>
      <c r="CE1089" s="342" t="str">
        <f t="shared" si="453"/>
        <v>HOISS CREEK_Sockeye</v>
      </c>
      <c r="CF1089" s="341">
        <f>IFERROR(VLOOKUP(BY1089,'RawPL+D'!$O$8:$AB$503,12,FALSE),"-")</f>
        <v>0</v>
      </c>
      <c r="CG1089" s="338">
        <f t="shared" si="454"/>
        <v>0</v>
      </c>
      <c r="CH1089" s="341" t="str">
        <f>IFERROR(VLOOKUP(BY1089,'RawPL+D'!$O$8:$AB$503,13,FALSE),"-")</f>
        <v>-</v>
      </c>
      <c r="CI1089" s="338" t="str">
        <f t="shared" si="455"/>
        <v>-</v>
      </c>
    </row>
    <row r="1090" spans="1:87" ht="12.75" hidden="1" customHeight="1" x14ac:dyDescent="0.2">
      <c r="A1090" s="28">
        <v>4</v>
      </c>
      <c r="B1090" s="28">
        <v>2</v>
      </c>
      <c r="C1090" s="11">
        <v>25</v>
      </c>
      <c r="D1090" s="13" t="s">
        <v>299</v>
      </c>
      <c r="E1090" s="10" t="s">
        <v>140</v>
      </c>
      <c r="F1090" s="10" t="s">
        <v>219</v>
      </c>
      <c r="G1090" s="10"/>
      <c r="H1090" s="10"/>
      <c r="I1090" s="10"/>
      <c r="J1090" s="10"/>
      <c r="K1090" s="575"/>
      <c r="L1090" s="152"/>
      <c r="M1090" s="164"/>
      <c r="N1090" s="62"/>
      <c r="O1090" s="62"/>
      <c r="P1090" s="177"/>
      <c r="Q1090" s="452"/>
      <c r="R1090" s="94"/>
      <c r="S1090" s="62"/>
      <c r="T1090" s="62"/>
      <c r="U1090" s="64"/>
      <c r="V1090" s="164"/>
      <c r="W1090" s="62"/>
      <c r="X1090" s="62"/>
      <c r="Y1090" s="62"/>
      <c r="Z1090" s="64"/>
      <c r="AA1090" s="164"/>
      <c r="AB1090" s="62"/>
      <c r="AC1090" s="62"/>
      <c r="AD1090" s="64"/>
      <c r="AE1090" s="164"/>
      <c r="AF1090" s="62"/>
      <c r="AG1090" s="64"/>
      <c r="AH1090" s="337"/>
      <c r="AI1090" s="337"/>
      <c r="AJ1090" s="337"/>
      <c r="AK1090" s="337"/>
      <c r="AL1090" s="412"/>
      <c r="AM1090" s="414"/>
      <c r="AN1090" s="45"/>
      <c r="AO1090" s="45"/>
      <c r="AP1090" s="45"/>
      <c r="AQ1090" s="485">
        <f>AL1090/BI1090</f>
        <v>0</v>
      </c>
      <c r="AR1090" s="485" t="e">
        <f>BL1090/BH1090</f>
        <v>#DIV/0!</v>
      </c>
      <c r="AS1090" s="24"/>
      <c r="AT1090" s="24"/>
      <c r="AU1090" s="24"/>
      <c r="AV1090" s="24"/>
      <c r="AW1090" s="18">
        <v>25</v>
      </c>
      <c r="AX1090" s="69" t="s">
        <v>299</v>
      </c>
      <c r="AY1090" s="243" t="s">
        <v>140</v>
      </c>
      <c r="AZ1090" s="243" t="str">
        <f t="shared" si="432"/>
        <v>Coho</v>
      </c>
      <c r="BA1090" s="243" t="s">
        <v>419</v>
      </c>
      <c r="BB1090" s="246"/>
      <c r="BC1090" s="43" t="str">
        <f t="shared" si="433"/>
        <v>-</v>
      </c>
      <c r="BD1090" s="43">
        <f t="shared" si="431"/>
        <v>0</v>
      </c>
      <c r="BE1090" s="193">
        <f t="shared" si="446"/>
        <v>0</v>
      </c>
      <c r="BF1090" s="193">
        <f t="shared" si="434"/>
        <v>0</v>
      </c>
      <c r="BG1090" s="193">
        <f t="shared" si="435"/>
        <v>0</v>
      </c>
      <c r="BH1090" s="307">
        <f t="shared" si="448"/>
        <v>0</v>
      </c>
      <c r="BI1090" s="265">
        <f>CC1090</f>
        <v>50</v>
      </c>
      <c r="BJ1090" s="26" t="str">
        <f t="shared" si="436"/>
        <v>HOISS CREEKCoho</v>
      </c>
      <c r="BK1090" s="26">
        <f t="shared" si="437"/>
        <v>0</v>
      </c>
      <c r="BL1090" s="33">
        <f t="shared" si="452"/>
        <v>0</v>
      </c>
      <c r="BQ1090" s="47" t="str">
        <f t="shared" si="438"/>
        <v>HOISS CREEKCoho</v>
      </c>
      <c r="BR1090" s="49">
        <f t="shared" si="439"/>
        <v>0</v>
      </c>
      <c r="BS1090" s="49">
        <f t="shared" si="449"/>
        <v>0</v>
      </c>
      <c r="BT1090" s="31">
        <v>2011</v>
      </c>
      <c r="BU1090" s="188">
        <f t="shared" si="440"/>
        <v>0</v>
      </c>
      <c r="BV1090" s="188" t="str">
        <f t="shared" si="441"/>
        <v xml:space="preserve"> </v>
      </c>
      <c r="BW1090" s="188" t="str">
        <f t="shared" si="450"/>
        <v xml:space="preserve"> </v>
      </c>
      <c r="BX1090" s="188" t="str">
        <f t="shared" si="442"/>
        <v xml:space="preserve"> </v>
      </c>
      <c r="BY1090" s="50" t="str">
        <f t="shared" si="456"/>
        <v>HOISS CREEK_Coho</v>
      </c>
      <c r="BZ1090" s="50" t="str">
        <f>IFERROR(VLOOKUP(BY1090,'[1]WCVI Esc'!$C$5:$W$555,18,FALSE),"-")</f>
        <v>-</v>
      </c>
      <c r="CA1090" s="50" t="str">
        <f t="shared" si="443"/>
        <v>-</v>
      </c>
      <c r="CB1090" s="50">
        <f>IFERROR(VLOOKUP(BY1090,'[1]WCVI Esc'!$C$5:$W$555,19,FALSE),"-")</f>
        <v>48</v>
      </c>
      <c r="CC1090" s="50">
        <f t="shared" si="444"/>
        <v>50</v>
      </c>
      <c r="CE1090" s="342" t="str">
        <f t="shared" si="453"/>
        <v>HOISS CREEK_Coho</v>
      </c>
      <c r="CF1090" s="341">
        <f>IFERROR(VLOOKUP(BY1090,'RawPL+D'!$O$8:$AB$503,12,FALSE),"-")</f>
        <v>0</v>
      </c>
      <c r="CG1090" s="338">
        <f t="shared" si="454"/>
        <v>0</v>
      </c>
      <c r="CH1090" s="341">
        <f>IFERROR(VLOOKUP(BY1090,'RawPL+D'!$O$8:$AB$503,13,FALSE),"-")</f>
        <v>0</v>
      </c>
      <c r="CI1090" s="338">
        <f t="shared" si="455"/>
        <v>0</v>
      </c>
    </row>
    <row r="1091" spans="1:87" ht="12.75" hidden="1" customHeight="1" x14ac:dyDescent="0.2">
      <c r="A1091" s="28">
        <v>4</v>
      </c>
      <c r="B1091" s="28">
        <v>3</v>
      </c>
      <c r="C1091" s="11">
        <v>25</v>
      </c>
      <c r="D1091" s="13" t="s">
        <v>299</v>
      </c>
      <c r="E1091" s="10" t="s">
        <v>140</v>
      </c>
      <c r="F1091" s="10" t="s">
        <v>208</v>
      </c>
      <c r="G1091" s="10"/>
      <c r="H1091" s="10"/>
      <c r="I1091" s="10"/>
      <c r="J1091" s="10"/>
      <c r="K1091" s="575"/>
      <c r="L1091" s="152"/>
      <c r="M1091" s="164"/>
      <c r="N1091" s="62"/>
      <c r="O1091" s="62"/>
      <c r="P1091" s="177"/>
      <c r="Q1091" s="452"/>
      <c r="R1091" s="94"/>
      <c r="S1091" s="62"/>
      <c r="T1091" s="62"/>
      <c r="U1091" s="64"/>
      <c r="V1091" s="164"/>
      <c r="W1091" s="62"/>
      <c r="X1091" s="62"/>
      <c r="Y1091" s="62"/>
      <c r="Z1091" s="64"/>
      <c r="AA1091" s="164"/>
      <c r="AB1091" s="62"/>
      <c r="AC1091" s="62"/>
      <c r="AD1091" s="64"/>
      <c r="AE1091" s="164"/>
      <c r="AF1091" s="62"/>
      <c r="AG1091" s="64"/>
      <c r="AH1091" s="337"/>
      <c r="AI1091" s="337"/>
      <c r="AJ1091" s="337"/>
      <c r="AK1091" s="337"/>
      <c r="AL1091" s="412"/>
      <c r="AM1091" s="414"/>
      <c r="AN1091" s="45"/>
      <c r="AO1091" s="45"/>
      <c r="AP1091" s="45"/>
      <c r="AQ1091" s="485"/>
      <c r="AR1091" s="100"/>
      <c r="AS1091" s="24"/>
      <c r="AT1091" s="24"/>
      <c r="AU1091" s="24"/>
      <c r="AV1091" s="24"/>
      <c r="AW1091" s="18">
        <v>25</v>
      </c>
      <c r="AX1091" s="69" t="s">
        <v>299</v>
      </c>
      <c r="AY1091" s="243" t="s">
        <v>140</v>
      </c>
      <c r="AZ1091" s="243" t="str">
        <f t="shared" si="432"/>
        <v>Pink</v>
      </c>
      <c r="BA1091" s="243" t="s">
        <v>419</v>
      </c>
      <c r="BB1091" s="246"/>
      <c r="BC1091" s="43" t="str">
        <f t="shared" si="433"/>
        <v>-</v>
      </c>
      <c r="BD1091" s="43">
        <f t="shared" si="431"/>
        <v>0</v>
      </c>
      <c r="BE1091" s="193">
        <f t="shared" si="446"/>
        <v>0</v>
      </c>
      <c r="BF1091" s="193">
        <f t="shared" si="434"/>
        <v>0</v>
      </c>
      <c r="BG1091" s="193">
        <f t="shared" si="435"/>
        <v>0</v>
      </c>
      <c r="BH1091" s="307" t="str">
        <f t="shared" si="448"/>
        <v>-</v>
      </c>
      <c r="BI1091" s="266"/>
      <c r="BJ1091" s="26" t="str">
        <f t="shared" si="436"/>
        <v>HOISS CREEKPink</v>
      </c>
      <c r="BK1091" s="26">
        <f t="shared" si="437"/>
        <v>0</v>
      </c>
      <c r="BL1091" s="33">
        <f t="shared" si="452"/>
        <v>0</v>
      </c>
      <c r="BQ1091" s="47" t="str">
        <f t="shared" si="438"/>
        <v>HOISS CREEKPink</v>
      </c>
      <c r="BR1091" s="49">
        <f t="shared" si="439"/>
        <v>0</v>
      </c>
      <c r="BS1091" s="49">
        <f t="shared" si="449"/>
        <v>0</v>
      </c>
      <c r="BT1091" s="31">
        <v>0</v>
      </c>
      <c r="BU1091" s="188">
        <f t="shared" si="440"/>
        <v>0</v>
      </c>
      <c r="BV1091" s="188" t="str">
        <f t="shared" si="441"/>
        <v xml:space="preserve"> </v>
      </c>
      <c r="BW1091" s="188" t="str">
        <f t="shared" si="450"/>
        <v xml:space="preserve"> </v>
      </c>
      <c r="BX1091" s="188" t="str">
        <f t="shared" si="442"/>
        <v xml:space="preserve"> </v>
      </c>
      <c r="BY1091" s="50" t="str">
        <f t="shared" si="456"/>
        <v>HOISS CREEK_Pink</v>
      </c>
      <c r="BZ1091" s="50" t="str">
        <f>IFERROR(VLOOKUP(BY1091,'[1]WCVI Esc'!$C$5:$W$555,18,FALSE),"-")</f>
        <v>-</v>
      </c>
      <c r="CA1091" s="50" t="str">
        <f t="shared" si="443"/>
        <v>-</v>
      </c>
      <c r="CB1091" s="50" t="str">
        <f>IFERROR(VLOOKUP(BY1091,'[1]WCVI Esc'!$C$5:$W$555,19,FALSE),"-")</f>
        <v>-</v>
      </c>
      <c r="CC1091" s="50" t="str">
        <f t="shared" si="444"/>
        <v>-</v>
      </c>
      <c r="CE1091" s="342" t="str">
        <f t="shared" si="453"/>
        <v>HOISS CREEK_Pink</v>
      </c>
      <c r="CF1091" s="341" t="str">
        <f>IFERROR(VLOOKUP(BY1091,'RawPL+D'!$O$8:$AB$503,12,FALSE),"-")</f>
        <v>-</v>
      </c>
      <c r="CG1091" s="338" t="str">
        <f t="shared" si="454"/>
        <v>-</v>
      </c>
      <c r="CH1091" s="341" t="str">
        <f>IFERROR(VLOOKUP(BY1091,'RawPL+D'!$O$8:$AB$503,13,FALSE),"-")</f>
        <v>-</v>
      </c>
      <c r="CI1091" s="338" t="str">
        <f t="shared" si="455"/>
        <v>-</v>
      </c>
    </row>
    <row r="1092" spans="1:87" ht="12.75" hidden="1" customHeight="1" x14ac:dyDescent="0.2">
      <c r="A1092" s="28">
        <v>4</v>
      </c>
      <c r="B1092" s="28">
        <v>4</v>
      </c>
      <c r="C1092" s="11">
        <v>25</v>
      </c>
      <c r="D1092" s="13" t="s">
        <v>299</v>
      </c>
      <c r="E1092" s="10" t="s">
        <v>140</v>
      </c>
      <c r="F1092" s="10" t="s">
        <v>209</v>
      </c>
      <c r="G1092" s="10"/>
      <c r="H1092" s="10"/>
      <c r="I1092" s="10"/>
      <c r="J1092" s="10"/>
      <c r="K1092" s="575"/>
      <c r="L1092" s="152"/>
      <c r="M1092" s="164"/>
      <c r="N1092" s="62"/>
      <c r="O1092" s="62"/>
      <c r="P1092" s="177"/>
      <c r="Q1092" s="452"/>
      <c r="R1092" s="94"/>
      <c r="S1092" s="62"/>
      <c r="T1092" s="62"/>
      <c r="U1092" s="64"/>
      <c r="V1092" s="164"/>
      <c r="W1092" s="62"/>
      <c r="X1092" s="62"/>
      <c r="Y1092" s="62"/>
      <c r="Z1092" s="64"/>
      <c r="AA1092" s="164"/>
      <c r="AB1092" s="62"/>
      <c r="AC1092" s="62"/>
      <c r="AD1092" s="64"/>
      <c r="AE1092" s="164"/>
      <c r="AF1092" s="62"/>
      <c r="AG1092" s="64"/>
      <c r="AH1092" s="337"/>
      <c r="AI1092" s="337"/>
      <c r="AJ1092" s="337"/>
      <c r="AK1092" s="337"/>
      <c r="AL1092" s="412"/>
      <c r="AM1092" s="414"/>
      <c r="AN1092" s="45"/>
      <c r="AO1092" s="45"/>
      <c r="AP1092" s="45"/>
      <c r="AQ1092" s="485">
        <f>AL1092/BI1092</f>
        <v>0</v>
      </c>
      <c r="AR1092" s="485" t="e">
        <f>BL1092/BH1092</f>
        <v>#DIV/0!</v>
      </c>
      <c r="AS1092" s="24"/>
      <c r="AT1092" s="24"/>
      <c r="AU1092" s="24"/>
      <c r="AV1092" s="24"/>
      <c r="AW1092" s="18">
        <v>25</v>
      </c>
      <c r="AX1092" s="69" t="s">
        <v>299</v>
      </c>
      <c r="AY1092" s="243" t="s">
        <v>140</v>
      </c>
      <c r="AZ1092" s="243" t="str">
        <f t="shared" si="432"/>
        <v>Chum</v>
      </c>
      <c r="BA1092" s="243" t="s">
        <v>419</v>
      </c>
      <c r="BB1092" s="246"/>
      <c r="BC1092" s="43" t="str">
        <f t="shared" si="433"/>
        <v>-</v>
      </c>
      <c r="BD1092" s="43">
        <f t="shared" si="431"/>
        <v>0</v>
      </c>
      <c r="BE1092" s="193">
        <f t="shared" si="446"/>
        <v>0</v>
      </c>
      <c r="BF1092" s="193">
        <f t="shared" si="434"/>
        <v>0</v>
      </c>
      <c r="BG1092" s="193">
        <f t="shared" si="435"/>
        <v>0</v>
      </c>
      <c r="BH1092" s="307">
        <f t="shared" si="448"/>
        <v>0</v>
      </c>
      <c r="BI1092" s="265">
        <f>CC1092</f>
        <v>360</v>
      </c>
      <c r="BJ1092" s="26" t="str">
        <f t="shared" si="436"/>
        <v>HOISS CREEKChum</v>
      </c>
      <c r="BK1092" s="26">
        <f t="shared" si="437"/>
        <v>0</v>
      </c>
      <c r="BL1092" s="33">
        <f t="shared" si="452"/>
        <v>0</v>
      </c>
      <c r="BQ1092" s="47" t="str">
        <f t="shared" si="438"/>
        <v>HOISS CREEKChum</v>
      </c>
      <c r="BR1092" s="49">
        <f t="shared" si="439"/>
        <v>0</v>
      </c>
      <c r="BS1092" s="49">
        <f t="shared" si="449"/>
        <v>0</v>
      </c>
      <c r="BT1092" s="31">
        <v>2011</v>
      </c>
      <c r="BU1092" s="188">
        <f t="shared" si="440"/>
        <v>0</v>
      </c>
      <c r="BV1092" s="188" t="str">
        <f t="shared" si="441"/>
        <v xml:space="preserve"> </v>
      </c>
      <c r="BW1092" s="188" t="str">
        <f t="shared" si="450"/>
        <v xml:space="preserve"> </v>
      </c>
      <c r="BX1092" s="188" t="str">
        <f t="shared" si="442"/>
        <v xml:space="preserve"> </v>
      </c>
      <c r="BY1092" s="50" t="str">
        <f t="shared" si="456"/>
        <v>HOISS CREEK_Chum</v>
      </c>
      <c r="BZ1092" s="50" t="str">
        <f>IFERROR(VLOOKUP(BY1092,'[1]WCVI Esc'!$C$5:$W$555,18,FALSE),"-")</f>
        <v>-</v>
      </c>
      <c r="CA1092" s="50" t="str">
        <f t="shared" si="443"/>
        <v>-</v>
      </c>
      <c r="CB1092" s="50">
        <f>IFERROR(VLOOKUP(BY1092,'[1]WCVI Esc'!$C$5:$W$555,19,FALSE),"-")</f>
        <v>361</v>
      </c>
      <c r="CC1092" s="50">
        <f t="shared" si="444"/>
        <v>360</v>
      </c>
      <c r="CE1092" s="342" t="str">
        <f t="shared" si="453"/>
        <v>HOISS CREEK_Chum</v>
      </c>
      <c r="CF1092" s="341">
        <f>IFERROR(VLOOKUP(BY1092,'RawPL+D'!$O$8:$AB$503,12,FALSE),"-")</f>
        <v>0</v>
      </c>
      <c r="CG1092" s="338">
        <f t="shared" si="454"/>
        <v>0</v>
      </c>
      <c r="CH1092" s="341">
        <f>IFERROR(VLOOKUP(BY1092,'RawPL+D'!$O$8:$AB$503,13,FALSE),"-")</f>
        <v>0</v>
      </c>
      <c r="CI1092" s="338">
        <f t="shared" si="455"/>
        <v>0</v>
      </c>
    </row>
    <row r="1093" spans="1:87" ht="12.75" hidden="1" customHeight="1" x14ac:dyDescent="0.2">
      <c r="A1093" s="28">
        <v>4</v>
      </c>
      <c r="B1093" s="28">
        <v>5</v>
      </c>
      <c r="C1093" s="11">
        <v>25</v>
      </c>
      <c r="D1093" s="13" t="s">
        <v>299</v>
      </c>
      <c r="E1093" s="10" t="s">
        <v>140</v>
      </c>
      <c r="F1093" s="10" t="s">
        <v>210</v>
      </c>
      <c r="G1093" s="10"/>
      <c r="H1093" s="10"/>
      <c r="I1093" s="10"/>
      <c r="J1093" s="10"/>
      <c r="K1093" s="575"/>
      <c r="L1093" s="152"/>
      <c r="M1093" s="164"/>
      <c r="N1093" s="62"/>
      <c r="O1093" s="62"/>
      <c r="P1093" s="177"/>
      <c r="Q1093" s="452"/>
      <c r="R1093" s="94"/>
      <c r="S1093" s="62"/>
      <c r="T1093" s="62"/>
      <c r="U1093" s="64"/>
      <c r="V1093" s="164"/>
      <c r="W1093" s="62"/>
      <c r="X1093" s="62"/>
      <c r="Y1093" s="62"/>
      <c r="Z1093" s="64"/>
      <c r="AA1093" s="164"/>
      <c r="AB1093" s="62"/>
      <c r="AC1093" s="62"/>
      <c r="AD1093" s="64"/>
      <c r="AE1093" s="164"/>
      <c r="AF1093" s="62"/>
      <c r="AG1093" s="64"/>
      <c r="AH1093" s="337"/>
      <c r="AI1093" s="337"/>
      <c r="AJ1093" s="337"/>
      <c r="AK1093" s="337"/>
      <c r="AL1093" s="412"/>
      <c r="AM1093" s="414"/>
      <c r="AN1093" s="45"/>
      <c r="AO1093" s="45"/>
      <c r="AP1093" s="45"/>
      <c r="AQ1093" s="485" t="e">
        <f>AL1093/BI1093</f>
        <v>#DIV/0!</v>
      </c>
      <c r="AR1093" s="485" t="e">
        <f>BL1093/BH1093</f>
        <v>#VALUE!</v>
      </c>
      <c r="AS1093" s="24"/>
      <c r="AT1093" s="24"/>
      <c r="AU1093" s="24"/>
      <c r="AV1093" s="24"/>
      <c r="AW1093" s="18">
        <v>25</v>
      </c>
      <c r="AX1093" s="69" t="s">
        <v>299</v>
      </c>
      <c r="AY1093" s="243" t="s">
        <v>140</v>
      </c>
      <c r="AZ1093" s="243" t="str">
        <f t="shared" si="432"/>
        <v>Chinook</v>
      </c>
      <c r="BA1093" s="243" t="s">
        <v>419</v>
      </c>
      <c r="BB1093" s="246"/>
      <c r="BC1093" s="43" t="str">
        <f t="shared" si="433"/>
        <v>-</v>
      </c>
      <c r="BD1093" s="43">
        <f t="shared" ref="BD1093:BD1156" si="457">BK1093</f>
        <v>0</v>
      </c>
      <c r="BE1093" s="193">
        <f t="shared" si="446"/>
        <v>0</v>
      </c>
      <c r="BF1093" s="193">
        <f t="shared" si="434"/>
        <v>0</v>
      </c>
      <c r="BG1093" s="193">
        <f t="shared" si="435"/>
        <v>0</v>
      </c>
      <c r="BH1093" s="307" t="str">
        <f t="shared" si="448"/>
        <v>-</v>
      </c>
      <c r="BI1093" s="265">
        <f>CC1093</f>
        <v>0</v>
      </c>
      <c r="BJ1093" s="26" t="str">
        <f t="shared" si="436"/>
        <v>HOISS CREEKChinook</v>
      </c>
      <c r="BK1093" s="26">
        <f t="shared" si="437"/>
        <v>0</v>
      </c>
      <c r="BL1093" s="33">
        <f t="shared" si="452"/>
        <v>0</v>
      </c>
      <c r="BQ1093" s="47" t="str">
        <f t="shared" si="438"/>
        <v>HOISS CREEKChinook</v>
      </c>
      <c r="BR1093" s="49">
        <f t="shared" si="439"/>
        <v>0</v>
      </c>
      <c r="BS1093" s="49">
        <f t="shared" si="449"/>
        <v>0</v>
      </c>
      <c r="BT1093" s="31">
        <v>2011</v>
      </c>
      <c r="BU1093" s="188">
        <f t="shared" si="440"/>
        <v>0</v>
      </c>
      <c r="BV1093" s="188" t="str">
        <f t="shared" si="441"/>
        <v xml:space="preserve"> </v>
      </c>
      <c r="BW1093" s="188" t="str">
        <f t="shared" si="450"/>
        <v xml:space="preserve"> </v>
      </c>
      <c r="BX1093" s="188" t="str">
        <f t="shared" si="442"/>
        <v xml:space="preserve"> </v>
      </c>
      <c r="BY1093" s="50" t="str">
        <f t="shared" si="456"/>
        <v>HOISS CREEK_Chinook</v>
      </c>
      <c r="BZ1093" s="50" t="str">
        <f>IFERROR(VLOOKUP(BY1093,'[1]WCVI Esc'!$C$5:$W$555,18,FALSE),"-")</f>
        <v>-</v>
      </c>
      <c r="CA1093" s="50" t="str">
        <f t="shared" si="443"/>
        <v>-</v>
      </c>
      <c r="CB1093" s="50">
        <f>IFERROR(VLOOKUP(BY1093,'[1]WCVI Esc'!$C$5:$W$555,19,FALSE),"-")</f>
        <v>1</v>
      </c>
      <c r="CC1093" s="50">
        <f t="shared" si="444"/>
        <v>0</v>
      </c>
      <c r="CE1093" s="342" t="str">
        <f t="shared" si="453"/>
        <v>HOISS CREEK_Chinook</v>
      </c>
      <c r="CF1093" s="341">
        <f>IFERROR(VLOOKUP(BY1093,'RawPL+D'!$O$8:$AB$503,12,FALSE),"-")</f>
        <v>0</v>
      </c>
      <c r="CG1093" s="338">
        <f t="shared" si="454"/>
        <v>0</v>
      </c>
      <c r="CH1093" s="341" t="str">
        <f>IFERROR(VLOOKUP(BY1093,'RawPL+D'!$O$8:$AB$503,13,FALSE),"-")</f>
        <v>-</v>
      </c>
      <c r="CI1093" s="338" t="str">
        <f t="shared" si="455"/>
        <v>-</v>
      </c>
    </row>
    <row r="1094" spans="1:87" ht="12.75" hidden="1" customHeight="1" x14ac:dyDescent="0.2">
      <c r="A1094" s="28">
        <v>4</v>
      </c>
      <c r="B1094" s="28">
        <v>6</v>
      </c>
      <c r="C1094" s="11">
        <v>25</v>
      </c>
      <c r="D1094" s="13" t="s">
        <v>299</v>
      </c>
      <c r="E1094" s="10" t="s">
        <v>140</v>
      </c>
      <c r="F1094" s="10" t="s">
        <v>211</v>
      </c>
      <c r="G1094" s="10"/>
      <c r="H1094" s="10"/>
      <c r="I1094" s="10"/>
      <c r="J1094" s="10"/>
      <c r="K1094" s="575"/>
      <c r="L1094" s="152"/>
      <c r="M1094" s="164"/>
      <c r="N1094" s="62"/>
      <c r="O1094" s="62"/>
      <c r="P1094" s="177"/>
      <c r="Q1094" s="452"/>
      <c r="R1094" s="94"/>
      <c r="S1094" s="62"/>
      <c r="T1094" s="62"/>
      <c r="U1094" s="64"/>
      <c r="V1094" s="164"/>
      <c r="W1094" s="62"/>
      <c r="X1094" s="62"/>
      <c r="Y1094" s="62"/>
      <c r="Z1094" s="64"/>
      <c r="AA1094" s="164"/>
      <c r="AB1094" s="62"/>
      <c r="AC1094" s="62"/>
      <c r="AD1094" s="64"/>
      <c r="AE1094" s="164"/>
      <c r="AF1094" s="62"/>
      <c r="AG1094" s="64"/>
      <c r="AH1094" s="337"/>
      <c r="AI1094" s="337"/>
      <c r="AJ1094" s="337"/>
      <c r="AK1094" s="337"/>
      <c r="AL1094" s="412"/>
      <c r="AM1094" s="414"/>
      <c r="AN1094" s="45"/>
      <c r="AO1094" s="45"/>
      <c r="AP1094" s="45"/>
      <c r="AQ1094" s="485"/>
      <c r="AR1094" s="100"/>
      <c r="AS1094" s="24"/>
      <c r="AT1094" s="24"/>
      <c r="AU1094" s="24"/>
      <c r="AV1094" s="24"/>
      <c r="AW1094" s="18">
        <v>25</v>
      </c>
      <c r="AX1094" s="69" t="s">
        <v>299</v>
      </c>
      <c r="AY1094" s="243" t="s">
        <v>140</v>
      </c>
      <c r="AZ1094" s="243" t="str">
        <f t="shared" si="432"/>
        <v>Steelhead</v>
      </c>
      <c r="BA1094" s="243" t="s">
        <v>419</v>
      </c>
      <c r="BB1094" s="246"/>
      <c r="BC1094" s="43" t="str">
        <f t="shared" si="433"/>
        <v>-</v>
      </c>
      <c r="BD1094" s="43">
        <f t="shared" si="457"/>
        <v>0</v>
      </c>
      <c r="BE1094" s="193">
        <f t="shared" si="446"/>
        <v>0</v>
      </c>
      <c r="BF1094" s="193">
        <f t="shared" si="434"/>
        <v>0</v>
      </c>
      <c r="BG1094" s="193">
        <f t="shared" si="435"/>
        <v>0</v>
      </c>
      <c r="BH1094" s="307" t="str">
        <f t="shared" si="448"/>
        <v>-</v>
      </c>
      <c r="BI1094" s="266"/>
      <c r="BJ1094" s="26" t="str">
        <f t="shared" si="436"/>
        <v>HOISS CREEKSteelhead</v>
      </c>
      <c r="BK1094" s="26">
        <f t="shared" si="437"/>
        <v>0</v>
      </c>
      <c r="BL1094" s="33">
        <f t="shared" si="452"/>
        <v>0</v>
      </c>
      <c r="BQ1094" s="47" t="str">
        <f t="shared" si="438"/>
        <v>HOISS CREEKSteelhead</v>
      </c>
      <c r="BR1094" s="49">
        <f t="shared" si="439"/>
        <v>0</v>
      </c>
      <c r="BS1094" s="49">
        <f t="shared" si="449"/>
        <v>0</v>
      </c>
      <c r="BT1094" s="31">
        <v>0</v>
      </c>
      <c r="BU1094" s="188">
        <f t="shared" si="440"/>
        <v>0</v>
      </c>
      <c r="BV1094" s="188" t="str">
        <f t="shared" si="441"/>
        <v xml:space="preserve"> </v>
      </c>
      <c r="BW1094" s="188" t="str">
        <f t="shared" si="450"/>
        <v xml:space="preserve"> </v>
      </c>
      <c r="BX1094" s="188" t="str">
        <f t="shared" si="442"/>
        <v xml:space="preserve"> </v>
      </c>
      <c r="BY1094" s="50" t="str">
        <f t="shared" si="456"/>
        <v>HOISS CREEK_Steelhead</v>
      </c>
      <c r="BZ1094" s="50" t="str">
        <f>IFERROR(VLOOKUP(BY1094,'[1]WCVI Esc'!$C$5:$W$555,18,FALSE),"-")</f>
        <v>-</v>
      </c>
      <c r="CA1094" s="50" t="str">
        <f t="shared" si="443"/>
        <v>-</v>
      </c>
      <c r="CB1094" s="50" t="str">
        <f>IFERROR(VLOOKUP(BY1094,'[1]WCVI Esc'!$C$5:$W$555,19,FALSE),"-")</f>
        <v>-</v>
      </c>
      <c r="CC1094" s="50" t="str">
        <f t="shared" si="444"/>
        <v>-</v>
      </c>
      <c r="CE1094" s="342" t="str">
        <f t="shared" si="453"/>
        <v>HOISS CREEK_Steelhead</v>
      </c>
      <c r="CF1094" s="341" t="str">
        <f>IFERROR(VLOOKUP(BY1094,'RawPL+D'!$O$8:$AB$503,12,FALSE),"-")</f>
        <v>-</v>
      </c>
      <c r="CG1094" s="338" t="str">
        <f t="shared" si="454"/>
        <v>-</v>
      </c>
      <c r="CH1094" s="341" t="str">
        <f>IFERROR(VLOOKUP(BY1094,'RawPL+D'!$O$8:$AB$503,13,FALSE),"-")</f>
        <v>-</v>
      </c>
      <c r="CI1094" s="338" t="str">
        <f t="shared" si="455"/>
        <v>-</v>
      </c>
    </row>
    <row r="1095" spans="1:87" ht="12.75" hidden="1" customHeight="1" x14ac:dyDescent="0.2">
      <c r="A1095" s="28">
        <v>4</v>
      </c>
      <c r="B1095" s="28">
        <v>1</v>
      </c>
      <c r="C1095" s="11">
        <v>25</v>
      </c>
      <c r="D1095" s="13" t="s">
        <v>299</v>
      </c>
      <c r="E1095" s="10" t="s">
        <v>141</v>
      </c>
      <c r="F1095" s="10" t="s">
        <v>207</v>
      </c>
      <c r="G1095" s="10"/>
      <c r="H1095" s="10"/>
      <c r="I1095" s="10"/>
      <c r="J1095" s="10"/>
      <c r="K1095" s="575"/>
      <c r="L1095" s="152"/>
      <c r="M1095" s="164"/>
      <c r="N1095" s="62"/>
      <c r="O1095" s="62"/>
      <c r="P1095" s="177"/>
      <c r="Q1095" s="452"/>
      <c r="R1095" s="94"/>
      <c r="S1095" s="62"/>
      <c r="T1095" s="62"/>
      <c r="U1095" s="62"/>
      <c r="V1095" s="164"/>
      <c r="W1095" s="62"/>
      <c r="X1095" s="62"/>
      <c r="Y1095" s="62"/>
      <c r="Z1095" s="64"/>
      <c r="AA1095" s="164"/>
      <c r="AB1095" s="62"/>
      <c r="AC1095" s="62"/>
      <c r="AD1095" s="64"/>
      <c r="AE1095" s="164"/>
      <c r="AF1095" s="62"/>
      <c r="AG1095" s="64"/>
      <c r="AH1095" s="337"/>
      <c r="AI1095" s="337"/>
      <c r="AJ1095" s="337"/>
      <c r="AK1095" s="337"/>
      <c r="AL1095" s="412"/>
      <c r="AM1095" s="414"/>
      <c r="AN1095" s="45"/>
      <c r="AO1095" s="45"/>
      <c r="AP1095" s="45"/>
      <c r="AQ1095" s="485"/>
      <c r="AR1095" s="100"/>
      <c r="AS1095" s="24"/>
      <c r="AT1095" s="24"/>
      <c r="AU1095" s="24"/>
      <c r="AV1095" s="24"/>
      <c r="AW1095" s="18">
        <v>25</v>
      </c>
      <c r="AX1095" s="69" t="s">
        <v>299</v>
      </c>
      <c r="AY1095" s="243" t="s">
        <v>141</v>
      </c>
      <c r="AZ1095" s="243" t="str">
        <f t="shared" si="432"/>
        <v>Sockeye</v>
      </c>
      <c r="BA1095" s="243" t="s">
        <v>419</v>
      </c>
      <c r="BB1095" s="388"/>
      <c r="BC1095" s="43" t="str">
        <f t="shared" si="433"/>
        <v>-</v>
      </c>
      <c r="BD1095" s="43">
        <f t="shared" si="457"/>
        <v>0</v>
      </c>
      <c r="BE1095" s="193">
        <f t="shared" si="446"/>
        <v>0</v>
      </c>
      <c r="BF1095" s="193">
        <f t="shared" si="434"/>
        <v>0</v>
      </c>
      <c r="BG1095" s="193">
        <f t="shared" si="435"/>
        <v>0</v>
      </c>
      <c r="BH1095" s="307" t="str">
        <f t="shared" si="448"/>
        <v>-</v>
      </c>
      <c r="BI1095" s="487"/>
      <c r="BJ1095" s="26" t="str">
        <f t="shared" si="436"/>
        <v>KENDRICK CREEKSockeye</v>
      </c>
      <c r="BK1095" s="26">
        <f t="shared" si="437"/>
        <v>0</v>
      </c>
      <c r="BL1095" s="33">
        <f t="shared" si="452"/>
        <v>0</v>
      </c>
      <c r="BQ1095" s="47" t="str">
        <f t="shared" si="438"/>
        <v>KENDRICK CREEKSockeye</v>
      </c>
      <c r="BR1095" s="49">
        <f t="shared" si="439"/>
        <v>0</v>
      </c>
      <c r="BS1095" s="49">
        <f t="shared" si="449"/>
        <v>0</v>
      </c>
      <c r="BT1095" s="31">
        <v>0</v>
      </c>
      <c r="BU1095" s="188">
        <f t="shared" si="440"/>
        <v>0</v>
      </c>
      <c r="BV1095" s="188" t="str">
        <f t="shared" si="441"/>
        <v xml:space="preserve"> </v>
      </c>
      <c r="BW1095" s="188" t="str">
        <f t="shared" si="450"/>
        <v xml:space="preserve"> </v>
      </c>
      <c r="BX1095" s="188" t="str">
        <f t="shared" si="442"/>
        <v xml:space="preserve"> </v>
      </c>
      <c r="BY1095" s="50" t="str">
        <f t="shared" si="456"/>
        <v>KENDRICK CREEK_Sockeye</v>
      </c>
      <c r="BZ1095" s="50" t="str">
        <f>IFERROR(VLOOKUP(BY1095,'[1]WCVI Esc'!$C$5:$W$555,18,FALSE),"-")</f>
        <v>-</v>
      </c>
      <c r="CA1095" s="50" t="str">
        <f t="shared" si="443"/>
        <v>-</v>
      </c>
      <c r="CB1095" s="50" t="str">
        <f>IFERROR(VLOOKUP(BY1095,'[1]WCVI Esc'!$C$5:$W$555,19,FALSE),"-")</f>
        <v>-</v>
      </c>
      <c r="CC1095" s="50" t="str">
        <f t="shared" si="444"/>
        <v>-</v>
      </c>
      <c r="CE1095" s="342" t="str">
        <f t="shared" si="453"/>
        <v>KENDRICK CREEK_Sockeye</v>
      </c>
      <c r="CF1095" s="341" t="str">
        <f>IFERROR(VLOOKUP(BY1095,'RawPL+D'!$O$8:$AB$503,12,FALSE),"-")</f>
        <v>-</v>
      </c>
      <c r="CG1095" s="338" t="str">
        <f t="shared" si="454"/>
        <v>-</v>
      </c>
      <c r="CH1095" s="341" t="str">
        <f>IFERROR(VLOOKUP(BY1095,'RawPL+D'!$O$8:$AB$503,13,FALSE),"-")</f>
        <v>-</v>
      </c>
      <c r="CI1095" s="338" t="str">
        <f t="shared" si="455"/>
        <v>-</v>
      </c>
    </row>
    <row r="1096" spans="1:87" ht="12.75" hidden="1" customHeight="1" x14ac:dyDescent="0.2">
      <c r="A1096" s="28">
        <v>4</v>
      </c>
      <c r="B1096" s="28">
        <v>2</v>
      </c>
      <c r="C1096" s="11">
        <v>25</v>
      </c>
      <c r="D1096" s="13" t="s">
        <v>299</v>
      </c>
      <c r="E1096" s="10" t="s">
        <v>141</v>
      </c>
      <c r="F1096" s="10" t="s">
        <v>219</v>
      </c>
      <c r="G1096" s="10"/>
      <c r="H1096" s="10"/>
      <c r="I1096" s="10"/>
      <c r="J1096" s="10"/>
      <c r="K1096" s="575"/>
      <c r="L1096" s="152"/>
      <c r="M1096" s="164"/>
      <c r="N1096" s="62"/>
      <c r="O1096" s="62"/>
      <c r="P1096" s="177"/>
      <c r="Q1096" s="452"/>
      <c r="R1096" s="94"/>
      <c r="S1096" s="62"/>
      <c r="T1096" s="62"/>
      <c r="U1096" s="62"/>
      <c r="V1096" s="164"/>
      <c r="W1096" s="62"/>
      <c r="X1096" s="62"/>
      <c r="Y1096" s="62"/>
      <c r="Z1096" s="64"/>
      <c r="AA1096" s="164"/>
      <c r="AB1096" s="62"/>
      <c r="AC1096" s="62"/>
      <c r="AD1096" s="64"/>
      <c r="AE1096" s="164"/>
      <c r="AF1096" s="62"/>
      <c r="AG1096" s="64"/>
      <c r="AH1096" s="337"/>
      <c r="AI1096" s="337"/>
      <c r="AJ1096" s="337"/>
      <c r="AK1096" s="337"/>
      <c r="AL1096" s="412"/>
      <c r="AM1096" s="414"/>
      <c r="AN1096" s="45"/>
      <c r="AO1096" s="45"/>
      <c r="AP1096" s="45"/>
      <c r="AQ1096" s="485">
        <f>AL1096/BI1096</f>
        <v>0</v>
      </c>
      <c r="AR1096" s="485" t="e">
        <f>BL1096/BH1096</f>
        <v>#VALUE!</v>
      </c>
      <c r="AS1096" s="24"/>
      <c r="AT1096" s="24"/>
      <c r="AU1096" s="24"/>
      <c r="AV1096" s="24"/>
      <c r="AW1096" s="18">
        <v>25</v>
      </c>
      <c r="AX1096" s="69" t="s">
        <v>299</v>
      </c>
      <c r="AY1096" s="243" t="s">
        <v>141</v>
      </c>
      <c r="AZ1096" s="243" t="str">
        <f t="shared" si="432"/>
        <v>Coho</v>
      </c>
      <c r="BA1096" s="243" t="s">
        <v>419</v>
      </c>
      <c r="BB1096" s="246"/>
      <c r="BC1096" s="43" t="str">
        <f t="shared" si="433"/>
        <v>-</v>
      </c>
      <c r="BD1096" s="43">
        <f t="shared" si="457"/>
        <v>0</v>
      </c>
      <c r="BE1096" s="193">
        <f t="shared" si="446"/>
        <v>0</v>
      </c>
      <c r="BF1096" s="193">
        <f t="shared" si="434"/>
        <v>0</v>
      </c>
      <c r="BG1096" s="193">
        <f t="shared" si="435"/>
        <v>0</v>
      </c>
      <c r="BH1096" s="307" t="str">
        <f t="shared" si="448"/>
        <v>-</v>
      </c>
      <c r="BI1096" s="265">
        <f>CC1096</f>
        <v>30</v>
      </c>
      <c r="BJ1096" s="26" t="str">
        <f t="shared" si="436"/>
        <v>KENDRICK CREEKCoho</v>
      </c>
      <c r="BK1096" s="26">
        <f t="shared" si="437"/>
        <v>0</v>
      </c>
      <c r="BL1096" s="33">
        <f t="shared" si="452"/>
        <v>0</v>
      </c>
      <c r="BQ1096" s="47" t="str">
        <f t="shared" si="438"/>
        <v>KENDRICK CREEKCoho</v>
      </c>
      <c r="BR1096" s="49">
        <f t="shared" si="439"/>
        <v>0</v>
      </c>
      <c r="BS1096" s="49">
        <f t="shared" si="449"/>
        <v>0</v>
      </c>
      <c r="BT1096" s="31">
        <v>2011</v>
      </c>
      <c r="BU1096" s="188">
        <f t="shared" si="440"/>
        <v>0</v>
      </c>
      <c r="BV1096" s="188" t="str">
        <f t="shared" si="441"/>
        <v xml:space="preserve"> </v>
      </c>
      <c r="BW1096" s="188" t="str">
        <f t="shared" si="450"/>
        <v xml:space="preserve"> </v>
      </c>
      <c r="BX1096" s="188" t="str">
        <f t="shared" si="442"/>
        <v xml:space="preserve"> </v>
      </c>
      <c r="BY1096" s="50" t="str">
        <f t="shared" si="456"/>
        <v>KENDRICK CREEK_Coho</v>
      </c>
      <c r="BZ1096" s="50" t="str">
        <f>IFERROR(VLOOKUP(BY1096,'[1]WCVI Esc'!$C$5:$W$555,18,FALSE),"-")</f>
        <v>-</v>
      </c>
      <c r="CA1096" s="50" t="str">
        <f t="shared" si="443"/>
        <v>-</v>
      </c>
      <c r="CB1096" s="50">
        <f>IFERROR(VLOOKUP(BY1096,'[1]WCVI Esc'!$C$5:$W$555,19,FALSE),"-")</f>
        <v>28</v>
      </c>
      <c r="CC1096" s="50">
        <f t="shared" si="444"/>
        <v>30</v>
      </c>
      <c r="CE1096" s="342" t="str">
        <f t="shared" si="453"/>
        <v>KENDRICK CREEK_Coho</v>
      </c>
      <c r="CF1096" s="341" t="str">
        <f>IFERROR(VLOOKUP(BY1096,'RawPL+D'!$O$8:$AB$503,12,FALSE),"-")</f>
        <v>-</v>
      </c>
      <c r="CG1096" s="338" t="str">
        <f t="shared" si="454"/>
        <v>-</v>
      </c>
      <c r="CH1096" s="341" t="str">
        <f>IFERROR(VLOOKUP(BY1096,'RawPL+D'!$O$8:$AB$503,13,FALSE),"-")</f>
        <v>-</v>
      </c>
      <c r="CI1096" s="338" t="str">
        <f t="shared" si="455"/>
        <v>-</v>
      </c>
    </row>
    <row r="1097" spans="1:87" ht="12.75" hidden="1" customHeight="1" x14ac:dyDescent="0.2">
      <c r="A1097" s="28">
        <v>4</v>
      </c>
      <c r="B1097" s="28">
        <v>3</v>
      </c>
      <c r="C1097" s="11">
        <v>25</v>
      </c>
      <c r="D1097" s="13" t="s">
        <v>299</v>
      </c>
      <c r="E1097" s="10" t="s">
        <v>141</v>
      </c>
      <c r="F1097" s="10" t="s">
        <v>208</v>
      </c>
      <c r="G1097" s="10"/>
      <c r="H1097" s="10"/>
      <c r="I1097" s="10"/>
      <c r="J1097" s="10"/>
      <c r="K1097" s="575"/>
      <c r="L1097" s="152"/>
      <c r="M1097" s="164"/>
      <c r="N1097" s="62"/>
      <c r="O1097" s="62"/>
      <c r="P1097" s="177"/>
      <c r="Q1097" s="452"/>
      <c r="R1097" s="94"/>
      <c r="S1097" s="62"/>
      <c r="T1097" s="62"/>
      <c r="U1097" s="62"/>
      <c r="V1097" s="164"/>
      <c r="W1097" s="62"/>
      <c r="X1097" s="62"/>
      <c r="Y1097" s="62"/>
      <c r="Z1097" s="64"/>
      <c r="AA1097" s="164"/>
      <c r="AB1097" s="62"/>
      <c r="AC1097" s="62"/>
      <c r="AD1097" s="64"/>
      <c r="AE1097" s="164"/>
      <c r="AF1097" s="62"/>
      <c r="AG1097" s="64"/>
      <c r="AH1097" s="337"/>
      <c r="AI1097" s="337"/>
      <c r="AJ1097" s="337"/>
      <c r="AK1097" s="337"/>
      <c r="AL1097" s="412"/>
      <c r="AM1097" s="414"/>
      <c r="AN1097" s="45"/>
      <c r="AO1097" s="45"/>
      <c r="AP1097" s="45"/>
      <c r="AQ1097" s="485"/>
      <c r="AR1097" s="100"/>
      <c r="AS1097" s="24"/>
      <c r="AT1097" s="24"/>
      <c r="AU1097" s="24"/>
      <c r="AV1097" s="24"/>
      <c r="AW1097" s="18">
        <v>25</v>
      </c>
      <c r="AX1097" s="69" t="s">
        <v>299</v>
      </c>
      <c r="AY1097" s="243" t="s">
        <v>141</v>
      </c>
      <c r="AZ1097" s="243" t="str">
        <f t="shared" ref="AZ1097:AZ1160" si="458">F1097</f>
        <v>Pink</v>
      </c>
      <c r="BA1097" s="243" t="s">
        <v>419</v>
      </c>
      <c r="BB1097" s="246"/>
      <c r="BC1097" s="43" t="str">
        <f t="shared" ref="BC1097:BC1160" si="459">IF(BX1097=" ",IF(BW1097=" ", IF(BV1097=" ","-",BV1097),BW1097), BX1097)</f>
        <v>-</v>
      </c>
      <c r="BD1097" s="43">
        <f t="shared" si="457"/>
        <v>0</v>
      </c>
      <c r="BE1097" s="193">
        <f t="shared" si="446"/>
        <v>0</v>
      </c>
      <c r="BF1097" s="193">
        <f t="shared" ref="BF1097:BF1160" si="460">AL1097</f>
        <v>0</v>
      </c>
      <c r="BG1097" s="193">
        <f t="shared" ref="BG1097:BG1160" si="461">AH1097</f>
        <v>0</v>
      </c>
      <c r="BH1097" s="307" t="str">
        <f t="shared" si="448"/>
        <v>-</v>
      </c>
      <c r="BI1097" s="266"/>
      <c r="BJ1097" s="26" t="str">
        <f t="shared" ref="BJ1097:BJ1160" si="462">CONCATENATE(E1097,F1097)</f>
        <v>KENDRICK CREEKPink</v>
      </c>
      <c r="BK1097" s="26">
        <f t="shared" ref="BK1097:BK1160" si="463">COUNT(K1097:AB1097)</f>
        <v>0</v>
      </c>
      <c r="BL1097" s="33">
        <f t="shared" si="452"/>
        <v>0</v>
      </c>
      <c r="BQ1097" s="47" t="str">
        <f t="shared" ref="BQ1097:BQ1160" si="464">CONCATENATE(E1097,F1097)</f>
        <v>KENDRICK CREEKPink</v>
      </c>
      <c r="BR1097" s="49">
        <f t="shared" ref="BR1097:BR1160" si="465">AP1097</f>
        <v>0</v>
      </c>
      <c r="BS1097" s="49">
        <f t="shared" si="449"/>
        <v>0</v>
      </c>
      <c r="BT1097" s="31">
        <v>0</v>
      </c>
      <c r="BU1097" s="188">
        <f t="shared" ref="BU1097:BU1160" si="466">BB1097</f>
        <v>0</v>
      </c>
      <c r="BV1097" s="188" t="str">
        <f t="shared" ref="BV1097:BV1164" si="467">IF(ISNUMBER(Q1097),Q$8,IF(ISNUMBER(P1097),P$8,IF(ISNUMBER(O1097),O$8,IF(ISNUMBER(N1097),N$8,IF(ISNUMBER(M1097),M$8,IF(ISNUMBER(L1097),L$8, IF(ISNUMBER(K1097),K$8," ")))))))</f>
        <v xml:space="preserve"> </v>
      </c>
      <c r="BW1097" s="188" t="str">
        <f t="shared" si="450"/>
        <v xml:space="preserve"> </v>
      </c>
      <c r="BX1097" s="188" t="str">
        <f t="shared" ref="BX1097:BX1160" si="468">IF(ISNUMBER(AB1097),AB$8,IF(ISNUMBER(AA1097),AA$8,IF(ISNUMBER(Z1097),Z$8,IF(ISNUMBER(Y1097),Y$8,IF(ISNUMBER(X1097),X$8," ")))))</f>
        <v xml:space="preserve"> </v>
      </c>
      <c r="BY1097" s="50" t="str">
        <f t="shared" si="456"/>
        <v>KENDRICK CREEK_Pink</v>
      </c>
      <c r="BZ1097" s="50" t="str">
        <f>IFERROR(VLOOKUP(BY1097,'[1]WCVI Esc'!$C$5:$W$555,18,FALSE),"-")</f>
        <v>-</v>
      </c>
      <c r="CA1097" s="50" t="str">
        <f t="shared" ref="CA1097:CA1160" si="469">IFERROR(ROUND(BZ1097,-1),"-")</f>
        <v>-</v>
      </c>
      <c r="CB1097" s="50" t="str">
        <f>IFERROR(VLOOKUP(BY1097,'[1]WCVI Esc'!$C$5:$W$555,19,FALSE),"-")</f>
        <v>-</v>
      </c>
      <c r="CC1097" s="50" t="str">
        <f t="shared" ref="CC1097:CC1160" si="470">IFERROR(ROUND(CB1097,-1),"-")</f>
        <v>-</v>
      </c>
      <c r="CE1097" s="342" t="str">
        <f t="shared" si="453"/>
        <v>KENDRICK CREEK_Pink</v>
      </c>
      <c r="CF1097" s="341" t="str">
        <f>IFERROR(VLOOKUP(BY1097,'RawPL+D'!$O$8:$AB$503,12,FALSE),"-")</f>
        <v>-</v>
      </c>
      <c r="CG1097" s="338" t="str">
        <f t="shared" si="454"/>
        <v>-</v>
      </c>
      <c r="CH1097" s="341" t="str">
        <f>IFERROR(VLOOKUP(BY1097,'RawPL+D'!$O$8:$AB$503,13,FALSE),"-")</f>
        <v>-</v>
      </c>
      <c r="CI1097" s="338" t="str">
        <f t="shared" si="455"/>
        <v>-</v>
      </c>
    </row>
    <row r="1098" spans="1:87" ht="12.75" hidden="1" customHeight="1" x14ac:dyDescent="0.2">
      <c r="A1098" s="28">
        <v>4</v>
      </c>
      <c r="B1098" s="28">
        <v>4</v>
      </c>
      <c r="C1098" s="11">
        <v>25</v>
      </c>
      <c r="D1098" s="13" t="s">
        <v>299</v>
      </c>
      <c r="E1098" s="10" t="s">
        <v>141</v>
      </c>
      <c r="F1098" s="10" t="s">
        <v>209</v>
      </c>
      <c r="G1098" s="10"/>
      <c r="H1098" s="10"/>
      <c r="I1098" s="10"/>
      <c r="J1098" s="10"/>
      <c r="K1098" s="575"/>
      <c r="L1098" s="152"/>
      <c r="M1098" s="164"/>
      <c r="N1098" s="62"/>
      <c r="O1098" s="62"/>
      <c r="P1098" s="177"/>
      <c r="Q1098" s="452"/>
      <c r="R1098" s="94"/>
      <c r="S1098" s="62"/>
      <c r="T1098" s="62"/>
      <c r="U1098" s="62"/>
      <c r="V1098" s="164"/>
      <c r="W1098" s="62"/>
      <c r="X1098" s="62"/>
      <c r="Y1098" s="62"/>
      <c r="Z1098" s="64"/>
      <c r="AA1098" s="164"/>
      <c r="AB1098" s="62"/>
      <c r="AC1098" s="62"/>
      <c r="AD1098" s="64"/>
      <c r="AE1098" s="164"/>
      <c r="AF1098" s="62"/>
      <c r="AG1098" s="64"/>
      <c r="AH1098" s="337"/>
      <c r="AI1098" s="337"/>
      <c r="AJ1098" s="337"/>
      <c r="AK1098" s="337"/>
      <c r="AL1098" s="412"/>
      <c r="AM1098" s="414"/>
      <c r="AN1098" s="45"/>
      <c r="AO1098" s="45"/>
      <c r="AP1098" s="45"/>
      <c r="AQ1098" s="485">
        <f>AL1098/BI1098</f>
        <v>0</v>
      </c>
      <c r="AR1098" s="485" t="e">
        <f>BL1098/BH1098</f>
        <v>#VALUE!</v>
      </c>
      <c r="AS1098" s="24"/>
      <c r="AT1098" s="24"/>
      <c r="AU1098" s="24"/>
      <c r="AV1098" s="24"/>
      <c r="AW1098" s="18">
        <v>25</v>
      </c>
      <c r="AX1098" s="69" t="s">
        <v>299</v>
      </c>
      <c r="AY1098" s="243" t="s">
        <v>141</v>
      </c>
      <c r="AZ1098" s="243" t="str">
        <f t="shared" si="458"/>
        <v>Chum</v>
      </c>
      <c r="BA1098" s="243" t="s">
        <v>419</v>
      </c>
      <c r="BB1098" s="246"/>
      <c r="BC1098" s="43" t="str">
        <f t="shared" si="459"/>
        <v>-</v>
      </c>
      <c r="BD1098" s="43">
        <f t="shared" si="457"/>
        <v>0</v>
      </c>
      <c r="BE1098" s="193">
        <f t="shared" si="446"/>
        <v>0</v>
      </c>
      <c r="BF1098" s="193">
        <f t="shared" si="460"/>
        <v>0</v>
      </c>
      <c r="BG1098" s="193">
        <f t="shared" si="461"/>
        <v>0</v>
      </c>
      <c r="BH1098" s="307" t="str">
        <f t="shared" si="448"/>
        <v>-</v>
      </c>
      <c r="BI1098" s="265">
        <f>CC1098</f>
        <v>660</v>
      </c>
      <c r="BJ1098" s="26" t="str">
        <f t="shared" si="462"/>
        <v>KENDRICK CREEKChum</v>
      </c>
      <c r="BK1098" s="26">
        <f t="shared" si="463"/>
        <v>0</v>
      </c>
      <c r="BL1098" s="33">
        <f t="shared" si="452"/>
        <v>0</v>
      </c>
      <c r="BQ1098" s="47" t="str">
        <f t="shared" si="464"/>
        <v>KENDRICK CREEKChum</v>
      </c>
      <c r="BR1098" s="49">
        <f t="shared" si="465"/>
        <v>0</v>
      </c>
      <c r="BS1098" s="49">
        <f t="shared" si="449"/>
        <v>0</v>
      </c>
      <c r="BT1098" s="31">
        <v>2011</v>
      </c>
      <c r="BU1098" s="188">
        <f t="shared" si="466"/>
        <v>0</v>
      </c>
      <c r="BV1098" s="188" t="str">
        <f t="shared" si="467"/>
        <v xml:space="preserve"> </v>
      </c>
      <c r="BW1098" s="188" t="str">
        <f t="shared" si="450"/>
        <v xml:space="preserve"> </v>
      </c>
      <c r="BX1098" s="188" t="str">
        <f t="shared" si="468"/>
        <v xml:space="preserve"> </v>
      </c>
      <c r="BY1098" s="50" t="str">
        <f t="shared" si="456"/>
        <v>KENDRICK CREEK_Chum</v>
      </c>
      <c r="BZ1098" s="50" t="str">
        <f>IFERROR(VLOOKUP(BY1098,'[1]WCVI Esc'!$C$5:$W$555,18,FALSE),"-")</f>
        <v>-</v>
      </c>
      <c r="CA1098" s="50" t="str">
        <f t="shared" si="469"/>
        <v>-</v>
      </c>
      <c r="CB1098" s="50">
        <f>IFERROR(VLOOKUP(BY1098,'[1]WCVI Esc'!$C$5:$W$555,19,FALSE),"-")</f>
        <v>656</v>
      </c>
      <c r="CC1098" s="50">
        <f t="shared" si="470"/>
        <v>660</v>
      </c>
      <c r="CE1098" s="342" t="str">
        <f t="shared" si="453"/>
        <v>KENDRICK CREEK_Chum</v>
      </c>
      <c r="CF1098" s="341" t="str">
        <f>IFERROR(VLOOKUP(BY1098,'RawPL+D'!$O$8:$AB$503,12,FALSE),"-")</f>
        <v>-</v>
      </c>
      <c r="CG1098" s="338" t="str">
        <f t="shared" si="454"/>
        <v>-</v>
      </c>
      <c r="CH1098" s="341" t="str">
        <f>IFERROR(VLOOKUP(BY1098,'RawPL+D'!$O$8:$AB$503,13,FALSE),"-")</f>
        <v>-</v>
      </c>
      <c r="CI1098" s="338" t="str">
        <f t="shared" si="455"/>
        <v>-</v>
      </c>
    </row>
    <row r="1099" spans="1:87" ht="12.75" hidden="1" customHeight="1" x14ac:dyDescent="0.2">
      <c r="A1099" s="28">
        <v>4</v>
      </c>
      <c r="B1099" s="28">
        <v>5</v>
      </c>
      <c r="C1099" s="11">
        <v>25</v>
      </c>
      <c r="D1099" s="13" t="s">
        <v>299</v>
      </c>
      <c r="E1099" s="10" t="s">
        <v>141</v>
      </c>
      <c r="F1099" s="10" t="s">
        <v>210</v>
      </c>
      <c r="G1099" s="10"/>
      <c r="H1099" s="10"/>
      <c r="I1099" s="10"/>
      <c r="J1099" s="10"/>
      <c r="K1099" s="575"/>
      <c r="L1099" s="152"/>
      <c r="M1099" s="164"/>
      <c r="N1099" s="62"/>
      <c r="O1099" s="62"/>
      <c r="P1099" s="177"/>
      <c r="Q1099" s="452"/>
      <c r="R1099" s="94"/>
      <c r="S1099" s="62"/>
      <c r="T1099" s="62"/>
      <c r="U1099" s="62"/>
      <c r="V1099" s="164"/>
      <c r="W1099" s="62"/>
      <c r="X1099" s="62"/>
      <c r="Y1099" s="62"/>
      <c r="Z1099" s="64"/>
      <c r="AA1099" s="164"/>
      <c r="AB1099" s="62"/>
      <c r="AC1099" s="62"/>
      <c r="AD1099" s="64"/>
      <c r="AE1099" s="164"/>
      <c r="AF1099" s="62"/>
      <c r="AG1099" s="64"/>
      <c r="AH1099" s="337"/>
      <c r="AI1099" s="337"/>
      <c r="AJ1099" s="337"/>
      <c r="AK1099" s="337"/>
      <c r="AL1099" s="412"/>
      <c r="AM1099" s="414"/>
      <c r="AN1099" s="45"/>
      <c r="AO1099" s="45"/>
      <c r="AP1099" s="45"/>
      <c r="AQ1099" s="485"/>
      <c r="AR1099"/>
      <c r="AS1099" s="24"/>
      <c r="AT1099" s="24"/>
      <c r="AU1099" s="24"/>
      <c r="AV1099" s="24"/>
      <c r="AW1099" s="18">
        <v>25</v>
      </c>
      <c r="AX1099" s="69" t="s">
        <v>299</v>
      </c>
      <c r="AY1099" s="243" t="s">
        <v>141</v>
      </c>
      <c r="AZ1099" s="243" t="str">
        <f t="shared" si="458"/>
        <v>Chinook</v>
      </c>
      <c r="BA1099" s="243" t="s">
        <v>419</v>
      </c>
      <c r="BB1099" s="246"/>
      <c r="BC1099" s="43" t="str">
        <f t="shared" si="459"/>
        <v>-</v>
      </c>
      <c r="BD1099" s="43">
        <f t="shared" si="457"/>
        <v>0</v>
      </c>
      <c r="BE1099" s="193">
        <f t="shared" si="446"/>
        <v>0</v>
      </c>
      <c r="BF1099" s="193">
        <f t="shared" si="460"/>
        <v>0</v>
      </c>
      <c r="BG1099" s="193">
        <f t="shared" si="461"/>
        <v>0</v>
      </c>
      <c r="BH1099" s="307" t="str">
        <f t="shared" si="448"/>
        <v>-</v>
      </c>
      <c r="BI1099" s="271"/>
      <c r="BJ1099" s="26" t="str">
        <f t="shared" si="462"/>
        <v>KENDRICK CREEKChinook</v>
      </c>
      <c r="BK1099" s="26">
        <f t="shared" si="463"/>
        <v>0</v>
      </c>
      <c r="BL1099" s="33">
        <f t="shared" si="452"/>
        <v>0</v>
      </c>
      <c r="BQ1099" s="47" t="str">
        <f t="shared" si="464"/>
        <v>KENDRICK CREEKChinook</v>
      </c>
      <c r="BR1099" s="49">
        <f t="shared" si="465"/>
        <v>0</v>
      </c>
      <c r="BS1099" s="49">
        <f t="shared" si="449"/>
        <v>0</v>
      </c>
      <c r="BT1099" s="31">
        <v>0</v>
      </c>
      <c r="BU1099" s="188">
        <f t="shared" si="466"/>
        <v>0</v>
      </c>
      <c r="BV1099" s="188" t="str">
        <f t="shared" si="467"/>
        <v xml:space="preserve"> </v>
      </c>
      <c r="BW1099" s="188" t="str">
        <f t="shared" si="450"/>
        <v xml:space="preserve"> </v>
      </c>
      <c r="BX1099" s="188" t="str">
        <f t="shared" si="468"/>
        <v xml:space="preserve"> </v>
      </c>
      <c r="BY1099" s="50" t="str">
        <f t="shared" si="456"/>
        <v>KENDRICK CREEK_Chinook</v>
      </c>
      <c r="BZ1099" s="50" t="str">
        <f>IFERROR(VLOOKUP(BY1099,'[1]WCVI Esc'!$C$5:$W$555,18,FALSE),"-")</f>
        <v>-</v>
      </c>
      <c r="CA1099" s="50" t="str">
        <f t="shared" si="469"/>
        <v>-</v>
      </c>
      <c r="CB1099" s="50" t="str">
        <f>IFERROR(VLOOKUP(BY1099,'[1]WCVI Esc'!$C$5:$W$555,19,FALSE),"-")</f>
        <v>-</v>
      </c>
      <c r="CC1099" s="50" t="str">
        <f t="shared" si="470"/>
        <v>-</v>
      </c>
      <c r="CE1099" s="342" t="str">
        <f t="shared" si="453"/>
        <v>KENDRICK CREEK_Chinook</v>
      </c>
      <c r="CF1099" s="341" t="str">
        <f>IFERROR(VLOOKUP(BY1099,'RawPL+D'!$O$8:$AB$503,12,FALSE),"-")</f>
        <v>-</v>
      </c>
      <c r="CG1099" s="338" t="str">
        <f t="shared" si="454"/>
        <v>-</v>
      </c>
      <c r="CH1099" s="341" t="str">
        <f>IFERROR(VLOOKUP(BY1099,'RawPL+D'!$O$8:$AB$503,13,FALSE),"-")</f>
        <v>-</v>
      </c>
      <c r="CI1099" s="338" t="str">
        <f t="shared" si="455"/>
        <v>-</v>
      </c>
    </row>
    <row r="1100" spans="1:87" ht="12.75" hidden="1" customHeight="1" x14ac:dyDescent="0.2">
      <c r="A1100" s="28">
        <v>4</v>
      </c>
      <c r="B1100" s="28">
        <v>6</v>
      </c>
      <c r="C1100" s="11">
        <v>25</v>
      </c>
      <c r="D1100" s="13" t="s">
        <v>299</v>
      </c>
      <c r="E1100" s="10" t="s">
        <v>141</v>
      </c>
      <c r="F1100" s="10" t="s">
        <v>211</v>
      </c>
      <c r="G1100" s="10"/>
      <c r="H1100" s="10"/>
      <c r="I1100" s="10"/>
      <c r="J1100" s="10"/>
      <c r="K1100" s="575"/>
      <c r="L1100" s="152"/>
      <c r="M1100" s="164"/>
      <c r="N1100" s="62"/>
      <c r="O1100" s="62"/>
      <c r="P1100" s="177"/>
      <c r="Q1100" s="452"/>
      <c r="R1100" s="94"/>
      <c r="S1100" s="62"/>
      <c r="T1100" s="62"/>
      <c r="U1100" s="62"/>
      <c r="V1100" s="164"/>
      <c r="W1100" s="62"/>
      <c r="X1100" s="62"/>
      <c r="Y1100" s="62"/>
      <c r="Z1100" s="64"/>
      <c r="AA1100" s="164"/>
      <c r="AB1100" s="62"/>
      <c r="AC1100" s="62"/>
      <c r="AD1100" s="64"/>
      <c r="AE1100" s="164"/>
      <c r="AF1100" s="62"/>
      <c r="AG1100" s="64"/>
      <c r="AH1100" s="337"/>
      <c r="AI1100" s="337"/>
      <c r="AJ1100" s="337"/>
      <c r="AK1100" s="337"/>
      <c r="AL1100" s="412"/>
      <c r="AM1100" s="414"/>
      <c r="AN1100" s="45"/>
      <c r="AO1100" s="45"/>
      <c r="AP1100" s="45"/>
      <c r="AQ1100" s="485"/>
      <c r="AR1100"/>
      <c r="AS1100" s="24"/>
      <c r="AT1100" s="24"/>
      <c r="AU1100" s="24"/>
      <c r="AV1100" s="24"/>
      <c r="AW1100" s="18">
        <v>25</v>
      </c>
      <c r="AX1100" s="69" t="s">
        <v>299</v>
      </c>
      <c r="AY1100" s="243" t="s">
        <v>141</v>
      </c>
      <c r="AZ1100" s="243" t="str">
        <f t="shared" si="458"/>
        <v>Steelhead</v>
      </c>
      <c r="BA1100" s="243" t="s">
        <v>419</v>
      </c>
      <c r="BB1100" s="246"/>
      <c r="BC1100" s="43" t="str">
        <f t="shared" si="459"/>
        <v>-</v>
      </c>
      <c r="BD1100" s="43">
        <f t="shared" si="457"/>
        <v>0</v>
      </c>
      <c r="BE1100" s="193">
        <f t="shared" si="446"/>
        <v>0</v>
      </c>
      <c r="BF1100" s="193">
        <f t="shared" si="460"/>
        <v>0</v>
      </c>
      <c r="BG1100" s="193">
        <f t="shared" si="461"/>
        <v>0</v>
      </c>
      <c r="BH1100" s="307" t="str">
        <f t="shared" si="448"/>
        <v>-</v>
      </c>
      <c r="BI1100" s="266"/>
      <c r="BJ1100" s="26" t="str">
        <f t="shared" si="462"/>
        <v>KENDRICK CREEKSteelhead</v>
      </c>
      <c r="BK1100" s="26">
        <f t="shared" si="463"/>
        <v>0</v>
      </c>
      <c r="BL1100" s="33">
        <f t="shared" si="452"/>
        <v>0</v>
      </c>
      <c r="BQ1100" s="47" t="str">
        <f t="shared" si="464"/>
        <v>KENDRICK CREEKSteelhead</v>
      </c>
      <c r="BR1100" s="49">
        <f t="shared" si="465"/>
        <v>0</v>
      </c>
      <c r="BS1100" s="49">
        <f t="shared" si="449"/>
        <v>0</v>
      </c>
      <c r="BT1100" s="31">
        <v>0</v>
      </c>
      <c r="BU1100" s="188">
        <f t="shared" si="466"/>
        <v>0</v>
      </c>
      <c r="BV1100" s="188" t="str">
        <f t="shared" si="467"/>
        <v xml:space="preserve"> </v>
      </c>
      <c r="BW1100" s="188" t="str">
        <f t="shared" si="450"/>
        <v xml:space="preserve"> </v>
      </c>
      <c r="BX1100" s="188" t="str">
        <f t="shared" si="468"/>
        <v xml:space="preserve"> </v>
      </c>
      <c r="BY1100" s="50" t="str">
        <f t="shared" si="456"/>
        <v>KENDRICK CREEK_Steelhead</v>
      </c>
      <c r="BZ1100" s="50" t="str">
        <f>IFERROR(VLOOKUP(BY1100,'[1]WCVI Esc'!$C$5:$W$555,18,FALSE),"-")</f>
        <v>-</v>
      </c>
      <c r="CA1100" s="50" t="str">
        <f t="shared" si="469"/>
        <v>-</v>
      </c>
      <c r="CB1100" s="50" t="str">
        <f>IFERROR(VLOOKUP(BY1100,'[1]WCVI Esc'!$C$5:$W$555,19,FALSE),"-")</f>
        <v>-</v>
      </c>
      <c r="CC1100" s="50" t="str">
        <f t="shared" si="470"/>
        <v>-</v>
      </c>
      <c r="CE1100" s="342" t="str">
        <f t="shared" si="453"/>
        <v>KENDRICK CREEK_Steelhead</v>
      </c>
      <c r="CF1100" s="341" t="str">
        <f>IFERROR(VLOOKUP(BY1100,'RawPL+D'!$O$8:$AB$503,12,FALSE),"-")</f>
        <v>-</v>
      </c>
      <c r="CG1100" s="338" t="str">
        <f t="shared" si="454"/>
        <v>-</v>
      </c>
      <c r="CH1100" s="341" t="str">
        <f>IFERROR(VLOOKUP(BY1100,'RawPL+D'!$O$8:$AB$503,13,FALSE),"-")</f>
        <v>-</v>
      </c>
      <c r="CI1100" s="338" t="str">
        <f t="shared" si="455"/>
        <v>-</v>
      </c>
    </row>
    <row r="1101" spans="1:87" ht="12.75" hidden="1" customHeight="1" x14ac:dyDescent="0.2">
      <c r="A1101" s="28">
        <v>4</v>
      </c>
      <c r="B1101" s="28">
        <v>1</v>
      </c>
      <c r="C1101" s="11">
        <v>25</v>
      </c>
      <c r="D1101" s="13" t="s">
        <v>299</v>
      </c>
      <c r="E1101" s="10" t="s">
        <v>142</v>
      </c>
      <c r="F1101" s="10" t="s">
        <v>207</v>
      </c>
      <c r="G1101" s="10"/>
      <c r="H1101" s="10"/>
      <c r="I1101" s="10"/>
      <c r="J1101" s="10"/>
      <c r="K1101" s="575"/>
      <c r="L1101" s="580"/>
      <c r="M1101" s="339"/>
      <c r="N1101" s="339"/>
      <c r="O1101" s="62"/>
      <c r="P1101" s="339"/>
      <c r="Q1101" s="62"/>
      <c r="R1101" s="94"/>
      <c r="S1101" s="339"/>
      <c r="T1101" s="63"/>
      <c r="U1101" s="162"/>
      <c r="V1101" s="164"/>
      <c r="W1101" s="62"/>
      <c r="X1101" s="63"/>
      <c r="Y1101" s="62"/>
      <c r="Z1101" s="64"/>
      <c r="AA1101" s="164"/>
      <c r="AB1101" s="62"/>
      <c r="AC1101" s="62"/>
      <c r="AD1101" s="64"/>
      <c r="AE1101" s="164"/>
      <c r="AF1101" s="62"/>
      <c r="AG1101" s="64"/>
      <c r="AH1101" s="337"/>
      <c r="AI1101" s="337"/>
      <c r="AJ1101" s="337"/>
      <c r="AK1101" s="337"/>
      <c r="AL1101" s="555"/>
      <c r="AM1101" s="552"/>
      <c r="AN1101" s="45"/>
      <c r="AO1101" s="45"/>
      <c r="AP1101" s="44"/>
      <c r="AQ1101" s="485">
        <f>AL1101/BI1101</f>
        <v>0</v>
      </c>
      <c r="AR1101" s="485" t="e">
        <f>BL1101/BH1101</f>
        <v>#DIV/0!</v>
      </c>
      <c r="AS1101" s="123"/>
      <c r="AT1101" s="123"/>
      <c r="AU1101" s="123"/>
      <c r="AV1101" s="123"/>
      <c r="AW1101" s="18">
        <v>25</v>
      </c>
      <c r="AX1101" s="69" t="s">
        <v>299</v>
      </c>
      <c r="AY1101" s="243" t="s">
        <v>142</v>
      </c>
      <c r="AZ1101" s="243" t="str">
        <f t="shared" si="458"/>
        <v>Sockeye</v>
      </c>
      <c r="BA1101" s="243" t="s">
        <v>419</v>
      </c>
      <c r="BB1101" s="244" t="s">
        <v>452</v>
      </c>
      <c r="BC1101" s="43" t="str">
        <f t="shared" si="459"/>
        <v>-</v>
      </c>
      <c r="BD1101" s="43">
        <f t="shared" si="457"/>
        <v>0</v>
      </c>
      <c r="BE1101" s="193">
        <f t="shared" si="446"/>
        <v>0</v>
      </c>
      <c r="BF1101" s="193">
        <f t="shared" si="460"/>
        <v>0</v>
      </c>
      <c r="BG1101" s="193">
        <f t="shared" si="461"/>
        <v>0</v>
      </c>
      <c r="BH1101" s="307">
        <f t="shared" si="448"/>
        <v>0</v>
      </c>
      <c r="BI1101" s="265">
        <f>CC1101</f>
        <v>30</v>
      </c>
      <c r="BJ1101" s="26" t="str">
        <f t="shared" si="462"/>
        <v>KLEEPTEE CREEKSockeye</v>
      </c>
      <c r="BK1101" s="26">
        <f t="shared" si="463"/>
        <v>0</v>
      </c>
      <c r="BL1101" s="33">
        <f t="shared" si="452"/>
        <v>0</v>
      </c>
      <c r="BQ1101" s="47" t="str">
        <f t="shared" si="464"/>
        <v>KLEEPTEE CREEKSockeye</v>
      </c>
      <c r="BR1101" s="49">
        <f t="shared" si="465"/>
        <v>0</v>
      </c>
      <c r="BS1101" s="49">
        <f t="shared" si="449"/>
        <v>0</v>
      </c>
      <c r="BT1101" s="31">
        <v>2011</v>
      </c>
      <c r="BU1101" s="188" t="str">
        <f t="shared" si="466"/>
        <v>MMFN</v>
      </c>
      <c r="BV1101" s="188" t="str">
        <f t="shared" si="467"/>
        <v xml:space="preserve"> </v>
      </c>
      <c r="BW1101" s="188" t="str">
        <f t="shared" si="450"/>
        <v xml:space="preserve"> </v>
      </c>
      <c r="BX1101" s="188" t="str">
        <f t="shared" si="468"/>
        <v xml:space="preserve"> </v>
      </c>
      <c r="BY1101" s="50" t="str">
        <f t="shared" si="456"/>
        <v>KLEEPTEE CREEK_Sockeye</v>
      </c>
      <c r="BZ1101" s="50" t="str">
        <f>IFERROR(VLOOKUP(BY1101,'[1]WCVI Esc'!$C$5:$W$555,18,FALSE),"-")</f>
        <v>-</v>
      </c>
      <c r="CA1101" s="50" t="str">
        <f t="shared" si="469"/>
        <v>-</v>
      </c>
      <c r="CB1101" s="50">
        <f>IFERROR(VLOOKUP(BY1101,'[1]WCVI Esc'!$C$5:$W$555,19,FALSE),"-")</f>
        <v>26.5</v>
      </c>
      <c r="CC1101" s="50">
        <f t="shared" si="470"/>
        <v>30</v>
      </c>
      <c r="CE1101" s="342" t="str">
        <f t="shared" si="453"/>
        <v>KLEEPTEE CREEK_Sockeye</v>
      </c>
      <c r="CF1101" s="341">
        <f>IFERROR(VLOOKUP(BY1101,'RawPL+D'!$O$8:$AB$503,12,FALSE),"-")</f>
        <v>1</v>
      </c>
      <c r="CG1101" s="338">
        <f t="shared" si="454"/>
        <v>0</v>
      </c>
      <c r="CH1101" s="341">
        <f>IFERROR(VLOOKUP(BY1101,'RawPL+D'!$O$8:$AB$503,13,FALSE),"-")</f>
        <v>1</v>
      </c>
      <c r="CI1101" s="338">
        <f t="shared" si="455"/>
        <v>0</v>
      </c>
    </row>
    <row r="1102" spans="1:87" ht="12.75" hidden="1" customHeight="1" x14ac:dyDescent="0.2">
      <c r="A1102" s="28">
        <v>4</v>
      </c>
      <c r="B1102" s="28">
        <v>2</v>
      </c>
      <c r="C1102" s="11">
        <v>25</v>
      </c>
      <c r="D1102" s="13" t="s">
        <v>299</v>
      </c>
      <c r="E1102" s="10" t="s">
        <v>142</v>
      </c>
      <c r="F1102" s="10" t="s">
        <v>219</v>
      </c>
      <c r="G1102" s="10"/>
      <c r="H1102" s="10"/>
      <c r="I1102" s="10"/>
      <c r="J1102" s="10"/>
      <c r="K1102" s="575"/>
      <c r="L1102" s="580"/>
      <c r="M1102" s="339"/>
      <c r="N1102" s="339"/>
      <c r="O1102" s="62"/>
      <c r="P1102" s="339"/>
      <c r="Q1102" s="62"/>
      <c r="R1102" s="94"/>
      <c r="S1102" s="339"/>
      <c r="T1102" s="63"/>
      <c r="U1102" s="162"/>
      <c r="V1102" s="164"/>
      <c r="W1102" s="62"/>
      <c r="X1102" s="63"/>
      <c r="Y1102" s="62"/>
      <c r="Z1102" s="64"/>
      <c r="AA1102" s="164"/>
      <c r="AB1102" s="62"/>
      <c r="AC1102" s="62"/>
      <c r="AD1102" s="64"/>
      <c r="AE1102" s="164"/>
      <c r="AF1102" s="62"/>
      <c r="AG1102" s="64"/>
      <c r="AH1102" s="337"/>
      <c r="AI1102" s="337"/>
      <c r="AJ1102" s="337"/>
      <c r="AK1102" s="337"/>
      <c r="AL1102" s="555"/>
      <c r="AM1102" s="552"/>
      <c r="AN1102" s="45"/>
      <c r="AO1102" s="45"/>
      <c r="AP1102" s="44"/>
      <c r="AQ1102" s="485">
        <f>AL1102/BI1102</f>
        <v>0</v>
      </c>
      <c r="AR1102" s="485" t="e">
        <f>BL1102/BH1102</f>
        <v>#DIV/0!</v>
      </c>
      <c r="AS1102" s="123"/>
      <c r="AT1102" s="123"/>
      <c r="AU1102" s="123"/>
      <c r="AV1102" s="123"/>
      <c r="AW1102" s="18">
        <v>25</v>
      </c>
      <c r="AX1102" s="69" t="s">
        <v>299</v>
      </c>
      <c r="AY1102" s="243" t="s">
        <v>142</v>
      </c>
      <c r="AZ1102" s="243" t="str">
        <f t="shared" si="458"/>
        <v>Coho</v>
      </c>
      <c r="BA1102" s="243" t="s">
        <v>419</v>
      </c>
      <c r="BB1102" s="244" t="s">
        <v>452</v>
      </c>
      <c r="BC1102" s="43" t="str">
        <f t="shared" si="459"/>
        <v>-</v>
      </c>
      <c r="BD1102" s="43">
        <f t="shared" si="457"/>
        <v>0</v>
      </c>
      <c r="BE1102" s="193">
        <f t="shared" si="446"/>
        <v>0</v>
      </c>
      <c r="BF1102" s="193">
        <f t="shared" si="460"/>
        <v>0</v>
      </c>
      <c r="BG1102" s="193">
        <f t="shared" si="461"/>
        <v>0</v>
      </c>
      <c r="BH1102" s="307">
        <f t="shared" si="448"/>
        <v>0</v>
      </c>
      <c r="BI1102" s="265">
        <f>CC1102</f>
        <v>150</v>
      </c>
      <c r="BJ1102" s="26" t="str">
        <f t="shared" si="462"/>
        <v>KLEEPTEE CREEKCoho</v>
      </c>
      <c r="BK1102" s="26">
        <f t="shared" si="463"/>
        <v>0</v>
      </c>
      <c r="BL1102" s="33">
        <f t="shared" si="452"/>
        <v>0</v>
      </c>
      <c r="BQ1102" s="47" t="str">
        <f t="shared" si="464"/>
        <v>KLEEPTEE CREEKCoho</v>
      </c>
      <c r="BR1102" s="49">
        <f t="shared" si="465"/>
        <v>0</v>
      </c>
      <c r="BS1102" s="49">
        <f t="shared" si="449"/>
        <v>0</v>
      </c>
      <c r="BT1102" s="31">
        <v>2011</v>
      </c>
      <c r="BU1102" s="188" t="str">
        <f t="shared" si="466"/>
        <v>MMFN</v>
      </c>
      <c r="BV1102" s="188" t="str">
        <f t="shared" si="467"/>
        <v xml:space="preserve"> </v>
      </c>
      <c r="BW1102" s="188" t="str">
        <f t="shared" si="450"/>
        <v xml:space="preserve"> </v>
      </c>
      <c r="BX1102" s="188" t="str">
        <f t="shared" si="468"/>
        <v xml:space="preserve"> </v>
      </c>
      <c r="BY1102" s="50" t="str">
        <f t="shared" si="456"/>
        <v>KLEEPTEE CREEK_Coho</v>
      </c>
      <c r="BZ1102" s="50" t="str">
        <f>IFERROR(VLOOKUP(BY1102,'[1]WCVI Esc'!$C$5:$W$555,18,FALSE),"-")</f>
        <v>-</v>
      </c>
      <c r="CA1102" s="50" t="str">
        <f t="shared" si="469"/>
        <v>-</v>
      </c>
      <c r="CB1102" s="50">
        <f>IFERROR(VLOOKUP(BY1102,'[1]WCVI Esc'!$C$5:$W$555,19,FALSE),"-")</f>
        <v>148</v>
      </c>
      <c r="CC1102" s="50">
        <f t="shared" si="470"/>
        <v>150</v>
      </c>
      <c r="CE1102" s="342" t="str">
        <f t="shared" si="453"/>
        <v>KLEEPTEE CREEK_Coho</v>
      </c>
      <c r="CF1102" s="341">
        <f>IFERROR(VLOOKUP(BY1102,'RawPL+D'!$O$8:$AB$503,12,FALSE),"-")</f>
        <v>0</v>
      </c>
      <c r="CG1102" s="338">
        <f t="shared" si="454"/>
        <v>0</v>
      </c>
      <c r="CH1102" s="341">
        <f>IFERROR(VLOOKUP(BY1102,'RawPL+D'!$O$8:$AB$503,13,FALSE),"-")</f>
        <v>0</v>
      </c>
      <c r="CI1102" s="338">
        <f t="shared" si="455"/>
        <v>0</v>
      </c>
    </row>
    <row r="1103" spans="1:87" ht="12.75" hidden="1" customHeight="1" x14ac:dyDescent="0.2">
      <c r="A1103" s="28">
        <v>4</v>
      </c>
      <c r="B1103" s="28">
        <v>3</v>
      </c>
      <c r="C1103" s="11">
        <v>25</v>
      </c>
      <c r="D1103" s="13" t="s">
        <v>299</v>
      </c>
      <c r="E1103" s="10" t="s">
        <v>142</v>
      </c>
      <c r="F1103" s="10" t="s">
        <v>208</v>
      </c>
      <c r="G1103" s="10"/>
      <c r="H1103" s="10"/>
      <c r="I1103" s="10"/>
      <c r="J1103" s="10"/>
      <c r="K1103" s="575"/>
      <c r="L1103" s="580"/>
      <c r="M1103" s="339"/>
      <c r="N1103" s="339"/>
      <c r="O1103" s="62"/>
      <c r="P1103" s="339"/>
      <c r="Q1103" s="62"/>
      <c r="R1103" s="94"/>
      <c r="S1103" s="339"/>
      <c r="T1103" s="63"/>
      <c r="U1103" s="162"/>
      <c r="V1103" s="164"/>
      <c r="W1103" s="62"/>
      <c r="X1103" s="63"/>
      <c r="Y1103" s="62"/>
      <c r="Z1103" s="64"/>
      <c r="AA1103" s="164"/>
      <c r="AB1103" s="62"/>
      <c r="AC1103" s="62"/>
      <c r="AD1103" s="64"/>
      <c r="AE1103" s="164"/>
      <c r="AF1103" s="62"/>
      <c r="AG1103" s="64"/>
      <c r="AH1103" s="337"/>
      <c r="AI1103" s="337"/>
      <c r="AJ1103" s="337"/>
      <c r="AK1103" s="337"/>
      <c r="AL1103" s="555"/>
      <c r="AM1103" s="552"/>
      <c r="AN1103" s="45"/>
      <c r="AO1103" s="45"/>
      <c r="AP1103" s="44"/>
      <c r="AQ1103" s="485"/>
      <c r="AR1103"/>
      <c r="AS1103" s="679"/>
      <c r="AT1103" s="679"/>
      <c r="AU1103" s="679"/>
      <c r="AV1103" s="679"/>
      <c r="AW1103" s="18">
        <v>25</v>
      </c>
      <c r="AX1103" s="69" t="s">
        <v>299</v>
      </c>
      <c r="AY1103" s="243" t="s">
        <v>142</v>
      </c>
      <c r="AZ1103" s="243" t="str">
        <f t="shared" si="458"/>
        <v>Pink</v>
      </c>
      <c r="BA1103" s="243" t="s">
        <v>419</v>
      </c>
      <c r="BB1103" s="244" t="s">
        <v>452</v>
      </c>
      <c r="BC1103" s="43" t="str">
        <f t="shared" si="459"/>
        <v>-</v>
      </c>
      <c r="BD1103" s="43">
        <f t="shared" si="457"/>
        <v>0</v>
      </c>
      <c r="BE1103" s="193">
        <f t="shared" si="446"/>
        <v>0</v>
      </c>
      <c r="BF1103" s="193">
        <f t="shared" si="460"/>
        <v>0</v>
      </c>
      <c r="BG1103" s="193">
        <f t="shared" si="461"/>
        <v>0</v>
      </c>
      <c r="BH1103" s="307" t="str">
        <f t="shared" si="448"/>
        <v>-</v>
      </c>
      <c r="BI1103" s="266"/>
      <c r="BJ1103" s="26" t="str">
        <f t="shared" si="462"/>
        <v>KLEEPTEE CREEKPink</v>
      </c>
      <c r="BK1103" s="26">
        <f t="shared" si="463"/>
        <v>0</v>
      </c>
      <c r="BL1103" s="33">
        <f t="shared" si="452"/>
        <v>0</v>
      </c>
      <c r="BQ1103" s="47" t="str">
        <f t="shared" si="464"/>
        <v>KLEEPTEE CREEKPink</v>
      </c>
      <c r="BR1103" s="49">
        <f t="shared" si="465"/>
        <v>0</v>
      </c>
      <c r="BS1103" s="49">
        <f t="shared" si="449"/>
        <v>0</v>
      </c>
      <c r="BT1103" s="31">
        <v>0</v>
      </c>
      <c r="BU1103" s="188" t="str">
        <f t="shared" si="466"/>
        <v>MMFN</v>
      </c>
      <c r="BV1103" s="188" t="str">
        <f t="shared" si="467"/>
        <v xml:space="preserve"> </v>
      </c>
      <c r="BW1103" s="188" t="str">
        <f t="shared" si="450"/>
        <v xml:space="preserve"> </v>
      </c>
      <c r="BX1103" s="188" t="str">
        <f t="shared" si="468"/>
        <v xml:space="preserve"> </v>
      </c>
      <c r="BY1103" s="50" t="str">
        <f t="shared" si="456"/>
        <v>KLEEPTEE CREEK_Pink</v>
      </c>
      <c r="BZ1103" s="50" t="str">
        <f>IFERROR(VLOOKUP(BY1103,'[1]WCVI Esc'!$C$5:$W$555,18,FALSE),"-")</f>
        <v>-</v>
      </c>
      <c r="CA1103" s="50" t="str">
        <f t="shared" si="469"/>
        <v>-</v>
      </c>
      <c r="CB1103" s="50" t="str">
        <f>IFERROR(VLOOKUP(BY1103,'[1]WCVI Esc'!$C$5:$W$555,19,FALSE),"-")</f>
        <v>-</v>
      </c>
      <c r="CC1103" s="50" t="str">
        <f t="shared" si="470"/>
        <v>-</v>
      </c>
      <c r="CE1103" s="342" t="str">
        <f t="shared" si="453"/>
        <v>KLEEPTEE CREEK_Pink</v>
      </c>
      <c r="CF1103" s="341" t="str">
        <f>IFERROR(VLOOKUP(BY1103,'RawPL+D'!$O$8:$AB$503,12,FALSE),"-")</f>
        <v>-</v>
      </c>
      <c r="CG1103" s="338" t="str">
        <f t="shared" si="454"/>
        <v>-</v>
      </c>
      <c r="CH1103" s="341" t="str">
        <f>IFERROR(VLOOKUP(BY1103,'RawPL+D'!$O$8:$AB$503,13,FALSE),"-")</f>
        <v>-</v>
      </c>
      <c r="CI1103" s="338" t="str">
        <f t="shared" si="455"/>
        <v>-</v>
      </c>
    </row>
    <row r="1104" spans="1:87" ht="12.75" hidden="1" customHeight="1" x14ac:dyDescent="0.2">
      <c r="A1104" s="28">
        <v>4</v>
      </c>
      <c r="B1104" s="28">
        <v>4</v>
      </c>
      <c r="C1104" s="11">
        <v>25</v>
      </c>
      <c r="D1104" s="13" t="s">
        <v>299</v>
      </c>
      <c r="E1104" s="10" t="s">
        <v>142</v>
      </c>
      <c r="F1104" s="10" t="s">
        <v>209</v>
      </c>
      <c r="G1104" s="10"/>
      <c r="H1104" s="10"/>
      <c r="I1104" s="10"/>
      <c r="J1104" s="10"/>
      <c r="K1104" s="575"/>
      <c r="L1104" s="580"/>
      <c r="M1104" s="339"/>
      <c r="N1104" s="339"/>
      <c r="O1104" s="62"/>
      <c r="P1104" s="428"/>
      <c r="Q1104" s="62"/>
      <c r="R1104" s="94"/>
      <c r="S1104" s="339"/>
      <c r="T1104" s="63"/>
      <c r="U1104" s="162"/>
      <c r="V1104" s="164"/>
      <c r="W1104" s="62"/>
      <c r="X1104" s="63"/>
      <c r="Y1104" s="62"/>
      <c r="Z1104" s="64"/>
      <c r="AA1104" s="164"/>
      <c r="AB1104" s="62"/>
      <c r="AC1104" s="62"/>
      <c r="AD1104" s="64"/>
      <c r="AE1104" s="164"/>
      <c r="AF1104" s="62"/>
      <c r="AG1104" s="64"/>
      <c r="AH1104" s="337"/>
      <c r="AI1104" s="337"/>
      <c r="AJ1104" s="337"/>
      <c r="AK1104" s="337"/>
      <c r="AL1104" s="555"/>
      <c r="AM1104" s="552"/>
      <c r="AN1104" s="45"/>
      <c r="AO1104" s="45"/>
      <c r="AP1104" s="44"/>
      <c r="AQ1104" s="485">
        <f>AL1104/BI1104</f>
        <v>0</v>
      </c>
      <c r="AR1104" s="485">
        <f>BL1104/BH1104</f>
        <v>0</v>
      </c>
      <c r="AS1104" s="123"/>
      <c r="AT1104" s="123"/>
      <c r="AU1104" s="123"/>
      <c r="AV1104" s="123"/>
      <c r="AW1104" s="18">
        <v>25</v>
      </c>
      <c r="AX1104" s="69" t="s">
        <v>299</v>
      </c>
      <c r="AY1104" s="243" t="s">
        <v>142</v>
      </c>
      <c r="AZ1104" s="243" t="str">
        <f t="shared" si="458"/>
        <v>Chum</v>
      </c>
      <c r="BA1104" s="243" t="s">
        <v>419</v>
      </c>
      <c r="BB1104" s="244" t="s">
        <v>452</v>
      </c>
      <c r="BC1104" s="43" t="str">
        <f t="shared" si="459"/>
        <v>-</v>
      </c>
      <c r="BD1104" s="43">
        <f t="shared" si="457"/>
        <v>0</v>
      </c>
      <c r="BE1104" s="193">
        <f t="shared" si="446"/>
        <v>0</v>
      </c>
      <c r="BF1104" s="193">
        <f t="shared" si="460"/>
        <v>0</v>
      </c>
      <c r="BG1104" s="193">
        <f t="shared" si="461"/>
        <v>0</v>
      </c>
      <c r="BH1104" s="307">
        <f t="shared" si="448"/>
        <v>20</v>
      </c>
      <c r="BI1104" s="265">
        <f>CC1104</f>
        <v>820</v>
      </c>
      <c r="BJ1104" s="26" t="str">
        <f t="shared" si="462"/>
        <v>KLEEPTEE CREEKChum</v>
      </c>
      <c r="BK1104" s="26">
        <f t="shared" si="463"/>
        <v>0</v>
      </c>
      <c r="BL1104" s="33">
        <f t="shared" si="452"/>
        <v>0</v>
      </c>
      <c r="BQ1104" s="47" t="str">
        <f t="shared" si="464"/>
        <v>KLEEPTEE CREEKChum</v>
      </c>
      <c r="BR1104" s="49">
        <f t="shared" si="465"/>
        <v>0</v>
      </c>
      <c r="BS1104" s="49">
        <f t="shared" si="449"/>
        <v>0</v>
      </c>
      <c r="BT1104" s="31">
        <v>2012</v>
      </c>
      <c r="BU1104" s="188" t="str">
        <f t="shared" si="466"/>
        <v>MMFN</v>
      </c>
      <c r="BV1104" s="188" t="str">
        <f t="shared" si="467"/>
        <v xml:space="preserve"> </v>
      </c>
      <c r="BW1104" s="188" t="str">
        <f t="shared" si="450"/>
        <v xml:space="preserve"> </v>
      </c>
      <c r="BX1104" s="188" t="str">
        <f t="shared" si="468"/>
        <v xml:space="preserve"> </v>
      </c>
      <c r="BY1104" s="50" t="str">
        <f t="shared" si="456"/>
        <v>KLEEPTEE CREEK_Chum</v>
      </c>
      <c r="BZ1104" s="50">
        <f>IFERROR(VLOOKUP(BY1104,'[1]WCVI Esc'!$C$5:$W$555,18,FALSE),"-")</f>
        <v>16</v>
      </c>
      <c r="CA1104" s="50">
        <f t="shared" si="469"/>
        <v>20</v>
      </c>
      <c r="CB1104" s="50">
        <f>IFERROR(VLOOKUP(BY1104,'[1]WCVI Esc'!$C$5:$W$555,19,FALSE),"-")</f>
        <v>820.75</v>
      </c>
      <c r="CC1104" s="50">
        <f t="shared" si="470"/>
        <v>820</v>
      </c>
      <c r="CE1104" s="342" t="str">
        <f t="shared" si="453"/>
        <v>KLEEPTEE CREEK_Chum</v>
      </c>
      <c r="CF1104" s="341">
        <f>IFERROR(VLOOKUP(BY1104,'RawPL+D'!$O$8:$AB$503,12,FALSE),"-")</f>
        <v>16</v>
      </c>
      <c r="CG1104" s="338">
        <f t="shared" si="454"/>
        <v>20</v>
      </c>
      <c r="CH1104" s="341">
        <f>IFERROR(VLOOKUP(BY1104,'RawPL+D'!$O$8:$AB$503,13,FALSE),"-")</f>
        <v>16</v>
      </c>
      <c r="CI1104" s="338">
        <f t="shared" si="455"/>
        <v>20</v>
      </c>
    </row>
    <row r="1105" spans="1:87" ht="12.75" hidden="1" customHeight="1" x14ac:dyDescent="0.2">
      <c r="A1105" s="28">
        <v>4</v>
      </c>
      <c r="B1105" s="28">
        <v>5</v>
      </c>
      <c r="C1105" s="11">
        <v>25</v>
      </c>
      <c r="D1105" s="13" t="s">
        <v>299</v>
      </c>
      <c r="E1105" s="10" t="s">
        <v>142</v>
      </c>
      <c r="F1105" s="10" t="s">
        <v>210</v>
      </c>
      <c r="G1105" s="10"/>
      <c r="H1105" s="10"/>
      <c r="I1105" s="10"/>
      <c r="J1105" s="10"/>
      <c r="K1105" s="575"/>
      <c r="L1105" s="580"/>
      <c r="M1105" s="339"/>
      <c r="N1105" s="339"/>
      <c r="O1105" s="62"/>
      <c r="P1105" s="428"/>
      <c r="Q1105" s="62"/>
      <c r="R1105" s="94"/>
      <c r="S1105" s="339"/>
      <c r="T1105" s="63"/>
      <c r="U1105" s="162"/>
      <c r="V1105" s="164"/>
      <c r="W1105" s="62"/>
      <c r="X1105" s="63"/>
      <c r="Y1105" s="62"/>
      <c r="Z1105" s="64"/>
      <c r="AA1105" s="164"/>
      <c r="AB1105" s="62"/>
      <c r="AC1105" s="62"/>
      <c r="AD1105" s="64"/>
      <c r="AE1105" s="164"/>
      <c r="AF1105" s="62"/>
      <c r="AG1105" s="64"/>
      <c r="AH1105" s="337"/>
      <c r="AI1105" s="337"/>
      <c r="AJ1105" s="337"/>
      <c r="AK1105" s="337"/>
      <c r="AL1105" s="555"/>
      <c r="AM1105" s="552"/>
      <c r="AN1105" s="45"/>
      <c r="AO1105" s="45"/>
      <c r="AP1105" s="44"/>
      <c r="AQ1105" s="485">
        <f>AL1105/BI1105</f>
        <v>0</v>
      </c>
      <c r="AR1105" s="485">
        <f>BL1105/BH1105</f>
        <v>0</v>
      </c>
      <c r="AS1105" s="123"/>
      <c r="AT1105" s="123"/>
      <c r="AU1105" s="123"/>
      <c r="AV1105" s="123">
        <f>AL1105</f>
        <v>0</v>
      </c>
      <c r="AW1105" s="18">
        <v>25</v>
      </c>
      <c r="AX1105" s="69" t="s">
        <v>299</v>
      </c>
      <c r="AY1105" s="243" t="s">
        <v>142</v>
      </c>
      <c r="AZ1105" s="243" t="str">
        <f t="shared" si="458"/>
        <v>Chinook</v>
      </c>
      <c r="BA1105" s="243" t="s">
        <v>419</v>
      </c>
      <c r="BB1105" s="244" t="s">
        <v>452</v>
      </c>
      <c r="BC1105" s="43" t="str">
        <f t="shared" si="459"/>
        <v>-</v>
      </c>
      <c r="BD1105" s="43">
        <f t="shared" si="457"/>
        <v>0</v>
      </c>
      <c r="BE1105" s="193">
        <f t="shared" ref="BE1105:BE1168" si="471">BL1105</f>
        <v>0</v>
      </c>
      <c r="BF1105" s="193">
        <f t="shared" si="460"/>
        <v>0</v>
      </c>
      <c r="BG1105" s="193">
        <f t="shared" si="461"/>
        <v>0</v>
      </c>
      <c r="BH1105" s="307">
        <f t="shared" si="448"/>
        <v>20</v>
      </c>
      <c r="BI1105" s="265">
        <f>CC1105</f>
        <v>30</v>
      </c>
      <c r="BJ1105" s="26" t="str">
        <f t="shared" si="462"/>
        <v>KLEEPTEE CREEKChinook</v>
      </c>
      <c r="BK1105" s="26">
        <f t="shared" si="463"/>
        <v>0</v>
      </c>
      <c r="BL1105" s="33">
        <f t="shared" si="452"/>
        <v>0</v>
      </c>
      <c r="BQ1105" s="47" t="str">
        <f t="shared" si="464"/>
        <v>KLEEPTEE CREEKChinook</v>
      </c>
      <c r="BR1105" s="49">
        <f t="shared" si="465"/>
        <v>0</v>
      </c>
      <c r="BS1105" s="49">
        <f t="shared" si="449"/>
        <v>0</v>
      </c>
      <c r="BT1105" s="31">
        <v>2011</v>
      </c>
      <c r="BU1105" s="188" t="str">
        <f t="shared" si="466"/>
        <v>MMFN</v>
      </c>
      <c r="BV1105" s="188" t="str">
        <f t="shared" si="467"/>
        <v xml:space="preserve"> </v>
      </c>
      <c r="BW1105" s="188" t="str">
        <f t="shared" si="450"/>
        <v xml:space="preserve"> </v>
      </c>
      <c r="BX1105" s="188" t="str">
        <f t="shared" si="468"/>
        <v xml:space="preserve"> </v>
      </c>
      <c r="BY1105" s="50" t="str">
        <f t="shared" si="456"/>
        <v>KLEEPTEE CREEK_Chinook</v>
      </c>
      <c r="BZ1105" s="50">
        <f>IFERROR(VLOOKUP(BY1105,'[1]WCVI Esc'!$C$5:$W$555,18,FALSE),"-")</f>
        <v>23</v>
      </c>
      <c r="CA1105" s="50">
        <f t="shared" si="469"/>
        <v>20</v>
      </c>
      <c r="CB1105" s="50">
        <f>IFERROR(VLOOKUP(BY1105,'[1]WCVI Esc'!$C$5:$W$555,19,FALSE),"-")</f>
        <v>28.333333333333332</v>
      </c>
      <c r="CC1105" s="50">
        <f t="shared" si="470"/>
        <v>30</v>
      </c>
      <c r="CE1105" s="342" t="str">
        <f t="shared" si="453"/>
        <v>KLEEPTEE CREEK_Chinook</v>
      </c>
      <c r="CF1105" s="341">
        <f>IFERROR(VLOOKUP(BY1105,'RawPL+D'!$O$8:$AB$503,12,FALSE),"-")</f>
        <v>23</v>
      </c>
      <c r="CG1105" s="338">
        <f t="shared" si="454"/>
        <v>20</v>
      </c>
      <c r="CH1105" s="341">
        <f>IFERROR(VLOOKUP(BY1105,'RawPL+D'!$O$8:$AB$503,13,FALSE),"-")</f>
        <v>23</v>
      </c>
      <c r="CI1105" s="338">
        <f t="shared" si="455"/>
        <v>20</v>
      </c>
    </row>
    <row r="1106" spans="1:87" ht="12.75" hidden="1" customHeight="1" x14ac:dyDescent="0.2">
      <c r="A1106" s="28">
        <v>4</v>
      </c>
      <c r="B1106" s="28">
        <v>6</v>
      </c>
      <c r="C1106" s="11">
        <v>25</v>
      </c>
      <c r="D1106" s="13" t="s">
        <v>299</v>
      </c>
      <c r="E1106" s="10" t="s">
        <v>142</v>
      </c>
      <c r="F1106" s="10" t="s">
        <v>211</v>
      </c>
      <c r="G1106" s="10"/>
      <c r="H1106" s="10"/>
      <c r="I1106" s="10"/>
      <c r="J1106" s="10"/>
      <c r="K1106" s="575"/>
      <c r="L1106" s="580"/>
      <c r="M1106" s="339"/>
      <c r="N1106" s="339"/>
      <c r="O1106" s="62"/>
      <c r="P1106" s="339"/>
      <c r="Q1106" s="62"/>
      <c r="R1106" s="94"/>
      <c r="S1106" s="339"/>
      <c r="T1106" s="63"/>
      <c r="U1106" s="162"/>
      <c r="V1106" s="164"/>
      <c r="W1106" s="62"/>
      <c r="X1106" s="63"/>
      <c r="Y1106" s="62"/>
      <c r="Z1106" s="64"/>
      <c r="AA1106" s="164"/>
      <c r="AB1106" s="62"/>
      <c r="AC1106" s="62"/>
      <c r="AD1106" s="64"/>
      <c r="AE1106" s="164"/>
      <c r="AF1106" s="62"/>
      <c r="AG1106" s="64"/>
      <c r="AH1106" s="337"/>
      <c r="AI1106" s="337"/>
      <c r="AJ1106" s="337"/>
      <c r="AK1106" s="337"/>
      <c r="AL1106" s="555"/>
      <c r="AM1106" s="552"/>
      <c r="AN1106" s="45"/>
      <c r="AO1106" s="45"/>
      <c r="AP1106" s="44"/>
      <c r="AQ1106" s="485"/>
      <c r="AR1106"/>
      <c r="AS1106" s="679"/>
      <c r="AT1106" s="679"/>
      <c r="AU1106" s="679"/>
      <c r="AV1106" s="679"/>
      <c r="AW1106" s="18">
        <v>25</v>
      </c>
      <c r="AX1106" s="69" t="s">
        <v>299</v>
      </c>
      <c r="AY1106" s="243" t="s">
        <v>142</v>
      </c>
      <c r="AZ1106" s="243" t="str">
        <f t="shared" si="458"/>
        <v>Steelhead</v>
      </c>
      <c r="BA1106" s="243" t="s">
        <v>419</v>
      </c>
      <c r="BB1106" s="244" t="s">
        <v>452</v>
      </c>
      <c r="BC1106" s="43" t="str">
        <f t="shared" si="459"/>
        <v>-</v>
      </c>
      <c r="BD1106" s="43">
        <f t="shared" si="457"/>
        <v>0</v>
      </c>
      <c r="BE1106" s="193">
        <f t="shared" si="471"/>
        <v>0</v>
      </c>
      <c r="BF1106" s="193">
        <f t="shared" si="460"/>
        <v>0</v>
      </c>
      <c r="BG1106" s="193">
        <f t="shared" si="461"/>
        <v>0</v>
      </c>
      <c r="BH1106" s="307" t="str">
        <f t="shared" si="448"/>
        <v>-</v>
      </c>
      <c r="BI1106" s="266"/>
      <c r="BJ1106" s="26" t="str">
        <f t="shared" si="462"/>
        <v>KLEEPTEE CREEKSteelhead</v>
      </c>
      <c r="BK1106" s="26">
        <f t="shared" si="463"/>
        <v>0</v>
      </c>
      <c r="BL1106" s="33">
        <f t="shared" si="452"/>
        <v>0</v>
      </c>
      <c r="BQ1106" s="47" t="str">
        <f t="shared" si="464"/>
        <v>KLEEPTEE CREEKSteelhead</v>
      </c>
      <c r="BR1106" s="49">
        <f t="shared" si="465"/>
        <v>0</v>
      </c>
      <c r="BS1106" s="49">
        <f t="shared" si="449"/>
        <v>0</v>
      </c>
      <c r="BT1106" s="31">
        <v>0</v>
      </c>
      <c r="BU1106" s="188" t="str">
        <f t="shared" si="466"/>
        <v>MMFN</v>
      </c>
      <c r="BV1106" s="188" t="str">
        <f t="shared" si="467"/>
        <v xml:space="preserve"> </v>
      </c>
      <c r="BW1106" s="188" t="str">
        <f t="shared" si="450"/>
        <v xml:space="preserve"> </v>
      </c>
      <c r="BX1106" s="188" t="str">
        <f t="shared" si="468"/>
        <v xml:space="preserve"> </v>
      </c>
      <c r="BY1106" s="50" t="str">
        <f t="shared" si="456"/>
        <v>KLEEPTEE CREEK_Steelhead</v>
      </c>
      <c r="BZ1106" s="50" t="str">
        <f>IFERROR(VLOOKUP(BY1106,'[1]WCVI Esc'!$C$5:$W$555,18,FALSE),"-")</f>
        <v>-</v>
      </c>
      <c r="CA1106" s="50" t="str">
        <f t="shared" si="469"/>
        <v>-</v>
      </c>
      <c r="CB1106" s="50" t="str">
        <f>IFERROR(VLOOKUP(BY1106,'[1]WCVI Esc'!$C$5:$W$555,19,FALSE),"-")</f>
        <v>-</v>
      </c>
      <c r="CC1106" s="50" t="str">
        <f t="shared" si="470"/>
        <v>-</v>
      </c>
      <c r="CE1106" s="342" t="str">
        <f t="shared" si="453"/>
        <v>KLEEPTEE CREEK_Steelhead</v>
      </c>
      <c r="CF1106" s="341" t="str">
        <f>IFERROR(VLOOKUP(BY1106,'RawPL+D'!$O$8:$AB$503,12,FALSE),"-")</f>
        <v>-</v>
      </c>
      <c r="CG1106" s="338" t="str">
        <f t="shared" si="454"/>
        <v>-</v>
      </c>
      <c r="CH1106" s="341" t="str">
        <f>IFERROR(VLOOKUP(BY1106,'RawPL+D'!$O$8:$AB$503,13,FALSE),"-")</f>
        <v>-</v>
      </c>
      <c r="CI1106" s="338" t="str">
        <f t="shared" si="455"/>
        <v>-</v>
      </c>
    </row>
    <row r="1107" spans="1:87" ht="12.75" hidden="1" customHeight="1" x14ac:dyDescent="0.2">
      <c r="A1107" s="28">
        <v>4</v>
      </c>
      <c r="B1107" s="28">
        <v>1</v>
      </c>
      <c r="C1107" s="11">
        <v>25</v>
      </c>
      <c r="D1107" s="13" t="s">
        <v>299</v>
      </c>
      <c r="E1107" s="10" t="s">
        <v>146</v>
      </c>
      <c r="F1107" s="10" t="s">
        <v>207</v>
      </c>
      <c r="G1107" s="10"/>
      <c r="H1107" s="10"/>
      <c r="I1107" s="10"/>
      <c r="J1107" s="10"/>
      <c r="K1107" s="575"/>
      <c r="L1107" s="152"/>
      <c r="M1107" s="164"/>
      <c r="N1107" s="62"/>
      <c r="O1107" s="62"/>
      <c r="P1107" s="177"/>
      <c r="Q1107" s="452"/>
      <c r="R1107" s="94"/>
      <c r="S1107" s="62"/>
      <c r="T1107" s="62"/>
      <c r="U1107" s="64"/>
      <c r="V1107" s="164"/>
      <c r="W1107" s="62"/>
      <c r="X1107" s="62"/>
      <c r="Y1107" s="62"/>
      <c r="Z1107" s="64"/>
      <c r="AA1107" s="164"/>
      <c r="AB1107" s="62"/>
      <c r="AC1107" s="62"/>
      <c r="AD1107" s="64"/>
      <c r="AE1107" s="164"/>
      <c r="AF1107" s="62"/>
      <c r="AG1107" s="64"/>
      <c r="AH1107" s="337"/>
      <c r="AI1107" s="337"/>
      <c r="AJ1107" s="337"/>
      <c r="AK1107" s="337"/>
      <c r="AL1107" s="412"/>
      <c r="AM1107" s="414"/>
      <c r="AN1107" s="45"/>
      <c r="AO1107" s="45"/>
      <c r="AP1107" s="45"/>
      <c r="AQ1107" s="485"/>
      <c r="AR1107"/>
      <c r="AS1107" s="24"/>
      <c r="AT1107" s="24"/>
      <c r="AU1107" s="24"/>
      <c r="AV1107" s="24"/>
      <c r="AW1107" s="18">
        <v>25</v>
      </c>
      <c r="AX1107" s="69" t="s">
        <v>299</v>
      </c>
      <c r="AY1107" s="243" t="s">
        <v>146</v>
      </c>
      <c r="AZ1107" s="243" t="str">
        <f t="shared" si="458"/>
        <v>Sockeye</v>
      </c>
      <c r="BA1107" s="243" t="s">
        <v>419</v>
      </c>
      <c r="BB1107" s="246"/>
      <c r="BC1107" s="43" t="str">
        <f t="shared" si="459"/>
        <v>-</v>
      </c>
      <c r="BD1107" s="43">
        <f t="shared" si="457"/>
        <v>0</v>
      </c>
      <c r="BE1107" s="193">
        <f t="shared" si="471"/>
        <v>0</v>
      </c>
      <c r="BF1107" s="193">
        <f t="shared" si="460"/>
        <v>0</v>
      </c>
      <c r="BG1107" s="193">
        <f t="shared" si="461"/>
        <v>0</v>
      </c>
      <c r="BH1107" s="307" t="str">
        <f t="shared" si="448"/>
        <v>-</v>
      </c>
      <c r="BI1107" s="265" t="str">
        <f>CC1107</f>
        <v>-</v>
      </c>
      <c r="BJ1107" s="26" t="str">
        <f t="shared" si="462"/>
        <v>MARVINAS BAY CREEKSockeye</v>
      </c>
      <c r="BK1107" s="26">
        <f t="shared" si="463"/>
        <v>0</v>
      </c>
      <c r="BL1107" s="33">
        <f t="shared" si="452"/>
        <v>0</v>
      </c>
      <c r="BQ1107" s="47" t="str">
        <f t="shared" si="464"/>
        <v>MARVINAS BAY CREEKSockeye</v>
      </c>
      <c r="BR1107" s="49">
        <f t="shared" si="465"/>
        <v>0</v>
      </c>
      <c r="BS1107" s="49">
        <f t="shared" si="449"/>
        <v>0</v>
      </c>
      <c r="BT1107" s="31">
        <v>2010</v>
      </c>
      <c r="BU1107" s="188">
        <f t="shared" si="466"/>
        <v>0</v>
      </c>
      <c r="BV1107" s="188" t="str">
        <f t="shared" si="467"/>
        <v xml:space="preserve"> </v>
      </c>
      <c r="BW1107" s="188" t="str">
        <f t="shared" si="450"/>
        <v xml:space="preserve"> </v>
      </c>
      <c r="BX1107" s="188" t="str">
        <f t="shared" si="468"/>
        <v xml:space="preserve"> </v>
      </c>
      <c r="BY1107" s="50" t="str">
        <f t="shared" si="456"/>
        <v>MARVINAS BAY CREEK_Sockeye</v>
      </c>
      <c r="BZ1107" s="50" t="str">
        <f>IFERROR(VLOOKUP(BY1107,'[1]WCVI Esc'!$C$5:$W$555,18,FALSE),"-")</f>
        <v>-</v>
      </c>
      <c r="CA1107" s="50" t="str">
        <f t="shared" si="469"/>
        <v>-</v>
      </c>
      <c r="CB1107" s="50" t="str">
        <f>IFERROR(VLOOKUP(BY1107,'[1]WCVI Esc'!$C$5:$W$555,19,FALSE),"-")</f>
        <v>-</v>
      </c>
      <c r="CC1107" s="50" t="str">
        <f t="shared" si="470"/>
        <v>-</v>
      </c>
      <c r="CE1107" s="342" t="str">
        <f t="shared" si="453"/>
        <v>MARVINAS BAY CREEK_Sockeye</v>
      </c>
      <c r="CF1107" s="341">
        <f>IFERROR(VLOOKUP(BY1107,'RawPL+D'!$O$8:$AB$503,12,FALSE),"-")</f>
        <v>0</v>
      </c>
      <c r="CG1107" s="338">
        <f t="shared" si="454"/>
        <v>0</v>
      </c>
      <c r="CH1107" s="341" t="str">
        <f>IFERROR(VLOOKUP(BY1107,'RawPL+D'!$O$8:$AB$503,13,FALSE),"-")</f>
        <v>-</v>
      </c>
      <c r="CI1107" s="338" t="str">
        <f t="shared" si="455"/>
        <v>-</v>
      </c>
    </row>
    <row r="1108" spans="1:87" ht="12.75" hidden="1" customHeight="1" x14ac:dyDescent="0.2">
      <c r="A1108" s="28">
        <v>4</v>
      </c>
      <c r="B1108" s="28">
        <v>2</v>
      </c>
      <c r="C1108" s="11">
        <v>25</v>
      </c>
      <c r="D1108" s="13" t="s">
        <v>299</v>
      </c>
      <c r="E1108" s="10" t="s">
        <v>146</v>
      </c>
      <c r="F1108" s="10" t="s">
        <v>219</v>
      </c>
      <c r="G1108" s="10"/>
      <c r="H1108" s="10"/>
      <c r="I1108" s="10"/>
      <c r="J1108" s="10"/>
      <c r="K1108" s="575"/>
      <c r="L1108" s="152"/>
      <c r="M1108" s="164"/>
      <c r="N1108" s="62"/>
      <c r="O1108" s="62"/>
      <c r="P1108" s="177"/>
      <c r="Q1108" s="452"/>
      <c r="R1108" s="94"/>
      <c r="S1108" s="62"/>
      <c r="T1108" s="62"/>
      <c r="U1108" s="64"/>
      <c r="V1108" s="164"/>
      <c r="W1108" s="62"/>
      <c r="X1108" s="62"/>
      <c r="Y1108" s="62"/>
      <c r="Z1108" s="64"/>
      <c r="AA1108" s="164"/>
      <c r="AB1108" s="62"/>
      <c r="AC1108" s="62"/>
      <c r="AD1108" s="64"/>
      <c r="AE1108" s="164"/>
      <c r="AF1108" s="62"/>
      <c r="AG1108" s="64"/>
      <c r="AH1108" s="337"/>
      <c r="AI1108" s="337"/>
      <c r="AJ1108" s="337"/>
      <c r="AK1108" s="337"/>
      <c r="AL1108" s="412"/>
      <c r="AM1108" s="414"/>
      <c r="AN1108" s="45"/>
      <c r="AO1108" s="45"/>
      <c r="AP1108" s="45"/>
      <c r="AQ1108" s="485">
        <f>AL1108/BI1108</f>
        <v>0</v>
      </c>
      <c r="AR1108" s="485" t="e">
        <f>BL1108/BH1108</f>
        <v>#DIV/0!</v>
      </c>
      <c r="AS1108" s="24"/>
      <c r="AT1108" s="24"/>
      <c r="AU1108" s="24"/>
      <c r="AV1108" s="24"/>
      <c r="AW1108" s="18">
        <v>25</v>
      </c>
      <c r="AX1108" s="69" t="s">
        <v>299</v>
      </c>
      <c r="AY1108" s="243" t="s">
        <v>146</v>
      </c>
      <c r="AZ1108" s="243" t="str">
        <f t="shared" si="458"/>
        <v>Coho</v>
      </c>
      <c r="BA1108" s="243" t="s">
        <v>419</v>
      </c>
      <c r="BB1108" s="246"/>
      <c r="BC1108" s="43" t="str">
        <f t="shared" si="459"/>
        <v>-</v>
      </c>
      <c r="BD1108" s="43">
        <f t="shared" si="457"/>
        <v>0</v>
      </c>
      <c r="BE1108" s="193">
        <f t="shared" si="471"/>
        <v>0</v>
      </c>
      <c r="BF1108" s="193">
        <f t="shared" si="460"/>
        <v>0</v>
      </c>
      <c r="BG1108" s="193">
        <f t="shared" si="461"/>
        <v>0</v>
      </c>
      <c r="BH1108" s="307">
        <f t="shared" si="448"/>
        <v>0</v>
      </c>
      <c r="BI1108" s="265">
        <f>CC1108</f>
        <v>90</v>
      </c>
      <c r="BJ1108" s="26" t="str">
        <f t="shared" si="462"/>
        <v>MARVINAS BAY CREEKCoho</v>
      </c>
      <c r="BK1108" s="26">
        <f t="shared" si="463"/>
        <v>0</v>
      </c>
      <c r="BL1108" s="33">
        <f t="shared" si="452"/>
        <v>0</v>
      </c>
      <c r="BQ1108" s="47" t="str">
        <f t="shared" si="464"/>
        <v>MARVINAS BAY CREEKCoho</v>
      </c>
      <c r="BR1108" s="49">
        <f t="shared" si="465"/>
        <v>0</v>
      </c>
      <c r="BS1108" s="49">
        <f t="shared" si="449"/>
        <v>0</v>
      </c>
      <c r="BT1108" s="31">
        <v>2011</v>
      </c>
      <c r="BU1108" s="188">
        <f t="shared" si="466"/>
        <v>0</v>
      </c>
      <c r="BV1108" s="188" t="str">
        <f t="shared" si="467"/>
        <v xml:space="preserve"> </v>
      </c>
      <c r="BW1108" s="188" t="str">
        <f t="shared" si="450"/>
        <v xml:space="preserve"> </v>
      </c>
      <c r="BX1108" s="188" t="str">
        <f t="shared" si="468"/>
        <v xml:space="preserve"> </v>
      </c>
      <c r="BY1108" s="50" t="str">
        <f t="shared" si="456"/>
        <v>MARVINAS BAY CREEK_Coho</v>
      </c>
      <c r="BZ1108" s="50" t="str">
        <f>IFERROR(VLOOKUP(BY1108,'[1]WCVI Esc'!$C$5:$W$555,18,FALSE),"-")</f>
        <v>-</v>
      </c>
      <c r="CA1108" s="50" t="str">
        <f t="shared" si="469"/>
        <v>-</v>
      </c>
      <c r="CB1108" s="50">
        <f>IFERROR(VLOOKUP(BY1108,'[1]WCVI Esc'!$C$5:$W$555,19,FALSE),"-")</f>
        <v>94</v>
      </c>
      <c r="CC1108" s="50">
        <f t="shared" si="470"/>
        <v>90</v>
      </c>
      <c r="CE1108" s="342" t="str">
        <f t="shared" si="453"/>
        <v>MARVINAS BAY CREEK_Coho</v>
      </c>
      <c r="CF1108" s="341">
        <f>IFERROR(VLOOKUP(BY1108,'RawPL+D'!$O$8:$AB$503,12,FALSE),"-")</f>
        <v>0</v>
      </c>
      <c r="CG1108" s="338">
        <f t="shared" si="454"/>
        <v>0</v>
      </c>
      <c r="CH1108" s="341">
        <f>IFERROR(VLOOKUP(BY1108,'RawPL+D'!$O$8:$AB$503,13,FALSE),"-")</f>
        <v>0</v>
      </c>
      <c r="CI1108" s="338">
        <f t="shared" si="455"/>
        <v>0</v>
      </c>
    </row>
    <row r="1109" spans="1:87" ht="12.75" hidden="1" customHeight="1" x14ac:dyDescent="0.2">
      <c r="A1109" s="28">
        <v>4</v>
      </c>
      <c r="B1109" s="28">
        <v>3</v>
      </c>
      <c r="C1109" s="11">
        <v>25</v>
      </c>
      <c r="D1109" s="13" t="s">
        <v>299</v>
      </c>
      <c r="E1109" s="10" t="s">
        <v>146</v>
      </c>
      <c r="F1109" s="10" t="s">
        <v>208</v>
      </c>
      <c r="G1109" s="10"/>
      <c r="H1109" s="10"/>
      <c r="I1109" s="10"/>
      <c r="J1109" s="10"/>
      <c r="K1109" s="575"/>
      <c r="L1109" s="152"/>
      <c r="M1109" s="164"/>
      <c r="N1109" s="62"/>
      <c r="O1109" s="62"/>
      <c r="P1109" s="177"/>
      <c r="Q1109" s="452"/>
      <c r="R1109" s="94"/>
      <c r="S1109" s="62"/>
      <c r="T1109" s="62"/>
      <c r="U1109" s="64"/>
      <c r="V1109" s="164"/>
      <c r="W1109" s="62"/>
      <c r="X1109" s="62"/>
      <c r="Y1109" s="62"/>
      <c r="Z1109" s="64"/>
      <c r="AA1109" s="164"/>
      <c r="AB1109" s="62"/>
      <c r="AC1109" s="62"/>
      <c r="AD1109" s="64"/>
      <c r="AE1109" s="164"/>
      <c r="AF1109" s="62"/>
      <c r="AG1109" s="64"/>
      <c r="AH1109" s="337"/>
      <c r="AI1109" s="337"/>
      <c r="AJ1109" s="337"/>
      <c r="AK1109" s="337"/>
      <c r="AL1109" s="412"/>
      <c r="AM1109" s="414"/>
      <c r="AN1109" s="45"/>
      <c r="AO1109" s="45"/>
      <c r="AP1109" s="45"/>
      <c r="AQ1109" s="485"/>
      <c r="AR1109" s="67"/>
      <c r="AS1109" s="24"/>
      <c r="AT1109" s="24"/>
      <c r="AU1109" s="24"/>
      <c r="AV1109" s="24"/>
      <c r="AW1109" s="18">
        <v>25</v>
      </c>
      <c r="AX1109" s="69" t="s">
        <v>299</v>
      </c>
      <c r="AY1109" s="243" t="s">
        <v>146</v>
      </c>
      <c r="AZ1109" s="243" t="str">
        <f t="shared" si="458"/>
        <v>Pink</v>
      </c>
      <c r="BA1109" s="243" t="s">
        <v>419</v>
      </c>
      <c r="BB1109" s="246"/>
      <c r="BC1109" s="43" t="str">
        <f t="shared" si="459"/>
        <v>-</v>
      </c>
      <c r="BD1109" s="43">
        <f t="shared" si="457"/>
        <v>0</v>
      </c>
      <c r="BE1109" s="193">
        <f t="shared" si="471"/>
        <v>0</v>
      </c>
      <c r="BF1109" s="193">
        <f t="shared" si="460"/>
        <v>0</v>
      </c>
      <c r="BG1109" s="193">
        <f t="shared" si="461"/>
        <v>0</v>
      </c>
      <c r="BH1109" s="307" t="str">
        <f t="shared" si="448"/>
        <v>-</v>
      </c>
      <c r="BI1109" s="267"/>
      <c r="BJ1109" s="26" t="str">
        <f t="shared" si="462"/>
        <v>MARVINAS BAY CREEKPink</v>
      </c>
      <c r="BK1109" s="26">
        <f t="shared" si="463"/>
        <v>0</v>
      </c>
      <c r="BL1109" s="33">
        <f t="shared" si="452"/>
        <v>0</v>
      </c>
      <c r="BQ1109" s="47" t="str">
        <f t="shared" si="464"/>
        <v>MARVINAS BAY CREEKPink</v>
      </c>
      <c r="BR1109" s="49">
        <f t="shared" si="465"/>
        <v>0</v>
      </c>
      <c r="BS1109" s="49">
        <f t="shared" si="449"/>
        <v>0</v>
      </c>
      <c r="BT1109" s="31">
        <v>0</v>
      </c>
      <c r="BU1109" s="188">
        <f t="shared" si="466"/>
        <v>0</v>
      </c>
      <c r="BV1109" s="188" t="str">
        <f t="shared" si="467"/>
        <v xml:space="preserve"> </v>
      </c>
      <c r="BW1109" s="188" t="str">
        <f t="shared" si="450"/>
        <v xml:space="preserve"> </v>
      </c>
      <c r="BX1109" s="188" t="str">
        <f t="shared" si="468"/>
        <v xml:space="preserve"> </v>
      </c>
      <c r="BY1109" s="50" t="str">
        <f t="shared" si="456"/>
        <v>MARVINAS BAY CREEK_Pink</v>
      </c>
      <c r="BZ1109" s="50" t="str">
        <f>IFERROR(VLOOKUP(BY1109,'[1]WCVI Esc'!$C$5:$W$555,18,FALSE),"-")</f>
        <v>-</v>
      </c>
      <c r="CA1109" s="50" t="str">
        <f t="shared" si="469"/>
        <v>-</v>
      </c>
      <c r="CB1109" s="50" t="str">
        <f>IFERROR(VLOOKUP(BY1109,'[1]WCVI Esc'!$C$5:$W$555,19,FALSE),"-")</f>
        <v>-</v>
      </c>
      <c r="CC1109" s="50" t="str">
        <f t="shared" si="470"/>
        <v>-</v>
      </c>
      <c r="CE1109" s="342" t="str">
        <f t="shared" si="453"/>
        <v>MARVINAS BAY CREEK_Pink</v>
      </c>
      <c r="CF1109" s="341" t="str">
        <f>IFERROR(VLOOKUP(BY1109,'RawPL+D'!$O$8:$AB$503,12,FALSE),"-")</f>
        <v>-</v>
      </c>
      <c r="CG1109" s="338" t="str">
        <f t="shared" si="454"/>
        <v>-</v>
      </c>
      <c r="CH1109" s="341" t="str">
        <f>IFERROR(VLOOKUP(BY1109,'RawPL+D'!$O$8:$AB$503,13,FALSE),"-")</f>
        <v>-</v>
      </c>
      <c r="CI1109" s="338" t="str">
        <f t="shared" si="455"/>
        <v>-</v>
      </c>
    </row>
    <row r="1110" spans="1:87" ht="12.75" hidden="1" customHeight="1" x14ac:dyDescent="0.2">
      <c r="A1110" s="28">
        <v>4</v>
      </c>
      <c r="B1110" s="28">
        <v>4</v>
      </c>
      <c r="C1110" s="11">
        <v>25</v>
      </c>
      <c r="D1110" s="13" t="s">
        <v>299</v>
      </c>
      <c r="E1110" s="10" t="s">
        <v>146</v>
      </c>
      <c r="F1110" s="10" t="s">
        <v>209</v>
      </c>
      <c r="G1110" s="10"/>
      <c r="H1110" s="10"/>
      <c r="I1110" s="10"/>
      <c r="J1110" s="10"/>
      <c r="K1110" s="575"/>
      <c r="L1110" s="152"/>
      <c r="M1110" s="164"/>
      <c r="N1110" s="62"/>
      <c r="O1110" s="62"/>
      <c r="P1110" s="177"/>
      <c r="Q1110" s="452"/>
      <c r="R1110" s="94"/>
      <c r="S1110" s="62"/>
      <c r="T1110" s="62"/>
      <c r="U1110" s="64"/>
      <c r="V1110" s="164"/>
      <c r="W1110" s="62"/>
      <c r="X1110" s="62"/>
      <c r="Y1110" s="62"/>
      <c r="Z1110" s="64"/>
      <c r="AA1110" s="164"/>
      <c r="AB1110" s="62"/>
      <c r="AC1110" s="62"/>
      <c r="AD1110" s="64"/>
      <c r="AE1110" s="164"/>
      <c r="AF1110" s="62"/>
      <c r="AG1110" s="64"/>
      <c r="AH1110" s="337"/>
      <c r="AI1110" s="337"/>
      <c r="AJ1110" s="337"/>
      <c r="AK1110" s="337"/>
      <c r="AL1110" s="412"/>
      <c r="AM1110" s="414"/>
      <c r="AN1110" s="45"/>
      <c r="AO1110" s="45"/>
      <c r="AP1110" s="45"/>
      <c r="AQ1110" s="485">
        <f>AL1110/BI1110</f>
        <v>0</v>
      </c>
      <c r="AR1110" s="485" t="e">
        <f>BL1110/BH1110</f>
        <v>#DIV/0!</v>
      </c>
      <c r="AS1110" s="24"/>
      <c r="AT1110" s="24"/>
      <c r="AU1110" s="24"/>
      <c r="AV1110" s="24"/>
      <c r="AW1110" s="18">
        <v>25</v>
      </c>
      <c r="AX1110" s="69" t="s">
        <v>299</v>
      </c>
      <c r="AY1110" s="243" t="s">
        <v>146</v>
      </c>
      <c r="AZ1110" s="243" t="str">
        <f t="shared" si="458"/>
        <v>Chum</v>
      </c>
      <c r="BA1110" s="243" t="s">
        <v>419</v>
      </c>
      <c r="BB1110" s="246"/>
      <c r="BC1110" s="43" t="str">
        <f t="shared" si="459"/>
        <v>-</v>
      </c>
      <c r="BD1110" s="43">
        <f t="shared" si="457"/>
        <v>0</v>
      </c>
      <c r="BE1110" s="193">
        <f t="shared" si="471"/>
        <v>0</v>
      </c>
      <c r="BF1110" s="193">
        <f t="shared" si="460"/>
        <v>0</v>
      </c>
      <c r="BG1110" s="193">
        <f t="shared" si="461"/>
        <v>0</v>
      </c>
      <c r="BH1110" s="307">
        <f t="shared" si="448"/>
        <v>0</v>
      </c>
      <c r="BI1110" s="265">
        <f>CC1110</f>
        <v>140</v>
      </c>
      <c r="BJ1110" s="26" t="str">
        <f t="shared" si="462"/>
        <v>MARVINAS BAY CREEKChum</v>
      </c>
      <c r="BK1110" s="26">
        <f t="shared" si="463"/>
        <v>0</v>
      </c>
      <c r="BL1110" s="33">
        <f t="shared" si="452"/>
        <v>0</v>
      </c>
      <c r="BQ1110" s="47" t="str">
        <f t="shared" si="464"/>
        <v>MARVINAS BAY CREEKChum</v>
      </c>
      <c r="BR1110" s="49">
        <f t="shared" si="465"/>
        <v>0</v>
      </c>
      <c r="BS1110" s="49">
        <f t="shared" si="449"/>
        <v>0</v>
      </c>
      <c r="BT1110" s="31">
        <v>2011</v>
      </c>
      <c r="BU1110" s="188">
        <f t="shared" si="466"/>
        <v>0</v>
      </c>
      <c r="BV1110" s="188" t="str">
        <f t="shared" si="467"/>
        <v xml:space="preserve"> </v>
      </c>
      <c r="BW1110" s="188" t="str">
        <f t="shared" si="450"/>
        <v xml:space="preserve"> </v>
      </c>
      <c r="BX1110" s="188" t="str">
        <f t="shared" si="468"/>
        <v xml:space="preserve"> </v>
      </c>
      <c r="BY1110" s="50" t="str">
        <f t="shared" si="456"/>
        <v>MARVINAS BAY CREEK_Chum</v>
      </c>
      <c r="BZ1110" s="50" t="str">
        <f>IFERROR(VLOOKUP(BY1110,'[1]WCVI Esc'!$C$5:$W$555,18,FALSE),"-")</f>
        <v>-</v>
      </c>
      <c r="CA1110" s="50" t="str">
        <f t="shared" si="469"/>
        <v>-</v>
      </c>
      <c r="CB1110" s="50">
        <f>IFERROR(VLOOKUP(BY1110,'[1]WCVI Esc'!$C$5:$W$555,19,FALSE),"-")</f>
        <v>135</v>
      </c>
      <c r="CC1110" s="50">
        <f t="shared" si="470"/>
        <v>140</v>
      </c>
      <c r="CE1110" s="342" t="str">
        <f t="shared" si="453"/>
        <v>MARVINAS BAY CREEK_Chum</v>
      </c>
      <c r="CF1110" s="341">
        <f>IFERROR(VLOOKUP(BY1110,'RawPL+D'!$O$8:$AB$503,12,FALSE),"-")</f>
        <v>0</v>
      </c>
      <c r="CG1110" s="338">
        <f t="shared" si="454"/>
        <v>0</v>
      </c>
      <c r="CH1110" s="341">
        <f>IFERROR(VLOOKUP(BY1110,'RawPL+D'!$O$8:$AB$503,13,FALSE),"-")</f>
        <v>0</v>
      </c>
      <c r="CI1110" s="338">
        <f t="shared" si="455"/>
        <v>0</v>
      </c>
    </row>
    <row r="1111" spans="1:87" ht="12.75" hidden="1" customHeight="1" x14ac:dyDescent="0.2">
      <c r="A1111" s="28">
        <v>4</v>
      </c>
      <c r="B1111" s="28">
        <v>5</v>
      </c>
      <c r="C1111" s="11">
        <v>25</v>
      </c>
      <c r="D1111" s="13" t="s">
        <v>299</v>
      </c>
      <c r="E1111" s="10" t="s">
        <v>146</v>
      </c>
      <c r="F1111" s="10" t="s">
        <v>210</v>
      </c>
      <c r="G1111" s="10"/>
      <c r="H1111" s="10"/>
      <c r="I1111" s="10"/>
      <c r="J1111" s="10"/>
      <c r="K1111" s="575"/>
      <c r="L1111" s="152"/>
      <c r="M1111" s="164"/>
      <c r="N1111" s="62"/>
      <c r="O1111" s="62"/>
      <c r="P1111" s="177"/>
      <c r="Q1111" s="452"/>
      <c r="R1111" s="94"/>
      <c r="S1111" s="62"/>
      <c r="T1111" s="62"/>
      <c r="U1111" s="64"/>
      <c r="V1111" s="164"/>
      <c r="W1111" s="62"/>
      <c r="X1111" s="62"/>
      <c r="Y1111" s="62"/>
      <c r="Z1111" s="64"/>
      <c r="AA1111" s="164"/>
      <c r="AB1111" s="62"/>
      <c r="AC1111" s="62"/>
      <c r="AD1111" s="64"/>
      <c r="AE1111" s="164"/>
      <c r="AF1111" s="62"/>
      <c r="AG1111" s="64"/>
      <c r="AH1111" s="337"/>
      <c r="AI1111" s="337"/>
      <c r="AJ1111" s="337"/>
      <c r="AK1111" s="337"/>
      <c r="AL1111" s="412"/>
      <c r="AM1111" s="414"/>
      <c r="AN1111" s="45"/>
      <c r="AO1111" s="45"/>
      <c r="AP1111" s="45"/>
      <c r="AQ1111" s="485"/>
      <c r="AR1111"/>
      <c r="AS1111" s="24"/>
      <c r="AT1111" s="24"/>
      <c r="AU1111" s="24"/>
      <c r="AV1111" s="24"/>
      <c r="AW1111" s="18">
        <v>25</v>
      </c>
      <c r="AX1111" s="69" t="s">
        <v>299</v>
      </c>
      <c r="AY1111" s="243" t="s">
        <v>146</v>
      </c>
      <c r="AZ1111" s="243" t="str">
        <f t="shared" si="458"/>
        <v>Chinook</v>
      </c>
      <c r="BA1111" s="243" t="s">
        <v>419</v>
      </c>
      <c r="BB1111" s="246"/>
      <c r="BC1111" s="43" t="str">
        <f t="shared" si="459"/>
        <v>-</v>
      </c>
      <c r="BD1111" s="43">
        <f t="shared" si="457"/>
        <v>0</v>
      </c>
      <c r="BE1111" s="193">
        <f t="shared" si="471"/>
        <v>0</v>
      </c>
      <c r="BF1111" s="193">
        <f t="shared" si="460"/>
        <v>0</v>
      </c>
      <c r="BG1111" s="193">
        <f t="shared" si="461"/>
        <v>0</v>
      </c>
      <c r="BH1111" s="307" t="str">
        <f t="shared" si="448"/>
        <v>-</v>
      </c>
      <c r="BI1111" s="265">
        <f>CC1111</f>
        <v>0</v>
      </c>
      <c r="BJ1111" s="26" t="str">
        <f t="shared" si="462"/>
        <v>MARVINAS BAY CREEKChinook</v>
      </c>
      <c r="BK1111" s="26">
        <f t="shared" si="463"/>
        <v>0</v>
      </c>
      <c r="BL1111" s="33">
        <f t="shared" si="452"/>
        <v>0</v>
      </c>
      <c r="BQ1111" s="47" t="str">
        <f t="shared" si="464"/>
        <v>MARVINAS BAY CREEKChinook</v>
      </c>
      <c r="BR1111" s="49">
        <f t="shared" si="465"/>
        <v>0</v>
      </c>
      <c r="BS1111" s="49">
        <f t="shared" si="449"/>
        <v>0</v>
      </c>
      <c r="BT1111" s="31">
        <v>2011</v>
      </c>
      <c r="BU1111" s="188">
        <f t="shared" si="466"/>
        <v>0</v>
      </c>
      <c r="BV1111" s="188" t="str">
        <f t="shared" si="467"/>
        <v xml:space="preserve"> </v>
      </c>
      <c r="BW1111" s="188" t="str">
        <f t="shared" si="450"/>
        <v xml:space="preserve"> </v>
      </c>
      <c r="BX1111" s="188" t="str">
        <f t="shared" si="468"/>
        <v xml:space="preserve"> </v>
      </c>
      <c r="BY1111" s="50" t="str">
        <f t="shared" si="456"/>
        <v>MARVINAS BAY CREEK_Chinook</v>
      </c>
      <c r="BZ1111" s="50" t="str">
        <f>IFERROR(VLOOKUP(BY1111,'[1]WCVI Esc'!$C$5:$W$555,18,FALSE),"-")</f>
        <v>-</v>
      </c>
      <c r="CA1111" s="50" t="str">
        <f t="shared" si="469"/>
        <v>-</v>
      </c>
      <c r="CB1111" s="50">
        <f>IFERROR(VLOOKUP(BY1111,'[1]WCVI Esc'!$C$5:$W$555,19,FALSE),"-")</f>
        <v>3</v>
      </c>
      <c r="CC1111" s="50">
        <f t="shared" si="470"/>
        <v>0</v>
      </c>
      <c r="CE1111" s="342" t="str">
        <f t="shared" si="453"/>
        <v>MARVINAS BAY CREEK_Chinook</v>
      </c>
      <c r="CF1111" s="341">
        <f>IFERROR(VLOOKUP(BY1111,'RawPL+D'!$O$8:$AB$503,12,FALSE),"-")</f>
        <v>0</v>
      </c>
      <c r="CG1111" s="338">
        <f t="shared" si="454"/>
        <v>0</v>
      </c>
      <c r="CH1111" s="341" t="str">
        <f>IFERROR(VLOOKUP(BY1111,'RawPL+D'!$O$8:$AB$503,13,FALSE),"-")</f>
        <v>-</v>
      </c>
      <c r="CI1111" s="338" t="str">
        <f t="shared" si="455"/>
        <v>-</v>
      </c>
    </row>
    <row r="1112" spans="1:87" ht="12.75" hidden="1" customHeight="1" x14ac:dyDescent="0.2">
      <c r="A1112" s="28">
        <v>4</v>
      </c>
      <c r="B1112" s="28">
        <v>6</v>
      </c>
      <c r="C1112" s="11">
        <v>25</v>
      </c>
      <c r="D1112" s="13" t="s">
        <v>299</v>
      </c>
      <c r="E1112" s="10" t="s">
        <v>146</v>
      </c>
      <c r="F1112" s="10" t="s">
        <v>211</v>
      </c>
      <c r="G1112" s="10"/>
      <c r="H1112" s="10"/>
      <c r="I1112" s="10"/>
      <c r="J1112" s="10"/>
      <c r="K1112" s="575"/>
      <c r="L1112" s="152"/>
      <c r="M1112" s="164"/>
      <c r="N1112" s="62"/>
      <c r="O1112" s="62"/>
      <c r="P1112" s="177"/>
      <c r="Q1112" s="452"/>
      <c r="R1112" s="94"/>
      <c r="S1112" s="62"/>
      <c r="T1112" s="62"/>
      <c r="U1112" s="64"/>
      <c r="V1112" s="164"/>
      <c r="W1112" s="62"/>
      <c r="X1112" s="62"/>
      <c r="Y1112" s="62"/>
      <c r="Z1112" s="64"/>
      <c r="AA1112" s="164"/>
      <c r="AB1112" s="62"/>
      <c r="AC1112" s="62"/>
      <c r="AD1112" s="64"/>
      <c r="AE1112" s="164"/>
      <c r="AF1112" s="62"/>
      <c r="AG1112" s="64"/>
      <c r="AH1112" s="337"/>
      <c r="AI1112" s="337"/>
      <c r="AJ1112" s="337"/>
      <c r="AK1112" s="337"/>
      <c r="AL1112" s="412"/>
      <c r="AM1112" s="414"/>
      <c r="AN1112" s="45"/>
      <c r="AO1112" s="45"/>
      <c r="AP1112" s="45"/>
      <c r="AQ1112" s="485"/>
      <c r="AR1112"/>
      <c r="AS1112" s="24"/>
      <c r="AT1112" s="24"/>
      <c r="AU1112" s="24"/>
      <c r="AV1112" s="24"/>
      <c r="AW1112" s="18">
        <v>25</v>
      </c>
      <c r="AX1112" s="69" t="s">
        <v>299</v>
      </c>
      <c r="AY1112" s="243" t="s">
        <v>146</v>
      </c>
      <c r="AZ1112" s="243" t="str">
        <f t="shared" si="458"/>
        <v>Steelhead</v>
      </c>
      <c r="BA1112" s="243" t="s">
        <v>419</v>
      </c>
      <c r="BB1112" s="246"/>
      <c r="BC1112" s="43" t="str">
        <f t="shared" si="459"/>
        <v>-</v>
      </c>
      <c r="BD1112" s="43">
        <f t="shared" si="457"/>
        <v>0</v>
      </c>
      <c r="BE1112" s="193">
        <f t="shared" si="471"/>
        <v>0</v>
      </c>
      <c r="BF1112" s="193">
        <f t="shared" si="460"/>
        <v>0</v>
      </c>
      <c r="BG1112" s="193">
        <f t="shared" si="461"/>
        <v>0</v>
      </c>
      <c r="BH1112" s="307" t="str">
        <f t="shared" si="448"/>
        <v>-</v>
      </c>
      <c r="BI1112" s="267"/>
      <c r="BJ1112" s="26" t="str">
        <f t="shared" si="462"/>
        <v>MARVINAS BAY CREEKSteelhead</v>
      </c>
      <c r="BK1112" s="26">
        <f t="shared" si="463"/>
        <v>0</v>
      </c>
      <c r="BL1112" s="33">
        <f t="shared" si="452"/>
        <v>0</v>
      </c>
      <c r="BQ1112" s="47" t="str">
        <f t="shared" si="464"/>
        <v>MARVINAS BAY CREEKSteelhead</v>
      </c>
      <c r="BR1112" s="49">
        <f t="shared" si="465"/>
        <v>0</v>
      </c>
      <c r="BS1112" s="49">
        <f t="shared" si="449"/>
        <v>0</v>
      </c>
      <c r="BT1112" s="31">
        <v>0</v>
      </c>
      <c r="BU1112" s="188">
        <f t="shared" si="466"/>
        <v>0</v>
      </c>
      <c r="BV1112" s="188" t="str">
        <f t="shared" si="467"/>
        <v xml:space="preserve"> </v>
      </c>
      <c r="BW1112" s="188" t="str">
        <f t="shared" si="450"/>
        <v xml:space="preserve"> </v>
      </c>
      <c r="BX1112" s="188" t="str">
        <f t="shared" si="468"/>
        <v xml:space="preserve"> </v>
      </c>
      <c r="BY1112" s="50" t="str">
        <f t="shared" si="456"/>
        <v>MARVINAS BAY CREEK_Steelhead</v>
      </c>
      <c r="BZ1112" s="50" t="str">
        <f>IFERROR(VLOOKUP(BY1112,'[1]WCVI Esc'!$C$5:$W$555,18,FALSE),"-")</f>
        <v>-</v>
      </c>
      <c r="CA1112" s="50" t="str">
        <f t="shared" si="469"/>
        <v>-</v>
      </c>
      <c r="CB1112" s="50" t="str">
        <f>IFERROR(VLOOKUP(BY1112,'[1]WCVI Esc'!$C$5:$W$555,19,FALSE),"-")</f>
        <v>-</v>
      </c>
      <c r="CC1112" s="50" t="str">
        <f t="shared" si="470"/>
        <v>-</v>
      </c>
      <c r="CE1112" s="342" t="str">
        <f t="shared" si="453"/>
        <v>MARVINAS BAY CREEK_Steelhead</v>
      </c>
      <c r="CF1112" s="341" t="str">
        <f>IFERROR(VLOOKUP(BY1112,'RawPL+D'!$O$8:$AB$503,12,FALSE),"-")</f>
        <v>-</v>
      </c>
      <c r="CG1112" s="338" t="str">
        <f t="shared" si="454"/>
        <v>-</v>
      </c>
      <c r="CH1112" s="341" t="str">
        <f>IFERROR(VLOOKUP(BY1112,'RawPL+D'!$O$8:$AB$503,13,FALSE),"-")</f>
        <v>-</v>
      </c>
      <c r="CI1112" s="338" t="str">
        <f t="shared" si="455"/>
        <v>-</v>
      </c>
    </row>
    <row r="1113" spans="1:87" ht="12.75" hidden="1" customHeight="1" x14ac:dyDescent="0.2">
      <c r="A1113" s="28">
        <v>4</v>
      </c>
      <c r="B1113" s="29">
        <v>1</v>
      </c>
      <c r="C1113" s="13">
        <v>25</v>
      </c>
      <c r="D1113" s="13" t="s">
        <v>299</v>
      </c>
      <c r="E1113" s="10" t="s">
        <v>197</v>
      </c>
      <c r="F1113" s="10" t="s">
        <v>207</v>
      </c>
      <c r="G1113" s="10"/>
      <c r="H1113" s="10"/>
      <c r="I1113" s="10"/>
      <c r="J1113" s="10"/>
      <c r="K1113" s="575"/>
      <c r="L1113" s="152"/>
      <c r="M1113" s="164"/>
      <c r="N1113" s="62"/>
      <c r="O1113" s="62"/>
      <c r="P1113" s="177"/>
      <c r="Q1113" s="452"/>
      <c r="R1113" s="94"/>
      <c r="S1113" s="62"/>
      <c r="T1113" s="62"/>
      <c r="U1113" s="64"/>
      <c r="V1113" s="164"/>
      <c r="W1113" s="62"/>
      <c r="X1113" s="62"/>
      <c r="Y1113" s="62"/>
      <c r="Z1113" s="64"/>
      <c r="AA1113" s="164"/>
      <c r="AB1113" s="62"/>
      <c r="AC1113" s="62"/>
      <c r="AD1113" s="64"/>
      <c r="AE1113" s="164"/>
      <c r="AF1113" s="62"/>
      <c r="AG1113" s="64"/>
      <c r="AH1113" s="337"/>
      <c r="AI1113" s="337"/>
      <c r="AJ1113" s="337"/>
      <c r="AK1113" s="337"/>
      <c r="AL1113" s="412"/>
      <c r="AM1113" s="414"/>
      <c r="AN1113" s="45"/>
      <c r="AO1113" s="45"/>
      <c r="AP1113" s="45"/>
      <c r="AQ1113" s="485"/>
      <c r="AR1113"/>
      <c r="AS1113" s="24"/>
      <c r="AT1113" s="24"/>
      <c r="AU1113" s="24"/>
      <c r="AV1113" s="24"/>
      <c r="AW1113" s="69">
        <v>25</v>
      </c>
      <c r="AX1113" s="69" t="s">
        <v>299</v>
      </c>
      <c r="AY1113" s="243" t="s">
        <v>197</v>
      </c>
      <c r="AZ1113" s="243" t="str">
        <f t="shared" si="458"/>
        <v>Sockeye</v>
      </c>
      <c r="BA1113" s="243" t="s">
        <v>419</v>
      </c>
      <c r="BB1113" s="246"/>
      <c r="BC1113" s="43" t="str">
        <f t="shared" si="459"/>
        <v>-</v>
      </c>
      <c r="BD1113" s="43">
        <f t="shared" si="457"/>
        <v>0</v>
      </c>
      <c r="BE1113" s="193">
        <f t="shared" si="471"/>
        <v>0</v>
      </c>
      <c r="BF1113" s="193">
        <f t="shared" si="460"/>
        <v>0</v>
      </c>
      <c r="BG1113" s="193">
        <f t="shared" si="461"/>
        <v>0</v>
      </c>
      <c r="BH1113" s="307" t="str">
        <f t="shared" si="448"/>
        <v>-</v>
      </c>
      <c r="BI1113" s="268"/>
      <c r="BJ1113" s="26" t="str">
        <f t="shared" si="462"/>
        <v>MCCURDY CREEKSockeye</v>
      </c>
      <c r="BK1113" s="26">
        <f t="shared" si="463"/>
        <v>0</v>
      </c>
      <c r="BL1113" s="33">
        <f t="shared" si="452"/>
        <v>0</v>
      </c>
      <c r="BQ1113" s="47" t="str">
        <f t="shared" si="464"/>
        <v>MCCURDY CREEKSockeye</v>
      </c>
      <c r="BR1113" s="49">
        <f t="shared" si="465"/>
        <v>0</v>
      </c>
      <c r="BS1113" s="49">
        <f t="shared" si="449"/>
        <v>0</v>
      </c>
      <c r="BT1113" s="31">
        <v>0</v>
      </c>
      <c r="BU1113" s="188">
        <f t="shared" si="466"/>
        <v>0</v>
      </c>
      <c r="BV1113" s="188" t="str">
        <f t="shared" si="467"/>
        <v xml:space="preserve"> </v>
      </c>
      <c r="BW1113" s="188" t="str">
        <f t="shared" si="450"/>
        <v xml:space="preserve"> </v>
      </c>
      <c r="BX1113" s="188" t="str">
        <f t="shared" si="468"/>
        <v xml:space="preserve"> </v>
      </c>
      <c r="BY1113" s="50" t="str">
        <f t="shared" si="456"/>
        <v>MCCURDY CREEK_Sockeye</v>
      </c>
      <c r="BZ1113" s="50" t="str">
        <f>IFERROR(VLOOKUP(BY1113,'[1]WCVI Esc'!$C$5:$W$555,18,FALSE),"-")</f>
        <v>-</v>
      </c>
      <c r="CA1113" s="50" t="str">
        <f t="shared" si="469"/>
        <v>-</v>
      </c>
      <c r="CB1113" s="50" t="str">
        <f>IFERROR(VLOOKUP(BY1113,'[1]WCVI Esc'!$C$5:$W$555,19,FALSE),"-")</f>
        <v>-</v>
      </c>
      <c r="CC1113" s="50" t="str">
        <f t="shared" si="470"/>
        <v>-</v>
      </c>
      <c r="CE1113" s="342" t="str">
        <f t="shared" ref="CE1113:CE1144" si="472">CONCATENATE(E1113,"_",F1113)</f>
        <v>MCCURDY CREEK_Sockeye</v>
      </c>
      <c r="CF1113" s="341" t="str">
        <f>IFERROR(VLOOKUP(BY1113,'RawPL+D'!$O$8:$AB$503,12,FALSE),"-")</f>
        <v>-</v>
      </c>
      <c r="CG1113" s="338" t="str">
        <f t="shared" si="454"/>
        <v>-</v>
      </c>
      <c r="CH1113" s="341" t="str">
        <f>IFERROR(VLOOKUP(BY1113,'RawPL+D'!$O$8:$AB$503,13,FALSE),"-")</f>
        <v>-</v>
      </c>
      <c r="CI1113" s="338" t="str">
        <f t="shared" si="455"/>
        <v>-</v>
      </c>
    </row>
    <row r="1114" spans="1:87" ht="12.75" hidden="1" customHeight="1" x14ac:dyDescent="0.2">
      <c r="A1114" s="28">
        <v>4</v>
      </c>
      <c r="B1114" s="29">
        <v>2</v>
      </c>
      <c r="C1114" s="13">
        <v>25</v>
      </c>
      <c r="D1114" s="13" t="s">
        <v>299</v>
      </c>
      <c r="E1114" s="10" t="s">
        <v>197</v>
      </c>
      <c r="F1114" s="10" t="s">
        <v>219</v>
      </c>
      <c r="G1114" s="10"/>
      <c r="H1114" s="10"/>
      <c r="I1114" s="10"/>
      <c r="J1114" s="10"/>
      <c r="K1114" s="575"/>
      <c r="L1114" s="152"/>
      <c r="M1114" s="164"/>
      <c r="N1114" s="62"/>
      <c r="O1114" s="62"/>
      <c r="P1114" s="177"/>
      <c r="Q1114" s="452"/>
      <c r="R1114" s="94"/>
      <c r="S1114" s="62"/>
      <c r="T1114" s="62"/>
      <c r="U1114" s="64"/>
      <c r="V1114" s="164"/>
      <c r="W1114" s="62"/>
      <c r="X1114" s="62"/>
      <c r="Y1114" s="62"/>
      <c r="Z1114" s="64"/>
      <c r="AA1114" s="164"/>
      <c r="AB1114" s="62"/>
      <c r="AC1114" s="62"/>
      <c r="AD1114" s="64"/>
      <c r="AE1114" s="164"/>
      <c r="AF1114" s="62"/>
      <c r="AG1114" s="64"/>
      <c r="AH1114" s="337"/>
      <c r="AI1114" s="337"/>
      <c r="AJ1114" s="337"/>
      <c r="AK1114" s="337"/>
      <c r="AL1114" s="412"/>
      <c r="AM1114" s="414"/>
      <c r="AN1114" s="45"/>
      <c r="AO1114" s="45"/>
      <c r="AP1114" s="45"/>
      <c r="AQ1114" s="485"/>
      <c r="AR1114"/>
      <c r="AS1114" s="24"/>
      <c r="AT1114" s="24"/>
      <c r="AU1114" s="24"/>
      <c r="AV1114" s="24"/>
      <c r="AW1114" s="69">
        <v>25</v>
      </c>
      <c r="AX1114" s="69" t="s">
        <v>299</v>
      </c>
      <c r="AY1114" s="243" t="s">
        <v>197</v>
      </c>
      <c r="AZ1114" s="243" t="str">
        <f t="shared" si="458"/>
        <v>Coho</v>
      </c>
      <c r="BA1114" s="243" t="s">
        <v>419</v>
      </c>
      <c r="BB1114" s="246"/>
      <c r="BC1114" s="43" t="str">
        <f t="shared" si="459"/>
        <v>-</v>
      </c>
      <c r="BD1114" s="43">
        <f t="shared" si="457"/>
        <v>0</v>
      </c>
      <c r="BE1114" s="193">
        <f t="shared" si="471"/>
        <v>0</v>
      </c>
      <c r="BF1114" s="193">
        <f t="shared" si="460"/>
        <v>0</v>
      </c>
      <c r="BG1114" s="193">
        <f t="shared" si="461"/>
        <v>0</v>
      </c>
      <c r="BH1114" s="307" t="str">
        <f t="shared" si="448"/>
        <v>-</v>
      </c>
      <c r="BI1114" s="268"/>
      <c r="BJ1114" s="26" t="str">
        <f t="shared" si="462"/>
        <v>MCCURDY CREEKCoho</v>
      </c>
      <c r="BK1114" s="26">
        <f t="shared" si="463"/>
        <v>0</v>
      </c>
      <c r="BL1114" s="33">
        <f t="shared" si="452"/>
        <v>0</v>
      </c>
      <c r="BQ1114" s="47" t="str">
        <f t="shared" si="464"/>
        <v>MCCURDY CREEKCoho</v>
      </c>
      <c r="BR1114" s="49">
        <f t="shared" si="465"/>
        <v>0</v>
      </c>
      <c r="BS1114" s="49">
        <f t="shared" si="449"/>
        <v>0</v>
      </c>
      <c r="BT1114" s="31">
        <v>1966</v>
      </c>
      <c r="BU1114" s="188">
        <f t="shared" si="466"/>
        <v>0</v>
      </c>
      <c r="BV1114" s="188" t="str">
        <f t="shared" si="467"/>
        <v xml:space="preserve"> </v>
      </c>
      <c r="BW1114" s="188" t="str">
        <f t="shared" si="450"/>
        <v xml:space="preserve"> </v>
      </c>
      <c r="BX1114" s="188" t="str">
        <f t="shared" si="468"/>
        <v xml:space="preserve"> </v>
      </c>
      <c r="BY1114" s="50" t="str">
        <f t="shared" si="456"/>
        <v>MCCURDY CREEK_Coho</v>
      </c>
      <c r="BZ1114" s="50" t="str">
        <f>IFERROR(VLOOKUP(BY1114,'[1]WCVI Esc'!$C$5:$W$555,18,FALSE),"-")</f>
        <v>-</v>
      </c>
      <c r="CA1114" s="50" t="str">
        <f t="shared" si="469"/>
        <v>-</v>
      </c>
      <c r="CB1114" s="50" t="str">
        <f>IFERROR(VLOOKUP(BY1114,'[1]WCVI Esc'!$C$5:$W$555,19,FALSE),"-")</f>
        <v>-</v>
      </c>
      <c r="CC1114" s="50" t="str">
        <f t="shared" si="470"/>
        <v>-</v>
      </c>
      <c r="CE1114" s="342" t="str">
        <f t="shared" si="472"/>
        <v>MCCURDY CREEK_Coho</v>
      </c>
      <c r="CF1114" s="341" t="str">
        <f>IFERROR(VLOOKUP(BY1114,'RawPL+D'!$O$8:$AB$503,12,FALSE),"-")</f>
        <v>-</v>
      </c>
      <c r="CG1114" s="338" t="str">
        <f t="shared" si="454"/>
        <v>-</v>
      </c>
      <c r="CH1114" s="341" t="str">
        <f>IFERROR(VLOOKUP(BY1114,'RawPL+D'!$O$8:$AB$503,13,FALSE),"-")</f>
        <v>-</v>
      </c>
      <c r="CI1114" s="338" t="str">
        <f t="shared" si="455"/>
        <v>-</v>
      </c>
    </row>
    <row r="1115" spans="1:87" ht="12.75" hidden="1" customHeight="1" x14ac:dyDescent="0.2">
      <c r="A1115" s="28">
        <v>4</v>
      </c>
      <c r="B1115" s="29">
        <v>3</v>
      </c>
      <c r="C1115" s="13">
        <v>25</v>
      </c>
      <c r="D1115" s="13" t="s">
        <v>299</v>
      </c>
      <c r="E1115" s="10" t="s">
        <v>197</v>
      </c>
      <c r="F1115" s="10" t="s">
        <v>208</v>
      </c>
      <c r="G1115" s="10"/>
      <c r="H1115" s="10"/>
      <c r="I1115" s="10"/>
      <c r="J1115" s="10"/>
      <c r="K1115" s="575"/>
      <c r="L1115" s="152"/>
      <c r="M1115" s="164"/>
      <c r="N1115" s="62"/>
      <c r="O1115" s="62"/>
      <c r="P1115" s="177"/>
      <c r="Q1115" s="452"/>
      <c r="R1115" s="94"/>
      <c r="S1115" s="62"/>
      <c r="T1115" s="62"/>
      <c r="U1115" s="64"/>
      <c r="V1115" s="164"/>
      <c r="W1115" s="62"/>
      <c r="X1115" s="62"/>
      <c r="Y1115" s="62"/>
      <c r="Z1115" s="64"/>
      <c r="AA1115" s="164"/>
      <c r="AB1115" s="62"/>
      <c r="AC1115" s="62"/>
      <c r="AD1115" s="64"/>
      <c r="AE1115" s="164"/>
      <c r="AF1115" s="62"/>
      <c r="AG1115" s="64"/>
      <c r="AH1115" s="337"/>
      <c r="AI1115" s="337"/>
      <c r="AJ1115" s="337"/>
      <c r="AK1115" s="337"/>
      <c r="AL1115" s="412"/>
      <c r="AM1115" s="414"/>
      <c r="AN1115" s="45"/>
      <c r="AO1115" s="45"/>
      <c r="AP1115" s="45"/>
      <c r="AQ1115" s="485"/>
      <c r="AR1115"/>
      <c r="AS1115" s="24"/>
      <c r="AT1115" s="24"/>
      <c r="AU1115" s="24"/>
      <c r="AV1115" s="24"/>
      <c r="AW1115" s="69">
        <v>25</v>
      </c>
      <c r="AX1115" s="69" t="s">
        <v>299</v>
      </c>
      <c r="AY1115" s="243" t="s">
        <v>197</v>
      </c>
      <c r="AZ1115" s="243" t="str">
        <f t="shared" si="458"/>
        <v>Pink</v>
      </c>
      <c r="BA1115" s="243" t="s">
        <v>419</v>
      </c>
      <c r="BB1115" s="246"/>
      <c r="BC1115" s="43" t="str">
        <f t="shared" si="459"/>
        <v>-</v>
      </c>
      <c r="BD1115" s="43">
        <f t="shared" si="457"/>
        <v>0</v>
      </c>
      <c r="BE1115" s="193">
        <f t="shared" si="471"/>
        <v>0</v>
      </c>
      <c r="BF1115" s="193">
        <f t="shared" si="460"/>
        <v>0</v>
      </c>
      <c r="BG1115" s="193">
        <f t="shared" si="461"/>
        <v>0</v>
      </c>
      <c r="BH1115" s="307" t="str">
        <f t="shared" si="448"/>
        <v>-</v>
      </c>
      <c r="BI1115" s="267"/>
      <c r="BJ1115" s="26" t="str">
        <f t="shared" si="462"/>
        <v>MCCURDY CREEKPink</v>
      </c>
      <c r="BK1115" s="26">
        <f t="shared" si="463"/>
        <v>0</v>
      </c>
      <c r="BL1115" s="33">
        <f t="shared" si="452"/>
        <v>0</v>
      </c>
      <c r="BQ1115" s="47" t="str">
        <f t="shared" si="464"/>
        <v>MCCURDY CREEKPink</v>
      </c>
      <c r="BR1115" s="49">
        <f t="shared" si="465"/>
        <v>0</v>
      </c>
      <c r="BS1115" s="49">
        <f t="shared" si="449"/>
        <v>0</v>
      </c>
      <c r="BT1115" s="31">
        <v>0</v>
      </c>
      <c r="BU1115" s="188">
        <f t="shared" si="466"/>
        <v>0</v>
      </c>
      <c r="BV1115" s="188" t="str">
        <f t="shared" si="467"/>
        <v xml:space="preserve"> </v>
      </c>
      <c r="BW1115" s="188" t="str">
        <f t="shared" si="450"/>
        <v xml:space="preserve"> </v>
      </c>
      <c r="BX1115" s="188" t="str">
        <f t="shared" si="468"/>
        <v xml:space="preserve"> </v>
      </c>
      <c r="BY1115" s="50" t="str">
        <f t="shared" si="456"/>
        <v>MCCURDY CREEK_Pink</v>
      </c>
      <c r="BZ1115" s="50" t="str">
        <f>IFERROR(VLOOKUP(BY1115,'[1]WCVI Esc'!$C$5:$W$555,18,FALSE),"-")</f>
        <v>-</v>
      </c>
      <c r="CA1115" s="50" t="str">
        <f t="shared" si="469"/>
        <v>-</v>
      </c>
      <c r="CB1115" s="50" t="str">
        <f>IFERROR(VLOOKUP(BY1115,'[1]WCVI Esc'!$C$5:$W$555,19,FALSE),"-")</f>
        <v>-</v>
      </c>
      <c r="CC1115" s="50" t="str">
        <f t="shared" si="470"/>
        <v>-</v>
      </c>
      <c r="CE1115" s="342" t="str">
        <f t="shared" si="472"/>
        <v>MCCURDY CREEK_Pink</v>
      </c>
      <c r="CF1115" s="341" t="str">
        <f>IFERROR(VLOOKUP(BY1115,'RawPL+D'!$O$8:$AB$503,12,FALSE),"-")</f>
        <v>-</v>
      </c>
      <c r="CG1115" s="338" t="str">
        <f t="shared" si="454"/>
        <v>-</v>
      </c>
      <c r="CH1115" s="341" t="str">
        <f>IFERROR(VLOOKUP(BY1115,'RawPL+D'!$O$8:$AB$503,13,FALSE),"-")</f>
        <v>-</v>
      </c>
      <c r="CI1115" s="338" t="str">
        <f t="shared" si="455"/>
        <v>-</v>
      </c>
    </row>
    <row r="1116" spans="1:87" ht="12.75" hidden="1" customHeight="1" x14ac:dyDescent="0.2">
      <c r="A1116" s="28">
        <v>4</v>
      </c>
      <c r="B1116" s="29">
        <v>4</v>
      </c>
      <c r="C1116" s="13">
        <v>25</v>
      </c>
      <c r="D1116" s="13" t="s">
        <v>299</v>
      </c>
      <c r="E1116" s="10" t="s">
        <v>197</v>
      </c>
      <c r="F1116" s="10" t="s">
        <v>209</v>
      </c>
      <c r="G1116" s="10"/>
      <c r="H1116" s="10"/>
      <c r="I1116" s="10"/>
      <c r="J1116" s="10"/>
      <c r="K1116" s="575"/>
      <c r="L1116" s="152"/>
      <c r="M1116" s="164"/>
      <c r="N1116" s="62"/>
      <c r="O1116" s="62"/>
      <c r="P1116" s="177"/>
      <c r="Q1116" s="452"/>
      <c r="R1116" s="94"/>
      <c r="S1116" s="62"/>
      <c r="T1116" s="62"/>
      <c r="U1116" s="64"/>
      <c r="V1116" s="164"/>
      <c r="W1116" s="62"/>
      <c r="X1116" s="62"/>
      <c r="Y1116" s="62"/>
      <c r="Z1116" s="64"/>
      <c r="AA1116" s="164"/>
      <c r="AB1116" s="62"/>
      <c r="AC1116" s="62"/>
      <c r="AD1116" s="64"/>
      <c r="AE1116" s="164"/>
      <c r="AF1116" s="62"/>
      <c r="AG1116" s="64"/>
      <c r="AH1116" s="337"/>
      <c r="AI1116" s="337"/>
      <c r="AJ1116" s="337"/>
      <c r="AK1116" s="337"/>
      <c r="AL1116" s="412"/>
      <c r="AM1116" s="414"/>
      <c r="AN1116" s="45"/>
      <c r="AO1116" s="45"/>
      <c r="AP1116" s="45"/>
      <c r="AQ1116" s="485">
        <f>AL1116/BI1116</f>
        <v>0</v>
      </c>
      <c r="AR1116" s="100"/>
      <c r="AS1116" s="24"/>
      <c r="AT1116" s="24"/>
      <c r="AU1116" s="24"/>
      <c r="AV1116" s="24"/>
      <c r="AW1116" s="69">
        <v>25</v>
      </c>
      <c r="AX1116" s="69" t="s">
        <v>299</v>
      </c>
      <c r="AY1116" s="243" t="s">
        <v>197</v>
      </c>
      <c r="AZ1116" s="243" t="str">
        <f t="shared" si="458"/>
        <v>Chum</v>
      </c>
      <c r="BA1116" s="243" t="s">
        <v>419</v>
      </c>
      <c r="BB1116" s="246"/>
      <c r="BC1116" s="43" t="str">
        <f t="shared" si="459"/>
        <v>-</v>
      </c>
      <c r="BD1116" s="43">
        <f t="shared" si="457"/>
        <v>0</v>
      </c>
      <c r="BE1116" s="193">
        <f t="shared" si="471"/>
        <v>0</v>
      </c>
      <c r="BF1116" s="193">
        <f t="shared" si="460"/>
        <v>0</v>
      </c>
      <c r="BG1116" s="193">
        <f t="shared" si="461"/>
        <v>0</v>
      </c>
      <c r="BH1116" s="307" t="str">
        <f t="shared" ref="BH1116:BH1179" si="473">CI1116</f>
        <v>-</v>
      </c>
      <c r="BI1116" s="265">
        <f>CC1116</f>
        <v>10</v>
      </c>
      <c r="BJ1116" s="26" t="str">
        <f t="shared" si="462"/>
        <v>MCCURDY CREEKChum</v>
      </c>
      <c r="BK1116" s="26">
        <f t="shared" si="463"/>
        <v>0</v>
      </c>
      <c r="BL1116" s="33">
        <f t="shared" si="452"/>
        <v>0</v>
      </c>
      <c r="BQ1116" s="47" t="str">
        <f t="shared" si="464"/>
        <v>MCCURDY CREEKChum</v>
      </c>
      <c r="BR1116" s="49">
        <f t="shared" si="465"/>
        <v>0</v>
      </c>
      <c r="BS1116" s="49">
        <f t="shared" si="449"/>
        <v>0</v>
      </c>
      <c r="BT1116" s="31">
        <v>2011</v>
      </c>
      <c r="BU1116" s="188">
        <f t="shared" si="466"/>
        <v>0</v>
      </c>
      <c r="BV1116" s="188" t="str">
        <f t="shared" si="467"/>
        <v xml:space="preserve"> </v>
      </c>
      <c r="BW1116" s="188" t="str">
        <f t="shared" si="450"/>
        <v xml:space="preserve"> </v>
      </c>
      <c r="BX1116" s="188" t="str">
        <f t="shared" si="468"/>
        <v xml:space="preserve"> </v>
      </c>
      <c r="BY1116" s="50" t="str">
        <f t="shared" si="456"/>
        <v>MCCURDY CREEK_Chum</v>
      </c>
      <c r="BZ1116" s="50" t="str">
        <f>IFERROR(VLOOKUP(BY1116,'[1]WCVI Esc'!$C$5:$W$555,18,FALSE),"-")</f>
        <v>-</v>
      </c>
      <c r="CA1116" s="50" t="str">
        <f t="shared" si="469"/>
        <v>-</v>
      </c>
      <c r="CB1116" s="50">
        <f>IFERROR(VLOOKUP(BY1116,'[1]WCVI Esc'!$C$5:$W$555,19,FALSE),"-")</f>
        <v>13</v>
      </c>
      <c r="CC1116" s="50">
        <f t="shared" si="470"/>
        <v>10</v>
      </c>
      <c r="CE1116" s="342" t="str">
        <f t="shared" si="472"/>
        <v>MCCURDY CREEK_Chum</v>
      </c>
      <c r="CF1116" s="341" t="str">
        <f>IFERROR(VLOOKUP(BY1116,'RawPL+D'!$O$8:$AB$503,12,FALSE),"-")</f>
        <v>-</v>
      </c>
      <c r="CG1116" s="338" t="str">
        <f t="shared" si="454"/>
        <v>-</v>
      </c>
      <c r="CH1116" s="341" t="str">
        <f>IFERROR(VLOOKUP(BY1116,'RawPL+D'!$O$8:$AB$503,13,FALSE),"-")</f>
        <v>-</v>
      </c>
      <c r="CI1116" s="338" t="str">
        <f t="shared" si="455"/>
        <v>-</v>
      </c>
    </row>
    <row r="1117" spans="1:87" ht="12.75" hidden="1" customHeight="1" x14ac:dyDescent="0.2">
      <c r="A1117" s="28">
        <v>4</v>
      </c>
      <c r="B1117" s="29">
        <v>5</v>
      </c>
      <c r="C1117" s="13">
        <v>25</v>
      </c>
      <c r="D1117" s="13" t="s">
        <v>299</v>
      </c>
      <c r="E1117" s="10" t="s">
        <v>197</v>
      </c>
      <c r="F1117" s="10" t="s">
        <v>210</v>
      </c>
      <c r="G1117" s="10"/>
      <c r="H1117" s="10"/>
      <c r="I1117" s="10"/>
      <c r="J1117" s="10"/>
      <c r="K1117" s="575"/>
      <c r="L1117" s="152"/>
      <c r="M1117" s="164"/>
      <c r="N1117" s="62"/>
      <c r="O1117" s="62"/>
      <c r="P1117" s="177"/>
      <c r="Q1117" s="452"/>
      <c r="R1117" s="94"/>
      <c r="S1117" s="62"/>
      <c r="T1117" s="62"/>
      <c r="U1117" s="64"/>
      <c r="V1117" s="164"/>
      <c r="W1117" s="62"/>
      <c r="X1117" s="62"/>
      <c r="Y1117" s="62"/>
      <c r="Z1117" s="64"/>
      <c r="AA1117" s="164"/>
      <c r="AB1117" s="62"/>
      <c r="AC1117" s="62"/>
      <c r="AD1117" s="64"/>
      <c r="AE1117" s="164"/>
      <c r="AF1117" s="62"/>
      <c r="AG1117" s="64"/>
      <c r="AH1117" s="337"/>
      <c r="AI1117" s="337"/>
      <c r="AJ1117" s="337"/>
      <c r="AK1117" s="337"/>
      <c r="AL1117" s="412"/>
      <c r="AM1117" s="414"/>
      <c r="AN1117" s="45"/>
      <c r="AO1117" s="45"/>
      <c r="AP1117" s="45"/>
      <c r="AQ1117" s="485"/>
      <c r="AR1117"/>
      <c r="AS1117" s="24"/>
      <c r="AT1117" s="24"/>
      <c r="AU1117" s="24"/>
      <c r="AV1117" s="24"/>
      <c r="AW1117" s="69">
        <v>25</v>
      </c>
      <c r="AX1117" s="69" t="s">
        <v>299</v>
      </c>
      <c r="AY1117" s="243" t="s">
        <v>197</v>
      </c>
      <c r="AZ1117" s="243" t="str">
        <f t="shared" si="458"/>
        <v>Chinook</v>
      </c>
      <c r="BA1117" s="243" t="s">
        <v>419</v>
      </c>
      <c r="BB1117" s="246"/>
      <c r="BC1117" s="43" t="str">
        <f t="shared" si="459"/>
        <v>-</v>
      </c>
      <c r="BD1117" s="43">
        <f t="shared" si="457"/>
        <v>0</v>
      </c>
      <c r="BE1117" s="193">
        <f t="shared" si="471"/>
        <v>0</v>
      </c>
      <c r="BF1117" s="193">
        <f t="shared" si="460"/>
        <v>0</v>
      </c>
      <c r="BG1117" s="193">
        <f t="shared" si="461"/>
        <v>0</v>
      </c>
      <c r="BH1117" s="307" t="str">
        <f t="shared" si="473"/>
        <v>-</v>
      </c>
      <c r="BI1117" s="268"/>
      <c r="BJ1117" s="26" t="str">
        <f t="shared" si="462"/>
        <v>MCCURDY CREEKChinook</v>
      </c>
      <c r="BK1117" s="26">
        <f t="shared" si="463"/>
        <v>0</v>
      </c>
      <c r="BL1117" s="33">
        <f t="shared" si="452"/>
        <v>0</v>
      </c>
      <c r="BQ1117" s="47" t="str">
        <f t="shared" si="464"/>
        <v>MCCURDY CREEKChinook</v>
      </c>
      <c r="BR1117" s="49">
        <f t="shared" si="465"/>
        <v>0</v>
      </c>
      <c r="BS1117" s="49">
        <f t="shared" si="449"/>
        <v>0</v>
      </c>
      <c r="BT1117" s="31">
        <v>0</v>
      </c>
      <c r="BU1117" s="188">
        <f t="shared" si="466"/>
        <v>0</v>
      </c>
      <c r="BV1117" s="188" t="str">
        <f t="shared" si="467"/>
        <v xml:space="preserve"> </v>
      </c>
      <c r="BW1117" s="188" t="str">
        <f t="shared" si="450"/>
        <v xml:space="preserve"> </v>
      </c>
      <c r="BX1117" s="188" t="str">
        <f t="shared" si="468"/>
        <v xml:space="preserve"> </v>
      </c>
      <c r="BY1117" s="50" t="str">
        <f t="shared" si="456"/>
        <v>MCCURDY CREEK_Chinook</v>
      </c>
      <c r="BZ1117" s="50" t="str">
        <f>IFERROR(VLOOKUP(BY1117,'[1]WCVI Esc'!$C$5:$W$555,18,FALSE),"-")</f>
        <v>-</v>
      </c>
      <c r="CA1117" s="50" t="str">
        <f t="shared" si="469"/>
        <v>-</v>
      </c>
      <c r="CB1117" s="50" t="str">
        <f>IFERROR(VLOOKUP(BY1117,'[1]WCVI Esc'!$C$5:$W$555,19,FALSE),"-")</f>
        <v>-</v>
      </c>
      <c r="CC1117" s="50" t="str">
        <f t="shared" si="470"/>
        <v>-</v>
      </c>
      <c r="CE1117" s="342" t="str">
        <f t="shared" si="472"/>
        <v>MCCURDY CREEK_Chinook</v>
      </c>
      <c r="CF1117" s="341" t="str">
        <f>IFERROR(VLOOKUP(BY1117,'RawPL+D'!$O$8:$AB$503,12,FALSE),"-")</f>
        <v>-</v>
      </c>
      <c r="CG1117" s="338" t="str">
        <f t="shared" si="454"/>
        <v>-</v>
      </c>
      <c r="CH1117" s="341" t="str">
        <f>IFERROR(VLOOKUP(BY1117,'RawPL+D'!$O$8:$AB$503,13,FALSE),"-")</f>
        <v>-</v>
      </c>
      <c r="CI1117" s="338" t="str">
        <f t="shared" si="455"/>
        <v>-</v>
      </c>
    </row>
    <row r="1118" spans="1:87" ht="12.75" hidden="1" customHeight="1" x14ac:dyDescent="0.2">
      <c r="A1118" s="28">
        <v>4</v>
      </c>
      <c r="B1118" s="29">
        <v>6</v>
      </c>
      <c r="C1118" s="13">
        <v>25</v>
      </c>
      <c r="D1118" s="13" t="s">
        <v>299</v>
      </c>
      <c r="E1118" s="10" t="s">
        <v>197</v>
      </c>
      <c r="F1118" s="10" t="s">
        <v>211</v>
      </c>
      <c r="G1118" s="10"/>
      <c r="H1118" s="10"/>
      <c r="I1118" s="10"/>
      <c r="J1118" s="10"/>
      <c r="K1118" s="575"/>
      <c r="L1118" s="152"/>
      <c r="M1118" s="164"/>
      <c r="N1118" s="62"/>
      <c r="O1118" s="62"/>
      <c r="P1118" s="177"/>
      <c r="Q1118" s="452"/>
      <c r="R1118" s="94"/>
      <c r="S1118" s="62"/>
      <c r="T1118" s="62"/>
      <c r="U1118" s="64"/>
      <c r="V1118" s="164"/>
      <c r="W1118" s="62"/>
      <c r="X1118" s="62"/>
      <c r="Y1118" s="62"/>
      <c r="Z1118" s="64"/>
      <c r="AA1118" s="164"/>
      <c r="AB1118" s="62"/>
      <c r="AC1118" s="62"/>
      <c r="AD1118" s="64"/>
      <c r="AE1118" s="164"/>
      <c r="AF1118" s="62"/>
      <c r="AG1118" s="64"/>
      <c r="AH1118" s="337"/>
      <c r="AI1118" s="337"/>
      <c r="AJ1118" s="337"/>
      <c r="AK1118" s="337"/>
      <c r="AL1118" s="412"/>
      <c r="AM1118" s="414"/>
      <c r="AN1118" s="45"/>
      <c r="AO1118" s="45"/>
      <c r="AP1118" s="45"/>
      <c r="AQ1118" s="485"/>
      <c r="AR1118"/>
      <c r="AS1118" s="24"/>
      <c r="AT1118" s="24"/>
      <c r="AU1118" s="24"/>
      <c r="AV1118" s="24"/>
      <c r="AW1118" s="69">
        <v>25</v>
      </c>
      <c r="AX1118" s="69" t="s">
        <v>299</v>
      </c>
      <c r="AY1118" s="243" t="s">
        <v>197</v>
      </c>
      <c r="AZ1118" s="243" t="str">
        <f t="shared" si="458"/>
        <v>Steelhead</v>
      </c>
      <c r="BA1118" s="243" t="s">
        <v>419</v>
      </c>
      <c r="BB1118" s="246"/>
      <c r="BC1118" s="43" t="str">
        <f t="shared" si="459"/>
        <v>-</v>
      </c>
      <c r="BD1118" s="43">
        <f t="shared" si="457"/>
        <v>0</v>
      </c>
      <c r="BE1118" s="193">
        <f t="shared" si="471"/>
        <v>0</v>
      </c>
      <c r="BF1118" s="193">
        <f t="shared" si="460"/>
        <v>0</v>
      </c>
      <c r="BG1118" s="193">
        <f t="shared" si="461"/>
        <v>0</v>
      </c>
      <c r="BH1118" s="307" t="str">
        <f t="shared" si="473"/>
        <v>-</v>
      </c>
      <c r="BI1118" s="266"/>
      <c r="BJ1118" s="26" t="str">
        <f t="shared" si="462"/>
        <v>MCCURDY CREEKSteelhead</v>
      </c>
      <c r="BK1118" s="26">
        <f t="shared" si="463"/>
        <v>0</v>
      </c>
      <c r="BL1118" s="33">
        <f t="shared" si="452"/>
        <v>0</v>
      </c>
      <c r="BQ1118" s="47" t="str">
        <f t="shared" si="464"/>
        <v>MCCURDY CREEKSteelhead</v>
      </c>
      <c r="BR1118" s="49">
        <f t="shared" si="465"/>
        <v>0</v>
      </c>
      <c r="BS1118" s="49">
        <f t="shared" si="449"/>
        <v>0</v>
      </c>
      <c r="BT1118" s="31">
        <v>0</v>
      </c>
      <c r="BU1118" s="188">
        <f t="shared" si="466"/>
        <v>0</v>
      </c>
      <c r="BV1118" s="188" t="str">
        <f t="shared" si="467"/>
        <v xml:space="preserve"> </v>
      </c>
      <c r="BW1118" s="188" t="str">
        <f t="shared" si="450"/>
        <v xml:space="preserve"> </v>
      </c>
      <c r="BX1118" s="188" t="str">
        <f t="shared" si="468"/>
        <v xml:space="preserve"> </v>
      </c>
      <c r="BY1118" s="50" t="str">
        <f t="shared" si="456"/>
        <v>MCCURDY CREEK_Steelhead</v>
      </c>
      <c r="BZ1118" s="50" t="str">
        <f>IFERROR(VLOOKUP(BY1118,'[1]WCVI Esc'!$C$5:$W$555,18,FALSE),"-")</f>
        <v>-</v>
      </c>
      <c r="CA1118" s="50" t="str">
        <f t="shared" si="469"/>
        <v>-</v>
      </c>
      <c r="CB1118" s="50" t="str">
        <f>IFERROR(VLOOKUP(BY1118,'[1]WCVI Esc'!$C$5:$W$555,19,FALSE),"-")</f>
        <v>-</v>
      </c>
      <c r="CC1118" s="50" t="str">
        <f t="shared" si="470"/>
        <v>-</v>
      </c>
      <c r="CE1118" s="342" t="str">
        <f t="shared" si="472"/>
        <v>MCCURDY CREEK_Steelhead</v>
      </c>
      <c r="CF1118" s="341" t="str">
        <f>IFERROR(VLOOKUP(BY1118,'RawPL+D'!$O$8:$AB$503,12,FALSE),"-")</f>
        <v>-</v>
      </c>
      <c r="CG1118" s="338" t="str">
        <f t="shared" si="454"/>
        <v>-</v>
      </c>
      <c r="CH1118" s="341" t="str">
        <f>IFERROR(VLOOKUP(BY1118,'RawPL+D'!$O$8:$AB$503,13,FALSE),"-")</f>
        <v>-</v>
      </c>
      <c r="CI1118" s="338" t="str">
        <f t="shared" si="455"/>
        <v>-</v>
      </c>
    </row>
    <row r="1119" spans="1:87" ht="12.75" hidden="1" customHeight="1" x14ac:dyDescent="0.2">
      <c r="A1119" s="28">
        <v>4</v>
      </c>
      <c r="B1119" s="28">
        <v>1</v>
      </c>
      <c r="C1119" s="11">
        <v>25</v>
      </c>
      <c r="D1119" s="13" t="s">
        <v>299</v>
      </c>
      <c r="E1119" s="10" t="s">
        <v>147</v>
      </c>
      <c r="F1119" s="10" t="s">
        <v>207</v>
      </c>
      <c r="G1119" s="10"/>
      <c r="H1119" s="10"/>
      <c r="I1119" s="10"/>
      <c r="J1119" s="10"/>
      <c r="K1119" s="575"/>
      <c r="L1119" s="152"/>
      <c r="M1119" s="422"/>
      <c r="N1119" s="339"/>
      <c r="O1119" s="62"/>
      <c r="P1119" s="424"/>
      <c r="Q1119" s="171"/>
      <c r="R1119" s="468"/>
      <c r="S1119" s="339"/>
      <c r="T1119" s="63"/>
      <c r="U1119" s="162"/>
      <c r="V1119" s="164"/>
      <c r="W1119" s="62"/>
      <c r="X1119" s="63"/>
      <c r="Y1119" s="62"/>
      <c r="Z1119" s="64"/>
      <c r="AA1119" s="164"/>
      <c r="AB1119" s="62"/>
      <c r="AC1119" s="62"/>
      <c r="AD1119" s="64"/>
      <c r="AE1119" s="164"/>
      <c r="AF1119" s="62"/>
      <c r="AG1119" s="64"/>
      <c r="AH1119" s="337"/>
      <c r="AI1119" s="337"/>
      <c r="AJ1119" s="337"/>
      <c r="AK1119" s="337"/>
      <c r="AL1119" s="555"/>
      <c r="AM1119" s="552"/>
      <c r="AN1119" s="45"/>
      <c r="AO1119" s="45"/>
      <c r="AP1119" s="44"/>
      <c r="AQ1119" s="485">
        <f>AL1119/BI1119</f>
        <v>0</v>
      </c>
      <c r="AR1119" s="121"/>
      <c r="AS1119" s="679"/>
      <c r="AT1119" s="679"/>
      <c r="AU1119" s="679"/>
      <c r="AV1119" s="679"/>
      <c r="AW1119" s="18">
        <v>25</v>
      </c>
      <c r="AX1119" s="69" t="s">
        <v>299</v>
      </c>
      <c r="AY1119" s="243" t="s">
        <v>147</v>
      </c>
      <c r="AZ1119" s="243" t="str">
        <f t="shared" si="458"/>
        <v>Sockeye</v>
      </c>
      <c r="BA1119" s="243" t="s">
        <v>419</v>
      </c>
      <c r="BB1119" s="244" t="s">
        <v>452</v>
      </c>
      <c r="BC1119" s="43" t="str">
        <f t="shared" si="459"/>
        <v>-</v>
      </c>
      <c r="BD1119" s="43">
        <f t="shared" si="457"/>
        <v>0</v>
      </c>
      <c r="BE1119" s="193">
        <f t="shared" si="471"/>
        <v>0</v>
      </c>
      <c r="BF1119" s="193">
        <f t="shared" si="460"/>
        <v>0</v>
      </c>
      <c r="BG1119" s="193">
        <f t="shared" si="461"/>
        <v>0</v>
      </c>
      <c r="BH1119" s="307">
        <f t="shared" si="473"/>
        <v>0</v>
      </c>
      <c r="BI1119" s="265">
        <f>CC1119</f>
        <v>20</v>
      </c>
      <c r="BJ1119" s="26" t="str">
        <f t="shared" si="462"/>
        <v>MOOYAH RIVERSockeye</v>
      </c>
      <c r="BK1119" s="26">
        <f t="shared" si="463"/>
        <v>0</v>
      </c>
      <c r="BL1119" s="33">
        <f t="shared" si="452"/>
        <v>0</v>
      </c>
      <c r="BQ1119" s="47" t="str">
        <f t="shared" si="464"/>
        <v>MOOYAH RIVERSockeye</v>
      </c>
      <c r="BR1119" s="49">
        <f t="shared" si="465"/>
        <v>0</v>
      </c>
      <c r="BS1119" s="49">
        <f t="shared" si="449"/>
        <v>0</v>
      </c>
      <c r="BT1119" s="31">
        <v>2011</v>
      </c>
      <c r="BU1119" s="188" t="str">
        <f t="shared" si="466"/>
        <v>MMFN</v>
      </c>
      <c r="BV1119" s="188" t="str">
        <f t="shared" si="467"/>
        <v xml:space="preserve"> </v>
      </c>
      <c r="BW1119" s="188" t="str">
        <f t="shared" si="450"/>
        <v xml:space="preserve"> </v>
      </c>
      <c r="BX1119" s="188" t="str">
        <f t="shared" si="468"/>
        <v xml:space="preserve"> </v>
      </c>
      <c r="BY1119" s="50" t="str">
        <f t="shared" si="456"/>
        <v>MOOYAH RIVER_Sockeye</v>
      </c>
      <c r="BZ1119" s="50">
        <f>IFERROR(VLOOKUP(BY1119,'[1]WCVI Esc'!$C$5:$W$555,18,FALSE),"-")</f>
        <v>2</v>
      </c>
      <c r="CA1119" s="50">
        <f t="shared" si="469"/>
        <v>0</v>
      </c>
      <c r="CB1119" s="50">
        <f>IFERROR(VLOOKUP(BY1119,'[1]WCVI Esc'!$C$5:$W$555,19,FALSE),"-")</f>
        <v>23.5</v>
      </c>
      <c r="CC1119" s="50">
        <f t="shared" si="470"/>
        <v>20</v>
      </c>
      <c r="CE1119" s="342" t="str">
        <f t="shared" si="472"/>
        <v>MOOYAH RIVER_Sockeye</v>
      </c>
      <c r="CF1119" s="341">
        <f>IFERROR(VLOOKUP(BY1119,'RawPL+D'!$O$8:$AB$503,12,FALSE),"-")</f>
        <v>2</v>
      </c>
      <c r="CG1119" s="338">
        <f t="shared" si="454"/>
        <v>0</v>
      </c>
      <c r="CH1119" s="341">
        <f>IFERROR(VLOOKUP(BY1119,'RawPL+D'!$O$8:$AB$503,13,FALSE),"-")</f>
        <v>2</v>
      </c>
      <c r="CI1119" s="338">
        <f t="shared" si="455"/>
        <v>0</v>
      </c>
    </row>
    <row r="1120" spans="1:87" ht="12.75" hidden="1" customHeight="1" x14ac:dyDescent="0.2">
      <c r="A1120" s="28">
        <v>4</v>
      </c>
      <c r="B1120" s="28">
        <v>2</v>
      </c>
      <c r="C1120" s="11">
        <v>25</v>
      </c>
      <c r="D1120" s="13" t="s">
        <v>299</v>
      </c>
      <c r="E1120" s="10" t="s">
        <v>147</v>
      </c>
      <c r="F1120" s="10" t="s">
        <v>219</v>
      </c>
      <c r="G1120" s="10"/>
      <c r="H1120" s="10"/>
      <c r="I1120" s="10"/>
      <c r="J1120" s="10"/>
      <c r="K1120" s="575"/>
      <c r="L1120" s="152"/>
      <c r="M1120" s="422"/>
      <c r="N1120" s="339"/>
      <c r="O1120" s="62"/>
      <c r="P1120" s="424"/>
      <c r="Q1120" s="171"/>
      <c r="R1120" s="94"/>
      <c r="S1120" s="339"/>
      <c r="T1120" s="63"/>
      <c r="U1120" s="162"/>
      <c r="V1120" s="164"/>
      <c r="W1120" s="62"/>
      <c r="X1120" s="63"/>
      <c r="Y1120" s="62"/>
      <c r="Z1120" s="64"/>
      <c r="AA1120" s="164"/>
      <c r="AB1120" s="62"/>
      <c r="AC1120" s="62"/>
      <c r="AD1120" s="64"/>
      <c r="AE1120" s="164"/>
      <c r="AF1120" s="62"/>
      <c r="AG1120" s="64"/>
      <c r="AH1120" s="337"/>
      <c r="AI1120" s="337"/>
      <c r="AJ1120" s="337"/>
      <c r="AK1120" s="337"/>
      <c r="AL1120" s="555"/>
      <c r="AM1120" s="552"/>
      <c r="AN1120" s="45"/>
      <c r="AO1120" s="45"/>
      <c r="AP1120" s="44"/>
      <c r="AQ1120" s="485">
        <f>AL1120/BI1120</f>
        <v>0</v>
      </c>
      <c r="AR1120" s="12"/>
      <c r="AS1120" s="679"/>
      <c r="AT1120" s="679"/>
      <c r="AU1120" s="679"/>
      <c r="AV1120" s="679"/>
      <c r="AW1120" s="18">
        <v>25</v>
      </c>
      <c r="AX1120" s="69" t="s">
        <v>299</v>
      </c>
      <c r="AY1120" s="243" t="s">
        <v>147</v>
      </c>
      <c r="AZ1120" s="243" t="str">
        <f t="shared" si="458"/>
        <v>Coho</v>
      </c>
      <c r="BA1120" s="243" t="s">
        <v>419</v>
      </c>
      <c r="BB1120" s="244" t="s">
        <v>452</v>
      </c>
      <c r="BC1120" s="43" t="str">
        <f t="shared" si="459"/>
        <v>-</v>
      </c>
      <c r="BD1120" s="43">
        <f t="shared" si="457"/>
        <v>0</v>
      </c>
      <c r="BE1120" s="193">
        <f t="shared" si="471"/>
        <v>0</v>
      </c>
      <c r="BF1120" s="193">
        <f t="shared" si="460"/>
        <v>0</v>
      </c>
      <c r="BG1120" s="193">
        <f t="shared" si="461"/>
        <v>0</v>
      </c>
      <c r="BH1120" s="307">
        <f t="shared" si="473"/>
        <v>0</v>
      </c>
      <c r="BI1120" s="265">
        <f>CC1120</f>
        <v>220</v>
      </c>
      <c r="BJ1120" s="26" t="str">
        <f t="shared" si="462"/>
        <v>MOOYAH RIVERCoho</v>
      </c>
      <c r="BK1120" s="26">
        <f t="shared" si="463"/>
        <v>0</v>
      </c>
      <c r="BL1120" s="33">
        <f t="shared" si="452"/>
        <v>0</v>
      </c>
      <c r="BQ1120" s="47" t="str">
        <f t="shared" si="464"/>
        <v>MOOYAH RIVERCoho</v>
      </c>
      <c r="BR1120" s="49">
        <f t="shared" si="465"/>
        <v>0</v>
      </c>
      <c r="BS1120" s="49">
        <f t="shared" si="449"/>
        <v>0</v>
      </c>
      <c r="BT1120" s="31">
        <v>2011</v>
      </c>
      <c r="BU1120" s="188" t="str">
        <f t="shared" si="466"/>
        <v>MMFN</v>
      </c>
      <c r="BV1120" s="188" t="str">
        <f t="shared" si="467"/>
        <v xml:space="preserve"> </v>
      </c>
      <c r="BW1120" s="188" t="str">
        <f t="shared" si="450"/>
        <v xml:space="preserve"> </v>
      </c>
      <c r="BX1120" s="188" t="str">
        <f t="shared" si="468"/>
        <v xml:space="preserve"> </v>
      </c>
      <c r="BY1120" s="50" t="str">
        <f t="shared" si="456"/>
        <v>MOOYAH RIVER_Coho</v>
      </c>
      <c r="BZ1120" s="50" t="str">
        <f>IFERROR(VLOOKUP(BY1120,'[1]WCVI Esc'!$C$5:$W$555,18,FALSE),"-")</f>
        <v>-</v>
      </c>
      <c r="CA1120" s="50" t="str">
        <f t="shared" si="469"/>
        <v>-</v>
      </c>
      <c r="CB1120" s="50">
        <f>IFERROR(VLOOKUP(BY1120,'[1]WCVI Esc'!$C$5:$W$555,19,FALSE),"-")</f>
        <v>223</v>
      </c>
      <c r="CC1120" s="50">
        <f t="shared" si="470"/>
        <v>220</v>
      </c>
      <c r="CE1120" s="342" t="str">
        <f t="shared" si="472"/>
        <v>MOOYAH RIVER_Coho</v>
      </c>
      <c r="CF1120" s="341">
        <f>IFERROR(VLOOKUP(BY1120,'RawPL+D'!$O$8:$AB$503,12,FALSE),"-")</f>
        <v>0</v>
      </c>
      <c r="CG1120" s="338">
        <f t="shared" si="454"/>
        <v>0</v>
      </c>
      <c r="CH1120" s="341">
        <f>IFERROR(VLOOKUP(BY1120,'RawPL+D'!$O$8:$AB$503,13,FALSE),"-")</f>
        <v>0</v>
      </c>
      <c r="CI1120" s="338">
        <f t="shared" si="455"/>
        <v>0</v>
      </c>
    </row>
    <row r="1121" spans="1:87" ht="12.75" hidden="1" customHeight="1" x14ac:dyDescent="0.2">
      <c r="A1121" s="28">
        <v>4</v>
      </c>
      <c r="B1121" s="28">
        <v>3</v>
      </c>
      <c r="C1121" s="11">
        <v>25</v>
      </c>
      <c r="D1121" s="13" t="s">
        <v>299</v>
      </c>
      <c r="E1121" s="10" t="s">
        <v>147</v>
      </c>
      <c r="F1121" s="10" t="s">
        <v>208</v>
      </c>
      <c r="G1121" s="10"/>
      <c r="H1121" s="10"/>
      <c r="I1121" s="10"/>
      <c r="J1121" s="10"/>
      <c r="K1121" s="575"/>
      <c r="L1121" s="152"/>
      <c r="M1121" s="422"/>
      <c r="N1121" s="339"/>
      <c r="O1121" s="62"/>
      <c r="P1121" s="424"/>
      <c r="Q1121" s="171"/>
      <c r="R1121" s="94"/>
      <c r="S1121" s="339"/>
      <c r="T1121" s="63"/>
      <c r="U1121" s="162"/>
      <c r="V1121" s="164"/>
      <c r="W1121" s="62"/>
      <c r="X1121" s="63"/>
      <c r="Y1121" s="62"/>
      <c r="Z1121" s="64"/>
      <c r="AA1121" s="164"/>
      <c r="AB1121" s="62"/>
      <c r="AC1121" s="62"/>
      <c r="AD1121" s="64"/>
      <c r="AE1121" s="164"/>
      <c r="AF1121" s="62"/>
      <c r="AG1121" s="64"/>
      <c r="AH1121" s="337"/>
      <c r="AI1121" s="337"/>
      <c r="AJ1121" s="337"/>
      <c r="AK1121" s="337"/>
      <c r="AL1121" s="555"/>
      <c r="AM1121" s="552"/>
      <c r="AN1121" s="45"/>
      <c r="AO1121" s="45"/>
      <c r="AP1121" s="44"/>
      <c r="AQ1121" s="485"/>
      <c r="AR1121" s="100"/>
      <c r="AS1121" s="679"/>
      <c r="AT1121" s="679"/>
      <c r="AU1121" s="679"/>
      <c r="AV1121" s="679"/>
      <c r="AW1121" s="18">
        <v>25</v>
      </c>
      <c r="AX1121" s="69" t="s">
        <v>299</v>
      </c>
      <c r="AY1121" s="243" t="s">
        <v>147</v>
      </c>
      <c r="AZ1121" s="243" t="str">
        <f t="shared" si="458"/>
        <v>Pink</v>
      </c>
      <c r="BA1121" s="243" t="s">
        <v>419</v>
      </c>
      <c r="BB1121" s="244" t="s">
        <v>452</v>
      </c>
      <c r="BC1121" s="43" t="str">
        <f t="shared" si="459"/>
        <v>-</v>
      </c>
      <c r="BD1121" s="43">
        <f t="shared" si="457"/>
        <v>0</v>
      </c>
      <c r="BE1121" s="193">
        <f t="shared" si="471"/>
        <v>0</v>
      </c>
      <c r="BF1121" s="193">
        <f t="shared" si="460"/>
        <v>0</v>
      </c>
      <c r="BG1121" s="193">
        <f t="shared" si="461"/>
        <v>0</v>
      </c>
      <c r="BH1121" s="307" t="str">
        <f t="shared" si="473"/>
        <v>-</v>
      </c>
      <c r="BI1121" s="266"/>
      <c r="BJ1121" s="26" t="str">
        <f t="shared" si="462"/>
        <v>MOOYAH RIVERPink</v>
      </c>
      <c r="BK1121" s="26">
        <f t="shared" si="463"/>
        <v>0</v>
      </c>
      <c r="BL1121" s="33">
        <f t="shared" si="452"/>
        <v>0</v>
      </c>
      <c r="BQ1121" s="47" t="str">
        <f t="shared" si="464"/>
        <v>MOOYAH RIVERPink</v>
      </c>
      <c r="BR1121" s="49">
        <f t="shared" si="465"/>
        <v>0</v>
      </c>
      <c r="BS1121" s="49">
        <f t="shared" ref="BS1121:BS1184" si="474">AL1121</f>
        <v>0</v>
      </c>
      <c r="BT1121" s="31">
        <v>0</v>
      </c>
      <c r="BU1121" s="188" t="str">
        <f t="shared" si="466"/>
        <v>MMFN</v>
      </c>
      <c r="BV1121" s="188" t="str">
        <f t="shared" si="467"/>
        <v xml:space="preserve"> </v>
      </c>
      <c r="BW1121" s="188" t="str">
        <f t="shared" si="450"/>
        <v xml:space="preserve"> </v>
      </c>
      <c r="BX1121" s="188" t="str">
        <f t="shared" si="468"/>
        <v xml:space="preserve"> </v>
      </c>
      <c r="BY1121" s="50" t="str">
        <f t="shared" si="456"/>
        <v>MOOYAH RIVER_Pink</v>
      </c>
      <c r="BZ1121" s="50" t="str">
        <f>IFERROR(VLOOKUP(BY1121,'[1]WCVI Esc'!$C$5:$W$555,18,FALSE),"-")</f>
        <v>-</v>
      </c>
      <c r="CA1121" s="50" t="str">
        <f t="shared" si="469"/>
        <v>-</v>
      </c>
      <c r="CB1121" s="50" t="str">
        <f>IFERROR(VLOOKUP(BY1121,'[1]WCVI Esc'!$C$5:$W$555,19,FALSE),"-")</f>
        <v>-</v>
      </c>
      <c r="CC1121" s="50" t="str">
        <f t="shared" si="470"/>
        <v>-</v>
      </c>
      <c r="CE1121" s="342" t="str">
        <f t="shared" si="472"/>
        <v>MOOYAH RIVER_Pink</v>
      </c>
      <c r="CF1121" s="341" t="str">
        <f>IFERROR(VLOOKUP(BY1121,'RawPL+D'!$O$8:$AB$503,12,FALSE),"-")</f>
        <v>-</v>
      </c>
      <c r="CG1121" s="338" t="str">
        <f t="shared" si="454"/>
        <v>-</v>
      </c>
      <c r="CH1121" s="341" t="str">
        <f>IFERROR(VLOOKUP(BY1121,'RawPL+D'!$O$8:$AB$503,13,FALSE),"-")</f>
        <v>-</v>
      </c>
      <c r="CI1121" s="338" t="str">
        <f t="shared" si="455"/>
        <v>-</v>
      </c>
    </row>
    <row r="1122" spans="1:87" ht="12.75" hidden="1" customHeight="1" x14ac:dyDescent="0.2">
      <c r="A1122" s="28">
        <v>4</v>
      </c>
      <c r="B1122" s="28">
        <v>4</v>
      </c>
      <c r="C1122" s="11">
        <v>25</v>
      </c>
      <c r="D1122" s="13" t="s">
        <v>299</v>
      </c>
      <c r="E1122" s="10" t="s">
        <v>147</v>
      </c>
      <c r="F1122" s="10" t="s">
        <v>209</v>
      </c>
      <c r="G1122" s="10"/>
      <c r="H1122" s="10"/>
      <c r="I1122" s="10"/>
      <c r="J1122" s="10"/>
      <c r="K1122" s="575"/>
      <c r="L1122" s="152"/>
      <c r="M1122" s="422"/>
      <c r="N1122" s="339"/>
      <c r="O1122" s="62"/>
      <c r="P1122" s="424"/>
      <c r="Q1122" s="171"/>
      <c r="R1122" s="468"/>
      <c r="S1122" s="339"/>
      <c r="T1122" s="63"/>
      <c r="U1122" s="162"/>
      <c r="V1122" s="164"/>
      <c r="W1122" s="62"/>
      <c r="X1122" s="63"/>
      <c r="Y1122" s="62"/>
      <c r="Z1122" s="64"/>
      <c r="AA1122" s="164"/>
      <c r="AB1122" s="62"/>
      <c r="AC1122" s="62"/>
      <c r="AD1122" s="64"/>
      <c r="AE1122" s="164"/>
      <c r="AF1122" s="62"/>
      <c r="AG1122" s="64"/>
      <c r="AH1122" s="337"/>
      <c r="AI1122" s="337"/>
      <c r="AJ1122" s="337"/>
      <c r="AK1122" s="337"/>
      <c r="AL1122" s="555"/>
      <c r="AM1122" s="552"/>
      <c r="AN1122" s="45"/>
      <c r="AO1122" s="45"/>
      <c r="AP1122" s="44"/>
      <c r="AQ1122" s="485">
        <f>AL1122/BI1122</f>
        <v>0</v>
      </c>
      <c r="AR1122" s="12"/>
      <c r="AS1122" s="679"/>
      <c r="AT1122" s="679"/>
      <c r="AU1122" s="679"/>
      <c r="AV1122" s="679"/>
      <c r="AW1122" s="18">
        <v>25</v>
      </c>
      <c r="AX1122" s="69" t="s">
        <v>299</v>
      </c>
      <c r="AY1122" s="243" t="s">
        <v>147</v>
      </c>
      <c r="AZ1122" s="243" t="str">
        <f t="shared" si="458"/>
        <v>Chum</v>
      </c>
      <c r="BA1122" s="243" t="s">
        <v>419</v>
      </c>
      <c r="BB1122" s="244" t="s">
        <v>452</v>
      </c>
      <c r="BC1122" s="43" t="str">
        <f t="shared" si="459"/>
        <v>-</v>
      </c>
      <c r="BD1122" s="43">
        <f t="shared" si="457"/>
        <v>0</v>
      </c>
      <c r="BE1122" s="193">
        <f t="shared" si="471"/>
        <v>0</v>
      </c>
      <c r="BF1122" s="193">
        <f t="shared" si="460"/>
        <v>0</v>
      </c>
      <c r="BG1122" s="193">
        <f t="shared" si="461"/>
        <v>0</v>
      </c>
      <c r="BH1122" s="307">
        <f t="shared" si="473"/>
        <v>40</v>
      </c>
      <c r="BI1122" s="265">
        <f>CC1122</f>
        <v>160</v>
      </c>
      <c r="BJ1122" s="26" t="str">
        <f t="shared" si="462"/>
        <v>MOOYAH RIVERChum</v>
      </c>
      <c r="BK1122" s="26">
        <f t="shared" si="463"/>
        <v>0</v>
      </c>
      <c r="BL1122" s="33">
        <f t="shared" si="452"/>
        <v>0</v>
      </c>
      <c r="BQ1122" s="47" t="str">
        <f t="shared" si="464"/>
        <v>MOOYAH RIVERChum</v>
      </c>
      <c r="BR1122" s="49">
        <f t="shared" si="465"/>
        <v>0</v>
      </c>
      <c r="BS1122" s="49">
        <f t="shared" si="474"/>
        <v>0</v>
      </c>
      <c r="BT1122" s="31">
        <v>2011</v>
      </c>
      <c r="BU1122" s="188" t="str">
        <f t="shared" si="466"/>
        <v>MMFN</v>
      </c>
      <c r="BV1122" s="188" t="str">
        <f t="shared" si="467"/>
        <v xml:space="preserve"> </v>
      </c>
      <c r="BW1122" s="188" t="str">
        <f t="shared" si="450"/>
        <v xml:space="preserve"> </v>
      </c>
      <c r="BX1122" s="188" t="str">
        <f t="shared" si="468"/>
        <v xml:space="preserve"> </v>
      </c>
      <c r="BY1122" s="50" t="str">
        <f t="shared" si="456"/>
        <v>MOOYAH RIVER_Chum</v>
      </c>
      <c r="BZ1122" s="50">
        <f>IFERROR(VLOOKUP(BY1122,'[1]WCVI Esc'!$C$5:$W$555,18,FALSE),"-")</f>
        <v>40</v>
      </c>
      <c r="CA1122" s="50">
        <f t="shared" si="469"/>
        <v>40</v>
      </c>
      <c r="CB1122" s="50">
        <f>IFERROR(VLOOKUP(BY1122,'[1]WCVI Esc'!$C$5:$W$555,19,FALSE),"-")</f>
        <v>161</v>
      </c>
      <c r="CC1122" s="50">
        <f t="shared" si="470"/>
        <v>160</v>
      </c>
      <c r="CE1122" s="342" t="str">
        <f t="shared" si="472"/>
        <v>MOOYAH RIVER_Chum</v>
      </c>
      <c r="CF1122" s="341">
        <f>IFERROR(VLOOKUP(BY1122,'RawPL+D'!$O$8:$AB$503,12,FALSE),"-")</f>
        <v>40</v>
      </c>
      <c r="CG1122" s="338">
        <f t="shared" si="454"/>
        <v>40</v>
      </c>
      <c r="CH1122" s="341">
        <f>IFERROR(VLOOKUP(BY1122,'RawPL+D'!$O$8:$AB$503,13,FALSE),"-")</f>
        <v>40</v>
      </c>
      <c r="CI1122" s="338">
        <f t="shared" si="455"/>
        <v>40</v>
      </c>
    </row>
    <row r="1123" spans="1:87" ht="12.75" hidden="1" customHeight="1" x14ac:dyDescent="0.2">
      <c r="A1123" s="28">
        <v>4</v>
      </c>
      <c r="B1123" s="28">
        <v>5</v>
      </c>
      <c r="C1123" s="11">
        <v>25</v>
      </c>
      <c r="D1123" s="13" t="s">
        <v>299</v>
      </c>
      <c r="E1123" s="10" t="s">
        <v>147</v>
      </c>
      <c r="F1123" s="10" t="s">
        <v>210</v>
      </c>
      <c r="G1123" s="10"/>
      <c r="H1123" s="10"/>
      <c r="I1123" s="10"/>
      <c r="J1123" s="10"/>
      <c r="K1123" s="575"/>
      <c r="L1123" s="152"/>
      <c r="M1123" s="422"/>
      <c r="N1123" s="339"/>
      <c r="O1123" s="62"/>
      <c r="P1123" s="424"/>
      <c r="Q1123" s="171"/>
      <c r="R1123" s="94"/>
      <c r="S1123" s="339"/>
      <c r="T1123" s="63"/>
      <c r="U1123" s="162"/>
      <c r="V1123" s="164"/>
      <c r="W1123" s="62"/>
      <c r="X1123" s="63"/>
      <c r="Y1123" s="62"/>
      <c r="Z1123" s="64"/>
      <c r="AA1123" s="164"/>
      <c r="AB1123" s="62"/>
      <c r="AC1123" s="62"/>
      <c r="AD1123" s="64"/>
      <c r="AE1123" s="164"/>
      <c r="AF1123" s="62"/>
      <c r="AG1123" s="64"/>
      <c r="AH1123" s="337"/>
      <c r="AI1123" s="337"/>
      <c r="AJ1123" s="337"/>
      <c r="AK1123" s="337"/>
      <c r="AL1123" s="555"/>
      <c r="AM1123" s="552"/>
      <c r="AN1123" s="45"/>
      <c r="AO1123" s="45"/>
      <c r="AP1123" s="44"/>
      <c r="AQ1123" s="396">
        <f>AL1123/BI1123</f>
        <v>0</v>
      </c>
      <c r="AR1123" s="12"/>
      <c r="AS1123" s="679"/>
      <c r="AT1123" s="679"/>
      <c r="AU1123" s="679"/>
      <c r="AV1123" s="123">
        <f>AL1123</f>
        <v>0</v>
      </c>
      <c r="AW1123" s="18">
        <v>25</v>
      </c>
      <c r="AX1123" s="69" t="s">
        <v>299</v>
      </c>
      <c r="AY1123" s="243" t="s">
        <v>147</v>
      </c>
      <c r="AZ1123" s="243" t="str">
        <f t="shared" si="458"/>
        <v>Chinook</v>
      </c>
      <c r="BA1123" s="243" t="s">
        <v>419</v>
      </c>
      <c r="BB1123" s="244" t="s">
        <v>452</v>
      </c>
      <c r="BC1123" s="43" t="str">
        <f t="shared" si="459"/>
        <v>-</v>
      </c>
      <c r="BD1123" s="43">
        <f t="shared" si="457"/>
        <v>0</v>
      </c>
      <c r="BE1123" s="193">
        <f t="shared" si="471"/>
        <v>0</v>
      </c>
      <c r="BF1123" s="193">
        <f t="shared" si="460"/>
        <v>0</v>
      </c>
      <c r="BG1123" s="193">
        <f t="shared" si="461"/>
        <v>0</v>
      </c>
      <c r="BH1123" s="307">
        <f t="shared" si="473"/>
        <v>0</v>
      </c>
      <c r="BI1123" s="265">
        <f>CC1123</f>
        <v>20</v>
      </c>
      <c r="BJ1123" s="26" t="str">
        <f t="shared" si="462"/>
        <v>MOOYAH RIVERChinook</v>
      </c>
      <c r="BK1123" s="26">
        <f t="shared" si="463"/>
        <v>0</v>
      </c>
      <c r="BL1123" s="33">
        <f t="shared" si="452"/>
        <v>0</v>
      </c>
      <c r="BQ1123" s="47" t="str">
        <f t="shared" si="464"/>
        <v>MOOYAH RIVERChinook</v>
      </c>
      <c r="BR1123" s="49">
        <f t="shared" si="465"/>
        <v>0</v>
      </c>
      <c r="BS1123" s="49">
        <f t="shared" si="474"/>
        <v>0</v>
      </c>
      <c r="BT1123" s="31">
        <v>2011</v>
      </c>
      <c r="BU1123" s="188" t="str">
        <f t="shared" si="466"/>
        <v>MMFN</v>
      </c>
      <c r="BV1123" s="188" t="str">
        <f t="shared" si="467"/>
        <v xml:space="preserve"> </v>
      </c>
      <c r="BW1123" s="188" t="str">
        <f t="shared" ref="BW1123:BW1186" si="475">IF(ISNUMBER(W1123),W$8,IF(ISNUMBER(V1123),V$8,IF(ISNUMBER(U1123),U$8,IF(ISNUMBER(T1123),T$8,IF(ISNUMBER(S1123),S$8,IF(ISNUMBER(R1123),R$8," "))))))</f>
        <v xml:space="preserve"> </v>
      </c>
      <c r="BX1123" s="188" t="str">
        <f t="shared" si="468"/>
        <v xml:space="preserve"> </v>
      </c>
      <c r="BY1123" s="50" t="str">
        <f t="shared" si="456"/>
        <v>MOOYAH RIVER_Chinook</v>
      </c>
      <c r="BZ1123" s="50" t="str">
        <f>IFERROR(VLOOKUP(BY1123,'[1]WCVI Esc'!$C$5:$W$555,18,FALSE),"-")</f>
        <v>-</v>
      </c>
      <c r="CA1123" s="50" t="str">
        <f t="shared" si="469"/>
        <v>-</v>
      </c>
      <c r="CB1123" s="50">
        <f>IFERROR(VLOOKUP(BY1123,'[1]WCVI Esc'!$C$5:$W$555,19,FALSE),"-")</f>
        <v>17</v>
      </c>
      <c r="CC1123" s="50">
        <f t="shared" si="470"/>
        <v>20</v>
      </c>
      <c r="CE1123" s="342" t="str">
        <f t="shared" si="472"/>
        <v>MOOYAH RIVER_Chinook</v>
      </c>
      <c r="CF1123" s="341">
        <f>IFERROR(VLOOKUP(BY1123,'RawPL+D'!$O$8:$AB$503,12,FALSE),"-")</f>
        <v>0</v>
      </c>
      <c r="CG1123" s="338">
        <f t="shared" si="454"/>
        <v>0</v>
      </c>
      <c r="CH1123" s="341">
        <f>IFERROR(VLOOKUP(BY1123,'RawPL+D'!$O$8:$AB$503,13,FALSE),"-")</f>
        <v>0</v>
      </c>
      <c r="CI1123" s="338">
        <f t="shared" si="455"/>
        <v>0</v>
      </c>
    </row>
    <row r="1124" spans="1:87" ht="12.75" hidden="1" customHeight="1" x14ac:dyDescent="0.2">
      <c r="A1124" s="28">
        <v>4</v>
      </c>
      <c r="B1124" s="28">
        <v>6</v>
      </c>
      <c r="C1124" s="11">
        <v>25</v>
      </c>
      <c r="D1124" s="13" t="s">
        <v>299</v>
      </c>
      <c r="E1124" s="10" t="s">
        <v>147</v>
      </c>
      <c r="F1124" s="10" t="s">
        <v>211</v>
      </c>
      <c r="G1124" s="10"/>
      <c r="H1124" s="10"/>
      <c r="I1124" s="10"/>
      <c r="J1124" s="10"/>
      <c r="K1124" s="575"/>
      <c r="L1124" s="152"/>
      <c r="M1124" s="422"/>
      <c r="N1124" s="339"/>
      <c r="O1124" s="62"/>
      <c r="P1124" s="424"/>
      <c r="Q1124" s="171"/>
      <c r="R1124" s="94"/>
      <c r="S1124" s="339"/>
      <c r="T1124" s="63"/>
      <c r="U1124" s="162"/>
      <c r="V1124" s="164"/>
      <c r="W1124" s="62"/>
      <c r="X1124" s="63"/>
      <c r="Y1124" s="62"/>
      <c r="Z1124" s="64"/>
      <c r="AA1124" s="164"/>
      <c r="AB1124" s="62"/>
      <c r="AC1124" s="62"/>
      <c r="AD1124" s="64"/>
      <c r="AE1124" s="164"/>
      <c r="AF1124" s="62"/>
      <c r="AG1124" s="64"/>
      <c r="AH1124" s="337"/>
      <c r="AI1124" s="337"/>
      <c r="AJ1124" s="337"/>
      <c r="AK1124" s="337"/>
      <c r="AL1124" s="555"/>
      <c r="AM1124" s="552"/>
      <c r="AN1124" s="45"/>
      <c r="AO1124" s="45"/>
      <c r="AP1124" s="44"/>
      <c r="AQ1124" s="396"/>
      <c r="AR1124" s="100"/>
      <c r="AS1124" s="679"/>
      <c r="AT1124" s="679"/>
      <c r="AU1124" s="679"/>
      <c r="AV1124" s="679"/>
      <c r="AW1124" s="18">
        <v>25</v>
      </c>
      <c r="AX1124" s="69" t="s">
        <v>299</v>
      </c>
      <c r="AY1124" s="243" t="s">
        <v>147</v>
      </c>
      <c r="AZ1124" s="243" t="str">
        <f t="shared" si="458"/>
        <v>Steelhead</v>
      </c>
      <c r="BA1124" s="243" t="s">
        <v>419</v>
      </c>
      <c r="BB1124" s="244" t="s">
        <v>452</v>
      </c>
      <c r="BC1124" s="43" t="str">
        <f t="shared" si="459"/>
        <v>-</v>
      </c>
      <c r="BD1124" s="43">
        <f t="shared" si="457"/>
        <v>0</v>
      </c>
      <c r="BE1124" s="193">
        <f t="shared" si="471"/>
        <v>0</v>
      </c>
      <c r="BF1124" s="193">
        <f t="shared" si="460"/>
        <v>0</v>
      </c>
      <c r="BG1124" s="193">
        <f t="shared" si="461"/>
        <v>0</v>
      </c>
      <c r="BH1124" s="307" t="str">
        <f t="shared" si="473"/>
        <v>-</v>
      </c>
      <c r="BI1124" s="267"/>
      <c r="BJ1124" s="26" t="str">
        <f t="shared" si="462"/>
        <v>MOOYAH RIVERSteelhead</v>
      </c>
      <c r="BK1124" s="26">
        <f t="shared" si="463"/>
        <v>0</v>
      </c>
      <c r="BL1124" s="33">
        <f t="shared" si="452"/>
        <v>0</v>
      </c>
      <c r="BQ1124" s="47" t="str">
        <f t="shared" si="464"/>
        <v>MOOYAH RIVERSteelhead</v>
      </c>
      <c r="BR1124" s="49">
        <f t="shared" si="465"/>
        <v>0</v>
      </c>
      <c r="BS1124" s="49">
        <f t="shared" si="474"/>
        <v>0</v>
      </c>
      <c r="BT1124" s="31">
        <v>0</v>
      </c>
      <c r="BU1124" s="188" t="str">
        <f t="shared" si="466"/>
        <v>MMFN</v>
      </c>
      <c r="BV1124" s="188" t="str">
        <f t="shared" si="467"/>
        <v xml:space="preserve"> </v>
      </c>
      <c r="BW1124" s="188" t="str">
        <f t="shared" si="475"/>
        <v xml:space="preserve"> </v>
      </c>
      <c r="BX1124" s="188" t="str">
        <f t="shared" si="468"/>
        <v xml:space="preserve"> </v>
      </c>
      <c r="BY1124" s="50" t="str">
        <f t="shared" si="456"/>
        <v>MOOYAH RIVER_Steelhead</v>
      </c>
      <c r="BZ1124" s="50" t="str">
        <f>IFERROR(VLOOKUP(BY1124,'[1]WCVI Esc'!$C$5:$W$555,18,FALSE),"-")</f>
        <v>-</v>
      </c>
      <c r="CA1124" s="50" t="str">
        <f t="shared" si="469"/>
        <v>-</v>
      </c>
      <c r="CB1124" s="50" t="str">
        <f>IFERROR(VLOOKUP(BY1124,'[1]WCVI Esc'!$C$5:$W$555,19,FALSE),"-")</f>
        <v>-</v>
      </c>
      <c r="CC1124" s="50" t="str">
        <f t="shared" si="470"/>
        <v>-</v>
      </c>
      <c r="CE1124" s="342" t="str">
        <f t="shared" si="472"/>
        <v>MOOYAH RIVER_Steelhead</v>
      </c>
      <c r="CF1124" s="341" t="str">
        <f>IFERROR(VLOOKUP(BY1124,'RawPL+D'!$O$8:$AB$503,12,FALSE),"-")</f>
        <v>-</v>
      </c>
      <c r="CG1124" s="338" t="str">
        <f t="shared" si="454"/>
        <v>-</v>
      </c>
      <c r="CH1124" s="341" t="str">
        <f>IFERROR(VLOOKUP(BY1124,'RawPL+D'!$O$8:$AB$503,13,FALSE),"-")</f>
        <v>-</v>
      </c>
      <c r="CI1124" s="338" t="str">
        <f t="shared" si="455"/>
        <v>-</v>
      </c>
    </row>
    <row r="1125" spans="1:87" ht="12.75" hidden="1" customHeight="1" x14ac:dyDescent="0.2">
      <c r="A1125" s="28">
        <v>4</v>
      </c>
      <c r="B1125" s="28">
        <v>1</v>
      </c>
      <c r="C1125" s="11">
        <v>25</v>
      </c>
      <c r="D1125" s="13" t="s">
        <v>298</v>
      </c>
      <c r="E1125" s="10" t="s">
        <v>236</v>
      </c>
      <c r="F1125" s="10" t="s">
        <v>207</v>
      </c>
      <c r="G1125" s="10"/>
      <c r="H1125" s="10"/>
      <c r="I1125" s="10"/>
      <c r="J1125" s="10"/>
      <c r="K1125" s="575"/>
      <c r="L1125" s="152"/>
      <c r="M1125" s="164"/>
      <c r="N1125" s="62"/>
      <c r="O1125" s="62"/>
      <c r="P1125" s="177"/>
      <c r="Q1125" s="452"/>
      <c r="R1125" s="94"/>
      <c r="S1125" s="62"/>
      <c r="T1125" s="62"/>
      <c r="U1125" s="64"/>
      <c r="V1125" s="164"/>
      <c r="W1125" s="62"/>
      <c r="X1125" s="62"/>
      <c r="Y1125" s="62"/>
      <c r="Z1125" s="64"/>
      <c r="AA1125" s="164"/>
      <c r="AB1125" s="62"/>
      <c r="AC1125" s="62"/>
      <c r="AD1125" s="64"/>
      <c r="AE1125" s="164"/>
      <c r="AF1125" s="62"/>
      <c r="AG1125" s="64"/>
      <c r="AH1125" s="337"/>
      <c r="AI1125" s="337"/>
      <c r="AJ1125" s="337"/>
      <c r="AK1125" s="337"/>
      <c r="AL1125" s="414"/>
      <c r="AM1125" s="414"/>
      <c r="AN1125" s="45"/>
      <c r="AO1125" s="45"/>
      <c r="AP1125" s="45"/>
      <c r="AQ1125" s="100">
        <f>AL1125/BI1125</f>
        <v>0</v>
      </c>
      <c r="AR1125" s="121"/>
      <c r="AS1125" s="24"/>
      <c r="AT1125" s="24"/>
      <c r="AU1125" s="24"/>
      <c r="AV1125" s="24"/>
      <c r="AW1125" s="18">
        <v>25</v>
      </c>
      <c r="AX1125" s="69" t="s">
        <v>298</v>
      </c>
      <c r="AY1125" s="243" t="s">
        <v>236</v>
      </c>
      <c r="AZ1125" s="243" t="str">
        <f t="shared" si="458"/>
        <v>Sockeye</v>
      </c>
      <c r="BA1125" s="243" t="s">
        <v>419</v>
      </c>
      <c r="BB1125" s="244" t="s">
        <v>652</v>
      </c>
      <c r="BC1125" s="43" t="str">
        <f t="shared" si="459"/>
        <v>-</v>
      </c>
      <c r="BD1125" s="43">
        <f t="shared" si="457"/>
        <v>0</v>
      </c>
      <c r="BE1125" s="193">
        <f t="shared" si="471"/>
        <v>0</v>
      </c>
      <c r="BF1125" s="193">
        <f t="shared" si="460"/>
        <v>0</v>
      </c>
      <c r="BG1125" s="193">
        <f t="shared" si="461"/>
        <v>0</v>
      </c>
      <c r="BH1125" s="307" t="str">
        <f t="shared" si="473"/>
        <v>-</v>
      </c>
      <c r="BI1125" s="265">
        <f>CC1125</f>
        <v>10</v>
      </c>
      <c r="BJ1125" s="26" t="str">
        <f t="shared" si="462"/>
        <v>INNER BASIN CREEK (Black C)Sockeye</v>
      </c>
      <c r="BK1125" s="26">
        <f t="shared" si="463"/>
        <v>0</v>
      </c>
      <c r="BL1125" s="33">
        <f t="shared" si="452"/>
        <v>0</v>
      </c>
      <c r="BQ1125" s="47" t="str">
        <f t="shared" si="464"/>
        <v>INNER BASIN CREEK (Black C)Sockeye</v>
      </c>
      <c r="BR1125" s="49">
        <f t="shared" si="465"/>
        <v>0</v>
      </c>
      <c r="BS1125" s="49">
        <f t="shared" si="474"/>
        <v>0</v>
      </c>
      <c r="BT1125" s="31">
        <v>2011</v>
      </c>
      <c r="BU1125" s="188" t="str">
        <f t="shared" si="466"/>
        <v>EFN</v>
      </c>
      <c r="BV1125" s="188" t="str">
        <f t="shared" si="467"/>
        <v xml:space="preserve"> </v>
      </c>
      <c r="BW1125" s="188" t="str">
        <f t="shared" si="475"/>
        <v xml:space="preserve"> </v>
      </c>
      <c r="BX1125" s="188" t="str">
        <f t="shared" si="468"/>
        <v xml:space="preserve"> </v>
      </c>
      <c r="BY1125" s="50" t="str">
        <f t="shared" si="456"/>
        <v>INNER BASIN CREEK (Black C)_Sockeye</v>
      </c>
      <c r="BZ1125" s="50" t="str">
        <f>IFERROR(VLOOKUP(BY1125,'[1]WCVI Esc'!$C$5:$W$555,18,FALSE),"-")</f>
        <v>-</v>
      </c>
      <c r="CA1125" s="50" t="str">
        <f t="shared" si="469"/>
        <v>-</v>
      </c>
      <c r="CB1125" s="50">
        <f>IFERROR(VLOOKUP(BY1125,'[1]WCVI Esc'!$C$5:$W$555,19,FALSE),"-")</f>
        <v>14</v>
      </c>
      <c r="CC1125" s="50">
        <f t="shared" si="470"/>
        <v>10</v>
      </c>
      <c r="CE1125" s="342" t="str">
        <f t="shared" si="472"/>
        <v>INNER BASIN CREEK (Black C)_Sockeye</v>
      </c>
      <c r="CF1125" s="341" t="str">
        <f>IFERROR(VLOOKUP(BY1125,'RawPL+D'!$O$8:$AB$503,12,FALSE),"-")</f>
        <v>-</v>
      </c>
      <c r="CG1125" s="338" t="str">
        <f t="shared" si="454"/>
        <v>-</v>
      </c>
      <c r="CH1125" s="341" t="str">
        <f>IFERROR(VLOOKUP(BY1125,'RawPL+D'!$O$8:$AB$503,13,FALSE),"-")</f>
        <v>-</v>
      </c>
      <c r="CI1125" s="338" t="str">
        <f t="shared" si="455"/>
        <v>-</v>
      </c>
    </row>
    <row r="1126" spans="1:87" ht="12.75" hidden="1" customHeight="1" x14ac:dyDescent="0.2">
      <c r="A1126" s="28">
        <v>4</v>
      </c>
      <c r="B1126" s="28">
        <v>2</v>
      </c>
      <c r="C1126" s="11">
        <v>25</v>
      </c>
      <c r="D1126" s="13" t="s">
        <v>298</v>
      </c>
      <c r="E1126" s="10" t="s">
        <v>236</v>
      </c>
      <c r="F1126" s="10" t="s">
        <v>219</v>
      </c>
      <c r="G1126" s="10"/>
      <c r="H1126" s="10"/>
      <c r="I1126" s="10"/>
      <c r="J1126" s="10"/>
      <c r="K1126" s="575"/>
      <c r="L1126" s="152"/>
      <c r="M1126" s="164"/>
      <c r="N1126" s="62"/>
      <c r="O1126" s="62"/>
      <c r="P1126" s="177"/>
      <c r="Q1126" s="452"/>
      <c r="R1126" s="94"/>
      <c r="S1126" s="62"/>
      <c r="T1126" s="62"/>
      <c r="U1126" s="64"/>
      <c r="V1126" s="164"/>
      <c r="W1126" s="62"/>
      <c r="X1126" s="62"/>
      <c r="Y1126" s="62"/>
      <c r="Z1126" s="64"/>
      <c r="AA1126" s="164"/>
      <c r="AB1126" s="62"/>
      <c r="AC1126" s="62"/>
      <c r="AD1126" s="64"/>
      <c r="AE1126" s="164"/>
      <c r="AF1126" s="62"/>
      <c r="AG1126" s="64"/>
      <c r="AH1126" s="337"/>
      <c r="AI1126" s="337"/>
      <c r="AJ1126" s="337"/>
      <c r="AK1126" s="337"/>
      <c r="AL1126" s="414"/>
      <c r="AM1126" s="414"/>
      <c r="AN1126" s="45"/>
      <c r="AO1126" s="45"/>
      <c r="AP1126" s="45"/>
      <c r="AQ1126" s="100">
        <f>AL1126/BI1126</f>
        <v>0</v>
      </c>
      <c r="AR1126" s="12"/>
      <c r="AS1126" s="24"/>
      <c r="AT1126" s="24"/>
      <c r="AU1126" s="24"/>
      <c r="AV1126" s="24"/>
      <c r="AW1126" s="18">
        <v>25</v>
      </c>
      <c r="AX1126" s="69" t="s">
        <v>298</v>
      </c>
      <c r="AY1126" s="243" t="s">
        <v>236</v>
      </c>
      <c r="AZ1126" s="243" t="str">
        <f t="shared" si="458"/>
        <v>Coho</v>
      </c>
      <c r="BA1126" s="243" t="s">
        <v>419</v>
      </c>
      <c r="BB1126" s="244" t="s">
        <v>652</v>
      </c>
      <c r="BC1126" s="43" t="str">
        <f t="shared" si="459"/>
        <v>-</v>
      </c>
      <c r="BD1126" s="43">
        <f t="shared" si="457"/>
        <v>0</v>
      </c>
      <c r="BE1126" s="193">
        <f t="shared" si="471"/>
        <v>0</v>
      </c>
      <c r="BF1126" s="193">
        <f t="shared" si="460"/>
        <v>0</v>
      </c>
      <c r="BG1126" s="193">
        <f t="shared" si="461"/>
        <v>0</v>
      </c>
      <c r="BH1126" s="307" t="str">
        <f t="shared" si="473"/>
        <v>-</v>
      </c>
      <c r="BI1126" s="265">
        <f>CC1126</f>
        <v>60</v>
      </c>
      <c r="BJ1126" s="26" t="str">
        <f t="shared" si="462"/>
        <v>INNER BASIN CREEK (Black C)Coho</v>
      </c>
      <c r="BK1126" s="26">
        <f t="shared" si="463"/>
        <v>0</v>
      </c>
      <c r="BL1126" s="33">
        <f t="shared" si="452"/>
        <v>0</v>
      </c>
      <c r="BQ1126" s="47" t="str">
        <f t="shared" si="464"/>
        <v>INNER BASIN CREEK (Black C)Coho</v>
      </c>
      <c r="BR1126" s="49">
        <f t="shared" si="465"/>
        <v>0</v>
      </c>
      <c r="BS1126" s="49">
        <f t="shared" si="474"/>
        <v>0</v>
      </c>
      <c r="BT1126" s="31">
        <v>2014</v>
      </c>
      <c r="BU1126" s="188" t="str">
        <f t="shared" si="466"/>
        <v>EFN</v>
      </c>
      <c r="BV1126" s="188" t="str">
        <f t="shared" si="467"/>
        <v xml:space="preserve"> </v>
      </c>
      <c r="BW1126" s="188" t="str">
        <f t="shared" si="475"/>
        <v xml:space="preserve"> </v>
      </c>
      <c r="BX1126" s="188" t="str">
        <f t="shared" si="468"/>
        <v xml:space="preserve"> </v>
      </c>
      <c r="BY1126" s="50" t="str">
        <f t="shared" si="456"/>
        <v>INNER BASIN CREEK (Black C)_Coho</v>
      </c>
      <c r="BZ1126" s="50" t="str">
        <f>IFERROR(VLOOKUP(BY1126,'[1]WCVI Esc'!$C$5:$W$555,18,FALSE),"-")</f>
        <v>-</v>
      </c>
      <c r="CA1126" s="50" t="str">
        <f t="shared" si="469"/>
        <v>-</v>
      </c>
      <c r="CB1126" s="50">
        <f>IFERROR(VLOOKUP(BY1126,'[1]WCVI Esc'!$C$5:$W$555,19,FALSE),"-")</f>
        <v>63.5</v>
      </c>
      <c r="CC1126" s="50">
        <f t="shared" si="470"/>
        <v>60</v>
      </c>
      <c r="CE1126" s="342" t="str">
        <f t="shared" si="472"/>
        <v>INNER BASIN CREEK (Black C)_Coho</v>
      </c>
      <c r="CF1126" s="341" t="str">
        <f>IFERROR(VLOOKUP(BY1126,'RawPL+D'!$O$8:$AB$503,12,FALSE),"-")</f>
        <v>-</v>
      </c>
      <c r="CG1126" s="338" t="str">
        <f t="shared" si="454"/>
        <v>-</v>
      </c>
      <c r="CH1126" s="341" t="str">
        <f>IFERROR(VLOOKUP(BY1126,'RawPL+D'!$O$8:$AB$503,13,FALSE),"-")</f>
        <v>-</v>
      </c>
      <c r="CI1126" s="338" t="str">
        <f t="shared" si="455"/>
        <v>-</v>
      </c>
    </row>
    <row r="1127" spans="1:87" ht="12.75" hidden="1" customHeight="1" x14ac:dyDescent="0.2">
      <c r="A1127" s="28">
        <v>4</v>
      </c>
      <c r="B1127" s="28">
        <v>3</v>
      </c>
      <c r="C1127" s="11">
        <v>25</v>
      </c>
      <c r="D1127" s="13" t="s">
        <v>298</v>
      </c>
      <c r="E1127" s="10" t="s">
        <v>236</v>
      </c>
      <c r="F1127" s="10" t="s">
        <v>208</v>
      </c>
      <c r="G1127" s="10"/>
      <c r="H1127" s="10"/>
      <c r="I1127" s="10"/>
      <c r="J1127" s="10"/>
      <c r="K1127" s="575"/>
      <c r="L1127" s="152"/>
      <c r="M1127" s="164"/>
      <c r="N1127" s="62"/>
      <c r="O1127" s="62"/>
      <c r="P1127" s="177"/>
      <c r="Q1127" s="452"/>
      <c r="R1127" s="94"/>
      <c r="S1127" s="62"/>
      <c r="T1127" s="62"/>
      <c r="U1127" s="64"/>
      <c r="V1127" s="164"/>
      <c r="W1127" s="62"/>
      <c r="X1127" s="62"/>
      <c r="Y1127" s="62"/>
      <c r="Z1127" s="64"/>
      <c r="AA1127" s="164"/>
      <c r="AB1127" s="62"/>
      <c r="AC1127" s="62"/>
      <c r="AD1127" s="64"/>
      <c r="AE1127" s="164"/>
      <c r="AF1127" s="62"/>
      <c r="AG1127" s="64"/>
      <c r="AH1127" s="337"/>
      <c r="AI1127" s="337"/>
      <c r="AJ1127" s="337"/>
      <c r="AK1127" s="337"/>
      <c r="AL1127" s="414"/>
      <c r="AM1127" s="414"/>
      <c r="AN1127" s="45"/>
      <c r="AO1127" s="45"/>
      <c r="AP1127" s="45"/>
      <c r="AQ1127" s="100"/>
      <c r="AR1127" s="100"/>
      <c r="AS1127" s="24"/>
      <c r="AT1127" s="24"/>
      <c r="AU1127" s="24"/>
      <c r="AV1127" s="24"/>
      <c r="AW1127" s="18">
        <v>25</v>
      </c>
      <c r="AX1127" s="69" t="s">
        <v>298</v>
      </c>
      <c r="AY1127" s="243" t="s">
        <v>236</v>
      </c>
      <c r="AZ1127" s="243" t="str">
        <f t="shared" si="458"/>
        <v>Pink</v>
      </c>
      <c r="BA1127" s="243" t="s">
        <v>419</v>
      </c>
      <c r="BB1127" s="246"/>
      <c r="BC1127" s="43" t="str">
        <f t="shared" si="459"/>
        <v>-</v>
      </c>
      <c r="BD1127" s="43">
        <f t="shared" si="457"/>
        <v>0</v>
      </c>
      <c r="BE1127" s="193">
        <f t="shared" si="471"/>
        <v>0</v>
      </c>
      <c r="BF1127" s="193">
        <f t="shared" si="460"/>
        <v>0</v>
      </c>
      <c r="BG1127" s="193">
        <f t="shared" si="461"/>
        <v>0</v>
      </c>
      <c r="BH1127" s="307" t="str">
        <f t="shared" si="473"/>
        <v>-</v>
      </c>
      <c r="BI1127" s="266"/>
      <c r="BJ1127" s="26" t="str">
        <f t="shared" si="462"/>
        <v>INNER BASIN CREEK (Black C)Pink</v>
      </c>
      <c r="BK1127" s="26">
        <f t="shared" si="463"/>
        <v>0</v>
      </c>
      <c r="BL1127" s="33">
        <f t="shared" ref="BL1127:BL1190" si="476">MAX(K1127:AB1127)</f>
        <v>0</v>
      </c>
      <c r="BQ1127" s="47" t="str">
        <f t="shared" si="464"/>
        <v>INNER BASIN CREEK (Black C)Pink</v>
      </c>
      <c r="BR1127" s="49">
        <f t="shared" si="465"/>
        <v>0</v>
      </c>
      <c r="BS1127" s="49">
        <f t="shared" si="474"/>
        <v>0</v>
      </c>
      <c r="BT1127" s="31">
        <v>0</v>
      </c>
      <c r="BU1127" s="188">
        <f t="shared" si="466"/>
        <v>0</v>
      </c>
      <c r="BV1127" s="188" t="str">
        <f t="shared" si="467"/>
        <v xml:space="preserve"> </v>
      </c>
      <c r="BW1127" s="188" t="str">
        <f t="shared" si="475"/>
        <v xml:space="preserve"> </v>
      </c>
      <c r="BX1127" s="188" t="str">
        <f t="shared" si="468"/>
        <v xml:space="preserve"> </v>
      </c>
      <c r="BY1127" s="50" t="str">
        <f t="shared" si="456"/>
        <v>INNER BASIN CREEK (Black C)_Pink</v>
      </c>
      <c r="BZ1127" s="50" t="str">
        <f>IFERROR(VLOOKUP(BY1127,'[1]WCVI Esc'!$C$5:$W$555,18,FALSE),"-")</f>
        <v>-</v>
      </c>
      <c r="CA1127" s="50" t="str">
        <f t="shared" si="469"/>
        <v>-</v>
      </c>
      <c r="CB1127" s="50" t="str">
        <f>IFERROR(VLOOKUP(BY1127,'[1]WCVI Esc'!$C$5:$W$555,19,FALSE),"-")</f>
        <v>-</v>
      </c>
      <c r="CC1127" s="50" t="str">
        <f t="shared" si="470"/>
        <v>-</v>
      </c>
      <c r="CE1127" s="342" t="str">
        <f t="shared" si="472"/>
        <v>INNER BASIN CREEK (Black C)_Pink</v>
      </c>
      <c r="CF1127" s="341" t="str">
        <f>IFERROR(VLOOKUP(BY1127,'RawPL+D'!$O$8:$AB$503,12,FALSE),"-")</f>
        <v>-</v>
      </c>
      <c r="CG1127" s="338" t="str">
        <f t="shared" si="454"/>
        <v>-</v>
      </c>
      <c r="CH1127" s="341" t="str">
        <f>IFERROR(VLOOKUP(BY1127,'RawPL+D'!$O$8:$AB$503,13,FALSE),"-")</f>
        <v>-</v>
      </c>
      <c r="CI1127" s="338" t="str">
        <f t="shared" si="455"/>
        <v>-</v>
      </c>
    </row>
    <row r="1128" spans="1:87" ht="12.75" hidden="1" customHeight="1" x14ac:dyDescent="0.2">
      <c r="A1128" s="28">
        <v>4</v>
      </c>
      <c r="B1128" s="28">
        <v>4</v>
      </c>
      <c r="C1128" s="11">
        <v>25</v>
      </c>
      <c r="D1128" s="13" t="s">
        <v>298</v>
      </c>
      <c r="E1128" s="10" t="s">
        <v>236</v>
      </c>
      <c r="F1128" s="10" t="s">
        <v>209</v>
      </c>
      <c r="G1128" s="10"/>
      <c r="H1128" s="10"/>
      <c r="I1128" s="10"/>
      <c r="J1128" s="10"/>
      <c r="K1128" s="575"/>
      <c r="L1128" s="152"/>
      <c r="M1128" s="164"/>
      <c r="N1128" s="62"/>
      <c r="O1128" s="62"/>
      <c r="P1128" s="177"/>
      <c r="Q1128" s="452"/>
      <c r="R1128" s="94"/>
      <c r="S1128" s="62"/>
      <c r="T1128" s="62"/>
      <c r="U1128" s="64"/>
      <c r="V1128" s="164"/>
      <c r="W1128" s="62"/>
      <c r="X1128" s="62"/>
      <c r="Y1128" s="62"/>
      <c r="Z1128" s="64"/>
      <c r="AA1128" s="164"/>
      <c r="AB1128" s="62"/>
      <c r="AC1128" s="62"/>
      <c r="AD1128" s="64"/>
      <c r="AE1128" s="164"/>
      <c r="AF1128" s="62"/>
      <c r="AG1128" s="64"/>
      <c r="AH1128" s="337"/>
      <c r="AI1128" s="337"/>
      <c r="AJ1128" s="337"/>
      <c r="AK1128" s="337"/>
      <c r="AL1128" s="414"/>
      <c r="AM1128" s="414"/>
      <c r="AN1128" s="45"/>
      <c r="AO1128" s="45"/>
      <c r="AP1128" s="45"/>
      <c r="AQ1128" s="100">
        <f>AL1128/BI1128</f>
        <v>0</v>
      </c>
      <c r="AR1128" s="12"/>
      <c r="AS1128" s="24"/>
      <c r="AT1128" s="24"/>
      <c r="AU1128" s="24"/>
      <c r="AV1128" s="24"/>
      <c r="AW1128" s="18">
        <v>25</v>
      </c>
      <c r="AX1128" s="69" t="s">
        <v>298</v>
      </c>
      <c r="AY1128" s="243" t="s">
        <v>236</v>
      </c>
      <c r="AZ1128" s="243" t="str">
        <f t="shared" si="458"/>
        <v>Chum</v>
      </c>
      <c r="BA1128" s="243" t="s">
        <v>419</v>
      </c>
      <c r="BB1128" s="244" t="s">
        <v>652</v>
      </c>
      <c r="BC1128" s="43" t="str">
        <f t="shared" si="459"/>
        <v>-</v>
      </c>
      <c r="BD1128" s="43">
        <f t="shared" si="457"/>
        <v>0</v>
      </c>
      <c r="BE1128" s="193">
        <f t="shared" si="471"/>
        <v>0</v>
      </c>
      <c r="BF1128" s="193">
        <f t="shared" si="460"/>
        <v>0</v>
      </c>
      <c r="BG1128" s="193">
        <f t="shared" si="461"/>
        <v>0</v>
      </c>
      <c r="BH1128" s="307" t="str">
        <f t="shared" si="473"/>
        <v>-</v>
      </c>
      <c r="BI1128" s="265">
        <f>CC1128</f>
        <v>3360</v>
      </c>
      <c r="BJ1128" s="26" t="str">
        <f t="shared" si="462"/>
        <v>INNER BASIN CREEK (Black C)Chum</v>
      </c>
      <c r="BK1128" s="26">
        <f t="shared" si="463"/>
        <v>0</v>
      </c>
      <c r="BL1128" s="33">
        <f t="shared" si="476"/>
        <v>0</v>
      </c>
      <c r="BQ1128" s="47" t="str">
        <f t="shared" si="464"/>
        <v>INNER BASIN CREEK (Black C)Chum</v>
      </c>
      <c r="BR1128" s="49">
        <f t="shared" si="465"/>
        <v>0</v>
      </c>
      <c r="BS1128" s="49">
        <f t="shared" si="474"/>
        <v>0</v>
      </c>
      <c r="BT1128" s="31">
        <v>2014</v>
      </c>
      <c r="BU1128" s="188" t="str">
        <f t="shared" si="466"/>
        <v>EFN</v>
      </c>
      <c r="BV1128" s="188" t="str">
        <f t="shared" si="467"/>
        <v xml:space="preserve"> </v>
      </c>
      <c r="BW1128" s="188" t="str">
        <f t="shared" si="475"/>
        <v xml:space="preserve"> </v>
      </c>
      <c r="BX1128" s="188" t="str">
        <f t="shared" si="468"/>
        <v xml:space="preserve"> </v>
      </c>
      <c r="BY1128" s="50" t="str">
        <f t="shared" si="456"/>
        <v>INNER BASIN CREEK (Black C)_Chum</v>
      </c>
      <c r="BZ1128" s="50" t="str">
        <f>IFERROR(VLOOKUP(BY1128,'[1]WCVI Esc'!$C$5:$W$555,18,FALSE),"-")</f>
        <v>-</v>
      </c>
      <c r="CA1128" s="50" t="str">
        <f t="shared" si="469"/>
        <v>-</v>
      </c>
      <c r="CB1128" s="50">
        <f>IFERROR(VLOOKUP(BY1128,'[1]WCVI Esc'!$C$5:$W$555,19,FALSE),"-")</f>
        <v>3362.5</v>
      </c>
      <c r="CC1128" s="50">
        <f t="shared" si="470"/>
        <v>3360</v>
      </c>
      <c r="CE1128" s="342" t="str">
        <f t="shared" si="472"/>
        <v>INNER BASIN CREEK (Black C)_Chum</v>
      </c>
      <c r="CF1128" s="341" t="str">
        <f>IFERROR(VLOOKUP(BY1128,'RawPL+D'!$O$8:$AB$503,12,FALSE),"-")</f>
        <v>-</v>
      </c>
      <c r="CG1128" s="338" t="str">
        <f t="shared" si="454"/>
        <v>-</v>
      </c>
      <c r="CH1128" s="341" t="str">
        <f>IFERROR(VLOOKUP(BY1128,'RawPL+D'!$O$8:$AB$503,13,FALSE),"-")</f>
        <v>-</v>
      </c>
      <c r="CI1128" s="338" t="str">
        <f t="shared" si="455"/>
        <v>-</v>
      </c>
    </row>
    <row r="1129" spans="1:87" ht="12.75" hidden="1" customHeight="1" x14ac:dyDescent="0.2">
      <c r="A1129" s="28">
        <v>4</v>
      </c>
      <c r="B1129" s="28">
        <v>5</v>
      </c>
      <c r="C1129" s="11">
        <v>25</v>
      </c>
      <c r="D1129" s="13" t="s">
        <v>298</v>
      </c>
      <c r="E1129" s="10" t="s">
        <v>236</v>
      </c>
      <c r="F1129" s="10" t="s">
        <v>210</v>
      </c>
      <c r="G1129" s="10"/>
      <c r="H1129" s="10"/>
      <c r="I1129" s="10"/>
      <c r="J1129" s="10"/>
      <c r="K1129" s="575"/>
      <c r="L1129" s="152"/>
      <c r="M1129" s="164"/>
      <c r="N1129" s="62"/>
      <c r="O1129" s="390"/>
      <c r="P1129" s="177"/>
      <c r="Q1129" s="452"/>
      <c r="R1129" s="94"/>
      <c r="S1129" s="62"/>
      <c r="T1129" s="62"/>
      <c r="U1129" s="64"/>
      <c r="V1129" s="164"/>
      <c r="W1129" s="62"/>
      <c r="X1129" s="62"/>
      <c r="Y1129" s="62"/>
      <c r="Z1129" s="64"/>
      <c r="AA1129" s="164"/>
      <c r="AB1129" s="62"/>
      <c r="AC1129" s="62"/>
      <c r="AD1129" s="64"/>
      <c r="AE1129" s="164"/>
      <c r="AF1129" s="62"/>
      <c r="AG1129" s="64"/>
      <c r="AH1129" s="337"/>
      <c r="AI1129" s="337"/>
      <c r="AJ1129" s="337"/>
      <c r="AK1129" s="337"/>
      <c r="AL1129" s="552"/>
      <c r="AM1129" s="552"/>
      <c r="AN1129" s="45"/>
      <c r="AO1129" s="45"/>
      <c r="AP1129" s="45"/>
      <c r="AQ1129" s="100"/>
      <c r="AR1129" s="100"/>
      <c r="AS1129" s="24"/>
      <c r="AT1129" s="24"/>
      <c r="AU1129" s="24"/>
      <c r="AV1129" s="24"/>
      <c r="AW1129" s="18">
        <v>25</v>
      </c>
      <c r="AX1129" s="69" t="s">
        <v>298</v>
      </c>
      <c r="AY1129" s="243" t="s">
        <v>236</v>
      </c>
      <c r="AZ1129" s="243" t="str">
        <f t="shared" si="458"/>
        <v>Chinook</v>
      </c>
      <c r="BA1129" s="243" t="s">
        <v>419</v>
      </c>
      <c r="BB1129" s="244" t="s">
        <v>652</v>
      </c>
      <c r="BC1129" s="43" t="str">
        <f t="shared" si="459"/>
        <v>-</v>
      </c>
      <c r="BD1129" s="43">
        <f t="shared" si="457"/>
        <v>0</v>
      </c>
      <c r="BE1129" s="193">
        <f t="shared" si="471"/>
        <v>0</v>
      </c>
      <c r="BF1129" s="193">
        <f t="shared" si="460"/>
        <v>0</v>
      </c>
      <c r="BG1129" s="193">
        <f t="shared" si="461"/>
        <v>0</v>
      </c>
      <c r="BH1129" s="307" t="str">
        <f t="shared" si="473"/>
        <v>-</v>
      </c>
      <c r="BI1129" s="308" t="s">
        <v>242</v>
      </c>
      <c r="BJ1129" s="26" t="str">
        <f t="shared" si="462"/>
        <v>INNER BASIN CREEK (Black C)Chinook</v>
      </c>
      <c r="BK1129" s="26">
        <f t="shared" si="463"/>
        <v>0</v>
      </c>
      <c r="BL1129" s="33">
        <f t="shared" si="476"/>
        <v>0</v>
      </c>
      <c r="BQ1129" s="47" t="str">
        <f t="shared" si="464"/>
        <v>INNER BASIN CREEK (Black C)Chinook</v>
      </c>
      <c r="BR1129" s="49">
        <f t="shared" si="465"/>
        <v>0</v>
      </c>
      <c r="BS1129" s="49">
        <f t="shared" si="474"/>
        <v>0</v>
      </c>
      <c r="BT1129" s="31">
        <v>0</v>
      </c>
      <c r="BU1129" s="188" t="str">
        <f t="shared" si="466"/>
        <v>EFN</v>
      </c>
      <c r="BV1129" s="188" t="str">
        <f t="shared" si="467"/>
        <v xml:space="preserve"> </v>
      </c>
      <c r="BW1129" s="188" t="str">
        <f t="shared" si="475"/>
        <v xml:space="preserve"> </v>
      </c>
      <c r="BX1129" s="188" t="str">
        <f t="shared" si="468"/>
        <v xml:space="preserve"> </v>
      </c>
      <c r="BY1129" s="50" t="str">
        <f t="shared" si="456"/>
        <v>INNER BASIN CREEK (Black C)_Chinook</v>
      </c>
      <c r="BZ1129" s="50" t="str">
        <f>IFERROR(VLOOKUP(BY1129,'[1]WCVI Esc'!$C$5:$W$555,18,FALSE),"-")</f>
        <v>-</v>
      </c>
      <c r="CA1129" s="50" t="str">
        <f t="shared" si="469"/>
        <v>-</v>
      </c>
      <c r="CB1129" s="50" t="str">
        <f>IFERROR(VLOOKUP(BY1129,'[1]WCVI Esc'!$C$5:$W$555,19,FALSE),"-")</f>
        <v>-</v>
      </c>
      <c r="CC1129" s="50" t="str">
        <f t="shared" si="470"/>
        <v>-</v>
      </c>
      <c r="CE1129" s="342" t="str">
        <f t="shared" si="472"/>
        <v>INNER BASIN CREEK (Black C)_Chinook</v>
      </c>
      <c r="CF1129" s="341" t="str">
        <f>IFERROR(VLOOKUP(BY1129,'RawPL+D'!$O$8:$AB$503,12,FALSE),"-")</f>
        <v>-</v>
      </c>
      <c r="CG1129" s="338" t="str">
        <f t="shared" si="454"/>
        <v>-</v>
      </c>
      <c r="CH1129" s="341" t="str">
        <f>IFERROR(VLOOKUP(BY1129,'RawPL+D'!$O$8:$AB$503,13,FALSE),"-")</f>
        <v>-</v>
      </c>
      <c r="CI1129" s="338" t="str">
        <f t="shared" si="455"/>
        <v>-</v>
      </c>
    </row>
    <row r="1130" spans="1:87" ht="12.75" hidden="1" customHeight="1" x14ac:dyDescent="0.2">
      <c r="A1130" s="28">
        <v>4</v>
      </c>
      <c r="B1130" s="28">
        <v>6</v>
      </c>
      <c r="C1130" s="11">
        <v>25</v>
      </c>
      <c r="D1130" s="13" t="s">
        <v>298</v>
      </c>
      <c r="E1130" s="10" t="s">
        <v>236</v>
      </c>
      <c r="F1130" s="10" t="s">
        <v>211</v>
      </c>
      <c r="G1130" s="10"/>
      <c r="H1130" s="10"/>
      <c r="I1130" s="10"/>
      <c r="J1130" s="10"/>
      <c r="K1130" s="575"/>
      <c r="L1130" s="152"/>
      <c r="M1130" s="164"/>
      <c r="N1130" s="62"/>
      <c r="O1130" s="62"/>
      <c r="P1130" s="177"/>
      <c r="Q1130" s="452"/>
      <c r="R1130" s="94"/>
      <c r="S1130" s="62"/>
      <c r="T1130" s="62"/>
      <c r="U1130" s="64"/>
      <c r="V1130" s="164"/>
      <c r="W1130" s="62"/>
      <c r="X1130" s="62"/>
      <c r="Y1130" s="62"/>
      <c r="Z1130" s="64"/>
      <c r="AA1130" s="164"/>
      <c r="AB1130" s="62"/>
      <c r="AC1130" s="62"/>
      <c r="AD1130" s="64"/>
      <c r="AE1130" s="164"/>
      <c r="AF1130" s="62"/>
      <c r="AG1130" s="64"/>
      <c r="AH1130" s="337"/>
      <c r="AI1130" s="337"/>
      <c r="AJ1130" s="337"/>
      <c r="AK1130" s="337"/>
      <c r="AL1130" s="414"/>
      <c r="AM1130" s="414"/>
      <c r="AN1130" s="45"/>
      <c r="AO1130" s="45"/>
      <c r="AP1130" s="45"/>
      <c r="AQ1130" s="100"/>
      <c r="AR1130" s="100"/>
      <c r="AS1130" s="24"/>
      <c r="AT1130" s="24"/>
      <c r="AU1130" s="24"/>
      <c r="AV1130" s="24"/>
      <c r="AW1130" s="18">
        <v>25</v>
      </c>
      <c r="AX1130" s="69" t="s">
        <v>298</v>
      </c>
      <c r="AY1130" s="243" t="s">
        <v>236</v>
      </c>
      <c r="AZ1130" s="243" t="str">
        <f t="shared" si="458"/>
        <v>Steelhead</v>
      </c>
      <c r="BA1130" s="243" t="s">
        <v>419</v>
      </c>
      <c r="BB1130" s="246"/>
      <c r="BC1130" s="43" t="str">
        <f t="shared" si="459"/>
        <v>-</v>
      </c>
      <c r="BD1130" s="43">
        <f t="shared" si="457"/>
        <v>0</v>
      </c>
      <c r="BE1130" s="193">
        <f t="shared" si="471"/>
        <v>0</v>
      </c>
      <c r="BF1130" s="193">
        <f t="shared" si="460"/>
        <v>0</v>
      </c>
      <c r="BG1130" s="193">
        <f t="shared" si="461"/>
        <v>0</v>
      </c>
      <c r="BH1130" s="307" t="str">
        <f t="shared" si="473"/>
        <v>-</v>
      </c>
      <c r="BI1130" s="266"/>
      <c r="BJ1130" s="26" t="str">
        <f t="shared" si="462"/>
        <v>INNER BASIN CREEK (Black C)Steelhead</v>
      </c>
      <c r="BK1130" s="26">
        <f t="shared" si="463"/>
        <v>0</v>
      </c>
      <c r="BL1130" s="33">
        <f t="shared" si="476"/>
        <v>0</v>
      </c>
      <c r="BQ1130" s="47" t="str">
        <f t="shared" si="464"/>
        <v>INNER BASIN CREEK (Black C)Steelhead</v>
      </c>
      <c r="BR1130" s="49">
        <f t="shared" si="465"/>
        <v>0</v>
      </c>
      <c r="BS1130" s="49">
        <f t="shared" si="474"/>
        <v>0</v>
      </c>
      <c r="BT1130" s="31">
        <v>0</v>
      </c>
      <c r="BU1130" s="188">
        <f t="shared" si="466"/>
        <v>0</v>
      </c>
      <c r="BV1130" s="188" t="str">
        <f t="shared" si="467"/>
        <v xml:space="preserve"> </v>
      </c>
      <c r="BW1130" s="188" t="str">
        <f t="shared" si="475"/>
        <v xml:space="preserve"> </v>
      </c>
      <c r="BX1130" s="188" t="str">
        <f t="shared" si="468"/>
        <v xml:space="preserve"> </v>
      </c>
      <c r="BY1130" s="50" t="str">
        <f t="shared" si="456"/>
        <v>INNER BASIN CREEK (Black C)_Steelhead</v>
      </c>
      <c r="BZ1130" s="50" t="str">
        <f>IFERROR(VLOOKUP(BY1130,'[1]WCVI Esc'!$C$5:$W$555,18,FALSE),"-")</f>
        <v>-</v>
      </c>
      <c r="CA1130" s="50" t="str">
        <f t="shared" si="469"/>
        <v>-</v>
      </c>
      <c r="CB1130" s="50" t="str">
        <f>IFERROR(VLOOKUP(BY1130,'[1]WCVI Esc'!$C$5:$W$555,19,FALSE),"-")</f>
        <v>-</v>
      </c>
      <c r="CC1130" s="50" t="str">
        <f t="shared" si="470"/>
        <v>-</v>
      </c>
      <c r="CE1130" s="342" t="str">
        <f t="shared" si="472"/>
        <v>INNER BASIN CREEK (Black C)_Steelhead</v>
      </c>
      <c r="CF1130" s="341" t="str">
        <f>IFERROR(VLOOKUP(BY1130,'RawPL+D'!$O$8:$AB$503,12,FALSE),"-")</f>
        <v>-</v>
      </c>
      <c r="CG1130" s="338" t="str">
        <f t="shared" si="454"/>
        <v>-</v>
      </c>
      <c r="CH1130" s="341" t="str">
        <f>IFERROR(VLOOKUP(BY1130,'RawPL+D'!$O$8:$AB$503,13,FALSE),"-")</f>
        <v>-</v>
      </c>
      <c r="CI1130" s="338" t="str">
        <f t="shared" si="455"/>
        <v>-</v>
      </c>
    </row>
    <row r="1131" spans="1:87" ht="12.75" hidden="1" customHeight="1" x14ac:dyDescent="0.2">
      <c r="A1131" s="28">
        <v>4</v>
      </c>
      <c r="B1131" s="29">
        <v>1</v>
      </c>
      <c r="C1131" s="13">
        <v>25</v>
      </c>
      <c r="D1131" s="13" t="s">
        <v>298</v>
      </c>
      <c r="E1131" s="10" t="s">
        <v>196</v>
      </c>
      <c r="F1131" s="10" t="s">
        <v>207</v>
      </c>
      <c r="G1131" s="10"/>
      <c r="H1131" s="10"/>
      <c r="I1131" s="10"/>
      <c r="J1131" s="10"/>
      <c r="K1131" s="575"/>
      <c r="L1131" s="152"/>
      <c r="M1131" s="164"/>
      <c r="N1131" s="62"/>
      <c r="O1131" s="62"/>
      <c r="P1131" s="177"/>
      <c r="Q1131" s="452"/>
      <c r="R1131" s="94"/>
      <c r="S1131" s="62"/>
      <c r="T1131" s="62"/>
      <c r="U1131" s="64"/>
      <c r="V1131" s="164"/>
      <c r="W1131" s="62"/>
      <c r="X1131" s="62"/>
      <c r="Y1131" s="62"/>
      <c r="Z1131" s="64"/>
      <c r="AA1131" s="164"/>
      <c r="AB1131" s="62"/>
      <c r="AC1131" s="62"/>
      <c r="AD1131" s="64"/>
      <c r="AE1131" s="164"/>
      <c r="AF1131" s="62"/>
      <c r="AG1131" s="64"/>
      <c r="AH1131" s="337"/>
      <c r="AI1131" s="337"/>
      <c r="AJ1131" s="337"/>
      <c r="AK1131" s="337"/>
      <c r="AL1131" s="414"/>
      <c r="AM1131" s="414"/>
      <c r="AN1131" s="45"/>
      <c r="AO1131" s="45"/>
      <c r="AP1131" s="45"/>
      <c r="AQ1131" s="100" t="e">
        <f>AL1131/BI1131</f>
        <v>#VALUE!</v>
      </c>
      <c r="AR1131" s="100" t="e">
        <f>BL1131/BI1131</f>
        <v>#VALUE!</v>
      </c>
      <c r="AS1131" s="24"/>
      <c r="AT1131" s="24"/>
      <c r="AU1131" s="24"/>
      <c r="AV1131" s="24"/>
      <c r="AW1131" s="69">
        <v>25</v>
      </c>
      <c r="AX1131" s="69" t="s">
        <v>298</v>
      </c>
      <c r="AY1131" s="243" t="s">
        <v>196</v>
      </c>
      <c r="AZ1131" s="243" t="str">
        <f t="shared" si="458"/>
        <v>Sockeye</v>
      </c>
      <c r="BA1131" s="243" t="s">
        <v>419</v>
      </c>
      <c r="BB1131" s="246"/>
      <c r="BC1131" s="43" t="str">
        <f t="shared" si="459"/>
        <v>-</v>
      </c>
      <c r="BD1131" s="43">
        <f t="shared" si="457"/>
        <v>0</v>
      </c>
      <c r="BE1131" s="193">
        <f t="shared" si="471"/>
        <v>0</v>
      </c>
      <c r="BF1131" s="193">
        <f t="shared" si="460"/>
        <v>0</v>
      </c>
      <c r="BG1131" s="193">
        <f t="shared" si="461"/>
        <v>0</v>
      </c>
      <c r="BH1131" s="307" t="str">
        <f t="shared" si="473"/>
        <v>-</v>
      </c>
      <c r="BI1131" s="265" t="str">
        <f>CC1131</f>
        <v>-</v>
      </c>
      <c r="BJ1131" s="26" t="str">
        <f t="shared" si="462"/>
        <v>INNER BASIN RIVER (Ransom C)Sockeye</v>
      </c>
      <c r="BK1131" s="26">
        <f t="shared" si="463"/>
        <v>0</v>
      </c>
      <c r="BL1131" s="33">
        <f t="shared" si="476"/>
        <v>0</v>
      </c>
      <c r="BQ1131" s="47" t="str">
        <f t="shared" si="464"/>
        <v>INNER BASIN RIVER (Ransom C)Sockeye</v>
      </c>
      <c r="BR1131" s="49">
        <f t="shared" si="465"/>
        <v>0</v>
      </c>
      <c r="BS1131" s="49">
        <f t="shared" si="474"/>
        <v>0</v>
      </c>
      <c r="BT1131" s="31">
        <v>2009</v>
      </c>
      <c r="BU1131" s="188">
        <f t="shared" si="466"/>
        <v>0</v>
      </c>
      <c r="BV1131" s="188" t="str">
        <f t="shared" si="467"/>
        <v xml:space="preserve"> </v>
      </c>
      <c r="BW1131" s="188" t="str">
        <f t="shared" si="475"/>
        <v xml:space="preserve"> </v>
      </c>
      <c r="BX1131" s="188" t="str">
        <f t="shared" si="468"/>
        <v xml:space="preserve"> </v>
      </c>
      <c r="BY1131" s="50" t="str">
        <f t="shared" si="456"/>
        <v>INNER BASIN RIVER (Ransom C)_Sockeye</v>
      </c>
      <c r="BZ1131" s="50" t="str">
        <f>IFERROR(VLOOKUP(BY1131,'[1]WCVI Esc'!$C$5:$W$555,18,FALSE),"-")</f>
        <v>-</v>
      </c>
      <c r="CA1131" s="50" t="str">
        <f t="shared" si="469"/>
        <v>-</v>
      </c>
      <c r="CB1131" s="50" t="str">
        <f>IFERROR(VLOOKUP(BY1131,'[1]WCVI Esc'!$C$5:$W$555,19,FALSE),"-")</f>
        <v>-</v>
      </c>
      <c r="CC1131" s="50" t="str">
        <f t="shared" si="470"/>
        <v>-</v>
      </c>
      <c r="CE1131" s="342" t="str">
        <f t="shared" si="472"/>
        <v>INNER BASIN RIVER (Ransom C)_Sockeye</v>
      </c>
      <c r="CF1131" s="341" t="str">
        <f>IFERROR(VLOOKUP(BY1131,'RawPL+D'!$O$8:$AB$503,12,FALSE),"-")</f>
        <v>-</v>
      </c>
      <c r="CG1131" s="338" t="str">
        <f t="shared" si="454"/>
        <v>-</v>
      </c>
      <c r="CH1131" s="341" t="str">
        <f>IFERROR(VLOOKUP(BY1131,'RawPL+D'!$O$8:$AB$503,13,FALSE),"-")</f>
        <v>-</v>
      </c>
      <c r="CI1131" s="338" t="str">
        <f t="shared" si="455"/>
        <v>-</v>
      </c>
    </row>
    <row r="1132" spans="1:87" ht="12.75" hidden="1" customHeight="1" x14ac:dyDescent="0.2">
      <c r="A1132" s="28">
        <v>4</v>
      </c>
      <c r="B1132" s="29">
        <v>2</v>
      </c>
      <c r="C1132" s="13">
        <v>25</v>
      </c>
      <c r="D1132" s="13" t="s">
        <v>298</v>
      </c>
      <c r="E1132" s="10" t="s">
        <v>196</v>
      </c>
      <c r="F1132" s="10" t="s">
        <v>219</v>
      </c>
      <c r="G1132" s="10"/>
      <c r="H1132" s="10"/>
      <c r="I1132" s="10"/>
      <c r="J1132" s="10"/>
      <c r="K1132" s="575"/>
      <c r="L1132" s="152"/>
      <c r="M1132" s="164"/>
      <c r="N1132" s="62"/>
      <c r="O1132" s="62"/>
      <c r="P1132" s="177"/>
      <c r="Q1132" s="452"/>
      <c r="R1132" s="94"/>
      <c r="S1132" s="62"/>
      <c r="T1132" s="62"/>
      <c r="U1132" s="64"/>
      <c r="V1132" s="164"/>
      <c r="W1132" s="62"/>
      <c r="X1132" s="62"/>
      <c r="Y1132" s="62"/>
      <c r="Z1132" s="64"/>
      <c r="AA1132" s="164"/>
      <c r="AB1132" s="62"/>
      <c r="AC1132" s="62"/>
      <c r="AD1132" s="64"/>
      <c r="AE1132" s="164"/>
      <c r="AF1132" s="62"/>
      <c r="AG1132" s="64"/>
      <c r="AH1132" s="337"/>
      <c r="AI1132" s="337"/>
      <c r="AJ1132" s="337"/>
      <c r="AK1132" s="337"/>
      <c r="AL1132" s="414"/>
      <c r="AM1132" s="414"/>
      <c r="AN1132" s="45"/>
      <c r="AO1132" s="45"/>
      <c r="AP1132" s="45"/>
      <c r="AQ1132" s="396">
        <f>AL1132/BI1132</f>
        <v>0</v>
      </c>
      <c r="AR1132" s="485" t="e">
        <f>BL1132/BH1132</f>
        <v>#VALUE!</v>
      </c>
      <c r="AS1132" s="24"/>
      <c r="AT1132" s="24"/>
      <c r="AU1132" s="24"/>
      <c r="AV1132" s="24"/>
      <c r="AW1132" s="69">
        <v>25</v>
      </c>
      <c r="AX1132" s="69" t="s">
        <v>298</v>
      </c>
      <c r="AY1132" s="243" t="s">
        <v>196</v>
      </c>
      <c r="AZ1132" s="243" t="str">
        <f t="shared" si="458"/>
        <v>Coho</v>
      </c>
      <c r="BA1132" s="243" t="s">
        <v>419</v>
      </c>
      <c r="BB1132" s="246"/>
      <c r="BC1132" s="43" t="str">
        <f t="shared" si="459"/>
        <v>-</v>
      </c>
      <c r="BD1132" s="43">
        <f t="shared" si="457"/>
        <v>0</v>
      </c>
      <c r="BE1132" s="193">
        <f t="shared" si="471"/>
        <v>0</v>
      </c>
      <c r="BF1132" s="193">
        <f t="shared" si="460"/>
        <v>0</v>
      </c>
      <c r="BG1132" s="193">
        <f t="shared" si="461"/>
        <v>0</v>
      </c>
      <c r="BH1132" s="307" t="str">
        <f t="shared" si="473"/>
        <v>-</v>
      </c>
      <c r="BI1132" s="265">
        <f>CC1132</f>
        <v>150</v>
      </c>
      <c r="BJ1132" s="26" t="str">
        <f t="shared" si="462"/>
        <v>INNER BASIN RIVER (Ransom C)Coho</v>
      </c>
      <c r="BK1132" s="26">
        <f t="shared" si="463"/>
        <v>0</v>
      </c>
      <c r="BL1132" s="33">
        <f t="shared" si="476"/>
        <v>0</v>
      </c>
      <c r="BQ1132" s="47" t="str">
        <f t="shared" si="464"/>
        <v>INNER BASIN RIVER (Ransom C)Coho</v>
      </c>
      <c r="BR1132" s="49">
        <f t="shared" si="465"/>
        <v>0</v>
      </c>
      <c r="BS1132" s="49">
        <f t="shared" si="474"/>
        <v>0</v>
      </c>
      <c r="BT1132" s="31">
        <v>2011</v>
      </c>
      <c r="BU1132" s="188">
        <f t="shared" si="466"/>
        <v>0</v>
      </c>
      <c r="BV1132" s="188" t="str">
        <f t="shared" si="467"/>
        <v xml:space="preserve"> </v>
      </c>
      <c r="BW1132" s="188" t="str">
        <f t="shared" si="475"/>
        <v xml:space="preserve"> </v>
      </c>
      <c r="BX1132" s="188" t="str">
        <f t="shared" si="468"/>
        <v xml:space="preserve"> </v>
      </c>
      <c r="BY1132" s="50" t="str">
        <f t="shared" si="456"/>
        <v>INNER BASIN RIVER (Ransom C)_Coho</v>
      </c>
      <c r="BZ1132" s="50" t="str">
        <f>IFERROR(VLOOKUP(BY1132,'[1]WCVI Esc'!$C$5:$W$555,18,FALSE),"-")</f>
        <v>-</v>
      </c>
      <c r="CA1132" s="50" t="str">
        <f t="shared" si="469"/>
        <v>-</v>
      </c>
      <c r="CB1132" s="50">
        <f>IFERROR(VLOOKUP(BY1132,'[1]WCVI Esc'!$C$5:$W$555,19,FALSE),"-")</f>
        <v>145</v>
      </c>
      <c r="CC1132" s="50">
        <f t="shared" si="470"/>
        <v>150</v>
      </c>
      <c r="CE1132" s="342" t="str">
        <f t="shared" si="472"/>
        <v>INNER BASIN RIVER (Ransom C)_Coho</v>
      </c>
      <c r="CF1132" s="341" t="str">
        <f>IFERROR(VLOOKUP(BY1132,'RawPL+D'!$O$8:$AB$503,12,FALSE),"-")</f>
        <v>-</v>
      </c>
      <c r="CG1132" s="338" t="str">
        <f t="shared" si="454"/>
        <v>-</v>
      </c>
      <c r="CH1132" s="341" t="str">
        <f>IFERROR(VLOOKUP(BY1132,'RawPL+D'!$O$8:$AB$503,13,FALSE),"-")</f>
        <v>-</v>
      </c>
      <c r="CI1132" s="338" t="str">
        <f t="shared" si="455"/>
        <v>-</v>
      </c>
    </row>
    <row r="1133" spans="1:87" ht="12.75" hidden="1" customHeight="1" x14ac:dyDescent="0.2">
      <c r="A1133" s="28">
        <v>4</v>
      </c>
      <c r="B1133" s="29">
        <v>3</v>
      </c>
      <c r="C1133" s="13">
        <v>25</v>
      </c>
      <c r="D1133" s="13" t="s">
        <v>298</v>
      </c>
      <c r="E1133" s="10" t="s">
        <v>196</v>
      </c>
      <c r="F1133" s="10" t="s">
        <v>208</v>
      </c>
      <c r="G1133" s="10"/>
      <c r="H1133" s="10"/>
      <c r="I1133" s="10"/>
      <c r="J1133" s="10"/>
      <c r="K1133" s="575"/>
      <c r="L1133" s="152"/>
      <c r="M1133" s="164"/>
      <c r="N1133" s="62"/>
      <c r="O1133" s="62"/>
      <c r="P1133" s="177"/>
      <c r="Q1133" s="452"/>
      <c r="R1133" s="94"/>
      <c r="S1133" s="62"/>
      <c r="T1133" s="62"/>
      <c r="U1133" s="64"/>
      <c r="V1133" s="164"/>
      <c r="W1133" s="62"/>
      <c r="X1133" s="62"/>
      <c r="Y1133" s="62"/>
      <c r="Z1133" s="64"/>
      <c r="AA1133" s="164"/>
      <c r="AB1133" s="62"/>
      <c r="AC1133" s="62"/>
      <c r="AD1133" s="64"/>
      <c r="AE1133" s="164"/>
      <c r="AF1133" s="62"/>
      <c r="AG1133" s="64"/>
      <c r="AH1133" s="337"/>
      <c r="AI1133" s="337"/>
      <c r="AJ1133" s="337"/>
      <c r="AK1133" s="337"/>
      <c r="AL1133" s="414"/>
      <c r="AM1133" s="414"/>
      <c r="AN1133" s="45"/>
      <c r="AO1133" s="45"/>
      <c r="AP1133" s="45"/>
      <c r="AQ1133" s="396"/>
      <c r="AR1133" s="100"/>
      <c r="AS1133" s="24"/>
      <c r="AT1133" s="24"/>
      <c r="AU1133" s="24"/>
      <c r="AV1133" s="24"/>
      <c r="AW1133" s="69">
        <v>25</v>
      </c>
      <c r="AX1133" s="69" t="s">
        <v>298</v>
      </c>
      <c r="AY1133" s="243" t="s">
        <v>196</v>
      </c>
      <c r="AZ1133" s="243" t="str">
        <f t="shared" si="458"/>
        <v>Pink</v>
      </c>
      <c r="BA1133" s="243" t="s">
        <v>419</v>
      </c>
      <c r="BB1133" s="246"/>
      <c r="BC1133" s="43" t="str">
        <f t="shared" si="459"/>
        <v>-</v>
      </c>
      <c r="BD1133" s="43">
        <f t="shared" si="457"/>
        <v>0</v>
      </c>
      <c r="BE1133" s="193">
        <f t="shared" si="471"/>
        <v>0</v>
      </c>
      <c r="BF1133" s="193">
        <f t="shared" si="460"/>
        <v>0</v>
      </c>
      <c r="BG1133" s="193">
        <f t="shared" si="461"/>
        <v>0</v>
      </c>
      <c r="BH1133" s="307" t="str">
        <f t="shared" si="473"/>
        <v>-</v>
      </c>
      <c r="BI1133" s="266"/>
      <c r="BJ1133" s="26" t="str">
        <f t="shared" si="462"/>
        <v>INNER BASIN RIVER (Ransom C)Pink</v>
      </c>
      <c r="BK1133" s="26">
        <f t="shared" si="463"/>
        <v>0</v>
      </c>
      <c r="BL1133" s="33">
        <f t="shared" si="476"/>
        <v>0</v>
      </c>
      <c r="BQ1133" s="47" t="str">
        <f t="shared" si="464"/>
        <v>INNER BASIN RIVER (Ransom C)Pink</v>
      </c>
      <c r="BR1133" s="49">
        <f t="shared" si="465"/>
        <v>0</v>
      </c>
      <c r="BS1133" s="49">
        <f t="shared" si="474"/>
        <v>0</v>
      </c>
      <c r="BT1133" s="31">
        <v>0</v>
      </c>
      <c r="BU1133" s="188">
        <f t="shared" si="466"/>
        <v>0</v>
      </c>
      <c r="BV1133" s="188" t="str">
        <f t="shared" si="467"/>
        <v xml:space="preserve"> </v>
      </c>
      <c r="BW1133" s="188" t="str">
        <f t="shared" si="475"/>
        <v xml:space="preserve"> </v>
      </c>
      <c r="BX1133" s="188" t="str">
        <f t="shared" si="468"/>
        <v xml:space="preserve"> </v>
      </c>
      <c r="BY1133" s="50" t="str">
        <f t="shared" si="456"/>
        <v>INNER BASIN RIVER (Ransom C)_Pink</v>
      </c>
      <c r="BZ1133" s="50" t="str">
        <f>IFERROR(VLOOKUP(BY1133,'[1]WCVI Esc'!$C$5:$W$555,18,FALSE),"-")</f>
        <v>-</v>
      </c>
      <c r="CA1133" s="50" t="str">
        <f t="shared" si="469"/>
        <v>-</v>
      </c>
      <c r="CB1133" s="50" t="str">
        <f>IFERROR(VLOOKUP(BY1133,'[1]WCVI Esc'!$C$5:$W$555,19,FALSE),"-")</f>
        <v>-</v>
      </c>
      <c r="CC1133" s="50" t="str">
        <f t="shared" si="470"/>
        <v>-</v>
      </c>
      <c r="CE1133" s="342" t="str">
        <f t="shared" si="472"/>
        <v>INNER BASIN RIVER (Ransom C)_Pink</v>
      </c>
      <c r="CF1133" s="341" t="str">
        <f>IFERROR(VLOOKUP(BY1133,'RawPL+D'!$O$8:$AB$503,12,FALSE),"-")</f>
        <v>-</v>
      </c>
      <c r="CG1133" s="338" t="str">
        <f t="shared" si="454"/>
        <v>-</v>
      </c>
      <c r="CH1133" s="341" t="str">
        <f>IFERROR(VLOOKUP(BY1133,'RawPL+D'!$O$8:$AB$503,13,FALSE),"-")</f>
        <v>-</v>
      </c>
      <c r="CI1133" s="338" t="str">
        <f t="shared" si="455"/>
        <v>-</v>
      </c>
    </row>
    <row r="1134" spans="1:87" ht="12.75" hidden="1" customHeight="1" x14ac:dyDescent="0.2">
      <c r="A1134" s="28">
        <v>4</v>
      </c>
      <c r="B1134" s="29">
        <v>4</v>
      </c>
      <c r="C1134" s="13">
        <v>25</v>
      </c>
      <c r="D1134" s="13" t="s">
        <v>298</v>
      </c>
      <c r="E1134" s="10" t="s">
        <v>196</v>
      </c>
      <c r="F1134" s="10" t="s">
        <v>209</v>
      </c>
      <c r="G1134" s="10"/>
      <c r="H1134" s="10"/>
      <c r="I1134" s="10"/>
      <c r="J1134" s="10"/>
      <c r="K1134" s="575"/>
      <c r="L1134" s="152"/>
      <c r="M1134" s="164"/>
      <c r="N1134" s="62"/>
      <c r="O1134" s="62"/>
      <c r="P1134" s="177"/>
      <c r="Q1134" s="452"/>
      <c r="R1134" s="94"/>
      <c r="S1134" s="62"/>
      <c r="T1134" s="62"/>
      <c r="U1134" s="64"/>
      <c r="V1134" s="164"/>
      <c r="W1134" s="62"/>
      <c r="X1134" s="62"/>
      <c r="Y1134" s="62"/>
      <c r="Z1134" s="64"/>
      <c r="AA1134" s="164"/>
      <c r="AB1134" s="62"/>
      <c r="AC1134" s="62"/>
      <c r="AD1134" s="64"/>
      <c r="AE1134" s="164"/>
      <c r="AF1134" s="62"/>
      <c r="AG1134" s="64"/>
      <c r="AH1134" s="337"/>
      <c r="AI1134" s="337"/>
      <c r="AJ1134" s="337"/>
      <c r="AK1134" s="337"/>
      <c r="AL1134" s="414"/>
      <c r="AM1134" s="414"/>
      <c r="AN1134" s="45"/>
      <c r="AO1134" s="45"/>
      <c r="AP1134" s="45"/>
      <c r="AQ1134" s="396">
        <f>AL1134/BI1134</f>
        <v>0</v>
      </c>
      <c r="AR1134" s="485" t="e">
        <f>BL1134/BH1134</f>
        <v>#VALUE!</v>
      </c>
      <c r="AS1134" s="24"/>
      <c r="AT1134" s="24"/>
      <c r="AU1134" s="24"/>
      <c r="AV1134" s="24"/>
      <c r="AW1134" s="69">
        <v>25</v>
      </c>
      <c r="AX1134" s="69" t="s">
        <v>298</v>
      </c>
      <c r="AY1134" s="243" t="s">
        <v>196</v>
      </c>
      <c r="AZ1134" s="243" t="str">
        <f t="shared" si="458"/>
        <v>Chum</v>
      </c>
      <c r="BA1134" s="243" t="s">
        <v>419</v>
      </c>
      <c r="BB1134" s="246"/>
      <c r="BC1134" s="43" t="str">
        <f t="shared" si="459"/>
        <v>-</v>
      </c>
      <c r="BD1134" s="43">
        <f t="shared" si="457"/>
        <v>0</v>
      </c>
      <c r="BE1134" s="193">
        <f t="shared" si="471"/>
        <v>0</v>
      </c>
      <c r="BF1134" s="193">
        <f t="shared" si="460"/>
        <v>0</v>
      </c>
      <c r="BG1134" s="193">
        <f t="shared" si="461"/>
        <v>0</v>
      </c>
      <c r="BH1134" s="307" t="str">
        <f t="shared" si="473"/>
        <v>-</v>
      </c>
      <c r="BI1134" s="265">
        <f>CC1134</f>
        <v>140</v>
      </c>
      <c r="BJ1134" s="26" t="str">
        <f t="shared" si="462"/>
        <v>INNER BASIN RIVER (Ransom C)Chum</v>
      </c>
      <c r="BK1134" s="26">
        <f t="shared" si="463"/>
        <v>0</v>
      </c>
      <c r="BL1134" s="33">
        <f t="shared" si="476"/>
        <v>0</v>
      </c>
      <c r="BQ1134" s="47" t="str">
        <f t="shared" si="464"/>
        <v>INNER BASIN RIVER (Ransom C)Chum</v>
      </c>
      <c r="BR1134" s="49">
        <f t="shared" si="465"/>
        <v>0</v>
      </c>
      <c r="BS1134" s="49">
        <f t="shared" si="474"/>
        <v>0</v>
      </c>
      <c r="BT1134" s="31">
        <v>2011</v>
      </c>
      <c r="BU1134" s="188">
        <f t="shared" si="466"/>
        <v>0</v>
      </c>
      <c r="BV1134" s="188" t="str">
        <f t="shared" si="467"/>
        <v xml:space="preserve"> </v>
      </c>
      <c r="BW1134" s="188" t="str">
        <f t="shared" si="475"/>
        <v xml:space="preserve"> </v>
      </c>
      <c r="BX1134" s="188" t="str">
        <f t="shared" si="468"/>
        <v xml:space="preserve"> </v>
      </c>
      <c r="BY1134" s="50" t="str">
        <f t="shared" si="456"/>
        <v>INNER BASIN RIVER (Ransom C)_Chum</v>
      </c>
      <c r="BZ1134" s="50" t="str">
        <f>IFERROR(VLOOKUP(BY1134,'[1]WCVI Esc'!$C$5:$W$555,18,FALSE),"-")</f>
        <v>-</v>
      </c>
      <c r="CA1134" s="50" t="str">
        <f t="shared" si="469"/>
        <v>-</v>
      </c>
      <c r="CB1134" s="50">
        <f>IFERROR(VLOOKUP(BY1134,'[1]WCVI Esc'!$C$5:$W$555,19,FALSE),"-")</f>
        <v>140</v>
      </c>
      <c r="CC1134" s="50">
        <f t="shared" si="470"/>
        <v>140</v>
      </c>
      <c r="CE1134" s="342" t="str">
        <f t="shared" si="472"/>
        <v>INNER BASIN RIVER (Ransom C)_Chum</v>
      </c>
      <c r="CF1134" s="341" t="str">
        <f>IFERROR(VLOOKUP(BY1134,'RawPL+D'!$O$8:$AB$503,12,FALSE),"-")</f>
        <v>-</v>
      </c>
      <c r="CG1134" s="338" t="str">
        <f t="shared" si="454"/>
        <v>-</v>
      </c>
      <c r="CH1134" s="341" t="str">
        <f>IFERROR(VLOOKUP(BY1134,'RawPL+D'!$O$8:$AB$503,13,FALSE),"-")</f>
        <v>-</v>
      </c>
      <c r="CI1134" s="338" t="str">
        <f t="shared" si="455"/>
        <v>-</v>
      </c>
    </row>
    <row r="1135" spans="1:87" ht="12.75" hidden="1" customHeight="1" x14ac:dyDescent="0.2">
      <c r="A1135" s="28">
        <v>4</v>
      </c>
      <c r="B1135" s="29">
        <v>5</v>
      </c>
      <c r="C1135" s="13">
        <v>25</v>
      </c>
      <c r="D1135" s="13" t="s">
        <v>298</v>
      </c>
      <c r="E1135" s="10" t="s">
        <v>196</v>
      </c>
      <c r="F1135" s="10" t="s">
        <v>210</v>
      </c>
      <c r="G1135" s="10"/>
      <c r="H1135" s="10"/>
      <c r="I1135" s="10"/>
      <c r="J1135" s="10"/>
      <c r="K1135" s="575"/>
      <c r="L1135" s="152"/>
      <c r="M1135" s="164"/>
      <c r="N1135" s="62"/>
      <c r="O1135" s="62"/>
      <c r="P1135" s="177"/>
      <c r="Q1135" s="452"/>
      <c r="R1135" s="94"/>
      <c r="S1135" s="62"/>
      <c r="T1135" s="62"/>
      <c r="U1135" s="64"/>
      <c r="V1135" s="164"/>
      <c r="W1135" s="62"/>
      <c r="X1135" s="62"/>
      <c r="Y1135" s="62"/>
      <c r="Z1135" s="64"/>
      <c r="AA1135" s="164"/>
      <c r="AB1135" s="62"/>
      <c r="AC1135" s="62"/>
      <c r="AD1135" s="64"/>
      <c r="AE1135" s="164"/>
      <c r="AF1135" s="62"/>
      <c r="AG1135" s="64"/>
      <c r="AH1135" s="337"/>
      <c r="AI1135" s="337"/>
      <c r="AJ1135" s="337"/>
      <c r="AK1135" s="337"/>
      <c r="AL1135" s="414"/>
      <c r="AM1135" s="414"/>
      <c r="AN1135" s="45"/>
      <c r="AO1135" s="45"/>
      <c r="AP1135" s="45"/>
      <c r="AQ1135" s="100"/>
      <c r="AR1135" s="100"/>
      <c r="AS1135" s="24"/>
      <c r="AT1135" s="24"/>
      <c r="AU1135" s="24"/>
      <c r="AV1135" s="24"/>
      <c r="AW1135" s="69">
        <v>25</v>
      </c>
      <c r="AX1135" s="69" t="s">
        <v>298</v>
      </c>
      <c r="AY1135" s="243" t="s">
        <v>196</v>
      </c>
      <c r="AZ1135" s="243" t="str">
        <f t="shared" si="458"/>
        <v>Chinook</v>
      </c>
      <c r="BA1135" s="243" t="s">
        <v>419</v>
      </c>
      <c r="BB1135" s="246"/>
      <c r="BC1135" s="43" t="str">
        <f t="shared" si="459"/>
        <v>-</v>
      </c>
      <c r="BD1135" s="43">
        <f t="shared" si="457"/>
        <v>0</v>
      </c>
      <c r="BE1135" s="193">
        <f t="shared" si="471"/>
        <v>0</v>
      </c>
      <c r="BF1135" s="193">
        <f t="shared" si="460"/>
        <v>0</v>
      </c>
      <c r="BG1135" s="193">
        <f t="shared" si="461"/>
        <v>0</v>
      </c>
      <c r="BH1135" s="307" t="str">
        <f t="shared" si="473"/>
        <v>-</v>
      </c>
      <c r="BI1135" s="265">
        <f>CC1135</f>
        <v>0</v>
      </c>
      <c r="BJ1135" s="26" t="str">
        <f t="shared" si="462"/>
        <v>INNER BASIN RIVER (Ransom C)Chinook</v>
      </c>
      <c r="BK1135" s="26">
        <f t="shared" si="463"/>
        <v>0</v>
      </c>
      <c r="BL1135" s="33">
        <f t="shared" si="476"/>
        <v>0</v>
      </c>
      <c r="BQ1135" s="47" t="str">
        <f t="shared" si="464"/>
        <v>INNER BASIN RIVER (Ransom C)Chinook</v>
      </c>
      <c r="BR1135" s="49">
        <f t="shared" si="465"/>
        <v>0</v>
      </c>
      <c r="BS1135" s="49">
        <f t="shared" si="474"/>
        <v>0</v>
      </c>
      <c r="BT1135" s="31">
        <v>2011</v>
      </c>
      <c r="BU1135" s="188">
        <f t="shared" si="466"/>
        <v>0</v>
      </c>
      <c r="BV1135" s="188" t="str">
        <f t="shared" si="467"/>
        <v xml:space="preserve"> </v>
      </c>
      <c r="BW1135" s="188" t="str">
        <f t="shared" si="475"/>
        <v xml:space="preserve"> </v>
      </c>
      <c r="BX1135" s="188" t="str">
        <f t="shared" si="468"/>
        <v xml:space="preserve"> </v>
      </c>
      <c r="BY1135" s="50" t="str">
        <f t="shared" si="456"/>
        <v>INNER BASIN RIVER (Ransom C)_Chinook</v>
      </c>
      <c r="BZ1135" s="50" t="str">
        <f>IFERROR(VLOOKUP(BY1135,'[1]WCVI Esc'!$C$5:$W$555,18,FALSE),"-")</f>
        <v>-</v>
      </c>
      <c r="CA1135" s="50" t="str">
        <f t="shared" si="469"/>
        <v>-</v>
      </c>
      <c r="CB1135" s="50">
        <f>IFERROR(VLOOKUP(BY1135,'[1]WCVI Esc'!$C$5:$W$555,19,FALSE),"-")</f>
        <v>1</v>
      </c>
      <c r="CC1135" s="50">
        <f t="shared" si="470"/>
        <v>0</v>
      </c>
      <c r="CE1135" s="342" t="str">
        <f t="shared" si="472"/>
        <v>INNER BASIN RIVER (Ransom C)_Chinook</v>
      </c>
      <c r="CF1135" s="341" t="str">
        <f>IFERROR(VLOOKUP(BY1135,'RawPL+D'!$O$8:$AB$503,12,FALSE),"-")</f>
        <v>-</v>
      </c>
      <c r="CG1135" s="338" t="str">
        <f t="shared" si="454"/>
        <v>-</v>
      </c>
      <c r="CH1135" s="341" t="str">
        <f>IFERROR(VLOOKUP(BY1135,'RawPL+D'!$O$8:$AB$503,13,FALSE),"-")</f>
        <v>-</v>
      </c>
      <c r="CI1135" s="338" t="str">
        <f t="shared" si="455"/>
        <v>-</v>
      </c>
    </row>
    <row r="1136" spans="1:87" ht="12.75" hidden="1" customHeight="1" x14ac:dyDescent="0.2">
      <c r="A1136" s="28">
        <v>4</v>
      </c>
      <c r="B1136" s="29">
        <v>6</v>
      </c>
      <c r="C1136" s="13">
        <v>25</v>
      </c>
      <c r="D1136" s="13" t="s">
        <v>298</v>
      </c>
      <c r="E1136" s="10" t="s">
        <v>196</v>
      </c>
      <c r="F1136" s="10" t="s">
        <v>211</v>
      </c>
      <c r="G1136" s="10"/>
      <c r="H1136" s="10"/>
      <c r="I1136" s="10"/>
      <c r="J1136" s="10"/>
      <c r="K1136" s="575"/>
      <c r="L1136" s="152"/>
      <c r="M1136" s="164"/>
      <c r="N1136" s="62"/>
      <c r="O1136" s="62"/>
      <c r="P1136" s="177"/>
      <c r="Q1136" s="452"/>
      <c r="R1136" s="94"/>
      <c r="S1136" s="62"/>
      <c r="T1136" s="62"/>
      <c r="U1136" s="64"/>
      <c r="V1136" s="164"/>
      <c r="W1136" s="62"/>
      <c r="X1136" s="62"/>
      <c r="Y1136" s="62"/>
      <c r="Z1136" s="64"/>
      <c r="AA1136" s="164"/>
      <c r="AB1136" s="62"/>
      <c r="AC1136" s="62"/>
      <c r="AD1136" s="64"/>
      <c r="AE1136" s="164"/>
      <c r="AF1136" s="62"/>
      <c r="AG1136" s="64"/>
      <c r="AH1136" s="337"/>
      <c r="AI1136" s="337"/>
      <c r="AJ1136" s="337"/>
      <c r="AK1136" s="337"/>
      <c r="AL1136" s="414"/>
      <c r="AM1136" s="414"/>
      <c r="AN1136" s="45"/>
      <c r="AO1136" s="45"/>
      <c r="AP1136" s="45"/>
      <c r="AQ1136" s="100"/>
      <c r="AR1136" s="100"/>
      <c r="AS1136" s="24"/>
      <c r="AT1136" s="24"/>
      <c r="AU1136" s="24"/>
      <c r="AV1136" s="24"/>
      <c r="AW1136" s="69">
        <v>25</v>
      </c>
      <c r="AX1136" s="69" t="s">
        <v>298</v>
      </c>
      <c r="AY1136" s="243" t="s">
        <v>196</v>
      </c>
      <c r="AZ1136" s="243" t="str">
        <f t="shared" si="458"/>
        <v>Steelhead</v>
      </c>
      <c r="BA1136" s="243" t="s">
        <v>419</v>
      </c>
      <c r="BB1136" s="388"/>
      <c r="BC1136" s="43" t="str">
        <f t="shared" si="459"/>
        <v>-</v>
      </c>
      <c r="BD1136" s="43">
        <f t="shared" si="457"/>
        <v>0</v>
      </c>
      <c r="BE1136" s="193">
        <f t="shared" si="471"/>
        <v>0</v>
      </c>
      <c r="BF1136" s="193">
        <f t="shared" si="460"/>
        <v>0</v>
      </c>
      <c r="BG1136" s="193">
        <f t="shared" si="461"/>
        <v>0</v>
      </c>
      <c r="BH1136" s="307" t="str">
        <f t="shared" si="473"/>
        <v>-</v>
      </c>
      <c r="BI1136" s="270"/>
      <c r="BJ1136" s="26" t="str">
        <f t="shared" si="462"/>
        <v>INNER BASIN RIVER (Ransom C)Steelhead</v>
      </c>
      <c r="BK1136" s="26">
        <f t="shared" si="463"/>
        <v>0</v>
      </c>
      <c r="BL1136" s="33">
        <f t="shared" si="476"/>
        <v>0</v>
      </c>
      <c r="BQ1136" s="47" t="str">
        <f t="shared" si="464"/>
        <v>INNER BASIN RIVER (Ransom C)Steelhead</v>
      </c>
      <c r="BR1136" s="49">
        <f t="shared" si="465"/>
        <v>0</v>
      </c>
      <c r="BS1136" s="49">
        <f t="shared" si="474"/>
        <v>0</v>
      </c>
      <c r="BT1136" s="31">
        <v>0</v>
      </c>
      <c r="BU1136" s="188">
        <f t="shared" si="466"/>
        <v>0</v>
      </c>
      <c r="BV1136" s="188" t="str">
        <f t="shared" si="467"/>
        <v xml:space="preserve"> </v>
      </c>
      <c r="BW1136" s="188" t="str">
        <f t="shared" si="475"/>
        <v xml:space="preserve"> </v>
      </c>
      <c r="BX1136" s="188" t="str">
        <f t="shared" si="468"/>
        <v xml:space="preserve"> </v>
      </c>
      <c r="BY1136" s="50" t="str">
        <f t="shared" si="456"/>
        <v>INNER BASIN RIVER (Ransom C)_Steelhead</v>
      </c>
      <c r="BZ1136" s="50" t="str">
        <f>IFERROR(VLOOKUP(BY1136,'[1]WCVI Esc'!$C$5:$W$555,18,FALSE),"-")</f>
        <v>-</v>
      </c>
      <c r="CA1136" s="50" t="str">
        <f t="shared" si="469"/>
        <v>-</v>
      </c>
      <c r="CB1136" s="50" t="str">
        <f>IFERROR(VLOOKUP(BY1136,'[1]WCVI Esc'!$C$5:$W$555,19,FALSE),"-")</f>
        <v>-</v>
      </c>
      <c r="CC1136" s="50" t="str">
        <f t="shared" si="470"/>
        <v>-</v>
      </c>
      <c r="CE1136" s="342" t="str">
        <f t="shared" si="472"/>
        <v>INNER BASIN RIVER (Ransom C)_Steelhead</v>
      </c>
      <c r="CF1136" s="341" t="str">
        <f>IFERROR(VLOOKUP(BY1136,'RawPL+D'!$O$8:$AB$503,12,FALSE),"-")</f>
        <v>-</v>
      </c>
      <c r="CG1136" s="338" t="str">
        <f t="shared" si="454"/>
        <v>-</v>
      </c>
      <c r="CH1136" s="341" t="str">
        <f>IFERROR(VLOOKUP(BY1136,'RawPL+D'!$O$8:$AB$503,13,FALSE),"-")</f>
        <v>-</v>
      </c>
      <c r="CI1136" s="338" t="str">
        <f t="shared" si="455"/>
        <v>-</v>
      </c>
    </row>
    <row r="1137" spans="1:87" ht="12.75" hidden="1" customHeight="1" x14ac:dyDescent="0.2">
      <c r="A1137" s="28">
        <v>4</v>
      </c>
      <c r="B1137" s="28">
        <v>1</v>
      </c>
      <c r="C1137" s="11">
        <v>25</v>
      </c>
      <c r="D1137" s="13" t="s">
        <v>298</v>
      </c>
      <c r="E1137" s="10" t="s">
        <v>144</v>
      </c>
      <c r="F1137" s="10" t="s">
        <v>207</v>
      </c>
      <c r="G1137" s="10"/>
      <c r="H1137" s="10"/>
      <c r="I1137" s="10"/>
      <c r="J1137" s="10"/>
      <c r="K1137" s="575"/>
      <c r="L1137" s="152"/>
      <c r="M1137" s="164"/>
      <c r="N1137" s="62"/>
      <c r="O1137" s="62"/>
      <c r="P1137" s="177"/>
      <c r="Q1137" s="452"/>
      <c r="R1137" s="94"/>
      <c r="S1137" s="62"/>
      <c r="T1137" s="62"/>
      <c r="U1137" s="64"/>
      <c r="V1137" s="164"/>
      <c r="W1137" s="62"/>
      <c r="X1137" s="62"/>
      <c r="Y1137" s="62"/>
      <c r="Z1137" s="64"/>
      <c r="AA1137" s="164"/>
      <c r="AB1137" s="62"/>
      <c r="AC1137" s="62"/>
      <c r="AD1137" s="64"/>
      <c r="AE1137" s="164"/>
      <c r="AF1137" s="62"/>
      <c r="AG1137" s="64"/>
      <c r="AH1137" s="337"/>
      <c r="AI1137" s="337"/>
      <c r="AJ1137" s="337"/>
      <c r="AK1137" s="337"/>
      <c r="AL1137" s="414"/>
      <c r="AM1137" s="414"/>
      <c r="AN1137" s="45"/>
      <c r="AO1137" s="45"/>
      <c r="AP1137" s="45"/>
      <c r="AQ1137" s="396">
        <f>AL1137/BI1137</f>
        <v>0</v>
      </c>
      <c r="AR1137" s="485" t="e">
        <f>BL1137/BH1137</f>
        <v>#VALUE!</v>
      </c>
      <c r="AS1137" s="24"/>
      <c r="AT1137" s="24"/>
      <c r="AU1137" s="24"/>
      <c r="AV1137" s="24"/>
      <c r="AW1137" s="18">
        <v>25</v>
      </c>
      <c r="AX1137" s="69" t="s">
        <v>298</v>
      </c>
      <c r="AY1137" s="243" t="s">
        <v>144</v>
      </c>
      <c r="AZ1137" s="243" t="str">
        <f t="shared" si="458"/>
        <v>Sockeye</v>
      </c>
      <c r="BA1137" s="243" t="s">
        <v>419</v>
      </c>
      <c r="BB1137" s="246"/>
      <c r="BC1137" s="43" t="str">
        <f t="shared" si="459"/>
        <v>-</v>
      </c>
      <c r="BD1137" s="43">
        <f t="shared" si="457"/>
        <v>0</v>
      </c>
      <c r="BE1137" s="193">
        <f t="shared" si="471"/>
        <v>0</v>
      </c>
      <c r="BF1137" s="193">
        <f t="shared" si="460"/>
        <v>0</v>
      </c>
      <c r="BG1137" s="193">
        <f t="shared" si="461"/>
        <v>0</v>
      </c>
      <c r="BH1137" s="307" t="str">
        <f t="shared" si="473"/>
        <v>-</v>
      </c>
      <c r="BI1137" s="265">
        <f>CC1137</f>
        <v>10</v>
      </c>
      <c r="BJ1137" s="26" t="str">
        <f t="shared" si="462"/>
        <v>LORD CREEKSockeye</v>
      </c>
      <c r="BK1137" s="26">
        <f t="shared" si="463"/>
        <v>0</v>
      </c>
      <c r="BL1137" s="33">
        <f t="shared" si="476"/>
        <v>0</v>
      </c>
      <c r="BQ1137" s="47" t="str">
        <f t="shared" si="464"/>
        <v>LORD CREEKSockeye</v>
      </c>
      <c r="BR1137" s="49">
        <f t="shared" si="465"/>
        <v>0</v>
      </c>
      <c r="BS1137" s="49">
        <f t="shared" si="474"/>
        <v>0</v>
      </c>
      <c r="BT1137" s="31">
        <v>2011</v>
      </c>
      <c r="BU1137" s="188">
        <f t="shared" si="466"/>
        <v>0</v>
      </c>
      <c r="BV1137" s="188" t="str">
        <f t="shared" si="467"/>
        <v xml:space="preserve"> </v>
      </c>
      <c r="BW1137" s="188" t="str">
        <f t="shared" si="475"/>
        <v xml:space="preserve"> </v>
      </c>
      <c r="BX1137" s="188" t="str">
        <f t="shared" si="468"/>
        <v xml:space="preserve"> </v>
      </c>
      <c r="BY1137" s="50" t="str">
        <f t="shared" si="456"/>
        <v>LORD CREEK_Sockeye</v>
      </c>
      <c r="BZ1137" s="50" t="str">
        <f>IFERROR(VLOOKUP(BY1137,'[1]WCVI Esc'!$C$5:$W$555,18,FALSE),"-")</f>
        <v>-</v>
      </c>
      <c r="CA1137" s="50" t="str">
        <f t="shared" si="469"/>
        <v>-</v>
      </c>
      <c r="CB1137" s="50">
        <f>IFERROR(VLOOKUP(BY1137,'[1]WCVI Esc'!$C$5:$W$555,19,FALSE),"-")</f>
        <v>8</v>
      </c>
      <c r="CC1137" s="50">
        <f t="shared" si="470"/>
        <v>10</v>
      </c>
      <c r="CE1137" s="342" t="str">
        <f t="shared" si="472"/>
        <v>LORD CREEK_Sockeye</v>
      </c>
      <c r="CF1137" s="341" t="str">
        <f>IFERROR(VLOOKUP(BY1137,'RawPL+D'!$O$8:$AB$503,12,FALSE),"-")</f>
        <v>-</v>
      </c>
      <c r="CG1137" s="338" t="str">
        <f t="shared" si="454"/>
        <v>-</v>
      </c>
      <c r="CH1137" s="341" t="str">
        <f>IFERROR(VLOOKUP(BY1137,'RawPL+D'!$O$8:$AB$503,13,FALSE),"-")</f>
        <v>-</v>
      </c>
      <c r="CI1137" s="338" t="str">
        <f t="shared" si="455"/>
        <v>-</v>
      </c>
    </row>
    <row r="1138" spans="1:87" ht="12.75" hidden="1" customHeight="1" x14ac:dyDescent="0.2">
      <c r="A1138" s="28">
        <v>4</v>
      </c>
      <c r="B1138" s="28">
        <v>2</v>
      </c>
      <c r="C1138" s="11">
        <v>25</v>
      </c>
      <c r="D1138" s="13" t="s">
        <v>298</v>
      </c>
      <c r="E1138" s="10" t="s">
        <v>144</v>
      </c>
      <c r="F1138" s="10" t="s">
        <v>219</v>
      </c>
      <c r="G1138" s="10"/>
      <c r="H1138" s="10"/>
      <c r="I1138" s="10"/>
      <c r="J1138" s="10"/>
      <c r="K1138" s="575"/>
      <c r="L1138" s="152"/>
      <c r="M1138" s="164"/>
      <c r="N1138" s="62"/>
      <c r="O1138" s="62"/>
      <c r="P1138" s="177"/>
      <c r="Q1138" s="452"/>
      <c r="R1138" s="94"/>
      <c r="S1138" s="62"/>
      <c r="T1138" s="62"/>
      <c r="U1138" s="64"/>
      <c r="V1138" s="164"/>
      <c r="W1138" s="62"/>
      <c r="X1138" s="62"/>
      <c r="Y1138" s="62"/>
      <c r="Z1138" s="64"/>
      <c r="AA1138" s="164"/>
      <c r="AB1138" s="62"/>
      <c r="AC1138" s="62"/>
      <c r="AD1138" s="64"/>
      <c r="AE1138" s="164"/>
      <c r="AF1138" s="62"/>
      <c r="AG1138" s="64"/>
      <c r="AH1138" s="337"/>
      <c r="AI1138" s="337"/>
      <c r="AJ1138" s="337"/>
      <c r="AK1138" s="337"/>
      <c r="AL1138" s="414"/>
      <c r="AM1138" s="414"/>
      <c r="AN1138" s="45"/>
      <c r="AO1138" s="45"/>
      <c r="AP1138" s="45"/>
      <c r="AQ1138" s="396">
        <f>AL1138/BI1138</f>
        <v>0</v>
      </c>
      <c r="AR1138" s="485" t="e">
        <f>BL1138/BH1138</f>
        <v>#VALUE!</v>
      </c>
      <c r="AS1138" s="24"/>
      <c r="AT1138" s="24"/>
      <c r="AU1138" s="24"/>
      <c r="AV1138" s="24"/>
      <c r="AW1138" s="18">
        <v>25</v>
      </c>
      <c r="AX1138" s="69" t="s">
        <v>298</v>
      </c>
      <c r="AY1138" s="243" t="s">
        <v>144</v>
      </c>
      <c r="AZ1138" s="243" t="str">
        <f t="shared" si="458"/>
        <v>Coho</v>
      </c>
      <c r="BA1138" s="243" t="s">
        <v>419</v>
      </c>
      <c r="BB1138" s="246"/>
      <c r="BC1138" s="43" t="str">
        <f t="shared" si="459"/>
        <v>-</v>
      </c>
      <c r="BD1138" s="43">
        <f t="shared" si="457"/>
        <v>0</v>
      </c>
      <c r="BE1138" s="193">
        <f t="shared" si="471"/>
        <v>0</v>
      </c>
      <c r="BF1138" s="193">
        <f t="shared" si="460"/>
        <v>0</v>
      </c>
      <c r="BG1138" s="193">
        <f t="shared" si="461"/>
        <v>0</v>
      </c>
      <c r="BH1138" s="307" t="str">
        <f t="shared" si="473"/>
        <v>-</v>
      </c>
      <c r="BI1138" s="265">
        <f>CC1138</f>
        <v>210</v>
      </c>
      <c r="BJ1138" s="26" t="str">
        <f t="shared" si="462"/>
        <v>LORD CREEKCoho</v>
      </c>
      <c r="BK1138" s="26">
        <f t="shared" si="463"/>
        <v>0</v>
      </c>
      <c r="BL1138" s="33">
        <f t="shared" si="476"/>
        <v>0</v>
      </c>
      <c r="BQ1138" s="47" t="str">
        <f t="shared" si="464"/>
        <v>LORD CREEKCoho</v>
      </c>
      <c r="BR1138" s="49">
        <f t="shared" si="465"/>
        <v>0</v>
      </c>
      <c r="BS1138" s="49">
        <f t="shared" si="474"/>
        <v>0</v>
      </c>
      <c r="BT1138" s="31">
        <v>2011</v>
      </c>
      <c r="BU1138" s="188">
        <f t="shared" si="466"/>
        <v>0</v>
      </c>
      <c r="BV1138" s="188" t="str">
        <f t="shared" si="467"/>
        <v xml:space="preserve"> </v>
      </c>
      <c r="BW1138" s="188" t="str">
        <f t="shared" si="475"/>
        <v xml:space="preserve"> </v>
      </c>
      <c r="BX1138" s="188" t="str">
        <f t="shared" si="468"/>
        <v xml:space="preserve"> </v>
      </c>
      <c r="BY1138" s="50" t="str">
        <f t="shared" si="456"/>
        <v>LORD CREEK_Coho</v>
      </c>
      <c r="BZ1138" s="50" t="str">
        <f>IFERROR(VLOOKUP(BY1138,'[1]WCVI Esc'!$C$5:$W$555,18,FALSE),"-")</f>
        <v>-</v>
      </c>
      <c r="CA1138" s="50" t="str">
        <f t="shared" si="469"/>
        <v>-</v>
      </c>
      <c r="CB1138" s="50">
        <f>IFERROR(VLOOKUP(BY1138,'[1]WCVI Esc'!$C$5:$W$555,19,FALSE),"-")</f>
        <v>205</v>
      </c>
      <c r="CC1138" s="50">
        <f t="shared" si="470"/>
        <v>210</v>
      </c>
      <c r="CE1138" s="342" t="str">
        <f t="shared" si="472"/>
        <v>LORD CREEK_Coho</v>
      </c>
      <c r="CF1138" s="341" t="str">
        <f>IFERROR(VLOOKUP(BY1138,'RawPL+D'!$O$8:$AB$503,12,FALSE),"-")</f>
        <v>-</v>
      </c>
      <c r="CG1138" s="338" t="str">
        <f t="shared" si="454"/>
        <v>-</v>
      </c>
      <c r="CH1138" s="341" t="str">
        <f>IFERROR(VLOOKUP(BY1138,'RawPL+D'!$O$8:$AB$503,13,FALSE),"-")</f>
        <v>-</v>
      </c>
      <c r="CI1138" s="338" t="str">
        <f t="shared" si="455"/>
        <v>-</v>
      </c>
    </row>
    <row r="1139" spans="1:87" ht="12.75" hidden="1" customHeight="1" x14ac:dyDescent="0.2">
      <c r="A1139" s="28">
        <v>4</v>
      </c>
      <c r="B1139" s="28">
        <v>3</v>
      </c>
      <c r="C1139" s="11">
        <v>25</v>
      </c>
      <c r="D1139" s="13" t="s">
        <v>298</v>
      </c>
      <c r="E1139" s="10" t="s">
        <v>144</v>
      </c>
      <c r="F1139" s="10" t="s">
        <v>208</v>
      </c>
      <c r="G1139" s="10"/>
      <c r="H1139" s="10"/>
      <c r="I1139" s="10"/>
      <c r="J1139" s="10"/>
      <c r="K1139" s="575"/>
      <c r="L1139" s="152"/>
      <c r="M1139" s="164"/>
      <c r="N1139" s="62"/>
      <c r="O1139" s="62"/>
      <c r="P1139" s="177"/>
      <c r="Q1139" s="452"/>
      <c r="R1139" s="94"/>
      <c r="S1139" s="62"/>
      <c r="T1139" s="62"/>
      <c r="U1139" s="64"/>
      <c r="V1139" s="164"/>
      <c r="W1139" s="62"/>
      <c r="X1139" s="62"/>
      <c r="Y1139" s="62"/>
      <c r="Z1139" s="64"/>
      <c r="AA1139" s="164"/>
      <c r="AB1139" s="62"/>
      <c r="AC1139" s="62"/>
      <c r="AD1139" s="64"/>
      <c r="AE1139" s="164"/>
      <c r="AF1139" s="62"/>
      <c r="AG1139" s="64"/>
      <c r="AH1139" s="337"/>
      <c r="AI1139" s="337"/>
      <c r="AJ1139" s="337"/>
      <c r="AK1139" s="337"/>
      <c r="AL1139" s="414"/>
      <c r="AM1139" s="414"/>
      <c r="AN1139" s="45"/>
      <c r="AO1139" s="45"/>
      <c r="AP1139" s="45"/>
      <c r="AQ1139" s="396"/>
      <c r="AR1139"/>
      <c r="AS1139" s="24"/>
      <c r="AT1139" s="24"/>
      <c r="AU1139" s="24"/>
      <c r="AV1139" s="24"/>
      <c r="AW1139" s="18">
        <v>25</v>
      </c>
      <c r="AX1139" s="69" t="s">
        <v>298</v>
      </c>
      <c r="AY1139" s="243" t="s">
        <v>144</v>
      </c>
      <c r="AZ1139" s="243" t="str">
        <f t="shared" si="458"/>
        <v>Pink</v>
      </c>
      <c r="BA1139" s="243" t="s">
        <v>419</v>
      </c>
      <c r="BB1139" s="246"/>
      <c r="BC1139" s="43" t="str">
        <f t="shared" si="459"/>
        <v>-</v>
      </c>
      <c r="BD1139" s="43">
        <f t="shared" si="457"/>
        <v>0</v>
      </c>
      <c r="BE1139" s="193">
        <f t="shared" si="471"/>
        <v>0</v>
      </c>
      <c r="BF1139" s="193">
        <f t="shared" si="460"/>
        <v>0</v>
      </c>
      <c r="BG1139" s="193">
        <f t="shared" si="461"/>
        <v>0</v>
      </c>
      <c r="BH1139" s="307" t="str">
        <f t="shared" si="473"/>
        <v>-</v>
      </c>
      <c r="BI1139" s="266"/>
      <c r="BJ1139" s="26" t="str">
        <f t="shared" si="462"/>
        <v>LORD CREEKPink</v>
      </c>
      <c r="BK1139" s="26">
        <f t="shared" si="463"/>
        <v>0</v>
      </c>
      <c r="BL1139" s="33">
        <f t="shared" si="476"/>
        <v>0</v>
      </c>
      <c r="BQ1139" s="47" t="str">
        <f t="shared" si="464"/>
        <v>LORD CREEKPink</v>
      </c>
      <c r="BR1139" s="49">
        <f t="shared" si="465"/>
        <v>0</v>
      </c>
      <c r="BS1139" s="49">
        <f t="shared" si="474"/>
        <v>0</v>
      </c>
      <c r="BT1139" s="31">
        <v>0</v>
      </c>
      <c r="BU1139" s="188">
        <f t="shared" si="466"/>
        <v>0</v>
      </c>
      <c r="BV1139" s="188" t="str">
        <f t="shared" si="467"/>
        <v xml:space="preserve"> </v>
      </c>
      <c r="BW1139" s="188" t="str">
        <f t="shared" si="475"/>
        <v xml:space="preserve"> </v>
      </c>
      <c r="BX1139" s="188" t="str">
        <f t="shared" si="468"/>
        <v xml:space="preserve"> </v>
      </c>
      <c r="BY1139" s="50" t="str">
        <f t="shared" si="456"/>
        <v>LORD CREEK_Pink</v>
      </c>
      <c r="BZ1139" s="50" t="str">
        <f>IFERROR(VLOOKUP(BY1139,'[1]WCVI Esc'!$C$5:$W$555,18,FALSE),"-")</f>
        <v>-</v>
      </c>
      <c r="CA1139" s="50" t="str">
        <f t="shared" si="469"/>
        <v>-</v>
      </c>
      <c r="CB1139" s="50" t="str">
        <f>IFERROR(VLOOKUP(BY1139,'[1]WCVI Esc'!$C$5:$W$555,19,FALSE),"-")</f>
        <v>-</v>
      </c>
      <c r="CC1139" s="50" t="str">
        <f t="shared" si="470"/>
        <v>-</v>
      </c>
      <c r="CE1139" s="342" t="str">
        <f t="shared" si="472"/>
        <v>LORD CREEK_Pink</v>
      </c>
      <c r="CF1139" s="341" t="str">
        <f>IFERROR(VLOOKUP(BY1139,'RawPL+D'!$O$8:$AB$503,12,FALSE),"-")</f>
        <v>-</v>
      </c>
      <c r="CG1139" s="338" t="str">
        <f t="shared" si="454"/>
        <v>-</v>
      </c>
      <c r="CH1139" s="341" t="str">
        <f>IFERROR(VLOOKUP(BY1139,'RawPL+D'!$O$8:$AB$503,13,FALSE),"-")</f>
        <v>-</v>
      </c>
      <c r="CI1139" s="338" t="str">
        <f t="shared" si="455"/>
        <v>-</v>
      </c>
    </row>
    <row r="1140" spans="1:87" ht="12.75" hidden="1" customHeight="1" x14ac:dyDescent="0.2">
      <c r="A1140" s="28">
        <v>4</v>
      </c>
      <c r="B1140" s="28">
        <v>4</v>
      </c>
      <c r="C1140" s="11">
        <v>25</v>
      </c>
      <c r="D1140" s="13" t="s">
        <v>298</v>
      </c>
      <c r="E1140" s="10" t="s">
        <v>144</v>
      </c>
      <c r="F1140" s="10" t="s">
        <v>209</v>
      </c>
      <c r="G1140" s="10"/>
      <c r="H1140" s="10"/>
      <c r="I1140" s="10"/>
      <c r="J1140" s="10"/>
      <c r="K1140" s="575"/>
      <c r="L1140" s="152"/>
      <c r="M1140" s="164"/>
      <c r="N1140" s="62"/>
      <c r="O1140" s="62"/>
      <c r="P1140" s="177"/>
      <c r="Q1140" s="452"/>
      <c r="R1140" s="94"/>
      <c r="S1140" s="62"/>
      <c r="T1140" s="62"/>
      <c r="U1140" s="64"/>
      <c r="V1140" s="164"/>
      <c r="W1140" s="62"/>
      <c r="X1140" s="62"/>
      <c r="Y1140" s="62"/>
      <c r="Z1140" s="64"/>
      <c r="AA1140" s="164"/>
      <c r="AB1140" s="62"/>
      <c r="AC1140" s="62"/>
      <c r="AD1140" s="64"/>
      <c r="AE1140" s="164"/>
      <c r="AF1140" s="62"/>
      <c r="AG1140" s="64"/>
      <c r="AH1140" s="337"/>
      <c r="AI1140" s="337"/>
      <c r="AJ1140" s="337"/>
      <c r="AK1140" s="337"/>
      <c r="AL1140" s="414"/>
      <c r="AM1140" s="414"/>
      <c r="AN1140" s="45"/>
      <c r="AO1140" s="45"/>
      <c r="AP1140" s="45"/>
      <c r="AQ1140" s="396">
        <f>AL1140/BI1140</f>
        <v>0</v>
      </c>
      <c r="AR1140" s="485" t="e">
        <f>BL1140/BH1140</f>
        <v>#VALUE!</v>
      </c>
      <c r="AS1140" s="24"/>
      <c r="AT1140" s="24"/>
      <c r="AU1140" s="24"/>
      <c r="AV1140" s="24"/>
      <c r="AW1140" s="18">
        <v>25</v>
      </c>
      <c r="AX1140" s="69" t="s">
        <v>298</v>
      </c>
      <c r="AY1140" s="243" t="s">
        <v>144</v>
      </c>
      <c r="AZ1140" s="243" t="str">
        <f t="shared" si="458"/>
        <v>Chum</v>
      </c>
      <c r="BA1140" s="243" t="s">
        <v>419</v>
      </c>
      <c r="BB1140" s="246"/>
      <c r="BC1140" s="43" t="str">
        <f t="shared" si="459"/>
        <v>-</v>
      </c>
      <c r="BD1140" s="43">
        <f t="shared" si="457"/>
        <v>0</v>
      </c>
      <c r="BE1140" s="193">
        <f t="shared" si="471"/>
        <v>0</v>
      </c>
      <c r="BF1140" s="193">
        <f t="shared" si="460"/>
        <v>0</v>
      </c>
      <c r="BG1140" s="193">
        <f t="shared" si="461"/>
        <v>0</v>
      </c>
      <c r="BH1140" s="307" t="str">
        <f t="shared" si="473"/>
        <v>-</v>
      </c>
      <c r="BI1140" s="265">
        <f>CC1140</f>
        <v>70</v>
      </c>
      <c r="BJ1140" s="26" t="str">
        <f t="shared" si="462"/>
        <v>LORD CREEKChum</v>
      </c>
      <c r="BK1140" s="26">
        <f t="shared" si="463"/>
        <v>0</v>
      </c>
      <c r="BL1140" s="33">
        <f t="shared" si="476"/>
        <v>0</v>
      </c>
      <c r="BQ1140" s="47" t="str">
        <f t="shared" si="464"/>
        <v>LORD CREEKChum</v>
      </c>
      <c r="BR1140" s="49">
        <f t="shared" si="465"/>
        <v>0</v>
      </c>
      <c r="BS1140" s="49">
        <f t="shared" si="474"/>
        <v>0</v>
      </c>
      <c r="BT1140" s="31">
        <v>2011</v>
      </c>
      <c r="BU1140" s="188">
        <f t="shared" si="466"/>
        <v>0</v>
      </c>
      <c r="BV1140" s="188" t="str">
        <f t="shared" si="467"/>
        <v xml:space="preserve"> </v>
      </c>
      <c r="BW1140" s="188" t="str">
        <f t="shared" si="475"/>
        <v xml:space="preserve"> </v>
      </c>
      <c r="BX1140" s="188" t="str">
        <f t="shared" si="468"/>
        <v xml:space="preserve"> </v>
      </c>
      <c r="BY1140" s="50" t="str">
        <f t="shared" si="456"/>
        <v>LORD CREEK_Chum</v>
      </c>
      <c r="BZ1140" s="50" t="str">
        <f>IFERROR(VLOOKUP(BY1140,'[1]WCVI Esc'!$C$5:$W$555,18,FALSE),"-")</f>
        <v>-</v>
      </c>
      <c r="CA1140" s="50" t="str">
        <f t="shared" si="469"/>
        <v>-</v>
      </c>
      <c r="CB1140" s="50">
        <f>IFERROR(VLOOKUP(BY1140,'[1]WCVI Esc'!$C$5:$W$555,19,FALSE),"-")</f>
        <v>68</v>
      </c>
      <c r="CC1140" s="50">
        <f t="shared" si="470"/>
        <v>70</v>
      </c>
      <c r="CE1140" s="342" t="str">
        <f t="shared" si="472"/>
        <v>LORD CREEK_Chum</v>
      </c>
      <c r="CF1140" s="341" t="str">
        <f>IFERROR(VLOOKUP(BY1140,'RawPL+D'!$O$8:$AB$503,12,FALSE),"-")</f>
        <v>-</v>
      </c>
      <c r="CG1140" s="338" t="str">
        <f t="shared" si="454"/>
        <v>-</v>
      </c>
      <c r="CH1140" s="341" t="str">
        <f>IFERROR(VLOOKUP(BY1140,'RawPL+D'!$O$8:$AB$503,13,FALSE),"-")</f>
        <v>-</v>
      </c>
      <c r="CI1140" s="338" t="str">
        <f t="shared" si="455"/>
        <v>-</v>
      </c>
    </row>
    <row r="1141" spans="1:87" ht="12.75" hidden="1" customHeight="1" x14ac:dyDescent="0.2">
      <c r="A1141" s="28">
        <v>4</v>
      </c>
      <c r="B1141" s="28">
        <v>5</v>
      </c>
      <c r="C1141" s="11">
        <v>25</v>
      </c>
      <c r="D1141" s="13" t="s">
        <v>298</v>
      </c>
      <c r="E1141" s="10" t="s">
        <v>144</v>
      </c>
      <c r="F1141" s="10" t="s">
        <v>210</v>
      </c>
      <c r="G1141" s="10"/>
      <c r="H1141" s="10"/>
      <c r="I1141" s="10"/>
      <c r="J1141" s="10"/>
      <c r="K1141" s="575"/>
      <c r="L1141" s="152"/>
      <c r="M1141" s="164"/>
      <c r="N1141" s="62"/>
      <c r="O1141" s="62"/>
      <c r="P1141" s="177"/>
      <c r="Q1141" s="452"/>
      <c r="R1141" s="94"/>
      <c r="S1141" s="62"/>
      <c r="T1141" s="62"/>
      <c r="U1141" s="64"/>
      <c r="V1141" s="164"/>
      <c r="W1141" s="62"/>
      <c r="X1141" s="62"/>
      <c r="Y1141" s="62"/>
      <c r="Z1141" s="64"/>
      <c r="AA1141" s="164"/>
      <c r="AB1141" s="62"/>
      <c r="AC1141" s="62"/>
      <c r="AD1141" s="64"/>
      <c r="AE1141" s="164"/>
      <c r="AF1141" s="62"/>
      <c r="AG1141" s="64"/>
      <c r="AH1141" s="337"/>
      <c r="AI1141" s="337"/>
      <c r="AJ1141" s="337"/>
      <c r="AK1141" s="337"/>
      <c r="AL1141" s="414"/>
      <c r="AM1141" s="414"/>
      <c r="AN1141" s="45"/>
      <c r="AO1141" s="45"/>
      <c r="AP1141" s="45"/>
      <c r="AQ1141" s="396"/>
      <c r="AR1141"/>
      <c r="AS1141" s="24"/>
      <c r="AT1141" s="24"/>
      <c r="AU1141" s="24"/>
      <c r="AV1141" s="24"/>
      <c r="AW1141" s="18">
        <v>25</v>
      </c>
      <c r="AX1141" s="69" t="s">
        <v>298</v>
      </c>
      <c r="AY1141" s="243" t="s">
        <v>144</v>
      </c>
      <c r="AZ1141" s="243" t="str">
        <f t="shared" si="458"/>
        <v>Chinook</v>
      </c>
      <c r="BA1141" s="243" t="s">
        <v>419</v>
      </c>
      <c r="BB1141" s="246"/>
      <c r="BC1141" s="43" t="str">
        <f t="shared" si="459"/>
        <v>-</v>
      </c>
      <c r="BD1141" s="43">
        <f t="shared" si="457"/>
        <v>0</v>
      </c>
      <c r="BE1141" s="193">
        <f t="shared" si="471"/>
        <v>0</v>
      </c>
      <c r="BF1141" s="193">
        <f t="shared" si="460"/>
        <v>0</v>
      </c>
      <c r="BG1141" s="193">
        <f t="shared" si="461"/>
        <v>0</v>
      </c>
      <c r="BH1141" s="307" t="str">
        <f t="shared" si="473"/>
        <v>-</v>
      </c>
      <c r="BI1141" s="266"/>
      <c r="BJ1141" s="26" t="str">
        <f t="shared" si="462"/>
        <v>LORD CREEKChinook</v>
      </c>
      <c r="BK1141" s="26">
        <f t="shared" si="463"/>
        <v>0</v>
      </c>
      <c r="BL1141" s="33">
        <f t="shared" si="476"/>
        <v>0</v>
      </c>
      <c r="BQ1141" s="47" t="str">
        <f t="shared" si="464"/>
        <v>LORD CREEKChinook</v>
      </c>
      <c r="BR1141" s="49">
        <f t="shared" si="465"/>
        <v>0</v>
      </c>
      <c r="BS1141" s="49">
        <f t="shared" si="474"/>
        <v>0</v>
      </c>
      <c r="BT1141" s="31">
        <v>0</v>
      </c>
      <c r="BU1141" s="188">
        <f t="shared" si="466"/>
        <v>0</v>
      </c>
      <c r="BV1141" s="188" t="str">
        <f t="shared" si="467"/>
        <v xml:space="preserve"> </v>
      </c>
      <c r="BW1141" s="188" t="str">
        <f t="shared" si="475"/>
        <v xml:space="preserve"> </v>
      </c>
      <c r="BX1141" s="188" t="str">
        <f t="shared" si="468"/>
        <v xml:space="preserve"> </v>
      </c>
      <c r="BY1141" s="50" t="str">
        <f t="shared" si="456"/>
        <v>LORD CREEK_Chinook</v>
      </c>
      <c r="BZ1141" s="50" t="str">
        <f>IFERROR(VLOOKUP(BY1141,'[1]WCVI Esc'!$C$5:$W$555,18,FALSE),"-")</f>
        <v>-</v>
      </c>
      <c r="CA1141" s="50" t="str">
        <f t="shared" si="469"/>
        <v>-</v>
      </c>
      <c r="CB1141" s="50" t="str">
        <f>IFERROR(VLOOKUP(BY1141,'[1]WCVI Esc'!$C$5:$W$555,19,FALSE),"-")</f>
        <v>-</v>
      </c>
      <c r="CC1141" s="50" t="str">
        <f t="shared" si="470"/>
        <v>-</v>
      </c>
      <c r="CE1141" s="342" t="str">
        <f t="shared" si="472"/>
        <v>LORD CREEK_Chinook</v>
      </c>
      <c r="CF1141" s="341" t="str">
        <f>IFERROR(VLOOKUP(BY1141,'RawPL+D'!$O$8:$AB$503,12,FALSE),"-")</f>
        <v>-</v>
      </c>
      <c r="CG1141" s="338" t="str">
        <f t="shared" si="454"/>
        <v>-</v>
      </c>
      <c r="CH1141" s="341" t="str">
        <f>IFERROR(VLOOKUP(BY1141,'RawPL+D'!$O$8:$AB$503,13,FALSE),"-")</f>
        <v>-</v>
      </c>
      <c r="CI1141" s="338" t="str">
        <f t="shared" si="455"/>
        <v>-</v>
      </c>
    </row>
    <row r="1142" spans="1:87" ht="12.75" hidden="1" customHeight="1" x14ac:dyDescent="0.2">
      <c r="A1142" s="28">
        <v>4</v>
      </c>
      <c r="B1142" s="28">
        <v>6</v>
      </c>
      <c r="C1142" s="11">
        <v>25</v>
      </c>
      <c r="D1142" s="13" t="s">
        <v>298</v>
      </c>
      <c r="E1142" s="10" t="s">
        <v>144</v>
      </c>
      <c r="F1142" s="10" t="s">
        <v>211</v>
      </c>
      <c r="G1142" s="10"/>
      <c r="H1142" s="10"/>
      <c r="I1142" s="10"/>
      <c r="J1142" s="10"/>
      <c r="K1142" s="575"/>
      <c r="L1142" s="152"/>
      <c r="M1142" s="164"/>
      <c r="N1142" s="62"/>
      <c r="O1142" s="62"/>
      <c r="P1142" s="177"/>
      <c r="Q1142" s="452"/>
      <c r="R1142" s="94"/>
      <c r="S1142" s="62"/>
      <c r="T1142" s="62"/>
      <c r="U1142" s="64"/>
      <c r="V1142" s="164"/>
      <c r="W1142" s="62"/>
      <c r="X1142" s="62"/>
      <c r="Y1142" s="62"/>
      <c r="Z1142" s="64"/>
      <c r="AA1142" s="164"/>
      <c r="AB1142" s="62"/>
      <c r="AC1142" s="62"/>
      <c r="AD1142" s="64"/>
      <c r="AE1142" s="164"/>
      <c r="AF1142" s="62"/>
      <c r="AG1142" s="64"/>
      <c r="AH1142" s="337"/>
      <c r="AI1142" s="337"/>
      <c r="AJ1142" s="337"/>
      <c r="AK1142" s="337"/>
      <c r="AL1142" s="414"/>
      <c r="AM1142" s="414"/>
      <c r="AN1142" s="45"/>
      <c r="AO1142" s="45"/>
      <c r="AP1142" s="45"/>
      <c r="AQ1142" s="396"/>
      <c r="AR1142" s="100"/>
      <c r="AS1142" s="24"/>
      <c r="AT1142" s="24"/>
      <c r="AU1142" s="24"/>
      <c r="AV1142" s="24"/>
      <c r="AW1142" s="18">
        <v>25</v>
      </c>
      <c r="AX1142" s="69" t="s">
        <v>298</v>
      </c>
      <c r="AY1142" s="243" t="s">
        <v>144</v>
      </c>
      <c r="AZ1142" s="243" t="str">
        <f t="shared" si="458"/>
        <v>Steelhead</v>
      </c>
      <c r="BA1142" s="243" t="s">
        <v>419</v>
      </c>
      <c r="BB1142" s="388"/>
      <c r="BC1142" s="43" t="str">
        <f t="shared" si="459"/>
        <v>-</v>
      </c>
      <c r="BD1142" s="43">
        <f t="shared" si="457"/>
        <v>0</v>
      </c>
      <c r="BE1142" s="193">
        <f t="shared" si="471"/>
        <v>0</v>
      </c>
      <c r="BF1142" s="193">
        <f t="shared" si="460"/>
        <v>0</v>
      </c>
      <c r="BG1142" s="193">
        <f t="shared" si="461"/>
        <v>0</v>
      </c>
      <c r="BH1142" s="307" t="str">
        <f t="shared" si="473"/>
        <v>-</v>
      </c>
      <c r="BI1142" s="270"/>
      <c r="BJ1142" s="26" t="str">
        <f t="shared" si="462"/>
        <v>LORD CREEKSteelhead</v>
      </c>
      <c r="BK1142" s="26">
        <f t="shared" si="463"/>
        <v>0</v>
      </c>
      <c r="BL1142" s="33">
        <f t="shared" si="476"/>
        <v>0</v>
      </c>
      <c r="BQ1142" s="47" t="str">
        <f t="shared" si="464"/>
        <v>LORD CREEKSteelhead</v>
      </c>
      <c r="BR1142" s="49">
        <f t="shared" si="465"/>
        <v>0</v>
      </c>
      <c r="BS1142" s="49">
        <f t="shared" si="474"/>
        <v>0</v>
      </c>
      <c r="BT1142" s="31">
        <v>0</v>
      </c>
      <c r="BU1142" s="188">
        <f t="shared" si="466"/>
        <v>0</v>
      </c>
      <c r="BV1142" s="188" t="str">
        <f t="shared" si="467"/>
        <v xml:space="preserve"> </v>
      </c>
      <c r="BW1142" s="188" t="str">
        <f t="shared" si="475"/>
        <v xml:space="preserve"> </v>
      </c>
      <c r="BX1142" s="188" t="str">
        <f t="shared" si="468"/>
        <v xml:space="preserve"> </v>
      </c>
      <c r="BY1142" s="50" t="str">
        <f t="shared" si="456"/>
        <v>LORD CREEK_Steelhead</v>
      </c>
      <c r="BZ1142" s="50" t="str">
        <f>IFERROR(VLOOKUP(BY1142,'[1]WCVI Esc'!$C$5:$W$555,18,FALSE),"-")</f>
        <v>-</v>
      </c>
      <c r="CA1142" s="50" t="str">
        <f t="shared" si="469"/>
        <v>-</v>
      </c>
      <c r="CB1142" s="50" t="str">
        <f>IFERROR(VLOOKUP(BY1142,'[1]WCVI Esc'!$C$5:$W$555,19,FALSE),"-")</f>
        <v>-</v>
      </c>
      <c r="CC1142" s="50" t="str">
        <f t="shared" si="470"/>
        <v>-</v>
      </c>
      <c r="CE1142" s="342" t="str">
        <f t="shared" si="472"/>
        <v>LORD CREEK_Steelhead</v>
      </c>
      <c r="CF1142" s="341" t="str">
        <f>IFERROR(VLOOKUP(BY1142,'RawPL+D'!$O$8:$AB$503,12,FALSE),"-")</f>
        <v>-</v>
      </c>
      <c r="CG1142" s="338" t="str">
        <f t="shared" si="454"/>
        <v>-</v>
      </c>
      <c r="CH1142" s="341" t="str">
        <f>IFERROR(VLOOKUP(BY1142,'RawPL+D'!$O$8:$AB$503,13,FALSE),"-")</f>
        <v>-</v>
      </c>
      <c r="CI1142" s="338" t="str">
        <f t="shared" si="455"/>
        <v>-</v>
      </c>
    </row>
    <row r="1143" spans="1:87" ht="12.75" hidden="1" customHeight="1" x14ac:dyDescent="0.2">
      <c r="A1143" s="28">
        <v>4</v>
      </c>
      <c r="B1143" s="29">
        <v>1</v>
      </c>
      <c r="C1143" s="13">
        <v>25</v>
      </c>
      <c r="D1143" s="13" t="s">
        <v>298</v>
      </c>
      <c r="E1143" s="10" t="s">
        <v>199</v>
      </c>
      <c r="F1143" s="10" t="s">
        <v>207</v>
      </c>
      <c r="G1143" s="10"/>
      <c r="H1143" s="10"/>
      <c r="I1143" s="10"/>
      <c r="J1143" s="10"/>
      <c r="K1143" s="575"/>
      <c r="L1143" s="152"/>
      <c r="M1143" s="164"/>
      <c r="N1143" s="62"/>
      <c r="O1143" s="62"/>
      <c r="P1143" s="177"/>
      <c r="Q1143" s="452"/>
      <c r="R1143" s="94"/>
      <c r="S1143" s="62"/>
      <c r="T1143" s="62"/>
      <c r="U1143" s="64"/>
      <c r="V1143" s="164"/>
      <c r="W1143" s="62"/>
      <c r="X1143" s="62"/>
      <c r="Y1143" s="62"/>
      <c r="Z1143" s="64"/>
      <c r="AA1143" s="164"/>
      <c r="AB1143" s="62"/>
      <c r="AC1143" s="62"/>
      <c r="AD1143" s="64"/>
      <c r="AE1143" s="164"/>
      <c r="AF1143" s="62"/>
      <c r="AG1143" s="64"/>
      <c r="AH1143" s="337"/>
      <c r="AI1143" s="337"/>
      <c r="AJ1143" s="337"/>
      <c r="AK1143" s="337"/>
      <c r="AL1143" s="414"/>
      <c r="AM1143" s="414"/>
      <c r="AN1143" s="45"/>
      <c r="AO1143" s="45"/>
      <c r="AP1143" s="45"/>
      <c r="AQ1143" s="396"/>
      <c r="AR1143"/>
      <c r="AS1143" s="24"/>
      <c r="AT1143" s="24"/>
      <c r="AU1143" s="24"/>
      <c r="AV1143" s="24"/>
      <c r="AW1143" s="69">
        <v>25</v>
      </c>
      <c r="AX1143" s="69" t="s">
        <v>298</v>
      </c>
      <c r="AY1143" s="243" t="s">
        <v>199</v>
      </c>
      <c r="AZ1143" s="243" t="str">
        <f t="shared" si="458"/>
        <v>Sockeye</v>
      </c>
      <c r="BA1143" s="243" t="s">
        <v>419</v>
      </c>
      <c r="BB1143" s="246"/>
      <c r="BC1143" s="43" t="str">
        <f t="shared" si="459"/>
        <v>-</v>
      </c>
      <c r="BD1143" s="43">
        <f t="shared" si="457"/>
        <v>0</v>
      </c>
      <c r="BE1143" s="193">
        <f t="shared" si="471"/>
        <v>0</v>
      </c>
      <c r="BF1143" s="193">
        <f t="shared" si="460"/>
        <v>0</v>
      </c>
      <c r="BG1143" s="193">
        <f t="shared" si="461"/>
        <v>0</v>
      </c>
      <c r="BH1143" s="307" t="str">
        <f t="shared" si="473"/>
        <v>-</v>
      </c>
      <c r="BI1143" s="266"/>
      <c r="BJ1143" s="26" t="str">
        <f t="shared" si="462"/>
        <v>OWOSSITSA CREEKSockeye</v>
      </c>
      <c r="BK1143" s="26">
        <f t="shared" si="463"/>
        <v>0</v>
      </c>
      <c r="BL1143" s="33">
        <f t="shared" si="476"/>
        <v>0</v>
      </c>
      <c r="BQ1143" s="47" t="str">
        <f t="shared" si="464"/>
        <v>OWOSSITSA CREEKSockeye</v>
      </c>
      <c r="BR1143" s="49">
        <f t="shared" si="465"/>
        <v>0</v>
      </c>
      <c r="BS1143" s="49">
        <f t="shared" si="474"/>
        <v>0</v>
      </c>
      <c r="BT1143" s="31">
        <v>1997</v>
      </c>
      <c r="BU1143" s="188">
        <f t="shared" si="466"/>
        <v>0</v>
      </c>
      <c r="BV1143" s="188" t="str">
        <f t="shared" si="467"/>
        <v xml:space="preserve"> </v>
      </c>
      <c r="BW1143" s="188" t="str">
        <f t="shared" si="475"/>
        <v xml:space="preserve"> </v>
      </c>
      <c r="BX1143" s="188" t="str">
        <f t="shared" si="468"/>
        <v xml:space="preserve"> </v>
      </c>
      <c r="BY1143" s="50" t="str">
        <f t="shared" si="456"/>
        <v>OWOSSITSA CREEK_Sockeye</v>
      </c>
      <c r="BZ1143" s="50" t="str">
        <f>IFERROR(VLOOKUP(BY1143,'[1]WCVI Esc'!$C$5:$W$555,18,FALSE),"-")</f>
        <v>-</v>
      </c>
      <c r="CA1143" s="50" t="str">
        <f t="shared" si="469"/>
        <v>-</v>
      </c>
      <c r="CB1143" s="50" t="str">
        <f>IFERROR(VLOOKUP(BY1143,'[1]WCVI Esc'!$C$5:$W$555,19,FALSE),"-")</f>
        <v>-</v>
      </c>
      <c r="CC1143" s="50" t="str">
        <f t="shared" si="470"/>
        <v>-</v>
      </c>
      <c r="CE1143" s="342" t="str">
        <f t="shared" si="472"/>
        <v>OWOSSITSA CREEK_Sockeye</v>
      </c>
      <c r="CF1143" s="341" t="str">
        <f>IFERROR(VLOOKUP(BY1143,'RawPL+D'!$O$8:$AB$503,12,FALSE),"-")</f>
        <v>-</v>
      </c>
      <c r="CG1143" s="338" t="str">
        <f t="shared" si="454"/>
        <v>-</v>
      </c>
      <c r="CH1143" s="341" t="str">
        <f>IFERROR(VLOOKUP(BY1143,'RawPL+D'!$O$8:$AB$503,13,FALSE),"-")</f>
        <v>-</v>
      </c>
      <c r="CI1143" s="338" t="str">
        <f t="shared" si="455"/>
        <v>-</v>
      </c>
    </row>
    <row r="1144" spans="1:87" ht="12.75" hidden="1" customHeight="1" x14ac:dyDescent="0.2">
      <c r="A1144" s="28">
        <v>4</v>
      </c>
      <c r="B1144" s="29">
        <v>2</v>
      </c>
      <c r="C1144" s="13">
        <v>25</v>
      </c>
      <c r="D1144" s="13" t="s">
        <v>298</v>
      </c>
      <c r="E1144" s="10" t="s">
        <v>199</v>
      </c>
      <c r="F1144" s="10" t="s">
        <v>219</v>
      </c>
      <c r="G1144" s="10"/>
      <c r="H1144" s="10"/>
      <c r="I1144" s="10"/>
      <c r="J1144" s="10"/>
      <c r="K1144" s="575"/>
      <c r="L1144" s="152"/>
      <c r="M1144" s="164"/>
      <c r="N1144" s="62"/>
      <c r="O1144" s="62"/>
      <c r="P1144" s="177"/>
      <c r="Q1144" s="452"/>
      <c r="R1144" s="94"/>
      <c r="S1144" s="62"/>
      <c r="T1144" s="62"/>
      <c r="U1144" s="64"/>
      <c r="V1144" s="164"/>
      <c r="W1144" s="62"/>
      <c r="X1144" s="62"/>
      <c r="Y1144" s="62"/>
      <c r="Z1144" s="64"/>
      <c r="AA1144" s="164"/>
      <c r="AB1144" s="62"/>
      <c r="AC1144" s="62"/>
      <c r="AD1144" s="64"/>
      <c r="AE1144" s="164"/>
      <c r="AF1144" s="62"/>
      <c r="AG1144" s="64"/>
      <c r="AH1144" s="337"/>
      <c r="AI1144" s="337"/>
      <c r="AJ1144" s="337"/>
      <c r="AK1144" s="337"/>
      <c r="AL1144" s="414"/>
      <c r="AM1144" s="414"/>
      <c r="AN1144" s="45"/>
      <c r="AO1144" s="45"/>
      <c r="AP1144" s="45"/>
      <c r="AQ1144" s="396" t="e">
        <f>AL1144/BI1144</f>
        <v>#DIV/0!</v>
      </c>
      <c r="AR1144" s="485" t="e">
        <f>BL1144/BH1144</f>
        <v>#VALUE!</v>
      </c>
      <c r="AS1144" s="24"/>
      <c r="AT1144" s="24"/>
      <c r="AU1144" s="24"/>
      <c r="AV1144" s="24"/>
      <c r="AW1144" s="69">
        <v>25</v>
      </c>
      <c r="AX1144" s="69" t="s">
        <v>298</v>
      </c>
      <c r="AY1144" s="243" t="s">
        <v>199</v>
      </c>
      <c r="AZ1144" s="243" t="str">
        <f t="shared" si="458"/>
        <v>Coho</v>
      </c>
      <c r="BA1144" s="243" t="s">
        <v>419</v>
      </c>
      <c r="BB1144" s="246"/>
      <c r="BC1144" s="43" t="str">
        <f t="shared" si="459"/>
        <v>-</v>
      </c>
      <c r="BD1144" s="43">
        <f t="shared" si="457"/>
        <v>0</v>
      </c>
      <c r="BE1144" s="193">
        <f t="shared" si="471"/>
        <v>0</v>
      </c>
      <c r="BF1144" s="193">
        <f t="shared" si="460"/>
        <v>0</v>
      </c>
      <c r="BG1144" s="193">
        <f t="shared" si="461"/>
        <v>0</v>
      </c>
      <c r="BH1144" s="307" t="str">
        <f t="shared" si="473"/>
        <v>-</v>
      </c>
      <c r="BI1144" s="265">
        <f>CC1144</f>
        <v>0</v>
      </c>
      <c r="BJ1144" s="26" t="str">
        <f t="shared" si="462"/>
        <v>OWOSSITSA CREEKCoho</v>
      </c>
      <c r="BK1144" s="26">
        <f t="shared" si="463"/>
        <v>0</v>
      </c>
      <c r="BL1144" s="33">
        <f t="shared" si="476"/>
        <v>0</v>
      </c>
      <c r="BQ1144" s="47" t="str">
        <f t="shared" si="464"/>
        <v>OWOSSITSA CREEKCoho</v>
      </c>
      <c r="BR1144" s="49">
        <f t="shared" si="465"/>
        <v>0</v>
      </c>
      <c r="BS1144" s="49">
        <f t="shared" si="474"/>
        <v>0</v>
      </c>
      <c r="BT1144" s="31">
        <v>2011</v>
      </c>
      <c r="BU1144" s="188">
        <f t="shared" si="466"/>
        <v>0</v>
      </c>
      <c r="BV1144" s="188" t="str">
        <f t="shared" si="467"/>
        <v xml:space="preserve"> </v>
      </c>
      <c r="BW1144" s="188" t="str">
        <f t="shared" si="475"/>
        <v xml:space="preserve"> </v>
      </c>
      <c r="BX1144" s="188" t="str">
        <f t="shared" si="468"/>
        <v xml:space="preserve"> </v>
      </c>
      <c r="BY1144" s="50" t="str">
        <f t="shared" si="456"/>
        <v>OWOSSITSA CREEK_Coho</v>
      </c>
      <c r="BZ1144" s="50" t="str">
        <f>IFERROR(VLOOKUP(BY1144,'[1]WCVI Esc'!$C$5:$W$555,18,FALSE),"-")</f>
        <v>-</v>
      </c>
      <c r="CA1144" s="50" t="str">
        <f t="shared" si="469"/>
        <v>-</v>
      </c>
      <c r="CB1144" s="50">
        <f>IFERROR(VLOOKUP(BY1144,'[1]WCVI Esc'!$C$5:$W$555,19,FALSE),"-")</f>
        <v>4</v>
      </c>
      <c r="CC1144" s="50">
        <f t="shared" si="470"/>
        <v>0</v>
      </c>
      <c r="CE1144" s="342" t="str">
        <f t="shared" si="472"/>
        <v>OWOSSITSA CREEK_Coho</v>
      </c>
      <c r="CF1144" s="341" t="str">
        <f>IFERROR(VLOOKUP(BY1144,'RawPL+D'!$O$8:$AB$503,12,FALSE),"-")</f>
        <v>-</v>
      </c>
      <c r="CG1144" s="338" t="str">
        <f t="shared" si="454"/>
        <v>-</v>
      </c>
      <c r="CH1144" s="341" t="str">
        <f>IFERROR(VLOOKUP(BY1144,'RawPL+D'!$O$8:$AB$503,13,FALSE),"-")</f>
        <v>-</v>
      </c>
      <c r="CI1144" s="338" t="str">
        <f t="shared" si="455"/>
        <v>-</v>
      </c>
    </row>
    <row r="1145" spans="1:87" ht="12.75" hidden="1" customHeight="1" x14ac:dyDescent="0.2">
      <c r="A1145" s="28">
        <v>4</v>
      </c>
      <c r="B1145" s="29">
        <v>3</v>
      </c>
      <c r="C1145" s="13">
        <v>25</v>
      </c>
      <c r="D1145" s="13" t="s">
        <v>298</v>
      </c>
      <c r="E1145" s="10" t="s">
        <v>199</v>
      </c>
      <c r="F1145" s="10" t="s">
        <v>208</v>
      </c>
      <c r="G1145" s="10"/>
      <c r="H1145" s="10"/>
      <c r="I1145" s="10"/>
      <c r="J1145" s="10"/>
      <c r="K1145" s="575"/>
      <c r="L1145" s="152"/>
      <c r="M1145" s="164"/>
      <c r="N1145" s="62"/>
      <c r="O1145" s="62"/>
      <c r="P1145" s="177"/>
      <c r="Q1145" s="452"/>
      <c r="R1145" s="94"/>
      <c r="S1145" s="62"/>
      <c r="T1145" s="62"/>
      <c r="U1145" s="64"/>
      <c r="V1145" s="164"/>
      <c r="W1145" s="62"/>
      <c r="X1145" s="62"/>
      <c r="Y1145" s="62"/>
      <c r="Z1145" s="64"/>
      <c r="AA1145" s="164"/>
      <c r="AB1145" s="62"/>
      <c r="AC1145" s="62"/>
      <c r="AD1145" s="64"/>
      <c r="AE1145" s="164"/>
      <c r="AF1145" s="62"/>
      <c r="AG1145" s="64"/>
      <c r="AH1145" s="337"/>
      <c r="AI1145" s="337"/>
      <c r="AJ1145" s="337"/>
      <c r="AK1145" s="337"/>
      <c r="AL1145" s="414"/>
      <c r="AM1145" s="414"/>
      <c r="AN1145" s="45"/>
      <c r="AO1145" s="45"/>
      <c r="AP1145" s="45"/>
      <c r="AQ1145" s="396"/>
      <c r="AR1145"/>
      <c r="AS1145" s="24"/>
      <c r="AT1145" s="24"/>
      <c r="AU1145" s="24"/>
      <c r="AV1145" s="24"/>
      <c r="AW1145" s="69">
        <v>25</v>
      </c>
      <c r="AX1145" s="69" t="s">
        <v>298</v>
      </c>
      <c r="AY1145" s="243" t="s">
        <v>199</v>
      </c>
      <c r="AZ1145" s="243" t="str">
        <f t="shared" si="458"/>
        <v>Pink</v>
      </c>
      <c r="BA1145" s="243" t="s">
        <v>419</v>
      </c>
      <c r="BB1145" s="246"/>
      <c r="BC1145" s="43" t="str">
        <f t="shared" si="459"/>
        <v>-</v>
      </c>
      <c r="BD1145" s="43">
        <f t="shared" si="457"/>
        <v>0</v>
      </c>
      <c r="BE1145" s="193">
        <f t="shared" si="471"/>
        <v>0</v>
      </c>
      <c r="BF1145" s="193">
        <f t="shared" si="460"/>
        <v>0</v>
      </c>
      <c r="BG1145" s="193">
        <f t="shared" si="461"/>
        <v>0</v>
      </c>
      <c r="BH1145" s="307" t="str">
        <f t="shared" si="473"/>
        <v>-</v>
      </c>
      <c r="BI1145" s="266"/>
      <c r="BJ1145" s="26" t="str">
        <f t="shared" si="462"/>
        <v>OWOSSITSA CREEKPink</v>
      </c>
      <c r="BK1145" s="26">
        <f t="shared" si="463"/>
        <v>0</v>
      </c>
      <c r="BL1145" s="33">
        <f t="shared" si="476"/>
        <v>0</v>
      </c>
      <c r="BQ1145" s="47" t="str">
        <f t="shared" si="464"/>
        <v>OWOSSITSA CREEKPink</v>
      </c>
      <c r="BR1145" s="49">
        <f t="shared" si="465"/>
        <v>0</v>
      </c>
      <c r="BS1145" s="49">
        <f t="shared" si="474"/>
        <v>0</v>
      </c>
      <c r="BT1145" s="31">
        <v>0</v>
      </c>
      <c r="BU1145" s="188">
        <f t="shared" si="466"/>
        <v>0</v>
      </c>
      <c r="BV1145" s="188" t="str">
        <f t="shared" si="467"/>
        <v xml:space="preserve"> </v>
      </c>
      <c r="BW1145" s="188" t="str">
        <f t="shared" si="475"/>
        <v xml:space="preserve"> </v>
      </c>
      <c r="BX1145" s="188" t="str">
        <f t="shared" si="468"/>
        <v xml:space="preserve"> </v>
      </c>
      <c r="BY1145" s="50" t="str">
        <f t="shared" si="456"/>
        <v>OWOSSITSA CREEK_Pink</v>
      </c>
      <c r="BZ1145" s="50" t="str">
        <f>IFERROR(VLOOKUP(BY1145,'[1]WCVI Esc'!$C$5:$W$555,18,FALSE),"-")</f>
        <v>-</v>
      </c>
      <c r="CA1145" s="50" t="str">
        <f t="shared" si="469"/>
        <v>-</v>
      </c>
      <c r="CB1145" s="50" t="str">
        <f>IFERROR(VLOOKUP(BY1145,'[1]WCVI Esc'!$C$5:$W$555,19,FALSE),"-")</f>
        <v>-</v>
      </c>
      <c r="CC1145" s="50" t="str">
        <f t="shared" si="470"/>
        <v>-</v>
      </c>
      <c r="CE1145" s="342" t="str">
        <f t="shared" ref="CE1145:CE1172" si="477">CONCATENATE(E1145,"_",F1145)</f>
        <v>OWOSSITSA CREEK_Pink</v>
      </c>
      <c r="CF1145" s="341" t="str">
        <f>IFERROR(VLOOKUP(BY1145,'RawPL+D'!$O$8:$AB$503,12,FALSE),"-")</f>
        <v>-</v>
      </c>
      <c r="CG1145" s="338" t="str">
        <f t="shared" ref="CG1145:CG1208" si="478">IFERROR(ROUND(CF1145,-1),"-")</f>
        <v>-</v>
      </c>
      <c r="CH1145" s="341" t="str">
        <f>IFERROR(VLOOKUP(BY1145,'RawPL+D'!$O$8:$AB$503,13,FALSE),"-")</f>
        <v>-</v>
      </c>
      <c r="CI1145" s="338" t="str">
        <f t="shared" ref="CI1145:CI1208" si="479">IFERROR(ROUND(CH1145,-1),"-")</f>
        <v>-</v>
      </c>
    </row>
    <row r="1146" spans="1:87" ht="12.75" hidden="1" customHeight="1" x14ac:dyDescent="0.2">
      <c r="A1146" s="28">
        <v>4</v>
      </c>
      <c r="B1146" s="29">
        <v>4</v>
      </c>
      <c r="C1146" s="13">
        <v>25</v>
      </c>
      <c r="D1146" s="13" t="s">
        <v>298</v>
      </c>
      <c r="E1146" s="10" t="s">
        <v>199</v>
      </c>
      <c r="F1146" s="10" t="s">
        <v>209</v>
      </c>
      <c r="G1146" s="10"/>
      <c r="H1146" s="10"/>
      <c r="I1146" s="10"/>
      <c r="J1146" s="10"/>
      <c r="K1146" s="575"/>
      <c r="L1146" s="152"/>
      <c r="M1146" s="164"/>
      <c r="N1146" s="62"/>
      <c r="O1146" s="62"/>
      <c r="P1146" s="177"/>
      <c r="Q1146" s="452"/>
      <c r="R1146" s="94"/>
      <c r="S1146" s="62"/>
      <c r="T1146" s="62"/>
      <c r="U1146" s="64"/>
      <c r="V1146" s="164"/>
      <c r="W1146" s="62"/>
      <c r="X1146" s="62"/>
      <c r="Y1146" s="62"/>
      <c r="Z1146" s="64"/>
      <c r="AA1146" s="164"/>
      <c r="AB1146" s="62"/>
      <c r="AC1146" s="62"/>
      <c r="AD1146" s="64"/>
      <c r="AE1146" s="164"/>
      <c r="AF1146" s="62"/>
      <c r="AG1146" s="64"/>
      <c r="AH1146" s="337"/>
      <c r="AI1146" s="337"/>
      <c r="AJ1146" s="337"/>
      <c r="AK1146" s="337"/>
      <c r="AL1146" s="414"/>
      <c r="AM1146" s="414"/>
      <c r="AN1146" s="45"/>
      <c r="AO1146" s="45"/>
      <c r="AP1146" s="45"/>
      <c r="AQ1146" s="396">
        <f>AL1146/BI1146</f>
        <v>0</v>
      </c>
      <c r="AR1146" s="485" t="e">
        <f>BL1146/BH1146</f>
        <v>#VALUE!</v>
      </c>
      <c r="AS1146" s="24"/>
      <c r="AT1146" s="24"/>
      <c r="AU1146" s="24"/>
      <c r="AV1146" s="24"/>
      <c r="AW1146" s="69">
        <v>25</v>
      </c>
      <c r="AX1146" s="69" t="s">
        <v>298</v>
      </c>
      <c r="AY1146" s="243" t="s">
        <v>199</v>
      </c>
      <c r="AZ1146" s="243" t="str">
        <f t="shared" si="458"/>
        <v>Chum</v>
      </c>
      <c r="BA1146" s="243" t="s">
        <v>419</v>
      </c>
      <c r="BB1146" s="246"/>
      <c r="BC1146" s="43" t="str">
        <f t="shared" si="459"/>
        <v>-</v>
      </c>
      <c r="BD1146" s="43">
        <f t="shared" si="457"/>
        <v>0</v>
      </c>
      <c r="BE1146" s="193">
        <f t="shared" si="471"/>
        <v>0</v>
      </c>
      <c r="BF1146" s="193">
        <f t="shared" si="460"/>
        <v>0</v>
      </c>
      <c r="BG1146" s="193">
        <f t="shared" si="461"/>
        <v>0</v>
      </c>
      <c r="BH1146" s="307" t="str">
        <f t="shared" si="473"/>
        <v>-</v>
      </c>
      <c r="BI1146" s="265">
        <f>CC1146</f>
        <v>540</v>
      </c>
      <c r="BJ1146" s="26" t="str">
        <f t="shared" si="462"/>
        <v>OWOSSITSA CREEKChum</v>
      </c>
      <c r="BK1146" s="26">
        <f t="shared" si="463"/>
        <v>0</v>
      </c>
      <c r="BL1146" s="33">
        <f t="shared" si="476"/>
        <v>0</v>
      </c>
      <c r="BQ1146" s="47" t="str">
        <f t="shared" si="464"/>
        <v>OWOSSITSA CREEKChum</v>
      </c>
      <c r="BR1146" s="49">
        <f t="shared" si="465"/>
        <v>0</v>
      </c>
      <c r="BS1146" s="49">
        <f t="shared" si="474"/>
        <v>0</v>
      </c>
      <c r="BT1146" s="31">
        <v>2011</v>
      </c>
      <c r="BU1146" s="188">
        <f t="shared" si="466"/>
        <v>0</v>
      </c>
      <c r="BV1146" s="188" t="str">
        <f t="shared" si="467"/>
        <v xml:space="preserve"> </v>
      </c>
      <c r="BW1146" s="188" t="str">
        <f t="shared" si="475"/>
        <v xml:space="preserve"> </v>
      </c>
      <c r="BX1146" s="188" t="str">
        <f t="shared" si="468"/>
        <v xml:space="preserve"> </v>
      </c>
      <c r="BY1146" s="50" t="str">
        <f t="shared" si="456"/>
        <v>OWOSSITSA CREEK_Chum</v>
      </c>
      <c r="BZ1146" s="50" t="str">
        <f>IFERROR(VLOOKUP(BY1146,'[1]WCVI Esc'!$C$5:$W$555,18,FALSE),"-")</f>
        <v>-</v>
      </c>
      <c r="CA1146" s="50" t="str">
        <f t="shared" si="469"/>
        <v>-</v>
      </c>
      <c r="CB1146" s="50">
        <f>IFERROR(VLOOKUP(BY1146,'[1]WCVI Esc'!$C$5:$W$555,19,FALSE),"-")</f>
        <v>537</v>
      </c>
      <c r="CC1146" s="50">
        <f t="shared" si="470"/>
        <v>540</v>
      </c>
      <c r="CE1146" s="342" t="str">
        <f t="shared" si="477"/>
        <v>OWOSSITSA CREEK_Chum</v>
      </c>
      <c r="CF1146" s="341" t="str">
        <f>IFERROR(VLOOKUP(BY1146,'RawPL+D'!$O$8:$AB$503,12,FALSE),"-")</f>
        <v>-</v>
      </c>
      <c r="CG1146" s="338" t="str">
        <f t="shared" si="478"/>
        <v>-</v>
      </c>
      <c r="CH1146" s="341" t="str">
        <f>IFERROR(VLOOKUP(BY1146,'RawPL+D'!$O$8:$AB$503,13,FALSE),"-")</f>
        <v>-</v>
      </c>
      <c r="CI1146" s="338" t="str">
        <f t="shared" si="479"/>
        <v>-</v>
      </c>
    </row>
    <row r="1147" spans="1:87" ht="12.75" hidden="1" customHeight="1" x14ac:dyDescent="0.2">
      <c r="A1147" s="28">
        <v>4</v>
      </c>
      <c r="B1147" s="29">
        <v>5</v>
      </c>
      <c r="C1147" s="13">
        <v>25</v>
      </c>
      <c r="D1147" s="13" t="s">
        <v>298</v>
      </c>
      <c r="E1147" s="10" t="s">
        <v>199</v>
      </c>
      <c r="F1147" s="10" t="s">
        <v>210</v>
      </c>
      <c r="G1147" s="10"/>
      <c r="H1147" s="10"/>
      <c r="I1147" s="10"/>
      <c r="J1147" s="10"/>
      <c r="K1147" s="575"/>
      <c r="L1147" s="152"/>
      <c r="M1147" s="164"/>
      <c r="N1147" s="62"/>
      <c r="O1147" s="62"/>
      <c r="P1147" s="177"/>
      <c r="Q1147" s="452"/>
      <c r="R1147" s="94"/>
      <c r="S1147" s="62"/>
      <c r="T1147" s="62"/>
      <c r="U1147" s="64"/>
      <c r="V1147" s="164"/>
      <c r="W1147" s="62"/>
      <c r="X1147" s="62"/>
      <c r="Y1147" s="62"/>
      <c r="Z1147" s="64"/>
      <c r="AA1147" s="164"/>
      <c r="AB1147" s="62"/>
      <c r="AC1147" s="62"/>
      <c r="AD1147" s="64"/>
      <c r="AE1147" s="164"/>
      <c r="AF1147" s="62"/>
      <c r="AG1147" s="64"/>
      <c r="AH1147" s="337"/>
      <c r="AI1147" s="337"/>
      <c r="AJ1147" s="337"/>
      <c r="AK1147" s="337"/>
      <c r="AL1147" s="414"/>
      <c r="AM1147" s="414"/>
      <c r="AN1147" s="45"/>
      <c r="AO1147" s="45"/>
      <c r="AP1147" s="45"/>
      <c r="AQ1147" s="485"/>
      <c r="AR1147"/>
      <c r="AS1147" s="24"/>
      <c r="AT1147" s="24"/>
      <c r="AU1147" s="24"/>
      <c r="AV1147" s="24"/>
      <c r="AW1147" s="69">
        <v>25</v>
      </c>
      <c r="AX1147" s="69" t="s">
        <v>298</v>
      </c>
      <c r="AY1147" s="243" t="s">
        <v>199</v>
      </c>
      <c r="AZ1147" s="243" t="str">
        <f t="shared" si="458"/>
        <v>Chinook</v>
      </c>
      <c r="BA1147" s="243" t="s">
        <v>419</v>
      </c>
      <c r="BB1147" s="246"/>
      <c r="BC1147" s="43" t="str">
        <f t="shared" si="459"/>
        <v>-</v>
      </c>
      <c r="BD1147" s="43">
        <f t="shared" si="457"/>
        <v>0</v>
      </c>
      <c r="BE1147" s="193">
        <f t="shared" si="471"/>
        <v>0</v>
      </c>
      <c r="BF1147" s="193">
        <f t="shared" si="460"/>
        <v>0</v>
      </c>
      <c r="BG1147" s="193">
        <f t="shared" si="461"/>
        <v>0</v>
      </c>
      <c r="BH1147" s="307" t="str">
        <f t="shared" si="473"/>
        <v>-</v>
      </c>
      <c r="BI1147" s="266"/>
      <c r="BJ1147" s="26" t="str">
        <f t="shared" si="462"/>
        <v>OWOSSITSA CREEKChinook</v>
      </c>
      <c r="BK1147" s="26">
        <f t="shared" si="463"/>
        <v>0</v>
      </c>
      <c r="BL1147" s="33">
        <f t="shared" si="476"/>
        <v>0</v>
      </c>
      <c r="BQ1147" s="47" t="str">
        <f t="shared" si="464"/>
        <v>OWOSSITSA CREEKChinook</v>
      </c>
      <c r="BR1147" s="49">
        <f t="shared" si="465"/>
        <v>0</v>
      </c>
      <c r="BS1147" s="49">
        <f t="shared" si="474"/>
        <v>0</v>
      </c>
      <c r="BT1147" s="31">
        <v>1980</v>
      </c>
      <c r="BU1147" s="188">
        <f t="shared" si="466"/>
        <v>0</v>
      </c>
      <c r="BV1147" s="188" t="str">
        <f t="shared" si="467"/>
        <v xml:space="preserve"> </v>
      </c>
      <c r="BW1147" s="188" t="str">
        <f t="shared" si="475"/>
        <v xml:space="preserve"> </v>
      </c>
      <c r="BX1147" s="188" t="str">
        <f t="shared" si="468"/>
        <v xml:space="preserve"> </v>
      </c>
      <c r="BY1147" s="50" t="str">
        <f t="shared" si="456"/>
        <v>OWOSSITSA CREEK_Chinook</v>
      </c>
      <c r="BZ1147" s="50" t="str">
        <f>IFERROR(VLOOKUP(BY1147,'[1]WCVI Esc'!$C$5:$W$555,18,FALSE),"-")</f>
        <v>-</v>
      </c>
      <c r="CA1147" s="50" t="str">
        <f t="shared" si="469"/>
        <v>-</v>
      </c>
      <c r="CB1147" s="50" t="str">
        <f>IFERROR(VLOOKUP(BY1147,'[1]WCVI Esc'!$C$5:$W$555,19,FALSE),"-")</f>
        <v>-</v>
      </c>
      <c r="CC1147" s="50" t="str">
        <f t="shared" si="470"/>
        <v>-</v>
      </c>
      <c r="CE1147" s="342" t="str">
        <f t="shared" si="477"/>
        <v>OWOSSITSA CREEK_Chinook</v>
      </c>
      <c r="CF1147" s="341" t="str">
        <f>IFERROR(VLOOKUP(BY1147,'RawPL+D'!$O$8:$AB$503,12,FALSE),"-")</f>
        <v>-</v>
      </c>
      <c r="CG1147" s="338" t="str">
        <f t="shared" si="478"/>
        <v>-</v>
      </c>
      <c r="CH1147" s="341" t="str">
        <f>IFERROR(VLOOKUP(BY1147,'RawPL+D'!$O$8:$AB$503,13,FALSE),"-")</f>
        <v>-</v>
      </c>
      <c r="CI1147" s="338" t="str">
        <f t="shared" si="479"/>
        <v>-</v>
      </c>
    </row>
    <row r="1148" spans="1:87" ht="12.75" hidden="1" customHeight="1" x14ac:dyDescent="0.2">
      <c r="A1148" s="28">
        <v>4</v>
      </c>
      <c r="B1148" s="29">
        <v>6</v>
      </c>
      <c r="C1148" s="13">
        <v>25</v>
      </c>
      <c r="D1148" s="13" t="s">
        <v>298</v>
      </c>
      <c r="E1148" s="10" t="s">
        <v>199</v>
      </c>
      <c r="F1148" s="10" t="s">
        <v>211</v>
      </c>
      <c r="G1148" s="10"/>
      <c r="H1148" s="10"/>
      <c r="I1148" s="10"/>
      <c r="J1148" s="10"/>
      <c r="K1148" s="575"/>
      <c r="L1148" s="152"/>
      <c r="M1148" s="164"/>
      <c r="N1148" s="62"/>
      <c r="O1148" s="62"/>
      <c r="P1148" s="177"/>
      <c r="Q1148" s="452"/>
      <c r="R1148" s="94"/>
      <c r="S1148" s="62"/>
      <c r="T1148" s="62"/>
      <c r="U1148" s="64"/>
      <c r="V1148" s="164"/>
      <c r="W1148" s="62"/>
      <c r="X1148" s="62"/>
      <c r="Y1148" s="62"/>
      <c r="Z1148" s="64"/>
      <c r="AA1148" s="164"/>
      <c r="AB1148" s="62"/>
      <c r="AC1148" s="62"/>
      <c r="AD1148" s="64"/>
      <c r="AE1148" s="164"/>
      <c r="AF1148" s="62"/>
      <c r="AG1148" s="64"/>
      <c r="AH1148" s="337"/>
      <c r="AI1148" s="337"/>
      <c r="AJ1148" s="337"/>
      <c r="AK1148" s="337"/>
      <c r="AL1148" s="414"/>
      <c r="AM1148" s="414"/>
      <c r="AN1148" s="45"/>
      <c r="AO1148" s="45"/>
      <c r="AP1148" s="45"/>
      <c r="AQ1148" s="100"/>
      <c r="AR1148"/>
      <c r="AS1148" s="24"/>
      <c r="AT1148" s="24"/>
      <c r="AU1148" s="24"/>
      <c r="AV1148" s="24"/>
      <c r="AW1148" s="69">
        <v>25</v>
      </c>
      <c r="AX1148" s="69" t="s">
        <v>298</v>
      </c>
      <c r="AY1148" s="243" t="s">
        <v>199</v>
      </c>
      <c r="AZ1148" s="243" t="str">
        <f t="shared" si="458"/>
        <v>Steelhead</v>
      </c>
      <c r="BA1148" s="243" t="s">
        <v>419</v>
      </c>
      <c r="BB1148" s="246"/>
      <c r="BC1148" s="43" t="str">
        <f t="shared" si="459"/>
        <v>-</v>
      </c>
      <c r="BD1148" s="43">
        <f t="shared" si="457"/>
        <v>0</v>
      </c>
      <c r="BE1148" s="193">
        <f t="shared" si="471"/>
        <v>0</v>
      </c>
      <c r="BF1148" s="193">
        <f t="shared" si="460"/>
        <v>0</v>
      </c>
      <c r="BG1148" s="193">
        <f t="shared" si="461"/>
        <v>0</v>
      </c>
      <c r="BH1148" s="307" t="str">
        <f t="shared" si="473"/>
        <v>-</v>
      </c>
      <c r="BI1148" s="266"/>
      <c r="BJ1148" s="26" t="str">
        <f t="shared" si="462"/>
        <v>OWOSSITSA CREEKSteelhead</v>
      </c>
      <c r="BK1148" s="26">
        <f t="shared" si="463"/>
        <v>0</v>
      </c>
      <c r="BL1148" s="33">
        <f t="shared" si="476"/>
        <v>0</v>
      </c>
      <c r="BQ1148" s="47" t="str">
        <f t="shared" si="464"/>
        <v>OWOSSITSA CREEKSteelhead</v>
      </c>
      <c r="BR1148" s="49">
        <f t="shared" si="465"/>
        <v>0</v>
      </c>
      <c r="BS1148" s="49">
        <f t="shared" si="474"/>
        <v>0</v>
      </c>
      <c r="BT1148" s="31">
        <v>0</v>
      </c>
      <c r="BU1148" s="188">
        <f t="shared" si="466"/>
        <v>0</v>
      </c>
      <c r="BV1148" s="188" t="str">
        <f t="shared" si="467"/>
        <v xml:space="preserve"> </v>
      </c>
      <c r="BW1148" s="188" t="str">
        <f t="shared" si="475"/>
        <v xml:space="preserve"> </v>
      </c>
      <c r="BX1148" s="188" t="str">
        <f t="shared" si="468"/>
        <v xml:space="preserve"> </v>
      </c>
      <c r="BY1148" s="50" t="str">
        <f t="shared" si="456"/>
        <v>OWOSSITSA CREEK_Steelhead</v>
      </c>
      <c r="BZ1148" s="50" t="str">
        <f>IFERROR(VLOOKUP(BY1148,'[1]WCVI Esc'!$C$5:$W$555,18,FALSE),"-")</f>
        <v>-</v>
      </c>
      <c r="CA1148" s="50" t="str">
        <f t="shared" si="469"/>
        <v>-</v>
      </c>
      <c r="CB1148" s="50" t="str">
        <f>IFERROR(VLOOKUP(BY1148,'[1]WCVI Esc'!$C$5:$W$555,19,FALSE),"-")</f>
        <v>-</v>
      </c>
      <c r="CC1148" s="50" t="str">
        <f t="shared" si="470"/>
        <v>-</v>
      </c>
      <c r="CE1148" s="342" t="str">
        <f t="shared" si="477"/>
        <v>OWOSSITSA CREEK_Steelhead</v>
      </c>
      <c r="CF1148" s="341" t="str">
        <f>IFERROR(VLOOKUP(BY1148,'RawPL+D'!$O$8:$AB$503,12,FALSE),"-")</f>
        <v>-</v>
      </c>
      <c r="CG1148" s="338" t="str">
        <f t="shared" si="478"/>
        <v>-</v>
      </c>
      <c r="CH1148" s="341" t="str">
        <f>IFERROR(VLOOKUP(BY1148,'RawPL+D'!$O$8:$AB$503,13,FALSE),"-")</f>
        <v>-</v>
      </c>
      <c r="CI1148" s="338" t="str">
        <f t="shared" si="479"/>
        <v>-</v>
      </c>
    </row>
    <row r="1149" spans="1:87" ht="12.75" hidden="1" customHeight="1" x14ac:dyDescent="0.2">
      <c r="A1149" s="29">
        <v>2</v>
      </c>
      <c r="B1149" s="29">
        <v>1</v>
      </c>
      <c r="C1149" s="13">
        <v>26</v>
      </c>
      <c r="D1149" s="13" t="s">
        <v>301</v>
      </c>
      <c r="E1149" s="10" t="s">
        <v>57</v>
      </c>
      <c r="F1149" s="10" t="s">
        <v>207</v>
      </c>
      <c r="G1149" s="10"/>
      <c r="H1149" s="10"/>
      <c r="I1149" s="10"/>
      <c r="J1149" s="10"/>
      <c r="K1149" s="575"/>
      <c r="L1149" s="632">
        <v>0</v>
      </c>
      <c r="M1149" s="563"/>
      <c r="N1149" s="555"/>
      <c r="O1149" s="697"/>
      <c r="P1149" s="696">
        <v>0</v>
      </c>
      <c r="Q1149" s="654"/>
      <c r="R1149" s="650">
        <v>1</v>
      </c>
      <c r="S1149" s="664"/>
      <c r="T1149" s="658"/>
      <c r="U1149" s="558"/>
      <c r="V1149" s="613"/>
      <c r="W1149" s="470"/>
      <c r="X1149" s="556"/>
      <c r="Y1149" s="555"/>
      <c r="Z1149" s="64"/>
      <c r="AA1149" s="164"/>
      <c r="AB1149" s="62"/>
      <c r="AC1149" s="62"/>
      <c r="AD1149" s="64"/>
      <c r="AE1149" s="164"/>
      <c r="AF1149" s="62"/>
      <c r="AG1149" s="64"/>
      <c r="AH1149" s="337">
        <v>1</v>
      </c>
      <c r="AI1149" s="337">
        <v>0</v>
      </c>
      <c r="AJ1149" s="337">
        <v>0</v>
      </c>
      <c r="AK1149" s="337">
        <v>0</v>
      </c>
      <c r="AL1149" s="552">
        <v>1</v>
      </c>
      <c r="AM1149" s="552">
        <v>1</v>
      </c>
      <c r="AN1149" s="552" t="s">
        <v>765</v>
      </c>
      <c r="AO1149" s="552" t="s">
        <v>778</v>
      </c>
      <c r="AP1149" s="44"/>
      <c r="AQ1149" s="485">
        <f>AL1149/BI1149</f>
        <v>0.1</v>
      </c>
      <c r="AR1149" s="485">
        <f>BL1149/BH1149</f>
        <v>0.1</v>
      </c>
      <c r="AS1149" s="100">
        <f>BL1149/BI1149</f>
        <v>0.1</v>
      </c>
      <c r="AT1149" s="123"/>
      <c r="AU1149" s="123"/>
      <c r="AV1149" s="123"/>
      <c r="AW1149" s="69">
        <v>26</v>
      </c>
      <c r="AX1149" s="69" t="s">
        <v>301</v>
      </c>
      <c r="AY1149" s="243" t="s">
        <v>57</v>
      </c>
      <c r="AZ1149" s="243" t="str">
        <f t="shared" si="458"/>
        <v>Sockeye</v>
      </c>
      <c r="BA1149" s="243" t="s">
        <v>419</v>
      </c>
      <c r="BB1149" s="244" t="s">
        <v>292</v>
      </c>
      <c r="BC1149" s="43" t="str">
        <f t="shared" si="459"/>
        <v>Oct 8-14</v>
      </c>
      <c r="BD1149" s="43">
        <f t="shared" si="457"/>
        <v>3</v>
      </c>
      <c r="BE1149" s="193">
        <f t="shared" si="471"/>
        <v>1</v>
      </c>
      <c r="BF1149" s="193">
        <f t="shared" si="460"/>
        <v>1</v>
      </c>
      <c r="BG1149" s="193">
        <f t="shared" si="461"/>
        <v>1</v>
      </c>
      <c r="BH1149" s="307">
        <f t="shared" si="473"/>
        <v>10</v>
      </c>
      <c r="BI1149" s="265">
        <f t="shared" ref="BI1149:BI1172" si="480">CC1149</f>
        <v>10</v>
      </c>
      <c r="BJ1149" s="26" t="str">
        <f t="shared" si="462"/>
        <v>ARTLISH RIVERSockeye</v>
      </c>
      <c r="BK1149" s="26">
        <f t="shared" si="463"/>
        <v>3</v>
      </c>
      <c r="BL1149" s="33">
        <f t="shared" si="476"/>
        <v>1</v>
      </c>
      <c r="BP1149" s="34"/>
      <c r="BQ1149" s="47" t="str">
        <f t="shared" si="464"/>
        <v>ARTLISH RIVERSockeye</v>
      </c>
      <c r="BR1149" s="49">
        <f t="shared" si="465"/>
        <v>0</v>
      </c>
      <c r="BS1149" s="49">
        <f t="shared" si="474"/>
        <v>1</v>
      </c>
      <c r="BT1149" s="31">
        <v>2016</v>
      </c>
      <c r="BU1149" s="188" t="str">
        <f t="shared" si="466"/>
        <v>KCFN/LGL</v>
      </c>
      <c r="BV1149" s="188" t="str">
        <f t="shared" si="467"/>
        <v>Sep 24-30</v>
      </c>
      <c r="BW1149" s="188" t="str">
        <f t="shared" si="475"/>
        <v>Oct 8-14</v>
      </c>
      <c r="BX1149" s="188" t="str">
        <f t="shared" si="468"/>
        <v xml:space="preserve"> </v>
      </c>
      <c r="BY1149" s="50" t="str">
        <f t="shared" si="456"/>
        <v>ARTLISH RIVER_Sockeye</v>
      </c>
      <c r="BZ1149" s="50">
        <f>IFERROR(VLOOKUP(BY1149,'[1]WCVI Esc'!$C$5:$W$555,18,FALSE),"-")</f>
        <v>10</v>
      </c>
      <c r="CA1149" s="50">
        <f t="shared" si="469"/>
        <v>10</v>
      </c>
      <c r="CB1149" s="50">
        <f>IFERROR(VLOOKUP(BY1149,'[1]WCVI Esc'!$C$5:$W$555,19,FALSE),"-")</f>
        <v>11.545454545454545</v>
      </c>
      <c r="CC1149" s="50">
        <f t="shared" si="470"/>
        <v>10</v>
      </c>
      <c r="CE1149" s="342" t="str">
        <f t="shared" si="477"/>
        <v>ARTLISH RIVER_Sockeye</v>
      </c>
      <c r="CF1149" s="341">
        <f>IFERROR(VLOOKUP(CE1149,'RawPL+D'!$O$8:$AB$503,12,FALSE),"-")</f>
        <v>14</v>
      </c>
      <c r="CG1149" s="338">
        <f t="shared" si="478"/>
        <v>10</v>
      </c>
      <c r="CH1149" s="341">
        <f>IFERROR(VLOOKUP(BY1149,'RawPL+D'!$O$8:$AB$503,13,FALSE),"-")</f>
        <v>6</v>
      </c>
      <c r="CI1149" s="338">
        <f t="shared" si="479"/>
        <v>10</v>
      </c>
    </row>
    <row r="1150" spans="1:87" ht="12.75" hidden="1" customHeight="1" x14ac:dyDescent="0.2">
      <c r="A1150" s="29">
        <v>2</v>
      </c>
      <c r="B1150" s="29">
        <v>2</v>
      </c>
      <c r="C1150" s="13">
        <v>26</v>
      </c>
      <c r="D1150" s="13" t="s">
        <v>301</v>
      </c>
      <c r="E1150" s="10" t="s">
        <v>57</v>
      </c>
      <c r="F1150" s="10" t="s">
        <v>219</v>
      </c>
      <c r="G1150" s="10"/>
      <c r="H1150" s="10"/>
      <c r="I1150" s="10"/>
      <c r="J1150" s="10"/>
      <c r="K1150" s="575"/>
      <c r="L1150" s="632">
        <v>0</v>
      </c>
      <c r="M1150" s="471"/>
      <c r="N1150" s="555"/>
      <c r="O1150" s="698"/>
      <c r="P1150" s="696">
        <v>1009</v>
      </c>
      <c r="Q1150" s="656"/>
      <c r="R1150" s="650">
        <v>1022</v>
      </c>
      <c r="S1150" s="663"/>
      <c r="T1150" s="658"/>
      <c r="U1150" s="688"/>
      <c r="V1150" s="614"/>
      <c r="W1150" s="560"/>
      <c r="X1150" s="557"/>
      <c r="Y1150" s="555"/>
      <c r="Z1150" s="64"/>
      <c r="AA1150" s="164"/>
      <c r="AB1150" s="62"/>
      <c r="AC1150" s="62"/>
      <c r="AD1150" s="64"/>
      <c r="AE1150" s="164"/>
      <c r="AF1150" s="62"/>
      <c r="AG1150" s="64"/>
      <c r="AH1150" s="337">
        <v>1136</v>
      </c>
      <c r="AI1150" s="337">
        <v>91</v>
      </c>
      <c r="AJ1150" s="337">
        <v>0</v>
      </c>
      <c r="AK1150" s="337">
        <v>0</v>
      </c>
      <c r="AL1150" s="552">
        <v>1136</v>
      </c>
      <c r="AM1150" s="552">
        <v>1227</v>
      </c>
      <c r="AN1150" s="552" t="s">
        <v>765</v>
      </c>
      <c r="AO1150" s="552" t="s">
        <v>772</v>
      </c>
      <c r="AP1150" s="44"/>
      <c r="AQ1150" s="485">
        <f>AL1150/BI1150</f>
        <v>0.62076502732240435</v>
      </c>
      <c r="AR1150" s="485">
        <f>BL1150/BH1150</f>
        <v>1.0118811881188119</v>
      </c>
      <c r="AS1150" s="100">
        <f>BL1150/BI1150</f>
        <v>0.55846994535519123</v>
      </c>
      <c r="AT1150" s="123"/>
      <c r="AU1150" s="123"/>
      <c r="AV1150" s="123"/>
      <c r="AW1150" s="69">
        <v>26</v>
      </c>
      <c r="AX1150" s="69" t="s">
        <v>301</v>
      </c>
      <c r="AY1150" s="243" t="s">
        <v>57</v>
      </c>
      <c r="AZ1150" s="243" t="str">
        <f t="shared" si="458"/>
        <v>Coho</v>
      </c>
      <c r="BA1150" s="243" t="s">
        <v>419</v>
      </c>
      <c r="BB1150" s="244" t="s">
        <v>292</v>
      </c>
      <c r="BC1150" s="43" t="str">
        <f t="shared" si="459"/>
        <v>Oct 8-14</v>
      </c>
      <c r="BD1150" s="43">
        <f t="shared" si="457"/>
        <v>3</v>
      </c>
      <c r="BE1150" s="193">
        <f t="shared" si="471"/>
        <v>1022</v>
      </c>
      <c r="BF1150" s="193">
        <f t="shared" si="460"/>
        <v>1136</v>
      </c>
      <c r="BG1150" s="193">
        <f t="shared" si="461"/>
        <v>1136</v>
      </c>
      <c r="BH1150" s="307">
        <f t="shared" si="473"/>
        <v>1010</v>
      </c>
      <c r="BI1150" s="265">
        <f t="shared" si="480"/>
        <v>1830</v>
      </c>
      <c r="BJ1150" s="26" t="str">
        <f t="shared" si="462"/>
        <v>ARTLISH RIVERCoho</v>
      </c>
      <c r="BK1150" s="26">
        <f t="shared" si="463"/>
        <v>3</v>
      </c>
      <c r="BL1150" s="33">
        <f t="shared" si="476"/>
        <v>1022</v>
      </c>
      <c r="BP1150" s="34"/>
      <c r="BQ1150" s="47" t="str">
        <f t="shared" si="464"/>
        <v>ARTLISH RIVERCoho</v>
      </c>
      <c r="BR1150" s="49">
        <f t="shared" si="465"/>
        <v>0</v>
      </c>
      <c r="BS1150" s="49">
        <f t="shared" si="474"/>
        <v>1136</v>
      </c>
      <c r="BT1150" s="31">
        <v>2016</v>
      </c>
      <c r="BU1150" s="188" t="str">
        <f t="shared" si="466"/>
        <v>KCFN/LGL</v>
      </c>
      <c r="BV1150" s="188" t="str">
        <f t="shared" si="467"/>
        <v>Sep 24-30</v>
      </c>
      <c r="BW1150" s="188" t="str">
        <f t="shared" si="475"/>
        <v>Oct 8-14</v>
      </c>
      <c r="BX1150" s="188" t="str">
        <f t="shared" si="468"/>
        <v xml:space="preserve"> </v>
      </c>
      <c r="BY1150" s="50" t="str">
        <f t="shared" si="456"/>
        <v>ARTLISH RIVER_Coho</v>
      </c>
      <c r="BZ1150" s="50">
        <f>IFERROR(VLOOKUP(BY1150,'[1]WCVI Esc'!$C$5:$W$555,18,FALSE),"-")</f>
        <v>1884.25</v>
      </c>
      <c r="CA1150" s="50">
        <f t="shared" si="469"/>
        <v>1880</v>
      </c>
      <c r="CB1150" s="50">
        <f>IFERROR(VLOOKUP(BY1150,'[1]WCVI Esc'!$C$5:$W$555,19,FALSE),"-")</f>
        <v>1833.9166666666667</v>
      </c>
      <c r="CC1150" s="50">
        <f t="shared" si="470"/>
        <v>1830</v>
      </c>
      <c r="CE1150" s="342" t="str">
        <f t="shared" si="477"/>
        <v>ARTLISH RIVER_Coho</v>
      </c>
      <c r="CF1150" s="341">
        <f>IFERROR(VLOOKUP(BY1150,'RawPL+D'!$O$8:$AB$503,12,FALSE),"-")</f>
        <v>1147</v>
      </c>
      <c r="CG1150" s="338">
        <f t="shared" si="478"/>
        <v>1150</v>
      </c>
      <c r="CH1150" s="341">
        <f>IFERROR(VLOOKUP(BY1150,'RawPL+D'!$O$8:$AB$503,13,FALSE),"-")</f>
        <v>1013.6666666666666</v>
      </c>
      <c r="CI1150" s="338">
        <f t="shared" si="479"/>
        <v>1010</v>
      </c>
    </row>
    <row r="1151" spans="1:87" ht="12.75" hidden="1" customHeight="1" x14ac:dyDescent="0.2">
      <c r="A1151" s="29">
        <v>2</v>
      </c>
      <c r="B1151" s="29">
        <v>3</v>
      </c>
      <c r="C1151" s="13">
        <v>26</v>
      </c>
      <c r="D1151" s="13" t="s">
        <v>301</v>
      </c>
      <c r="E1151" s="10" t="s">
        <v>57</v>
      </c>
      <c r="F1151" s="10" t="s">
        <v>208</v>
      </c>
      <c r="G1151" s="10"/>
      <c r="H1151" s="10"/>
      <c r="I1151" s="10"/>
      <c r="J1151" s="10"/>
      <c r="K1151" s="575"/>
      <c r="L1151" s="632">
        <v>0</v>
      </c>
      <c r="M1151" s="563"/>
      <c r="N1151" s="555"/>
      <c r="O1151" s="697"/>
      <c r="P1151" s="696">
        <v>0</v>
      </c>
      <c r="Q1151" s="654"/>
      <c r="R1151" s="650">
        <v>0</v>
      </c>
      <c r="S1151" s="664"/>
      <c r="T1151" s="658"/>
      <c r="U1151" s="556"/>
      <c r="V1151" s="615"/>
      <c r="W1151" s="555"/>
      <c r="X1151" s="556"/>
      <c r="Y1151" s="555"/>
      <c r="Z1151" s="64"/>
      <c r="AA1151" s="164"/>
      <c r="AB1151" s="62"/>
      <c r="AC1151" s="62"/>
      <c r="AD1151" s="64"/>
      <c r="AE1151" s="164"/>
      <c r="AF1151" s="62"/>
      <c r="AG1151" s="64"/>
      <c r="AH1151" s="337"/>
      <c r="AI1151" s="337"/>
      <c r="AJ1151" s="337"/>
      <c r="AK1151" s="337"/>
      <c r="AL1151" s="552" t="s">
        <v>770</v>
      </c>
      <c r="AM1151" s="552"/>
      <c r="AN1151" s="552"/>
      <c r="AO1151" s="841"/>
      <c r="AP1151" s="44"/>
      <c r="AQ1151" s="485"/>
      <c r="AR1151"/>
      <c r="AS1151"/>
      <c r="AT1151" s="123"/>
      <c r="AU1151" s="123"/>
      <c r="AV1151" s="123"/>
      <c r="AW1151" s="69">
        <v>26</v>
      </c>
      <c r="AX1151" s="69" t="s">
        <v>301</v>
      </c>
      <c r="AY1151" s="243" t="s">
        <v>57</v>
      </c>
      <c r="AZ1151" s="243" t="str">
        <f t="shared" si="458"/>
        <v>Pink</v>
      </c>
      <c r="BA1151" s="243" t="s">
        <v>419</v>
      </c>
      <c r="BB1151" s="244" t="s">
        <v>292</v>
      </c>
      <c r="BC1151" s="43" t="str">
        <f t="shared" si="459"/>
        <v>Oct 8-14</v>
      </c>
      <c r="BD1151" s="43">
        <f t="shared" si="457"/>
        <v>3</v>
      </c>
      <c r="BE1151" s="193">
        <f t="shared" si="471"/>
        <v>0</v>
      </c>
      <c r="BF1151" s="193" t="str">
        <f t="shared" si="460"/>
        <v>NO</v>
      </c>
      <c r="BG1151" s="193">
        <f t="shared" si="461"/>
        <v>0</v>
      </c>
      <c r="BH1151" s="307">
        <f t="shared" si="473"/>
        <v>0</v>
      </c>
      <c r="BI1151" s="265" t="str">
        <f t="shared" si="480"/>
        <v>-</v>
      </c>
      <c r="BJ1151" s="26" t="str">
        <f t="shared" si="462"/>
        <v>ARTLISH RIVERPink</v>
      </c>
      <c r="BK1151" s="26">
        <f t="shared" si="463"/>
        <v>3</v>
      </c>
      <c r="BL1151" s="33">
        <f t="shared" si="476"/>
        <v>0</v>
      </c>
      <c r="BP1151" s="34"/>
      <c r="BQ1151" s="47" t="str">
        <f t="shared" si="464"/>
        <v>ARTLISH RIVERPink</v>
      </c>
      <c r="BR1151" s="49">
        <f t="shared" si="465"/>
        <v>0</v>
      </c>
      <c r="BS1151" s="49" t="str">
        <f t="shared" si="474"/>
        <v>NO</v>
      </c>
      <c r="BT1151" s="31">
        <v>0</v>
      </c>
      <c r="BU1151" s="188" t="str">
        <f t="shared" si="466"/>
        <v>KCFN/LGL</v>
      </c>
      <c r="BV1151" s="188" t="str">
        <f t="shared" si="467"/>
        <v>Sep 24-30</v>
      </c>
      <c r="BW1151" s="188" t="str">
        <f t="shared" si="475"/>
        <v>Oct 8-14</v>
      </c>
      <c r="BX1151" s="188" t="str">
        <f t="shared" si="468"/>
        <v xml:space="preserve"> </v>
      </c>
      <c r="BY1151" s="50" t="str">
        <f t="shared" ref="BY1151:BY1214" si="481">CONCATENATE(E1151,"_",F1151)</f>
        <v>ARTLISH RIVER_Pink</v>
      </c>
      <c r="BZ1151" s="50" t="str">
        <f>IFERROR(VLOOKUP(BY1151,'[1]WCVI Esc'!$C$5:$W$555,18,FALSE),"-")</f>
        <v>-</v>
      </c>
      <c r="CA1151" s="50" t="str">
        <f t="shared" si="469"/>
        <v>-</v>
      </c>
      <c r="CB1151" s="50" t="str">
        <f>IFERROR(VLOOKUP(BY1151,'[1]WCVI Esc'!$C$5:$W$555,19,FALSE),"-")</f>
        <v>-</v>
      </c>
      <c r="CC1151" s="50" t="str">
        <f t="shared" si="470"/>
        <v>-</v>
      </c>
      <c r="CE1151" s="342" t="str">
        <f t="shared" si="477"/>
        <v>ARTLISH RIVER_Pink</v>
      </c>
      <c r="CF1151" s="341">
        <f>IFERROR(VLOOKUP(CE1151,'RawPL+D'!$O$8:$AB$503,12,FALSE),"-")</f>
        <v>0</v>
      </c>
      <c r="CG1151" s="338">
        <f t="shared" si="478"/>
        <v>0</v>
      </c>
      <c r="CH1151" s="341">
        <f>IFERROR(VLOOKUP(BY1151,'RawPL+D'!$O$8:$AB$503,13,FALSE),"-")</f>
        <v>0</v>
      </c>
      <c r="CI1151" s="338">
        <f t="shared" si="479"/>
        <v>0</v>
      </c>
    </row>
    <row r="1152" spans="1:87" ht="12.75" hidden="1" customHeight="1" x14ac:dyDescent="0.2">
      <c r="A1152" s="29">
        <v>2</v>
      </c>
      <c r="B1152" s="29">
        <v>4</v>
      </c>
      <c r="C1152" s="13">
        <v>26</v>
      </c>
      <c r="D1152" s="13" t="s">
        <v>301</v>
      </c>
      <c r="E1152" s="10" t="s">
        <v>57</v>
      </c>
      <c r="F1152" s="10" t="s">
        <v>209</v>
      </c>
      <c r="G1152" s="10"/>
      <c r="H1152" s="10"/>
      <c r="I1152" s="10"/>
      <c r="J1152" s="10"/>
      <c r="K1152" s="575"/>
      <c r="L1152" s="632">
        <v>0</v>
      </c>
      <c r="M1152" s="563"/>
      <c r="N1152" s="555"/>
      <c r="O1152" s="697"/>
      <c r="P1152" s="696">
        <v>721</v>
      </c>
      <c r="Q1152" s="654"/>
      <c r="R1152" s="778">
        <v>2465</v>
      </c>
      <c r="S1152" s="664"/>
      <c r="T1152" s="658"/>
      <c r="U1152" s="558"/>
      <c r="V1152" s="613"/>
      <c r="W1152" s="470"/>
      <c r="X1152" s="558"/>
      <c r="Y1152" s="555"/>
      <c r="Z1152" s="64"/>
      <c r="AA1152" s="164"/>
      <c r="AB1152" s="62"/>
      <c r="AC1152" s="62"/>
      <c r="AD1152" s="64"/>
      <c r="AE1152" s="164"/>
      <c r="AF1152" s="62"/>
      <c r="AG1152" s="64"/>
      <c r="AH1152" s="337">
        <v>3081</v>
      </c>
      <c r="AI1152" s="337">
        <v>0</v>
      </c>
      <c r="AJ1152" s="337">
        <v>0</v>
      </c>
      <c r="AK1152" s="337">
        <v>0</v>
      </c>
      <c r="AL1152" s="552">
        <v>3081</v>
      </c>
      <c r="AM1152" s="552">
        <v>3081</v>
      </c>
      <c r="AN1152" s="552" t="s">
        <v>765</v>
      </c>
      <c r="AO1152" s="552" t="s">
        <v>772</v>
      </c>
      <c r="AP1152" s="44"/>
      <c r="AQ1152" s="485">
        <f>AL1152/BI1152</f>
        <v>0.64591194968553456</v>
      </c>
      <c r="AR1152" s="485">
        <f>BL1152/BH1152</f>
        <v>1.8961538461538461</v>
      </c>
      <c r="AS1152" s="100">
        <f>BL1152/BI1152</f>
        <v>0.51677148846960164</v>
      </c>
      <c r="AT1152" s="123"/>
      <c r="AU1152" s="123"/>
      <c r="AV1152" s="123"/>
      <c r="AW1152" s="69">
        <v>26</v>
      </c>
      <c r="AX1152" s="69" t="s">
        <v>301</v>
      </c>
      <c r="AY1152" s="243" t="s">
        <v>57</v>
      </c>
      <c r="AZ1152" s="243" t="str">
        <f t="shared" si="458"/>
        <v>Chum</v>
      </c>
      <c r="BA1152" s="243" t="s">
        <v>419</v>
      </c>
      <c r="BB1152" s="244" t="s">
        <v>292</v>
      </c>
      <c r="BC1152" s="43" t="str">
        <f t="shared" si="459"/>
        <v>Oct 8-14</v>
      </c>
      <c r="BD1152" s="43">
        <f t="shared" si="457"/>
        <v>3</v>
      </c>
      <c r="BE1152" s="193">
        <f t="shared" si="471"/>
        <v>2465</v>
      </c>
      <c r="BF1152" s="193">
        <f t="shared" si="460"/>
        <v>3081</v>
      </c>
      <c r="BG1152" s="193">
        <f t="shared" si="461"/>
        <v>3081</v>
      </c>
      <c r="BH1152" s="307">
        <f t="shared" si="473"/>
        <v>1300</v>
      </c>
      <c r="BI1152" s="265">
        <f t="shared" si="480"/>
        <v>4770</v>
      </c>
      <c r="BJ1152" s="26" t="str">
        <f t="shared" si="462"/>
        <v>ARTLISH RIVERChum</v>
      </c>
      <c r="BK1152" s="26">
        <f t="shared" si="463"/>
        <v>3</v>
      </c>
      <c r="BL1152" s="33">
        <f t="shared" si="476"/>
        <v>2465</v>
      </c>
      <c r="BP1152" s="34"/>
      <c r="BQ1152" s="47" t="str">
        <f t="shared" si="464"/>
        <v>ARTLISH RIVERChum</v>
      </c>
      <c r="BR1152" s="49">
        <f t="shared" si="465"/>
        <v>0</v>
      </c>
      <c r="BS1152" s="49">
        <f t="shared" si="474"/>
        <v>3081</v>
      </c>
      <c r="BT1152" s="31">
        <v>2016</v>
      </c>
      <c r="BU1152" s="188" t="str">
        <f t="shared" si="466"/>
        <v>KCFN/LGL</v>
      </c>
      <c r="BV1152" s="188" t="str">
        <f t="shared" si="467"/>
        <v>Sep 24-30</v>
      </c>
      <c r="BW1152" s="188" t="str">
        <f t="shared" si="475"/>
        <v>Oct 8-14</v>
      </c>
      <c r="BX1152" s="188" t="str">
        <f t="shared" si="468"/>
        <v xml:space="preserve"> </v>
      </c>
      <c r="BY1152" s="50" t="str">
        <f t="shared" si="481"/>
        <v>ARTLISH RIVER_Chum</v>
      </c>
      <c r="BZ1152" s="50">
        <f>IFERROR(VLOOKUP(BY1152,'[1]WCVI Esc'!$C$5:$W$555,18,FALSE),"-")</f>
        <v>2491.75</v>
      </c>
      <c r="CA1152" s="50">
        <f t="shared" si="469"/>
        <v>2490</v>
      </c>
      <c r="CB1152" s="50">
        <f>IFERROR(VLOOKUP(BY1152,'[1]WCVI Esc'!$C$5:$W$555,19,FALSE),"-")</f>
        <v>4772.416666666667</v>
      </c>
      <c r="CC1152" s="50">
        <f t="shared" si="470"/>
        <v>4770</v>
      </c>
      <c r="CE1152" s="342" t="str">
        <f t="shared" si="477"/>
        <v>ARTLISH RIVER_Chum</v>
      </c>
      <c r="CF1152" s="341">
        <f>IFERROR(VLOOKUP(CE1152,'RawPL+D'!$O$8:$AB$503,12,FALSE),"-")</f>
        <v>708</v>
      </c>
      <c r="CG1152" s="338">
        <f t="shared" si="478"/>
        <v>710</v>
      </c>
      <c r="CH1152" s="341">
        <f>IFERROR(VLOOKUP(BY1152,'RawPL+D'!$O$8:$AB$503,13,FALSE),"-")</f>
        <v>1298</v>
      </c>
      <c r="CI1152" s="338">
        <f t="shared" si="479"/>
        <v>1300</v>
      </c>
    </row>
    <row r="1153" spans="1:87" ht="12.75" hidden="1" customHeight="1" x14ac:dyDescent="0.2">
      <c r="A1153" s="29">
        <v>2</v>
      </c>
      <c r="B1153" s="29">
        <v>5</v>
      </c>
      <c r="C1153" s="13">
        <v>26</v>
      </c>
      <c r="D1153" s="13" t="s">
        <v>301</v>
      </c>
      <c r="E1153" s="10" t="s">
        <v>57</v>
      </c>
      <c r="F1153" s="10" t="s">
        <v>210</v>
      </c>
      <c r="G1153" s="10"/>
      <c r="H1153" s="10"/>
      <c r="I1153" s="10"/>
      <c r="J1153" s="10"/>
      <c r="K1153" s="575"/>
      <c r="L1153" s="632">
        <v>7</v>
      </c>
      <c r="M1153" s="698"/>
      <c r="N1153" s="698"/>
      <c r="O1153" s="698"/>
      <c r="P1153" s="696">
        <v>94</v>
      </c>
      <c r="Q1153" s="811"/>
      <c r="R1153" s="778">
        <v>29</v>
      </c>
      <c r="S1153" s="812"/>
      <c r="T1153" s="813"/>
      <c r="U1153" s="818"/>
      <c r="V1153" s="613"/>
      <c r="W1153" s="470"/>
      <c r="X1153" s="556"/>
      <c r="Y1153" s="555"/>
      <c r="Z1153" s="64"/>
      <c r="AA1153" s="164"/>
      <c r="AB1153" s="62"/>
      <c r="AC1153" s="62"/>
      <c r="AD1153" s="64"/>
      <c r="AE1153" s="164"/>
      <c r="AF1153" s="62"/>
      <c r="AG1153" s="64"/>
      <c r="AH1153" s="337">
        <v>104</v>
      </c>
      <c r="AI1153" s="337">
        <v>7</v>
      </c>
      <c r="AJ1153" s="337">
        <v>0</v>
      </c>
      <c r="AK1153" s="337">
        <v>0</v>
      </c>
      <c r="AL1153" s="820">
        <v>104</v>
      </c>
      <c r="AM1153" s="820">
        <v>111</v>
      </c>
      <c r="AN1153" s="552" t="s">
        <v>765</v>
      </c>
      <c r="AO1153" s="839" t="s">
        <v>766</v>
      </c>
      <c r="AP1153" s="44"/>
      <c r="AQ1153" s="485">
        <f>AL1153/BI1153</f>
        <v>0.32500000000000001</v>
      </c>
      <c r="AR1153" s="485">
        <f>BL1153/BH1153</f>
        <v>0.72307692307692306</v>
      </c>
      <c r="AS1153" s="100">
        <f>BL1153/BI1153</f>
        <v>0.29375000000000001</v>
      </c>
      <c r="AT1153" s="123">
        <v>616</v>
      </c>
      <c r="AU1153" s="123">
        <v>181</v>
      </c>
      <c r="AV1153" s="123">
        <f>AL1153</f>
        <v>104</v>
      </c>
      <c r="AW1153" s="69">
        <v>26</v>
      </c>
      <c r="AX1153" s="69" t="s">
        <v>301</v>
      </c>
      <c r="AY1153" s="243" t="s">
        <v>57</v>
      </c>
      <c r="AZ1153" s="243" t="str">
        <f t="shared" si="458"/>
        <v>Chinook</v>
      </c>
      <c r="BA1153" s="243" t="s">
        <v>419</v>
      </c>
      <c r="BB1153" s="244" t="s">
        <v>292</v>
      </c>
      <c r="BC1153" s="43" t="str">
        <f t="shared" si="459"/>
        <v>Oct 8-14</v>
      </c>
      <c r="BD1153" s="43">
        <f t="shared" si="457"/>
        <v>3</v>
      </c>
      <c r="BE1153" s="193">
        <f t="shared" si="471"/>
        <v>94</v>
      </c>
      <c r="BF1153" s="193">
        <f t="shared" si="460"/>
        <v>104</v>
      </c>
      <c r="BG1153" s="193">
        <f t="shared" si="461"/>
        <v>104</v>
      </c>
      <c r="BH1153" s="307">
        <f t="shared" si="473"/>
        <v>130</v>
      </c>
      <c r="BI1153" s="265">
        <f t="shared" si="480"/>
        <v>320</v>
      </c>
      <c r="BJ1153" s="26" t="str">
        <f t="shared" si="462"/>
        <v>ARTLISH RIVERChinook</v>
      </c>
      <c r="BK1153" s="26">
        <f t="shared" si="463"/>
        <v>3</v>
      </c>
      <c r="BL1153" s="33">
        <f t="shared" si="476"/>
        <v>94</v>
      </c>
      <c r="BM1153" s="34">
        <f>BL1153*1.14</f>
        <v>107.16</v>
      </c>
      <c r="BN1153" s="34">
        <f>BL1153*2.88</f>
        <v>270.71999999999997</v>
      </c>
      <c r="BO1153" s="35"/>
      <c r="BP1153" s="34">
        <f>SUM(BM1153:BN1153)/2</f>
        <v>188.94</v>
      </c>
      <c r="BQ1153" s="47" t="str">
        <f t="shared" si="464"/>
        <v>ARTLISH RIVERChinook</v>
      </c>
      <c r="BR1153" s="49">
        <f t="shared" si="465"/>
        <v>0</v>
      </c>
      <c r="BS1153" s="49">
        <f t="shared" si="474"/>
        <v>104</v>
      </c>
      <c r="BT1153" s="31">
        <v>2016</v>
      </c>
      <c r="BU1153" s="188" t="str">
        <f t="shared" si="466"/>
        <v>KCFN/LGL</v>
      </c>
      <c r="BV1153" s="188" t="str">
        <f t="shared" si="467"/>
        <v>Sep 24-30</v>
      </c>
      <c r="BW1153" s="188" t="str">
        <f t="shared" si="475"/>
        <v>Oct 8-14</v>
      </c>
      <c r="BX1153" s="188" t="str">
        <f t="shared" si="468"/>
        <v xml:space="preserve"> </v>
      </c>
      <c r="BY1153" s="50" t="str">
        <f t="shared" si="481"/>
        <v>ARTLISH RIVER_Chinook</v>
      </c>
      <c r="BZ1153" s="50">
        <f>IFERROR(VLOOKUP(BY1153,'[1]WCVI Esc'!$C$5:$W$555,18,FALSE),"-")</f>
        <v>257.75</v>
      </c>
      <c r="CA1153" s="50">
        <f t="shared" si="469"/>
        <v>260</v>
      </c>
      <c r="CB1153" s="50">
        <f>IFERROR(VLOOKUP(BY1153,'[1]WCVI Esc'!$C$5:$W$555,19,FALSE),"-")</f>
        <v>321.58333333333331</v>
      </c>
      <c r="CC1153" s="50">
        <f t="shared" si="470"/>
        <v>320</v>
      </c>
      <c r="CE1153" s="342" t="str">
        <f t="shared" si="477"/>
        <v>ARTLISH RIVER_Chinook</v>
      </c>
      <c r="CF1153" s="341">
        <f>IFERROR(VLOOKUP(CE1153,'RawPL+D'!$O$8:$AB$503,12,FALSE),"-")</f>
        <v>92</v>
      </c>
      <c r="CG1153" s="338">
        <f t="shared" si="478"/>
        <v>90</v>
      </c>
      <c r="CH1153" s="341">
        <f>IFERROR(VLOOKUP(BY1153,'RawPL+D'!$O$8:$AB$503,13,FALSE),"-")</f>
        <v>132</v>
      </c>
      <c r="CI1153" s="338">
        <f t="shared" si="479"/>
        <v>130</v>
      </c>
    </row>
    <row r="1154" spans="1:87" ht="12.75" hidden="1" customHeight="1" x14ac:dyDescent="0.2">
      <c r="A1154" s="29">
        <v>2</v>
      </c>
      <c r="B1154" s="29">
        <v>6</v>
      </c>
      <c r="C1154" s="13">
        <v>26</v>
      </c>
      <c r="D1154" s="148" t="s">
        <v>301</v>
      </c>
      <c r="E1154" s="10" t="s">
        <v>57</v>
      </c>
      <c r="F1154" s="10" t="s">
        <v>211</v>
      </c>
      <c r="G1154" s="10"/>
      <c r="H1154" s="10"/>
      <c r="I1154" s="10"/>
      <c r="J1154" s="10"/>
      <c r="K1154" s="575"/>
      <c r="L1154" s="632">
        <v>0</v>
      </c>
      <c r="M1154" s="164"/>
      <c r="N1154" s="62"/>
      <c r="O1154" s="699"/>
      <c r="P1154" s="686">
        <v>1</v>
      </c>
      <c r="Q1154" s="655"/>
      <c r="R1154" s="642"/>
      <c r="S1154" s="665"/>
      <c r="T1154" s="659"/>
      <c r="U1154" s="63"/>
      <c r="V1154" s="169"/>
      <c r="W1154" s="62"/>
      <c r="X1154" s="63"/>
      <c r="Y1154" s="62"/>
      <c r="Z1154" s="64"/>
      <c r="AA1154" s="164"/>
      <c r="AB1154" s="62"/>
      <c r="AC1154" s="62"/>
      <c r="AD1154" s="64"/>
      <c r="AE1154" s="164"/>
      <c r="AF1154" s="62"/>
      <c r="AG1154" s="64"/>
      <c r="AH1154" s="337"/>
      <c r="AI1154" s="337"/>
      <c r="AJ1154" s="337"/>
      <c r="AK1154" s="337"/>
      <c r="AL1154" s="552"/>
      <c r="AM1154" s="552"/>
      <c r="AN1154" s="45"/>
      <c r="AO1154" s="45"/>
      <c r="AP1154" s="44"/>
      <c r="AQ1154" s="485"/>
      <c r="AR1154"/>
      <c r="AS1154"/>
      <c r="AT1154" s="123"/>
      <c r="AU1154" s="123"/>
      <c r="AV1154" s="123"/>
      <c r="AW1154" s="69">
        <v>26</v>
      </c>
      <c r="AX1154" s="69" t="s">
        <v>301</v>
      </c>
      <c r="AY1154" s="243" t="s">
        <v>57</v>
      </c>
      <c r="AZ1154" s="243" t="str">
        <f t="shared" si="458"/>
        <v>Steelhead</v>
      </c>
      <c r="BA1154" s="243" t="s">
        <v>419</v>
      </c>
      <c r="BB1154" s="244" t="s">
        <v>292</v>
      </c>
      <c r="BC1154" s="43" t="str">
        <f t="shared" si="459"/>
        <v>Sep 24-30</v>
      </c>
      <c r="BD1154" s="43">
        <f t="shared" si="457"/>
        <v>2</v>
      </c>
      <c r="BE1154" s="193">
        <f t="shared" si="471"/>
        <v>1</v>
      </c>
      <c r="BF1154" s="193">
        <f t="shared" si="460"/>
        <v>0</v>
      </c>
      <c r="BG1154" s="193">
        <f t="shared" si="461"/>
        <v>0</v>
      </c>
      <c r="BH1154" s="307" t="str">
        <f t="shared" si="473"/>
        <v>-</v>
      </c>
      <c r="BI1154" s="265" t="str">
        <f t="shared" si="480"/>
        <v>-</v>
      </c>
      <c r="BJ1154" s="26" t="str">
        <f t="shared" si="462"/>
        <v>ARTLISH RIVERSteelhead</v>
      </c>
      <c r="BK1154" s="26">
        <f t="shared" si="463"/>
        <v>2</v>
      </c>
      <c r="BL1154" s="33">
        <f t="shared" si="476"/>
        <v>1</v>
      </c>
      <c r="BP1154" s="34"/>
      <c r="BQ1154" s="47" t="str">
        <f t="shared" si="464"/>
        <v>ARTLISH RIVERSteelhead</v>
      </c>
      <c r="BR1154" s="49">
        <f t="shared" si="465"/>
        <v>0</v>
      </c>
      <c r="BS1154" s="49">
        <f t="shared" si="474"/>
        <v>0</v>
      </c>
      <c r="BT1154" s="31">
        <v>0</v>
      </c>
      <c r="BU1154" s="188" t="str">
        <f t="shared" si="466"/>
        <v>KCFN/LGL</v>
      </c>
      <c r="BV1154" s="188" t="str">
        <f t="shared" si="467"/>
        <v>Sep 24-30</v>
      </c>
      <c r="BW1154" s="188" t="str">
        <f t="shared" si="475"/>
        <v xml:space="preserve"> </v>
      </c>
      <c r="BX1154" s="188" t="str">
        <f t="shared" si="468"/>
        <v xml:space="preserve"> </v>
      </c>
      <c r="BY1154" s="50" t="str">
        <f t="shared" si="481"/>
        <v>ARTLISH RIVER_Steelhead</v>
      </c>
      <c r="BZ1154" s="50" t="str">
        <f>IFERROR(VLOOKUP(BY1154,'[1]WCVI Esc'!$C$5:$W$555,18,FALSE),"-")</f>
        <v>-</v>
      </c>
      <c r="CA1154" s="50" t="str">
        <f t="shared" si="469"/>
        <v>-</v>
      </c>
      <c r="CB1154" s="50" t="str">
        <f>IFERROR(VLOOKUP(BY1154,'[1]WCVI Esc'!$C$5:$W$555,19,FALSE),"-")</f>
        <v>-</v>
      </c>
      <c r="CC1154" s="50" t="str">
        <f t="shared" si="470"/>
        <v>-</v>
      </c>
      <c r="CE1154" s="342" t="str">
        <f t="shared" si="477"/>
        <v>ARTLISH RIVER_Steelhead</v>
      </c>
      <c r="CF1154" s="341" t="str">
        <f>IFERROR(VLOOKUP(BY1154,'RawPL+D'!$O$8:$AB$503,12,FALSE),"-")</f>
        <v>-</v>
      </c>
      <c r="CG1154" s="338" t="str">
        <f t="shared" si="478"/>
        <v>-</v>
      </c>
      <c r="CH1154" s="341" t="str">
        <f>IFERROR(VLOOKUP(BY1154,'RawPL+D'!$O$8:$AB$503,13,FALSE),"-")</f>
        <v>-</v>
      </c>
      <c r="CI1154" s="338" t="str">
        <f t="shared" si="479"/>
        <v>-</v>
      </c>
    </row>
    <row r="1155" spans="1:87" ht="12.75" hidden="1" customHeight="1" x14ac:dyDescent="0.2">
      <c r="A1155" s="29">
        <v>2</v>
      </c>
      <c r="B1155" s="29">
        <v>1</v>
      </c>
      <c r="C1155" s="13">
        <v>26</v>
      </c>
      <c r="D1155" s="13" t="s">
        <v>301</v>
      </c>
      <c r="E1155" s="10" t="s">
        <v>62</v>
      </c>
      <c r="F1155" s="10" t="s">
        <v>207</v>
      </c>
      <c r="G1155" s="10"/>
      <c r="H1155" s="10"/>
      <c r="I1155" s="10"/>
      <c r="J1155" s="10"/>
      <c r="K1155" s="575"/>
      <c r="L1155" s="632">
        <v>0</v>
      </c>
      <c r="M1155" s="563"/>
      <c r="N1155" s="555"/>
      <c r="O1155" s="650">
        <v>0</v>
      </c>
      <c r="P1155" s="696">
        <v>4</v>
      </c>
      <c r="Q1155" s="654"/>
      <c r="R1155" s="778">
        <v>1</v>
      </c>
      <c r="S1155" s="657"/>
      <c r="T1155" s="558"/>
      <c r="U1155" s="671"/>
      <c r="V1155" s="807">
        <v>0</v>
      </c>
      <c r="W1155" s="814">
        <v>0</v>
      </c>
      <c r="X1155" s="555"/>
      <c r="Y1155" s="650">
        <v>0</v>
      </c>
      <c r="Z1155" s="64"/>
      <c r="AA1155" s="164"/>
      <c r="AB1155" s="62"/>
      <c r="AC1155" s="62"/>
      <c r="AD1155" s="64"/>
      <c r="AE1155" s="164"/>
      <c r="AF1155" s="62"/>
      <c r="AG1155" s="64"/>
      <c r="AH1155" s="337">
        <v>4</v>
      </c>
      <c r="AI1155" s="337">
        <v>0</v>
      </c>
      <c r="AJ1155" s="337">
        <v>0</v>
      </c>
      <c r="AK1155" s="337">
        <v>0</v>
      </c>
      <c r="AL1155" s="552">
        <v>4</v>
      </c>
      <c r="AM1155" s="552">
        <v>4</v>
      </c>
      <c r="AN1155" s="552" t="s">
        <v>765</v>
      </c>
      <c r="AO1155" s="552" t="s">
        <v>773</v>
      </c>
      <c r="AP1155" s="44"/>
      <c r="AQ1155" s="485">
        <f>AL1155/BI1155</f>
        <v>6.6666666666666666E-2</v>
      </c>
      <c r="AR1155" s="485">
        <f>BL1155/BH1155</f>
        <v>0.4</v>
      </c>
      <c r="AS1155" s="485">
        <f>BL1155/BI1155</f>
        <v>6.6666666666666666E-2</v>
      </c>
      <c r="AT1155" s="100"/>
      <c r="AU1155" s="100"/>
      <c r="AV1155" s="100"/>
      <c r="AW1155" s="69">
        <v>26</v>
      </c>
      <c r="AX1155" s="69" t="s">
        <v>301</v>
      </c>
      <c r="AY1155" s="243" t="s">
        <v>62</v>
      </c>
      <c r="AZ1155" s="243" t="str">
        <f t="shared" si="458"/>
        <v>Sockeye</v>
      </c>
      <c r="BA1155" s="243" t="s">
        <v>419</v>
      </c>
      <c r="BB1155" s="244" t="s">
        <v>292</v>
      </c>
      <c r="BC1155" s="43" t="str">
        <f t="shared" si="459"/>
        <v>Nov 26-Dec 2</v>
      </c>
      <c r="BD1155" s="43">
        <f t="shared" si="457"/>
        <v>7</v>
      </c>
      <c r="BE1155" s="193">
        <f t="shared" si="471"/>
        <v>4</v>
      </c>
      <c r="BF1155" s="193">
        <f t="shared" si="460"/>
        <v>4</v>
      </c>
      <c r="BG1155" s="193">
        <f t="shared" si="461"/>
        <v>4</v>
      </c>
      <c r="BH1155" s="307">
        <f t="shared" si="473"/>
        <v>10</v>
      </c>
      <c r="BI1155" s="265">
        <f t="shared" si="480"/>
        <v>60</v>
      </c>
      <c r="BJ1155" s="26" t="str">
        <f t="shared" si="462"/>
        <v>KAOUK RIVERSockeye</v>
      </c>
      <c r="BK1155" s="26">
        <f t="shared" si="463"/>
        <v>7</v>
      </c>
      <c r="BL1155" s="33">
        <f t="shared" si="476"/>
        <v>4</v>
      </c>
      <c r="BO1155"/>
      <c r="BP1155" s="34"/>
      <c r="BQ1155" s="47" t="str">
        <f t="shared" si="464"/>
        <v>KAOUK RIVERSockeye</v>
      </c>
      <c r="BR1155" s="49">
        <f t="shared" si="465"/>
        <v>0</v>
      </c>
      <c r="BS1155" s="49">
        <f t="shared" si="474"/>
        <v>4</v>
      </c>
      <c r="BT1155" s="31">
        <v>2016</v>
      </c>
      <c r="BU1155" s="188" t="str">
        <f t="shared" si="466"/>
        <v>KCFN/LGL</v>
      </c>
      <c r="BV1155" s="188" t="str">
        <f t="shared" si="467"/>
        <v>Sep 24-30</v>
      </c>
      <c r="BW1155" s="188" t="str">
        <f t="shared" si="475"/>
        <v>Nov 12-18</v>
      </c>
      <c r="BX1155" s="188" t="str">
        <f t="shared" si="468"/>
        <v>Nov 26-Dec 2</v>
      </c>
      <c r="BY1155" s="50" t="str">
        <f t="shared" si="481"/>
        <v>KAOUK RIVER_Sockeye</v>
      </c>
      <c r="BZ1155" s="50">
        <f>IFERROR(VLOOKUP(BY1155,'[1]WCVI Esc'!$C$5:$W$555,18,FALSE),"-")</f>
        <v>26.25</v>
      </c>
      <c r="CA1155" s="50">
        <f t="shared" si="469"/>
        <v>30</v>
      </c>
      <c r="CB1155" s="50">
        <f>IFERROR(VLOOKUP(BY1155,'[1]WCVI Esc'!$C$5:$W$555,19,FALSE),"-")</f>
        <v>63.083333333333336</v>
      </c>
      <c r="CC1155" s="50">
        <f t="shared" si="470"/>
        <v>60</v>
      </c>
      <c r="CE1155" s="342" t="str">
        <f t="shared" si="477"/>
        <v>KAOUK RIVER_Sockeye</v>
      </c>
      <c r="CF1155" s="341">
        <f>IFERROR(VLOOKUP(CE1155,'RawPL+D'!$O$8:$AB$503,12,FALSE),"-")</f>
        <v>11</v>
      </c>
      <c r="CG1155" s="338">
        <f t="shared" si="478"/>
        <v>10</v>
      </c>
      <c r="CH1155" s="341">
        <f>IFERROR(VLOOKUP(BY1155,'RawPL+D'!$O$8:$AB$503,13,FALSE),"-")</f>
        <v>14</v>
      </c>
      <c r="CI1155" s="338">
        <f t="shared" si="479"/>
        <v>10</v>
      </c>
    </row>
    <row r="1156" spans="1:87" ht="12.75" hidden="1" customHeight="1" x14ac:dyDescent="0.2">
      <c r="A1156" s="29">
        <v>2</v>
      </c>
      <c r="B1156" s="29">
        <v>2</v>
      </c>
      <c r="C1156" s="13">
        <v>26</v>
      </c>
      <c r="D1156" s="13" t="s">
        <v>301</v>
      </c>
      <c r="E1156" s="10" t="s">
        <v>62</v>
      </c>
      <c r="F1156" s="10" t="s">
        <v>219</v>
      </c>
      <c r="G1156" s="10"/>
      <c r="H1156" s="10"/>
      <c r="I1156" s="10"/>
      <c r="J1156" s="10"/>
      <c r="K1156" s="575"/>
      <c r="L1156" s="632">
        <v>0</v>
      </c>
      <c r="M1156" s="563"/>
      <c r="N1156" s="555"/>
      <c r="O1156" s="650">
        <v>2</v>
      </c>
      <c r="P1156" s="696">
        <v>313</v>
      </c>
      <c r="Q1156" s="654"/>
      <c r="R1156" s="778">
        <v>777</v>
      </c>
      <c r="S1156" s="658"/>
      <c r="T1156" s="557"/>
      <c r="U1156" s="670"/>
      <c r="V1156" s="807">
        <v>533</v>
      </c>
      <c r="W1156" s="814">
        <v>565</v>
      </c>
      <c r="X1156" s="560"/>
      <c r="Y1156" s="650">
        <f>491+14</f>
        <v>505</v>
      </c>
      <c r="Z1156" s="64"/>
      <c r="AA1156" s="164"/>
      <c r="AB1156" s="62"/>
      <c r="AC1156" s="62"/>
      <c r="AD1156" s="64"/>
      <c r="AE1156" s="164"/>
      <c r="AF1156" s="62"/>
      <c r="AG1156" s="64"/>
      <c r="AH1156" s="337">
        <v>3438</v>
      </c>
      <c r="AI1156" s="337">
        <v>312</v>
      </c>
      <c r="AJ1156" s="337">
        <v>0</v>
      </c>
      <c r="AK1156" s="337">
        <v>0</v>
      </c>
      <c r="AL1156" s="552">
        <v>3438</v>
      </c>
      <c r="AM1156" s="552">
        <v>3750</v>
      </c>
      <c r="AN1156" s="552" t="s">
        <v>768</v>
      </c>
      <c r="AO1156" s="552" t="s">
        <v>775</v>
      </c>
      <c r="AP1156" s="44"/>
      <c r="AQ1156" s="485">
        <f>AL1156/BI1156</f>
        <v>1.2234875444839857</v>
      </c>
      <c r="AR1156" s="485">
        <f>BL1156/BH1156</f>
        <v>0.53219178082191776</v>
      </c>
      <c r="AS1156" s="485">
        <f>BL1156/BI1156</f>
        <v>0.27651245551601422</v>
      </c>
      <c r="AT1156" s="100"/>
      <c r="AU1156" s="100"/>
      <c r="AV1156" s="100"/>
      <c r="AW1156" s="69">
        <v>26</v>
      </c>
      <c r="AX1156" s="69" t="s">
        <v>301</v>
      </c>
      <c r="AY1156" s="243" t="s">
        <v>62</v>
      </c>
      <c r="AZ1156" s="243" t="str">
        <f t="shared" si="458"/>
        <v>Coho</v>
      </c>
      <c r="BA1156" s="243" t="s">
        <v>419</v>
      </c>
      <c r="BB1156" s="244" t="s">
        <v>292</v>
      </c>
      <c r="BC1156" s="43" t="str">
        <f t="shared" si="459"/>
        <v>Nov 26-Dec 2</v>
      </c>
      <c r="BD1156" s="43">
        <f t="shared" si="457"/>
        <v>7</v>
      </c>
      <c r="BE1156" s="193">
        <f t="shared" si="471"/>
        <v>777</v>
      </c>
      <c r="BF1156" s="193">
        <f t="shared" si="460"/>
        <v>3438</v>
      </c>
      <c r="BG1156" s="193">
        <f t="shared" si="461"/>
        <v>3438</v>
      </c>
      <c r="BH1156" s="307">
        <f t="shared" si="473"/>
        <v>1460</v>
      </c>
      <c r="BI1156" s="265">
        <f t="shared" si="480"/>
        <v>2810</v>
      </c>
      <c r="BJ1156" s="26" t="str">
        <f t="shared" si="462"/>
        <v>KAOUK RIVERCoho</v>
      </c>
      <c r="BK1156" s="26">
        <f t="shared" si="463"/>
        <v>7</v>
      </c>
      <c r="BL1156" s="33">
        <f t="shared" si="476"/>
        <v>777</v>
      </c>
      <c r="BO1156"/>
      <c r="BP1156" s="34"/>
      <c r="BQ1156" s="47" t="str">
        <f t="shared" si="464"/>
        <v>KAOUK RIVERCoho</v>
      </c>
      <c r="BR1156" s="49">
        <f t="shared" si="465"/>
        <v>0</v>
      </c>
      <c r="BS1156" s="49">
        <f t="shared" si="474"/>
        <v>3438</v>
      </c>
      <c r="BT1156" s="31">
        <v>2016</v>
      </c>
      <c r="BU1156" s="188" t="str">
        <f t="shared" si="466"/>
        <v>KCFN/LGL</v>
      </c>
      <c r="BV1156" s="188" t="str">
        <f t="shared" si="467"/>
        <v>Sep 24-30</v>
      </c>
      <c r="BW1156" s="188" t="str">
        <f t="shared" si="475"/>
        <v>Nov 12-18</v>
      </c>
      <c r="BX1156" s="188" t="str">
        <f t="shared" si="468"/>
        <v>Nov 26-Dec 2</v>
      </c>
      <c r="BY1156" s="50" t="str">
        <f t="shared" si="481"/>
        <v>KAOUK RIVER_Coho</v>
      </c>
      <c r="BZ1156" s="50">
        <f>IFERROR(VLOOKUP(BY1156,'[1]WCVI Esc'!$C$5:$W$555,18,FALSE),"-")</f>
        <v>2988</v>
      </c>
      <c r="CA1156" s="50">
        <f t="shared" si="469"/>
        <v>2990</v>
      </c>
      <c r="CB1156" s="50">
        <f>IFERROR(VLOOKUP(BY1156,'[1]WCVI Esc'!$C$5:$W$555,19,FALSE),"-")</f>
        <v>2814.8333333333335</v>
      </c>
      <c r="CC1156" s="50">
        <f t="shared" si="470"/>
        <v>2810</v>
      </c>
      <c r="CE1156" s="342" t="str">
        <f t="shared" si="477"/>
        <v>KAOUK RIVER_Coho</v>
      </c>
      <c r="CF1156" s="341">
        <f>IFERROR(VLOOKUP(BY1156,'RawPL+D'!$O$8:$AB$503,12,FALSE),"-")</f>
        <v>2876</v>
      </c>
      <c r="CG1156" s="338">
        <f t="shared" si="478"/>
        <v>2880</v>
      </c>
      <c r="CH1156" s="341">
        <f>IFERROR(VLOOKUP(BY1156,'RawPL+D'!$O$8:$AB$503,13,FALSE),"-")</f>
        <v>1461.25</v>
      </c>
      <c r="CI1156" s="338">
        <f t="shared" si="479"/>
        <v>1460</v>
      </c>
    </row>
    <row r="1157" spans="1:87" ht="12.75" hidden="1" customHeight="1" x14ac:dyDescent="0.2">
      <c r="A1157" s="29">
        <v>2</v>
      </c>
      <c r="B1157" s="29">
        <v>3</v>
      </c>
      <c r="C1157" s="13">
        <v>26</v>
      </c>
      <c r="D1157" s="13" t="s">
        <v>301</v>
      </c>
      <c r="E1157" s="10" t="s">
        <v>62</v>
      </c>
      <c r="F1157" s="10" t="s">
        <v>208</v>
      </c>
      <c r="G1157" s="10"/>
      <c r="H1157" s="10"/>
      <c r="I1157" s="10"/>
      <c r="J1157" s="10"/>
      <c r="K1157" s="575"/>
      <c r="L1157" s="632">
        <v>0</v>
      </c>
      <c r="M1157" s="563"/>
      <c r="N1157" s="555"/>
      <c r="O1157" s="650">
        <v>0</v>
      </c>
      <c r="P1157" s="696">
        <v>0</v>
      </c>
      <c r="Q1157" s="654"/>
      <c r="R1157" s="650">
        <v>0</v>
      </c>
      <c r="S1157" s="658"/>
      <c r="T1157" s="556"/>
      <c r="U1157" s="671"/>
      <c r="V1157" s="807">
        <v>0</v>
      </c>
      <c r="W1157" s="814">
        <v>0</v>
      </c>
      <c r="X1157" s="555"/>
      <c r="Y1157" s="650">
        <v>0</v>
      </c>
      <c r="Z1157" s="64"/>
      <c r="AA1157" s="164"/>
      <c r="AB1157" s="62"/>
      <c r="AC1157" s="62"/>
      <c r="AD1157" s="64"/>
      <c r="AE1157" s="164"/>
      <c r="AF1157" s="62"/>
      <c r="AG1157" s="64"/>
      <c r="AH1157" s="337"/>
      <c r="AI1157" s="337"/>
      <c r="AJ1157" s="337"/>
      <c r="AK1157" s="337"/>
      <c r="AL1157" s="552" t="s">
        <v>770</v>
      </c>
      <c r="AM1157" s="552"/>
      <c r="AN1157" s="552"/>
      <c r="AO1157" s="45"/>
      <c r="AP1157" s="44"/>
      <c r="AQ1157" s="485" t="e">
        <f>AL1157/BI1157</f>
        <v>#VALUE!</v>
      </c>
      <c r="AR1157"/>
      <c r="AS1157" s="485"/>
      <c r="AT1157" s="100"/>
      <c r="AU1157" s="100"/>
      <c r="AV1157" s="100"/>
      <c r="AW1157" s="69">
        <v>26</v>
      </c>
      <c r="AX1157" s="69" t="s">
        <v>301</v>
      </c>
      <c r="AY1157" s="243" t="s">
        <v>62</v>
      </c>
      <c r="AZ1157" s="243" t="str">
        <f t="shared" si="458"/>
        <v>Pink</v>
      </c>
      <c r="BA1157" s="243" t="s">
        <v>419</v>
      </c>
      <c r="BB1157" s="244" t="s">
        <v>292</v>
      </c>
      <c r="BC1157" s="43" t="str">
        <f t="shared" si="459"/>
        <v>Nov 26-Dec 2</v>
      </c>
      <c r="BD1157" s="43">
        <f t="shared" ref="BD1157:BD1220" si="482">BK1157</f>
        <v>7</v>
      </c>
      <c r="BE1157" s="193">
        <f t="shared" si="471"/>
        <v>0</v>
      </c>
      <c r="BF1157" s="193" t="str">
        <f t="shared" si="460"/>
        <v>NO</v>
      </c>
      <c r="BG1157" s="193">
        <f t="shared" si="461"/>
        <v>0</v>
      </c>
      <c r="BH1157" s="307">
        <f t="shared" si="473"/>
        <v>0</v>
      </c>
      <c r="BI1157" s="265">
        <f t="shared" si="480"/>
        <v>10</v>
      </c>
      <c r="BJ1157" s="26" t="str">
        <f t="shared" si="462"/>
        <v>KAOUK RIVERPink</v>
      </c>
      <c r="BK1157" s="26">
        <f t="shared" si="463"/>
        <v>7</v>
      </c>
      <c r="BL1157" s="33">
        <f t="shared" si="476"/>
        <v>0</v>
      </c>
      <c r="BP1157" s="34"/>
      <c r="BQ1157" s="47" t="str">
        <f t="shared" si="464"/>
        <v>KAOUK RIVERPink</v>
      </c>
      <c r="BR1157" s="49">
        <f t="shared" si="465"/>
        <v>0</v>
      </c>
      <c r="BS1157" s="49" t="str">
        <f t="shared" si="474"/>
        <v>NO</v>
      </c>
      <c r="BT1157" s="31">
        <v>2016</v>
      </c>
      <c r="BU1157" s="188" t="str">
        <f t="shared" si="466"/>
        <v>KCFN/LGL</v>
      </c>
      <c r="BV1157" s="188" t="str">
        <f t="shared" si="467"/>
        <v>Sep 24-30</v>
      </c>
      <c r="BW1157" s="188" t="str">
        <f t="shared" si="475"/>
        <v>Nov 12-18</v>
      </c>
      <c r="BX1157" s="188" t="str">
        <f t="shared" si="468"/>
        <v>Nov 26-Dec 2</v>
      </c>
      <c r="BY1157" s="50" t="str">
        <f t="shared" si="481"/>
        <v>KAOUK RIVER_Pink</v>
      </c>
      <c r="BZ1157" s="50">
        <f>IFERROR(VLOOKUP(BY1157,'[1]WCVI Esc'!$C$5:$W$555,18,FALSE),"-")</f>
        <v>4</v>
      </c>
      <c r="CA1157" s="50">
        <f t="shared" si="469"/>
        <v>0</v>
      </c>
      <c r="CB1157" s="50">
        <f>IFERROR(VLOOKUP(BY1157,'[1]WCVI Esc'!$C$5:$W$555,19,FALSE),"-")</f>
        <v>5.666666666666667</v>
      </c>
      <c r="CC1157" s="50">
        <f t="shared" si="470"/>
        <v>10</v>
      </c>
      <c r="CE1157" s="342" t="str">
        <f t="shared" si="477"/>
        <v>KAOUK RIVER_Pink</v>
      </c>
      <c r="CF1157" s="341">
        <f>IFERROR(VLOOKUP(CE1157,'RawPL+D'!$O$8:$AB$503,12,FALSE),"-")</f>
        <v>0</v>
      </c>
      <c r="CG1157" s="338">
        <f t="shared" si="478"/>
        <v>0</v>
      </c>
      <c r="CH1157" s="341">
        <f>IFERROR(VLOOKUP(BY1157,'RawPL+D'!$O$8:$AB$503,13,FALSE),"-")</f>
        <v>2</v>
      </c>
      <c r="CI1157" s="338">
        <f t="shared" si="479"/>
        <v>0</v>
      </c>
    </row>
    <row r="1158" spans="1:87" ht="12.75" hidden="1" customHeight="1" x14ac:dyDescent="0.2">
      <c r="A1158" s="29">
        <v>2</v>
      </c>
      <c r="B1158" s="29">
        <v>4</v>
      </c>
      <c r="C1158" s="13">
        <v>26</v>
      </c>
      <c r="D1158" s="13" t="s">
        <v>301</v>
      </c>
      <c r="E1158" s="10" t="s">
        <v>62</v>
      </c>
      <c r="F1158" s="10" t="s">
        <v>209</v>
      </c>
      <c r="G1158" s="10"/>
      <c r="H1158" s="10"/>
      <c r="I1158" s="10"/>
      <c r="J1158" s="10"/>
      <c r="K1158" s="575"/>
      <c r="L1158" s="632">
        <v>0</v>
      </c>
      <c r="M1158" s="563"/>
      <c r="N1158" s="555"/>
      <c r="O1158" s="650">
        <v>0</v>
      </c>
      <c r="P1158" s="696">
        <v>237</v>
      </c>
      <c r="Q1158" s="653"/>
      <c r="R1158" s="778">
        <v>2049</v>
      </c>
      <c r="S1158" s="666"/>
      <c r="T1158" s="557"/>
      <c r="U1158" s="669"/>
      <c r="V1158" s="807">
        <f>500+43</f>
        <v>543</v>
      </c>
      <c r="W1158" s="837">
        <f>174+13</f>
        <v>187</v>
      </c>
      <c r="X1158" s="470"/>
      <c r="Y1158" s="650">
        <f>3+121</f>
        <v>124</v>
      </c>
      <c r="Z1158" s="64"/>
      <c r="AA1158" s="164"/>
      <c r="AB1158" s="62"/>
      <c r="AC1158" s="62"/>
      <c r="AD1158" s="64"/>
      <c r="AE1158" s="164"/>
      <c r="AF1158" s="62"/>
      <c r="AG1158" s="64"/>
      <c r="AH1158" s="337">
        <v>4879</v>
      </c>
      <c r="AI1158" s="337">
        <v>0</v>
      </c>
      <c r="AJ1158" s="337">
        <v>0</v>
      </c>
      <c r="AK1158" s="337">
        <v>0</v>
      </c>
      <c r="AL1158" s="552">
        <v>4879</v>
      </c>
      <c r="AM1158" s="552">
        <v>4879</v>
      </c>
      <c r="AN1158" s="552" t="s">
        <v>768</v>
      </c>
      <c r="AO1158" s="552" t="s">
        <v>775</v>
      </c>
      <c r="AP1158" s="44"/>
      <c r="AQ1158" s="485">
        <f>AL1158/BI1158</f>
        <v>0.79852700490998363</v>
      </c>
      <c r="AR1158" s="485">
        <f>BL1158/BH1158</f>
        <v>1.60078125</v>
      </c>
      <c r="AS1158" s="485">
        <f>BL1158/BI1158</f>
        <v>0.3353518821603928</v>
      </c>
      <c r="AT1158" s="100"/>
      <c r="AU1158" s="100"/>
      <c r="AV1158" s="100"/>
      <c r="AW1158" s="69">
        <v>26</v>
      </c>
      <c r="AX1158" s="69" t="s">
        <v>301</v>
      </c>
      <c r="AY1158" s="243" t="s">
        <v>62</v>
      </c>
      <c r="AZ1158" s="243" t="str">
        <f t="shared" si="458"/>
        <v>Chum</v>
      </c>
      <c r="BA1158" s="243" t="s">
        <v>419</v>
      </c>
      <c r="BB1158" s="244" t="s">
        <v>292</v>
      </c>
      <c r="BC1158" s="43" t="str">
        <f t="shared" si="459"/>
        <v>Nov 26-Dec 2</v>
      </c>
      <c r="BD1158" s="43">
        <f t="shared" si="482"/>
        <v>7</v>
      </c>
      <c r="BE1158" s="193">
        <f t="shared" si="471"/>
        <v>2049</v>
      </c>
      <c r="BF1158" s="193">
        <f t="shared" si="460"/>
        <v>4879</v>
      </c>
      <c r="BG1158" s="193">
        <f t="shared" si="461"/>
        <v>4879</v>
      </c>
      <c r="BH1158" s="307">
        <f t="shared" si="473"/>
        <v>1280</v>
      </c>
      <c r="BI1158" s="265">
        <f t="shared" si="480"/>
        <v>6110</v>
      </c>
      <c r="BJ1158" s="26" t="str">
        <f t="shared" si="462"/>
        <v>KAOUK RIVERChum</v>
      </c>
      <c r="BK1158" s="26">
        <f t="shared" si="463"/>
        <v>7</v>
      </c>
      <c r="BL1158" s="33">
        <f t="shared" si="476"/>
        <v>2049</v>
      </c>
      <c r="BP1158" s="34"/>
      <c r="BQ1158" s="47" t="str">
        <f t="shared" si="464"/>
        <v>KAOUK RIVERChum</v>
      </c>
      <c r="BR1158" s="49">
        <f t="shared" si="465"/>
        <v>0</v>
      </c>
      <c r="BS1158" s="49">
        <f t="shared" si="474"/>
        <v>4879</v>
      </c>
      <c r="BT1158" s="31">
        <v>2016</v>
      </c>
      <c r="BU1158" s="188" t="str">
        <f t="shared" si="466"/>
        <v>KCFN/LGL</v>
      </c>
      <c r="BV1158" s="188" t="str">
        <f t="shared" si="467"/>
        <v>Sep 24-30</v>
      </c>
      <c r="BW1158" s="188" t="str">
        <f t="shared" si="475"/>
        <v>Nov 12-18</v>
      </c>
      <c r="BX1158" s="188" t="str">
        <f t="shared" si="468"/>
        <v>Nov 26-Dec 2</v>
      </c>
      <c r="BY1158" s="50" t="str">
        <f t="shared" si="481"/>
        <v>KAOUK RIVER_Chum</v>
      </c>
      <c r="BZ1158" s="50">
        <f>IFERROR(VLOOKUP(BY1158,'[1]WCVI Esc'!$C$5:$W$555,18,FALSE),"-")</f>
        <v>2967.75</v>
      </c>
      <c r="CA1158" s="50">
        <f t="shared" si="469"/>
        <v>2970</v>
      </c>
      <c r="CB1158" s="50">
        <f>IFERROR(VLOOKUP(BY1158,'[1]WCVI Esc'!$C$5:$W$555,19,FALSE),"-")</f>
        <v>6111.166666666667</v>
      </c>
      <c r="CC1158" s="50">
        <f t="shared" si="470"/>
        <v>6110</v>
      </c>
      <c r="CE1158" s="342" t="str">
        <f t="shared" si="477"/>
        <v>KAOUK RIVER_Chum</v>
      </c>
      <c r="CF1158" s="341">
        <f>IFERROR(VLOOKUP(CE1158,'RawPL+D'!$O$8:$AB$503,12,FALSE),"-")</f>
        <v>1183</v>
      </c>
      <c r="CG1158" s="338">
        <f t="shared" si="478"/>
        <v>1180</v>
      </c>
      <c r="CH1158" s="341">
        <f>IFERROR(VLOOKUP(BY1158,'RawPL+D'!$O$8:$AB$503,13,FALSE),"-")</f>
        <v>1276</v>
      </c>
      <c r="CI1158" s="338">
        <f t="shared" si="479"/>
        <v>1280</v>
      </c>
    </row>
    <row r="1159" spans="1:87" ht="12.75" hidden="1" customHeight="1" x14ac:dyDescent="0.2">
      <c r="A1159" s="29">
        <v>2</v>
      </c>
      <c r="B1159" s="29">
        <v>5</v>
      </c>
      <c r="C1159" s="13">
        <v>26</v>
      </c>
      <c r="D1159" s="13" t="s">
        <v>301</v>
      </c>
      <c r="E1159" s="10" t="s">
        <v>62</v>
      </c>
      <c r="F1159" s="10" t="s">
        <v>210</v>
      </c>
      <c r="G1159" s="10"/>
      <c r="H1159" s="10"/>
      <c r="I1159" s="10"/>
      <c r="J1159" s="10"/>
      <c r="K1159" s="575"/>
      <c r="L1159" s="632">
        <v>0</v>
      </c>
      <c r="M1159" s="471"/>
      <c r="N1159" s="555"/>
      <c r="O1159" s="650">
        <v>90</v>
      </c>
      <c r="P1159" s="696">
        <v>307</v>
      </c>
      <c r="Q1159" s="816"/>
      <c r="R1159" s="778">
        <v>63</v>
      </c>
      <c r="S1159" s="817"/>
      <c r="T1159" s="818"/>
      <c r="U1159" s="819"/>
      <c r="V1159" s="815">
        <v>0</v>
      </c>
      <c r="W1159" s="814">
        <v>0</v>
      </c>
      <c r="X1159" s="555"/>
      <c r="Y1159" s="650">
        <v>0</v>
      </c>
      <c r="Z1159" s="64"/>
      <c r="AA1159" s="164"/>
      <c r="AB1159" s="62"/>
      <c r="AC1159" s="62"/>
      <c r="AD1159" s="64"/>
      <c r="AE1159" s="164"/>
      <c r="AF1159" s="62"/>
      <c r="AG1159" s="64"/>
      <c r="AH1159" s="337">
        <v>355</v>
      </c>
      <c r="AI1159" s="337">
        <v>52</v>
      </c>
      <c r="AJ1159" s="337">
        <v>0</v>
      </c>
      <c r="AK1159" s="337">
        <v>0</v>
      </c>
      <c r="AL1159" s="821">
        <v>355</v>
      </c>
      <c r="AM1159" s="821">
        <v>407</v>
      </c>
      <c r="AN1159" s="552" t="s">
        <v>768</v>
      </c>
      <c r="AO1159" s="552" t="s">
        <v>767</v>
      </c>
      <c r="AP1159" s="44"/>
      <c r="AQ1159" s="485">
        <f>AL1159/BI1159</f>
        <v>0.98611111111111116</v>
      </c>
      <c r="AR1159" s="485">
        <f>BL1159/BH1159</f>
        <v>1.0964285714285715</v>
      </c>
      <c r="AS1159" s="485">
        <f>BL1159/BI1159</f>
        <v>0.85277777777777775</v>
      </c>
      <c r="AT1159" s="123">
        <v>573</v>
      </c>
      <c r="AU1159" s="123">
        <v>169</v>
      </c>
      <c r="AV1159" s="123">
        <f>AL1159</f>
        <v>355</v>
      </c>
      <c r="AW1159" s="69">
        <v>26</v>
      </c>
      <c r="AX1159" s="69" t="s">
        <v>301</v>
      </c>
      <c r="AY1159" s="243" t="s">
        <v>62</v>
      </c>
      <c r="AZ1159" s="243" t="str">
        <f t="shared" si="458"/>
        <v>Chinook</v>
      </c>
      <c r="BA1159" s="243" t="s">
        <v>419</v>
      </c>
      <c r="BB1159" s="244" t="s">
        <v>292</v>
      </c>
      <c r="BC1159" s="43" t="str">
        <f t="shared" si="459"/>
        <v>Nov 26-Dec 2</v>
      </c>
      <c r="BD1159" s="43">
        <f t="shared" si="482"/>
        <v>7</v>
      </c>
      <c r="BE1159" s="193">
        <f t="shared" si="471"/>
        <v>307</v>
      </c>
      <c r="BF1159" s="193">
        <f t="shared" si="460"/>
        <v>355</v>
      </c>
      <c r="BG1159" s="193">
        <f t="shared" si="461"/>
        <v>355</v>
      </c>
      <c r="BH1159" s="307">
        <f t="shared" si="473"/>
        <v>280</v>
      </c>
      <c r="BI1159" s="265">
        <f t="shared" si="480"/>
        <v>360</v>
      </c>
      <c r="BJ1159" s="26" t="str">
        <f t="shared" si="462"/>
        <v>KAOUK RIVERChinook</v>
      </c>
      <c r="BK1159" s="26">
        <f t="shared" si="463"/>
        <v>7</v>
      </c>
      <c r="BL1159" s="33">
        <f t="shared" si="476"/>
        <v>307</v>
      </c>
      <c r="BM1159" s="34">
        <f>BL1159*1.14</f>
        <v>349.97999999999996</v>
      </c>
      <c r="BN1159" s="34">
        <f>BL1159*2.88</f>
        <v>884.16</v>
      </c>
      <c r="BO1159" s="36"/>
      <c r="BP1159" s="34">
        <f>SUM(BM1159:BN1159)/2</f>
        <v>617.06999999999994</v>
      </c>
      <c r="BQ1159" s="47" t="str">
        <f t="shared" si="464"/>
        <v>KAOUK RIVERChinook</v>
      </c>
      <c r="BR1159" s="49">
        <f t="shared" si="465"/>
        <v>0</v>
      </c>
      <c r="BS1159" s="49">
        <f t="shared" si="474"/>
        <v>355</v>
      </c>
      <c r="BT1159" s="31">
        <v>2016</v>
      </c>
      <c r="BU1159" s="188" t="str">
        <f t="shared" si="466"/>
        <v>KCFN/LGL</v>
      </c>
      <c r="BV1159" s="188" t="str">
        <f t="shared" si="467"/>
        <v>Sep 24-30</v>
      </c>
      <c r="BW1159" s="188" t="str">
        <f t="shared" si="475"/>
        <v>Nov 12-18</v>
      </c>
      <c r="BX1159" s="188" t="str">
        <f t="shared" si="468"/>
        <v>Nov 26-Dec 2</v>
      </c>
      <c r="BY1159" s="50" t="str">
        <f t="shared" si="481"/>
        <v>KAOUK RIVER_Chinook</v>
      </c>
      <c r="BZ1159" s="50">
        <f>IFERROR(VLOOKUP(BY1159,'[1]WCVI Esc'!$C$5:$W$555,18,FALSE),"-")</f>
        <v>420</v>
      </c>
      <c r="CA1159" s="50">
        <f t="shared" si="469"/>
        <v>420</v>
      </c>
      <c r="CB1159" s="50">
        <f>IFERROR(VLOOKUP(BY1159,'[1]WCVI Esc'!$C$5:$W$555,19,FALSE),"-")</f>
        <v>363.58333333333331</v>
      </c>
      <c r="CC1159" s="50">
        <f t="shared" si="470"/>
        <v>360</v>
      </c>
      <c r="CE1159" s="342" t="str">
        <f t="shared" si="477"/>
        <v>KAOUK RIVER_Chinook</v>
      </c>
      <c r="CF1159" s="341">
        <f>IFERROR(VLOOKUP(BY1159,'RawPL+D'!$O$8:$AB$503,12,FALSE),"-")</f>
        <v>392</v>
      </c>
      <c r="CG1159" s="338">
        <f t="shared" si="478"/>
        <v>390</v>
      </c>
      <c r="CH1159" s="341">
        <f>IFERROR(VLOOKUP(BY1159,'RawPL+D'!$O$8:$AB$503,13,FALSE),"-")</f>
        <v>276</v>
      </c>
      <c r="CI1159" s="338">
        <f t="shared" si="479"/>
        <v>280</v>
      </c>
    </row>
    <row r="1160" spans="1:87" ht="12.75" hidden="1" customHeight="1" x14ac:dyDescent="0.2">
      <c r="A1160" s="29">
        <v>2</v>
      </c>
      <c r="B1160" s="29">
        <v>6</v>
      </c>
      <c r="C1160" s="13">
        <v>26</v>
      </c>
      <c r="D1160" s="148" t="s">
        <v>301</v>
      </c>
      <c r="E1160" s="10" t="s">
        <v>62</v>
      </c>
      <c r="F1160" s="10" t="s">
        <v>211</v>
      </c>
      <c r="G1160" s="10"/>
      <c r="H1160" s="10"/>
      <c r="I1160" s="10"/>
      <c r="J1160" s="10"/>
      <c r="K1160" s="575"/>
      <c r="L1160" s="632">
        <v>0</v>
      </c>
      <c r="M1160" s="164"/>
      <c r="N1160" s="62"/>
      <c r="O1160" s="642">
        <v>0</v>
      </c>
      <c r="P1160" s="686">
        <v>0</v>
      </c>
      <c r="Q1160" s="655"/>
      <c r="R1160" s="642">
        <v>0</v>
      </c>
      <c r="S1160" s="659"/>
      <c r="T1160" s="63"/>
      <c r="U1160" s="672"/>
      <c r="V1160" s="808">
        <v>0</v>
      </c>
      <c r="W1160" s="832">
        <v>0</v>
      </c>
      <c r="X1160" s="62"/>
      <c r="Y1160" s="642">
        <v>0</v>
      </c>
      <c r="Z1160" s="64"/>
      <c r="AA1160" s="164"/>
      <c r="AB1160" s="62"/>
      <c r="AC1160" s="62"/>
      <c r="AD1160" s="64"/>
      <c r="AE1160" s="164"/>
      <c r="AF1160" s="62"/>
      <c r="AG1160" s="64"/>
      <c r="AH1160" s="337"/>
      <c r="AI1160" s="337"/>
      <c r="AJ1160" s="337"/>
      <c r="AK1160" s="337"/>
      <c r="AL1160" s="552"/>
      <c r="AM1160" s="552"/>
      <c r="AN1160" s="45"/>
      <c r="AO1160" s="45"/>
      <c r="AP1160" s="44"/>
      <c r="AQ1160" s="485"/>
      <c r="AR1160"/>
      <c r="AS1160" s="485"/>
      <c r="AT1160" s="100"/>
      <c r="AU1160" s="100"/>
      <c r="AV1160" s="100"/>
      <c r="AW1160" s="69">
        <v>26</v>
      </c>
      <c r="AX1160" s="69" t="s">
        <v>301</v>
      </c>
      <c r="AY1160" s="243" t="s">
        <v>62</v>
      </c>
      <c r="AZ1160" s="243" t="str">
        <f t="shared" si="458"/>
        <v>Steelhead</v>
      </c>
      <c r="BA1160" s="243" t="s">
        <v>419</v>
      </c>
      <c r="BB1160" s="244" t="s">
        <v>292</v>
      </c>
      <c r="BC1160" s="43" t="str">
        <f t="shared" si="459"/>
        <v>Nov 26-Dec 2</v>
      </c>
      <c r="BD1160" s="43">
        <f t="shared" si="482"/>
        <v>7</v>
      </c>
      <c r="BE1160" s="193">
        <f t="shared" si="471"/>
        <v>0</v>
      </c>
      <c r="BF1160" s="193">
        <f t="shared" si="460"/>
        <v>0</v>
      </c>
      <c r="BG1160" s="193">
        <f t="shared" si="461"/>
        <v>0</v>
      </c>
      <c r="BH1160" s="307" t="str">
        <f t="shared" si="473"/>
        <v>-</v>
      </c>
      <c r="BI1160" s="265" t="str">
        <f t="shared" si="480"/>
        <v>-</v>
      </c>
      <c r="BJ1160" s="26" t="str">
        <f t="shared" si="462"/>
        <v>KAOUK RIVERSteelhead</v>
      </c>
      <c r="BK1160" s="26">
        <f t="shared" si="463"/>
        <v>7</v>
      </c>
      <c r="BL1160" s="33">
        <f t="shared" si="476"/>
        <v>0</v>
      </c>
      <c r="BQ1160" s="47" t="str">
        <f t="shared" si="464"/>
        <v>KAOUK RIVERSteelhead</v>
      </c>
      <c r="BR1160" s="49">
        <f t="shared" si="465"/>
        <v>0</v>
      </c>
      <c r="BS1160" s="49">
        <f t="shared" si="474"/>
        <v>0</v>
      </c>
      <c r="BT1160" s="31">
        <v>0</v>
      </c>
      <c r="BU1160" s="188" t="str">
        <f t="shared" si="466"/>
        <v>KCFN/LGL</v>
      </c>
      <c r="BV1160" s="188" t="str">
        <f t="shared" si="467"/>
        <v>Sep 24-30</v>
      </c>
      <c r="BW1160" s="188" t="str">
        <f t="shared" si="475"/>
        <v>Nov 12-18</v>
      </c>
      <c r="BX1160" s="188" t="str">
        <f t="shared" si="468"/>
        <v>Nov 26-Dec 2</v>
      </c>
      <c r="BY1160" s="50" t="str">
        <f t="shared" si="481"/>
        <v>KAOUK RIVER_Steelhead</v>
      </c>
      <c r="BZ1160" s="50" t="str">
        <f>IFERROR(VLOOKUP(BY1160,'[1]WCVI Esc'!$C$5:$W$555,18,FALSE),"-")</f>
        <v>-</v>
      </c>
      <c r="CA1160" s="50" t="str">
        <f t="shared" si="469"/>
        <v>-</v>
      </c>
      <c r="CB1160" s="50" t="str">
        <f>IFERROR(VLOOKUP(BY1160,'[1]WCVI Esc'!$C$5:$W$555,19,FALSE),"-")</f>
        <v>-</v>
      </c>
      <c r="CC1160" s="50" t="str">
        <f t="shared" si="470"/>
        <v>-</v>
      </c>
      <c r="CE1160" s="342" t="str">
        <f t="shared" si="477"/>
        <v>KAOUK RIVER_Steelhead</v>
      </c>
      <c r="CF1160" s="341" t="str">
        <f>IFERROR(VLOOKUP(BY1160,'RawPL+D'!$O$8:$AB$503,12,FALSE),"-")</f>
        <v>-</v>
      </c>
      <c r="CG1160" s="338" t="str">
        <f t="shared" si="478"/>
        <v>-</v>
      </c>
      <c r="CH1160" s="341" t="str">
        <f>IFERROR(VLOOKUP(BY1160,'RawPL+D'!$O$8:$AB$503,13,FALSE),"-")</f>
        <v>-</v>
      </c>
      <c r="CI1160" s="338" t="str">
        <f t="shared" si="479"/>
        <v>-</v>
      </c>
    </row>
    <row r="1161" spans="1:87" ht="12.75" hidden="1" customHeight="1" x14ac:dyDescent="0.2">
      <c r="A1161" s="29">
        <v>2</v>
      </c>
      <c r="B1161" s="29">
        <v>1</v>
      </c>
      <c r="C1161" s="13">
        <v>26</v>
      </c>
      <c r="D1161" s="13" t="s">
        <v>301</v>
      </c>
      <c r="E1161" s="10" t="s">
        <v>205</v>
      </c>
      <c r="F1161" s="10" t="s">
        <v>207</v>
      </c>
      <c r="G1161" s="10"/>
      <c r="H1161" s="10"/>
      <c r="I1161" s="10"/>
      <c r="J1161" s="10"/>
      <c r="K1161" s="575"/>
      <c r="L1161" s="152"/>
      <c r="M1161" s="561"/>
      <c r="N1161" s="650"/>
      <c r="O1161" s="555"/>
      <c r="P1161" s="651"/>
      <c r="Q1161" s="700">
        <v>0</v>
      </c>
      <c r="R1161" s="658"/>
      <c r="S1161" s="657"/>
      <c r="T1161" s="667"/>
      <c r="U1161" s="671"/>
      <c r="V1161" s="476"/>
      <c r="W1161" s="555"/>
      <c r="X1161" s="554"/>
      <c r="Y1161" s="650">
        <v>0</v>
      </c>
      <c r="Z1161" s="423"/>
      <c r="AA1161" s="164"/>
      <c r="AB1161" s="339"/>
      <c r="AC1161" s="339"/>
      <c r="AD1161" s="423"/>
      <c r="AE1161" s="422"/>
      <c r="AF1161" s="339"/>
      <c r="AG1161" s="64"/>
      <c r="AH1161" s="337"/>
      <c r="AI1161" s="337"/>
      <c r="AJ1161" s="337"/>
      <c r="AK1161" s="337"/>
      <c r="AL1161" s="552" t="s">
        <v>770</v>
      </c>
      <c r="AM1161" s="552"/>
      <c r="AN1161" s="552"/>
      <c r="AO1161" s="552" t="s">
        <v>484</v>
      </c>
      <c r="AP1161" s="44"/>
      <c r="AQ1161" s="485" t="e">
        <f>AL1161/BI1161</f>
        <v>#VALUE!</v>
      </c>
      <c r="AR1161" s="485"/>
      <c r="AS1161" s="485"/>
      <c r="AT1161" s="100"/>
      <c r="AU1161" s="100"/>
      <c r="AV1161" s="100"/>
      <c r="AW1161" s="69">
        <v>26</v>
      </c>
      <c r="AX1161" s="69" t="s">
        <v>301</v>
      </c>
      <c r="AY1161" s="243" t="s">
        <v>205</v>
      </c>
      <c r="AZ1161" s="243" t="str">
        <f t="shared" ref="AZ1161:AZ1224" si="483">F1161</f>
        <v>Sockeye</v>
      </c>
      <c r="BA1161" s="243" t="s">
        <v>419</v>
      </c>
      <c r="BB1161" s="244" t="s">
        <v>292</v>
      </c>
      <c r="BC1161" s="43" t="str">
        <f t="shared" ref="BC1161:BC1224" si="484">IF(BX1161=" ",IF(BW1161=" ", IF(BV1161=" ","-",BV1161),BW1161), BX1161)</f>
        <v>Nov 26-Dec 2</v>
      </c>
      <c r="BD1161" s="43">
        <f t="shared" si="482"/>
        <v>2</v>
      </c>
      <c r="BE1161" s="193">
        <f t="shared" si="471"/>
        <v>0</v>
      </c>
      <c r="BF1161" s="193" t="str">
        <f t="shared" ref="BF1161:BF1224" si="485">AL1161</f>
        <v>NO</v>
      </c>
      <c r="BG1161" s="193">
        <f t="shared" ref="BG1161:BG1224" si="486">AH1161</f>
        <v>0</v>
      </c>
      <c r="BH1161" s="307">
        <f t="shared" si="473"/>
        <v>0</v>
      </c>
      <c r="BI1161" s="265">
        <f t="shared" si="480"/>
        <v>10</v>
      </c>
      <c r="BJ1161" s="26" t="str">
        <f t="shared" ref="BJ1161:BJ1224" si="487">CONCATENATE(E1161,F1161)</f>
        <v>MALKSOPE RIVERSockeye</v>
      </c>
      <c r="BK1161" s="26">
        <f t="shared" ref="BK1161:BK1224" si="488">COUNT(K1161:AB1161)</f>
        <v>2</v>
      </c>
      <c r="BL1161" s="33">
        <f t="shared" si="476"/>
        <v>0</v>
      </c>
      <c r="BP1161" s="34"/>
      <c r="BQ1161" s="47" t="str">
        <f t="shared" ref="BQ1161:BQ1224" si="489">CONCATENATE(E1161,F1161)</f>
        <v>MALKSOPE RIVERSockeye</v>
      </c>
      <c r="BR1161" s="49">
        <f t="shared" ref="BR1161:BR1224" si="490">AP1161</f>
        <v>0</v>
      </c>
      <c r="BS1161" s="49" t="str">
        <f t="shared" si="474"/>
        <v>NO</v>
      </c>
      <c r="BT1161" s="31">
        <v>2016</v>
      </c>
      <c r="BU1161" s="188" t="str">
        <f t="shared" ref="BU1161:BU1224" si="491">BB1161</f>
        <v>KCFN/LGL</v>
      </c>
      <c r="BV1161" s="188" t="str">
        <f t="shared" si="467"/>
        <v>Oct 1-7</v>
      </c>
      <c r="BW1161" s="188" t="str">
        <f t="shared" si="475"/>
        <v xml:space="preserve"> </v>
      </c>
      <c r="BX1161" s="188" t="str">
        <f t="shared" ref="BX1161:BX1224" si="492">IF(ISNUMBER(AB1161),AB$8,IF(ISNUMBER(AA1161),AA$8,IF(ISNUMBER(Z1161),Z$8,IF(ISNUMBER(Y1161),Y$8,IF(ISNUMBER(X1161),X$8," ")))))</f>
        <v>Nov 26-Dec 2</v>
      </c>
      <c r="BY1161" s="50" t="str">
        <f t="shared" si="481"/>
        <v>MALKSOPE RIVER_Sockeye</v>
      </c>
      <c r="BZ1161" s="50">
        <f>IFERROR(VLOOKUP(BY1161,'[1]WCVI Esc'!$C$5:$W$555,18,FALSE),"-")</f>
        <v>8.5</v>
      </c>
      <c r="CA1161" s="50">
        <f t="shared" ref="CA1161:CA1224" si="493">IFERROR(ROUND(BZ1161,-1),"-")</f>
        <v>10</v>
      </c>
      <c r="CB1161" s="50">
        <f>IFERROR(VLOOKUP(BY1161,'[1]WCVI Esc'!$C$5:$W$555,19,FALSE),"-")</f>
        <v>8.3333333333333339</v>
      </c>
      <c r="CC1161" s="50">
        <f t="shared" ref="CC1161:CC1224" si="494">IFERROR(ROUND(CB1161,-1),"-")</f>
        <v>10</v>
      </c>
      <c r="CE1161" s="342" t="str">
        <f t="shared" si="477"/>
        <v>MALKSOPE RIVER_Sockeye</v>
      </c>
      <c r="CF1161" s="341">
        <f>IFERROR(VLOOKUP(CE1161,'RawPL+D'!$O$8:$AB$503,12,FALSE),"-")</f>
        <v>8</v>
      </c>
      <c r="CG1161" s="338">
        <f t="shared" si="478"/>
        <v>10</v>
      </c>
      <c r="CH1161" s="341">
        <f>IFERROR(VLOOKUP(BY1161,'RawPL+D'!$O$8:$AB$503,13,FALSE),"-")</f>
        <v>2.75</v>
      </c>
      <c r="CI1161" s="338">
        <f t="shared" si="479"/>
        <v>0</v>
      </c>
    </row>
    <row r="1162" spans="1:87" ht="12.75" hidden="1" customHeight="1" x14ac:dyDescent="0.2">
      <c r="A1162" s="29">
        <v>2</v>
      </c>
      <c r="B1162" s="29">
        <v>2</v>
      </c>
      <c r="C1162" s="13">
        <v>26</v>
      </c>
      <c r="D1162" s="13" t="s">
        <v>301</v>
      </c>
      <c r="E1162" s="10" t="s">
        <v>205</v>
      </c>
      <c r="F1162" s="10" t="s">
        <v>219</v>
      </c>
      <c r="G1162" s="10"/>
      <c r="H1162" s="10"/>
      <c r="I1162" s="10"/>
      <c r="J1162" s="10"/>
      <c r="K1162" s="575"/>
      <c r="L1162" s="152"/>
      <c r="M1162" s="561"/>
      <c r="N1162" s="650"/>
      <c r="O1162" s="555"/>
      <c r="P1162" s="651"/>
      <c r="Q1162" s="700">
        <v>655</v>
      </c>
      <c r="R1162" s="658"/>
      <c r="S1162" s="658"/>
      <c r="T1162" s="668"/>
      <c r="U1162" s="671"/>
      <c r="V1162" s="471"/>
      <c r="W1162" s="560"/>
      <c r="X1162" s="554"/>
      <c r="Y1162" s="650">
        <v>733</v>
      </c>
      <c r="Z1162" s="423"/>
      <c r="AA1162" s="164"/>
      <c r="AB1162" s="339"/>
      <c r="AC1162" s="339"/>
      <c r="AD1162" s="423"/>
      <c r="AE1162" s="422"/>
      <c r="AF1162" s="339"/>
      <c r="AG1162" s="427"/>
      <c r="AH1162" s="337">
        <v>904</v>
      </c>
      <c r="AI1162" s="337">
        <v>78</v>
      </c>
      <c r="AJ1162" s="337">
        <v>0</v>
      </c>
      <c r="AK1162" s="337">
        <v>0</v>
      </c>
      <c r="AL1162" s="839">
        <v>904</v>
      </c>
      <c r="AM1162" s="552">
        <v>982</v>
      </c>
      <c r="AN1162" s="552" t="s">
        <v>765</v>
      </c>
      <c r="AO1162" s="839" t="s">
        <v>766</v>
      </c>
      <c r="AP1162" s="44"/>
      <c r="AQ1162" s="485">
        <f>AL1162/BI1162</f>
        <v>0.48864864864864865</v>
      </c>
      <c r="AR1162" s="485">
        <f>BL1162/BH1162</f>
        <v>1.2423728813559323</v>
      </c>
      <c r="AS1162" s="485">
        <f>BL1162/BI1162</f>
        <v>0.39621621621621622</v>
      </c>
      <c r="AT1162" s="100"/>
      <c r="AU1162" s="100"/>
      <c r="AV1162" s="100"/>
      <c r="AW1162" s="69">
        <v>26</v>
      </c>
      <c r="AX1162" s="69" t="s">
        <v>301</v>
      </c>
      <c r="AY1162" s="243" t="s">
        <v>205</v>
      </c>
      <c r="AZ1162" s="243" t="str">
        <f t="shared" si="483"/>
        <v>Coho</v>
      </c>
      <c r="BA1162" s="243" t="s">
        <v>419</v>
      </c>
      <c r="BB1162" s="244" t="s">
        <v>292</v>
      </c>
      <c r="BC1162" s="43" t="str">
        <f t="shared" si="484"/>
        <v>Nov 26-Dec 2</v>
      </c>
      <c r="BD1162" s="43">
        <f t="shared" si="482"/>
        <v>2</v>
      </c>
      <c r="BE1162" s="193">
        <f t="shared" si="471"/>
        <v>733</v>
      </c>
      <c r="BF1162" s="193">
        <f t="shared" si="485"/>
        <v>904</v>
      </c>
      <c r="BG1162" s="193">
        <f t="shared" si="486"/>
        <v>904</v>
      </c>
      <c r="BH1162" s="307">
        <f t="shared" si="473"/>
        <v>590</v>
      </c>
      <c r="BI1162" s="265">
        <f t="shared" si="480"/>
        <v>1850</v>
      </c>
      <c r="BJ1162" s="26" t="str">
        <f t="shared" si="487"/>
        <v>MALKSOPE RIVERCoho</v>
      </c>
      <c r="BK1162" s="26">
        <f t="shared" si="488"/>
        <v>2</v>
      </c>
      <c r="BL1162" s="33">
        <f t="shared" si="476"/>
        <v>733</v>
      </c>
      <c r="BP1162" s="34"/>
      <c r="BQ1162" s="47" t="str">
        <f t="shared" si="489"/>
        <v>MALKSOPE RIVERCoho</v>
      </c>
      <c r="BR1162" s="49">
        <f t="shared" si="490"/>
        <v>0</v>
      </c>
      <c r="BS1162" s="49">
        <f t="shared" si="474"/>
        <v>904</v>
      </c>
      <c r="BT1162" s="31">
        <v>2016</v>
      </c>
      <c r="BU1162" s="188" t="str">
        <f t="shared" si="491"/>
        <v>KCFN/LGL</v>
      </c>
      <c r="BV1162" s="188" t="str">
        <f t="shared" si="467"/>
        <v>Oct 1-7</v>
      </c>
      <c r="BW1162" s="188" t="str">
        <f t="shared" si="475"/>
        <v xml:space="preserve"> </v>
      </c>
      <c r="BX1162" s="188" t="str">
        <f t="shared" si="492"/>
        <v>Nov 26-Dec 2</v>
      </c>
      <c r="BY1162" s="50" t="str">
        <f t="shared" si="481"/>
        <v>MALKSOPE RIVER_Coho</v>
      </c>
      <c r="BZ1162" s="50">
        <f>IFERROR(VLOOKUP(BY1162,'[1]WCVI Esc'!$C$5:$W$555,18,FALSE),"-")</f>
        <v>991.5</v>
      </c>
      <c r="CA1162" s="50">
        <f t="shared" si="493"/>
        <v>990</v>
      </c>
      <c r="CB1162" s="50">
        <f>IFERROR(VLOOKUP(BY1162,'[1]WCVI Esc'!$C$5:$W$555,19,FALSE),"-")</f>
        <v>1851.6666666666667</v>
      </c>
      <c r="CC1162" s="50">
        <f t="shared" si="494"/>
        <v>1850</v>
      </c>
      <c r="CE1162" s="342" t="str">
        <f t="shared" si="477"/>
        <v>MALKSOPE RIVER_Coho</v>
      </c>
      <c r="CF1162" s="341">
        <f>IFERROR(VLOOKUP(BY1162,'RawPL+D'!$O$8:$AB$503,12,FALSE),"-")</f>
        <v>421</v>
      </c>
      <c r="CG1162" s="338">
        <f t="shared" si="478"/>
        <v>420</v>
      </c>
      <c r="CH1162" s="341">
        <f>IFERROR(VLOOKUP(BY1162,'RawPL+D'!$O$8:$AB$503,13,FALSE),"-")</f>
        <v>585.75</v>
      </c>
      <c r="CI1162" s="338">
        <f t="shared" si="479"/>
        <v>590</v>
      </c>
    </row>
    <row r="1163" spans="1:87" ht="12.75" hidden="1" customHeight="1" x14ac:dyDescent="0.2">
      <c r="A1163" s="29">
        <v>2</v>
      </c>
      <c r="B1163" s="29">
        <v>3</v>
      </c>
      <c r="C1163" s="13">
        <v>26</v>
      </c>
      <c r="D1163" s="13" t="s">
        <v>301</v>
      </c>
      <c r="E1163" s="10" t="s">
        <v>205</v>
      </c>
      <c r="F1163" s="10" t="s">
        <v>208</v>
      </c>
      <c r="G1163" s="10"/>
      <c r="H1163" s="10"/>
      <c r="I1163" s="10"/>
      <c r="J1163" s="10"/>
      <c r="K1163" s="575"/>
      <c r="L1163" s="152"/>
      <c r="M1163" s="561"/>
      <c r="N1163" s="644"/>
      <c r="O1163" s="555"/>
      <c r="P1163" s="651"/>
      <c r="Q1163" s="700">
        <v>0</v>
      </c>
      <c r="R1163" s="658"/>
      <c r="S1163" s="658"/>
      <c r="T1163" s="664"/>
      <c r="U1163" s="671"/>
      <c r="V1163" s="563"/>
      <c r="W1163" s="555"/>
      <c r="X1163" s="554"/>
      <c r="Y1163" s="650">
        <v>0</v>
      </c>
      <c r="Z1163" s="423"/>
      <c r="AA1163" s="164"/>
      <c r="AB1163" s="339"/>
      <c r="AC1163" s="339"/>
      <c r="AD1163" s="423"/>
      <c r="AE1163" s="422"/>
      <c r="AF1163" s="339"/>
      <c r="AG1163" s="64"/>
      <c r="AH1163" s="337"/>
      <c r="AI1163" s="337"/>
      <c r="AJ1163" s="337"/>
      <c r="AK1163" s="337"/>
      <c r="AL1163" s="552" t="s">
        <v>770</v>
      </c>
      <c r="AM1163" s="552"/>
      <c r="AN1163" s="552"/>
      <c r="AO1163" s="45"/>
      <c r="AP1163" s="44"/>
      <c r="AQ1163" s="485"/>
      <c r="AR1163"/>
      <c r="AS1163" s="485"/>
      <c r="AT1163" s="100"/>
      <c r="AU1163" s="100"/>
      <c r="AV1163" s="100"/>
      <c r="AW1163" s="69">
        <v>26</v>
      </c>
      <c r="AX1163" s="69" t="s">
        <v>301</v>
      </c>
      <c r="AY1163" s="243" t="s">
        <v>205</v>
      </c>
      <c r="AZ1163" s="243" t="str">
        <f t="shared" si="483"/>
        <v>Pink</v>
      </c>
      <c r="BA1163" s="243" t="s">
        <v>419</v>
      </c>
      <c r="BB1163" s="244" t="s">
        <v>292</v>
      </c>
      <c r="BC1163" s="43" t="str">
        <f t="shared" si="484"/>
        <v>Nov 26-Dec 2</v>
      </c>
      <c r="BD1163" s="43">
        <f t="shared" si="482"/>
        <v>2</v>
      </c>
      <c r="BE1163" s="193">
        <f t="shared" si="471"/>
        <v>0</v>
      </c>
      <c r="BF1163" s="193" t="str">
        <f t="shared" si="485"/>
        <v>NO</v>
      </c>
      <c r="BG1163" s="193">
        <f t="shared" si="486"/>
        <v>0</v>
      </c>
      <c r="BH1163" s="307">
        <f t="shared" si="473"/>
        <v>0</v>
      </c>
      <c r="BI1163" s="265" t="str">
        <f t="shared" si="480"/>
        <v>-</v>
      </c>
      <c r="BJ1163" s="26" t="str">
        <f t="shared" si="487"/>
        <v>MALKSOPE RIVERPink</v>
      </c>
      <c r="BK1163" s="26">
        <f t="shared" si="488"/>
        <v>2</v>
      </c>
      <c r="BL1163" s="33">
        <f t="shared" si="476"/>
        <v>0</v>
      </c>
      <c r="BP1163" s="34"/>
      <c r="BQ1163" s="47" t="str">
        <f t="shared" si="489"/>
        <v>MALKSOPE RIVERPink</v>
      </c>
      <c r="BR1163" s="49">
        <f t="shared" si="490"/>
        <v>0</v>
      </c>
      <c r="BS1163" s="49" t="str">
        <f t="shared" si="474"/>
        <v>NO</v>
      </c>
      <c r="BT1163" s="31">
        <v>0</v>
      </c>
      <c r="BU1163" s="188" t="str">
        <f t="shared" si="491"/>
        <v>KCFN/LGL</v>
      </c>
      <c r="BV1163" s="188" t="str">
        <f t="shared" si="467"/>
        <v>Oct 1-7</v>
      </c>
      <c r="BW1163" s="188" t="str">
        <f t="shared" si="475"/>
        <v xml:space="preserve"> </v>
      </c>
      <c r="BX1163" s="188" t="str">
        <f t="shared" si="492"/>
        <v>Nov 26-Dec 2</v>
      </c>
      <c r="BY1163" s="50" t="str">
        <f t="shared" si="481"/>
        <v>MALKSOPE RIVER_Pink</v>
      </c>
      <c r="BZ1163" s="50" t="str">
        <f>IFERROR(VLOOKUP(BY1163,'[1]WCVI Esc'!$C$5:$W$555,18,FALSE),"-")</f>
        <v>-</v>
      </c>
      <c r="CA1163" s="50" t="str">
        <f t="shared" si="493"/>
        <v>-</v>
      </c>
      <c r="CB1163" s="50" t="str">
        <f>IFERROR(VLOOKUP(BY1163,'[1]WCVI Esc'!$C$5:$W$555,19,FALSE),"-")</f>
        <v>-</v>
      </c>
      <c r="CC1163" s="50" t="str">
        <f t="shared" si="494"/>
        <v>-</v>
      </c>
      <c r="CE1163" s="342" t="str">
        <f t="shared" si="477"/>
        <v>MALKSOPE RIVER_Pink</v>
      </c>
      <c r="CF1163" s="341">
        <f>IFERROR(VLOOKUP(CE1163,'RawPL+D'!$O$8:$AB$503,12,FALSE),"-")</f>
        <v>0</v>
      </c>
      <c r="CG1163" s="338">
        <f t="shared" si="478"/>
        <v>0</v>
      </c>
      <c r="CH1163" s="341">
        <f>IFERROR(VLOOKUP(BY1163,'RawPL+D'!$O$8:$AB$503,13,FALSE),"-")</f>
        <v>0.33333333333333331</v>
      </c>
      <c r="CI1163" s="338">
        <f t="shared" si="479"/>
        <v>0</v>
      </c>
    </row>
    <row r="1164" spans="1:87" ht="12.75" hidden="1" customHeight="1" x14ac:dyDescent="0.2">
      <c r="A1164" s="29">
        <v>2</v>
      </c>
      <c r="B1164" s="29">
        <v>4</v>
      </c>
      <c r="C1164" s="13">
        <v>26</v>
      </c>
      <c r="D1164" s="13" t="s">
        <v>301</v>
      </c>
      <c r="E1164" s="10" t="s">
        <v>205</v>
      </c>
      <c r="F1164" s="10" t="s">
        <v>209</v>
      </c>
      <c r="G1164" s="10"/>
      <c r="H1164" s="10"/>
      <c r="I1164" s="10"/>
      <c r="J1164" s="10"/>
      <c r="K1164" s="575"/>
      <c r="L1164" s="152"/>
      <c r="M1164" s="561"/>
      <c r="N1164" s="644"/>
      <c r="O1164" s="555"/>
      <c r="P1164" s="651"/>
      <c r="Q1164" s="700">
        <v>756</v>
      </c>
      <c r="R1164" s="660"/>
      <c r="S1164" s="657"/>
      <c r="T1164" s="667"/>
      <c r="U1164" s="671"/>
      <c r="V1164" s="476"/>
      <c r="W1164" s="470"/>
      <c r="X1164" s="554"/>
      <c r="Y1164" s="650">
        <f>7+13</f>
        <v>20</v>
      </c>
      <c r="Z1164" s="423"/>
      <c r="AA1164" s="164"/>
      <c r="AB1164" s="339"/>
      <c r="AC1164" s="339"/>
      <c r="AD1164" s="423"/>
      <c r="AE1164" s="422"/>
      <c r="AF1164" s="339"/>
      <c r="AG1164" s="64"/>
      <c r="AH1164" s="337">
        <v>841</v>
      </c>
      <c r="AI1164" s="337">
        <v>0</v>
      </c>
      <c r="AJ1164" s="337">
        <v>0</v>
      </c>
      <c r="AK1164" s="337">
        <v>0</v>
      </c>
      <c r="AL1164" s="552">
        <v>841</v>
      </c>
      <c r="AM1164" s="552">
        <v>841</v>
      </c>
      <c r="AN1164" s="552" t="s">
        <v>765</v>
      </c>
      <c r="AO1164" s="552" t="s">
        <v>766</v>
      </c>
      <c r="AP1164" s="44"/>
      <c r="AQ1164" s="485">
        <f>AL1164/BI1164</f>
        <v>0.14626086956521739</v>
      </c>
      <c r="AR1164" s="485">
        <f>BL1164/BH1164</f>
        <v>0.38571428571428573</v>
      </c>
      <c r="AS1164" s="485">
        <f>BL1164/BI1164</f>
        <v>0.13147826086956521</v>
      </c>
      <c r="AT1164" s="100"/>
      <c r="AU1164" s="100"/>
      <c r="AV1164" s="100"/>
      <c r="AW1164" s="69">
        <v>26</v>
      </c>
      <c r="AX1164" s="69" t="s">
        <v>301</v>
      </c>
      <c r="AY1164" s="243" t="s">
        <v>205</v>
      </c>
      <c r="AZ1164" s="243" t="str">
        <f t="shared" si="483"/>
        <v>Chum</v>
      </c>
      <c r="BA1164" s="243" t="s">
        <v>419</v>
      </c>
      <c r="BB1164" s="244" t="s">
        <v>292</v>
      </c>
      <c r="BC1164" s="43" t="str">
        <f t="shared" si="484"/>
        <v>Nov 26-Dec 2</v>
      </c>
      <c r="BD1164" s="43">
        <f t="shared" si="482"/>
        <v>2</v>
      </c>
      <c r="BE1164" s="193">
        <f t="shared" si="471"/>
        <v>756</v>
      </c>
      <c r="BF1164" s="193">
        <f t="shared" si="485"/>
        <v>841</v>
      </c>
      <c r="BG1164" s="193">
        <f t="shared" si="486"/>
        <v>841</v>
      </c>
      <c r="BH1164" s="307">
        <f t="shared" si="473"/>
        <v>1960</v>
      </c>
      <c r="BI1164" s="265">
        <f t="shared" si="480"/>
        <v>5750</v>
      </c>
      <c r="BJ1164" s="26" t="str">
        <f t="shared" si="487"/>
        <v>MALKSOPE RIVERChum</v>
      </c>
      <c r="BK1164" s="26">
        <f t="shared" si="488"/>
        <v>2</v>
      </c>
      <c r="BL1164" s="33">
        <f t="shared" si="476"/>
        <v>756</v>
      </c>
      <c r="BP1164" s="34"/>
      <c r="BQ1164" s="47" t="str">
        <f t="shared" si="489"/>
        <v>MALKSOPE RIVERChum</v>
      </c>
      <c r="BR1164" s="49">
        <f t="shared" si="490"/>
        <v>0</v>
      </c>
      <c r="BS1164" s="49">
        <f t="shared" si="474"/>
        <v>841</v>
      </c>
      <c r="BT1164" s="31">
        <v>2016</v>
      </c>
      <c r="BU1164" s="188" t="str">
        <f t="shared" si="491"/>
        <v>KCFN/LGL</v>
      </c>
      <c r="BV1164" s="188" t="str">
        <f t="shared" si="467"/>
        <v>Oct 1-7</v>
      </c>
      <c r="BW1164" s="188" t="str">
        <f t="shared" si="475"/>
        <v xml:space="preserve"> </v>
      </c>
      <c r="BX1164" s="188" t="str">
        <f t="shared" si="492"/>
        <v>Nov 26-Dec 2</v>
      </c>
      <c r="BY1164" s="50" t="str">
        <f t="shared" si="481"/>
        <v>MALKSOPE RIVER_Chum</v>
      </c>
      <c r="BZ1164" s="50">
        <f>IFERROR(VLOOKUP(BY1164,'[1]WCVI Esc'!$C$5:$W$555,18,FALSE),"-")</f>
        <v>2624.5</v>
      </c>
      <c r="CA1164" s="50">
        <f t="shared" si="493"/>
        <v>2620</v>
      </c>
      <c r="CB1164" s="50">
        <f>IFERROR(VLOOKUP(BY1164,'[1]WCVI Esc'!$C$5:$W$555,19,FALSE),"-")</f>
        <v>5747.75</v>
      </c>
      <c r="CC1164" s="50">
        <f t="shared" si="494"/>
        <v>5750</v>
      </c>
      <c r="CE1164" s="342" t="str">
        <f t="shared" si="477"/>
        <v>MALKSOPE RIVER_Chum</v>
      </c>
      <c r="CF1164" s="341">
        <f>IFERROR(VLOOKUP(CE1164,'RawPL+D'!$O$8:$AB$503,12,FALSE),"-")</f>
        <v>1597</v>
      </c>
      <c r="CG1164" s="338">
        <f t="shared" si="478"/>
        <v>1600</v>
      </c>
      <c r="CH1164" s="341">
        <f>IFERROR(VLOOKUP(BY1164,'RawPL+D'!$O$8:$AB$503,13,FALSE),"-")</f>
        <v>1959.25</v>
      </c>
      <c r="CI1164" s="338">
        <f t="shared" si="479"/>
        <v>1960</v>
      </c>
    </row>
    <row r="1165" spans="1:87" ht="12.75" hidden="1" customHeight="1" x14ac:dyDescent="0.2">
      <c r="A1165" s="29">
        <v>2</v>
      </c>
      <c r="B1165" s="29">
        <v>5</v>
      </c>
      <c r="C1165" s="13">
        <v>26</v>
      </c>
      <c r="D1165" s="13" t="s">
        <v>301</v>
      </c>
      <c r="E1165" s="10" t="s">
        <v>205</v>
      </c>
      <c r="F1165" s="10" t="s">
        <v>210</v>
      </c>
      <c r="G1165" s="10"/>
      <c r="H1165" s="10"/>
      <c r="I1165" s="10"/>
      <c r="J1165" s="10"/>
      <c r="K1165" s="575"/>
      <c r="L1165" s="152"/>
      <c r="M1165" s="561"/>
      <c r="N1165" s="825">
        <v>0</v>
      </c>
      <c r="O1165" s="555"/>
      <c r="P1165" s="822"/>
      <c r="Q1165" s="700">
        <v>78</v>
      </c>
      <c r="R1165" s="817"/>
      <c r="S1165" s="823"/>
      <c r="T1165" s="812"/>
      <c r="U1165" s="824"/>
      <c r="V1165" s="476"/>
      <c r="W1165" s="470"/>
      <c r="X1165" s="554"/>
      <c r="Y1165" s="650">
        <v>0</v>
      </c>
      <c r="Z1165" s="423"/>
      <c r="AA1165" s="164"/>
      <c r="AB1165" s="339"/>
      <c r="AC1165" s="339"/>
      <c r="AD1165" s="423"/>
      <c r="AE1165" s="422"/>
      <c r="AF1165" s="339"/>
      <c r="AG1165" s="64"/>
      <c r="AH1165" s="337">
        <v>87</v>
      </c>
      <c r="AI1165" s="337">
        <v>9</v>
      </c>
      <c r="AJ1165" s="337">
        <v>0</v>
      </c>
      <c r="AK1165" s="337">
        <v>0</v>
      </c>
      <c r="AL1165" s="821">
        <v>87</v>
      </c>
      <c r="AM1165" s="821">
        <v>96</v>
      </c>
      <c r="AN1165" s="552" t="s">
        <v>765</v>
      </c>
      <c r="AO1165" s="552" t="s">
        <v>766</v>
      </c>
      <c r="AP1165" s="44"/>
      <c r="AQ1165" s="485">
        <f>AL1165/BI1165</f>
        <v>4.3499999999999996</v>
      </c>
      <c r="AR1165" s="485">
        <f>BL1165/BH1165</f>
        <v>7.8</v>
      </c>
      <c r="AS1165" s="485">
        <f>BL1165/BI1165</f>
        <v>3.9</v>
      </c>
      <c r="AT1165" s="100"/>
      <c r="AU1165" s="100"/>
      <c r="AV1165" s="123">
        <f>AL1165</f>
        <v>87</v>
      </c>
      <c r="AW1165" s="69">
        <v>26</v>
      </c>
      <c r="AX1165" s="69" t="s">
        <v>301</v>
      </c>
      <c r="AY1165" s="243" t="s">
        <v>205</v>
      </c>
      <c r="AZ1165" s="243" t="str">
        <f t="shared" si="483"/>
        <v>Chinook</v>
      </c>
      <c r="BA1165" s="243" t="s">
        <v>419</v>
      </c>
      <c r="BB1165" s="244" t="s">
        <v>292</v>
      </c>
      <c r="BC1165" s="43" t="str">
        <f t="shared" si="484"/>
        <v>Nov 26-Dec 2</v>
      </c>
      <c r="BD1165" s="43">
        <f t="shared" si="482"/>
        <v>3</v>
      </c>
      <c r="BE1165" s="193">
        <f t="shared" si="471"/>
        <v>78</v>
      </c>
      <c r="BF1165" s="193">
        <f t="shared" si="485"/>
        <v>87</v>
      </c>
      <c r="BG1165" s="193">
        <f t="shared" si="486"/>
        <v>87</v>
      </c>
      <c r="BH1165" s="307">
        <f t="shared" si="473"/>
        <v>10</v>
      </c>
      <c r="BI1165" s="265">
        <f t="shared" si="480"/>
        <v>20</v>
      </c>
      <c r="BJ1165" s="26" t="str">
        <f t="shared" si="487"/>
        <v>MALKSOPE RIVERChinook</v>
      </c>
      <c r="BK1165" s="26">
        <f t="shared" si="488"/>
        <v>3</v>
      </c>
      <c r="BL1165" s="33">
        <f t="shared" si="476"/>
        <v>78</v>
      </c>
      <c r="BM1165" s="34">
        <f>BL1165*1.14</f>
        <v>88.919999999999987</v>
      </c>
      <c r="BN1165" s="34">
        <f>BL1165*2.88</f>
        <v>224.64</v>
      </c>
      <c r="BO1165" s="36"/>
      <c r="BP1165" s="34">
        <f>SUM(BM1165:BN1165)/2</f>
        <v>156.77999999999997</v>
      </c>
      <c r="BQ1165" s="47" t="str">
        <f t="shared" si="489"/>
        <v>MALKSOPE RIVERChinook</v>
      </c>
      <c r="BR1165" s="49">
        <f t="shared" si="490"/>
        <v>0</v>
      </c>
      <c r="BS1165" s="49">
        <f t="shared" si="474"/>
        <v>87</v>
      </c>
      <c r="BT1165" s="31">
        <v>2016</v>
      </c>
      <c r="BU1165" s="188" t="str">
        <f t="shared" si="491"/>
        <v>KCFN/LGL</v>
      </c>
      <c r="BV1165" s="188" t="str">
        <f>IF(ISNUMBER(Q1165),Q$8,IF(ISNUMBER(P1162),P$8,IF(ISNUMBER(O1165),O$8,IF(ISNUMBER(N1165),N$8,IF(ISNUMBER(M1165),M$8,IF(ISNUMBER(L1165),L$8, IF(ISNUMBER(K1165),K$8," ")))))))</f>
        <v>Oct 1-7</v>
      </c>
      <c r="BW1165" s="188" t="str">
        <f t="shared" si="475"/>
        <v xml:space="preserve"> </v>
      </c>
      <c r="BX1165" s="188" t="str">
        <f t="shared" si="492"/>
        <v>Nov 26-Dec 2</v>
      </c>
      <c r="BY1165" s="50" t="str">
        <f t="shared" si="481"/>
        <v>MALKSOPE RIVER_Chinook</v>
      </c>
      <c r="BZ1165" s="50">
        <f>IFERROR(VLOOKUP(BY1165,'[1]WCVI Esc'!$C$5:$W$555,18,FALSE),"-")</f>
        <v>18.25</v>
      </c>
      <c r="CA1165" s="50">
        <f t="shared" si="493"/>
        <v>20</v>
      </c>
      <c r="CB1165" s="50">
        <f>IFERROR(VLOOKUP(BY1165,'[1]WCVI Esc'!$C$5:$W$555,19,FALSE),"-")</f>
        <v>21.833333333333332</v>
      </c>
      <c r="CC1165" s="50">
        <f t="shared" si="494"/>
        <v>20</v>
      </c>
      <c r="CE1165" s="342" t="str">
        <f t="shared" si="477"/>
        <v>MALKSOPE RIVER_Chinook</v>
      </c>
      <c r="CF1165" s="341">
        <f>IFERROR(VLOOKUP(CE1165,'RawPL+D'!$O$8:$AB$503,12,FALSE),"-")</f>
        <v>11</v>
      </c>
      <c r="CG1165" s="338">
        <f t="shared" si="478"/>
        <v>10</v>
      </c>
      <c r="CH1165" s="341">
        <f>IFERROR(VLOOKUP(BY1165,'RawPL+D'!$O$8:$AB$503,13,FALSE),"-")</f>
        <v>12.5</v>
      </c>
      <c r="CI1165" s="338">
        <f t="shared" si="479"/>
        <v>10</v>
      </c>
    </row>
    <row r="1166" spans="1:87" ht="12.75" hidden="1" customHeight="1" x14ac:dyDescent="0.2">
      <c r="A1166" s="29">
        <v>2</v>
      </c>
      <c r="B1166" s="29">
        <v>6</v>
      </c>
      <c r="C1166" s="13">
        <v>26</v>
      </c>
      <c r="D1166" s="148" t="s">
        <v>301</v>
      </c>
      <c r="E1166" s="10" t="s">
        <v>205</v>
      </c>
      <c r="F1166" s="10" t="s">
        <v>211</v>
      </c>
      <c r="G1166" s="10"/>
      <c r="H1166" s="10"/>
      <c r="I1166" s="10"/>
      <c r="J1166" s="10"/>
      <c r="K1166" s="575"/>
      <c r="L1166" s="152"/>
      <c r="M1166" s="422"/>
      <c r="N1166" s="643"/>
      <c r="O1166" s="62"/>
      <c r="P1166" s="652"/>
      <c r="Q1166" s="683">
        <v>0</v>
      </c>
      <c r="R1166" s="659"/>
      <c r="S1166" s="659"/>
      <c r="T1166" s="664"/>
      <c r="U1166" s="672"/>
      <c r="V1166" s="164"/>
      <c r="W1166" s="62"/>
      <c r="X1166" s="339"/>
      <c r="Y1166" s="642">
        <v>0</v>
      </c>
      <c r="Z1166" s="423"/>
      <c r="AA1166" s="164"/>
      <c r="AB1166" s="339"/>
      <c r="AC1166" s="339"/>
      <c r="AD1166" s="423"/>
      <c r="AE1166" s="422"/>
      <c r="AF1166" s="339"/>
      <c r="AG1166" s="64"/>
      <c r="AH1166" s="337"/>
      <c r="AI1166" s="337"/>
      <c r="AJ1166" s="337"/>
      <c r="AK1166" s="337"/>
      <c r="AL1166" s="552"/>
      <c r="AM1166" s="552"/>
      <c r="AN1166" s="45"/>
      <c r="AO1166" s="45"/>
      <c r="AP1166" s="44"/>
      <c r="AQ1166" s="485"/>
      <c r="AR1166"/>
      <c r="AS1166" s="485"/>
      <c r="AT1166" s="100"/>
      <c r="AU1166" s="100"/>
      <c r="AV1166" s="100"/>
      <c r="AW1166" s="69">
        <v>26</v>
      </c>
      <c r="AX1166" s="69" t="s">
        <v>301</v>
      </c>
      <c r="AY1166" s="243" t="s">
        <v>205</v>
      </c>
      <c r="AZ1166" s="243" t="str">
        <f t="shared" si="483"/>
        <v>Steelhead</v>
      </c>
      <c r="BA1166" s="243" t="s">
        <v>419</v>
      </c>
      <c r="BB1166" s="244" t="s">
        <v>292</v>
      </c>
      <c r="BC1166" s="43" t="str">
        <f t="shared" si="484"/>
        <v>Nov 26-Dec 2</v>
      </c>
      <c r="BD1166" s="43">
        <f t="shared" si="482"/>
        <v>2</v>
      </c>
      <c r="BE1166" s="193">
        <f t="shared" si="471"/>
        <v>0</v>
      </c>
      <c r="BF1166" s="193">
        <f t="shared" si="485"/>
        <v>0</v>
      </c>
      <c r="BG1166" s="193">
        <f t="shared" si="486"/>
        <v>0</v>
      </c>
      <c r="BH1166" s="307" t="str">
        <f t="shared" si="473"/>
        <v>-</v>
      </c>
      <c r="BI1166" s="265" t="str">
        <f t="shared" si="480"/>
        <v>-</v>
      </c>
      <c r="BJ1166" s="26" t="str">
        <f t="shared" si="487"/>
        <v>MALKSOPE RIVERSteelhead</v>
      </c>
      <c r="BK1166" s="26">
        <f t="shared" si="488"/>
        <v>2</v>
      </c>
      <c r="BL1166" s="33">
        <f t="shared" si="476"/>
        <v>0</v>
      </c>
      <c r="BP1166" s="34"/>
      <c r="BQ1166" s="47" t="str">
        <f t="shared" si="489"/>
        <v>MALKSOPE RIVERSteelhead</v>
      </c>
      <c r="BR1166" s="49">
        <f t="shared" si="490"/>
        <v>0</v>
      </c>
      <c r="BS1166" s="49">
        <f t="shared" si="474"/>
        <v>0</v>
      </c>
      <c r="BT1166" s="31">
        <v>0</v>
      </c>
      <c r="BU1166" s="188" t="str">
        <f t="shared" si="491"/>
        <v>KCFN/LGL</v>
      </c>
      <c r="BV1166" s="188" t="str">
        <f t="shared" ref="BV1166:BV1197" si="495">IF(ISNUMBER(Q1166),Q$8,IF(ISNUMBER(P1166),P$8,IF(ISNUMBER(O1166),O$8,IF(ISNUMBER(N1166),N$8,IF(ISNUMBER(M1166),M$8,IF(ISNUMBER(L1166),L$8, IF(ISNUMBER(K1166),K$8," ")))))))</f>
        <v>Oct 1-7</v>
      </c>
      <c r="BW1166" s="188" t="str">
        <f t="shared" si="475"/>
        <v xml:space="preserve"> </v>
      </c>
      <c r="BX1166" s="188" t="str">
        <f t="shared" si="492"/>
        <v>Nov 26-Dec 2</v>
      </c>
      <c r="BY1166" s="50" t="str">
        <f t="shared" si="481"/>
        <v>MALKSOPE RIVER_Steelhead</v>
      </c>
      <c r="BZ1166" s="50" t="str">
        <f>IFERROR(VLOOKUP(BY1166,'[1]WCVI Esc'!$C$5:$W$555,18,FALSE),"-")</f>
        <v>-</v>
      </c>
      <c r="CA1166" s="50" t="str">
        <f t="shared" si="493"/>
        <v>-</v>
      </c>
      <c r="CB1166" s="50" t="str">
        <f>IFERROR(VLOOKUP(BY1166,'[1]WCVI Esc'!$C$5:$W$555,19,FALSE),"-")</f>
        <v>-</v>
      </c>
      <c r="CC1166" s="50" t="str">
        <f t="shared" si="494"/>
        <v>-</v>
      </c>
      <c r="CE1166" s="342" t="str">
        <f t="shared" si="477"/>
        <v>MALKSOPE RIVER_Steelhead</v>
      </c>
      <c r="CF1166" s="341" t="str">
        <f>IFERROR(VLOOKUP(BY1166,'RawPL+D'!$O$8:$AB$503,12,FALSE),"-")</f>
        <v>-</v>
      </c>
      <c r="CG1166" s="338" t="str">
        <f t="shared" si="478"/>
        <v>-</v>
      </c>
      <c r="CH1166" s="341" t="str">
        <f>IFERROR(VLOOKUP(BY1166,'RawPL+D'!$O$8:$AB$503,13,FALSE),"-")</f>
        <v>-</v>
      </c>
      <c r="CI1166" s="338" t="str">
        <f t="shared" si="479"/>
        <v>-</v>
      </c>
    </row>
    <row r="1167" spans="1:87" ht="12.75" hidden="1" customHeight="1" x14ac:dyDescent="0.2">
      <c r="A1167" s="28">
        <v>2</v>
      </c>
      <c r="B1167" s="28">
        <v>1</v>
      </c>
      <c r="C1167" s="11">
        <v>26</v>
      </c>
      <c r="D1167" s="13" t="s">
        <v>301</v>
      </c>
      <c r="E1167" s="10" t="s">
        <v>66</v>
      </c>
      <c r="F1167" s="10" t="s">
        <v>207</v>
      </c>
      <c r="G1167" s="10"/>
      <c r="H1167" s="10"/>
      <c r="I1167" s="10"/>
      <c r="J1167" s="10"/>
      <c r="K1167" s="575"/>
      <c r="L1167" s="152"/>
      <c r="M1167" s="649">
        <v>0</v>
      </c>
      <c r="N1167" s="555"/>
      <c r="O1167" s="644">
        <v>0</v>
      </c>
      <c r="P1167" s="826">
        <v>0</v>
      </c>
      <c r="Q1167" s="654"/>
      <c r="R1167" s="658"/>
      <c r="S1167" s="428"/>
      <c r="T1167" s="650">
        <v>0</v>
      </c>
      <c r="U1167" s="559"/>
      <c r="V1167" s="476"/>
      <c r="W1167" s="470"/>
      <c r="X1167" s="470"/>
      <c r="Y1167" s="555"/>
      <c r="Z1167" s="64"/>
      <c r="AA1167" s="164"/>
      <c r="AB1167" s="62"/>
      <c r="AC1167" s="62"/>
      <c r="AD1167" s="64"/>
      <c r="AE1167" s="164"/>
      <c r="AF1167" s="62"/>
      <c r="AG1167" s="64"/>
      <c r="AH1167" s="337"/>
      <c r="AI1167" s="337"/>
      <c r="AJ1167" s="337"/>
      <c r="AK1167" s="337"/>
      <c r="AL1167" s="552" t="s">
        <v>770</v>
      </c>
      <c r="AM1167" s="552"/>
      <c r="AN1167" s="552"/>
      <c r="AO1167" s="552" t="s">
        <v>766</v>
      </c>
      <c r="AP1167" s="44"/>
      <c r="AQ1167" s="485" t="e">
        <f>AL1167/BI1167</f>
        <v>#VALUE!</v>
      </c>
      <c r="AR1167" s="485">
        <f>BL1167/BH1167</f>
        <v>0</v>
      </c>
      <c r="AS1167" s="485">
        <f>BL1167/BI1167</f>
        <v>0</v>
      </c>
      <c r="AT1167" s="100"/>
      <c r="AU1167" s="100"/>
      <c r="AV1167" s="100"/>
      <c r="AW1167" s="18">
        <v>26</v>
      </c>
      <c r="AX1167" s="69" t="s">
        <v>301</v>
      </c>
      <c r="AY1167" s="243" t="s">
        <v>66</v>
      </c>
      <c r="AZ1167" s="243" t="str">
        <f t="shared" si="483"/>
        <v>Sockeye</v>
      </c>
      <c r="BA1167" s="243" t="s">
        <v>419</v>
      </c>
      <c r="BB1167" s="244" t="s">
        <v>292</v>
      </c>
      <c r="BC1167" s="43" t="str">
        <f t="shared" si="484"/>
        <v>Oct 22-28</v>
      </c>
      <c r="BD1167" s="43">
        <f t="shared" si="482"/>
        <v>4</v>
      </c>
      <c r="BE1167" s="193">
        <f t="shared" si="471"/>
        <v>0</v>
      </c>
      <c r="BF1167" s="193" t="str">
        <f t="shared" si="485"/>
        <v>NO</v>
      </c>
      <c r="BG1167" s="193">
        <f t="shared" si="486"/>
        <v>0</v>
      </c>
      <c r="BH1167" s="307">
        <f t="shared" si="473"/>
        <v>20</v>
      </c>
      <c r="BI1167" s="265">
        <f t="shared" si="480"/>
        <v>80</v>
      </c>
      <c r="BJ1167" s="26" t="str">
        <f t="shared" si="487"/>
        <v>TAHSISH RIVERSockeye</v>
      </c>
      <c r="BK1167" s="26">
        <f t="shared" si="488"/>
        <v>4</v>
      </c>
      <c r="BL1167" s="33">
        <f t="shared" si="476"/>
        <v>0</v>
      </c>
      <c r="BP1167" s="34"/>
      <c r="BQ1167" s="47" t="str">
        <f t="shared" si="489"/>
        <v>TAHSISH RIVERSockeye</v>
      </c>
      <c r="BR1167" s="49">
        <f t="shared" si="490"/>
        <v>0</v>
      </c>
      <c r="BS1167" s="49" t="str">
        <f t="shared" si="474"/>
        <v>NO</v>
      </c>
      <c r="BT1167" s="31">
        <v>2016</v>
      </c>
      <c r="BU1167" s="188" t="str">
        <f t="shared" si="491"/>
        <v>KCFN/LGL</v>
      </c>
      <c r="BV1167" s="188" t="str">
        <f t="shared" si="495"/>
        <v>Sep 24-30</v>
      </c>
      <c r="BW1167" s="188" t="str">
        <f t="shared" si="475"/>
        <v>Oct 22-28</v>
      </c>
      <c r="BX1167" s="188" t="str">
        <f t="shared" si="492"/>
        <v xml:space="preserve"> </v>
      </c>
      <c r="BY1167" s="50" t="str">
        <f t="shared" si="481"/>
        <v>TAHSISH RIVER_Sockeye</v>
      </c>
      <c r="BZ1167" s="50">
        <f>IFERROR(VLOOKUP(BY1167,'[1]WCVI Esc'!$C$5:$W$555,18,FALSE),"-")</f>
        <v>24.5</v>
      </c>
      <c r="CA1167" s="50">
        <f t="shared" si="493"/>
        <v>20</v>
      </c>
      <c r="CB1167" s="50">
        <f>IFERROR(VLOOKUP(BY1167,'[1]WCVI Esc'!$C$5:$W$555,19,FALSE),"-")</f>
        <v>82.5</v>
      </c>
      <c r="CC1167" s="50">
        <f t="shared" si="494"/>
        <v>80</v>
      </c>
      <c r="CE1167" s="342" t="str">
        <f t="shared" si="477"/>
        <v>TAHSISH RIVER_Sockeye</v>
      </c>
      <c r="CF1167" s="341">
        <f>IFERROR(VLOOKUP(CE1167,'RawPL+D'!$O$8:$AB$503,12,FALSE),"-")</f>
        <v>26</v>
      </c>
      <c r="CG1167" s="338">
        <f t="shared" si="478"/>
        <v>30</v>
      </c>
      <c r="CH1167" s="341">
        <f>IFERROR(VLOOKUP(BY1167,'RawPL+D'!$O$8:$AB$503,13,FALSE),"-")</f>
        <v>16</v>
      </c>
      <c r="CI1167" s="338">
        <f t="shared" si="479"/>
        <v>20</v>
      </c>
    </row>
    <row r="1168" spans="1:87" ht="12.75" hidden="1" customHeight="1" x14ac:dyDescent="0.2">
      <c r="A1168" s="28">
        <v>2</v>
      </c>
      <c r="B1168" s="28">
        <v>2</v>
      </c>
      <c r="C1168" s="11">
        <v>26</v>
      </c>
      <c r="D1168" s="13" t="s">
        <v>301</v>
      </c>
      <c r="E1168" s="10" t="s">
        <v>66</v>
      </c>
      <c r="F1168" s="10" t="s">
        <v>219</v>
      </c>
      <c r="G1168" s="10"/>
      <c r="H1168" s="10"/>
      <c r="I1168" s="10"/>
      <c r="J1168" s="10"/>
      <c r="K1168" s="575"/>
      <c r="L1168" s="152"/>
      <c r="M1168" s="649">
        <v>42</v>
      </c>
      <c r="N1168" s="562"/>
      <c r="O1168" s="644">
        <v>108</v>
      </c>
      <c r="P1168" s="826">
        <v>1075</v>
      </c>
      <c r="Q1168" s="656"/>
      <c r="R1168" s="658"/>
      <c r="S1168" s="439"/>
      <c r="T1168" s="650">
        <f>1019+1</f>
        <v>1020</v>
      </c>
      <c r="U1168" s="689"/>
      <c r="V1168" s="471"/>
      <c r="W1168" s="470"/>
      <c r="X1168" s="470"/>
      <c r="Y1168" s="555"/>
      <c r="Z1168" s="64"/>
      <c r="AA1168" s="164"/>
      <c r="AB1168" s="62"/>
      <c r="AC1168" s="62"/>
      <c r="AD1168" s="64"/>
      <c r="AE1168" s="164"/>
      <c r="AF1168" s="62"/>
      <c r="AG1168" s="64"/>
      <c r="AH1168" s="337">
        <v>1331</v>
      </c>
      <c r="AI1168" s="337">
        <v>82</v>
      </c>
      <c r="AJ1168" s="337">
        <v>0</v>
      </c>
      <c r="AK1168" s="337">
        <v>0</v>
      </c>
      <c r="AL1168" s="552">
        <v>1331</v>
      </c>
      <c r="AM1168" s="552">
        <v>1413</v>
      </c>
      <c r="AN1168" s="552" t="s">
        <v>765</v>
      </c>
      <c r="AO1168" s="552" t="s">
        <v>773</v>
      </c>
      <c r="AP1168" s="44"/>
      <c r="AQ1168" s="485">
        <f>AL1168/BI1168</f>
        <v>0.39613095238095236</v>
      </c>
      <c r="AR1168" s="485">
        <f>BL1168/BH1168</f>
        <v>0.63988095238095233</v>
      </c>
      <c r="AS1168" s="485">
        <f>BL1168/BI1168</f>
        <v>0.31994047619047616</v>
      </c>
      <c r="AT1168" s="100"/>
      <c r="AU1168" s="100"/>
      <c r="AV1168" s="100"/>
      <c r="AW1168" s="18">
        <v>26</v>
      </c>
      <c r="AX1168" s="69" t="s">
        <v>301</v>
      </c>
      <c r="AY1168" s="243" t="s">
        <v>66</v>
      </c>
      <c r="AZ1168" s="243" t="str">
        <f t="shared" si="483"/>
        <v>Coho</v>
      </c>
      <c r="BA1168" s="243" t="s">
        <v>419</v>
      </c>
      <c r="BB1168" s="244" t="s">
        <v>292</v>
      </c>
      <c r="BC1168" s="43" t="str">
        <f t="shared" si="484"/>
        <v>Oct 22-28</v>
      </c>
      <c r="BD1168" s="43">
        <f t="shared" si="482"/>
        <v>4</v>
      </c>
      <c r="BE1168" s="193">
        <f t="shared" si="471"/>
        <v>1075</v>
      </c>
      <c r="BF1168" s="193">
        <f t="shared" si="485"/>
        <v>1331</v>
      </c>
      <c r="BG1168" s="193">
        <f t="shared" si="486"/>
        <v>1331</v>
      </c>
      <c r="BH1168" s="307">
        <f t="shared" si="473"/>
        <v>1680</v>
      </c>
      <c r="BI1168" s="265">
        <f t="shared" si="480"/>
        <v>3360</v>
      </c>
      <c r="BJ1168" s="26" t="str">
        <f t="shared" si="487"/>
        <v>TAHSISH RIVERCoho</v>
      </c>
      <c r="BK1168" s="26">
        <f t="shared" si="488"/>
        <v>4</v>
      </c>
      <c r="BL1168" s="33">
        <f t="shared" si="476"/>
        <v>1075</v>
      </c>
      <c r="BQ1168" s="47" t="str">
        <f t="shared" si="489"/>
        <v>TAHSISH RIVERCoho</v>
      </c>
      <c r="BR1168" s="49">
        <f t="shared" si="490"/>
        <v>0</v>
      </c>
      <c r="BS1168" s="49">
        <f t="shared" si="474"/>
        <v>1331</v>
      </c>
      <c r="BT1168" s="31">
        <v>2016</v>
      </c>
      <c r="BU1168" s="188" t="str">
        <f t="shared" si="491"/>
        <v>KCFN/LGL</v>
      </c>
      <c r="BV1168" s="188" t="str">
        <f t="shared" si="495"/>
        <v>Sep 24-30</v>
      </c>
      <c r="BW1168" s="188" t="str">
        <f t="shared" si="475"/>
        <v>Oct 22-28</v>
      </c>
      <c r="BX1168" s="188" t="str">
        <f t="shared" si="492"/>
        <v xml:space="preserve"> </v>
      </c>
      <c r="BY1168" s="50" t="str">
        <f t="shared" si="481"/>
        <v>TAHSISH RIVER_Coho</v>
      </c>
      <c r="BZ1168" s="50">
        <f>IFERROR(VLOOKUP(BY1168,'[1]WCVI Esc'!$C$5:$W$555,18,FALSE),"-")</f>
        <v>3520.25</v>
      </c>
      <c r="CA1168" s="50">
        <f t="shared" si="493"/>
        <v>3520</v>
      </c>
      <c r="CB1168" s="50">
        <f>IFERROR(VLOOKUP(BY1168,'[1]WCVI Esc'!$C$5:$W$555,19,FALSE),"-")</f>
        <v>3358.1666666666665</v>
      </c>
      <c r="CC1168" s="50">
        <f t="shared" si="494"/>
        <v>3360</v>
      </c>
      <c r="CE1168" s="342" t="str">
        <f t="shared" si="477"/>
        <v>TAHSISH RIVER_Coho</v>
      </c>
      <c r="CF1168" s="341">
        <f>IFERROR(VLOOKUP(BY1168,'RawPL+D'!$O$8:$AB$503,12,FALSE),"-")</f>
        <v>2704</v>
      </c>
      <c r="CG1168" s="338">
        <f t="shared" si="478"/>
        <v>2700</v>
      </c>
      <c r="CH1168" s="341">
        <f>IFERROR(VLOOKUP(BY1168,'RawPL+D'!$O$8:$AB$503,13,FALSE),"-")</f>
        <v>1680</v>
      </c>
      <c r="CI1168" s="338">
        <f t="shared" si="479"/>
        <v>1680</v>
      </c>
    </row>
    <row r="1169" spans="1:87" ht="12.75" hidden="1" customHeight="1" x14ac:dyDescent="0.2">
      <c r="A1169" s="28">
        <v>2</v>
      </c>
      <c r="B1169" s="28">
        <v>3</v>
      </c>
      <c r="C1169" s="11">
        <v>26</v>
      </c>
      <c r="D1169" s="13" t="s">
        <v>301</v>
      </c>
      <c r="E1169" s="10" t="s">
        <v>66</v>
      </c>
      <c r="F1169" s="10" t="s">
        <v>208</v>
      </c>
      <c r="G1169" s="10"/>
      <c r="H1169" s="10"/>
      <c r="I1169" s="10"/>
      <c r="J1169" s="10"/>
      <c r="K1169" s="575"/>
      <c r="L1169" s="152"/>
      <c r="M1169" s="649">
        <v>0</v>
      </c>
      <c r="N1169" s="555"/>
      <c r="O1169" s="644">
        <v>0</v>
      </c>
      <c r="P1169" s="826">
        <v>0</v>
      </c>
      <c r="Q1169" s="654"/>
      <c r="R1169" s="658"/>
      <c r="S1169" s="554"/>
      <c r="T1169" s="650">
        <v>0</v>
      </c>
      <c r="U1169" s="559"/>
      <c r="V1169" s="563"/>
      <c r="W1169" s="555"/>
      <c r="X1169" s="555"/>
      <c r="Y1169" s="555"/>
      <c r="Z1169" s="64"/>
      <c r="AA1169" s="164"/>
      <c r="AB1169" s="62"/>
      <c r="AC1169" s="62"/>
      <c r="AD1169" s="64"/>
      <c r="AE1169" s="164"/>
      <c r="AF1169" s="62"/>
      <c r="AG1169" s="64"/>
      <c r="AH1169" s="337"/>
      <c r="AI1169" s="337"/>
      <c r="AJ1169" s="337"/>
      <c r="AK1169" s="337"/>
      <c r="AL1169" s="552" t="s">
        <v>770</v>
      </c>
      <c r="AM1169" s="552"/>
      <c r="AN1169" s="552"/>
      <c r="AO1169" s="45"/>
      <c r="AP1169" s="44"/>
      <c r="AQ1169" s="485" t="e">
        <f>AL1169/BI1169</f>
        <v>#VALUE!</v>
      </c>
      <c r="AR1169"/>
      <c r="AS1169" s="485"/>
      <c r="AT1169" s="100"/>
      <c r="AU1169" s="100"/>
      <c r="AV1169" s="100"/>
      <c r="AW1169" s="18">
        <v>26</v>
      </c>
      <c r="AX1169" s="69" t="s">
        <v>301</v>
      </c>
      <c r="AY1169" s="243" t="s">
        <v>66</v>
      </c>
      <c r="AZ1169" s="243" t="str">
        <f t="shared" si="483"/>
        <v>Pink</v>
      </c>
      <c r="BA1169" s="243" t="s">
        <v>419</v>
      </c>
      <c r="BB1169" s="244" t="s">
        <v>292</v>
      </c>
      <c r="BC1169" s="43" t="str">
        <f t="shared" si="484"/>
        <v>Oct 22-28</v>
      </c>
      <c r="BD1169" s="43">
        <f t="shared" si="482"/>
        <v>4</v>
      </c>
      <c r="BE1169" s="193">
        <f t="shared" ref="BE1169:BE1232" si="496">BL1169</f>
        <v>0</v>
      </c>
      <c r="BF1169" s="193" t="str">
        <f t="shared" si="485"/>
        <v>NO</v>
      </c>
      <c r="BG1169" s="193">
        <f t="shared" si="486"/>
        <v>0</v>
      </c>
      <c r="BH1169" s="307">
        <f t="shared" si="473"/>
        <v>0</v>
      </c>
      <c r="BI1169" s="265">
        <f t="shared" si="480"/>
        <v>10</v>
      </c>
      <c r="BJ1169" s="26" t="str">
        <f t="shared" si="487"/>
        <v>TAHSISH RIVERPink</v>
      </c>
      <c r="BK1169" s="26">
        <f t="shared" si="488"/>
        <v>4</v>
      </c>
      <c r="BL1169" s="33">
        <f t="shared" si="476"/>
        <v>0</v>
      </c>
      <c r="BQ1169" s="47" t="str">
        <f t="shared" si="489"/>
        <v>TAHSISH RIVERPink</v>
      </c>
      <c r="BR1169" s="49">
        <f t="shared" si="490"/>
        <v>0</v>
      </c>
      <c r="BS1169" s="49" t="str">
        <f t="shared" si="474"/>
        <v>NO</v>
      </c>
      <c r="BT1169" s="31">
        <v>2016</v>
      </c>
      <c r="BU1169" s="188" t="str">
        <f t="shared" si="491"/>
        <v>KCFN/LGL</v>
      </c>
      <c r="BV1169" s="188" t="str">
        <f t="shared" si="495"/>
        <v>Sep 24-30</v>
      </c>
      <c r="BW1169" s="188" t="str">
        <f t="shared" si="475"/>
        <v>Oct 22-28</v>
      </c>
      <c r="BX1169" s="188" t="str">
        <f t="shared" si="492"/>
        <v xml:space="preserve"> </v>
      </c>
      <c r="BY1169" s="50" t="str">
        <f t="shared" si="481"/>
        <v>TAHSISH RIVER_Pink</v>
      </c>
      <c r="BZ1169" s="50" t="str">
        <f>IFERROR(VLOOKUP(BY1169,'[1]WCVI Esc'!$C$5:$W$555,18,FALSE),"-")</f>
        <v>-</v>
      </c>
      <c r="CA1169" s="50" t="str">
        <f t="shared" si="493"/>
        <v>-</v>
      </c>
      <c r="CB1169" s="50">
        <f>IFERROR(VLOOKUP(BY1169,'[1]WCVI Esc'!$C$5:$W$555,19,FALSE),"-")</f>
        <v>8.6</v>
      </c>
      <c r="CC1169" s="50">
        <f t="shared" si="494"/>
        <v>10</v>
      </c>
      <c r="CE1169" s="342" t="str">
        <f t="shared" si="477"/>
        <v>TAHSISH RIVER_Pink</v>
      </c>
      <c r="CF1169" s="341">
        <f>IFERROR(VLOOKUP(CE1169,'RawPL+D'!$O$8:$AB$503,12,FALSE),"-")</f>
        <v>0</v>
      </c>
      <c r="CG1169" s="338">
        <f t="shared" si="478"/>
        <v>0</v>
      </c>
      <c r="CH1169" s="341">
        <f>IFERROR(VLOOKUP(BY1169,'RawPL+D'!$O$8:$AB$503,13,FALSE),"-")</f>
        <v>0</v>
      </c>
      <c r="CI1169" s="338">
        <f t="shared" si="479"/>
        <v>0</v>
      </c>
    </row>
    <row r="1170" spans="1:87" ht="12.75" hidden="1" customHeight="1" x14ac:dyDescent="0.2">
      <c r="A1170" s="28">
        <v>2</v>
      </c>
      <c r="B1170" s="28">
        <v>4</v>
      </c>
      <c r="C1170" s="11">
        <v>26</v>
      </c>
      <c r="D1170" s="147" t="s">
        <v>301</v>
      </c>
      <c r="E1170" s="10" t="s">
        <v>66</v>
      </c>
      <c r="F1170" s="10" t="s">
        <v>209</v>
      </c>
      <c r="G1170" s="10"/>
      <c r="H1170" s="10"/>
      <c r="I1170" s="10"/>
      <c r="J1170" s="10"/>
      <c r="K1170" s="575"/>
      <c r="L1170" s="152"/>
      <c r="M1170" s="649">
        <v>0</v>
      </c>
      <c r="N1170" s="555"/>
      <c r="O1170" s="644">
        <v>0</v>
      </c>
      <c r="P1170" s="826">
        <v>310</v>
      </c>
      <c r="Q1170" s="653"/>
      <c r="R1170" s="657"/>
      <c r="S1170" s="428"/>
      <c r="T1170" s="778">
        <f>2330+26</f>
        <v>2356</v>
      </c>
      <c r="U1170" s="477"/>
      <c r="V1170" s="476"/>
      <c r="W1170" s="470"/>
      <c r="X1170" s="470"/>
      <c r="Y1170" s="555"/>
      <c r="Z1170" s="64"/>
      <c r="AA1170" s="164"/>
      <c r="AB1170" s="62"/>
      <c r="AC1170" s="62"/>
      <c r="AD1170" s="64"/>
      <c r="AE1170" s="164"/>
      <c r="AF1170" s="62"/>
      <c r="AG1170" s="64"/>
      <c r="AH1170" s="337">
        <v>2589</v>
      </c>
      <c r="AI1170" s="337">
        <v>0</v>
      </c>
      <c r="AJ1170" s="337">
        <v>0</v>
      </c>
      <c r="AK1170" s="337">
        <v>0</v>
      </c>
      <c r="AL1170" s="552">
        <v>2589</v>
      </c>
      <c r="AM1170" s="552">
        <v>2589</v>
      </c>
      <c r="AN1170" s="552" t="s">
        <v>765</v>
      </c>
      <c r="AO1170" s="552" t="s">
        <v>773</v>
      </c>
      <c r="AP1170" s="44"/>
      <c r="AQ1170" s="485">
        <f>AL1170/BI1170</f>
        <v>0.53162217659137578</v>
      </c>
      <c r="AR1170" s="485">
        <f>BL1170/BH1170</f>
        <v>0.84142857142857141</v>
      </c>
      <c r="AS1170" s="485">
        <f>BL1170/BI1170</f>
        <v>0.48377823408624232</v>
      </c>
      <c r="AT1170" s="100"/>
      <c r="AU1170" s="100"/>
      <c r="AV1170" s="100"/>
      <c r="AW1170" s="18">
        <v>26</v>
      </c>
      <c r="AX1170" s="69" t="s">
        <v>301</v>
      </c>
      <c r="AY1170" s="243" t="s">
        <v>66</v>
      </c>
      <c r="AZ1170" s="243" t="str">
        <f t="shared" si="483"/>
        <v>Chum</v>
      </c>
      <c r="BA1170" s="243" t="s">
        <v>419</v>
      </c>
      <c r="BB1170" s="244" t="s">
        <v>292</v>
      </c>
      <c r="BC1170" s="43" t="str">
        <f t="shared" si="484"/>
        <v>Oct 22-28</v>
      </c>
      <c r="BD1170" s="43">
        <f t="shared" si="482"/>
        <v>4</v>
      </c>
      <c r="BE1170" s="193">
        <f t="shared" si="496"/>
        <v>2356</v>
      </c>
      <c r="BF1170" s="193">
        <f t="shared" si="485"/>
        <v>2589</v>
      </c>
      <c r="BG1170" s="193">
        <f t="shared" si="486"/>
        <v>2589</v>
      </c>
      <c r="BH1170" s="307">
        <f t="shared" si="473"/>
        <v>2800</v>
      </c>
      <c r="BI1170" s="265">
        <f t="shared" si="480"/>
        <v>4870</v>
      </c>
      <c r="BJ1170" s="26" t="str">
        <f t="shared" si="487"/>
        <v>TAHSISH RIVERChum</v>
      </c>
      <c r="BK1170" s="26">
        <f t="shared" si="488"/>
        <v>4</v>
      </c>
      <c r="BL1170" s="33">
        <f t="shared" si="476"/>
        <v>2356</v>
      </c>
      <c r="BQ1170" s="47" t="str">
        <f t="shared" si="489"/>
        <v>TAHSISH RIVERChum</v>
      </c>
      <c r="BR1170" s="49">
        <f t="shared" si="490"/>
        <v>0</v>
      </c>
      <c r="BS1170" s="49">
        <f t="shared" si="474"/>
        <v>2589</v>
      </c>
      <c r="BT1170" s="31">
        <v>2016</v>
      </c>
      <c r="BU1170" s="188" t="str">
        <f t="shared" si="491"/>
        <v>KCFN/LGL</v>
      </c>
      <c r="BV1170" s="188" t="str">
        <f t="shared" si="495"/>
        <v>Sep 24-30</v>
      </c>
      <c r="BW1170" s="188" t="str">
        <f t="shared" si="475"/>
        <v>Oct 22-28</v>
      </c>
      <c r="BX1170" s="188" t="str">
        <f t="shared" si="492"/>
        <v xml:space="preserve"> </v>
      </c>
      <c r="BY1170" s="50" t="str">
        <f t="shared" si="481"/>
        <v>TAHSISH RIVER_Chum</v>
      </c>
      <c r="BZ1170" s="50">
        <f>IFERROR(VLOOKUP(BY1170,'[1]WCVI Esc'!$C$5:$W$555,18,FALSE),"-")</f>
        <v>4310</v>
      </c>
      <c r="CA1170" s="50">
        <f t="shared" si="493"/>
        <v>4310</v>
      </c>
      <c r="CB1170" s="50">
        <f>IFERROR(VLOOKUP(BY1170,'[1]WCVI Esc'!$C$5:$W$555,19,FALSE),"-")</f>
        <v>4867.916666666667</v>
      </c>
      <c r="CC1170" s="50">
        <f t="shared" si="494"/>
        <v>4870</v>
      </c>
      <c r="CE1170" s="342" t="str">
        <f t="shared" si="477"/>
        <v>TAHSISH RIVER_Chum</v>
      </c>
      <c r="CF1170" s="341">
        <f>IFERROR(VLOOKUP(CE1170,'RawPL+D'!$O$8:$AB$503,12,FALSE),"-")</f>
        <v>6010</v>
      </c>
      <c r="CG1170" s="338">
        <f t="shared" si="478"/>
        <v>6010</v>
      </c>
      <c r="CH1170" s="341">
        <f>IFERROR(VLOOKUP(BY1170,'RawPL+D'!$O$8:$AB$503,13,FALSE),"-")</f>
        <v>2802.25</v>
      </c>
      <c r="CI1170" s="338">
        <f t="shared" si="479"/>
        <v>2800</v>
      </c>
    </row>
    <row r="1171" spans="1:87" ht="12.75" hidden="1" customHeight="1" x14ac:dyDescent="0.2">
      <c r="A1171" s="28">
        <v>2</v>
      </c>
      <c r="B1171" s="28">
        <v>5</v>
      </c>
      <c r="C1171" s="11">
        <v>26</v>
      </c>
      <c r="D1171" s="147" t="s">
        <v>301</v>
      </c>
      <c r="E1171" s="10" t="s">
        <v>66</v>
      </c>
      <c r="F1171" s="10" t="s">
        <v>210</v>
      </c>
      <c r="G1171" s="10"/>
      <c r="H1171" s="10"/>
      <c r="I1171" s="10"/>
      <c r="J1171" s="10"/>
      <c r="K1171" s="575"/>
      <c r="L1171" s="152"/>
      <c r="M1171" s="649">
        <v>286</v>
      </c>
      <c r="N1171" s="562"/>
      <c r="O1171" s="644">
        <v>904</v>
      </c>
      <c r="P1171" s="826">
        <f>284+1</f>
        <v>285</v>
      </c>
      <c r="Q1171" s="827"/>
      <c r="R1171" s="817"/>
      <c r="S1171" s="828"/>
      <c r="T1171" s="778">
        <v>2</v>
      </c>
      <c r="U1171" s="824"/>
      <c r="V1171" s="471"/>
      <c r="W1171" s="470"/>
      <c r="X1171" s="470"/>
      <c r="Y1171" s="555"/>
      <c r="Z1171" s="64"/>
      <c r="AA1171" s="164"/>
      <c r="AB1171" s="62"/>
      <c r="AC1171" s="62"/>
      <c r="AD1171" s="64"/>
      <c r="AE1171" s="164"/>
      <c r="AF1171" s="62"/>
      <c r="AG1171" s="64"/>
      <c r="AH1171" s="337">
        <v>904</v>
      </c>
      <c r="AI1171" s="337">
        <v>115</v>
      </c>
      <c r="AJ1171" s="337">
        <v>0</v>
      </c>
      <c r="AK1171" s="337">
        <v>0</v>
      </c>
      <c r="AL1171" s="839">
        <v>904</v>
      </c>
      <c r="AM1171" s="821">
        <v>1019</v>
      </c>
      <c r="AN1171" s="552" t="s">
        <v>765</v>
      </c>
      <c r="AO1171" s="552" t="s">
        <v>773</v>
      </c>
      <c r="AP1171" s="44"/>
      <c r="AQ1171" s="485">
        <f>AL1171/BI1171</f>
        <v>1.1160493827160494</v>
      </c>
      <c r="AR1171" s="485">
        <f>BL1171/BH1171</f>
        <v>1.1894736842105262</v>
      </c>
      <c r="AS1171" s="485">
        <f>BL1171/BI1171</f>
        <v>1.1160493827160494</v>
      </c>
      <c r="AT1171" s="123">
        <v>534</v>
      </c>
      <c r="AU1171" s="123">
        <v>157</v>
      </c>
      <c r="AV1171" s="123">
        <f>AL1171</f>
        <v>904</v>
      </c>
      <c r="AW1171" s="18">
        <v>26</v>
      </c>
      <c r="AX1171" s="69" t="s">
        <v>301</v>
      </c>
      <c r="AY1171" s="243" t="s">
        <v>66</v>
      </c>
      <c r="AZ1171" s="243" t="str">
        <f t="shared" si="483"/>
        <v>Chinook</v>
      </c>
      <c r="BA1171" s="243" t="s">
        <v>419</v>
      </c>
      <c r="BB1171" s="244" t="s">
        <v>292</v>
      </c>
      <c r="BC1171" s="43" t="str">
        <f t="shared" si="484"/>
        <v>Oct 22-28</v>
      </c>
      <c r="BD1171" s="43">
        <f t="shared" si="482"/>
        <v>4</v>
      </c>
      <c r="BE1171" s="193">
        <f t="shared" si="496"/>
        <v>904</v>
      </c>
      <c r="BF1171" s="193">
        <f t="shared" si="485"/>
        <v>904</v>
      </c>
      <c r="BG1171" s="193">
        <f t="shared" si="486"/>
        <v>904</v>
      </c>
      <c r="BH1171" s="307">
        <f t="shared" si="473"/>
        <v>760</v>
      </c>
      <c r="BI1171" s="265">
        <f t="shared" si="480"/>
        <v>810</v>
      </c>
      <c r="BJ1171" s="26" t="str">
        <f t="shared" si="487"/>
        <v>TAHSISH RIVERChinook</v>
      </c>
      <c r="BK1171" s="26">
        <f t="shared" si="488"/>
        <v>4</v>
      </c>
      <c r="BL1171" s="33">
        <f t="shared" si="476"/>
        <v>904</v>
      </c>
      <c r="BQ1171" s="47" t="str">
        <f t="shared" si="489"/>
        <v>TAHSISH RIVERChinook</v>
      </c>
      <c r="BR1171" s="49">
        <f t="shared" si="490"/>
        <v>0</v>
      </c>
      <c r="BS1171" s="49">
        <f t="shared" si="474"/>
        <v>904</v>
      </c>
      <c r="BT1171" s="31">
        <v>2016</v>
      </c>
      <c r="BU1171" s="188" t="str">
        <f t="shared" si="491"/>
        <v>KCFN/LGL</v>
      </c>
      <c r="BV1171" s="188" t="str">
        <f t="shared" si="495"/>
        <v>Sep 24-30</v>
      </c>
      <c r="BW1171" s="188" t="str">
        <f t="shared" si="475"/>
        <v>Oct 22-28</v>
      </c>
      <c r="BX1171" s="188" t="str">
        <f t="shared" si="492"/>
        <v xml:space="preserve"> </v>
      </c>
      <c r="BY1171" s="50" t="str">
        <f t="shared" si="481"/>
        <v>TAHSISH RIVER_Chinook</v>
      </c>
      <c r="BZ1171" s="50">
        <f>IFERROR(VLOOKUP(BY1171,'[1]WCVI Esc'!$C$5:$W$555,18,FALSE),"-")</f>
        <v>1123</v>
      </c>
      <c r="CA1171" s="50">
        <f t="shared" si="493"/>
        <v>1120</v>
      </c>
      <c r="CB1171" s="50">
        <f>IFERROR(VLOOKUP(BY1171,'[1]WCVI Esc'!$C$5:$W$555,19,FALSE),"-")</f>
        <v>813.16666666666663</v>
      </c>
      <c r="CC1171" s="50">
        <f t="shared" si="494"/>
        <v>810</v>
      </c>
      <c r="CE1171" s="342" t="str">
        <f t="shared" si="477"/>
        <v>TAHSISH RIVER_Chinook</v>
      </c>
      <c r="CF1171" s="341">
        <f>IFERROR(VLOOKUP(CE1171,'RawPL+D'!$O$8:$AB$503,12,FALSE),"-")</f>
        <v>820</v>
      </c>
      <c r="CG1171" s="338">
        <f t="shared" si="478"/>
        <v>820</v>
      </c>
      <c r="CH1171" s="341">
        <f>IFERROR(VLOOKUP(BY1171,'RawPL+D'!$O$8:$AB$503,13,FALSE),"-")</f>
        <v>755.5</v>
      </c>
      <c r="CI1171" s="338">
        <f t="shared" si="479"/>
        <v>760</v>
      </c>
    </row>
    <row r="1172" spans="1:87" ht="12.75" hidden="1" customHeight="1" x14ac:dyDescent="0.2">
      <c r="A1172" s="28">
        <v>2</v>
      </c>
      <c r="B1172" s="28">
        <v>6</v>
      </c>
      <c r="C1172" s="11">
        <v>26</v>
      </c>
      <c r="D1172" s="149" t="s">
        <v>301</v>
      </c>
      <c r="E1172" s="10" t="s">
        <v>66</v>
      </c>
      <c r="F1172" s="10" t="s">
        <v>211</v>
      </c>
      <c r="G1172" s="10"/>
      <c r="H1172" s="10"/>
      <c r="I1172" s="10"/>
      <c r="J1172" s="10"/>
      <c r="K1172" s="575"/>
      <c r="L1172" s="152"/>
      <c r="M1172" s="641">
        <v>1</v>
      </c>
      <c r="N1172" s="62"/>
      <c r="O1172" s="643">
        <v>0</v>
      </c>
      <c r="P1172" s="695">
        <v>0</v>
      </c>
      <c r="Q1172" s="655"/>
      <c r="R1172" s="659"/>
      <c r="S1172" s="339"/>
      <c r="T1172" s="642">
        <v>0</v>
      </c>
      <c r="U1172" s="162"/>
      <c r="V1172" s="164"/>
      <c r="W1172" s="62"/>
      <c r="X1172" s="62"/>
      <c r="Y1172" s="62"/>
      <c r="Z1172" s="64"/>
      <c r="AA1172" s="164"/>
      <c r="AB1172" s="62"/>
      <c r="AC1172" s="62"/>
      <c r="AD1172" s="64"/>
      <c r="AE1172" s="164"/>
      <c r="AF1172" s="62"/>
      <c r="AG1172" s="64"/>
      <c r="AH1172" s="337"/>
      <c r="AI1172" s="337"/>
      <c r="AJ1172" s="337"/>
      <c r="AK1172" s="337"/>
      <c r="AL1172" s="552"/>
      <c r="AM1172" s="552"/>
      <c r="AN1172" s="45"/>
      <c r="AO1172" s="45"/>
      <c r="AP1172" s="44"/>
      <c r="AQ1172" s="485"/>
      <c r="AR1172"/>
      <c r="AS1172" s="485"/>
      <c r="AT1172" s="100"/>
      <c r="AU1172" s="100"/>
      <c r="AV1172" s="100"/>
      <c r="AW1172" s="18">
        <v>26</v>
      </c>
      <c r="AX1172" s="69" t="s">
        <v>301</v>
      </c>
      <c r="AY1172" s="243" t="s">
        <v>66</v>
      </c>
      <c r="AZ1172" s="243" t="str">
        <f t="shared" si="483"/>
        <v>Steelhead</v>
      </c>
      <c r="BA1172" s="243" t="s">
        <v>419</v>
      </c>
      <c r="BB1172" s="244" t="s">
        <v>292</v>
      </c>
      <c r="BC1172" s="43" t="str">
        <f t="shared" si="484"/>
        <v>Oct 22-28</v>
      </c>
      <c r="BD1172" s="43">
        <f t="shared" si="482"/>
        <v>4</v>
      </c>
      <c r="BE1172" s="193">
        <f t="shared" si="496"/>
        <v>1</v>
      </c>
      <c r="BF1172" s="193">
        <f t="shared" si="485"/>
        <v>0</v>
      </c>
      <c r="BG1172" s="193">
        <f t="shared" si="486"/>
        <v>0</v>
      </c>
      <c r="BH1172" s="307" t="str">
        <f t="shared" si="473"/>
        <v>-</v>
      </c>
      <c r="BI1172" s="265" t="str">
        <f t="shared" si="480"/>
        <v>-</v>
      </c>
      <c r="BJ1172" s="26" t="str">
        <f t="shared" si="487"/>
        <v>TAHSISH RIVERSteelhead</v>
      </c>
      <c r="BK1172" s="26">
        <f t="shared" si="488"/>
        <v>4</v>
      </c>
      <c r="BL1172" s="33">
        <f t="shared" si="476"/>
        <v>1</v>
      </c>
      <c r="BQ1172" s="47" t="str">
        <f t="shared" si="489"/>
        <v>TAHSISH RIVERSteelhead</v>
      </c>
      <c r="BR1172" s="49">
        <f t="shared" si="490"/>
        <v>0</v>
      </c>
      <c r="BS1172" s="49">
        <f t="shared" si="474"/>
        <v>0</v>
      </c>
      <c r="BT1172" s="31">
        <v>0</v>
      </c>
      <c r="BU1172" s="188" t="str">
        <f t="shared" si="491"/>
        <v>KCFN/LGL</v>
      </c>
      <c r="BV1172" s="188" t="str">
        <f t="shared" si="495"/>
        <v>Sep 24-30</v>
      </c>
      <c r="BW1172" s="188" t="str">
        <f t="shared" si="475"/>
        <v>Oct 22-28</v>
      </c>
      <c r="BX1172" s="188" t="str">
        <f t="shared" si="492"/>
        <v xml:space="preserve"> </v>
      </c>
      <c r="BY1172" s="50" t="str">
        <f t="shared" si="481"/>
        <v>TAHSISH RIVER_Steelhead</v>
      </c>
      <c r="BZ1172" s="50" t="str">
        <f>IFERROR(VLOOKUP(BY1172,'[1]WCVI Esc'!$C$5:$W$555,18,FALSE),"-")</f>
        <v>-</v>
      </c>
      <c r="CA1172" s="50" t="str">
        <f t="shared" si="493"/>
        <v>-</v>
      </c>
      <c r="CB1172" s="50" t="str">
        <f>IFERROR(VLOOKUP(BY1172,'[1]WCVI Esc'!$C$5:$W$555,19,FALSE),"-")</f>
        <v>-</v>
      </c>
      <c r="CC1172" s="50" t="str">
        <f t="shared" si="494"/>
        <v>-</v>
      </c>
      <c r="CE1172" s="342" t="str">
        <f t="shared" si="477"/>
        <v>TAHSISH RIVER_Steelhead</v>
      </c>
      <c r="CF1172" s="341" t="str">
        <f>IFERROR(VLOOKUP(BY1172,'RawPL+D'!$O$8:$AB$503,12,FALSE),"-")</f>
        <v>-</v>
      </c>
      <c r="CG1172" s="338" t="str">
        <f t="shared" si="478"/>
        <v>-</v>
      </c>
      <c r="CH1172" s="341" t="str">
        <f>IFERROR(VLOOKUP(BY1172,'RawPL+D'!$O$8:$AB$503,13,FALSE),"-")</f>
        <v>-</v>
      </c>
      <c r="CI1172" s="338" t="str">
        <f t="shared" si="479"/>
        <v>-</v>
      </c>
    </row>
    <row r="1173" spans="1:87" ht="12.75" hidden="1" customHeight="1" x14ac:dyDescent="0.2">
      <c r="A1173" s="28">
        <v>3</v>
      </c>
      <c r="B1173" s="28">
        <v>1</v>
      </c>
      <c r="C1173" s="11">
        <v>26</v>
      </c>
      <c r="D1173" s="149" t="s">
        <v>301</v>
      </c>
      <c r="E1173" s="10" t="s">
        <v>56</v>
      </c>
      <c r="F1173" s="10" t="s">
        <v>207</v>
      </c>
      <c r="G1173" s="10"/>
      <c r="H1173" s="10"/>
      <c r="I1173" s="10"/>
      <c r="J1173" s="10"/>
      <c r="K1173" s="575"/>
      <c r="L1173" s="152"/>
      <c r="M1173" s="422"/>
      <c r="N1173" s="339"/>
      <c r="O1173" s="62"/>
      <c r="P1173" s="177"/>
      <c r="Q1173" s="171"/>
      <c r="R1173" s="94"/>
      <c r="S1173" s="390"/>
      <c r="T1173" s="63"/>
      <c r="U1173" s="162"/>
      <c r="V1173" s="164"/>
      <c r="W1173" s="62"/>
      <c r="X1173" s="63"/>
      <c r="Y1173" s="62"/>
      <c r="Z1173" s="64"/>
      <c r="AA1173" s="164"/>
      <c r="AB1173" s="62"/>
      <c r="AC1173" s="62"/>
      <c r="AD1173" s="64"/>
      <c r="AE1173" s="164"/>
      <c r="AF1173" s="62"/>
      <c r="AG1173" s="64"/>
      <c r="AH1173" s="337"/>
      <c r="AI1173" s="337"/>
      <c r="AJ1173" s="337"/>
      <c r="AK1173" s="337"/>
      <c r="AL1173" s="414"/>
      <c r="AM1173" s="414"/>
      <c r="AN1173" s="45"/>
      <c r="AO1173" s="45"/>
      <c r="AP1173" s="45"/>
      <c r="AQ1173" s="485"/>
      <c r="AR1173"/>
      <c r="AS1173" s="485"/>
      <c r="AT1173" s="24"/>
      <c r="AU1173" s="24"/>
      <c r="AV1173" s="24"/>
      <c r="AW1173" s="18">
        <v>26</v>
      </c>
      <c r="AX1173" s="69" t="s">
        <v>301</v>
      </c>
      <c r="AY1173" s="243" t="s">
        <v>56</v>
      </c>
      <c r="AZ1173" s="243" t="str">
        <f t="shared" si="483"/>
        <v>Sockeye</v>
      </c>
      <c r="BA1173" s="243" t="s">
        <v>419</v>
      </c>
      <c r="BB1173" s="244" t="s">
        <v>460</v>
      </c>
      <c r="BC1173" s="43" t="str">
        <f t="shared" si="484"/>
        <v>-</v>
      </c>
      <c r="BD1173" s="43">
        <f t="shared" si="482"/>
        <v>0</v>
      </c>
      <c r="BE1173" s="193">
        <f t="shared" si="496"/>
        <v>0</v>
      </c>
      <c r="BF1173" s="193">
        <f t="shared" si="485"/>
        <v>0</v>
      </c>
      <c r="BG1173" s="193">
        <f t="shared" si="486"/>
        <v>0</v>
      </c>
      <c r="BH1173" s="307">
        <f t="shared" si="473"/>
        <v>0</v>
      </c>
      <c r="BI1173" s="310" t="s">
        <v>242</v>
      </c>
      <c r="BJ1173" s="26" t="str">
        <f t="shared" si="487"/>
        <v>AMAI CREEKSockeye</v>
      </c>
      <c r="BK1173" s="26">
        <f t="shared" si="488"/>
        <v>0</v>
      </c>
      <c r="BL1173" s="33">
        <f t="shared" si="476"/>
        <v>0</v>
      </c>
      <c r="BQ1173" s="47" t="str">
        <f t="shared" si="489"/>
        <v>AMAI CREEKSockeye</v>
      </c>
      <c r="BR1173" s="49">
        <f t="shared" si="490"/>
        <v>0</v>
      </c>
      <c r="BS1173" s="49">
        <f t="shared" si="474"/>
        <v>0</v>
      </c>
      <c r="BT1173" s="31">
        <v>1998</v>
      </c>
      <c r="BU1173" s="188" t="str">
        <f t="shared" si="491"/>
        <v>KCFN</v>
      </c>
      <c r="BV1173" s="188" t="str">
        <f t="shared" si="495"/>
        <v xml:space="preserve"> </v>
      </c>
      <c r="BW1173" s="188" t="str">
        <f t="shared" si="475"/>
        <v xml:space="preserve"> </v>
      </c>
      <c r="BX1173" s="188" t="str">
        <f t="shared" si="492"/>
        <v xml:space="preserve"> </v>
      </c>
      <c r="BY1173" s="50" t="str">
        <f t="shared" si="481"/>
        <v>AMAI CREEK_Sockeye</v>
      </c>
      <c r="BZ1173" s="50">
        <f>IFERROR(VLOOKUP(BY1173,'[1]WCVI Esc'!$C$5:$W$555,18,FALSE),"-")</f>
        <v>4</v>
      </c>
      <c r="CA1173" s="50">
        <f t="shared" si="493"/>
        <v>0</v>
      </c>
      <c r="CB1173" s="50">
        <f>IFERROR(VLOOKUP(BY1173,'[1]WCVI Esc'!$C$5:$W$555,19,FALSE),"-")</f>
        <v>4</v>
      </c>
      <c r="CC1173" s="50">
        <f t="shared" si="494"/>
        <v>0</v>
      </c>
      <c r="CE1173" s="342" t="str">
        <f t="shared" ref="CE1173:CE1178" si="497">CONCATENATE("COLONIAL/CAYEGHLE CREEKS","_",F1173)</f>
        <v>COLONIAL/CAYEGHLE CREEKS_Sockeye</v>
      </c>
      <c r="CF1173" s="341">
        <f>IFERROR(VLOOKUP(BY1173,'RawPL+D'!$O$8:$AB$503,12,FALSE),"-")</f>
        <v>0</v>
      </c>
      <c r="CG1173" s="338">
        <f t="shared" si="478"/>
        <v>0</v>
      </c>
      <c r="CH1173" s="341">
        <f>IFERROR(VLOOKUP(BY1173,'RawPL+D'!$O$8:$AB$503,13,FALSE),"-")</f>
        <v>4</v>
      </c>
      <c r="CI1173" s="338">
        <f t="shared" si="479"/>
        <v>0</v>
      </c>
    </row>
    <row r="1174" spans="1:87" ht="12.75" hidden="1" customHeight="1" x14ac:dyDescent="0.2">
      <c r="A1174" s="28">
        <v>3</v>
      </c>
      <c r="B1174" s="28">
        <v>2</v>
      </c>
      <c r="C1174" s="11">
        <v>26</v>
      </c>
      <c r="D1174" s="149" t="s">
        <v>301</v>
      </c>
      <c r="E1174" s="10" t="s">
        <v>56</v>
      </c>
      <c r="F1174" s="10" t="s">
        <v>219</v>
      </c>
      <c r="G1174" s="10"/>
      <c r="H1174" s="10"/>
      <c r="I1174" s="10"/>
      <c r="J1174" s="10"/>
      <c r="K1174" s="575"/>
      <c r="L1174" s="152"/>
      <c r="M1174" s="422"/>
      <c r="N1174" s="339"/>
      <c r="O1174" s="62"/>
      <c r="P1174" s="177"/>
      <c r="Q1174" s="171"/>
      <c r="R1174" s="94"/>
      <c r="S1174" s="62"/>
      <c r="T1174" s="437"/>
      <c r="U1174" s="162"/>
      <c r="V1174" s="164"/>
      <c r="W1174" s="62"/>
      <c r="X1174" s="63"/>
      <c r="Y1174" s="62"/>
      <c r="Z1174" s="64"/>
      <c r="AA1174" s="164"/>
      <c r="AB1174" s="62"/>
      <c r="AC1174" s="62"/>
      <c r="AD1174" s="64"/>
      <c r="AE1174" s="164"/>
      <c r="AF1174" s="62"/>
      <c r="AG1174" s="64"/>
      <c r="AH1174" s="337"/>
      <c r="AI1174" s="337"/>
      <c r="AJ1174" s="337"/>
      <c r="AK1174" s="337"/>
      <c r="AL1174" s="414"/>
      <c r="AM1174" s="414"/>
      <c r="AN1174" s="45"/>
      <c r="AO1174" s="45"/>
      <c r="AP1174" s="45"/>
      <c r="AQ1174" s="485">
        <f>AL1174/BI1174</f>
        <v>0</v>
      </c>
      <c r="AR1174" s="485">
        <f>BL1174/BH1174</f>
        <v>0</v>
      </c>
      <c r="AS1174" s="485">
        <f>BL1174/BI1174</f>
        <v>0</v>
      </c>
      <c r="AT1174" s="100"/>
      <c r="AU1174" s="100"/>
      <c r="AV1174" s="100"/>
      <c r="AW1174" s="18">
        <v>26</v>
      </c>
      <c r="AX1174" s="69" t="s">
        <v>301</v>
      </c>
      <c r="AY1174" s="243" t="s">
        <v>56</v>
      </c>
      <c r="AZ1174" s="243" t="str">
        <f t="shared" si="483"/>
        <v>Coho</v>
      </c>
      <c r="BA1174" s="243" t="s">
        <v>419</v>
      </c>
      <c r="BB1174" s="244" t="s">
        <v>460</v>
      </c>
      <c r="BC1174" s="43" t="str">
        <f t="shared" si="484"/>
        <v>-</v>
      </c>
      <c r="BD1174" s="43">
        <f t="shared" si="482"/>
        <v>0</v>
      </c>
      <c r="BE1174" s="193">
        <f t="shared" si="496"/>
        <v>0</v>
      </c>
      <c r="BF1174" s="193">
        <f t="shared" si="485"/>
        <v>0</v>
      </c>
      <c r="BG1174" s="193">
        <f t="shared" si="486"/>
        <v>0</v>
      </c>
      <c r="BH1174" s="307">
        <f t="shared" si="473"/>
        <v>50</v>
      </c>
      <c r="BI1174" s="265">
        <f>CC1174</f>
        <v>190</v>
      </c>
      <c r="BJ1174" s="26" t="str">
        <f t="shared" si="487"/>
        <v>AMAI CREEKCoho</v>
      </c>
      <c r="BK1174" s="26">
        <f t="shared" si="488"/>
        <v>0</v>
      </c>
      <c r="BL1174" s="33">
        <f t="shared" si="476"/>
        <v>0</v>
      </c>
      <c r="BQ1174" s="47" t="str">
        <f t="shared" si="489"/>
        <v>AMAI CREEKCoho</v>
      </c>
      <c r="BR1174" s="49">
        <f t="shared" si="490"/>
        <v>0</v>
      </c>
      <c r="BS1174" s="49">
        <f t="shared" si="474"/>
        <v>0</v>
      </c>
      <c r="BT1174" s="31">
        <v>2015</v>
      </c>
      <c r="BU1174" s="188" t="str">
        <f t="shared" si="491"/>
        <v>KCFN</v>
      </c>
      <c r="BV1174" s="188" t="str">
        <f t="shared" si="495"/>
        <v xml:space="preserve"> </v>
      </c>
      <c r="BW1174" s="188" t="str">
        <f t="shared" si="475"/>
        <v xml:space="preserve"> </v>
      </c>
      <c r="BX1174" s="188" t="str">
        <f t="shared" si="492"/>
        <v xml:space="preserve"> </v>
      </c>
      <c r="BY1174" s="50" t="str">
        <f t="shared" si="481"/>
        <v>AMAI CREEK_Coho</v>
      </c>
      <c r="BZ1174" s="50">
        <f>IFERROR(VLOOKUP(BY1174,'[1]WCVI Esc'!$C$5:$W$555,18,FALSE),"-")</f>
        <v>53</v>
      </c>
      <c r="CA1174" s="50">
        <f t="shared" si="493"/>
        <v>50</v>
      </c>
      <c r="CB1174" s="50">
        <f>IFERROR(VLOOKUP(BY1174,'[1]WCVI Esc'!$C$5:$W$555,19,FALSE),"-")</f>
        <v>192.85714285714286</v>
      </c>
      <c r="CC1174" s="50">
        <f t="shared" si="494"/>
        <v>190</v>
      </c>
      <c r="CE1174" s="342" t="str">
        <f t="shared" si="497"/>
        <v>COLONIAL/CAYEGHLE CREEKS_Coho</v>
      </c>
      <c r="CF1174" s="341">
        <f>IFERROR(VLOOKUP(CE1174,'RawPL+D'!$O$8:$AB$503,12,FALSE),"-")</f>
        <v>713</v>
      </c>
      <c r="CG1174" s="338">
        <f t="shared" si="478"/>
        <v>710</v>
      </c>
      <c r="CH1174" s="341">
        <f>IFERROR(VLOOKUP(BY1174,'RawPL+D'!$O$8:$AB$503,13,FALSE),"-")</f>
        <v>53</v>
      </c>
      <c r="CI1174" s="338">
        <f t="shared" si="479"/>
        <v>50</v>
      </c>
    </row>
    <row r="1175" spans="1:87" ht="12.75" hidden="1" customHeight="1" x14ac:dyDescent="0.2">
      <c r="A1175" s="28">
        <v>3</v>
      </c>
      <c r="B1175" s="28">
        <v>3</v>
      </c>
      <c r="C1175" s="11">
        <v>26</v>
      </c>
      <c r="D1175" s="149" t="s">
        <v>301</v>
      </c>
      <c r="E1175" s="10" t="s">
        <v>56</v>
      </c>
      <c r="F1175" s="10" t="s">
        <v>208</v>
      </c>
      <c r="G1175" s="10"/>
      <c r="H1175" s="10"/>
      <c r="I1175" s="10"/>
      <c r="J1175" s="10"/>
      <c r="K1175" s="575"/>
      <c r="L1175" s="152"/>
      <c r="M1175" s="422"/>
      <c r="N1175" s="339"/>
      <c r="O1175" s="62"/>
      <c r="P1175" s="177"/>
      <c r="Q1175" s="171"/>
      <c r="R1175" s="94"/>
      <c r="S1175" s="62"/>
      <c r="T1175" s="63"/>
      <c r="U1175" s="162"/>
      <c r="V1175" s="164"/>
      <c r="W1175" s="62"/>
      <c r="X1175" s="63"/>
      <c r="Y1175" s="62"/>
      <c r="Z1175" s="64"/>
      <c r="AA1175" s="164"/>
      <c r="AB1175" s="62"/>
      <c r="AC1175" s="62"/>
      <c r="AD1175" s="64"/>
      <c r="AE1175" s="164"/>
      <c r="AF1175" s="62"/>
      <c r="AG1175" s="64"/>
      <c r="AH1175" s="337"/>
      <c r="AI1175" s="337"/>
      <c r="AJ1175" s="337"/>
      <c r="AK1175" s="337"/>
      <c r="AL1175" s="414"/>
      <c r="AM1175" s="414"/>
      <c r="AN1175" s="45"/>
      <c r="AO1175" s="45"/>
      <c r="AP1175" s="45"/>
      <c r="AQ1175" s="485"/>
      <c r="AR1175"/>
      <c r="AS1175" s="485"/>
      <c r="AT1175" s="24"/>
      <c r="AU1175" s="24"/>
      <c r="AV1175" s="24"/>
      <c r="AW1175" s="18">
        <v>26</v>
      </c>
      <c r="AX1175" s="69" t="s">
        <v>301</v>
      </c>
      <c r="AY1175" s="243" t="s">
        <v>56</v>
      </c>
      <c r="AZ1175" s="243" t="str">
        <f t="shared" si="483"/>
        <v>Pink</v>
      </c>
      <c r="BA1175" s="243" t="s">
        <v>419</v>
      </c>
      <c r="BB1175" s="244" t="s">
        <v>460</v>
      </c>
      <c r="BC1175" s="43" t="str">
        <f t="shared" si="484"/>
        <v>-</v>
      </c>
      <c r="BD1175" s="43">
        <f t="shared" si="482"/>
        <v>0</v>
      </c>
      <c r="BE1175" s="193">
        <f t="shared" si="496"/>
        <v>0</v>
      </c>
      <c r="BF1175" s="193">
        <f t="shared" si="485"/>
        <v>0</v>
      </c>
      <c r="BG1175" s="193">
        <f t="shared" si="486"/>
        <v>0</v>
      </c>
      <c r="BH1175" s="307" t="str">
        <f t="shared" si="473"/>
        <v>-</v>
      </c>
      <c r="BI1175" s="268"/>
      <c r="BJ1175" s="26" t="str">
        <f t="shared" si="487"/>
        <v>AMAI CREEKPink</v>
      </c>
      <c r="BK1175" s="26">
        <f t="shared" si="488"/>
        <v>0</v>
      </c>
      <c r="BL1175" s="33">
        <f t="shared" si="476"/>
        <v>0</v>
      </c>
      <c r="BQ1175" s="47" t="str">
        <f t="shared" si="489"/>
        <v>AMAI CREEKPink</v>
      </c>
      <c r="BR1175" s="49">
        <f t="shared" si="490"/>
        <v>0</v>
      </c>
      <c r="BS1175" s="49">
        <f t="shared" si="474"/>
        <v>0</v>
      </c>
      <c r="BT1175" s="31">
        <v>0</v>
      </c>
      <c r="BU1175" s="188" t="str">
        <f t="shared" si="491"/>
        <v>KCFN</v>
      </c>
      <c r="BV1175" s="188" t="str">
        <f t="shared" si="495"/>
        <v xml:space="preserve"> </v>
      </c>
      <c r="BW1175" s="188" t="str">
        <f t="shared" si="475"/>
        <v xml:space="preserve"> </v>
      </c>
      <c r="BX1175" s="188" t="str">
        <f t="shared" si="492"/>
        <v xml:space="preserve"> </v>
      </c>
      <c r="BY1175" s="50" t="str">
        <f t="shared" si="481"/>
        <v>AMAI CREEK_Pink</v>
      </c>
      <c r="BZ1175" s="50" t="str">
        <f>IFERROR(VLOOKUP(BY1175,'[1]WCVI Esc'!$C$5:$W$555,18,FALSE),"-")</f>
        <v>-</v>
      </c>
      <c r="CA1175" s="50" t="str">
        <f t="shared" si="493"/>
        <v>-</v>
      </c>
      <c r="CB1175" s="50" t="str">
        <f>IFERROR(VLOOKUP(BY1175,'[1]WCVI Esc'!$C$5:$W$555,19,FALSE),"-")</f>
        <v>-</v>
      </c>
      <c r="CC1175" s="50" t="str">
        <f t="shared" si="494"/>
        <v>-</v>
      </c>
      <c r="CE1175" s="342" t="str">
        <f t="shared" si="497"/>
        <v>COLONIAL/CAYEGHLE CREEKS_Pink</v>
      </c>
      <c r="CF1175" s="341" t="str">
        <f>IFERROR(VLOOKUP(BY1175,'RawPL+D'!$O$8:$AB$503,12,FALSE),"-")</f>
        <v>-</v>
      </c>
      <c r="CG1175" s="338" t="str">
        <f t="shared" si="478"/>
        <v>-</v>
      </c>
      <c r="CH1175" s="341" t="str">
        <f>IFERROR(VLOOKUP(BY1175,'RawPL+D'!$O$8:$AB$503,13,FALSE),"-")</f>
        <v>-</v>
      </c>
      <c r="CI1175" s="338" t="str">
        <f t="shared" si="479"/>
        <v>-</v>
      </c>
    </row>
    <row r="1176" spans="1:87" ht="12.75" hidden="1" customHeight="1" x14ac:dyDescent="0.2">
      <c r="A1176" s="28">
        <v>3</v>
      </c>
      <c r="B1176" s="28">
        <v>4</v>
      </c>
      <c r="C1176" s="11">
        <v>26</v>
      </c>
      <c r="D1176" s="149" t="s">
        <v>301</v>
      </c>
      <c r="E1176" s="10" t="s">
        <v>56</v>
      </c>
      <c r="F1176" s="10" t="s">
        <v>209</v>
      </c>
      <c r="G1176" s="10"/>
      <c r="H1176" s="10"/>
      <c r="I1176" s="10"/>
      <c r="J1176" s="10"/>
      <c r="K1176" s="575"/>
      <c r="L1176" s="152"/>
      <c r="M1176" s="422"/>
      <c r="N1176" s="339"/>
      <c r="O1176" s="62"/>
      <c r="P1176" s="177"/>
      <c r="Q1176" s="171"/>
      <c r="R1176" s="94"/>
      <c r="S1176" s="390"/>
      <c r="T1176" s="420"/>
      <c r="U1176" s="162"/>
      <c r="V1176" s="164"/>
      <c r="W1176" s="62"/>
      <c r="X1176" s="63"/>
      <c r="Y1176" s="62"/>
      <c r="Z1176" s="64"/>
      <c r="AA1176" s="164"/>
      <c r="AB1176" s="62"/>
      <c r="AC1176" s="62"/>
      <c r="AD1176" s="64"/>
      <c r="AE1176" s="164"/>
      <c r="AF1176" s="62"/>
      <c r="AG1176" s="64"/>
      <c r="AH1176" s="337"/>
      <c r="AI1176" s="337"/>
      <c r="AJ1176" s="337"/>
      <c r="AK1176" s="337"/>
      <c r="AL1176" s="414"/>
      <c r="AM1176" s="414"/>
      <c r="AN1176" s="45"/>
      <c r="AO1176" s="45"/>
      <c r="AP1176" s="45"/>
      <c r="AQ1176" s="485">
        <f>AL1176/BI1176</f>
        <v>0</v>
      </c>
      <c r="AR1176" s="485">
        <f>BL1176/BH1176</f>
        <v>0</v>
      </c>
      <c r="AS1176" s="485">
        <f>BL1176/BI1176</f>
        <v>0</v>
      </c>
      <c r="AT1176" s="100"/>
      <c r="AU1176" s="100"/>
      <c r="AV1176" s="100"/>
      <c r="AW1176" s="18">
        <v>26</v>
      </c>
      <c r="AX1176" s="69" t="s">
        <v>301</v>
      </c>
      <c r="AY1176" s="243" t="s">
        <v>56</v>
      </c>
      <c r="AZ1176" s="243" t="str">
        <f t="shared" si="483"/>
        <v>Chum</v>
      </c>
      <c r="BA1176" s="243" t="s">
        <v>419</v>
      </c>
      <c r="BB1176" s="244" t="s">
        <v>460</v>
      </c>
      <c r="BC1176" s="43" t="str">
        <f t="shared" si="484"/>
        <v>-</v>
      </c>
      <c r="BD1176" s="43">
        <f t="shared" si="482"/>
        <v>0</v>
      </c>
      <c r="BE1176" s="193">
        <f t="shared" si="496"/>
        <v>0</v>
      </c>
      <c r="BF1176" s="193">
        <f t="shared" si="485"/>
        <v>0</v>
      </c>
      <c r="BG1176" s="193">
        <f t="shared" si="486"/>
        <v>0</v>
      </c>
      <c r="BH1176" s="307">
        <f t="shared" si="473"/>
        <v>260</v>
      </c>
      <c r="BI1176" s="265">
        <f>CC1176</f>
        <v>560</v>
      </c>
      <c r="BJ1176" s="26" t="str">
        <f t="shared" si="487"/>
        <v>AMAI CREEKChum</v>
      </c>
      <c r="BK1176" s="26">
        <f t="shared" si="488"/>
        <v>0</v>
      </c>
      <c r="BL1176" s="33">
        <f t="shared" si="476"/>
        <v>0</v>
      </c>
      <c r="BQ1176" s="47" t="str">
        <f t="shared" si="489"/>
        <v>AMAI CREEKChum</v>
      </c>
      <c r="BR1176" s="49">
        <f t="shared" si="490"/>
        <v>0</v>
      </c>
      <c r="BS1176" s="49">
        <f t="shared" si="474"/>
        <v>0</v>
      </c>
      <c r="BT1176" s="31">
        <v>2015</v>
      </c>
      <c r="BU1176" s="188" t="str">
        <f t="shared" si="491"/>
        <v>KCFN</v>
      </c>
      <c r="BV1176" s="188" t="str">
        <f t="shared" si="495"/>
        <v xml:space="preserve"> </v>
      </c>
      <c r="BW1176" s="188" t="str">
        <f t="shared" si="475"/>
        <v xml:space="preserve"> </v>
      </c>
      <c r="BX1176" s="188" t="str">
        <f t="shared" si="492"/>
        <v xml:space="preserve"> </v>
      </c>
      <c r="BY1176" s="50" t="str">
        <f t="shared" si="481"/>
        <v>AMAI CREEK_Chum</v>
      </c>
      <c r="BZ1176" s="50">
        <f>IFERROR(VLOOKUP(BY1176,'[1]WCVI Esc'!$C$5:$W$555,18,FALSE),"-")</f>
        <v>259</v>
      </c>
      <c r="CA1176" s="50">
        <f t="shared" si="493"/>
        <v>260</v>
      </c>
      <c r="CB1176" s="50">
        <f>IFERROR(VLOOKUP(BY1176,'[1]WCVI Esc'!$C$5:$W$555,19,FALSE),"-")</f>
        <v>560.28571428571433</v>
      </c>
      <c r="CC1176" s="50">
        <f t="shared" si="494"/>
        <v>560</v>
      </c>
      <c r="CE1176" s="342" t="str">
        <f t="shared" si="497"/>
        <v>COLONIAL/CAYEGHLE CREEKS_Chum</v>
      </c>
      <c r="CF1176" s="341">
        <f>IFERROR(VLOOKUP(CE1176,'RawPL+D'!$O$8:$AB$503,12,FALSE),"-")</f>
        <v>1416</v>
      </c>
      <c r="CG1176" s="338">
        <f t="shared" si="478"/>
        <v>1420</v>
      </c>
      <c r="CH1176" s="341">
        <f>IFERROR(VLOOKUP(BY1176,'RawPL+D'!$O$8:$AB$503,13,FALSE),"-")</f>
        <v>259</v>
      </c>
      <c r="CI1176" s="338">
        <f t="shared" si="479"/>
        <v>260</v>
      </c>
    </row>
    <row r="1177" spans="1:87" ht="12.75" hidden="1" customHeight="1" x14ac:dyDescent="0.2">
      <c r="A1177" s="28">
        <v>3</v>
      </c>
      <c r="B1177" s="28">
        <v>5</v>
      </c>
      <c r="C1177" s="11">
        <v>26</v>
      </c>
      <c r="D1177" s="149" t="s">
        <v>301</v>
      </c>
      <c r="E1177" s="10" t="s">
        <v>56</v>
      </c>
      <c r="F1177" s="10" t="s">
        <v>210</v>
      </c>
      <c r="G1177" s="10"/>
      <c r="H1177" s="10"/>
      <c r="I1177" s="10"/>
      <c r="J1177" s="10"/>
      <c r="K1177" s="575"/>
      <c r="L1177" s="152"/>
      <c r="M1177" s="422"/>
      <c r="N1177" s="339"/>
      <c r="O1177" s="62"/>
      <c r="P1177" s="177"/>
      <c r="Q1177" s="171"/>
      <c r="R1177" s="94"/>
      <c r="S1177" s="390"/>
      <c r="T1177" s="63"/>
      <c r="U1177" s="162"/>
      <c r="V1177" s="164"/>
      <c r="W1177" s="62"/>
      <c r="X1177" s="63"/>
      <c r="Y1177" s="62"/>
      <c r="Z1177" s="64"/>
      <c r="AA1177" s="164"/>
      <c r="AB1177" s="62"/>
      <c r="AC1177" s="62"/>
      <c r="AD1177" s="64"/>
      <c r="AE1177" s="164"/>
      <c r="AF1177" s="62"/>
      <c r="AG1177" s="64"/>
      <c r="AH1177" s="337"/>
      <c r="AI1177" s="337"/>
      <c r="AJ1177" s="337"/>
      <c r="AK1177" s="337"/>
      <c r="AL1177" s="414"/>
      <c r="AM1177" s="414"/>
      <c r="AN1177" s="45"/>
      <c r="AO1177" s="45"/>
      <c r="AP1177" s="45"/>
      <c r="AQ1177" s="485"/>
      <c r="AR1177" s="100"/>
      <c r="AS1177" s="485"/>
      <c r="AT1177" s="24"/>
      <c r="AU1177" s="24"/>
      <c r="AV1177" s="24"/>
      <c r="AW1177" s="18">
        <v>26</v>
      </c>
      <c r="AX1177" s="69" t="s">
        <v>301</v>
      </c>
      <c r="AY1177" s="243" t="s">
        <v>56</v>
      </c>
      <c r="AZ1177" s="243" t="str">
        <f t="shared" si="483"/>
        <v>Chinook</v>
      </c>
      <c r="BA1177" s="243" t="s">
        <v>419</v>
      </c>
      <c r="BB1177" s="244" t="s">
        <v>460</v>
      </c>
      <c r="BC1177" s="43" t="str">
        <f t="shared" si="484"/>
        <v>-</v>
      </c>
      <c r="BD1177" s="43">
        <f t="shared" si="482"/>
        <v>0</v>
      </c>
      <c r="BE1177" s="193">
        <f t="shared" si="496"/>
        <v>0</v>
      </c>
      <c r="BF1177" s="193">
        <f t="shared" si="485"/>
        <v>0</v>
      </c>
      <c r="BG1177" s="193">
        <f t="shared" si="486"/>
        <v>0</v>
      </c>
      <c r="BH1177" s="307">
        <f t="shared" si="473"/>
        <v>10</v>
      </c>
      <c r="BI1177" s="309" t="s">
        <v>242</v>
      </c>
      <c r="BJ1177" s="26" t="str">
        <f t="shared" si="487"/>
        <v>AMAI CREEKChinook</v>
      </c>
      <c r="BK1177" s="26">
        <f t="shared" si="488"/>
        <v>0</v>
      </c>
      <c r="BL1177" s="33">
        <f t="shared" si="476"/>
        <v>0</v>
      </c>
      <c r="BQ1177" s="47" t="str">
        <f t="shared" si="489"/>
        <v>AMAI CREEKChinook</v>
      </c>
      <c r="BR1177" s="49">
        <f t="shared" si="490"/>
        <v>0</v>
      </c>
      <c r="BS1177" s="49">
        <f t="shared" si="474"/>
        <v>0</v>
      </c>
      <c r="BT1177" s="31">
        <v>1998</v>
      </c>
      <c r="BU1177" s="188" t="str">
        <f t="shared" si="491"/>
        <v>KCFN</v>
      </c>
      <c r="BV1177" s="188" t="str">
        <f t="shared" si="495"/>
        <v xml:space="preserve"> </v>
      </c>
      <c r="BW1177" s="188" t="str">
        <f t="shared" si="475"/>
        <v xml:space="preserve"> </v>
      </c>
      <c r="BX1177" s="188" t="str">
        <f t="shared" si="492"/>
        <v xml:space="preserve"> </v>
      </c>
      <c r="BY1177" s="50" t="str">
        <f t="shared" si="481"/>
        <v>AMAI CREEK_Chinook</v>
      </c>
      <c r="BZ1177" s="50">
        <f>IFERROR(VLOOKUP(BY1177,'[1]WCVI Esc'!$C$5:$W$555,18,FALSE),"-")</f>
        <v>7</v>
      </c>
      <c r="CA1177" s="50">
        <f t="shared" si="493"/>
        <v>10</v>
      </c>
      <c r="CB1177" s="50">
        <f>IFERROR(VLOOKUP(BY1177,'[1]WCVI Esc'!$C$5:$W$555,19,FALSE),"-")</f>
        <v>4.5</v>
      </c>
      <c r="CC1177" s="50">
        <f t="shared" si="494"/>
        <v>0</v>
      </c>
      <c r="CE1177" s="342" t="str">
        <f t="shared" si="497"/>
        <v>COLONIAL/CAYEGHLE CREEKS_Chinook</v>
      </c>
      <c r="CF1177" s="341">
        <f>IFERROR(VLOOKUP(BY1177,'RawPL+D'!$O$8:$AB$503,12,FALSE),"-")</f>
        <v>0</v>
      </c>
      <c r="CG1177" s="338">
        <f t="shared" si="478"/>
        <v>0</v>
      </c>
      <c r="CH1177" s="341">
        <f>IFERROR(VLOOKUP(BY1177,'RawPL+D'!$O$8:$AB$503,13,FALSE),"-")</f>
        <v>7</v>
      </c>
      <c r="CI1177" s="338">
        <f t="shared" si="479"/>
        <v>10</v>
      </c>
    </row>
    <row r="1178" spans="1:87" ht="12.75" hidden="1" customHeight="1" x14ac:dyDescent="0.2">
      <c r="A1178" s="28">
        <v>3</v>
      </c>
      <c r="B1178" s="28">
        <v>6</v>
      </c>
      <c r="C1178" s="11">
        <v>26</v>
      </c>
      <c r="D1178" s="149" t="s">
        <v>301</v>
      </c>
      <c r="E1178" s="10" t="s">
        <v>56</v>
      </c>
      <c r="F1178" s="10" t="s">
        <v>211</v>
      </c>
      <c r="G1178" s="10"/>
      <c r="H1178" s="10"/>
      <c r="I1178" s="10"/>
      <c r="J1178" s="10"/>
      <c r="K1178" s="575"/>
      <c r="L1178" s="152"/>
      <c r="M1178" s="422"/>
      <c r="N1178" s="339"/>
      <c r="O1178" s="62"/>
      <c r="P1178" s="177"/>
      <c r="Q1178" s="171"/>
      <c r="R1178" s="94"/>
      <c r="S1178" s="62"/>
      <c r="T1178" s="63"/>
      <c r="U1178" s="162"/>
      <c r="V1178" s="164"/>
      <c r="W1178" s="62"/>
      <c r="X1178" s="63"/>
      <c r="Y1178" s="62"/>
      <c r="Z1178" s="64"/>
      <c r="AA1178" s="164"/>
      <c r="AB1178" s="62"/>
      <c r="AC1178" s="62"/>
      <c r="AD1178" s="64"/>
      <c r="AE1178" s="164"/>
      <c r="AF1178" s="62"/>
      <c r="AG1178" s="64"/>
      <c r="AH1178" s="337"/>
      <c r="AI1178" s="337"/>
      <c r="AJ1178" s="337"/>
      <c r="AK1178" s="337"/>
      <c r="AL1178" s="414"/>
      <c r="AM1178" s="414"/>
      <c r="AN1178" s="45"/>
      <c r="AO1178" s="45"/>
      <c r="AP1178" s="45"/>
      <c r="AQ1178" s="485"/>
      <c r="AR1178"/>
      <c r="AS1178" s="485"/>
      <c r="AT1178" s="24"/>
      <c r="AU1178" s="24"/>
      <c r="AV1178" s="24"/>
      <c r="AW1178" s="18">
        <v>26</v>
      </c>
      <c r="AX1178" s="69" t="s">
        <v>301</v>
      </c>
      <c r="AY1178" s="243" t="s">
        <v>56</v>
      </c>
      <c r="AZ1178" s="243" t="str">
        <f t="shared" si="483"/>
        <v>Steelhead</v>
      </c>
      <c r="BA1178" s="243" t="s">
        <v>419</v>
      </c>
      <c r="BB1178" s="244" t="s">
        <v>460</v>
      </c>
      <c r="BC1178" s="43" t="str">
        <f t="shared" si="484"/>
        <v>-</v>
      </c>
      <c r="BD1178" s="43">
        <f t="shared" si="482"/>
        <v>0</v>
      </c>
      <c r="BE1178" s="193">
        <f t="shared" si="496"/>
        <v>0</v>
      </c>
      <c r="BF1178" s="193">
        <f t="shared" si="485"/>
        <v>0</v>
      </c>
      <c r="BG1178" s="193">
        <f t="shared" si="486"/>
        <v>0</v>
      </c>
      <c r="BH1178" s="307" t="str">
        <f t="shared" si="473"/>
        <v>-</v>
      </c>
      <c r="BI1178" s="266"/>
      <c r="BJ1178" s="26" t="str">
        <f t="shared" si="487"/>
        <v>AMAI CREEKSteelhead</v>
      </c>
      <c r="BK1178" s="26">
        <f t="shared" si="488"/>
        <v>0</v>
      </c>
      <c r="BL1178" s="33">
        <f t="shared" si="476"/>
        <v>0</v>
      </c>
      <c r="BQ1178" s="47" t="str">
        <f t="shared" si="489"/>
        <v>AMAI CREEKSteelhead</v>
      </c>
      <c r="BR1178" s="49">
        <f t="shared" si="490"/>
        <v>0</v>
      </c>
      <c r="BS1178" s="49">
        <f t="shared" si="474"/>
        <v>0</v>
      </c>
      <c r="BT1178" s="31">
        <v>0</v>
      </c>
      <c r="BU1178" s="188" t="str">
        <f t="shared" si="491"/>
        <v>KCFN</v>
      </c>
      <c r="BV1178" s="188" t="str">
        <f t="shared" si="495"/>
        <v xml:space="preserve"> </v>
      </c>
      <c r="BW1178" s="188" t="str">
        <f t="shared" si="475"/>
        <v xml:space="preserve"> </v>
      </c>
      <c r="BX1178" s="188" t="str">
        <f t="shared" si="492"/>
        <v xml:space="preserve"> </v>
      </c>
      <c r="BY1178" s="50" t="str">
        <f t="shared" si="481"/>
        <v>AMAI CREEK_Steelhead</v>
      </c>
      <c r="BZ1178" s="50" t="str">
        <f>IFERROR(VLOOKUP(BY1178,'[1]WCVI Esc'!$C$5:$W$555,18,FALSE),"-")</f>
        <v>-</v>
      </c>
      <c r="CA1178" s="50" t="str">
        <f t="shared" si="493"/>
        <v>-</v>
      </c>
      <c r="CB1178" s="50" t="str">
        <f>IFERROR(VLOOKUP(BY1178,'[1]WCVI Esc'!$C$5:$W$555,19,FALSE),"-")</f>
        <v>-</v>
      </c>
      <c r="CC1178" s="50" t="str">
        <f t="shared" si="494"/>
        <v>-</v>
      </c>
      <c r="CE1178" s="342" t="str">
        <f t="shared" si="497"/>
        <v>COLONIAL/CAYEGHLE CREEKS_Steelhead</v>
      </c>
      <c r="CF1178" s="341" t="str">
        <f>IFERROR(VLOOKUP(BY1178,'RawPL+D'!$O$8:$AB$503,12,FALSE),"-")</f>
        <v>-</v>
      </c>
      <c r="CG1178" s="338" t="str">
        <f t="shared" si="478"/>
        <v>-</v>
      </c>
      <c r="CH1178" s="341" t="str">
        <f>IFERROR(VLOOKUP(BY1178,'RawPL+D'!$O$8:$AB$503,13,FALSE),"-")</f>
        <v>-</v>
      </c>
      <c r="CI1178" s="338" t="str">
        <f t="shared" si="479"/>
        <v>-</v>
      </c>
    </row>
    <row r="1179" spans="1:87" ht="12.75" hidden="1" customHeight="1" x14ac:dyDescent="0.2">
      <c r="A1179" s="28">
        <v>3</v>
      </c>
      <c r="B1179" s="28">
        <v>1</v>
      </c>
      <c r="C1179" s="11">
        <v>26</v>
      </c>
      <c r="D1179" s="149" t="s">
        <v>301</v>
      </c>
      <c r="E1179" s="10" t="s">
        <v>59</v>
      </c>
      <c r="F1179" s="10" t="s">
        <v>207</v>
      </c>
      <c r="G1179" s="10"/>
      <c r="H1179" s="10"/>
      <c r="I1179" s="10"/>
      <c r="J1179" s="10"/>
      <c r="K1179" s="575"/>
      <c r="L1179" s="152"/>
      <c r="M1179" s="422"/>
      <c r="N1179" s="339"/>
      <c r="O1179" s="62"/>
      <c r="P1179" s="177"/>
      <c r="Q1179" s="171"/>
      <c r="R1179" s="331">
        <v>1</v>
      </c>
      <c r="S1179" s="659"/>
      <c r="T1179" s="62"/>
      <c r="U1179" s="63"/>
      <c r="V1179" s="641">
        <v>0</v>
      </c>
      <c r="W1179" s="642">
        <v>0</v>
      </c>
      <c r="X1179" s="63"/>
      <c r="Y1179" s="62"/>
      <c r="Z1179" s="64"/>
      <c r="AA1179" s="164"/>
      <c r="AB1179" s="62"/>
      <c r="AC1179" s="62"/>
      <c r="AD1179" s="64"/>
      <c r="AE1179" s="164"/>
      <c r="AF1179" s="62"/>
      <c r="AG1179" s="64"/>
      <c r="AH1179" s="337">
        <v>1</v>
      </c>
      <c r="AI1179" s="337">
        <v>0</v>
      </c>
      <c r="AJ1179" s="337">
        <v>0</v>
      </c>
      <c r="AK1179" s="337">
        <v>0</v>
      </c>
      <c r="AL1179" s="552" t="s">
        <v>781</v>
      </c>
      <c r="AM1179" s="552">
        <v>1</v>
      </c>
      <c r="AN1179" s="45"/>
      <c r="AO1179" s="552" t="s">
        <v>780</v>
      </c>
      <c r="AP1179" s="45"/>
      <c r="AQ1179" s="485"/>
      <c r="AR1179" s="100"/>
      <c r="AS1179" s="485"/>
      <c r="AT1179" s="24"/>
      <c r="AU1179" s="24"/>
      <c r="AV1179" s="24"/>
      <c r="AW1179" s="18">
        <v>26</v>
      </c>
      <c r="AX1179" s="69" t="s">
        <v>301</v>
      </c>
      <c r="AY1179" s="243" t="s">
        <v>59</v>
      </c>
      <c r="AZ1179" s="243" t="str">
        <f t="shared" si="483"/>
        <v>Sockeye</v>
      </c>
      <c r="BA1179" s="243" t="s">
        <v>419</v>
      </c>
      <c r="BB1179" s="244" t="s">
        <v>460</v>
      </c>
      <c r="BC1179" s="43" t="str">
        <f t="shared" si="484"/>
        <v>Nov 12-18</v>
      </c>
      <c r="BD1179" s="43">
        <f t="shared" si="482"/>
        <v>3</v>
      </c>
      <c r="BE1179" s="193">
        <f t="shared" si="496"/>
        <v>1</v>
      </c>
      <c r="BF1179" s="193" t="str">
        <f t="shared" si="485"/>
        <v>AP</v>
      </c>
      <c r="BG1179" s="193">
        <f t="shared" si="486"/>
        <v>1</v>
      </c>
      <c r="BH1179" s="307" t="str">
        <f t="shared" si="473"/>
        <v>-</v>
      </c>
      <c r="BI1179" s="308"/>
      <c r="BJ1179" s="26" t="str">
        <f t="shared" si="487"/>
        <v>CHAMISS CREEKSockeye</v>
      </c>
      <c r="BK1179" s="26">
        <f t="shared" si="488"/>
        <v>3</v>
      </c>
      <c r="BL1179" s="33">
        <f t="shared" si="476"/>
        <v>1</v>
      </c>
      <c r="BQ1179" s="47" t="str">
        <f t="shared" si="489"/>
        <v>CHAMISS CREEKSockeye</v>
      </c>
      <c r="BR1179" s="49">
        <f t="shared" si="490"/>
        <v>0</v>
      </c>
      <c r="BS1179" s="49" t="str">
        <f t="shared" si="474"/>
        <v>AP</v>
      </c>
      <c r="BT1179" s="31">
        <v>0</v>
      </c>
      <c r="BU1179" s="188" t="str">
        <f t="shared" si="491"/>
        <v>KCFN</v>
      </c>
      <c r="BV1179" s="188" t="str">
        <f t="shared" si="495"/>
        <v xml:space="preserve"> </v>
      </c>
      <c r="BW1179" s="188" t="str">
        <f t="shared" si="475"/>
        <v>Nov 12-18</v>
      </c>
      <c r="BX1179" s="188" t="str">
        <f t="shared" si="492"/>
        <v xml:space="preserve"> </v>
      </c>
      <c r="BY1179" s="50" t="str">
        <f t="shared" si="481"/>
        <v>CHAMISS CREEK_Sockeye</v>
      </c>
      <c r="BZ1179" s="50" t="str">
        <f>IFERROR(VLOOKUP(BY1179,'[1]WCVI Esc'!$C$5:$W$555,18,FALSE),"-")</f>
        <v>-</v>
      </c>
      <c r="CA1179" s="50" t="str">
        <f t="shared" si="493"/>
        <v>-</v>
      </c>
      <c r="CB1179" s="50" t="str">
        <f>IFERROR(VLOOKUP(BY1179,'[1]WCVI Esc'!$C$5:$W$555,19,FALSE),"-")</f>
        <v>-</v>
      </c>
      <c r="CC1179" s="50" t="str">
        <f t="shared" si="494"/>
        <v>-</v>
      </c>
      <c r="CE1179" s="342" t="str">
        <f t="shared" ref="CE1179:CE1210" si="498">CONCATENATE(E1179,"_",F1179)</f>
        <v>CHAMISS CREEK_Sockeye</v>
      </c>
      <c r="CF1179" s="341" t="str">
        <f>IFERROR(VLOOKUP(BY1179,'RawPL+D'!$O$8:$AB$503,12,FALSE),"-")</f>
        <v>-</v>
      </c>
      <c r="CG1179" s="338" t="str">
        <f t="shared" si="478"/>
        <v>-</v>
      </c>
      <c r="CH1179" s="341" t="str">
        <f>IFERROR(VLOOKUP(BY1179,'RawPL+D'!$O$8:$AB$503,13,FALSE),"-")</f>
        <v>-</v>
      </c>
      <c r="CI1179" s="338" t="str">
        <f t="shared" si="479"/>
        <v>-</v>
      </c>
    </row>
    <row r="1180" spans="1:87" ht="12.75" hidden="1" customHeight="1" x14ac:dyDescent="0.2">
      <c r="A1180" s="28">
        <v>3</v>
      </c>
      <c r="B1180" s="28">
        <v>2</v>
      </c>
      <c r="C1180" s="11">
        <v>26</v>
      </c>
      <c r="D1180" s="149" t="s">
        <v>301</v>
      </c>
      <c r="E1180" s="10" t="s">
        <v>59</v>
      </c>
      <c r="F1180" s="10" t="s">
        <v>219</v>
      </c>
      <c r="G1180" s="10"/>
      <c r="H1180" s="10"/>
      <c r="I1180" s="10"/>
      <c r="J1180" s="10"/>
      <c r="K1180" s="575"/>
      <c r="L1180" s="152"/>
      <c r="M1180" s="422"/>
      <c r="N1180" s="339"/>
      <c r="O1180" s="62"/>
      <c r="P1180" s="177"/>
      <c r="Q1180" s="171"/>
      <c r="R1180" s="791">
        <v>52</v>
      </c>
      <c r="S1180" s="659"/>
      <c r="T1180" s="390"/>
      <c r="U1180" s="63"/>
      <c r="V1180" s="641">
        <v>63</v>
      </c>
      <c r="W1180" s="642">
        <v>33</v>
      </c>
      <c r="X1180" s="63"/>
      <c r="Y1180" s="62"/>
      <c r="Z1180" s="64"/>
      <c r="AA1180" s="164"/>
      <c r="AB1180" s="62"/>
      <c r="AC1180" s="62"/>
      <c r="AD1180" s="64"/>
      <c r="AE1180" s="164"/>
      <c r="AF1180" s="62"/>
      <c r="AG1180" s="64"/>
      <c r="AH1180" s="337">
        <v>78</v>
      </c>
      <c r="AI1180" s="337">
        <v>17</v>
      </c>
      <c r="AJ1180" s="337">
        <v>0</v>
      </c>
      <c r="AK1180" s="337">
        <v>0</v>
      </c>
      <c r="AL1180" s="839">
        <v>78</v>
      </c>
      <c r="AM1180" s="552">
        <v>95</v>
      </c>
      <c r="AN1180" s="552" t="s">
        <v>765</v>
      </c>
      <c r="AO1180" s="552" t="s">
        <v>772</v>
      </c>
      <c r="AP1180" s="45"/>
      <c r="AQ1180" s="485">
        <f>AL1180/BI1180</f>
        <v>0.97499999999999998</v>
      </c>
      <c r="AR1180" s="485">
        <f>BL1180/BH1180</f>
        <v>0.7</v>
      </c>
      <c r="AS1180" s="485">
        <f>BL1180/BI1180</f>
        <v>0.78749999999999998</v>
      </c>
      <c r="AT1180" s="100"/>
      <c r="AU1180" s="100"/>
      <c r="AV1180" s="100"/>
      <c r="AW1180" s="18">
        <v>26</v>
      </c>
      <c r="AX1180" s="69" t="s">
        <v>301</v>
      </c>
      <c r="AY1180" s="243" t="s">
        <v>59</v>
      </c>
      <c r="AZ1180" s="243" t="str">
        <f t="shared" si="483"/>
        <v>Coho</v>
      </c>
      <c r="BA1180" s="243" t="s">
        <v>419</v>
      </c>
      <c r="BB1180" s="244" t="s">
        <v>460</v>
      </c>
      <c r="BC1180" s="43" t="str">
        <f t="shared" si="484"/>
        <v>Nov 12-18</v>
      </c>
      <c r="BD1180" s="43">
        <f t="shared" si="482"/>
        <v>3</v>
      </c>
      <c r="BE1180" s="193">
        <f t="shared" si="496"/>
        <v>63</v>
      </c>
      <c r="BF1180" s="193">
        <f t="shared" si="485"/>
        <v>78</v>
      </c>
      <c r="BG1180" s="193">
        <f t="shared" si="486"/>
        <v>78</v>
      </c>
      <c r="BH1180" s="307">
        <f t="shared" ref="BH1180:BH1243" si="499">CI1180</f>
        <v>90</v>
      </c>
      <c r="BI1180" s="265">
        <f>CC1180</f>
        <v>80</v>
      </c>
      <c r="BJ1180" s="26" t="str">
        <f t="shared" si="487"/>
        <v>CHAMISS CREEKCoho</v>
      </c>
      <c r="BK1180" s="26">
        <f t="shared" si="488"/>
        <v>3</v>
      </c>
      <c r="BL1180" s="33">
        <f t="shared" si="476"/>
        <v>63</v>
      </c>
      <c r="BQ1180" s="47" t="str">
        <f t="shared" si="489"/>
        <v>CHAMISS CREEKCoho</v>
      </c>
      <c r="BR1180" s="49">
        <f t="shared" si="490"/>
        <v>0</v>
      </c>
      <c r="BS1180" s="49">
        <f t="shared" si="474"/>
        <v>78</v>
      </c>
      <c r="BT1180" s="31">
        <v>2015</v>
      </c>
      <c r="BU1180" s="188" t="str">
        <f t="shared" si="491"/>
        <v>KCFN</v>
      </c>
      <c r="BV1180" s="188" t="str">
        <f t="shared" si="495"/>
        <v xml:space="preserve"> </v>
      </c>
      <c r="BW1180" s="188" t="str">
        <f t="shared" si="475"/>
        <v>Nov 12-18</v>
      </c>
      <c r="BX1180" s="188" t="str">
        <f t="shared" si="492"/>
        <v xml:space="preserve"> </v>
      </c>
      <c r="BY1180" s="50" t="str">
        <f t="shared" si="481"/>
        <v>CHAMISS CREEK_Coho</v>
      </c>
      <c r="BZ1180" s="50">
        <f>IFERROR(VLOOKUP(BY1180,'[1]WCVI Esc'!$C$5:$W$555,18,FALSE),"-")</f>
        <v>101.33333333333333</v>
      </c>
      <c r="CA1180" s="50">
        <f t="shared" si="493"/>
        <v>100</v>
      </c>
      <c r="CB1180" s="50">
        <f>IFERROR(VLOOKUP(BY1180,'[1]WCVI Esc'!$C$5:$W$555,19,FALSE),"-")</f>
        <v>78.625</v>
      </c>
      <c r="CC1180" s="50">
        <f t="shared" si="494"/>
        <v>80</v>
      </c>
      <c r="CE1180" s="342" t="str">
        <f t="shared" si="498"/>
        <v>CHAMISS CREEK_Coho</v>
      </c>
      <c r="CF1180" s="341">
        <f>IFERROR(VLOOKUP(CE1180,'RawPL+D'!$O$8:$AB$503,12,FALSE),"-")</f>
        <v>0</v>
      </c>
      <c r="CG1180" s="338">
        <f t="shared" si="478"/>
        <v>0</v>
      </c>
      <c r="CH1180" s="341">
        <f>IFERROR(VLOOKUP(BY1180,'RawPL+D'!$O$8:$AB$503,13,FALSE),"-")</f>
        <v>85.333333333333329</v>
      </c>
      <c r="CI1180" s="338">
        <f t="shared" si="479"/>
        <v>90</v>
      </c>
    </row>
    <row r="1181" spans="1:87" ht="12.75" hidden="1" customHeight="1" x14ac:dyDescent="0.2">
      <c r="A1181" s="28">
        <v>3</v>
      </c>
      <c r="B1181" s="28">
        <v>3</v>
      </c>
      <c r="C1181" s="11">
        <v>26</v>
      </c>
      <c r="D1181" s="149" t="s">
        <v>301</v>
      </c>
      <c r="E1181" s="10" t="s">
        <v>59</v>
      </c>
      <c r="F1181" s="10" t="s">
        <v>208</v>
      </c>
      <c r="G1181" s="10"/>
      <c r="H1181" s="10"/>
      <c r="I1181" s="10"/>
      <c r="J1181" s="10"/>
      <c r="K1181" s="575"/>
      <c r="L1181" s="152"/>
      <c r="M1181" s="422"/>
      <c r="N1181" s="339"/>
      <c r="O1181" s="62"/>
      <c r="P1181" s="177"/>
      <c r="Q1181" s="171"/>
      <c r="R1181" s="331">
        <v>0</v>
      </c>
      <c r="S1181" s="659"/>
      <c r="T1181" s="62"/>
      <c r="U1181" s="63"/>
      <c r="V1181" s="641">
        <v>0</v>
      </c>
      <c r="W1181" s="642">
        <v>0</v>
      </c>
      <c r="X1181" s="63"/>
      <c r="Y1181" s="62"/>
      <c r="Z1181" s="64"/>
      <c r="AA1181" s="164"/>
      <c r="AB1181" s="62"/>
      <c r="AC1181" s="62"/>
      <c r="AD1181" s="64"/>
      <c r="AE1181" s="164"/>
      <c r="AF1181" s="62"/>
      <c r="AG1181" s="64"/>
      <c r="AH1181" s="337"/>
      <c r="AI1181" s="337"/>
      <c r="AJ1181" s="337"/>
      <c r="AK1181" s="337"/>
      <c r="AL1181" s="552"/>
      <c r="AM1181" s="552"/>
      <c r="AN1181" s="45"/>
      <c r="AO1181" s="839" t="s">
        <v>779</v>
      </c>
      <c r="AP1181" s="45"/>
      <c r="AQ1181" s="485"/>
      <c r="AR1181" s="100"/>
      <c r="AS1181" s="485"/>
      <c r="AT1181" s="24"/>
      <c r="AU1181" s="24"/>
      <c r="AV1181" s="24"/>
      <c r="AW1181" s="18">
        <v>26</v>
      </c>
      <c r="AX1181" s="69" t="s">
        <v>301</v>
      </c>
      <c r="AY1181" s="243" t="s">
        <v>59</v>
      </c>
      <c r="AZ1181" s="243" t="str">
        <f t="shared" si="483"/>
        <v>Pink</v>
      </c>
      <c r="BA1181" s="243" t="s">
        <v>419</v>
      </c>
      <c r="BB1181" s="244" t="s">
        <v>460</v>
      </c>
      <c r="BC1181" s="43" t="str">
        <f t="shared" si="484"/>
        <v>Nov 12-18</v>
      </c>
      <c r="BD1181" s="43">
        <f t="shared" si="482"/>
        <v>3</v>
      </c>
      <c r="BE1181" s="193">
        <f t="shared" si="496"/>
        <v>0</v>
      </c>
      <c r="BF1181" s="193">
        <f t="shared" si="485"/>
        <v>0</v>
      </c>
      <c r="BG1181" s="193">
        <f t="shared" si="486"/>
        <v>0</v>
      </c>
      <c r="BH1181" s="307" t="str">
        <f t="shared" si="499"/>
        <v>-</v>
      </c>
      <c r="BI1181" s="266"/>
      <c r="BJ1181" s="26" t="str">
        <f t="shared" si="487"/>
        <v>CHAMISS CREEKPink</v>
      </c>
      <c r="BK1181" s="26">
        <f t="shared" si="488"/>
        <v>3</v>
      </c>
      <c r="BL1181" s="33">
        <f t="shared" si="476"/>
        <v>0</v>
      </c>
      <c r="BQ1181" s="47" t="str">
        <f t="shared" si="489"/>
        <v>CHAMISS CREEKPink</v>
      </c>
      <c r="BR1181" s="49">
        <f t="shared" si="490"/>
        <v>0</v>
      </c>
      <c r="BS1181" s="49">
        <f t="shared" si="474"/>
        <v>0</v>
      </c>
      <c r="BT1181" s="31">
        <v>0</v>
      </c>
      <c r="BU1181" s="188" t="str">
        <f t="shared" si="491"/>
        <v>KCFN</v>
      </c>
      <c r="BV1181" s="188" t="str">
        <f t="shared" si="495"/>
        <v xml:space="preserve"> </v>
      </c>
      <c r="BW1181" s="188" t="str">
        <f t="shared" si="475"/>
        <v>Nov 12-18</v>
      </c>
      <c r="BX1181" s="188" t="str">
        <f t="shared" si="492"/>
        <v xml:space="preserve"> </v>
      </c>
      <c r="BY1181" s="50" t="str">
        <f t="shared" si="481"/>
        <v>CHAMISS CREEK_Pink</v>
      </c>
      <c r="BZ1181" s="50" t="str">
        <f>IFERROR(VLOOKUP(BY1181,'[1]WCVI Esc'!$C$5:$W$555,18,FALSE),"-")</f>
        <v>-</v>
      </c>
      <c r="CA1181" s="50" t="str">
        <f t="shared" si="493"/>
        <v>-</v>
      </c>
      <c r="CB1181" s="50" t="str">
        <f>IFERROR(VLOOKUP(BY1181,'[1]WCVI Esc'!$C$5:$W$555,19,FALSE),"-")</f>
        <v>-</v>
      </c>
      <c r="CC1181" s="50" t="str">
        <f t="shared" si="494"/>
        <v>-</v>
      </c>
      <c r="CE1181" s="342" t="str">
        <f t="shared" si="498"/>
        <v>CHAMISS CREEK_Pink</v>
      </c>
      <c r="CF1181" s="341" t="str">
        <f>IFERROR(VLOOKUP(BY1181,'RawPL+D'!$O$8:$AB$503,12,FALSE),"-")</f>
        <v>-</v>
      </c>
      <c r="CG1181" s="338" t="str">
        <f t="shared" si="478"/>
        <v>-</v>
      </c>
      <c r="CH1181" s="341" t="str">
        <f>IFERROR(VLOOKUP(BY1181,'RawPL+D'!$O$8:$AB$503,13,FALSE),"-")</f>
        <v>-</v>
      </c>
      <c r="CI1181" s="338" t="str">
        <f t="shared" si="479"/>
        <v>-</v>
      </c>
    </row>
    <row r="1182" spans="1:87" ht="12.75" hidden="1" customHeight="1" x14ac:dyDescent="0.2">
      <c r="A1182" s="28">
        <v>3</v>
      </c>
      <c r="B1182" s="28">
        <v>4</v>
      </c>
      <c r="C1182" s="11">
        <v>26</v>
      </c>
      <c r="D1182" s="149" t="s">
        <v>301</v>
      </c>
      <c r="E1182" s="10" t="s">
        <v>59</v>
      </c>
      <c r="F1182" s="10" t="s">
        <v>209</v>
      </c>
      <c r="G1182" s="10"/>
      <c r="H1182" s="10"/>
      <c r="I1182" s="10"/>
      <c r="J1182" s="10"/>
      <c r="K1182" s="575"/>
      <c r="L1182" s="152"/>
      <c r="M1182" s="422"/>
      <c r="N1182" s="339"/>
      <c r="O1182" s="62"/>
      <c r="P1182" s="177"/>
      <c r="Q1182" s="447"/>
      <c r="R1182" s="789">
        <v>205</v>
      </c>
      <c r="S1182" s="661"/>
      <c r="T1182" s="431"/>
      <c r="U1182" s="63"/>
      <c r="V1182" s="641">
        <f>634+169</f>
        <v>803</v>
      </c>
      <c r="W1182" s="642">
        <f>48+35</f>
        <v>83</v>
      </c>
      <c r="X1182" s="63"/>
      <c r="Y1182" s="62"/>
      <c r="Z1182" s="64"/>
      <c r="AA1182" s="164"/>
      <c r="AB1182" s="62"/>
      <c r="AC1182" s="62"/>
      <c r="AD1182" s="64"/>
      <c r="AE1182" s="164"/>
      <c r="AF1182" s="62"/>
      <c r="AG1182" s="64"/>
      <c r="AH1182" s="337">
        <v>970</v>
      </c>
      <c r="AI1182" s="337">
        <v>0</v>
      </c>
      <c r="AJ1182" s="337">
        <v>0</v>
      </c>
      <c r="AK1182" s="337">
        <v>0</v>
      </c>
      <c r="AL1182" s="839">
        <v>970</v>
      </c>
      <c r="AM1182" s="552">
        <v>970</v>
      </c>
      <c r="AN1182" s="552" t="s">
        <v>765</v>
      </c>
      <c r="AO1182" s="552" t="s">
        <v>772</v>
      </c>
      <c r="AP1182" s="45"/>
      <c r="AQ1182" s="485">
        <f>AL1182/BI1182</f>
        <v>0.40756302521008403</v>
      </c>
      <c r="AR1182" s="485">
        <f>BL1182/BH1182</f>
        <v>2.2942857142857145</v>
      </c>
      <c r="AS1182" s="485">
        <f>BL1182/BI1182</f>
        <v>0.3373949579831933</v>
      </c>
      <c r="AT1182" s="100"/>
      <c r="AU1182" s="100"/>
      <c r="AV1182" s="100"/>
      <c r="AW1182" s="18">
        <v>26</v>
      </c>
      <c r="AX1182" s="69" t="s">
        <v>301</v>
      </c>
      <c r="AY1182" s="243" t="s">
        <v>59</v>
      </c>
      <c r="AZ1182" s="243" t="str">
        <f t="shared" si="483"/>
        <v>Chum</v>
      </c>
      <c r="BA1182" s="243" t="s">
        <v>419</v>
      </c>
      <c r="BB1182" s="244" t="s">
        <v>460</v>
      </c>
      <c r="BC1182" s="43" t="str">
        <f t="shared" si="484"/>
        <v>Nov 12-18</v>
      </c>
      <c r="BD1182" s="43">
        <f t="shared" si="482"/>
        <v>3</v>
      </c>
      <c r="BE1182" s="193">
        <f t="shared" si="496"/>
        <v>803</v>
      </c>
      <c r="BF1182" s="193">
        <f t="shared" si="485"/>
        <v>970</v>
      </c>
      <c r="BG1182" s="193">
        <f t="shared" si="486"/>
        <v>970</v>
      </c>
      <c r="BH1182" s="307">
        <f t="shared" si="499"/>
        <v>350</v>
      </c>
      <c r="BI1182" s="265">
        <f>CC1182</f>
        <v>2380</v>
      </c>
      <c r="BJ1182" s="26" t="str">
        <f t="shared" si="487"/>
        <v>CHAMISS CREEKChum</v>
      </c>
      <c r="BK1182" s="26">
        <f t="shared" si="488"/>
        <v>3</v>
      </c>
      <c r="BL1182" s="33">
        <f t="shared" si="476"/>
        <v>803</v>
      </c>
      <c r="BQ1182" s="47" t="str">
        <f t="shared" si="489"/>
        <v>CHAMISS CREEKChum</v>
      </c>
      <c r="BR1182" s="49">
        <f t="shared" si="490"/>
        <v>0</v>
      </c>
      <c r="BS1182" s="49">
        <f t="shared" si="474"/>
        <v>970</v>
      </c>
      <c r="BT1182" s="31">
        <v>2015</v>
      </c>
      <c r="BU1182" s="188" t="str">
        <f t="shared" si="491"/>
        <v>KCFN</v>
      </c>
      <c r="BV1182" s="188" t="str">
        <f t="shared" si="495"/>
        <v xml:space="preserve"> </v>
      </c>
      <c r="BW1182" s="188" t="str">
        <f t="shared" si="475"/>
        <v>Nov 12-18</v>
      </c>
      <c r="BX1182" s="188" t="str">
        <f t="shared" si="492"/>
        <v xml:space="preserve"> </v>
      </c>
      <c r="BY1182" s="50" t="str">
        <f t="shared" si="481"/>
        <v>CHAMISS CREEK_Chum</v>
      </c>
      <c r="BZ1182" s="50">
        <f>IFERROR(VLOOKUP(BY1182,'[1]WCVI Esc'!$C$5:$W$555,18,FALSE),"-")</f>
        <v>372.66666666666669</v>
      </c>
      <c r="CA1182" s="50">
        <f t="shared" si="493"/>
        <v>370</v>
      </c>
      <c r="CB1182" s="50">
        <f>IFERROR(VLOOKUP(BY1182,'[1]WCVI Esc'!$C$5:$W$555,19,FALSE),"-")</f>
        <v>2383.625</v>
      </c>
      <c r="CC1182" s="50">
        <f t="shared" si="494"/>
        <v>2380</v>
      </c>
      <c r="CE1182" s="342" t="str">
        <f t="shared" si="498"/>
        <v>CHAMISS CREEK_Chum</v>
      </c>
      <c r="CF1182" s="341">
        <f>IFERROR(VLOOKUP(CE1182,'RawPL+D'!$O$8:$AB$503,12,FALSE),"-")</f>
        <v>0</v>
      </c>
      <c r="CG1182" s="338">
        <f t="shared" si="478"/>
        <v>0</v>
      </c>
      <c r="CH1182" s="341">
        <f>IFERROR(VLOOKUP(BY1182,'RawPL+D'!$O$8:$AB$503,13,FALSE),"-")</f>
        <v>351.33333333333331</v>
      </c>
      <c r="CI1182" s="338">
        <f t="shared" si="479"/>
        <v>350</v>
      </c>
    </row>
    <row r="1183" spans="1:87" ht="12.75" hidden="1" customHeight="1" x14ac:dyDescent="0.2">
      <c r="A1183" s="28">
        <v>3</v>
      </c>
      <c r="B1183" s="28">
        <v>5</v>
      </c>
      <c r="C1183" s="11">
        <v>26</v>
      </c>
      <c r="D1183" s="149" t="s">
        <v>301</v>
      </c>
      <c r="E1183" s="10" t="s">
        <v>59</v>
      </c>
      <c r="F1183" s="10" t="s">
        <v>210</v>
      </c>
      <c r="G1183" s="10"/>
      <c r="H1183" s="10"/>
      <c r="I1183" s="10"/>
      <c r="J1183" s="10"/>
      <c r="K1183" s="575"/>
      <c r="L1183" s="152"/>
      <c r="M1183" s="422"/>
      <c r="N1183" s="339"/>
      <c r="O1183" s="62"/>
      <c r="P1183" s="177"/>
      <c r="Q1183" s="171"/>
      <c r="R1183" s="790">
        <v>12</v>
      </c>
      <c r="S1183" s="659"/>
      <c r="T1183" s="62"/>
      <c r="U1183" s="63"/>
      <c r="V1183" s="641">
        <v>0</v>
      </c>
      <c r="W1183" s="642">
        <v>0</v>
      </c>
      <c r="X1183" s="63"/>
      <c r="Y1183" s="62"/>
      <c r="Z1183" s="64"/>
      <c r="AA1183" s="164"/>
      <c r="AB1183" s="62"/>
      <c r="AC1183" s="62"/>
      <c r="AD1183" s="64"/>
      <c r="AE1183" s="164"/>
      <c r="AF1183" s="62"/>
      <c r="AG1183" s="64"/>
      <c r="AH1183" s="337">
        <v>124</v>
      </c>
      <c r="AI1183" s="337">
        <v>0</v>
      </c>
      <c r="AJ1183" s="337">
        <v>0</v>
      </c>
      <c r="AK1183" s="337">
        <v>0</v>
      </c>
      <c r="AL1183" s="839">
        <v>124</v>
      </c>
      <c r="AM1183" s="552">
        <v>124</v>
      </c>
      <c r="AN1183" s="552" t="s">
        <v>765</v>
      </c>
      <c r="AO1183" s="552" t="s">
        <v>772</v>
      </c>
      <c r="AP1183" s="45"/>
      <c r="AQ1183" s="485"/>
      <c r="AR1183"/>
      <c r="AS1183" s="485"/>
      <c r="AT1183" s="24"/>
      <c r="AU1183" s="24"/>
      <c r="AV1183" s="24"/>
      <c r="AW1183" s="18">
        <v>26</v>
      </c>
      <c r="AX1183" s="69" t="s">
        <v>301</v>
      </c>
      <c r="AY1183" s="243" t="s">
        <v>59</v>
      </c>
      <c r="AZ1183" s="243" t="str">
        <f t="shared" si="483"/>
        <v>Chinook</v>
      </c>
      <c r="BA1183" s="243" t="s">
        <v>419</v>
      </c>
      <c r="BB1183" s="244" t="s">
        <v>460</v>
      </c>
      <c r="BC1183" s="43" t="str">
        <f t="shared" si="484"/>
        <v>Nov 12-18</v>
      </c>
      <c r="BD1183" s="43">
        <f t="shared" si="482"/>
        <v>3</v>
      </c>
      <c r="BE1183" s="193">
        <f t="shared" si="496"/>
        <v>12</v>
      </c>
      <c r="BF1183" s="193">
        <f t="shared" si="485"/>
        <v>124</v>
      </c>
      <c r="BG1183" s="193">
        <f t="shared" si="486"/>
        <v>124</v>
      </c>
      <c r="BH1183" s="307">
        <f t="shared" si="499"/>
        <v>10</v>
      </c>
      <c r="BI1183" s="308" t="s">
        <v>242</v>
      </c>
      <c r="BJ1183" s="26" t="str">
        <f t="shared" si="487"/>
        <v>CHAMISS CREEKChinook</v>
      </c>
      <c r="BK1183" s="26">
        <f t="shared" si="488"/>
        <v>3</v>
      </c>
      <c r="BL1183" s="33">
        <f t="shared" si="476"/>
        <v>12</v>
      </c>
      <c r="BQ1183" s="47" t="str">
        <f t="shared" si="489"/>
        <v>CHAMISS CREEKChinook</v>
      </c>
      <c r="BR1183" s="49">
        <f t="shared" si="490"/>
        <v>0</v>
      </c>
      <c r="BS1183" s="49">
        <f t="shared" si="474"/>
        <v>124</v>
      </c>
      <c r="BT1183" s="31">
        <v>0</v>
      </c>
      <c r="BU1183" s="188" t="str">
        <f t="shared" si="491"/>
        <v>KCFN</v>
      </c>
      <c r="BV1183" s="188" t="str">
        <f t="shared" si="495"/>
        <v xml:space="preserve"> </v>
      </c>
      <c r="BW1183" s="188" t="str">
        <f t="shared" si="475"/>
        <v>Nov 12-18</v>
      </c>
      <c r="BX1183" s="188" t="str">
        <f t="shared" si="492"/>
        <v xml:space="preserve"> </v>
      </c>
      <c r="BY1183" s="50" t="str">
        <f t="shared" si="481"/>
        <v>CHAMISS CREEK_Chinook</v>
      </c>
      <c r="BZ1183" s="50" t="str">
        <f>IFERROR(VLOOKUP(BY1183,'[1]WCVI Esc'!$C$5:$W$555,18,FALSE),"-")</f>
        <v>-</v>
      </c>
      <c r="CA1183" s="50" t="str">
        <f t="shared" si="493"/>
        <v>-</v>
      </c>
      <c r="CB1183" s="50" t="str">
        <f>IFERROR(VLOOKUP(BY1183,'[1]WCVI Esc'!$C$5:$W$555,19,FALSE),"-")</f>
        <v>-</v>
      </c>
      <c r="CC1183" s="50" t="str">
        <f t="shared" si="494"/>
        <v>-</v>
      </c>
      <c r="CE1183" s="342" t="str">
        <f t="shared" si="498"/>
        <v>CHAMISS CREEK_Chinook</v>
      </c>
      <c r="CF1183" s="341">
        <f>IFERROR(VLOOKUP(BY1183,'RawPL+D'!$O$8:$AB$503,12,FALSE),"-")</f>
        <v>0</v>
      </c>
      <c r="CG1183" s="338">
        <f t="shared" si="478"/>
        <v>0</v>
      </c>
      <c r="CH1183" s="341">
        <f>IFERROR(VLOOKUP(BY1183,'RawPL+D'!$O$8:$AB$503,13,FALSE),"-")</f>
        <v>6</v>
      </c>
      <c r="CI1183" s="338">
        <f t="shared" si="479"/>
        <v>10</v>
      </c>
    </row>
    <row r="1184" spans="1:87" ht="12.75" hidden="1" customHeight="1" x14ac:dyDescent="0.2">
      <c r="A1184" s="28">
        <v>3</v>
      </c>
      <c r="B1184" s="28">
        <v>6</v>
      </c>
      <c r="C1184" s="11">
        <v>26</v>
      </c>
      <c r="D1184" s="149" t="s">
        <v>301</v>
      </c>
      <c r="E1184" s="10" t="s">
        <v>59</v>
      </c>
      <c r="F1184" s="10" t="s">
        <v>211</v>
      </c>
      <c r="G1184" s="10"/>
      <c r="H1184" s="10"/>
      <c r="I1184" s="10"/>
      <c r="J1184" s="10"/>
      <c r="K1184" s="575"/>
      <c r="L1184" s="152"/>
      <c r="M1184" s="422"/>
      <c r="N1184" s="339"/>
      <c r="O1184" s="62"/>
      <c r="P1184" s="177"/>
      <c r="Q1184" s="171"/>
      <c r="R1184" s="331">
        <v>0</v>
      </c>
      <c r="S1184" s="659"/>
      <c r="T1184" s="62"/>
      <c r="U1184" s="63"/>
      <c r="V1184" s="641">
        <v>0</v>
      </c>
      <c r="W1184" s="642">
        <v>0</v>
      </c>
      <c r="X1184" s="63"/>
      <c r="Y1184" s="62"/>
      <c r="Z1184" s="64"/>
      <c r="AA1184" s="164"/>
      <c r="AB1184" s="62"/>
      <c r="AC1184" s="62"/>
      <c r="AD1184" s="64"/>
      <c r="AE1184" s="164"/>
      <c r="AF1184" s="62"/>
      <c r="AG1184" s="64"/>
      <c r="AH1184" s="337"/>
      <c r="AI1184" s="337"/>
      <c r="AJ1184" s="337"/>
      <c r="AK1184" s="337"/>
      <c r="AL1184" s="552"/>
      <c r="AM1184" s="552"/>
      <c r="AN1184" s="45"/>
      <c r="AO1184" s="45"/>
      <c r="AP1184" s="45"/>
      <c r="AQ1184" s="485"/>
      <c r="AR1184" s="100"/>
      <c r="AS1184" s="485"/>
      <c r="AT1184" s="24"/>
      <c r="AU1184" s="24"/>
      <c r="AV1184" s="24"/>
      <c r="AW1184" s="355">
        <v>26</v>
      </c>
      <c r="AX1184" s="356" t="s">
        <v>301</v>
      </c>
      <c r="AY1184" s="357" t="s">
        <v>59</v>
      </c>
      <c r="AZ1184" s="243" t="str">
        <f t="shared" si="483"/>
        <v>Steelhead</v>
      </c>
      <c r="BA1184" s="357" t="s">
        <v>419</v>
      </c>
      <c r="BB1184" s="499" t="s">
        <v>460</v>
      </c>
      <c r="BC1184" s="348" t="str">
        <f t="shared" si="484"/>
        <v>Nov 12-18</v>
      </c>
      <c r="BD1184" s="348">
        <f t="shared" si="482"/>
        <v>3</v>
      </c>
      <c r="BE1184" s="349">
        <f t="shared" si="496"/>
        <v>0</v>
      </c>
      <c r="BF1184" s="193">
        <f t="shared" si="485"/>
        <v>0</v>
      </c>
      <c r="BG1184" s="193">
        <f t="shared" si="486"/>
        <v>0</v>
      </c>
      <c r="BH1184" s="350" t="str">
        <f t="shared" si="499"/>
        <v>-</v>
      </c>
      <c r="BI1184" s="387"/>
      <c r="BJ1184" s="26" t="str">
        <f t="shared" si="487"/>
        <v>CHAMISS CREEKSteelhead</v>
      </c>
      <c r="BK1184" s="26">
        <f t="shared" si="488"/>
        <v>3</v>
      </c>
      <c r="BL1184" s="33">
        <f t="shared" si="476"/>
        <v>0</v>
      </c>
      <c r="BQ1184" s="47" t="str">
        <f t="shared" si="489"/>
        <v>CHAMISS CREEKSteelhead</v>
      </c>
      <c r="BR1184" s="49">
        <f t="shared" si="490"/>
        <v>0</v>
      </c>
      <c r="BS1184" s="49">
        <f t="shared" si="474"/>
        <v>0</v>
      </c>
      <c r="BT1184" s="31">
        <v>0</v>
      </c>
      <c r="BU1184" s="188" t="str">
        <f t="shared" si="491"/>
        <v>KCFN</v>
      </c>
      <c r="BV1184" s="188" t="str">
        <f t="shared" si="495"/>
        <v xml:space="preserve"> </v>
      </c>
      <c r="BW1184" s="188" t="str">
        <f t="shared" si="475"/>
        <v>Nov 12-18</v>
      </c>
      <c r="BX1184" s="188" t="str">
        <f t="shared" si="492"/>
        <v xml:space="preserve"> </v>
      </c>
      <c r="BY1184" s="50" t="str">
        <f t="shared" si="481"/>
        <v>CHAMISS CREEK_Steelhead</v>
      </c>
      <c r="BZ1184" s="50" t="str">
        <f>IFERROR(VLOOKUP(BY1184,'[1]WCVI Esc'!$C$5:$W$555,18,FALSE),"-")</f>
        <v>-</v>
      </c>
      <c r="CA1184" s="50" t="str">
        <f t="shared" si="493"/>
        <v>-</v>
      </c>
      <c r="CB1184" s="50" t="str">
        <f>IFERROR(VLOOKUP(BY1184,'[1]WCVI Esc'!$C$5:$W$555,19,FALSE),"-")</f>
        <v>-</v>
      </c>
      <c r="CC1184" s="50" t="str">
        <f t="shared" si="494"/>
        <v>-</v>
      </c>
      <c r="CE1184" s="342" t="str">
        <f t="shared" si="498"/>
        <v>CHAMISS CREEK_Steelhead</v>
      </c>
      <c r="CF1184" s="341" t="str">
        <f>IFERROR(VLOOKUP(BY1184,'RawPL+D'!$O$8:$AB$503,12,FALSE),"-")</f>
        <v>-</v>
      </c>
      <c r="CG1184" s="338" t="str">
        <f t="shared" si="478"/>
        <v>-</v>
      </c>
      <c r="CH1184" s="341" t="str">
        <f>IFERROR(VLOOKUP(BY1184,'RawPL+D'!$O$8:$AB$503,13,FALSE),"-")</f>
        <v>-</v>
      </c>
      <c r="CI1184" s="338" t="str">
        <f t="shared" si="479"/>
        <v>-</v>
      </c>
    </row>
    <row r="1185" spans="1:87" ht="12.75" hidden="1" customHeight="1" x14ac:dyDescent="0.2">
      <c r="A1185" s="28">
        <v>3</v>
      </c>
      <c r="B1185" s="28">
        <v>1</v>
      </c>
      <c r="C1185" s="11">
        <v>26</v>
      </c>
      <c r="D1185" s="149" t="s">
        <v>301</v>
      </c>
      <c r="E1185" s="10" t="s">
        <v>231</v>
      </c>
      <c r="F1185" s="10" t="s">
        <v>207</v>
      </c>
      <c r="G1185" s="10"/>
      <c r="H1185" s="10"/>
      <c r="I1185" s="10"/>
      <c r="J1185" s="10"/>
      <c r="K1185" s="575"/>
      <c r="L1185" s="152"/>
      <c r="M1185" s="422"/>
      <c r="N1185" s="339"/>
      <c r="O1185" s="62"/>
      <c r="P1185" s="177"/>
      <c r="Q1185" s="171"/>
      <c r="R1185" s="94"/>
      <c r="S1185" s="339"/>
      <c r="T1185" s="62"/>
      <c r="U1185" s="162"/>
      <c r="V1185" s="164"/>
      <c r="W1185" s="62"/>
      <c r="X1185" s="63"/>
      <c r="Y1185" s="62"/>
      <c r="Z1185" s="64"/>
      <c r="AA1185" s="164"/>
      <c r="AB1185" s="62"/>
      <c r="AC1185" s="62"/>
      <c r="AD1185" s="64"/>
      <c r="AE1185" s="164"/>
      <c r="AF1185" s="62"/>
      <c r="AG1185" s="64"/>
      <c r="AH1185" s="337"/>
      <c r="AI1185" s="337"/>
      <c r="AJ1185" s="337"/>
      <c r="AK1185" s="337"/>
      <c r="AL1185" s="414"/>
      <c r="AM1185" s="414"/>
      <c r="AN1185" s="45"/>
      <c r="AO1185" s="45"/>
      <c r="AP1185" s="45"/>
      <c r="AQ1185" s="485"/>
      <c r="AR1185" s="54"/>
      <c r="AS1185" s="485"/>
      <c r="AT1185" s="24"/>
      <c r="AU1185" s="24"/>
      <c r="AV1185" s="24"/>
      <c r="AW1185" s="18">
        <v>26</v>
      </c>
      <c r="AX1185" s="69" t="s">
        <v>301</v>
      </c>
      <c r="AY1185" s="243" t="s">
        <v>231</v>
      </c>
      <c r="AZ1185" s="243" t="str">
        <f t="shared" si="483"/>
        <v>Sockeye</v>
      </c>
      <c r="BA1185" s="243" t="s">
        <v>419</v>
      </c>
      <c r="BB1185" s="352" t="s">
        <v>460</v>
      </c>
      <c r="BC1185" s="43" t="str">
        <f t="shared" si="484"/>
        <v>-</v>
      </c>
      <c r="BD1185" s="43">
        <f t="shared" si="482"/>
        <v>0</v>
      </c>
      <c r="BE1185" s="193">
        <f t="shared" si="496"/>
        <v>0</v>
      </c>
      <c r="BF1185" s="193">
        <f t="shared" si="485"/>
        <v>0</v>
      </c>
      <c r="BG1185" s="193">
        <f t="shared" si="486"/>
        <v>0</v>
      </c>
      <c r="BH1185" s="307">
        <f t="shared" si="499"/>
        <v>10</v>
      </c>
      <c r="BI1185" s="354" t="s">
        <v>242</v>
      </c>
      <c r="BJ1185" s="26" t="str">
        <f t="shared" si="487"/>
        <v>CLANNINICK CREEKSockeye</v>
      </c>
      <c r="BK1185" s="26">
        <f t="shared" si="488"/>
        <v>0</v>
      </c>
      <c r="BL1185" s="33">
        <f t="shared" si="476"/>
        <v>0</v>
      </c>
      <c r="BQ1185" s="47" t="str">
        <f t="shared" si="489"/>
        <v>CLANNINICK CREEKSockeye</v>
      </c>
      <c r="BR1185" s="49">
        <f t="shared" si="490"/>
        <v>0</v>
      </c>
      <c r="BS1185" s="49">
        <f t="shared" ref="BS1185:BS1248" si="500">AL1185</f>
        <v>0</v>
      </c>
      <c r="BT1185" s="31">
        <v>0</v>
      </c>
      <c r="BU1185" s="188" t="str">
        <f t="shared" si="491"/>
        <v>KCFN</v>
      </c>
      <c r="BV1185" s="188" t="str">
        <f t="shared" si="495"/>
        <v xml:space="preserve"> </v>
      </c>
      <c r="BW1185" s="188" t="str">
        <f t="shared" si="475"/>
        <v xml:space="preserve"> </v>
      </c>
      <c r="BX1185" s="188" t="str">
        <f t="shared" si="492"/>
        <v xml:space="preserve"> </v>
      </c>
      <c r="BY1185" s="50" t="str">
        <f t="shared" si="481"/>
        <v>CLANNINICK CREEK_Sockeye</v>
      </c>
      <c r="BZ1185" s="50" t="str">
        <f>IFERROR(VLOOKUP(BY1185,'[1]WCVI Esc'!$C$5:$W$555,18,FALSE),"-")</f>
        <v>-</v>
      </c>
      <c r="CA1185" s="50" t="str">
        <f t="shared" si="493"/>
        <v>-</v>
      </c>
      <c r="CB1185" s="50" t="str">
        <f>IFERROR(VLOOKUP(BY1185,'[1]WCVI Esc'!$C$5:$W$555,19,FALSE),"-")</f>
        <v>-</v>
      </c>
      <c r="CC1185" s="50" t="str">
        <f t="shared" si="494"/>
        <v>-</v>
      </c>
      <c r="CE1185" s="342" t="str">
        <f t="shared" si="498"/>
        <v>CLANNINICK CREEK_Sockeye</v>
      </c>
      <c r="CF1185" s="341">
        <f>IFERROR(VLOOKUP(BY1185,'RawPL+D'!$O$8:$AB$503,12,FALSE),"-")</f>
        <v>0</v>
      </c>
      <c r="CG1185" s="338">
        <f t="shared" si="478"/>
        <v>0</v>
      </c>
      <c r="CH1185" s="341">
        <f>IFERROR(VLOOKUP(BY1185,'RawPL+D'!$O$8:$AB$503,13,FALSE),"-")</f>
        <v>6</v>
      </c>
      <c r="CI1185" s="338">
        <f t="shared" si="479"/>
        <v>10</v>
      </c>
    </row>
    <row r="1186" spans="1:87" ht="12.75" hidden="1" customHeight="1" x14ac:dyDescent="0.2">
      <c r="A1186" s="28">
        <v>3</v>
      </c>
      <c r="B1186" s="28">
        <v>2</v>
      </c>
      <c r="C1186" s="11">
        <v>26</v>
      </c>
      <c r="D1186" s="149" t="s">
        <v>301</v>
      </c>
      <c r="E1186" s="10" t="s">
        <v>231</v>
      </c>
      <c r="F1186" s="10" t="s">
        <v>219</v>
      </c>
      <c r="G1186" s="10"/>
      <c r="H1186" s="10"/>
      <c r="I1186" s="10"/>
      <c r="J1186" s="10"/>
      <c r="K1186" s="575"/>
      <c r="L1186" s="152"/>
      <c r="M1186" s="422"/>
      <c r="N1186" s="339"/>
      <c r="O1186" s="62"/>
      <c r="P1186" s="177"/>
      <c r="Q1186" s="171"/>
      <c r="R1186" s="94"/>
      <c r="S1186" s="339"/>
      <c r="T1186" s="62"/>
      <c r="U1186" s="162"/>
      <c r="V1186" s="164"/>
      <c r="W1186" s="62"/>
      <c r="X1186" s="63"/>
      <c r="Y1186" s="62"/>
      <c r="Z1186" s="64"/>
      <c r="AA1186" s="164"/>
      <c r="AB1186" s="62"/>
      <c r="AC1186" s="62"/>
      <c r="AD1186" s="64"/>
      <c r="AE1186" s="164"/>
      <c r="AF1186" s="62"/>
      <c r="AG1186" s="64"/>
      <c r="AH1186" s="337"/>
      <c r="AI1186" s="337"/>
      <c r="AJ1186" s="337"/>
      <c r="AK1186" s="337"/>
      <c r="AL1186" s="414"/>
      <c r="AM1186" s="414"/>
      <c r="AN1186" s="45"/>
      <c r="AO1186" s="45"/>
      <c r="AP1186" s="45"/>
      <c r="AQ1186" s="485">
        <f>AL1186/BI1186</f>
        <v>0</v>
      </c>
      <c r="AR1186" s="485">
        <f>BL1186/BH1186</f>
        <v>0</v>
      </c>
      <c r="AS1186" s="485">
        <f>BL1186/BI1186</f>
        <v>0</v>
      </c>
      <c r="AT1186" s="24"/>
      <c r="AU1186" s="24"/>
      <c r="AV1186" s="24"/>
      <c r="AW1186" s="18">
        <v>26</v>
      </c>
      <c r="AX1186" s="69" t="s">
        <v>301</v>
      </c>
      <c r="AY1186" s="243" t="s">
        <v>231</v>
      </c>
      <c r="AZ1186" s="243" t="str">
        <f t="shared" si="483"/>
        <v>Coho</v>
      </c>
      <c r="BA1186" s="243" t="s">
        <v>419</v>
      </c>
      <c r="BB1186" s="244" t="s">
        <v>460</v>
      </c>
      <c r="BC1186" s="43" t="str">
        <f t="shared" si="484"/>
        <v>-</v>
      </c>
      <c r="BD1186" s="43">
        <f t="shared" si="482"/>
        <v>0</v>
      </c>
      <c r="BE1186" s="193">
        <f t="shared" si="496"/>
        <v>0</v>
      </c>
      <c r="BF1186" s="193">
        <f t="shared" si="485"/>
        <v>0</v>
      </c>
      <c r="BG1186" s="193">
        <f t="shared" si="486"/>
        <v>0</v>
      </c>
      <c r="BH1186" s="307">
        <f t="shared" si="499"/>
        <v>140</v>
      </c>
      <c r="BI1186" s="265">
        <f>CC1186</f>
        <v>230</v>
      </c>
      <c r="BJ1186" s="26" t="str">
        <f t="shared" si="487"/>
        <v>CLANNINICK CREEKCoho</v>
      </c>
      <c r="BK1186" s="26">
        <f t="shared" si="488"/>
        <v>0</v>
      </c>
      <c r="BL1186" s="33">
        <f t="shared" si="476"/>
        <v>0</v>
      </c>
      <c r="BQ1186" s="47" t="str">
        <f t="shared" si="489"/>
        <v>CLANNINICK CREEKCoho</v>
      </c>
      <c r="BR1186" s="49">
        <f t="shared" si="490"/>
        <v>0</v>
      </c>
      <c r="BS1186" s="49">
        <f t="shared" si="500"/>
        <v>0</v>
      </c>
      <c r="BT1186" s="31">
        <v>2015</v>
      </c>
      <c r="BU1186" s="188" t="str">
        <f t="shared" si="491"/>
        <v>KCFN</v>
      </c>
      <c r="BV1186" s="188" t="str">
        <f t="shared" si="495"/>
        <v xml:space="preserve"> </v>
      </c>
      <c r="BW1186" s="188" t="str">
        <f t="shared" si="475"/>
        <v xml:space="preserve"> </v>
      </c>
      <c r="BX1186" s="188" t="str">
        <f t="shared" si="492"/>
        <v xml:space="preserve"> </v>
      </c>
      <c r="BY1186" s="50" t="str">
        <f t="shared" si="481"/>
        <v>CLANNINICK CREEK_Coho</v>
      </c>
      <c r="BZ1186" s="50">
        <f>IFERROR(VLOOKUP(BY1186,'[1]WCVI Esc'!$C$5:$W$555,18,FALSE),"-")</f>
        <v>138</v>
      </c>
      <c r="CA1186" s="50">
        <f t="shared" si="493"/>
        <v>140</v>
      </c>
      <c r="CB1186" s="50">
        <f>IFERROR(VLOOKUP(BY1186,'[1]WCVI Esc'!$C$5:$W$555,19,FALSE),"-")</f>
        <v>227.71428571428572</v>
      </c>
      <c r="CC1186" s="50">
        <f t="shared" si="494"/>
        <v>230</v>
      </c>
      <c r="CE1186" s="342" t="str">
        <f t="shared" si="498"/>
        <v>CLANNINICK CREEK_Coho</v>
      </c>
      <c r="CF1186" s="341">
        <f>IFERROR(VLOOKUP(CE1186,'RawPL+D'!$O$8:$AB$503,12,FALSE),"-")</f>
        <v>0</v>
      </c>
      <c r="CG1186" s="338">
        <f t="shared" si="478"/>
        <v>0</v>
      </c>
      <c r="CH1186" s="341">
        <f>IFERROR(VLOOKUP(BY1186,'RawPL+D'!$O$8:$AB$503,13,FALSE),"-")</f>
        <v>138</v>
      </c>
      <c r="CI1186" s="338">
        <f t="shared" si="479"/>
        <v>140</v>
      </c>
    </row>
    <row r="1187" spans="1:87" ht="12.75" hidden="1" customHeight="1" x14ac:dyDescent="0.2">
      <c r="A1187" s="28">
        <v>3</v>
      </c>
      <c r="B1187" s="28">
        <v>3</v>
      </c>
      <c r="C1187" s="11">
        <v>26</v>
      </c>
      <c r="D1187" s="149" t="s">
        <v>301</v>
      </c>
      <c r="E1187" s="10" t="s">
        <v>231</v>
      </c>
      <c r="F1187" s="10" t="s">
        <v>208</v>
      </c>
      <c r="G1187" s="10"/>
      <c r="H1187" s="10"/>
      <c r="I1187" s="10"/>
      <c r="J1187" s="10"/>
      <c r="K1187" s="575"/>
      <c r="L1187" s="152"/>
      <c r="M1187" s="422"/>
      <c r="N1187" s="339"/>
      <c r="O1187" s="62"/>
      <c r="P1187" s="177"/>
      <c r="Q1187" s="171"/>
      <c r="R1187" s="94"/>
      <c r="S1187" s="339"/>
      <c r="T1187" s="62"/>
      <c r="U1187" s="162"/>
      <c r="V1187" s="164"/>
      <c r="W1187" s="62"/>
      <c r="X1187" s="63"/>
      <c r="Y1187" s="62"/>
      <c r="Z1187" s="64"/>
      <c r="AA1187" s="164"/>
      <c r="AB1187" s="62"/>
      <c r="AC1187" s="62"/>
      <c r="AD1187" s="64"/>
      <c r="AE1187" s="164"/>
      <c r="AF1187" s="62"/>
      <c r="AG1187" s="64"/>
      <c r="AH1187" s="337"/>
      <c r="AI1187" s="337"/>
      <c r="AJ1187" s="337"/>
      <c r="AK1187" s="337"/>
      <c r="AL1187" s="414"/>
      <c r="AM1187" s="414"/>
      <c r="AN1187" s="45"/>
      <c r="AO1187" s="45"/>
      <c r="AP1187" s="45"/>
      <c r="AQ1187" s="485"/>
      <c r="AR1187" s="100"/>
      <c r="AS1187" s="485"/>
      <c r="AT1187" s="24"/>
      <c r="AU1187" s="24"/>
      <c r="AV1187" s="24"/>
      <c r="AW1187" s="18">
        <v>26</v>
      </c>
      <c r="AX1187" s="69" t="s">
        <v>301</v>
      </c>
      <c r="AY1187" s="243" t="s">
        <v>231</v>
      </c>
      <c r="AZ1187" s="243" t="str">
        <f t="shared" si="483"/>
        <v>Pink</v>
      </c>
      <c r="BA1187" s="243" t="s">
        <v>419</v>
      </c>
      <c r="BB1187" s="244" t="s">
        <v>460</v>
      </c>
      <c r="BC1187" s="43" t="str">
        <f t="shared" si="484"/>
        <v>-</v>
      </c>
      <c r="BD1187" s="43">
        <f t="shared" si="482"/>
        <v>0</v>
      </c>
      <c r="BE1187" s="193">
        <f t="shared" si="496"/>
        <v>0</v>
      </c>
      <c r="BF1187" s="193">
        <f t="shared" si="485"/>
        <v>0</v>
      </c>
      <c r="BG1187" s="193">
        <f t="shared" si="486"/>
        <v>0</v>
      </c>
      <c r="BH1187" s="307" t="str">
        <f t="shared" si="499"/>
        <v>-</v>
      </c>
      <c r="BI1187" s="266"/>
      <c r="BJ1187" s="26" t="str">
        <f t="shared" si="487"/>
        <v>CLANNINICK CREEKPink</v>
      </c>
      <c r="BK1187" s="26">
        <f t="shared" si="488"/>
        <v>0</v>
      </c>
      <c r="BL1187" s="33">
        <f t="shared" si="476"/>
        <v>0</v>
      </c>
      <c r="BQ1187" s="47" t="str">
        <f t="shared" si="489"/>
        <v>CLANNINICK CREEKPink</v>
      </c>
      <c r="BR1187" s="49">
        <f t="shared" si="490"/>
        <v>0</v>
      </c>
      <c r="BS1187" s="49">
        <f t="shared" si="500"/>
        <v>0</v>
      </c>
      <c r="BT1187" s="31">
        <v>0</v>
      </c>
      <c r="BU1187" s="188" t="str">
        <f t="shared" si="491"/>
        <v>KCFN</v>
      </c>
      <c r="BV1187" s="188" t="str">
        <f t="shared" si="495"/>
        <v xml:space="preserve"> </v>
      </c>
      <c r="BW1187" s="188" t="str">
        <f t="shared" ref="BW1187:BW1250" si="501">IF(ISNUMBER(W1187),W$8,IF(ISNUMBER(V1187),V$8,IF(ISNUMBER(U1187),U$8,IF(ISNUMBER(T1187),T$8,IF(ISNUMBER(S1187),S$8,IF(ISNUMBER(R1187),R$8," "))))))</f>
        <v xml:space="preserve"> </v>
      </c>
      <c r="BX1187" s="188" t="str">
        <f t="shared" si="492"/>
        <v xml:space="preserve"> </v>
      </c>
      <c r="BY1187" s="50" t="str">
        <f t="shared" si="481"/>
        <v>CLANNINICK CREEK_Pink</v>
      </c>
      <c r="BZ1187" s="50" t="str">
        <f>IFERROR(VLOOKUP(BY1187,'[1]WCVI Esc'!$C$5:$W$555,18,FALSE),"-")</f>
        <v>-</v>
      </c>
      <c r="CA1187" s="50" t="str">
        <f t="shared" si="493"/>
        <v>-</v>
      </c>
      <c r="CB1187" s="50" t="str">
        <f>IFERROR(VLOOKUP(BY1187,'[1]WCVI Esc'!$C$5:$W$555,19,FALSE),"-")</f>
        <v>-</v>
      </c>
      <c r="CC1187" s="50" t="str">
        <f t="shared" si="494"/>
        <v>-</v>
      </c>
      <c r="CE1187" s="342" t="str">
        <f t="shared" si="498"/>
        <v>CLANNINICK CREEK_Pink</v>
      </c>
      <c r="CF1187" s="341" t="str">
        <f>IFERROR(VLOOKUP(BY1187,'RawPL+D'!$O$8:$AB$503,12,FALSE),"-")</f>
        <v>-</v>
      </c>
      <c r="CG1187" s="338" t="str">
        <f t="shared" si="478"/>
        <v>-</v>
      </c>
      <c r="CH1187" s="341" t="str">
        <f>IFERROR(VLOOKUP(BY1187,'RawPL+D'!$O$8:$AB$503,13,FALSE),"-")</f>
        <v>-</v>
      </c>
      <c r="CI1187" s="338" t="str">
        <f t="shared" si="479"/>
        <v>-</v>
      </c>
    </row>
    <row r="1188" spans="1:87" ht="12.75" hidden="1" customHeight="1" x14ac:dyDescent="0.2">
      <c r="A1188" s="28">
        <v>3</v>
      </c>
      <c r="B1188" s="28">
        <v>4</v>
      </c>
      <c r="C1188" s="11">
        <v>26</v>
      </c>
      <c r="D1188" s="149" t="s">
        <v>301</v>
      </c>
      <c r="E1188" s="10" t="s">
        <v>231</v>
      </c>
      <c r="F1188" s="10" t="s">
        <v>209</v>
      </c>
      <c r="G1188" s="10"/>
      <c r="H1188" s="10"/>
      <c r="I1188" s="10"/>
      <c r="J1188" s="10"/>
      <c r="K1188" s="575"/>
      <c r="L1188" s="152"/>
      <c r="M1188" s="422"/>
      <c r="N1188" s="339"/>
      <c r="O1188" s="62"/>
      <c r="P1188" s="177"/>
      <c r="Q1188" s="458"/>
      <c r="R1188" s="94"/>
      <c r="S1188" s="339"/>
      <c r="T1188" s="390"/>
      <c r="U1188" s="162"/>
      <c r="V1188" s="164"/>
      <c r="W1188" s="62"/>
      <c r="X1188" s="63"/>
      <c r="Y1188" s="62"/>
      <c r="Z1188" s="64"/>
      <c r="AA1188" s="164"/>
      <c r="AB1188" s="62"/>
      <c r="AC1188" s="62"/>
      <c r="AD1188" s="64"/>
      <c r="AE1188" s="164"/>
      <c r="AF1188" s="62"/>
      <c r="AG1188" s="64"/>
      <c r="AH1188" s="337"/>
      <c r="AI1188" s="337"/>
      <c r="AJ1188" s="337"/>
      <c r="AK1188" s="337"/>
      <c r="AL1188" s="414"/>
      <c r="AM1188" s="414"/>
      <c r="AN1188" s="45"/>
      <c r="AO1188" s="45"/>
      <c r="AP1188" s="45"/>
      <c r="AQ1188" s="485">
        <f>AL1188/BI1188</f>
        <v>0</v>
      </c>
      <c r="AR1188" s="485">
        <f>BL1188/BH1188</f>
        <v>0</v>
      </c>
      <c r="AS1188" s="485">
        <f>BL1188/BI1188</f>
        <v>0</v>
      </c>
      <c r="AT1188" s="24"/>
      <c r="AU1188" s="24"/>
      <c r="AV1188" s="24"/>
      <c r="AW1188" s="18">
        <v>26</v>
      </c>
      <c r="AX1188" s="69" t="s">
        <v>301</v>
      </c>
      <c r="AY1188" s="243" t="s">
        <v>231</v>
      </c>
      <c r="AZ1188" s="243" t="str">
        <f t="shared" si="483"/>
        <v>Chum</v>
      </c>
      <c r="BA1188" s="243" t="s">
        <v>419</v>
      </c>
      <c r="BB1188" s="244" t="s">
        <v>460</v>
      </c>
      <c r="BC1188" s="43" t="str">
        <f t="shared" si="484"/>
        <v>-</v>
      </c>
      <c r="BD1188" s="43">
        <f t="shared" si="482"/>
        <v>0</v>
      </c>
      <c r="BE1188" s="193">
        <f t="shared" si="496"/>
        <v>0</v>
      </c>
      <c r="BF1188" s="193">
        <f t="shared" si="485"/>
        <v>0</v>
      </c>
      <c r="BG1188" s="193">
        <f t="shared" si="486"/>
        <v>0</v>
      </c>
      <c r="BH1188" s="307">
        <f t="shared" si="499"/>
        <v>130</v>
      </c>
      <c r="BI1188" s="265">
        <f>CC1188</f>
        <v>4720</v>
      </c>
      <c r="BJ1188" s="26" t="str">
        <f t="shared" si="487"/>
        <v>CLANNINICK CREEKChum</v>
      </c>
      <c r="BK1188" s="26">
        <f t="shared" si="488"/>
        <v>0</v>
      </c>
      <c r="BL1188" s="33">
        <f t="shared" si="476"/>
        <v>0</v>
      </c>
      <c r="BQ1188" s="47" t="str">
        <f t="shared" si="489"/>
        <v>CLANNINICK CREEKChum</v>
      </c>
      <c r="BR1188" s="49">
        <f t="shared" si="490"/>
        <v>0</v>
      </c>
      <c r="BS1188" s="49">
        <f t="shared" si="500"/>
        <v>0</v>
      </c>
      <c r="BT1188" s="31">
        <v>2013</v>
      </c>
      <c r="BU1188" s="188" t="str">
        <f t="shared" si="491"/>
        <v>KCFN</v>
      </c>
      <c r="BV1188" s="188" t="str">
        <f t="shared" si="495"/>
        <v xml:space="preserve"> </v>
      </c>
      <c r="BW1188" s="188" t="str">
        <f t="shared" si="501"/>
        <v xml:space="preserve"> </v>
      </c>
      <c r="BX1188" s="188" t="str">
        <f t="shared" si="492"/>
        <v xml:space="preserve"> </v>
      </c>
      <c r="BY1188" s="50" t="str">
        <f t="shared" si="481"/>
        <v>CLANNINICK CREEK_Chum</v>
      </c>
      <c r="BZ1188" s="50">
        <f>IFERROR(VLOOKUP(BY1188,'[1]WCVI Esc'!$C$5:$W$555,18,FALSE),"-")</f>
        <v>254</v>
      </c>
      <c r="CA1188" s="50">
        <f t="shared" si="493"/>
        <v>250</v>
      </c>
      <c r="CB1188" s="50">
        <f>IFERROR(VLOOKUP(BY1188,'[1]WCVI Esc'!$C$5:$W$555,19,FALSE),"-")</f>
        <v>4723.2</v>
      </c>
      <c r="CC1188" s="50">
        <f t="shared" si="494"/>
        <v>4720</v>
      </c>
      <c r="CE1188" s="342" t="str">
        <f t="shared" si="498"/>
        <v>CLANNINICK CREEK_Chum</v>
      </c>
      <c r="CF1188" s="341">
        <f>IFERROR(VLOOKUP(CE1188,'RawPL+D'!$O$8:$AB$503,12,FALSE),"-")</f>
        <v>0</v>
      </c>
      <c r="CG1188" s="338">
        <f t="shared" si="478"/>
        <v>0</v>
      </c>
      <c r="CH1188" s="341">
        <f>IFERROR(VLOOKUP(BY1188,'RawPL+D'!$O$8:$AB$503,13,FALSE),"-")</f>
        <v>127</v>
      </c>
      <c r="CI1188" s="338">
        <f t="shared" si="479"/>
        <v>130</v>
      </c>
    </row>
    <row r="1189" spans="1:87" ht="12.75" hidden="1" customHeight="1" x14ac:dyDescent="0.2">
      <c r="A1189" s="28">
        <v>3</v>
      </c>
      <c r="B1189" s="28">
        <v>5</v>
      </c>
      <c r="C1189" s="11">
        <v>26</v>
      </c>
      <c r="D1189" s="149" t="s">
        <v>301</v>
      </c>
      <c r="E1189" s="10" t="s">
        <v>231</v>
      </c>
      <c r="F1189" s="10" t="s">
        <v>210</v>
      </c>
      <c r="G1189" s="10"/>
      <c r="H1189" s="10"/>
      <c r="I1189" s="10"/>
      <c r="J1189" s="10"/>
      <c r="K1189" s="575"/>
      <c r="L1189" s="152"/>
      <c r="M1189" s="422"/>
      <c r="N1189" s="339"/>
      <c r="O1189" s="62"/>
      <c r="P1189" s="459"/>
      <c r="Q1189" s="171"/>
      <c r="R1189" s="94"/>
      <c r="S1189" s="339"/>
      <c r="T1189" s="62"/>
      <c r="U1189" s="162"/>
      <c r="V1189" s="164"/>
      <c r="W1189" s="62"/>
      <c r="X1189" s="63"/>
      <c r="Y1189" s="62"/>
      <c r="Z1189" s="64"/>
      <c r="AA1189" s="164"/>
      <c r="AB1189" s="62"/>
      <c r="AC1189" s="62"/>
      <c r="AD1189" s="64"/>
      <c r="AE1189" s="164"/>
      <c r="AF1189" s="62"/>
      <c r="AG1189" s="64"/>
      <c r="AH1189" s="337"/>
      <c r="AI1189" s="337"/>
      <c r="AJ1189" s="337"/>
      <c r="AK1189" s="337"/>
      <c r="AL1189" s="414"/>
      <c r="AM1189" s="414"/>
      <c r="AN1189" s="45"/>
      <c r="AO1189" s="45"/>
      <c r="AP1189" s="45"/>
      <c r="AQ1189" s="485"/>
      <c r="AR1189" s="54"/>
      <c r="AS1189" s="485"/>
      <c r="AT1189" s="24"/>
      <c r="AU1189" s="24"/>
      <c r="AV1189" s="24"/>
      <c r="AW1189" s="18">
        <v>26</v>
      </c>
      <c r="AX1189" s="69" t="s">
        <v>301</v>
      </c>
      <c r="AY1189" s="243" t="s">
        <v>231</v>
      </c>
      <c r="AZ1189" s="243" t="str">
        <f t="shared" si="483"/>
        <v>Chinook</v>
      </c>
      <c r="BA1189" s="243" t="s">
        <v>419</v>
      </c>
      <c r="BB1189" s="244" t="s">
        <v>460</v>
      </c>
      <c r="BC1189" s="43" t="str">
        <f t="shared" si="484"/>
        <v>-</v>
      </c>
      <c r="BD1189" s="43">
        <f t="shared" si="482"/>
        <v>0</v>
      </c>
      <c r="BE1189" s="193">
        <f t="shared" si="496"/>
        <v>0</v>
      </c>
      <c r="BF1189" s="193">
        <f t="shared" si="485"/>
        <v>0</v>
      </c>
      <c r="BG1189" s="193">
        <f t="shared" si="486"/>
        <v>0</v>
      </c>
      <c r="BH1189" s="307">
        <f t="shared" si="499"/>
        <v>10</v>
      </c>
      <c r="BI1189" s="308" t="s">
        <v>242</v>
      </c>
      <c r="BJ1189" s="26" t="str">
        <f t="shared" si="487"/>
        <v>CLANNINICK CREEKChinook</v>
      </c>
      <c r="BK1189" s="26">
        <f t="shared" si="488"/>
        <v>0</v>
      </c>
      <c r="BL1189" s="33">
        <f t="shared" si="476"/>
        <v>0</v>
      </c>
      <c r="BQ1189" s="47" t="str">
        <f t="shared" si="489"/>
        <v>CLANNINICK CREEKChinook</v>
      </c>
      <c r="BR1189" s="49">
        <f t="shared" si="490"/>
        <v>0</v>
      </c>
      <c r="BS1189" s="49">
        <f t="shared" si="500"/>
        <v>0</v>
      </c>
      <c r="BT1189" s="31">
        <v>0</v>
      </c>
      <c r="BU1189" s="188" t="str">
        <f t="shared" si="491"/>
        <v>KCFN</v>
      </c>
      <c r="BV1189" s="188" t="str">
        <f t="shared" si="495"/>
        <v xml:space="preserve"> </v>
      </c>
      <c r="BW1189" s="188" t="str">
        <f t="shared" si="501"/>
        <v xml:space="preserve"> </v>
      </c>
      <c r="BX1189" s="188" t="str">
        <f t="shared" si="492"/>
        <v xml:space="preserve"> </v>
      </c>
      <c r="BY1189" s="50" t="str">
        <f t="shared" si="481"/>
        <v>CLANNINICK CREEK_Chinook</v>
      </c>
      <c r="BZ1189" s="50" t="str">
        <f>IFERROR(VLOOKUP(BY1189,'[1]WCVI Esc'!$C$5:$W$555,18,FALSE),"-")</f>
        <v>-</v>
      </c>
      <c r="CA1189" s="50" t="str">
        <f t="shared" si="493"/>
        <v>-</v>
      </c>
      <c r="CB1189" s="50" t="str">
        <f>IFERROR(VLOOKUP(BY1189,'[1]WCVI Esc'!$C$5:$W$555,19,FALSE),"-")</f>
        <v>-</v>
      </c>
      <c r="CC1189" s="50" t="str">
        <f t="shared" si="494"/>
        <v>-</v>
      </c>
      <c r="CE1189" s="342" t="str">
        <f t="shared" si="498"/>
        <v>CLANNINICK CREEK_Chinook</v>
      </c>
      <c r="CF1189" s="341">
        <f>IFERROR(VLOOKUP(BY1189,'RawPL+D'!$O$8:$AB$503,12,FALSE),"-")</f>
        <v>0</v>
      </c>
      <c r="CG1189" s="338">
        <f t="shared" si="478"/>
        <v>0</v>
      </c>
      <c r="CH1189" s="341">
        <f>IFERROR(VLOOKUP(BY1189,'RawPL+D'!$O$8:$AB$503,13,FALSE),"-")</f>
        <v>7</v>
      </c>
      <c r="CI1189" s="338">
        <f t="shared" si="479"/>
        <v>10</v>
      </c>
    </row>
    <row r="1190" spans="1:87" ht="12.75" hidden="1" customHeight="1" x14ac:dyDescent="0.2">
      <c r="A1190" s="28">
        <v>3</v>
      </c>
      <c r="B1190" s="28">
        <v>6</v>
      </c>
      <c r="C1190" s="11">
        <v>26</v>
      </c>
      <c r="D1190" s="149" t="s">
        <v>301</v>
      </c>
      <c r="E1190" s="10" t="s">
        <v>231</v>
      </c>
      <c r="F1190" s="10" t="s">
        <v>211</v>
      </c>
      <c r="G1190" s="10"/>
      <c r="H1190" s="10"/>
      <c r="I1190" s="10"/>
      <c r="J1190" s="10"/>
      <c r="K1190" s="575"/>
      <c r="L1190" s="152"/>
      <c r="M1190" s="422"/>
      <c r="N1190" s="339"/>
      <c r="O1190" s="62"/>
      <c r="P1190" s="177"/>
      <c r="Q1190" s="171"/>
      <c r="R1190" s="94"/>
      <c r="S1190" s="339"/>
      <c r="T1190" s="62"/>
      <c r="U1190" s="162"/>
      <c r="V1190" s="164"/>
      <c r="W1190" s="62"/>
      <c r="X1190" s="63"/>
      <c r="Y1190" s="62"/>
      <c r="Z1190" s="64"/>
      <c r="AA1190" s="164"/>
      <c r="AB1190" s="62"/>
      <c r="AC1190" s="62"/>
      <c r="AD1190" s="64"/>
      <c r="AE1190" s="164"/>
      <c r="AF1190" s="62"/>
      <c r="AG1190" s="64"/>
      <c r="AH1190" s="337"/>
      <c r="AI1190" s="337"/>
      <c r="AJ1190" s="337"/>
      <c r="AK1190" s="337"/>
      <c r="AL1190" s="414"/>
      <c r="AM1190" s="414"/>
      <c r="AN1190" s="45"/>
      <c r="AO1190" s="45"/>
      <c r="AP1190" s="45"/>
      <c r="AQ1190" s="485"/>
      <c r="AR1190" s="100"/>
      <c r="AS1190" s="485"/>
      <c r="AT1190" s="24"/>
      <c r="AU1190" s="24"/>
      <c r="AV1190" s="24"/>
      <c r="AW1190" s="18">
        <v>26</v>
      </c>
      <c r="AX1190" s="69" t="s">
        <v>301</v>
      </c>
      <c r="AY1190" s="243" t="s">
        <v>231</v>
      </c>
      <c r="AZ1190" s="243" t="str">
        <f t="shared" si="483"/>
        <v>Steelhead</v>
      </c>
      <c r="BA1190" s="243" t="s">
        <v>419</v>
      </c>
      <c r="BB1190" s="244" t="s">
        <v>460</v>
      </c>
      <c r="BC1190" s="43" t="str">
        <f t="shared" si="484"/>
        <v>-</v>
      </c>
      <c r="BD1190" s="43">
        <f t="shared" si="482"/>
        <v>0</v>
      </c>
      <c r="BE1190" s="193">
        <f t="shared" si="496"/>
        <v>0</v>
      </c>
      <c r="BF1190" s="193">
        <f t="shared" si="485"/>
        <v>0</v>
      </c>
      <c r="BG1190" s="193">
        <f t="shared" si="486"/>
        <v>0</v>
      </c>
      <c r="BH1190" s="307" t="str">
        <f t="shared" si="499"/>
        <v>-</v>
      </c>
      <c r="BI1190" s="266"/>
      <c r="BJ1190" s="26" t="str">
        <f t="shared" si="487"/>
        <v>CLANNINICK CREEKSteelhead</v>
      </c>
      <c r="BK1190" s="26">
        <f t="shared" si="488"/>
        <v>0</v>
      </c>
      <c r="BL1190" s="33">
        <f t="shared" si="476"/>
        <v>0</v>
      </c>
      <c r="BQ1190" s="47" t="str">
        <f t="shared" si="489"/>
        <v>CLANNINICK CREEKSteelhead</v>
      </c>
      <c r="BR1190" s="49">
        <f t="shared" si="490"/>
        <v>0</v>
      </c>
      <c r="BS1190" s="49">
        <f t="shared" si="500"/>
        <v>0</v>
      </c>
      <c r="BT1190" s="31">
        <v>0</v>
      </c>
      <c r="BU1190" s="188" t="str">
        <f t="shared" si="491"/>
        <v>KCFN</v>
      </c>
      <c r="BV1190" s="188" t="str">
        <f t="shared" si="495"/>
        <v xml:space="preserve"> </v>
      </c>
      <c r="BW1190" s="188" t="str">
        <f t="shared" si="501"/>
        <v xml:space="preserve"> </v>
      </c>
      <c r="BX1190" s="188" t="str">
        <f t="shared" si="492"/>
        <v xml:space="preserve"> </v>
      </c>
      <c r="BY1190" s="50" t="str">
        <f t="shared" si="481"/>
        <v>CLANNINICK CREEK_Steelhead</v>
      </c>
      <c r="BZ1190" s="50" t="str">
        <f>IFERROR(VLOOKUP(BY1190,'[1]WCVI Esc'!$C$5:$W$555,18,FALSE),"-")</f>
        <v>-</v>
      </c>
      <c r="CA1190" s="50" t="str">
        <f t="shared" si="493"/>
        <v>-</v>
      </c>
      <c r="CB1190" s="50" t="str">
        <f>IFERROR(VLOOKUP(BY1190,'[1]WCVI Esc'!$C$5:$W$555,19,FALSE),"-")</f>
        <v>-</v>
      </c>
      <c r="CC1190" s="50" t="str">
        <f t="shared" si="494"/>
        <v>-</v>
      </c>
      <c r="CE1190" s="342" t="str">
        <f t="shared" si="498"/>
        <v>CLANNINICK CREEK_Steelhead</v>
      </c>
      <c r="CF1190" s="341" t="str">
        <f>IFERROR(VLOOKUP(BY1190,'RawPL+D'!$O$8:$AB$503,12,FALSE),"-")</f>
        <v>-</v>
      </c>
      <c r="CG1190" s="338" t="str">
        <f t="shared" si="478"/>
        <v>-</v>
      </c>
      <c r="CH1190" s="341" t="str">
        <f>IFERROR(VLOOKUP(BY1190,'RawPL+D'!$O$8:$AB$503,13,FALSE),"-")</f>
        <v>-</v>
      </c>
      <c r="CI1190" s="338" t="str">
        <f t="shared" si="479"/>
        <v>-</v>
      </c>
    </row>
    <row r="1191" spans="1:87" ht="12.75" hidden="1" customHeight="1" x14ac:dyDescent="0.2">
      <c r="A1191" s="28">
        <v>3</v>
      </c>
      <c r="B1191" s="28">
        <v>1</v>
      </c>
      <c r="C1191" s="11">
        <v>26</v>
      </c>
      <c r="D1191" s="149" t="s">
        <v>301</v>
      </c>
      <c r="E1191" s="10" t="s">
        <v>60</v>
      </c>
      <c r="F1191" s="10" t="s">
        <v>207</v>
      </c>
      <c r="G1191" s="10"/>
      <c r="H1191" s="10"/>
      <c r="I1191" s="10"/>
      <c r="J1191" s="10"/>
      <c r="K1191" s="575"/>
      <c r="L1191" s="152"/>
      <c r="M1191" s="430"/>
      <c r="N1191" s="339"/>
      <c r="O1191" s="62"/>
      <c r="P1191" s="182"/>
      <c r="Q1191" s="171"/>
      <c r="R1191" s="94"/>
      <c r="S1191" s="659"/>
      <c r="T1191" s="62"/>
      <c r="U1191" s="162"/>
      <c r="V1191" s="641">
        <v>0</v>
      </c>
      <c r="W1191" s="642">
        <v>0</v>
      </c>
      <c r="X1191" s="63"/>
      <c r="Y1191" s="62"/>
      <c r="Z1191" s="64"/>
      <c r="AA1191" s="164"/>
      <c r="AB1191" s="62"/>
      <c r="AC1191" s="62"/>
      <c r="AD1191" s="64"/>
      <c r="AE1191" s="164"/>
      <c r="AF1191" s="62"/>
      <c r="AG1191" s="64"/>
      <c r="AH1191" s="337"/>
      <c r="AI1191" s="337"/>
      <c r="AJ1191" s="337"/>
      <c r="AK1191" s="337"/>
      <c r="AL1191" s="552"/>
      <c r="AM1191" s="552"/>
      <c r="AN1191" s="45"/>
      <c r="AO1191" s="839" t="s">
        <v>779</v>
      </c>
      <c r="AP1191" s="45"/>
      <c r="AQ1191" s="485"/>
      <c r="AR1191"/>
      <c r="AS1191" s="485"/>
      <c r="AT1191" s="24"/>
      <c r="AU1191" s="24"/>
      <c r="AV1191" s="24"/>
      <c r="AW1191" s="18">
        <v>26</v>
      </c>
      <c r="AX1191" s="69" t="s">
        <v>301</v>
      </c>
      <c r="AY1191" s="243" t="s">
        <v>60</v>
      </c>
      <c r="AZ1191" s="243" t="str">
        <f t="shared" si="483"/>
        <v>Sockeye</v>
      </c>
      <c r="BA1191" s="243" t="s">
        <v>419</v>
      </c>
      <c r="BB1191" s="244" t="s">
        <v>460</v>
      </c>
      <c r="BC1191" s="43" t="str">
        <f t="shared" si="484"/>
        <v>Nov 12-18</v>
      </c>
      <c r="BD1191" s="43">
        <f t="shared" si="482"/>
        <v>2</v>
      </c>
      <c r="BE1191" s="193">
        <f t="shared" si="496"/>
        <v>0</v>
      </c>
      <c r="BF1191" s="193">
        <f t="shared" si="485"/>
        <v>0</v>
      </c>
      <c r="BG1191" s="193">
        <f t="shared" si="486"/>
        <v>0</v>
      </c>
      <c r="BH1191" s="307" t="str">
        <f t="shared" si="499"/>
        <v>-</v>
      </c>
      <c r="BI1191" s="266"/>
      <c r="BJ1191" s="26" t="str">
        <f t="shared" si="487"/>
        <v>EASY CREEKSockeye</v>
      </c>
      <c r="BK1191" s="26">
        <f t="shared" si="488"/>
        <v>2</v>
      </c>
      <c r="BL1191" s="33">
        <f t="shared" ref="BL1191:BL1254" si="502">MAX(K1191:AB1191)</f>
        <v>0</v>
      </c>
      <c r="BQ1191" s="47" t="str">
        <f t="shared" si="489"/>
        <v>EASY CREEKSockeye</v>
      </c>
      <c r="BR1191" s="49">
        <f t="shared" si="490"/>
        <v>0</v>
      </c>
      <c r="BS1191" s="49">
        <f t="shared" si="500"/>
        <v>0</v>
      </c>
      <c r="BT1191" s="31">
        <v>0</v>
      </c>
      <c r="BU1191" s="188" t="str">
        <f t="shared" si="491"/>
        <v>KCFN</v>
      </c>
      <c r="BV1191" s="188" t="str">
        <f t="shared" si="495"/>
        <v xml:space="preserve"> </v>
      </c>
      <c r="BW1191" s="188" t="str">
        <f t="shared" si="501"/>
        <v>Nov 12-18</v>
      </c>
      <c r="BX1191" s="188" t="str">
        <f t="shared" si="492"/>
        <v xml:space="preserve"> </v>
      </c>
      <c r="BY1191" s="50" t="str">
        <f t="shared" si="481"/>
        <v>EASY CREEK_Sockeye</v>
      </c>
      <c r="BZ1191" s="50" t="str">
        <f>IFERROR(VLOOKUP(BY1191,'[1]WCVI Esc'!$C$5:$W$555,18,FALSE),"-")</f>
        <v>-</v>
      </c>
      <c r="CA1191" s="50" t="str">
        <f t="shared" si="493"/>
        <v>-</v>
      </c>
      <c r="CB1191" s="50" t="str">
        <f>IFERROR(VLOOKUP(BY1191,'[1]WCVI Esc'!$C$5:$W$555,19,FALSE),"-")</f>
        <v>-</v>
      </c>
      <c r="CC1191" s="50" t="str">
        <f t="shared" si="494"/>
        <v>-</v>
      </c>
      <c r="CE1191" s="342" t="str">
        <f t="shared" si="498"/>
        <v>EASY CREEK_Sockeye</v>
      </c>
      <c r="CF1191" s="341" t="str">
        <f>IFERROR(VLOOKUP(BY1191,'RawPL+D'!$O$8:$AB$503,12,FALSE),"-")</f>
        <v>-</v>
      </c>
      <c r="CG1191" s="338" t="str">
        <f t="shared" si="478"/>
        <v>-</v>
      </c>
      <c r="CH1191" s="341" t="str">
        <f>IFERROR(VLOOKUP(BY1191,'RawPL+D'!$O$8:$AB$503,13,FALSE),"-")</f>
        <v>-</v>
      </c>
      <c r="CI1191" s="338" t="str">
        <f t="shared" si="479"/>
        <v>-</v>
      </c>
    </row>
    <row r="1192" spans="1:87" ht="12.75" hidden="1" customHeight="1" x14ac:dyDescent="0.2">
      <c r="A1192" s="28">
        <v>3</v>
      </c>
      <c r="B1192" s="28">
        <v>2</v>
      </c>
      <c r="C1192" s="11">
        <v>26</v>
      </c>
      <c r="D1192" s="149" t="s">
        <v>301</v>
      </c>
      <c r="E1192" s="10" t="s">
        <v>60</v>
      </c>
      <c r="F1192" s="10" t="s">
        <v>219</v>
      </c>
      <c r="G1192" s="10"/>
      <c r="H1192" s="10"/>
      <c r="I1192" s="10"/>
      <c r="J1192" s="10"/>
      <c r="K1192" s="575"/>
      <c r="L1192" s="152"/>
      <c r="M1192" s="430"/>
      <c r="N1192" s="339"/>
      <c r="O1192" s="62"/>
      <c r="P1192" s="182"/>
      <c r="Q1192" s="171"/>
      <c r="R1192" s="94"/>
      <c r="S1192" s="659"/>
      <c r="T1192" s="390"/>
      <c r="U1192" s="162"/>
      <c r="V1192" s="641">
        <v>19</v>
      </c>
      <c r="W1192" s="642">
        <v>42</v>
      </c>
      <c r="X1192" s="63"/>
      <c r="Y1192" s="62"/>
      <c r="Z1192" s="64"/>
      <c r="AA1192" s="164"/>
      <c r="AB1192" s="62"/>
      <c r="AC1192" s="62"/>
      <c r="AD1192" s="64"/>
      <c r="AE1192" s="164"/>
      <c r="AF1192" s="62"/>
      <c r="AG1192" s="64"/>
      <c r="AH1192" s="337">
        <v>47</v>
      </c>
      <c r="AI1192" s="337">
        <v>14</v>
      </c>
      <c r="AJ1192" s="337">
        <v>0</v>
      </c>
      <c r="AK1192" s="337">
        <v>0</v>
      </c>
      <c r="AL1192" s="552">
        <v>47</v>
      </c>
      <c r="AM1192" s="552">
        <v>61</v>
      </c>
      <c r="AN1192" s="552" t="s">
        <v>765</v>
      </c>
      <c r="AO1192" s="567" t="s">
        <v>772</v>
      </c>
      <c r="AP1192" s="45"/>
      <c r="AQ1192" s="485">
        <f>AL1192/BI1192</f>
        <v>0.27647058823529413</v>
      </c>
      <c r="AR1192" s="485">
        <f>BL1192/BH1192</f>
        <v>0.84</v>
      </c>
      <c r="AS1192" s="485">
        <f>BL1192/BI1192</f>
        <v>0.24705882352941178</v>
      </c>
      <c r="AT1192" s="100"/>
      <c r="AU1192" s="100"/>
      <c r="AV1192" s="100"/>
      <c r="AW1192" s="18">
        <v>26</v>
      </c>
      <c r="AX1192" s="69" t="s">
        <v>301</v>
      </c>
      <c r="AY1192" s="243" t="s">
        <v>60</v>
      </c>
      <c r="AZ1192" s="243" t="str">
        <f t="shared" si="483"/>
        <v>Coho</v>
      </c>
      <c r="BA1192" s="243" t="s">
        <v>419</v>
      </c>
      <c r="BB1192" s="246" t="s">
        <v>460</v>
      </c>
      <c r="BC1192" s="43" t="str">
        <f t="shared" si="484"/>
        <v>Nov 12-18</v>
      </c>
      <c r="BD1192" s="43">
        <f t="shared" si="482"/>
        <v>2</v>
      </c>
      <c r="BE1192" s="193">
        <f t="shared" si="496"/>
        <v>42</v>
      </c>
      <c r="BF1192" s="193">
        <f t="shared" si="485"/>
        <v>47</v>
      </c>
      <c r="BG1192" s="193">
        <f t="shared" si="486"/>
        <v>47</v>
      </c>
      <c r="BH1192" s="307">
        <f t="shared" si="499"/>
        <v>50</v>
      </c>
      <c r="BI1192" s="265">
        <f>CC1192</f>
        <v>170</v>
      </c>
      <c r="BJ1192" s="26" t="str">
        <f t="shared" si="487"/>
        <v>EASY CREEKCoho</v>
      </c>
      <c r="BK1192" s="26">
        <f t="shared" si="488"/>
        <v>2</v>
      </c>
      <c r="BL1192" s="33">
        <f t="shared" si="502"/>
        <v>42</v>
      </c>
      <c r="BQ1192" s="47" t="str">
        <f t="shared" si="489"/>
        <v>EASY CREEKCoho</v>
      </c>
      <c r="BR1192" s="49">
        <f t="shared" si="490"/>
        <v>0</v>
      </c>
      <c r="BS1192" s="49">
        <f t="shared" si="500"/>
        <v>47</v>
      </c>
      <c r="BT1192" s="31">
        <v>2015</v>
      </c>
      <c r="BU1192" s="188" t="str">
        <f t="shared" si="491"/>
        <v>KCFN</v>
      </c>
      <c r="BV1192" s="188" t="str">
        <f t="shared" si="495"/>
        <v xml:space="preserve"> </v>
      </c>
      <c r="BW1192" s="188" t="str">
        <f t="shared" si="501"/>
        <v>Nov 12-18</v>
      </c>
      <c r="BX1192" s="188" t="str">
        <f t="shared" si="492"/>
        <v xml:space="preserve"> </v>
      </c>
      <c r="BY1192" s="50" t="str">
        <f t="shared" si="481"/>
        <v>EASY CREEK_Coho</v>
      </c>
      <c r="BZ1192" s="50">
        <f>IFERROR(VLOOKUP(BY1192,'[1]WCVI Esc'!$C$5:$W$555,18,FALSE),"-")</f>
        <v>53</v>
      </c>
      <c r="CA1192" s="50">
        <f t="shared" si="493"/>
        <v>50</v>
      </c>
      <c r="CB1192" s="50">
        <f>IFERROR(VLOOKUP(BY1192,'[1]WCVI Esc'!$C$5:$W$555,19,FALSE),"-")</f>
        <v>173</v>
      </c>
      <c r="CC1192" s="50">
        <f t="shared" si="494"/>
        <v>170</v>
      </c>
      <c r="CE1192" s="342" t="str">
        <f t="shared" si="498"/>
        <v>EASY CREEK_Coho</v>
      </c>
      <c r="CF1192" s="341">
        <f>IFERROR(VLOOKUP(CE1192,'RawPL+D'!$O$8:$AB$503,12,FALSE),"-")</f>
        <v>0</v>
      </c>
      <c r="CG1192" s="338">
        <f t="shared" si="478"/>
        <v>0</v>
      </c>
      <c r="CH1192" s="341">
        <f>IFERROR(VLOOKUP(BY1192,'RawPL+D'!$O$8:$AB$503,13,FALSE),"-")</f>
        <v>46.666666666666664</v>
      </c>
      <c r="CI1192" s="338">
        <f t="shared" si="479"/>
        <v>50</v>
      </c>
    </row>
    <row r="1193" spans="1:87" ht="12.75" hidden="1" customHeight="1" x14ac:dyDescent="0.2">
      <c r="A1193" s="28">
        <v>3</v>
      </c>
      <c r="B1193" s="28">
        <v>3</v>
      </c>
      <c r="C1193" s="11">
        <v>26</v>
      </c>
      <c r="D1193" s="149" t="s">
        <v>301</v>
      </c>
      <c r="E1193" s="10" t="s">
        <v>60</v>
      </c>
      <c r="F1193" s="10" t="s">
        <v>208</v>
      </c>
      <c r="G1193" s="10"/>
      <c r="H1193" s="10"/>
      <c r="I1193" s="10"/>
      <c r="J1193" s="10"/>
      <c r="K1193" s="575"/>
      <c r="L1193" s="152"/>
      <c r="M1193" s="430"/>
      <c r="N1193" s="339"/>
      <c r="O1193" s="62"/>
      <c r="P1193" s="182"/>
      <c r="Q1193" s="171"/>
      <c r="R1193" s="94"/>
      <c r="S1193" s="659"/>
      <c r="T1193" s="62"/>
      <c r="U1193" s="162"/>
      <c r="V1193" s="641">
        <v>0</v>
      </c>
      <c r="W1193" s="642">
        <v>0</v>
      </c>
      <c r="X1193" s="63"/>
      <c r="Y1193" s="62"/>
      <c r="Z1193" s="64"/>
      <c r="AA1193" s="164"/>
      <c r="AB1193" s="62"/>
      <c r="AC1193" s="62"/>
      <c r="AD1193" s="64"/>
      <c r="AE1193" s="164"/>
      <c r="AF1193" s="62"/>
      <c r="AG1193" s="64"/>
      <c r="AH1193" s="337"/>
      <c r="AI1193" s="337"/>
      <c r="AJ1193" s="337"/>
      <c r="AK1193" s="337"/>
      <c r="AL1193" s="552"/>
      <c r="AM1193" s="552"/>
      <c r="AN1193" s="45"/>
      <c r="AO1193" s="839" t="s">
        <v>779</v>
      </c>
      <c r="AP1193" s="45"/>
      <c r="AQ1193" s="485"/>
      <c r="AR1193"/>
      <c r="AS1193" s="485"/>
      <c r="AT1193" s="24"/>
      <c r="AU1193" s="24"/>
      <c r="AV1193" s="24"/>
      <c r="AW1193" s="18">
        <v>26</v>
      </c>
      <c r="AX1193" s="69" t="s">
        <v>301</v>
      </c>
      <c r="AY1193" s="243" t="s">
        <v>60</v>
      </c>
      <c r="AZ1193" s="243" t="str">
        <f t="shared" si="483"/>
        <v>Pink</v>
      </c>
      <c r="BA1193" s="243" t="s">
        <v>419</v>
      </c>
      <c r="BB1193" s="246" t="s">
        <v>460</v>
      </c>
      <c r="BC1193" s="43" t="str">
        <f t="shared" si="484"/>
        <v>Nov 12-18</v>
      </c>
      <c r="BD1193" s="43">
        <f t="shared" si="482"/>
        <v>2</v>
      </c>
      <c r="BE1193" s="193">
        <f t="shared" si="496"/>
        <v>0</v>
      </c>
      <c r="BF1193" s="193">
        <f t="shared" si="485"/>
        <v>0</v>
      </c>
      <c r="BG1193" s="193">
        <f t="shared" si="486"/>
        <v>0</v>
      </c>
      <c r="BH1193" s="307" t="str">
        <f t="shared" si="499"/>
        <v>-</v>
      </c>
      <c r="BI1193" s="266"/>
      <c r="BJ1193" s="26" t="str">
        <f t="shared" si="487"/>
        <v>EASY CREEKPink</v>
      </c>
      <c r="BK1193" s="26">
        <f t="shared" si="488"/>
        <v>2</v>
      </c>
      <c r="BL1193" s="33">
        <f t="shared" si="502"/>
        <v>0</v>
      </c>
      <c r="BQ1193" s="47" t="str">
        <f t="shared" si="489"/>
        <v>EASY CREEKPink</v>
      </c>
      <c r="BR1193" s="49">
        <f t="shared" si="490"/>
        <v>0</v>
      </c>
      <c r="BS1193" s="49">
        <f t="shared" si="500"/>
        <v>0</v>
      </c>
      <c r="BT1193" s="31">
        <v>0</v>
      </c>
      <c r="BU1193" s="188" t="str">
        <f t="shared" si="491"/>
        <v>KCFN</v>
      </c>
      <c r="BV1193" s="188" t="str">
        <f t="shared" si="495"/>
        <v xml:space="preserve"> </v>
      </c>
      <c r="BW1193" s="188" t="str">
        <f t="shared" si="501"/>
        <v>Nov 12-18</v>
      </c>
      <c r="BX1193" s="188" t="str">
        <f t="shared" si="492"/>
        <v xml:space="preserve"> </v>
      </c>
      <c r="BY1193" s="50" t="str">
        <f t="shared" si="481"/>
        <v>EASY CREEK_Pink</v>
      </c>
      <c r="BZ1193" s="50" t="str">
        <f>IFERROR(VLOOKUP(BY1193,'[1]WCVI Esc'!$C$5:$W$555,18,FALSE),"-")</f>
        <v>-</v>
      </c>
      <c r="CA1193" s="50" t="str">
        <f t="shared" si="493"/>
        <v>-</v>
      </c>
      <c r="CB1193" s="50" t="str">
        <f>IFERROR(VLOOKUP(BY1193,'[1]WCVI Esc'!$C$5:$W$555,19,FALSE),"-")</f>
        <v>-</v>
      </c>
      <c r="CC1193" s="50" t="str">
        <f t="shared" si="494"/>
        <v>-</v>
      </c>
      <c r="CE1193" s="342" t="str">
        <f t="shared" si="498"/>
        <v>EASY CREEK_Pink</v>
      </c>
      <c r="CF1193" s="341" t="str">
        <f>IFERROR(VLOOKUP(BY1193,'RawPL+D'!$O$8:$AB$503,12,FALSE),"-")</f>
        <v>-</v>
      </c>
      <c r="CG1193" s="338" t="str">
        <f t="shared" si="478"/>
        <v>-</v>
      </c>
      <c r="CH1193" s="341" t="str">
        <f>IFERROR(VLOOKUP(BY1193,'RawPL+D'!$O$8:$AB$503,13,FALSE),"-")</f>
        <v>-</v>
      </c>
      <c r="CI1193" s="338" t="str">
        <f t="shared" si="479"/>
        <v>-</v>
      </c>
    </row>
    <row r="1194" spans="1:87" ht="12.75" hidden="1" customHeight="1" x14ac:dyDescent="0.2">
      <c r="A1194" s="28">
        <v>3</v>
      </c>
      <c r="B1194" s="28">
        <v>4</v>
      </c>
      <c r="C1194" s="11">
        <v>26</v>
      </c>
      <c r="D1194" s="149" t="s">
        <v>301</v>
      </c>
      <c r="E1194" s="10" t="s">
        <v>60</v>
      </c>
      <c r="F1194" s="10" t="s">
        <v>209</v>
      </c>
      <c r="G1194" s="10"/>
      <c r="H1194" s="10"/>
      <c r="I1194" s="10"/>
      <c r="J1194" s="10"/>
      <c r="K1194" s="575"/>
      <c r="L1194" s="152"/>
      <c r="M1194" s="430"/>
      <c r="N1194" s="339"/>
      <c r="O1194" s="62"/>
      <c r="P1194" s="182"/>
      <c r="Q1194" s="171"/>
      <c r="R1194" s="94"/>
      <c r="S1194" s="662"/>
      <c r="T1194" s="431"/>
      <c r="U1194" s="418"/>
      <c r="V1194" s="641">
        <f>429+61</f>
        <v>490</v>
      </c>
      <c r="W1194" s="676">
        <f>48+33</f>
        <v>81</v>
      </c>
      <c r="X1194" s="63"/>
      <c r="Y1194" s="62"/>
      <c r="Z1194" s="64"/>
      <c r="AA1194" s="164"/>
      <c r="AB1194" s="62"/>
      <c r="AC1194" s="62"/>
      <c r="AD1194" s="64"/>
      <c r="AE1194" s="164"/>
      <c r="AF1194" s="62"/>
      <c r="AG1194" s="64"/>
      <c r="AH1194" s="337">
        <v>538</v>
      </c>
      <c r="AI1194" s="337">
        <v>0</v>
      </c>
      <c r="AJ1194" s="337">
        <v>0</v>
      </c>
      <c r="AK1194" s="337">
        <v>0</v>
      </c>
      <c r="AL1194" s="552">
        <v>538</v>
      </c>
      <c r="AM1194" s="552">
        <v>538</v>
      </c>
      <c r="AN1194" s="552" t="s">
        <v>765</v>
      </c>
      <c r="AO1194" s="567" t="s">
        <v>772</v>
      </c>
      <c r="AP1194" s="45"/>
      <c r="AQ1194" s="485">
        <f>AL1194/BI1194</f>
        <v>0.2270042194092827</v>
      </c>
      <c r="AR1194" s="485">
        <f>BL1194/BH1194</f>
        <v>2.7222222222222223</v>
      </c>
      <c r="AS1194" s="485">
        <f>BL1194/BI1194</f>
        <v>0.20675105485232068</v>
      </c>
      <c r="AT1194" s="100"/>
      <c r="AU1194" s="100"/>
      <c r="AV1194" s="100"/>
      <c r="AW1194" s="18">
        <v>26</v>
      </c>
      <c r="AX1194" s="69" t="s">
        <v>301</v>
      </c>
      <c r="AY1194" s="243" t="s">
        <v>60</v>
      </c>
      <c r="AZ1194" s="243" t="str">
        <f t="shared" si="483"/>
        <v>Chum</v>
      </c>
      <c r="BA1194" s="243" t="s">
        <v>419</v>
      </c>
      <c r="BB1194" s="246" t="s">
        <v>460</v>
      </c>
      <c r="BC1194" s="43" t="str">
        <f t="shared" si="484"/>
        <v>Nov 12-18</v>
      </c>
      <c r="BD1194" s="43">
        <f t="shared" si="482"/>
        <v>2</v>
      </c>
      <c r="BE1194" s="193">
        <f t="shared" si="496"/>
        <v>490</v>
      </c>
      <c r="BF1194" s="193">
        <f t="shared" si="485"/>
        <v>538</v>
      </c>
      <c r="BG1194" s="193">
        <f t="shared" si="486"/>
        <v>538</v>
      </c>
      <c r="BH1194" s="307">
        <f t="shared" si="499"/>
        <v>180</v>
      </c>
      <c r="BI1194" s="265">
        <f>CC1194</f>
        <v>2370</v>
      </c>
      <c r="BJ1194" s="26" t="str">
        <f t="shared" si="487"/>
        <v>EASY CREEKChum</v>
      </c>
      <c r="BK1194" s="26">
        <f t="shared" si="488"/>
        <v>2</v>
      </c>
      <c r="BL1194" s="33">
        <f t="shared" si="502"/>
        <v>490</v>
      </c>
      <c r="BQ1194" s="47" t="str">
        <f t="shared" si="489"/>
        <v>EASY CREEKChum</v>
      </c>
      <c r="BR1194" s="49">
        <f t="shared" si="490"/>
        <v>0</v>
      </c>
      <c r="BS1194" s="49">
        <f t="shared" si="500"/>
        <v>538</v>
      </c>
      <c r="BT1194" s="31">
        <v>2015</v>
      </c>
      <c r="BU1194" s="188" t="str">
        <f t="shared" si="491"/>
        <v>KCFN</v>
      </c>
      <c r="BV1194" s="188" t="str">
        <f t="shared" si="495"/>
        <v xml:space="preserve"> </v>
      </c>
      <c r="BW1194" s="188" t="str">
        <f t="shared" si="501"/>
        <v>Nov 12-18</v>
      </c>
      <c r="BX1194" s="188" t="str">
        <f t="shared" si="492"/>
        <v xml:space="preserve"> </v>
      </c>
      <c r="BY1194" s="50" t="str">
        <f t="shared" si="481"/>
        <v>EASY CREEK_Chum</v>
      </c>
      <c r="BZ1194" s="50">
        <f>IFERROR(VLOOKUP(BY1194,'[1]WCVI Esc'!$C$5:$W$555,18,FALSE),"-")</f>
        <v>196</v>
      </c>
      <c r="CA1194" s="50">
        <f t="shared" si="493"/>
        <v>200</v>
      </c>
      <c r="CB1194" s="50">
        <f>IFERROR(VLOOKUP(BY1194,'[1]WCVI Esc'!$C$5:$W$555,19,FALSE),"-")</f>
        <v>2370.8888888888887</v>
      </c>
      <c r="CC1194" s="50">
        <f t="shared" si="494"/>
        <v>2370</v>
      </c>
      <c r="CE1194" s="342" t="str">
        <f t="shared" si="498"/>
        <v>EASY CREEK_Chum</v>
      </c>
      <c r="CF1194" s="341">
        <f>IFERROR(VLOOKUP(CE1194,'RawPL+D'!$O$8:$AB$503,12,FALSE),"-")</f>
        <v>0</v>
      </c>
      <c r="CG1194" s="338">
        <f t="shared" si="478"/>
        <v>0</v>
      </c>
      <c r="CH1194" s="341">
        <f>IFERROR(VLOOKUP(BY1194,'RawPL+D'!$O$8:$AB$503,13,FALSE),"-")</f>
        <v>176.33333333333334</v>
      </c>
      <c r="CI1194" s="338">
        <f t="shared" si="479"/>
        <v>180</v>
      </c>
    </row>
    <row r="1195" spans="1:87" ht="12.75" hidden="1" customHeight="1" x14ac:dyDescent="0.2">
      <c r="A1195" s="28">
        <v>3</v>
      </c>
      <c r="B1195" s="28">
        <v>5</v>
      </c>
      <c r="C1195" s="11">
        <v>26</v>
      </c>
      <c r="D1195" s="149" t="s">
        <v>301</v>
      </c>
      <c r="E1195" s="10" t="s">
        <v>60</v>
      </c>
      <c r="F1195" s="10" t="s">
        <v>210</v>
      </c>
      <c r="G1195" s="10"/>
      <c r="H1195" s="10"/>
      <c r="I1195" s="10"/>
      <c r="J1195" s="10"/>
      <c r="K1195" s="575"/>
      <c r="L1195" s="152"/>
      <c r="M1195" s="430"/>
      <c r="N1195" s="339"/>
      <c r="O1195" s="62"/>
      <c r="P1195" s="182"/>
      <c r="Q1195" s="171"/>
      <c r="R1195" s="94"/>
      <c r="S1195" s="659"/>
      <c r="T1195" s="62"/>
      <c r="U1195" s="162"/>
      <c r="V1195" s="641">
        <v>0</v>
      </c>
      <c r="W1195" s="642">
        <v>0</v>
      </c>
      <c r="X1195" s="63"/>
      <c r="Y1195" s="62"/>
      <c r="Z1195" s="64"/>
      <c r="AA1195" s="164"/>
      <c r="AB1195" s="62"/>
      <c r="AC1195" s="62"/>
      <c r="AD1195" s="64"/>
      <c r="AE1195" s="164"/>
      <c r="AF1195" s="62"/>
      <c r="AG1195" s="64"/>
      <c r="AH1195" s="337"/>
      <c r="AI1195" s="337"/>
      <c r="AJ1195" s="337"/>
      <c r="AK1195" s="337"/>
      <c r="AL1195" s="552" t="s">
        <v>770</v>
      </c>
      <c r="AM1195" s="552"/>
      <c r="AN1195" s="45"/>
      <c r="AO1195" s="567" t="s">
        <v>780</v>
      </c>
      <c r="AP1195" s="45"/>
      <c r="AQ1195" s="485" t="e">
        <f>AL1195/BI1195</f>
        <v>#VALUE!</v>
      </c>
      <c r="AR1195" s="485">
        <f>BL1195/BH1195</f>
        <v>0</v>
      </c>
      <c r="AS1195" s="485">
        <f>BL1195/BI1195</f>
        <v>0</v>
      </c>
      <c r="AT1195" s="24"/>
      <c r="AU1195" s="24"/>
      <c r="AV1195" s="24"/>
      <c r="AW1195" s="18">
        <v>26</v>
      </c>
      <c r="AX1195" s="69" t="s">
        <v>301</v>
      </c>
      <c r="AY1195" s="243" t="s">
        <v>60</v>
      </c>
      <c r="AZ1195" s="243" t="str">
        <f t="shared" si="483"/>
        <v>Chinook</v>
      </c>
      <c r="BA1195" s="243" t="s">
        <v>419</v>
      </c>
      <c r="BB1195" s="246" t="s">
        <v>460</v>
      </c>
      <c r="BC1195" s="43" t="str">
        <f t="shared" si="484"/>
        <v>Nov 12-18</v>
      </c>
      <c r="BD1195" s="43">
        <f t="shared" si="482"/>
        <v>2</v>
      </c>
      <c r="BE1195" s="193">
        <f t="shared" si="496"/>
        <v>0</v>
      </c>
      <c r="BF1195" s="193" t="str">
        <f t="shared" si="485"/>
        <v>NO</v>
      </c>
      <c r="BG1195" s="193">
        <f t="shared" si="486"/>
        <v>0</v>
      </c>
      <c r="BH1195" s="307">
        <f t="shared" si="499"/>
        <v>10</v>
      </c>
      <c r="BI1195" s="265">
        <f>CC1195</f>
        <v>10</v>
      </c>
      <c r="BJ1195" s="26" t="str">
        <f t="shared" si="487"/>
        <v>EASY CREEKChinook</v>
      </c>
      <c r="BK1195" s="26">
        <f t="shared" si="488"/>
        <v>2</v>
      </c>
      <c r="BL1195" s="33">
        <f t="shared" si="502"/>
        <v>0</v>
      </c>
      <c r="BQ1195" s="47" t="str">
        <f t="shared" si="489"/>
        <v>EASY CREEKChinook</v>
      </c>
      <c r="BR1195" s="49">
        <f t="shared" si="490"/>
        <v>0</v>
      </c>
      <c r="BS1195" s="49" t="str">
        <f t="shared" si="500"/>
        <v>NO</v>
      </c>
      <c r="BT1195" s="31">
        <v>2013</v>
      </c>
      <c r="BU1195" s="188" t="str">
        <f t="shared" si="491"/>
        <v>KCFN</v>
      </c>
      <c r="BV1195" s="188" t="str">
        <f t="shared" si="495"/>
        <v xml:space="preserve"> </v>
      </c>
      <c r="BW1195" s="188" t="str">
        <f t="shared" si="501"/>
        <v>Nov 12-18</v>
      </c>
      <c r="BX1195" s="188" t="str">
        <f t="shared" si="492"/>
        <v xml:space="preserve"> </v>
      </c>
      <c r="BY1195" s="50" t="str">
        <f t="shared" si="481"/>
        <v>EASY CREEK_Chinook</v>
      </c>
      <c r="BZ1195" s="50">
        <f>IFERROR(VLOOKUP(BY1195,'[1]WCVI Esc'!$C$5:$W$555,18,FALSE),"-")</f>
        <v>7.666666666666667</v>
      </c>
      <c r="CA1195" s="50">
        <f t="shared" si="493"/>
        <v>10</v>
      </c>
      <c r="CB1195" s="50">
        <f>IFERROR(VLOOKUP(BY1195,'[1]WCVI Esc'!$C$5:$W$555,19,FALSE),"-")</f>
        <v>11.666666666666666</v>
      </c>
      <c r="CC1195" s="50">
        <f t="shared" si="494"/>
        <v>10</v>
      </c>
      <c r="CE1195" s="342" t="str">
        <f t="shared" si="498"/>
        <v>EASY CREEK_Chinook</v>
      </c>
      <c r="CF1195" s="341">
        <f>IFERROR(VLOOKUP(CE1195,'RawPL+D'!$O$8:$AB$503,12,FALSE),"-")</f>
        <v>0</v>
      </c>
      <c r="CG1195" s="338">
        <f t="shared" si="478"/>
        <v>0</v>
      </c>
      <c r="CH1195" s="341">
        <f>IFERROR(VLOOKUP(BY1195,'RawPL+D'!$O$8:$AB$503,13,FALSE),"-")</f>
        <v>6.333333333333333</v>
      </c>
      <c r="CI1195" s="338">
        <f t="shared" si="479"/>
        <v>10</v>
      </c>
    </row>
    <row r="1196" spans="1:87" ht="12.75" hidden="1" customHeight="1" x14ac:dyDescent="0.2">
      <c r="A1196" s="28">
        <v>3</v>
      </c>
      <c r="B1196" s="28">
        <v>6</v>
      </c>
      <c r="C1196" s="11">
        <v>26</v>
      </c>
      <c r="D1196" s="149" t="s">
        <v>301</v>
      </c>
      <c r="E1196" s="10" t="s">
        <v>60</v>
      </c>
      <c r="F1196" s="10" t="s">
        <v>211</v>
      </c>
      <c r="G1196" s="10"/>
      <c r="H1196" s="10"/>
      <c r="I1196" s="10"/>
      <c r="J1196" s="10"/>
      <c r="K1196" s="575"/>
      <c r="L1196" s="152"/>
      <c r="M1196" s="430"/>
      <c r="N1196" s="339"/>
      <c r="O1196" s="62"/>
      <c r="P1196" s="177"/>
      <c r="Q1196" s="171"/>
      <c r="R1196" s="94"/>
      <c r="S1196" s="659"/>
      <c r="T1196" s="62"/>
      <c r="U1196" s="162"/>
      <c r="V1196" s="641">
        <v>0</v>
      </c>
      <c r="W1196" s="642">
        <v>0</v>
      </c>
      <c r="X1196" s="63"/>
      <c r="Y1196" s="62"/>
      <c r="Z1196" s="64"/>
      <c r="AA1196" s="164"/>
      <c r="AB1196" s="62"/>
      <c r="AC1196" s="62"/>
      <c r="AD1196" s="64"/>
      <c r="AE1196" s="164"/>
      <c r="AF1196" s="62"/>
      <c r="AG1196" s="64"/>
      <c r="AH1196" s="337"/>
      <c r="AI1196" s="337"/>
      <c r="AJ1196" s="337"/>
      <c r="AK1196" s="337"/>
      <c r="AL1196" s="552"/>
      <c r="AM1196" s="552"/>
      <c r="AN1196" s="45"/>
      <c r="AO1196" s="45"/>
      <c r="AP1196" s="45"/>
      <c r="AQ1196" s="485"/>
      <c r="AR1196"/>
      <c r="AS1196" s="485"/>
      <c r="AT1196" s="24"/>
      <c r="AU1196" s="24"/>
      <c r="AV1196" s="24"/>
      <c r="AW1196" s="18">
        <v>26</v>
      </c>
      <c r="AX1196" s="69" t="s">
        <v>301</v>
      </c>
      <c r="AY1196" s="243" t="s">
        <v>60</v>
      </c>
      <c r="AZ1196" s="243" t="str">
        <f t="shared" si="483"/>
        <v>Steelhead</v>
      </c>
      <c r="BA1196" s="243" t="s">
        <v>419</v>
      </c>
      <c r="BB1196" s="246" t="s">
        <v>460</v>
      </c>
      <c r="BC1196" s="43" t="str">
        <f t="shared" si="484"/>
        <v>Nov 12-18</v>
      </c>
      <c r="BD1196" s="43">
        <f t="shared" si="482"/>
        <v>2</v>
      </c>
      <c r="BE1196" s="193">
        <f t="shared" si="496"/>
        <v>0</v>
      </c>
      <c r="BF1196" s="193">
        <f t="shared" si="485"/>
        <v>0</v>
      </c>
      <c r="BG1196" s="193">
        <f t="shared" si="486"/>
        <v>0</v>
      </c>
      <c r="BH1196" s="307" t="str">
        <f t="shared" si="499"/>
        <v>-</v>
      </c>
      <c r="BI1196" s="266"/>
      <c r="BJ1196" s="26" t="str">
        <f t="shared" si="487"/>
        <v>EASY CREEKSteelhead</v>
      </c>
      <c r="BK1196" s="26">
        <f t="shared" si="488"/>
        <v>2</v>
      </c>
      <c r="BL1196" s="33">
        <f t="shared" si="502"/>
        <v>0</v>
      </c>
      <c r="BQ1196" s="47" t="str">
        <f t="shared" si="489"/>
        <v>EASY CREEKSteelhead</v>
      </c>
      <c r="BR1196" s="49">
        <f t="shared" si="490"/>
        <v>0</v>
      </c>
      <c r="BS1196" s="49">
        <f t="shared" si="500"/>
        <v>0</v>
      </c>
      <c r="BT1196" s="31">
        <v>0</v>
      </c>
      <c r="BU1196" s="188" t="str">
        <f t="shared" si="491"/>
        <v>KCFN</v>
      </c>
      <c r="BV1196" s="188" t="str">
        <f t="shared" si="495"/>
        <v xml:space="preserve"> </v>
      </c>
      <c r="BW1196" s="188" t="str">
        <f t="shared" si="501"/>
        <v>Nov 12-18</v>
      </c>
      <c r="BX1196" s="188" t="str">
        <f t="shared" si="492"/>
        <v xml:space="preserve"> </v>
      </c>
      <c r="BY1196" s="50" t="str">
        <f t="shared" si="481"/>
        <v>EASY CREEK_Steelhead</v>
      </c>
      <c r="BZ1196" s="50" t="str">
        <f>IFERROR(VLOOKUP(BY1196,'[1]WCVI Esc'!$C$5:$W$555,18,FALSE),"-")</f>
        <v>-</v>
      </c>
      <c r="CA1196" s="50" t="str">
        <f t="shared" si="493"/>
        <v>-</v>
      </c>
      <c r="CB1196" s="50" t="str">
        <f>IFERROR(VLOOKUP(BY1196,'[1]WCVI Esc'!$C$5:$W$555,19,FALSE),"-")</f>
        <v>-</v>
      </c>
      <c r="CC1196" s="50" t="str">
        <f t="shared" si="494"/>
        <v>-</v>
      </c>
      <c r="CE1196" s="342" t="str">
        <f t="shared" si="498"/>
        <v>EASY CREEK_Steelhead</v>
      </c>
      <c r="CF1196" s="341" t="str">
        <f>IFERROR(VLOOKUP(BY1196,'RawPL+D'!$O$8:$AB$503,12,FALSE),"-")</f>
        <v>-</v>
      </c>
      <c r="CG1196" s="338" t="str">
        <f t="shared" si="478"/>
        <v>-</v>
      </c>
      <c r="CH1196" s="341" t="str">
        <f>IFERROR(VLOOKUP(BY1196,'RawPL+D'!$O$8:$AB$503,13,FALSE),"-")</f>
        <v>-</v>
      </c>
      <c r="CI1196" s="338" t="str">
        <f t="shared" si="479"/>
        <v>-</v>
      </c>
    </row>
    <row r="1197" spans="1:87" ht="12.75" hidden="1" customHeight="1" x14ac:dyDescent="0.2">
      <c r="A1197" s="28">
        <v>3</v>
      </c>
      <c r="B1197" s="28">
        <v>1</v>
      </c>
      <c r="C1197" s="11">
        <v>26</v>
      </c>
      <c r="D1197" s="149" t="s">
        <v>301</v>
      </c>
      <c r="E1197" s="10" t="s">
        <v>61</v>
      </c>
      <c r="F1197" s="10" t="s">
        <v>207</v>
      </c>
      <c r="G1197" s="10"/>
      <c r="H1197" s="10"/>
      <c r="I1197" s="10"/>
      <c r="J1197" s="10"/>
      <c r="K1197" s="575"/>
      <c r="L1197" s="152"/>
      <c r="M1197" s="422"/>
      <c r="N1197" s="339"/>
      <c r="O1197" s="62"/>
      <c r="P1197" s="424"/>
      <c r="Q1197" s="171"/>
      <c r="R1197" s="590"/>
      <c r="S1197" s="339"/>
      <c r="T1197" s="63"/>
      <c r="U1197" s="162"/>
      <c r="V1197" s="169"/>
      <c r="W1197" s="62"/>
      <c r="X1197" s="63"/>
      <c r="Y1197" s="62"/>
      <c r="Z1197" s="64"/>
      <c r="AA1197" s="164"/>
      <c r="AB1197" s="62"/>
      <c r="AC1197" s="62"/>
      <c r="AD1197" s="64"/>
      <c r="AE1197" s="164"/>
      <c r="AF1197" s="62"/>
      <c r="AG1197" s="64"/>
      <c r="AH1197" s="337"/>
      <c r="AI1197" s="337"/>
      <c r="AJ1197" s="337"/>
      <c r="AK1197" s="337"/>
      <c r="AL1197" s="414"/>
      <c r="AM1197" s="414"/>
      <c r="AN1197" s="45"/>
      <c r="AO1197" s="45"/>
      <c r="AP1197" s="44"/>
      <c r="AQ1197" s="485"/>
      <c r="AR1197"/>
      <c r="AS1197" s="485"/>
      <c r="AT1197" s="491"/>
      <c r="AU1197" s="491"/>
      <c r="AV1197" s="491"/>
      <c r="AW1197" s="18">
        <v>26</v>
      </c>
      <c r="AX1197" s="69" t="s">
        <v>301</v>
      </c>
      <c r="AY1197" s="243" t="s">
        <v>61</v>
      </c>
      <c r="AZ1197" s="243" t="str">
        <f t="shared" si="483"/>
        <v>Sockeye</v>
      </c>
      <c r="BA1197" s="243" t="s">
        <v>419</v>
      </c>
      <c r="BB1197" s="244" t="s">
        <v>292</v>
      </c>
      <c r="BC1197" s="43" t="str">
        <f t="shared" si="484"/>
        <v>-</v>
      </c>
      <c r="BD1197" s="43">
        <f t="shared" si="482"/>
        <v>0</v>
      </c>
      <c r="BE1197" s="193">
        <f t="shared" si="496"/>
        <v>0</v>
      </c>
      <c r="BF1197" s="193">
        <f t="shared" si="485"/>
        <v>0</v>
      </c>
      <c r="BG1197" s="193">
        <f t="shared" si="486"/>
        <v>0</v>
      </c>
      <c r="BH1197" s="307" t="str">
        <f t="shared" si="499"/>
        <v>-</v>
      </c>
      <c r="BI1197" s="265" t="str">
        <f t="shared" ref="BI1197:BI1204" si="503">CC1197</f>
        <v>-</v>
      </c>
      <c r="BJ1197" s="26" t="str">
        <f t="shared" si="487"/>
        <v>JANSEN CREEKSockeye</v>
      </c>
      <c r="BK1197" s="26">
        <f t="shared" si="488"/>
        <v>0</v>
      </c>
      <c r="BL1197" s="33">
        <f t="shared" si="502"/>
        <v>0</v>
      </c>
      <c r="BQ1197" s="47" t="str">
        <f t="shared" si="489"/>
        <v>JANSEN CREEKSockeye</v>
      </c>
      <c r="BR1197" s="49">
        <f t="shared" si="490"/>
        <v>0</v>
      </c>
      <c r="BS1197" s="49">
        <f t="shared" si="500"/>
        <v>0</v>
      </c>
      <c r="BT1197" s="31">
        <v>1992</v>
      </c>
      <c r="BU1197" s="188" t="str">
        <f t="shared" si="491"/>
        <v>KCFN/LGL</v>
      </c>
      <c r="BV1197" s="188" t="str">
        <f t="shared" si="495"/>
        <v xml:space="preserve"> </v>
      </c>
      <c r="BW1197" s="188" t="str">
        <f t="shared" si="501"/>
        <v xml:space="preserve"> </v>
      </c>
      <c r="BX1197" s="188" t="str">
        <f t="shared" si="492"/>
        <v xml:space="preserve"> </v>
      </c>
      <c r="BY1197" s="50" t="str">
        <f t="shared" si="481"/>
        <v>JANSEN CREEK_Sockeye</v>
      </c>
      <c r="BZ1197" s="50" t="str">
        <f>IFERROR(VLOOKUP(BY1197,'[1]WCVI Esc'!$C$5:$W$555,18,FALSE),"-")</f>
        <v>-</v>
      </c>
      <c r="CA1197" s="50" t="str">
        <f t="shared" si="493"/>
        <v>-</v>
      </c>
      <c r="CB1197" s="50" t="str">
        <f>IFERROR(VLOOKUP(BY1197,'[1]WCVI Esc'!$C$5:$W$555,19,FALSE),"-")</f>
        <v>-</v>
      </c>
      <c r="CC1197" s="50" t="str">
        <f t="shared" si="494"/>
        <v>-</v>
      </c>
      <c r="CE1197" s="342" t="str">
        <f t="shared" si="498"/>
        <v>JANSEN CREEK_Sockeye</v>
      </c>
      <c r="CF1197" s="341" t="str">
        <f>IFERROR(VLOOKUP(BY1197,'RawPL+D'!$O$8:$AB$503,12,FALSE),"-")</f>
        <v>-</v>
      </c>
      <c r="CG1197" s="338" t="str">
        <f t="shared" si="478"/>
        <v>-</v>
      </c>
      <c r="CH1197" s="341" t="str">
        <f>IFERROR(VLOOKUP(BY1197,'RawPL+D'!$O$8:$AB$503,13,FALSE),"-")</f>
        <v>-</v>
      </c>
      <c r="CI1197" s="338" t="str">
        <f t="shared" si="479"/>
        <v>-</v>
      </c>
    </row>
    <row r="1198" spans="1:87" ht="12.75" hidden="1" customHeight="1" x14ac:dyDescent="0.2">
      <c r="A1198" s="28">
        <v>3</v>
      </c>
      <c r="B1198" s="28">
        <v>2</v>
      </c>
      <c r="C1198" s="11">
        <v>26</v>
      </c>
      <c r="D1198" s="149" t="s">
        <v>301</v>
      </c>
      <c r="E1198" s="10" t="s">
        <v>61</v>
      </c>
      <c r="F1198" s="10" t="s">
        <v>219</v>
      </c>
      <c r="G1198" s="10"/>
      <c r="H1198" s="10"/>
      <c r="I1198" s="10"/>
      <c r="J1198" s="10"/>
      <c r="K1198" s="575"/>
      <c r="L1198" s="152"/>
      <c r="M1198" s="422"/>
      <c r="N1198" s="339"/>
      <c r="O1198" s="62"/>
      <c r="P1198" s="424"/>
      <c r="Q1198" s="171"/>
      <c r="R1198" s="590"/>
      <c r="S1198" s="339"/>
      <c r="T1198" s="63"/>
      <c r="U1198" s="162"/>
      <c r="V1198" s="164"/>
      <c r="W1198" s="62"/>
      <c r="X1198" s="63"/>
      <c r="Y1198" s="62"/>
      <c r="Z1198" s="64"/>
      <c r="AA1198" s="164"/>
      <c r="AB1198" s="62"/>
      <c r="AC1198" s="62"/>
      <c r="AD1198" s="64"/>
      <c r="AE1198" s="164"/>
      <c r="AF1198" s="62"/>
      <c r="AG1198" s="64"/>
      <c r="AH1198" s="337"/>
      <c r="AI1198" s="337"/>
      <c r="AJ1198" s="337"/>
      <c r="AK1198" s="337"/>
      <c r="AL1198" s="414"/>
      <c r="AM1198" s="414"/>
      <c r="AN1198" s="45"/>
      <c r="AO1198" s="45"/>
      <c r="AP1198" s="44"/>
      <c r="AQ1198" s="485"/>
      <c r="AR1198"/>
      <c r="AS1198" s="485"/>
      <c r="AT1198" s="491"/>
      <c r="AU1198" s="491"/>
      <c r="AV1198" s="491"/>
      <c r="AW1198" s="18">
        <v>26</v>
      </c>
      <c r="AX1198" s="69" t="s">
        <v>301</v>
      </c>
      <c r="AY1198" s="243" t="s">
        <v>61</v>
      </c>
      <c r="AZ1198" s="243" t="str">
        <f t="shared" si="483"/>
        <v>Coho</v>
      </c>
      <c r="BA1198" s="243" t="s">
        <v>419</v>
      </c>
      <c r="BB1198" s="244" t="s">
        <v>292</v>
      </c>
      <c r="BC1198" s="43" t="str">
        <f t="shared" si="484"/>
        <v>-</v>
      </c>
      <c r="BD1198" s="43">
        <f t="shared" si="482"/>
        <v>0</v>
      </c>
      <c r="BE1198" s="193">
        <f t="shared" si="496"/>
        <v>0</v>
      </c>
      <c r="BF1198" s="193">
        <f t="shared" si="485"/>
        <v>0</v>
      </c>
      <c r="BG1198" s="193">
        <f t="shared" si="486"/>
        <v>0</v>
      </c>
      <c r="BH1198" s="307" t="str">
        <f t="shared" si="499"/>
        <v>-</v>
      </c>
      <c r="BI1198" s="265" t="str">
        <f t="shared" si="503"/>
        <v>-</v>
      </c>
      <c r="BJ1198" s="26" t="str">
        <f t="shared" si="487"/>
        <v>JANSEN CREEKCoho</v>
      </c>
      <c r="BK1198" s="26">
        <f t="shared" si="488"/>
        <v>0</v>
      </c>
      <c r="BL1198" s="33">
        <f t="shared" si="502"/>
        <v>0</v>
      </c>
      <c r="BQ1198" s="47" t="str">
        <f t="shared" si="489"/>
        <v>JANSEN CREEKCoho</v>
      </c>
      <c r="BR1198" s="49">
        <f t="shared" si="490"/>
        <v>0</v>
      </c>
      <c r="BS1198" s="49">
        <f t="shared" si="500"/>
        <v>0</v>
      </c>
      <c r="BT1198" s="31">
        <v>2015</v>
      </c>
      <c r="BU1198" s="188" t="str">
        <f t="shared" si="491"/>
        <v>KCFN/LGL</v>
      </c>
      <c r="BV1198" s="188" t="str">
        <f t="shared" ref="BV1198:BV1229" si="504">IF(ISNUMBER(Q1198),Q$8,IF(ISNUMBER(P1198),P$8,IF(ISNUMBER(O1198),O$8,IF(ISNUMBER(N1198),N$8,IF(ISNUMBER(M1198),M$8,IF(ISNUMBER(L1198),L$8, IF(ISNUMBER(K1198),K$8," ")))))))</f>
        <v xml:space="preserve"> </v>
      </c>
      <c r="BW1198" s="188" t="str">
        <f t="shared" si="501"/>
        <v xml:space="preserve"> </v>
      </c>
      <c r="BX1198" s="188" t="str">
        <f t="shared" si="492"/>
        <v xml:space="preserve"> </v>
      </c>
      <c r="BY1198" s="50" t="str">
        <f t="shared" si="481"/>
        <v>JANSEN CREEK_Coho</v>
      </c>
      <c r="BZ1198" s="50" t="str">
        <f>IFERROR(VLOOKUP(BY1198,'[1]WCVI Esc'!$C$5:$W$555,18,FALSE),"-")</f>
        <v>-</v>
      </c>
      <c r="CA1198" s="50" t="str">
        <f t="shared" si="493"/>
        <v>-</v>
      </c>
      <c r="CB1198" s="50" t="str">
        <f>IFERROR(VLOOKUP(BY1198,'[1]WCVI Esc'!$C$5:$W$555,19,FALSE),"-")</f>
        <v>-</v>
      </c>
      <c r="CC1198" s="50" t="str">
        <f t="shared" si="494"/>
        <v>-</v>
      </c>
      <c r="CE1198" s="342" t="str">
        <f t="shared" si="498"/>
        <v>JANSEN CREEK_Coho</v>
      </c>
      <c r="CF1198" s="341" t="str">
        <f>IFERROR(VLOOKUP(BY1198,'RawPL+D'!$O$8:$AB$503,12,FALSE),"-")</f>
        <v>-</v>
      </c>
      <c r="CG1198" s="338" t="str">
        <f t="shared" si="478"/>
        <v>-</v>
      </c>
      <c r="CH1198" s="341" t="str">
        <f>IFERROR(VLOOKUP(BY1198,'RawPL+D'!$O$8:$AB$503,13,FALSE),"-")</f>
        <v>-</v>
      </c>
      <c r="CI1198" s="338" t="str">
        <f t="shared" si="479"/>
        <v>-</v>
      </c>
    </row>
    <row r="1199" spans="1:87" ht="12.75" hidden="1" customHeight="1" x14ac:dyDescent="0.2">
      <c r="A1199" s="28">
        <v>3</v>
      </c>
      <c r="B1199" s="28">
        <v>3</v>
      </c>
      <c r="C1199" s="11">
        <v>26</v>
      </c>
      <c r="D1199" s="149" t="s">
        <v>301</v>
      </c>
      <c r="E1199" s="10" t="s">
        <v>61</v>
      </c>
      <c r="F1199" s="10" t="s">
        <v>208</v>
      </c>
      <c r="G1199" s="10"/>
      <c r="H1199" s="10"/>
      <c r="I1199" s="10"/>
      <c r="J1199" s="10"/>
      <c r="K1199" s="575"/>
      <c r="L1199" s="152"/>
      <c r="M1199" s="422"/>
      <c r="N1199" s="339"/>
      <c r="O1199" s="62"/>
      <c r="P1199" s="424"/>
      <c r="Q1199" s="171"/>
      <c r="R1199" s="590"/>
      <c r="S1199" s="339"/>
      <c r="T1199" s="63"/>
      <c r="U1199" s="162"/>
      <c r="V1199" s="169"/>
      <c r="W1199" s="62"/>
      <c r="X1199" s="63"/>
      <c r="Y1199" s="62"/>
      <c r="Z1199" s="64"/>
      <c r="AA1199" s="164"/>
      <c r="AB1199" s="62"/>
      <c r="AC1199" s="62"/>
      <c r="AD1199" s="64"/>
      <c r="AE1199" s="164"/>
      <c r="AF1199" s="62"/>
      <c r="AG1199" s="64"/>
      <c r="AH1199" s="337"/>
      <c r="AI1199" s="337"/>
      <c r="AJ1199" s="337"/>
      <c r="AK1199" s="337"/>
      <c r="AL1199" s="414"/>
      <c r="AM1199" s="414"/>
      <c r="AN1199" s="45"/>
      <c r="AO1199" s="45"/>
      <c r="AP1199" s="44"/>
      <c r="AQ1199" s="485"/>
      <c r="AR1199"/>
      <c r="AS1199" s="485"/>
      <c r="AT1199" s="491"/>
      <c r="AU1199" s="491"/>
      <c r="AV1199" s="491"/>
      <c r="AW1199" s="18">
        <v>26</v>
      </c>
      <c r="AX1199" s="69" t="s">
        <v>301</v>
      </c>
      <c r="AY1199" s="243" t="s">
        <v>61</v>
      </c>
      <c r="AZ1199" s="243" t="str">
        <f t="shared" si="483"/>
        <v>Pink</v>
      </c>
      <c r="BA1199" s="243" t="s">
        <v>419</v>
      </c>
      <c r="BB1199" s="244" t="s">
        <v>292</v>
      </c>
      <c r="BC1199" s="43" t="str">
        <f t="shared" si="484"/>
        <v>-</v>
      </c>
      <c r="BD1199" s="43">
        <f t="shared" si="482"/>
        <v>0</v>
      </c>
      <c r="BE1199" s="193">
        <f t="shared" si="496"/>
        <v>0</v>
      </c>
      <c r="BF1199" s="193">
        <f t="shared" si="485"/>
        <v>0</v>
      </c>
      <c r="BG1199" s="193">
        <f t="shared" si="486"/>
        <v>0</v>
      </c>
      <c r="BH1199" s="307" t="str">
        <f t="shared" si="499"/>
        <v>-</v>
      </c>
      <c r="BI1199" s="265" t="str">
        <f t="shared" si="503"/>
        <v>-</v>
      </c>
      <c r="BJ1199" s="26" t="str">
        <f t="shared" si="487"/>
        <v>JANSEN CREEKPink</v>
      </c>
      <c r="BK1199" s="26">
        <f t="shared" si="488"/>
        <v>0</v>
      </c>
      <c r="BL1199" s="33">
        <f t="shared" si="502"/>
        <v>0</v>
      </c>
      <c r="BQ1199" s="47" t="str">
        <f t="shared" si="489"/>
        <v>JANSEN CREEKPink</v>
      </c>
      <c r="BR1199" s="49">
        <f t="shared" si="490"/>
        <v>0</v>
      </c>
      <c r="BS1199" s="49">
        <f t="shared" si="500"/>
        <v>0</v>
      </c>
      <c r="BT1199" s="31">
        <v>0</v>
      </c>
      <c r="BU1199" s="188" t="str">
        <f t="shared" si="491"/>
        <v>KCFN/LGL</v>
      </c>
      <c r="BV1199" s="188" t="str">
        <f t="shared" si="504"/>
        <v xml:space="preserve"> </v>
      </c>
      <c r="BW1199" s="188" t="str">
        <f t="shared" si="501"/>
        <v xml:space="preserve"> </v>
      </c>
      <c r="BX1199" s="188" t="str">
        <f t="shared" si="492"/>
        <v xml:space="preserve"> </v>
      </c>
      <c r="BY1199" s="50" t="str">
        <f t="shared" si="481"/>
        <v>JANSEN CREEK_Pink</v>
      </c>
      <c r="BZ1199" s="50" t="str">
        <f>IFERROR(VLOOKUP(BY1199,'[1]WCVI Esc'!$C$5:$W$555,18,FALSE),"-")</f>
        <v>-</v>
      </c>
      <c r="CA1199" s="50" t="str">
        <f t="shared" si="493"/>
        <v>-</v>
      </c>
      <c r="CB1199" s="50" t="str">
        <f>IFERROR(VLOOKUP(BY1199,'[1]WCVI Esc'!$C$5:$W$555,19,FALSE),"-")</f>
        <v>-</v>
      </c>
      <c r="CC1199" s="50" t="str">
        <f t="shared" si="494"/>
        <v>-</v>
      </c>
      <c r="CE1199" s="342" t="str">
        <f t="shared" si="498"/>
        <v>JANSEN CREEK_Pink</v>
      </c>
      <c r="CF1199" s="341" t="str">
        <f>IFERROR(VLOOKUP(BY1199,'RawPL+D'!$O$8:$AB$503,12,FALSE),"-")</f>
        <v>-</v>
      </c>
      <c r="CG1199" s="338" t="str">
        <f t="shared" si="478"/>
        <v>-</v>
      </c>
      <c r="CH1199" s="341" t="str">
        <f>IFERROR(VLOOKUP(BY1199,'RawPL+D'!$O$8:$AB$503,13,FALSE),"-")</f>
        <v>-</v>
      </c>
      <c r="CI1199" s="338" t="str">
        <f t="shared" si="479"/>
        <v>-</v>
      </c>
    </row>
    <row r="1200" spans="1:87" ht="12.75" hidden="1" customHeight="1" x14ac:dyDescent="0.2">
      <c r="A1200" s="28">
        <v>3</v>
      </c>
      <c r="B1200" s="28">
        <v>4</v>
      </c>
      <c r="C1200" s="11">
        <v>26</v>
      </c>
      <c r="D1200" s="149" t="s">
        <v>301</v>
      </c>
      <c r="E1200" s="10" t="s">
        <v>61</v>
      </c>
      <c r="F1200" s="10" t="s">
        <v>209</v>
      </c>
      <c r="G1200" s="10"/>
      <c r="H1200" s="10"/>
      <c r="I1200" s="10"/>
      <c r="J1200" s="10"/>
      <c r="K1200" s="575"/>
      <c r="L1200" s="152"/>
      <c r="M1200" s="422"/>
      <c r="N1200" s="339"/>
      <c r="O1200" s="62"/>
      <c r="P1200" s="424"/>
      <c r="Q1200" s="171"/>
      <c r="R1200" s="590"/>
      <c r="S1200" s="339"/>
      <c r="T1200" s="63"/>
      <c r="U1200" s="162"/>
      <c r="V1200" s="169"/>
      <c r="W1200" s="62"/>
      <c r="X1200" s="63"/>
      <c r="Y1200" s="62"/>
      <c r="Z1200" s="64"/>
      <c r="AA1200" s="164"/>
      <c r="AB1200" s="62"/>
      <c r="AC1200" s="62"/>
      <c r="AD1200" s="64"/>
      <c r="AE1200" s="164"/>
      <c r="AF1200" s="62"/>
      <c r="AG1200" s="64"/>
      <c r="AH1200" s="337"/>
      <c r="AI1200" s="337"/>
      <c r="AJ1200" s="337"/>
      <c r="AK1200" s="337"/>
      <c r="AL1200" s="414"/>
      <c r="AM1200" s="414"/>
      <c r="AN1200" s="45"/>
      <c r="AO1200" s="45"/>
      <c r="AP1200" s="44"/>
      <c r="AQ1200" s="485"/>
      <c r="AR1200"/>
      <c r="AS1200" s="485"/>
      <c r="AT1200" s="491"/>
      <c r="AU1200" s="491"/>
      <c r="AV1200" s="679"/>
      <c r="AW1200" s="18">
        <v>26</v>
      </c>
      <c r="AX1200" s="69" t="s">
        <v>301</v>
      </c>
      <c r="AY1200" s="243" t="s">
        <v>61</v>
      </c>
      <c r="AZ1200" s="243" t="str">
        <f t="shared" si="483"/>
        <v>Chum</v>
      </c>
      <c r="BA1200" s="243" t="s">
        <v>419</v>
      </c>
      <c r="BB1200" s="244" t="s">
        <v>292</v>
      </c>
      <c r="BC1200" s="43" t="str">
        <f t="shared" si="484"/>
        <v>-</v>
      </c>
      <c r="BD1200" s="43">
        <f t="shared" si="482"/>
        <v>0</v>
      </c>
      <c r="BE1200" s="193">
        <f t="shared" si="496"/>
        <v>0</v>
      </c>
      <c r="BF1200" s="193">
        <f t="shared" si="485"/>
        <v>0</v>
      </c>
      <c r="BG1200" s="193">
        <f t="shared" si="486"/>
        <v>0</v>
      </c>
      <c r="BH1200" s="307" t="str">
        <f t="shared" si="499"/>
        <v>-</v>
      </c>
      <c r="BI1200" s="265" t="str">
        <f t="shared" si="503"/>
        <v>-</v>
      </c>
      <c r="BJ1200" s="26" t="str">
        <f t="shared" si="487"/>
        <v>JANSEN CREEKChum</v>
      </c>
      <c r="BK1200" s="26">
        <f t="shared" si="488"/>
        <v>0</v>
      </c>
      <c r="BL1200" s="33">
        <f t="shared" si="502"/>
        <v>0</v>
      </c>
      <c r="BQ1200" s="47" t="str">
        <f t="shared" si="489"/>
        <v>JANSEN CREEKChum</v>
      </c>
      <c r="BR1200" s="49">
        <f t="shared" si="490"/>
        <v>0</v>
      </c>
      <c r="BS1200" s="49">
        <f t="shared" si="500"/>
        <v>0</v>
      </c>
      <c r="BT1200" s="31">
        <v>1987</v>
      </c>
      <c r="BU1200" s="188" t="str">
        <f t="shared" si="491"/>
        <v>KCFN/LGL</v>
      </c>
      <c r="BV1200" s="188" t="str">
        <f t="shared" si="504"/>
        <v xml:space="preserve"> </v>
      </c>
      <c r="BW1200" s="188" t="str">
        <f t="shared" si="501"/>
        <v xml:space="preserve"> </v>
      </c>
      <c r="BX1200" s="188" t="str">
        <f t="shared" si="492"/>
        <v xml:space="preserve"> </v>
      </c>
      <c r="BY1200" s="50" t="str">
        <f t="shared" si="481"/>
        <v>JANSEN CREEK_Chum</v>
      </c>
      <c r="BZ1200" s="50" t="str">
        <f>IFERROR(VLOOKUP(BY1200,'[1]WCVI Esc'!$C$5:$W$555,18,FALSE),"-")</f>
        <v>-</v>
      </c>
      <c r="CA1200" s="50" t="str">
        <f t="shared" si="493"/>
        <v>-</v>
      </c>
      <c r="CB1200" s="50" t="str">
        <f>IFERROR(VLOOKUP(BY1200,'[1]WCVI Esc'!$C$5:$W$555,19,FALSE),"-")</f>
        <v>-</v>
      </c>
      <c r="CC1200" s="50" t="str">
        <f t="shared" si="494"/>
        <v>-</v>
      </c>
      <c r="CE1200" s="342" t="str">
        <f t="shared" si="498"/>
        <v>JANSEN CREEK_Chum</v>
      </c>
      <c r="CF1200" s="341" t="str">
        <f>IFERROR(VLOOKUP(BY1200,'RawPL+D'!$O$8:$AB$503,12,FALSE),"-")</f>
        <v>-</v>
      </c>
      <c r="CG1200" s="338" t="str">
        <f t="shared" si="478"/>
        <v>-</v>
      </c>
      <c r="CH1200" s="341" t="str">
        <f>IFERROR(VLOOKUP(BY1200,'RawPL+D'!$O$8:$AB$503,13,FALSE),"-")</f>
        <v>-</v>
      </c>
      <c r="CI1200" s="338" t="str">
        <f t="shared" si="479"/>
        <v>-</v>
      </c>
    </row>
    <row r="1201" spans="1:87" ht="12.75" hidden="1" customHeight="1" x14ac:dyDescent="0.2">
      <c r="A1201" s="28">
        <v>3</v>
      </c>
      <c r="B1201" s="28">
        <v>5</v>
      </c>
      <c r="C1201" s="11">
        <v>26</v>
      </c>
      <c r="D1201" s="149" t="s">
        <v>301</v>
      </c>
      <c r="E1201" s="10" t="s">
        <v>61</v>
      </c>
      <c r="F1201" s="10" t="s">
        <v>210</v>
      </c>
      <c r="G1201" s="10"/>
      <c r="H1201" s="10"/>
      <c r="I1201" s="10"/>
      <c r="J1201" s="10"/>
      <c r="K1201" s="575"/>
      <c r="L1201" s="152"/>
      <c r="M1201" s="422"/>
      <c r="N1201" s="339"/>
      <c r="O1201" s="62"/>
      <c r="P1201" s="424"/>
      <c r="Q1201" s="171"/>
      <c r="R1201" s="590"/>
      <c r="S1201" s="339"/>
      <c r="T1201" s="63"/>
      <c r="U1201" s="162"/>
      <c r="V1201" s="169"/>
      <c r="W1201" s="62"/>
      <c r="X1201" s="63"/>
      <c r="Y1201" s="62"/>
      <c r="Z1201" s="64"/>
      <c r="AA1201" s="164"/>
      <c r="AB1201" s="62"/>
      <c r="AC1201" s="62"/>
      <c r="AD1201" s="64"/>
      <c r="AE1201" s="164"/>
      <c r="AF1201" s="62"/>
      <c r="AG1201" s="64"/>
      <c r="AH1201" s="337"/>
      <c r="AI1201" s="337"/>
      <c r="AJ1201" s="337"/>
      <c r="AK1201" s="337"/>
      <c r="AL1201" s="414"/>
      <c r="AM1201" s="414"/>
      <c r="AN1201" s="45"/>
      <c r="AO1201" s="45"/>
      <c r="AP1201" s="44"/>
      <c r="AQ1201" s="485"/>
      <c r="AR1201"/>
      <c r="AS1201" s="485"/>
      <c r="AT1201" s="491"/>
      <c r="AU1201" s="491"/>
      <c r="AV1201" s="123">
        <f>AL1201</f>
        <v>0</v>
      </c>
      <c r="AW1201" s="18">
        <v>26</v>
      </c>
      <c r="AX1201" s="69" t="s">
        <v>301</v>
      </c>
      <c r="AY1201" s="243" t="s">
        <v>61</v>
      </c>
      <c r="AZ1201" s="243" t="str">
        <f t="shared" si="483"/>
        <v>Chinook</v>
      </c>
      <c r="BA1201" s="243" t="s">
        <v>419</v>
      </c>
      <c r="BB1201" s="244" t="s">
        <v>292</v>
      </c>
      <c r="BC1201" s="43" t="str">
        <f t="shared" si="484"/>
        <v>-</v>
      </c>
      <c r="BD1201" s="43">
        <f t="shared" si="482"/>
        <v>0</v>
      </c>
      <c r="BE1201" s="193">
        <f t="shared" si="496"/>
        <v>0</v>
      </c>
      <c r="BF1201" s="193">
        <f t="shared" si="485"/>
        <v>0</v>
      </c>
      <c r="BG1201" s="193">
        <f t="shared" si="486"/>
        <v>0</v>
      </c>
      <c r="BH1201" s="307" t="str">
        <f t="shared" si="499"/>
        <v>-</v>
      </c>
      <c r="BI1201" s="265" t="str">
        <f t="shared" si="503"/>
        <v>-</v>
      </c>
      <c r="BJ1201" s="26" t="str">
        <f t="shared" si="487"/>
        <v>JANSEN CREEKChinook</v>
      </c>
      <c r="BK1201" s="26">
        <f t="shared" si="488"/>
        <v>0</v>
      </c>
      <c r="BL1201" s="33">
        <f t="shared" si="502"/>
        <v>0</v>
      </c>
      <c r="BQ1201" s="47" t="str">
        <f t="shared" si="489"/>
        <v>JANSEN CREEKChinook</v>
      </c>
      <c r="BR1201" s="49">
        <f t="shared" si="490"/>
        <v>0</v>
      </c>
      <c r="BS1201" s="49">
        <f t="shared" si="500"/>
        <v>0</v>
      </c>
      <c r="BT1201" s="31">
        <v>0</v>
      </c>
      <c r="BU1201" s="188" t="str">
        <f t="shared" si="491"/>
        <v>KCFN/LGL</v>
      </c>
      <c r="BV1201" s="188" t="str">
        <f t="shared" si="504"/>
        <v xml:space="preserve"> </v>
      </c>
      <c r="BW1201" s="188" t="str">
        <f t="shared" si="501"/>
        <v xml:space="preserve"> </v>
      </c>
      <c r="BX1201" s="188" t="str">
        <f t="shared" si="492"/>
        <v xml:space="preserve"> </v>
      </c>
      <c r="BY1201" s="50" t="str">
        <f t="shared" si="481"/>
        <v>JANSEN CREEK_Chinook</v>
      </c>
      <c r="BZ1201" s="50" t="str">
        <f>IFERROR(VLOOKUP(BY1201,'[1]WCVI Esc'!$C$5:$W$555,18,FALSE),"-")</f>
        <v>-</v>
      </c>
      <c r="CA1201" s="50" t="str">
        <f t="shared" si="493"/>
        <v>-</v>
      </c>
      <c r="CB1201" s="50" t="str">
        <f>IFERROR(VLOOKUP(BY1201,'[1]WCVI Esc'!$C$5:$W$555,19,FALSE),"-")</f>
        <v>-</v>
      </c>
      <c r="CC1201" s="50" t="str">
        <f t="shared" si="494"/>
        <v>-</v>
      </c>
      <c r="CE1201" s="342" t="str">
        <f t="shared" si="498"/>
        <v>JANSEN CREEK_Chinook</v>
      </c>
      <c r="CF1201" s="341" t="str">
        <f>IFERROR(VLOOKUP(BY1201,'RawPL+D'!$O$8:$AB$503,12,FALSE),"-")</f>
        <v>-</v>
      </c>
      <c r="CG1201" s="338" t="str">
        <f t="shared" si="478"/>
        <v>-</v>
      </c>
      <c r="CH1201" s="341" t="str">
        <f>IFERROR(VLOOKUP(BY1201,'RawPL+D'!$O$8:$AB$503,13,FALSE),"-")</f>
        <v>-</v>
      </c>
      <c r="CI1201" s="338" t="str">
        <f t="shared" si="479"/>
        <v>-</v>
      </c>
    </row>
    <row r="1202" spans="1:87" ht="12.75" hidden="1" customHeight="1" x14ac:dyDescent="0.2">
      <c r="A1202" s="28">
        <v>3</v>
      </c>
      <c r="B1202" s="28">
        <v>6</v>
      </c>
      <c r="C1202" s="11">
        <v>26</v>
      </c>
      <c r="D1202" s="149" t="s">
        <v>301</v>
      </c>
      <c r="E1202" s="10" t="s">
        <v>61</v>
      </c>
      <c r="F1202" s="10" t="s">
        <v>211</v>
      </c>
      <c r="G1202" s="10"/>
      <c r="H1202" s="10"/>
      <c r="I1202" s="10"/>
      <c r="J1202" s="10"/>
      <c r="K1202" s="575"/>
      <c r="L1202" s="152"/>
      <c r="M1202" s="422"/>
      <c r="N1202" s="339"/>
      <c r="O1202" s="62"/>
      <c r="P1202" s="424"/>
      <c r="Q1202" s="171"/>
      <c r="R1202" s="590"/>
      <c r="S1202" s="339"/>
      <c r="T1202" s="63"/>
      <c r="U1202" s="162"/>
      <c r="V1202" s="169"/>
      <c r="W1202" s="62"/>
      <c r="X1202" s="63"/>
      <c r="Y1202" s="62"/>
      <c r="Z1202" s="64"/>
      <c r="AA1202" s="164"/>
      <c r="AB1202" s="62"/>
      <c r="AC1202" s="62"/>
      <c r="AD1202" s="64"/>
      <c r="AE1202" s="164"/>
      <c r="AF1202" s="62"/>
      <c r="AG1202" s="64"/>
      <c r="AH1202" s="337"/>
      <c r="AI1202" s="337"/>
      <c r="AJ1202" s="337"/>
      <c r="AK1202" s="337"/>
      <c r="AL1202" s="414"/>
      <c r="AM1202" s="414"/>
      <c r="AN1202" s="45"/>
      <c r="AO1202" s="45"/>
      <c r="AP1202" s="44"/>
      <c r="AQ1202" s="485"/>
      <c r="AR1202"/>
      <c r="AS1202" s="485"/>
      <c r="AT1202" s="491"/>
      <c r="AU1202" s="491"/>
      <c r="AV1202" s="491"/>
      <c r="AW1202" s="18">
        <v>26</v>
      </c>
      <c r="AX1202" s="69" t="s">
        <v>301</v>
      </c>
      <c r="AY1202" s="243" t="s">
        <v>61</v>
      </c>
      <c r="AZ1202" s="243" t="str">
        <f t="shared" si="483"/>
        <v>Steelhead</v>
      </c>
      <c r="BA1202" s="243" t="s">
        <v>419</v>
      </c>
      <c r="BB1202" s="244" t="s">
        <v>292</v>
      </c>
      <c r="BC1202" s="43" t="str">
        <f t="shared" si="484"/>
        <v>-</v>
      </c>
      <c r="BD1202" s="43">
        <f t="shared" si="482"/>
        <v>0</v>
      </c>
      <c r="BE1202" s="193">
        <f t="shared" si="496"/>
        <v>0</v>
      </c>
      <c r="BF1202" s="193">
        <f t="shared" si="485"/>
        <v>0</v>
      </c>
      <c r="BG1202" s="193">
        <f t="shared" si="486"/>
        <v>0</v>
      </c>
      <c r="BH1202" s="307" t="str">
        <f t="shared" si="499"/>
        <v>-</v>
      </c>
      <c r="BI1202" s="265" t="str">
        <f t="shared" si="503"/>
        <v>-</v>
      </c>
      <c r="BJ1202" s="26" t="str">
        <f t="shared" si="487"/>
        <v>JANSEN CREEKSteelhead</v>
      </c>
      <c r="BK1202" s="26">
        <f t="shared" si="488"/>
        <v>0</v>
      </c>
      <c r="BL1202" s="33">
        <f t="shared" si="502"/>
        <v>0</v>
      </c>
      <c r="BQ1202" s="47" t="str">
        <f t="shared" si="489"/>
        <v>JANSEN CREEKSteelhead</v>
      </c>
      <c r="BR1202" s="49">
        <f t="shared" si="490"/>
        <v>0</v>
      </c>
      <c r="BS1202" s="49">
        <f t="shared" si="500"/>
        <v>0</v>
      </c>
      <c r="BT1202" s="31">
        <v>0</v>
      </c>
      <c r="BU1202" s="188" t="str">
        <f t="shared" si="491"/>
        <v>KCFN/LGL</v>
      </c>
      <c r="BV1202" s="188" t="str">
        <f t="shared" si="504"/>
        <v xml:space="preserve"> </v>
      </c>
      <c r="BW1202" s="188" t="str">
        <f t="shared" si="501"/>
        <v xml:space="preserve"> </v>
      </c>
      <c r="BX1202" s="188" t="str">
        <f t="shared" si="492"/>
        <v xml:space="preserve"> </v>
      </c>
      <c r="BY1202" s="50" t="str">
        <f t="shared" si="481"/>
        <v>JANSEN CREEK_Steelhead</v>
      </c>
      <c r="BZ1202" s="50" t="str">
        <f>IFERROR(VLOOKUP(BY1202,'[1]WCVI Esc'!$C$5:$W$555,18,FALSE),"-")</f>
        <v>-</v>
      </c>
      <c r="CA1202" s="50" t="str">
        <f t="shared" si="493"/>
        <v>-</v>
      </c>
      <c r="CB1202" s="50" t="str">
        <f>IFERROR(VLOOKUP(BY1202,'[1]WCVI Esc'!$C$5:$W$555,19,FALSE),"-")</f>
        <v>-</v>
      </c>
      <c r="CC1202" s="50" t="str">
        <f t="shared" si="494"/>
        <v>-</v>
      </c>
      <c r="CE1202" s="342" t="str">
        <f t="shared" si="498"/>
        <v>JANSEN CREEK_Steelhead</v>
      </c>
      <c r="CF1202" s="341" t="str">
        <f>IFERROR(VLOOKUP(BY1202,'RawPL+D'!$O$8:$AB$503,12,FALSE),"-")</f>
        <v>-</v>
      </c>
      <c r="CG1202" s="338" t="str">
        <f t="shared" si="478"/>
        <v>-</v>
      </c>
      <c r="CH1202" s="341" t="str">
        <f>IFERROR(VLOOKUP(BY1202,'RawPL+D'!$O$8:$AB$503,13,FALSE),"-")</f>
        <v>-</v>
      </c>
      <c r="CI1202" s="338" t="str">
        <f t="shared" si="479"/>
        <v>-</v>
      </c>
    </row>
    <row r="1203" spans="1:87" ht="12.75" hidden="1" customHeight="1" x14ac:dyDescent="0.2">
      <c r="A1203" s="28">
        <v>3</v>
      </c>
      <c r="B1203" s="28">
        <v>1</v>
      </c>
      <c r="C1203" s="11">
        <v>26</v>
      </c>
      <c r="D1203" s="149" t="s">
        <v>301</v>
      </c>
      <c r="E1203" s="10" t="s">
        <v>63</v>
      </c>
      <c r="F1203" s="10" t="s">
        <v>207</v>
      </c>
      <c r="G1203" s="10"/>
      <c r="H1203" s="10"/>
      <c r="I1203" s="10"/>
      <c r="J1203" s="10"/>
      <c r="K1203" s="575"/>
      <c r="L1203" s="152"/>
      <c r="M1203" s="422"/>
      <c r="N1203" s="423"/>
      <c r="O1203" s="62"/>
      <c r="P1203" s="177"/>
      <c r="Q1203" s="171"/>
      <c r="R1203" s="428"/>
      <c r="S1203" s="62"/>
      <c r="T1203" s="63"/>
      <c r="U1203" s="162"/>
      <c r="V1203" s="164"/>
      <c r="W1203" s="62"/>
      <c r="X1203" s="63"/>
      <c r="Y1203" s="62"/>
      <c r="Z1203" s="64"/>
      <c r="AA1203" s="164"/>
      <c r="AB1203" s="62"/>
      <c r="AC1203" s="62"/>
      <c r="AD1203" s="64"/>
      <c r="AE1203" s="164"/>
      <c r="AF1203" s="62"/>
      <c r="AG1203" s="64"/>
      <c r="AH1203" s="337"/>
      <c r="AI1203" s="337"/>
      <c r="AJ1203" s="337"/>
      <c r="AK1203" s="337"/>
      <c r="AL1203" s="414"/>
      <c r="AM1203" s="414"/>
      <c r="AN1203" s="45"/>
      <c r="AO1203" s="46"/>
      <c r="AP1203" s="44"/>
      <c r="AQ1203" s="485"/>
      <c r="AR1203" s="485" t="e">
        <f>BL1203/BH1203</f>
        <v>#DIV/0!</v>
      </c>
      <c r="AS1203" s="485">
        <f>BL1203/BI1203</f>
        <v>0</v>
      </c>
      <c r="AT1203" s="491"/>
      <c r="AU1203" s="491"/>
      <c r="AV1203" s="491"/>
      <c r="AW1203" s="18">
        <v>26</v>
      </c>
      <c r="AX1203" s="69" t="s">
        <v>301</v>
      </c>
      <c r="AY1203" s="243" t="s">
        <v>63</v>
      </c>
      <c r="AZ1203" s="243" t="str">
        <f t="shared" si="483"/>
        <v>Sockeye</v>
      </c>
      <c r="BA1203" s="243" t="s">
        <v>419</v>
      </c>
      <c r="BB1203" s="244" t="s">
        <v>460</v>
      </c>
      <c r="BC1203" s="43" t="str">
        <f t="shared" si="484"/>
        <v>-</v>
      </c>
      <c r="BD1203" s="43">
        <f t="shared" si="482"/>
        <v>0</v>
      </c>
      <c r="BE1203" s="193">
        <f t="shared" si="496"/>
        <v>0</v>
      </c>
      <c r="BF1203" s="193">
        <f t="shared" si="485"/>
        <v>0</v>
      </c>
      <c r="BG1203" s="193">
        <f t="shared" si="486"/>
        <v>0</v>
      </c>
      <c r="BH1203" s="307">
        <f t="shared" si="499"/>
        <v>0</v>
      </c>
      <c r="BI1203" s="265">
        <f t="shared" si="503"/>
        <v>20</v>
      </c>
      <c r="BJ1203" s="26" t="str">
        <f t="shared" si="487"/>
        <v>KASHUTL RIVERSockeye</v>
      </c>
      <c r="BK1203" s="26">
        <f t="shared" si="488"/>
        <v>0</v>
      </c>
      <c r="BL1203" s="33">
        <f t="shared" si="502"/>
        <v>0</v>
      </c>
      <c r="BQ1203" s="47" t="str">
        <f t="shared" si="489"/>
        <v>KASHUTL RIVERSockeye</v>
      </c>
      <c r="BR1203" s="49">
        <f t="shared" si="490"/>
        <v>0</v>
      </c>
      <c r="BS1203" s="49">
        <f t="shared" si="500"/>
        <v>0</v>
      </c>
      <c r="BT1203" s="31">
        <v>2011</v>
      </c>
      <c r="BU1203" s="188" t="str">
        <f t="shared" si="491"/>
        <v>KCFN</v>
      </c>
      <c r="BV1203" s="188" t="str">
        <f t="shared" si="504"/>
        <v xml:space="preserve"> </v>
      </c>
      <c r="BW1203" s="188" t="str">
        <f t="shared" si="501"/>
        <v xml:space="preserve"> </v>
      </c>
      <c r="BX1203" s="188" t="str">
        <f t="shared" si="492"/>
        <v xml:space="preserve"> </v>
      </c>
      <c r="BY1203" s="50" t="str">
        <f t="shared" si="481"/>
        <v>KASHUTL RIVER_Sockeye</v>
      </c>
      <c r="BZ1203" s="50">
        <f>IFERROR(VLOOKUP(BY1203,'[1]WCVI Esc'!$C$5:$W$555,18,FALSE),"-")</f>
        <v>3</v>
      </c>
      <c r="CA1203" s="50">
        <f t="shared" si="493"/>
        <v>0</v>
      </c>
      <c r="CB1203" s="50">
        <f>IFERROR(VLOOKUP(BY1203,'[1]WCVI Esc'!$C$5:$W$555,19,FALSE),"-")</f>
        <v>17.75</v>
      </c>
      <c r="CC1203" s="50">
        <f t="shared" si="494"/>
        <v>20</v>
      </c>
      <c r="CE1203" s="342" t="str">
        <f t="shared" si="498"/>
        <v>KASHUTL RIVER_Sockeye</v>
      </c>
      <c r="CF1203" s="341">
        <f>IFERROR(VLOOKUP(CE1203,'RawPL+D'!$O$8:$AB$503,12,FALSE),"-")</f>
        <v>0</v>
      </c>
      <c r="CG1203" s="338">
        <f t="shared" si="478"/>
        <v>0</v>
      </c>
      <c r="CH1203" s="341">
        <f>IFERROR(VLOOKUP(BY1203,'RawPL+D'!$O$8:$AB$503,13,FALSE),"-")</f>
        <v>1.5</v>
      </c>
      <c r="CI1203" s="338">
        <f t="shared" si="479"/>
        <v>0</v>
      </c>
    </row>
    <row r="1204" spans="1:87" ht="12.75" hidden="1" customHeight="1" x14ac:dyDescent="0.2">
      <c r="A1204" s="28">
        <v>3</v>
      </c>
      <c r="B1204" s="28">
        <v>2</v>
      </c>
      <c r="C1204" s="11">
        <v>26</v>
      </c>
      <c r="D1204" s="149" t="s">
        <v>301</v>
      </c>
      <c r="E1204" s="10" t="s">
        <v>63</v>
      </c>
      <c r="F1204" s="10" t="s">
        <v>219</v>
      </c>
      <c r="G1204" s="10"/>
      <c r="H1204" s="10"/>
      <c r="I1204" s="10"/>
      <c r="J1204" s="10"/>
      <c r="K1204" s="575"/>
      <c r="L1204" s="152"/>
      <c r="M1204" s="422"/>
      <c r="N1204" s="423"/>
      <c r="O1204" s="62"/>
      <c r="P1204" s="177"/>
      <c r="Q1204" s="447"/>
      <c r="R1204" s="339"/>
      <c r="S1204" s="62"/>
      <c r="T1204" s="63"/>
      <c r="U1204" s="162"/>
      <c r="V1204" s="164"/>
      <c r="W1204" s="62"/>
      <c r="X1204" s="63"/>
      <c r="Y1204" s="62"/>
      <c r="Z1204" s="64"/>
      <c r="AA1204" s="164"/>
      <c r="AB1204" s="62"/>
      <c r="AC1204" s="62"/>
      <c r="AD1204" s="64"/>
      <c r="AE1204" s="164"/>
      <c r="AF1204" s="62"/>
      <c r="AG1204" s="64"/>
      <c r="AH1204" s="337"/>
      <c r="AI1204" s="337"/>
      <c r="AJ1204" s="337"/>
      <c r="AK1204" s="337"/>
      <c r="AL1204" s="414"/>
      <c r="AM1204" s="414"/>
      <c r="AN1204" s="45"/>
      <c r="AO1204" s="46"/>
      <c r="AP1204" s="44"/>
      <c r="AQ1204" s="485">
        <f>AL1204/BI1204</f>
        <v>0</v>
      </c>
      <c r="AR1204" s="485">
        <f>BL1204/BH1204</f>
        <v>0</v>
      </c>
      <c r="AS1204" s="485">
        <f>BL1204/BI1204</f>
        <v>0</v>
      </c>
      <c r="AT1204" s="491"/>
      <c r="AU1204" s="491"/>
      <c r="AV1204" s="491"/>
      <c r="AW1204" s="18">
        <v>26</v>
      </c>
      <c r="AX1204" s="69" t="s">
        <v>301</v>
      </c>
      <c r="AY1204" s="243" t="s">
        <v>63</v>
      </c>
      <c r="AZ1204" s="243" t="str">
        <f t="shared" si="483"/>
        <v>Coho</v>
      </c>
      <c r="BA1204" s="243" t="s">
        <v>419</v>
      </c>
      <c r="BB1204" s="244" t="s">
        <v>460</v>
      </c>
      <c r="BC1204" s="43" t="str">
        <f t="shared" si="484"/>
        <v>-</v>
      </c>
      <c r="BD1204" s="43">
        <f t="shared" si="482"/>
        <v>0</v>
      </c>
      <c r="BE1204" s="193">
        <f t="shared" si="496"/>
        <v>0</v>
      </c>
      <c r="BF1204" s="193">
        <f t="shared" si="485"/>
        <v>0</v>
      </c>
      <c r="BG1204" s="193">
        <f t="shared" si="486"/>
        <v>0</v>
      </c>
      <c r="BH1204" s="307">
        <f t="shared" si="499"/>
        <v>90</v>
      </c>
      <c r="BI1204" s="265">
        <f t="shared" si="503"/>
        <v>190</v>
      </c>
      <c r="BJ1204" s="26" t="str">
        <f t="shared" si="487"/>
        <v>KASHUTL RIVERCoho</v>
      </c>
      <c r="BK1204" s="26">
        <f t="shared" si="488"/>
        <v>0</v>
      </c>
      <c r="BL1204" s="33">
        <f t="shared" si="502"/>
        <v>0</v>
      </c>
      <c r="BQ1204" s="47" t="str">
        <f t="shared" si="489"/>
        <v>KASHUTL RIVERCoho</v>
      </c>
      <c r="BR1204" s="49">
        <f t="shared" si="490"/>
        <v>0</v>
      </c>
      <c r="BS1204" s="49">
        <f t="shared" si="500"/>
        <v>0</v>
      </c>
      <c r="BT1204" s="31">
        <v>2016</v>
      </c>
      <c r="BU1204" s="188" t="str">
        <f t="shared" si="491"/>
        <v>KCFN</v>
      </c>
      <c r="BV1204" s="188" t="str">
        <f t="shared" si="504"/>
        <v xml:space="preserve"> </v>
      </c>
      <c r="BW1204" s="188" t="str">
        <f t="shared" si="501"/>
        <v xml:space="preserve"> </v>
      </c>
      <c r="BX1204" s="188" t="str">
        <f t="shared" si="492"/>
        <v xml:space="preserve"> </v>
      </c>
      <c r="BY1204" s="50" t="str">
        <f t="shared" si="481"/>
        <v>KASHUTL RIVER_Coho</v>
      </c>
      <c r="BZ1204" s="50">
        <f>IFERROR(VLOOKUP(BY1204,'[1]WCVI Esc'!$C$5:$W$555,18,FALSE),"-")</f>
        <v>103</v>
      </c>
      <c r="CA1204" s="50">
        <f t="shared" si="493"/>
        <v>100</v>
      </c>
      <c r="CB1204" s="50">
        <f>IFERROR(VLOOKUP(BY1204,'[1]WCVI Esc'!$C$5:$W$555,19,FALSE),"-")</f>
        <v>189.8</v>
      </c>
      <c r="CC1204" s="50">
        <f t="shared" si="494"/>
        <v>190</v>
      </c>
      <c r="CE1204" s="342" t="str">
        <f t="shared" si="498"/>
        <v>KASHUTL RIVER_Coho</v>
      </c>
      <c r="CF1204" s="341">
        <f>IFERROR(VLOOKUP(CE1204,'RawPL+D'!$O$8:$AB$503,12,FALSE),"-")</f>
        <v>0</v>
      </c>
      <c r="CG1204" s="338">
        <f t="shared" si="478"/>
        <v>0</v>
      </c>
      <c r="CH1204" s="341">
        <f>IFERROR(VLOOKUP(BY1204,'RawPL+D'!$O$8:$AB$503,13,FALSE),"-")</f>
        <v>92</v>
      </c>
      <c r="CI1204" s="338">
        <f t="shared" si="479"/>
        <v>90</v>
      </c>
    </row>
    <row r="1205" spans="1:87" ht="12.75" hidden="1" customHeight="1" x14ac:dyDescent="0.2">
      <c r="A1205" s="28">
        <v>3</v>
      </c>
      <c r="B1205" s="28">
        <v>3</v>
      </c>
      <c r="C1205" s="11">
        <v>26</v>
      </c>
      <c r="D1205" s="149" t="s">
        <v>301</v>
      </c>
      <c r="E1205" s="10" t="s">
        <v>63</v>
      </c>
      <c r="F1205" s="10" t="s">
        <v>208</v>
      </c>
      <c r="G1205" s="10"/>
      <c r="H1205" s="10"/>
      <c r="I1205" s="10"/>
      <c r="J1205" s="10"/>
      <c r="K1205" s="575"/>
      <c r="L1205" s="152"/>
      <c r="M1205" s="422"/>
      <c r="N1205" s="423"/>
      <c r="O1205" s="62"/>
      <c r="P1205" s="177"/>
      <c r="Q1205" s="171"/>
      <c r="R1205" s="339"/>
      <c r="S1205" s="62"/>
      <c r="T1205" s="63"/>
      <c r="U1205" s="162"/>
      <c r="V1205" s="164"/>
      <c r="W1205" s="62"/>
      <c r="X1205" s="63"/>
      <c r="Y1205" s="62"/>
      <c r="Z1205" s="64"/>
      <c r="AA1205" s="164"/>
      <c r="AB1205" s="62"/>
      <c r="AC1205" s="62"/>
      <c r="AD1205" s="64"/>
      <c r="AE1205" s="164"/>
      <c r="AF1205" s="62"/>
      <c r="AG1205" s="64"/>
      <c r="AH1205" s="337"/>
      <c r="AI1205" s="337"/>
      <c r="AJ1205" s="337"/>
      <c r="AK1205" s="337"/>
      <c r="AL1205" s="414"/>
      <c r="AM1205" s="414"/>
      <c r="AN1205" s="45"/>
      <c r="AO1205" s="45"/>
      <c r="AP1205" s="44"/>
      <c r="AQ1205" s="485"/>
      <c r="AR1205" s="100"/>
      <c r="AS1205" s="485"/>
      <c r="AT1205" s="491"/>
      <c r="AU1205" s="491"/>
      <c r="AV1205" s="491"/>
      <c r="AW1205" s="18">
        <v>26</v>
      </c>
      <c r="AX1205" s="69" t="s">
        <v>301</v>
      </c>
      <c r="AY1205" s="243" t="s">
        <v>63</v>
      </c>
      <c r="AZ1205" s="243" t="str">
        <f t="shared" si="483"/>
        <v>Pink</v>
      </c>
      <c r="BA1205" s="243" t="s">
        <v>419</v>
      </c>
      <c r="BB1205" s="244" t="s">
        <v>460</v>
      </c>
      <c r="BC1205" s="43" t="str">
        <f t="shared" si="484"/>
        <v>-</v>
      </c>
      <c r="BD1205" s="43">
        <f t="shared" si="482"/>
        <v>0</v>
      </c>
      <c r="BE1205" s="193">
        <f t="shared" si="496"/>
        <v>0</v>
      </c>
      <c r="BF1205" s="193">
        <f t="shared" si="485"/>
        <v>0</v>
      </c>
      <c r="BG1205" s="193">
        <f t="shared" si="486"/>
        <v>0</v>
      </c>
      <c r="BH1205" s="307">
        <f t="shared" si="499"/>
        <v>0</v>
      </c>
      <c r="BI1205" s="265"/>
      <c r="BJ1205" s="26" t="str">
        <f t="shared" si="487"/>
        <v>KASHUTL RIVERPink</v>
      </c>
      <c r="BK1205" s="26">
        <f t="shared" si="488"/>
        <v>0</v>
      </c>
      <c r="BL1205" s="33">
        <f t="shared" si="502"/>
        <v>0</v>
      </c>
      <c r="BQ1205" s="47" t="str">
        <f t="shared" si="489"/>
        <v>KASHUTL RIVERPink</v>
      </c>
      <c r="BR1205" s="49">
        <f t="shared" si="490"/>
        <v>0</v>
      </c>
      <c r="BS1205" s="49">
        <f t="shared" si="500"/>
        <v>0</v>
      </c>
      <c r="BT1205" s="31">
        <v>0</v>
      </c>
      <c r="BU1205" s="188" t="str">
        <f t="shared" si="491"/>
        <v>KCFN</v>
      </c>
      <c r="BV1205" s="188" t="str">
        <f t="shared" si="504"/>
        <v xml:space="preserve"> </v>
      </c>
      <c r="BW1205" s="188" t="str">
        <f t="shared" si="501"/>
        <v xml:space="preserve"> </v>
      </c>
      <c r="BX1205" s="188" t="str">
        <f t="shared" si="492"/>
        <v xml:space="preserve"> </v>
      </c>
      <c r="BY1205" s="50" t="str">
        <f t="shared" si="481"/>
        <v>KASHUTL RIVER_Pink</v>
      </c>
      <c r="BZ1205" s="50" t="str">
        <f>IFERROR(VLOOKUP(BY1205,'[1]WCVI Esc'!$C$5:$W$555,18,FALSE),"-")</f>
        <v>-</v>
      </c>
      <c r="CA1205" s="50" t="str">
        <f t="shared" si="493"/>
        <v>-</v>
      </c>
      <c r="CB1205" s="50" t="str">
        <f>IFERROR(VLOOKUP(BY1205,'[1]WCVI Esc'!$C$5:$W$555,19,FALSE),"-")</f>
        <v>-</v>
      </c>
      <c r="CC1205" s="50" t="str">
        <f t="shared" si="494"/>
        <v>-</v>
      </c>
      <c r="CE1205" s="342" t="str">
        <f t="shared" si="498"/>
        <v>KASHUTL RIVER_Pink</v>
      </c>
      <c r="CF1205" s="341">
        <f>IFERROR(VLOOKUP(BY1205,'RawPL+D'!$O$8:$AB$503,12,FALSE),"-")</f>
        <v>0</v>
      </c>
      <c r="CG1205" s="338">
        <f t="shared" si="478"/>
        <v>0</v>
      </c>
      <c r="CH1205" s="341">
        <f>IFERROR(VLOOKUP(BY1205,'RawPL+D'!$O$8:$AB$503,13,FALSE),"-")</f>
        <v>0</v>
      </c>
      <c r="CI1205" s="338">
        <f t="shared" si="479"/>
        <v>0</v>
      </c>
    </row>
    <row r="1206" spans="1:87" ht="12.75" hidden="1" customHeight="1" x14ac:dyDescent="0.2">
      <c r="A1206" s="28">
        <v>3</v>
      </c>
      <c r="B1206" s="28">
        <v>4</v>
      </c>
      <c r="C1206" s="11">
        <v>26</v>
      </c>
      <c r="D1206" s="149" t="s">
        <v>301</v>
      </c>
      <c r="E1206" s="10" t="s">
        <v>63</v>
      </c>
      <c r="F1206" s="10" t="s">
        <v>209</v>
      </c>
      <c r="G1206" s="10"/>
      <c r="H1206" s="10"/>
      <c r="I1206" s="10"/>
      <c r="J1206" s="10"/>
      <c r="K1206" s="575"/>
      <c r="L1206" s="152"/>
      <c r="M1206" s="422"/>
      <c r="N1206" s="423"/>
      <c r="O1206" s="62"/>
      <c r="P1206" s="450"/>
      <c r="Q1206" s="447"/>
      <c r="R1206" s="428"/>
      <c r="S1206" s="431"/>
      <c r="T1206" s="63"/>
      <c r="U1206" s="162"/>
      <c r="V1206" s="421"/>
      <c r="W1206" s="62"/>
      <c r="X1206" s="63"/>
      <c r="Y1206" s="62"/>
      <c r="Z1206" s="64"/>
      <c r="AA1206" s="164"/>
      <c r="AB1206" s="62"/>
      <c r="AC1206" s="62"/>
      <c r="AD1206" s="64"/>
      <c r="AE1206" s="164"/>
      <c r="AF1206" s="62"/>
      <c r="AG1206" s="64"/>
      <c r="AH1206" s="337"/>
      <c r="AI1206" s="337"/>
      <c r="AJ1206" s="337"/>
      <c r="AK1206" s="337"/>
      <c r="AL1206" s="414"/>
      <c r="AM1206" s="414"/>
      <c r="AN1206" s="45"/>
      <c r="AO1206" s="46"/>
      <c r="AP1206" s="44"/>
      <c r="AQ1206" s="485">
        <f>AL1206/BI1206</f>
        <v>0</v>
      </c>
      <c r="AR1206" s="485">
        <f>BL1206/BH1206</f>
        <v>0</v>
      </c>
      <c r="AS1206" s="485">
        <f>BL1206/BI1206</f>
        <v>0</v>
      </c>
      <c r="AT1206" s="491"/>
      <c r="AU1206" s="491"/>
      <c r="AV1206" s="679"/>
      <c r="AW1206" s="18">
        <v>26</v>
      </c>
      <c r="AX1206" s="69" t="s">
        <v>301</v>
      </c>
      <c r="AY1206" s="243" t="s">
        <v>63</v>
      </c>
      <c r="AZ1206" s="243" t="str">
        <f t="shared" si="483"/>
        <v>Chum</v>
      </c>
      <c r="BA1206" s="243" t="s">
        <v>419</v>
      </c>
      <c r="BB1206" s="244" t="s">
        <v>460</v>
      </c>
      <c r="BC1206" s="43" t="str">
        <f t="shared" si="484"/>
        <v>-</v>
      </c>
      <c r="BD1206" s="43">
        <f t="shared" si="482"/>
        <v>0</v>
      </c>
      <c r="BE1206" s="193">
        <f t="shared" si="496"/>
        <v>0</v>
      </c>
      <c r="BF1206" s="193">
        <f t="shared" si="485"/>
        <v>0</v>
      </c>
      <c r="BG1206" s="193">
        <f t="shared" si="486"/>
        <v>0</v>
      </c>
      <c r="BH1206" s="307">
        <f t="shared" si="499"/>
        <v>90</v>
      </c>
      <c r="BI1206" s="265">
        <f t="shared" ref="BI1206:BI1214" si="505">CC1206</f>
        <v>1670</v>
      </c>
      <c r="BJ1206" s="26" t="str">
        <f t="shared" si="487"/>
        <v>KASHUTL RIVERChum</v>
      </c>
      <c r="BK1206" s="26">
        <f t="shared" si="488"/>
        <v>0</v>
      </c>
      <c r="BL1206" s="33">
        <f t="shared" si="502"/>
        <v>0</v>
      </c>
      <c r="BQ1206" s="47" t="str">
        <f t="shared" si="489"/>
        <v>KASHUTL RIVERChum</v>
      </c>
      <c r="BR1206" s="49">
        <f t="shared" si="490"/>
        <v>0</v>
      </c>
      <c r="BS1206" s="49">
        <f t="shared" si="500"/>
        <v>0</v>
      </c>
      <c r="BT1206" s="31">
        <v>2016</v>
      </c>
      <c r="BU1206" s="188" t="str">
        <f t="shared" si="491"/>
        <v>KCFN</v>
      </c>
      <c r="BV1206" s="188" t="str">
        <f t="shared" si="504"/>
        <v xml:space="preserve"> </v>
      </c>
      <c r="BW1206" s="188" t="str">
        <f t="shared" si="501"/>
        <v xml:space="preserve"> </v>
      </c>
      <c r="BX1206" s="188" t="str">
        <f t="shared" si="492"/>
        <v xml:space="preserve"> </v>
      </c>
      <c r="BY1206" s="50" t="str">
        <f t="shared" si="481"/>
        <v>KASHUTL RIVER_Chum</v>
      </c>
      <c r="BZ1206" s="50">
        <f>IFERROR(VLOOKUP(BY1206,'[1]WCVI Esc'!$C$5:$W$555,18,FALSE),"-")</f>
        <v>97</v>
      </c>
      <c r="CA1206" s="50">
        <f t="shared" si="493"/>
        <v>100</v>
      </c>
      <c r="CB1206" s="50">
        <f>IFERROR(VLOOKUP(BY1206,'[1]WCVI Esc'!$C$5:$W$555,19,FALSE),"-")</f>
        <v>1674.3</v>
      </c>
      <c r="CC1206" s="50">
        <f t="shared" si="494"/>
        <v>1670</v>
      </c>
      <c r="CE1206" s="342" t="str">
        <f t="shared" si="498"/>
        <v>KASHUTL RIVER_Chum</v>
      </c>
      <c r="CF1206" s="341">
        <f>IFERROR(VLOOKUP(CE1206,'RawPL+D'!$O$8:$AB$503,12,FALSE),"-")</f>
        <v>0</v>
      </c>
      <c r="CG1206" s="338">
        <f t="shared" si="478"/>
        <v>0</v>
      </c>
      <c r="CH1206" s="341">
        <f>IFERROR(VLOOKUP(BY1206,'RawPL+D'!$O$8:$AB$503,13,FALSE),"-")</f>
        <v>90</v>
      </c>
      <c r="CI1206" s="338">
        <f t="shared" si="479"/>
        <v>90</v>
      </c>
    </row>
    <row r="1207" spans="1:87" ht="12.75" hidden="1" customHeight="1" x14ac:dyDescent="0.2">
      <c r="A1207" s="28">
        <v>3</v>
      </c>
      <c r="B1207" s="28">
        <v>5</v>
      </c>
      <c r="C1207" s="11">
        <v>26</v>
      </c>
      <c r="D1207" s="149" t="s">
        <v>301</v>
      </c>
      <c r="E1207" s="10" t="s">
        <v>63</v>
      </c>
      <c r="F1207" s="10" t="s">
        <v>210</v>
      </c>
      <c r="G1207" s="10"/>
      <c r="H1207" s="10"/>
      <c r="I1207" s="10"/>
      <c r="J1207" s="10"/>
      <c r="K1207" s="575"/>
      <c r="L1207" s="152"/>
      <c r="M1207" s="422"/>
      <c r="N1207" s="423"/>
      <c r="O1207" s="62"/>
      <c r="P1207" s="177"/>
      <c r="Q1207" s="171"/>
      <c r="R1207" s="339"/>
      <c r="S1207" s="390"/>
      <c r="T1207" s="63"/>
      <c r="U1207" s="162"/>
      <c r="V1207" s="164"/>
      <c r="W1207" s="62"/>
      <c r="X1207" s="63"/>
      <c r="Y1207" s="62"/>
      <c r="Z1207" s="64"/>
      <c r="AA1207" s="164"/>
      <c r="AB1207" s="62"/>
      <c r="AC1207" s="62"/>
      <c r="AD1207" s="64"/>
      <c r="AE1207" s="164"/>
      <c r="AF1207" s="62"/>
      <c r="AG1207" s="64"/>
      <c r="AH1207" s="337"/>
      <c r="AI1207" s="337"/>
      <c r="AJ1207" s="337"/>
      <c r="AK1207" s="337"/>
      <c r="AL1207" s="414"/>
      <c r="AM1207" s="414"/>
      <c r="AN1207" s="45"/>
      <c r="AO1207" s="46"/>
      <c r="AP1207" s="44"/>
      <c r="AQ1207" s="485"/>
      <c r="AR1207"/>
      <c r="AS1207" s="485"/>
      <c r="AT1207" s="491"/>
      <c r="AU1207" s="491"/>
      <c r="AV1207" s="123">
        <f>AL1207</f>
        <v>0</v>
      </c>
      <c r="AW1207" s="18">
        <v>26</v>
      </c>
      <c r="AX1207" s="69" t="s">
        <v>301</v>
      </c>
      <c r="AY1207" s="243" t="s">
        <v>63</v>
      </c>
      <c r="AZ1207" s="243" t="str">
        <f t="shared" si="483"/>
        <v>Chinook</v>
      </c>
      <c r="BA1207" s="243" t="s">
        <v>419</v>
      </c>
      <c r="BB1207" s="244" t="s">
        <v>460</v>
      </c>
      <c r="BC1207" s="43" t="str">
        <f t="shared" si="484"/>
        <v>-</v>
      </c>
      <c r="BD1207" s="43">
        <f t="shared" si="482"/>
        <v>0</v>
      </c>
      <c r="BE1207" s="193">
        <f t="shared" si="496"/>
        <v>0</v>
      </c>
      <c r="BF1207" s="193">
        <f t="shared" si="485"/>
        <v>0</v>
      </c>
      <c r="BG1207" s="193">
        <f t="shared" si="486"/>
        <v>0</v>
      </c>
      <c r="BH1207" s="307">
        <f t="shared" si="499"/>
        <v>0</v>
      </c>
      <c r="BI1207" s="265">
        <f t="shared" si="505"/>
        <v>0</v>
      </c>
      <c r="BJ1207" s="26" t="str">
        <f t="shared" si="487"/>
        <v>KASHUTL RIVERChinook</v>
      </c>
      <c r="BK1207" s="26">
        <f t="shared" si="488"/>
        <v>0</v>
      </c>
      <c r="BL1207" s="33">
        <f t="shared" si="502"/>
        <v>0</v>
      </c>
      <c r="BQ1207" s="47" t="str">
        <f t="shared" si="489"/>
        <v>KASHUTL RIVERChinook</v>
      </c>
      <c r="BR1207" s="49">
        <f t="shared" si="490"/>
        <v>0</v>
      </c>
      <c r="BS1207" s="49">
        <f t="shared" si="500"/>
        <v>0</v>
      </c>
      <c r="BT1207" s="31">
        <v>2011</v>
      </c>
      <c r="BU1207" s="188" t="str">
        <f t="shared" si="491"/>
        <v>KCFN</v>
      </c>
      <c r="BV1207" s="188" t="str">
        <f t="shared" si="504"/>
        <v xml:space="preserve"> </v>
      </c>
      <c r="BW1207" s="188" t="str">
        <f t="shared" si="501"/>
        <v xml:space="preserve"> </v>
      </c>
      <c r="BX1207" s="188" t="str">
        <f t="shared" si="492"/>
        <v xml:space="preserve"> </v>
      </c>
      <c r="BY1207" s="50" t="str">
        <f t="shared" si="481"/>
        <v>KASHUTL RIVER_Chinook</v>
      </c>
      <c r="BZ1207" s="50">
        <f>IFERROR(VLOOKUP(BY1207,'[1]WCVI Esc'!$C$5:$W$555,18,FALSE),"-")</f>
        <v>1</v>
      </c>
      <c r="CA1207" s="50">
        <f t="shared" si="493"/>
        <v>0</v>
      </c>
      <c r="CB1207" s="50">
        <f>IFERROR(VLOOKUP(BY1207,'[1]WCVI Esc'!$C$5:$W$555,19,FALSE),"-")</f>
        <v>2.8</v>
      </c>
      <c r="CC1207" s="50">
        <f t="shared" si="494"/>
        <v>0</v>
      </c>
      <c r="CE1207" s="342" t="str">
        <f t="shared" si="498"/>
        <v>KASHUTL RIVER_Chinook</v>
      </c>
      <c r="CF1207" s="341">
        <f>IFERROR(VLOOKUP(BY1207,'RawPL+D'!$O$8:$AB$503,12,FALSE),"-")</f>
        <v>0</v>
      </c>
      <c r="CG1207" s="338">
        <f t="shared" si="478"/>
        <v>0</v>
      </c>
      <c r="CH1207" s="341">
        <f>IFERROR(VLOOKUP(BY1207,'RawPL+D'!$O$8:$AB$503,13,FALSE),"-")</f>
        <v>0.5</v>
      </c>
      <c r="CI1207" s="338">
        <f t="shared" si="479"/>
        <v>0</v>
      </c>
    </row>
    <row r="1208" spans="1:87" ht="12.75" hidden="1" customHeight="1" x14ac:dyDescent="0.2">
      <c r="A1208" s="28">
        <v>3</v>
      </c>
      <c r="B1208" s="28">
        <v>6</v>
      </c>
      <c r="C1208" s="11">
        <v>26</v>
      </c>
      <c r="D1208" s="149" t="s">
        <v>301</v>
      </c>
      <c r="E1208" s="10" t="s">
        <v>63</v>
      </c>
      <c r="F1208" s="10" t="s">
        <v>211</v>
      </c>
      <c r="G1208" s="10"/>
      <c r="H1208" s="10"/>
      <c r="I1208" s="10"/>
      <c r="J1208" s="10"/>
      <c r="K1208" s="575"/>
      <c r="L1208" s="152"/>
      <c r="M1208" s="422"/>
      <c r="N1208" s="423"/>
      <c r="O1208" s="62"/>
      <c r="P1208" s="177"/>
      <c r="Q1208" s="171"/>
      <c r="R1208" s="339"/>
      <c r="S1208" s="62"/>
      <c r="T1208" s="63"/>
      <c r="U1208" s="162"/>
      <c r="V1208" s="164"/>
      <c r="W1208" s="62"/>
      <c r="X1208" s="63"/>
      <c r="Y1208" s="62"/>
      <c r="Z1208" s="64"/>
      <c r="AA1208" s="164"/>
      <c r="AB1208" s="62"/>
      <c r="AC1208" s="62"/>
      <c r="AD1208" s="64"/>
      <c r="AE1208" s="164"/>
      <c r="AF1208" s="62"/>
      <c r="AG1208" s="64"/>
      <c r="AH1208" s="337"/>
      <c r="AI1208" s="337"/>
      <c r="AJ1208" s="337"/>
      <c r="AK1208" s="337"/>
      <c r="AL1208" s="414"/>
      <c r="AM1208" s="414"/>
      <c r="AN1208" s="45"/>
      <c r="AO1208" s="45"/>
      <c r="AP1208" s="44"/>
      <c r="AQ1208" s="485"/>
      <c r="AR1208"/>
      <c r="AS1208" s="485"/>
      <c r="AT1208" s="679"/>
      <c r="AU1208" s="679"/>
      <c r="AV1208" s="679"/>
      <c r="AW1208" s="18">
        <v>26</v>
      </c>
      <c r="AX1208" s="69" t="s">
        <v>301</v>
      </c>
      <c r="AY1208" s="243" t="s">
        <v>63</v>
      </c>
      <c r="AZ1208" s="243" t="str">
        <f t="shared" si="483"/>
        <v>Steelhead</v>
      </c>
      <c r="BA1208" s="243" t="s">
        <v>419</v>
      </c>
      <c r="BB1208" s="244" t="s">
        <v>460</v>
      </c>
      <c r="BC1208" s="43" t="str">
        <f t="shared" si="484"/>
        <v>-</v>
      </c>
      <c r="BD1208" s="43">
        <f t="shared" si="482"/>
        <v>0</v>
      </c>
      <c r="BE1208" s="193">
        <f t="shared" si="496"/>
        <v>0</v>
      </c>
      <c r="BF1208" s="193">
        <f t="shared" si="485"/>
        <v>0</v>
      </c>
      <c r="BG1208" s="193">
        <f t="shared" si="486"/>
        <v>0</v>
      </c>
      <c r="BH1208" s="307" t="str">
        <f t="shared" si="499"/>
        <v>-</v>
      </c>
      <c r="BI1208" s="265" t="str">
        <f t="shared" si="505"/>
        <v>-</v>
      </c>
      <c r="BJ1208" s="26" t="str">
        <f t="shared" si="487"/>
        <v>KASHUTL RIVERSteelhead</v>
      </c>
      <c r="BK1208" s="26">
        <f t="shared" si="488"/>
        <v>0</v>
      </c>
      <c r="BL1208" s="33">
        <f t="shared" si="502"/>
        <v>0</v>
      </c>
      <c r="BQ1208" s="47" t="str">
        <f t="shared" si="489"/>
        <v>KASHUTL RIVERSteelhead</v>
      </c>
      <c r="BR1208" s="49">
        <f t="shared" si="490"/>
        <v>0</v>
      </c>
      <c r="BS1208" s="49">
        <f t="shared" si="500"/>
        <v>0</v>
      </c>
      <c r="BT1208" s="31">
        <v>0</v>
      </c>
      <c r="BU1208" s="188" t="str">
        <f t="shared" si="491"/>
        <v>KCFN</v>
      </c>
      <c r="BV1208" s="188" t="str">
        <f t="shared" si="504"/>
        <v xml:space="preserve"> </v>
      </c>
      <c r="BW1208" s="188" t="str">
        <f t="shared" si="501"/>
        <v xml:space="preserve"> </v>
      </c>
      <c r="BX1208" s="188" t="str">
        <f t="shared" si="492"/>
        <v xml:space="preserve"> </v>
      </c>
      <c r="BY1208" s="50" t="str">
        <f t="shared" si="481"/>
        <v>KASHUTL RIVER_Steelhead</v>
      </c>
      <c r="BZ1208" s="50" t="str">
        <f>IFERROR(VLOOKUP(BY1208,'[1]WCVI Esc'!$C$5:$W$555,18,FALSE),"-")</f>
        <v>-</v>
      </c>
      <c r="CA1208" s="50" t="str">
        <f t="shared" si="493"/>
        <v>-</v>
      </c>
      <c r="CB1208" s="50" t="str">
        <f>IFERROR(VLOOKUP(BY1208,'[1]WCVI Esc'!$C$5:$W$555,19,FALSE),"-")</f>
        <v>-</v>
      </c>
      <c r="CC1208" s="50" t="str">
        <f t="shared" si="494"/>
        <v>-</v>
      </c>
      <c r="CE1208" s="342" t="str">
        <f t="shared" si="498"/>
        <v>KASHUTL RIVER_Steelhead</v>
      </c>
      <c r="CF1208" s="341" t="str">
        <f>IFERROR(VLOOKUP(BY1208,'RawPL+D'!$O$8:$AB$503,12,FALSE),"-")</f>
        <v>-</v>
      </c>
      <c r="CG1208" s="338" t="str">
        <f t="shared" si="478"/>
        <v>-</v>
      </c>
      <c r="CH1208" s="341" t="str">
        <f>IFERROR(VLOOKUP(BY1208,'RawPL+D'!$O$8:$AB$503,13,FALSE),"-")</f>
        <v>-</v>
      </c>
      <c r="CI1208" s="338" t="str">
        <f t="shared" si="479"/>
        <v>-</v>
      </c>
    </row>
    <row r="1209" spans="1:87" ht="12.75" hidden="1" customHeight="1" x14ac:dyDescent="0.2">
      <c r="A1209" s="28">
        <v>3</v>
      </c>
      <c r="B1209" s="28">
        <v>1</v>
      </c>
      <c r="C1209" s="11">
        <v>26</v>
      </c>
      <c r="D1209" s="149" t="s">
        <v>301</v>
      </c>
      <c r="E1209" s="10" t="s">
        <v>64</v>
      </c>
      <c r="F1209" s="10" t="s">
        <v>207</v>
      </c>
      <c r="G1209" s="10"/>
      <c r="H1209" s="10"/>
      <c r="I1209" s="10"/>
      <c r="J1209" s="10"/>
      <c r="K1209" s="575"/>
      <c r="L1209" s="152"/>
      <c r="M1209" s="422"/>
      <c r="N1209" s="423"/>
      <c r="O1209" s="62"/>
      <c r="P1209" s="64"/>
      <c r="Q1209" s="164"/>
      <c r="R1209" s="339"/>
      <c r="S1209" s="62"/>
      <c r="T1209" s="63"/>
      <c r="U1209" s="162"/>
      <c r="V1209" s="164"/>
      <c r="W1209" s="62"/>
      <c r="X1209" s="63"/>
      <c r="Y1209" s="62"/>
      <c r="Z1209" s="64"/>
      <c r="AA1209" s="164"/>
      <c r="AB1209" s="62"/>
      <c r="AC1209" s="62"/>
      <c r="AD1209" s="64"/>
      <c r="AE1209" s="164"/>
      <c r="AF1209" s="62"/>
      <c r="AG1209" s="64"/>
      <c r="AH1209" s="337"/>
      <c r="AI1209" s="337"/>
      <c r="AJ1209" s="337"/>
      <c r="AK1209" s="337"/>
      <c r="AL1209" s="414"/>
      <c r="AM1209" s="414"/>
      <c r="AN1209" s="45"/>
      <c r="AO1209" s="46"/>
      <c r="AP1209" s="44"/>
      <c r="AQ1209" s="485">
        <f>AL1209/BI1209</f>
        <v>0</v>
      </c>
      <c r="AR1209" s="485" t="e">
        <f>BL1209/BH1209</f>
        <v>#DIV/0!</v>
      </c>
      <c r="AS1209" s="485">
        <f>BL1209/BI1209</f>
        <v>0</v>
      </c>
      <c r="AT1209" s="123"/>
      <c r="AU1209" s="123"/>
      <c r="AV1209" s="123"/>
      <c r="AW1209" s="18">
        <v>26</v>
      </c>
      <c r="AX1209" s="69" t="s">
        <v>301</v>
      </c>
      <c r="AY1209" s="243" t="s">
        <v>64</v>
      </c>
      <c r="AZ1209" s="243" t="str">
        <f t="shared" si="483"/>
        <v>Sockeye</v>
      </c>
      <c r="BA1209" s="243" t="s">
        <v>419</v>
      </c>
      <c r="BB1209" s="244" t="s">
        <v>460</v>
      </c>
      <c r="BC1209" s="43" t="str">
        <f t="shared" si="484"/>
        <v>-</v>
      </c>
      <c r="BD1209" s="43">
        <f t="shared" si="482"/>
        <v>0</v>
      </c>
      <c r="BE1209" s="193">
        <f t="shared" si="496"/>
        <v>0</v>
      </c>
      <c r="BF1209" s="193">
        <f t="shared" si="485"/>
        <v>0</v>
      </c>
      <c r="BG1209" s="193">
        <f t="shared" si="486"/>
        <v>0</v>
      </c>
      <c r="BH1209" s="307">
        <f t="shared" si="499"/>
        <v>0</v>
      </c>
      <c r="BI1209" s="265">
        <f t="shared" si="505"/>
        <v>20</v>
      </c>
      <c r="BJ1209" s="26" t="str">
        <f t="shared" si="487"/>
        <v>KAUWINCH RIVERSockeye</v>
      </c>
      <c r="BK1209" s="26">
        <f t="shared" si="488"/>
        <v>0</v>
      </c>
      <c r="BL1209" s="33">
        <f t="shared" si="502"/>
        <v>0</v>
      </c>
      <c r="BQ1209" s="47" t="str">
        <f t="shared" si="489"/>
        <v>KAUWINCH RIVERSockeye</v>
      </c>
      <c r="BR1209" s="49">
        <f t="shared" si="490"/>
        <v>0</v>
      </c>
      <c r="BS1209" s="49">
        <f t="shared" si="500"/>
        <v>0</v>
      </c>
      <c r="BT1209" s="31">
        <v>2016</v>
      </c>
      <c r="BU1209" s="188" t="str">
        <f t="shared" si="491"/>
        <v>KCFN</v>
      </c>
      <c r="BV1209" s="188" t="str">
        <f t="shared" si="504"/>
        <v xml:space="preserve"> </v>
      </c>
      <c r="BW1209" s="188" t="str">
        <f t="shared" si="501"/>
        <v xml:space="preserve"> </v>
      </c>
      <c r="BX1209" s="188" t="str">
        <f t="shared" si="492"/>
        <v xml:space="preserve"> </v>
      </c>
      <c r="BY1209" s="50" t="str">
        <f t="shared" si="481"/>
        <v>KAUWINCH RIVER_Sockeye</v>
      </c>
      <c r="BZ1209" s="50">
        <f>IFERROR(VLOOKUP(BY1209,'[1]WCVI Esc'!$C$5:$W$555,18,FALSE),"-")</f>
        <v>3</v>
      </c>
      <c r="CA1209" s="50">
        <f t="shared" si="493"/>
        <v>0</v>
      </c>
      <c r="CB1209" s="50">
        <f>IFERROR(VLOOKUP(BY1209,'[1]WCVI Esc'!$C$5:$W$555,19,FALSE),"-")</f>
        <v>21.857142857142858</v>
      </c>
      <c r="CC1209" s="50">
        <f t="shared" si="494"/>
        <v>20</v>
      </c>
      <c r="CE1209" s="342" t="str">
        <f t="shared" si="498"/>
        <v>KAUWINCH RIVER_Sockeye</v>
      </c>
      <c r="CF1209" s="341">
        <f>IFERROR(VLOOKUP(CE1209,'RawPL+D'!$O$8:$AB$503,12,FALSE),"-")</f>
        <v>0</v>
      </c>
      <c r="CG1209" s="338">
        <f t="shared" ref="CG1209:CG1268" si="506">IFERROR(ROUND(CF1209,-1),"-")</f>
        <v>0</v>
      </c>
      <c r="CH1209" s="341">
        <f>IFERROR(VLOOKUP(BY1209,'RawPL+D'!$O$8:$AB$503,13,FALSE),"-")</f>
        <v>1</v>
      </c>
      <c r="CI1209" s="338">
        <f t="shared" ref="CI1209:CI1268" si="507">IFERROR(ROUND(CH1209,-1),"-")</f>
        <v>0</v>
      </c>
    </row>
    <row r="1210" spans="1:87" ht="12.75" hidden="1" customHeight="1" x14ac:dyDescent="0.2">
      <c r="A1210" s="28">
        <v>3</v>
      </c>
      <c r="B1210" s="28">
        <v>2</v>
      </c>
      <c r="C1210" s="11">
        <v>26</v>
      </c>
      <c r="D1210" s="149" t="s">
        <v>301</v>
      </c>
      <c r="E1210" s="10" t="s">
        <v>64</v>
      </c>
      <c r="F1210" s="10" t="s">
        <v>219</v>
      </c>
      <c r="G1210" s="10"/>
      <c r="H1210" s="10"/>
      <c r="I1210" s="10"/>
      <c r="J1210" s="10"/>
      <c r="K1210" s="575"/>
      <c r="L1210" s="152"/>
      <c r="M1210" s="422"/>
      <c r="N1210" s="339"/>
      <c r="O1210" s="62"/>
      <c r="P1210" s="64"/>
      <c r="Q1210" s="164"/>
      <c r="R1210" s="339"/>
      <c r="S1210" s="62"/>
      <c r="T1210" s="63"/>
      <c r="U1210" s="162"/>
      <c r="V1210" s="164"/>
      <c r="W1210" s="62"/>
      <c r="X1210" s="63"/>
      <c r="Y1210" s="62"/>
      <c r="Z1210" s="64"/>
      <c r="AA1210" s="164"/>
      <c r="AB1210" s="62"/>
      <c r="AC1210" s="62"/>
      <c r="AD1210" s="64"/>
      <c r="AE1210" s="164"/>
      <c r="AF1210" s="62"/>
      <c r="AG1210" s="64"/>
      <c r="AH1210" s="337"/>
      <c r="AI1210" s="337"/>
      <c r="AJ1210" s="337"/>
      <c r="AK1210" s="337"/>
      <c r="AL1210" s="414"/>
      <c r="AM1210" s="414"/>
      <c r="AN1210" s="45"/>
      <c r="AO1210" s="46"/>
      <c r="AP1210" s="44"/>
      <c r="AQ1210" s="485">
        <f>AL1210/BI1210</f>
        <v>0</v>
      </c>
      <c r="AR1210" s="485">
        <f>BL1210/BH1210</f>
        <v>0</v>
      </c>
      <c r="AS1210" s="485">
        <f>BL1210/BI1210</f>
        <v>0</v>
      </c>
      <c r="AT1210" s="123"/>
      <c r="AU1210" s="123"/>
      <c r="AV1210" s="123"/>
      <c r="AW1210" s="18">
        <v>26</v>
      </c>
      <c r="AX1210" s="69" t="s">
        <v>301</v>
      </c>
      <c r="AY1210" s="243" t="s">
        <v>64</v>
      </c>
      <c r="AZ1210" s="243" t="str">
        <f t="shared" si="483"/>
        <v>Coho</v>
      </c>
      <c r="BA1210" s="243" t="s">
        <v>419</v>
      </c>
      <c r="BB1210" s="244" t="s">
        <v>460</v>
      </c>
      <c r="BC1210" s="43" t="str">
        <f t="shared" si="484"/>
        <v>-</v>
      </c>
      <c r="BD1210" s="43">
        <f t="shared" si="482"/>
        <v>0</v>
      </c>
      <c r="BE1210" s="193">
        <f t="shared" si="496"/>
        <v>0</v>
      </c>
      <c r="BF1210" s="193">
        <f t="shared" si="485"/>
        <v>0</v>
      </c>
      <c r="BG1210" s="193">
        <f t="shared" si="486"/>
        <v>0</v>
      </c>
      <c r="BH1210" s="307">
        <f t="shared" si="499"/>
        <v>70</v>
      </c>
      <c r="BI1210" s="265">
        <f t="shared" si="505"/>
        <v>970</v>
      </c>
      <c r="BJ1210" s="26" t="str">
        <f t="shared" si="487"/>
        <v>KAUWINCH RIVERCoho</v>
      </c>
      <c r="BK1210" s="26">
        <f t="shared" si="488"/>
        <v>0</v>
      </c>
      <c r="BL1210" s="33">
        <f t="shared" si="502"/>
        <v>0</v>
      </c>
      <c r="BQ1210" s="47" t="str">
        <f t="shared" si="489"/>
        <v>KAUWINCH RIVERCoho</v>
      </c>
      <c r="BR1210" s="49">
        <f t="shared" si="490"/>
        <v>0</v>
      </c>
      <c r="BS1210" s="49">
        <f t="shared" si="500"/>
        <v>0</v>
      </c>
      <c r="BT1210" s="31">
        <v>2016</v>
      </c>
      <c r="BU1210" s="188" t="str">
        <f t="shared" si="491"/>
        <v>KCFN</v>
      </c>
      <c r="BV1210" s="188" t="str">
        <f t="shared" si="504"/>
        <v xml:space="preserve"> </v>
      </c>
      <c r="BW1210" s="188" t="str">
        <f t="shared" si="501"/>
        <v xml:space="preserve"> </v>
      </c>
      <c r="BX1210" s="188" t="str">
        <f t="shared" si="492"/>
        <v xml:space="preserve"> </v>
      </c>
      <c r="BY1210" s="50" t="str">
        <f t="shared" si="481"/>
        <v>KAUWINCH RIVER_Coho</v>
      </c>
      <c r="BZ1210" s="50">
        <f>IFERROR(VLOOKUP(BY1210,'[1]WCVI Esc'!$C$5:$W$555,18,FALSE),"-")</f>
        <v>74.333333333333329</v>
      </c>
      <c r="CA1210" s="50">
        <f t="shared" si="493"/>
        <v>70</v>
      </c>
      <c r="CB1210" s="50">
        <f>IFERROR(VLOOKUP(BY1210,'[1]WCVI Esc'!$C$5:$W$555,19,FALSE),"-")</f>
        <v>973.4545454545455</v>
      </c>
      <c r="CC1210" s="50">
        <f t="shared" si="494"/>
        <v>970</v>
      </c>
      <c r="CE1210" s="342" t="str">
        <f t="shared" si="498"/>
        <v>KAUWINCH RIVER_Coho</v>
      </c>
      <c r="CF1210" s="341">
        <f>IFERROR(VLOOKUP(CE1210,'RawPL+D'!$O$8:$AB$503,12,FALSE),"-")</f>
        <v>0</v>
      </c>
      <c r="CG1210" s="338">
        <f t="shared" si="506"/>
        <v>0</v>
      </c>
      <c r="CH1210" s="341">
        <f>IFERROR(VLOOKUP(BY1210,'RawPL+D'!$O$8:$AB$503,13,FALSE),"-")</f>
        <v>67.666666666666671</v>
      </c>
      <c r="CI1210" s="338">
        <f t="shared" si="507"/>
        <v>70</v>
      </c>
    </row>
    <row r="1211" spans="1:87" ht="12.75" hidden="1" customHeight="1" x14ac:dyDescent="0.2">
      <c r="A1211" s="28">
        <v>3</v>
      </c>
      <c r="B1211" s="28">
        <v>3</v>
      </c>
      <c r="C1211" s="11">
        <v>26</v>
      </c>
      <c r="D1211" s="149" t="s">
        <v>301</v>
      </c>
      <c r="E1211" s="10" t="s">
        <v>64</v>
      </c>
      <c r="F1211" s="10" t="s">
        <v>208</v>
      </c>
      <c r="G1211" s="10"/>
      <c r="H1211" s="10"/>
      <c r="I1211" s="10"/>
      <c r="J1211" s="10"/>
      <c r="K1211" s="575"/>
      <c r="L1211" s="152"/>
      <c r="M1211" s="422"/>
      <c r="N1211" s="339"/>
      <c r="O1211" s="62"/>
      <c r="P1211" s="64"/>
      <c r="Q1211" s="164"/>
      <c r="R1211" s="339"/>
      <c r="S1211" s="62"/>
      <c r="T1211" s="63"/>
      <c r="U1211" s="162"/>
      <c r="V1211" s="164"/>
      <c r="W1211" s="62"/>
      <c r="X1211" s="63"/>
      <c r="Y1211" s="62"/>
      <c r="Z1211" s="64"/>
      <c r="AA1211" s="164"/>
      <c r="AB1211" s="62"/>
      <c r="AC1211" s="62"/>
      <c r="AD1211" s="64"/>
      <c r="AE1211" s="164"/>
      <c r="AF1211" s="62"/>
      <c r="AG1211" s="64"/>
      <c r="AH1211" s="337"/>
      <c r="AI1211" s="337"/>
      <c r="AJ1211" s="337"/>
      <c r="AK1211" s="337"/>
      <c r="AL1211" s="414"/>
      <c r="AM1211" s="414"/>
      <c r="AN1211" s="45"/>
      <c r="AO1211" s="45"/>
      <c r="AP1211" s="44"/>
      <c r="AQ1211" s="485"/>
      <c r="AR1211" s="100"/>
      <c r="AS1211" s="485"/>
      <c r="AT1211" s="679"/>
      <c r="AU1211" s="679"/>
      <c r="AV1211" s="679"/>
      <c r="AW1211" s="18">
        <v>26</v>
      </c>
      <c r="AX1211" s="69" t="s">
        <v>301</v>
      </c>
      <c r="AY1211" s="243" t="s">
        <v>64</v>
      </c>
      <c r="AZ1211" s="243" t="str">
        <f t="shared" si="483"/>
        <v>Pink</v>
      </c>
      <c r="BA1211" s="243" t="s">
        <v>419</v>
      </c>
      <c r="BB1211" s="244" t="s">
        <v>460</v>
      </c>
      <c r="BC1211" s="43" t="str">
        <f t="shared" si="484"/>
        <v>-</v>
      </c>
      <c r="BD1211" s="43">
        <f t="shared" si="482"/>
        <v>0</v>
      </c>
      <c r="BE1211" s="193">
        <f t="shared" si="496"/>
        <v>0</v>
      </c>
      <c r="BF1211" s="193">
        <f t="shared" si="485"/>
        <v>0</v>
      </c>
      <c r="BG1211" s="193">
        <f t="shared" si="486"/>
        <v>0</v>
      </c>
      <c r="BH1211" s="307">
        <f t="shared" si="499"/>
        <v>0</v>
      </c>
      <c r="BI1211" s="265" t="str">
        <f t="shared" si="505"/>
        <v>-</v>
      </c>
      <c r="BJ1211" s="26" t="str">
        <f t="shared" si="487"/>
        <v>KAUWINCH RIVERPink</v>
      </c>
      <c r="BK1211" s="26">
        <f t="shared" si="488"/>
        <v>0</v>
      </c>
      <c r="BL1211" s="33">
        <f t="shared" si="502"/>
        <v>0</v>
      </c>
      <c r="BQ1211" s="47" t="str">
        <f t="shared" si="489"/>
        <v>KAUWINCH RIVERPink</v>
      </c>
      <c r="BR1211" s="49">
        <f t="shared" si="490"/>
        <v>0</v>
      </c>
      <c r="BS1211" s="49">
        <f t="shared" si="500"/>
        <v>0</v>
      </c>
      <c r="BT1211" s="31">
        <v>0</v>
      </c>
      <c r="BU1211" s="188" t="str">
        <f t="shared" si="491"/>
        <v>KCFN</v>
      </c>
      <c r="BV1211" s="188" t="str">
        <f t="shared" si="504"/>
        <v xml:space="preserve"> </v>
      </c>
      <c r="BW1211" s="188" t="str">
        <f t="shared" si="501"/>
        <v xml:space="preserve"> </v>
      </c>
      <c r="BX1211" s="188" t="str">
        <f t="shared" si="492"/>
        <v xml:space="preserve"> </v>
      </c>
      <c r="BY1211" s="50" t="str">
        <f t="shared" si="481"/>
        <v>KAUWINCH RIVER_Pink</v>
      </c>
      <c r="BZ1211" s="50" t="str">
        <f>IFERROR(VLOOKUP(BY1211,'[1]WCVI Esc'!$C$5:$W$555,18,FALSE),"-")</f>
        <v>-</v>
      </c>
      <c r="CA1211" s="50" t="str">
        <f t="shared" si="493"/>
        <v>-</v>
      </c>
      <c r="CB1211" s="50" t="str">
        <f>IFERROR(VLOOKUP(BY1211,'[1]WCVI Esc'!$C$5:$W$555,19,FALSE),"-")</f>
        <v>-</v>
      </c>
      <c r="CC1211" s="50" t="str">
        <f t="shared" si="494"/>
        <v>-</v>
      </c>
      <c r="CE1211" s="342" t="str">
        <f t="shared" ref="CE1211:CE1239" si="508">CONCATENATE(E1211,"_",F1211)</f>
        <v>KAUWINCH RIVER_Pink</v>
      </c>
      <c r="CF1211" s="341">
        <f>IFERROR(VLOOKUP(BY1211,'RawPL+D'!$O$8:$AB$503,12,FALSE),"-")</f>
        <v>0</v>
      </c>
      <c r="CG1211" s="338">
        <f t="shared" si="506"/>
        <v>0</v>
      </c>
      <c r="CH1211" s="341">
        <f>IFERROR(VLOOKUP(BY1211,'RawPL+D'!$O$8:$AB$503,13,FALSE),"-")</f>
        <v>0</v>
      </c>
      <c r="CI1211" s="338">
        <f t="shared" si="507"/>
        <v>0</v>
      </c>
    </row>
    <row r="1212" spans="1:87" ht="12.75" hidden="1" customHeight="1" x14ac:dyDescent="0.2">
      <c r="A1212" s="28">
        <v>3</v>
      </c>
      <c r="B1212" s="28">
        <v>4</v>
      </c>
      <c r="C1212" s="11">
        <v>26</v>
      </c>
      <c r="D1212" s="149" t="s">
        <v>301</v>
      </c>
      <c r="E1212" s="10" t="s">
        <v>64</v>
      </c>
      <c r="F1212" s="10" t="s">
        <v>209</v>
      </c>
      <c r="G1212" s="10"/>
      <c r="H1212" s="10"/>
      <c r="I1212" s="10"/>
      <c r="J1212" s="10"/>
      <c r="K1212" s="575"/>
      <c r="L1212" s="152"/>
      <c r="M1212" s="422"/>
      <c r="N1212" s="339"/>
      <c r="O1212" s="62"/>
      <c r="P1212" s="64"/>
      <c r="Q1212" s="429"/>
      <c r="R1212" s="428"/>
      <c r="S1212" s="431"/>
      <c r="T1212" s="63"/>
      <c r="U1212" s="162"/>
      <c r="V1212" s="421"/>
      <c r="W1212" s="62"/>
      <c r="X1212" s="63"/>
      <c r="Y1212" s="62"/>
      <c r="Z1212" s="64"/>
      <c r="AA1212" s="164"/>
      <c r="AB1212" s="62"/>
      <c r="AC1212" s="62"/>
      <c r="AD1212" s="64"/>
      <c r="AE1212" s="164"/>
      <c r="AF1212" s="62"/>
      <c r="AG1212" s="64"/>
      <c r="AH1212" s="337"/>
      <c r="AI1212" s="337"/>
      <c r="AJ1212" s="337"/>
      <c r="AK1212" s="337"/>
      <c r="AL1212" s="414"/>
      <c r="AM1212" s="414"/>
      <c r="AN1212" s="45"/>
      <c r="AO1212" s="46"/>
      <c r="AP1212" s="44"/>
      <c r="AQ1212" s="485">
        <f>AL1212/BI1212</f>
        <v>0</v>
      </c>
      <c r="AR1212" s="485">
        <f>BL1212/BH1212</f>
        <v>0</v>
      </c>
      <c r="AS1212" s="485">
        <f>BL1212/BI1212</f>
        <v>0</v>
      </c>
      <c r="AT1212" s="123"/>
      <c r="AU1212" s="123"/>
      <c r="AV1212" s="123"/>
      <c r="AW1212" s="18">
        <v>26</v>
      </c>
      <c r="AX1212" s="69" t="s">
        <v>301</v>
      </c>
      <c r="AY1212" s="243" t="s">
        <v>64</v>
      </c>
      <c r="AZ1212" s="243" t="str">
        <f t="shared" si="483"/>
        <v>Chum</v>
      </c>
      <c r="BA1212" s="243" t="s">
        <v>419</v>
      </c>
      <c r="BB1212" s="244" t="s">
        <v>460</v>
      </c>
      <c r="BC1212" s="43" t="str">
        <f t="shared" si="484"/>
        <v>-</v>
      </c>
      <c r="BD1212" s="43">
        <f t="shared" si="482"/>
        <v>0</v>
      </c>
      <c r="BE1212" s="193">
        <f t="shared" si="496"/>
        <v>0</v>
      </c>
      <c r="BF1212" s="193">
        <f t="shared" si="485"/>
        <v>0</v>
      </c>
      <c r="BG1212" s="193">
        <f t="shared" si="486"/>
        <v>0</v>
      </c>
      <c r="BH1212" s="307">
        <f t="shared" si="499"/>
        <v>470</v>
      </c>
      <c r="BI1212" s="265">
        <f t="shared" si="505"/>
        <v>1440</v>
      </c>
      <c r="BJ1212" s="26" t="str">
        <f t="shared" si="487"/>
        <v>KAUWINCH RIVERChum</v>
      </c>
      <c r="BK1212" s="26">
        <f t="shared" si="488"/>
        <v>0</v>
      </c>
      <c r="BL1212" s="33">
        <f t="shared" si="502"/>
        <v>0</v>
      </c>
      <c r="BQ1212" s="47" t="str">
        <f t="shared" si="489"/>
        <v>KAUWINCH RIVERChum</v>
      </c>
      <c r="BR1212" s="49">
        <f t="shared" si="490"/>
        <v>0</v>
      </c>
      <c r="BS1212" s="49">
        <f t="shared" si="500"/>
        <v>0</v>
      </c>
      <c r="BT1212" s="31">
        <v>2016</v>
      </c>
      <c r="BU1212" s="188" t="str">
        <f t="shared" si="491"/>
        <v>KCFN</v>
      </c>
      <c r="BV1212" s="188" t="str">
        <f t="shared" si="504"/>
        <v xml:space="preserve"> </v>
      </c>
      <c r="BW1212" s="188" t="str">
        <f t="shared" si="501"/>
        <v xml:space="preserve"> </v>
      </c>
      <c r="BX1212" s="188" t="str">
        <f t="shared" si="492"/>
        <v xml:space="preserve"> </v>
      </c>
      <c r="BY1212" s="50" t="str">
        <f t="shared" si="481"/>
        <v>KAUWINCH RIVER_Chum</v>
      </c>
      <c r="BZ1212" s="50">
        <f>IFERROR(VLOOKUP(BY1212,'[1]WCVI Esc'!$C$5:$W$555,18,FALSE),"-")</f>
        <v>506</v>
      </c>
      <c r="CA1212" s="50">
        <f t="shared" si="493"/>
        <v>510</v>
      </c>
      <c r="CB1212" s="50">
        <f>IFERROR(VLOOKUP(BY1212,'[1]WCVI Esc'!$C$5:$W$555,19,FALSE),"-")</f>
        <v>1441.090909090909</v>
      </c>
      <c r="CC1212" s="50">
        <f t="shared" si="494"/>
        <v>1440</v>
      </c>
      <c r="CE1212" s="342" t="str">
        <f t="shared" si="508"/>
        <v>KAUWINCH RIVER_Chum</v>
      </c>
      <c r="CF1212" s="341">
        <f>IFERROR(VLOOKUP(CE1212,'RawPL+D'!$O$8:$AB$503,12,FALSE),"-")</f>
        <v>0</v>
      </c>
      <c r="CG1212" s="338">
        <f t="shared" si="506"/>
        <v>0</v>
      </c>
      <c r="CH1212" s="341">
        <f>IFERROR(VLOOKUP(BY1212,'RawPL+D'!$O$8:$AB$503,13,FALSE),"-")</f>
        <v>467.66666666666669</v>
      </c>
      <c r="CI1212" s="338">
        <f t="shared" si="507"/>
        <v>470</v>
      </c>
    </row>
    <row r="1213" spans="1:87" ht="12.75" hidden="1" customHeight="1" x14ac:dyDescent="0.2">
      <c r="A1213" s="28">
        <v>3</v>
      </c>
      <c r="B1213" s="28">
        <v>5</v>
      </c>
      <c r="C1213" s="11">
        <v>26</v>
      </c>
      <c r="D1213" s="149" t="s">
        <v>301</v>
      </c>
      <c r="E1213" s="10" t="s">
        <v>64</v>
      </c>
      <c r="F1213" s="10" t="s">
        <v>210</v>
      </c>
      <c r="G1213" s="10"/>
      <c r="H1213" s="10"/>
      <c r="I1213" s="10"/>
      <c r="J1213" s="10"/>
      <c r="K1213" s="575"/>
      <c r="L1213" s="152"/>
      <c r="M1213" s="422"/>
      <c r="N1213" s="339"/>
      <c r="O1213" s="62"/>
      <c r="P1213" s="64"/>
      <c r="Q1213" s="421"/>
      <c r="R1213" s="428"/>
      <c r="S1213" s="390"/>
      <c r="T1213" s="63"/>
      <c r="U1213" s="162"/>
      <c r="V1213" s="164"/>
      <c r="W1213" s="62"/>
      <c r="X1213" s="63"/>
      <c r="Y1213" s="62"/>
      <c r="Z1213" s="64"/>
      <c r="AA1213" s="164"/>
      <c r="AB1213" s="62"/>
      <c r="AC1213" s="62"/>
      <c r="AD1213" s="64"/>
      <c r="AE1213" s="164"/>
      <c r="AF1213" s="62"/>
      <c r="AG1213" s="64"/>
      <c r="AH1213" s="337"/>
      <c r="AI1213" s="337"/>
      <c r="AJ1213" s="337"/>
      <c r="AK1213" s="337"/>
      <c r="AL1213" s="414"/>
      <c r="AM1213" s="414"/>
      <c r="AN1213" s="45"/>
      <c r="AO1213" s="45"/>
      <c r="AP1213" s="44"/>
      <c r="AQ1213" s="485">
        <f>AL1213/BI1213</f>
        <v>0</v>
      </c>
      <c r="AR1213" s="485">
        <f>BL1213/BH1213</f>
        <v>0</v>
      </c>
      <c r="AS1213" s="485">
        <f>BL1213/BI1213</f>
        <v>0</v>
      </c>
      <c r="AT1213" s="123"/>
      <c r="AU1213" s="123"/>
      <c r="AV1213" s="123">
        <f>AL1213</f>
        <v>0</v>
      </c>
      <c r="AW1213" s="18">
        <v>26</v>
      </c>
      <c r="AX1213" s="69" t="s">
        <v>301</v>
      </c>
      <c r="AY1213" s="243" t="s">
        <v>64</v>
      </c>
      <c r="AZ1213" s="243" t="str">
        <f t="shared" si="483"/>
        <v>Chinook</v>
      </c>
      <c r="BA1213" s="243" t="s">
        <v>419</v>
      </c>
      <c r="BB1213" s="244" t="s">
        <v>460</v>
      </c>
      <c r="BC1213" s="43" t="str">
        <f t="shared" si="484"/>
        <v>-</v>
      </c>
      <c r="BD1213" s="43">
        <f t="shared" si="482"/>
        <v>0</v>
      </c>
      <c r="BE1213" s="193">
        <f t="shared" si="496"/>
        <v>0</v>
      </c>
      <c r="BF1213" s="193">
        <f t="shared" si="485"/>
        <v>0</v>
      </c>
      <c r="BG1213" s="193">
        <f t="shared" si="486"/>
        <v>0</v>
      </c>
      <c r="BH1213" s="307">
        <f t="shared" si="499"/>
        <v>10</v>
      </c>
      <c r="BI1213" s="265">
        <f t="shared" si="505"/>
        <v>110</v>
      </c>
      <c r="BJ1213" s="26" t="str">
        <f t="shared" si="487"/>
        <v>KAUWINCH RIVERChinook</v>
      </c>
      <c r="BK1213" s="26">
        <f t="shared" si="488"/>
        <v>0</v>
      </c>
      <c r="BL1213" s="33">
        <f t="shared" si="502"/>
        <v>0</v>
      </c>
      <c r="BQ1213" s="47" t="str">
        <f t="shared" si="489"/>
        <v>KAUWINCH RIVERChinook</v>
      </c>
      <c r="BR1213" s="49">
        <f t="shared" si="490"/>
        <v>0</v>
      </c>
      <c r="BS1213" s="49">
        <f t="shared" si="500"/>
        <v>0</v>
      </c>
      <c r="BT1213" s="31">
        <v>2016</v>
      </c>
      <c r="BU1213" s="188" t="str">
        <f t="shared" si="491"/>
        <v>KCFN</v>
      </c>
      <c r="BV1213" s="188" t="str">
        <f t="shared" si="504"/>
        <v xml:space="preserve"> </v>
      </c>
      <c r="BW1213" s="188" t="str">
        <f t="shared" si="501"/>
        <v xml:space="preserve"> </v>
      </c>
      <c r="BX1213" s="188" t="str">
        <f t="shared" si="492"/>
        <v xml:space="preserve"> </v>
      </c>
      <c r="BY1213" s="50" t="str">
        <f t="shared" si="481"/>
        <v>KAUWINCH RIVER_Chinook</v>
      </c>
      <c r="BZ1213" s="50">
        <f>IFERROR(VLOOKUP(BY1213,'[1]WCVI Esc'!$C$5:$W$555,18,FALSE),"-")</f>
        <v>17</v>
      </c>
      <c r="CA1213" s="50">
        <f t="shared" si="493"/>
        <v>20</v>
      </c>
      <c r="CB1213" s="50">
        <f>IFERROR(VLOOKUP(BY1213,'[1]WCVI Esc'!$C$5:$W$555,19,FALSE),"-")</f>
        <v>109.66666666666667</v>
      </c>
      <c r="CC1213" s="50">
        <f t="shared" si="494"/>
        <v>110</v>
      </c>
      <c r="CE1213" s="342" t="str">
        <f t="shared" si="508"/>
        <v>KAUWINCH RIVER_Chinook</v>
      </c>
      <c r="CF1213" s="341">
        <f>IFERROR(VLOOKUP(CE1213,'RawPL+D'!$O$8:$AB$503,12,FALSE),"-")</f>
        <v>0</v>
      </c>
      <c r="CG1213" s="338">
        <f t="shared" si="506"/>
        <v>0</v>
      </c>
      <c r="CH1213" s="341">
        <f>IFERROR(VLOOKUP(BY1213,'RawPL+D'!$O$8:$AB$503,13,FALSE),"-")</f>
        <v>10.666666666666666</v>
      </c>
      <c r="CI1213" s="338">
        <f t="shared" si="507"/>
        <v>10</v>
      </c>
    </row>
    <row r="1214" spans="1:87" ht="12.75" hidden="1" customHeight="1" x14ac:dyDescent="0.2">
      <c r="A1214" s="28">
        <v>3</v>
      </c>
      <c r="B1214" s="28">
        <v>6</v>
      </c>
      <c r="C1214" s="11">
        <v>26</v>
      </c>
      <c r="D1214" s="149" t="s">
        <v>301</v>
      </c>
      <c r="E1214" s="10" t="s">
        <v>64</v>
      </c>
      <c r="F1214" s="10" t="s">
        <v>211</v>
      </c>
      <c r="G1214" s="10"/>
      <c r="H1214" s="10"/>
      <c r="I1214" s="10"/>
      <c r="J1214" s="10"/>
      <c r="K1214" s="575"/>
      <c r="L1214" s="152"/>
      <c r="M1214" s="422"/>
      <c r="N1214" s="339"/>
      <c r="O1214" s="62"/>
      <c r="P1214" s="64"/>
      <c r="Q1214" s="164"/>
      <c r="R1214" s="339"/>
      <c r="S1214" s="62"/>
      <c r="T1214" s="63"/>
      <c r="U1214" s="162"/>
      <c r="V1214" s="164"/>
      <c r="W1214" s="62"/>
      <c r="X1214" s="63"/>
      <c r="Y1214" s="62"/>
      <c r="Z1214" s="64"/>
      <c r="AA1214" s="164"/>
      <c r="AB1214" s="62"/>
      <c r="AC1214" s="62"/>
      <c r="AD1214" s="64"/>
      <c r="AE1214" s="164"/>
      <c r="AF1214" s="62"/>
      <c r="AG1214" s="64"/>
      <c r="AH1214" s="337"/>
      <c r="AI1214" s="337"/>
      <c r="AJ1214" s="337"/>
      <c r="AK1214" s="337"/>
      <c r="AL1214" s="414"/>
      <c r="AM1214" s="414"/>
      <c r="AN1214" s="45"/>
      <c r="AO1214" s="45"/>
      <c r="AP1214" s="44"/>
      <c r="AQ1214" s="485"/>
      <c r="AR1214" s="100"/>
      <c r="AS1214" s="485"/>
      <c r="AT1214" s="679"/>
      <c r="AU1214" s="679"/>
      <c r="AV1214" s="679"/>
      <c r="AW1214" s="18">
        <v>26</v>
      </c>
      <c r="AX1214" s="69" t="s">
        <v>301</v>
      </c>
      <c r="AY1214" s="243" t="s">
        <v>64</v>
      </c>
      <c r="AZ1214" s="243" t="str">
        <f t="shared" si="483"/>
        <v>Steelhead</v>
      </c>
      <c r="BA1214" s="243" t="s">
        <v>419</v>
      </c>
      <c r="BB1214" s="244" t="s">
        <v>460</v>
      </c>
      <c r="BC1214" s="43" t="str">
        <f t="shared" si="484"/>
        <v>-</v>
      </c>
      <c r="BD1214" s="43">
        <f t="shared" si="482"/>
        <v>0</v>
      </c>
      <c r="BE1214" s="193">
        <f t="shared" si="496"/>
        <v>0</v>
      </c>
      <c r="BF1214" s="193">
        <f t="shared" si="485"/>
        <v>0</v>
      </c>
      <c r="BG1214" s="193">
        <f t="shared" si="486"/>
        <v>0</v>
      </c>
      <c r="BH1214" s="307" t="str">
        <f t="shared" si="499"/>
        <v>-</v>
      </c>
      <c r="BI1214" s="265" t="str">
        <f t="shared" si="505"/>
        <v>-</v>
      </c>
      <c r="BJ1214" s="26" t="str">
        <f t="shared" si="487"/>
        <v>KAUWINCH RIVERSteelhead</v>
      </c>
      <c r="BK1214" s="26">
        <f t="shared" si="488"/>
        <v>0</v>
      </c>
      <c r="BL1214" s="33">
        <f t="shared" si="502"/>
        <v>0</v>
      </c>
      <c r="BQ1214" s="47" t="str">
        <f t="shared" si="489"/>
        <v>KAUWINCH RIVERSteelhead</v>
      </c>
      <c r="BR1214" s="49">
        <f t="shared" si="490"/>
        <v>0</v>
      </c>
      <c r="BS1214" s="49">
        <f t="shared" si="500"/>
        <v>0</v>
      </c>
      <c r="BT1214" s="31">
        <v>0</v>
      </c>
      <c r="BU1214" s="188" t="str">
        <f t="shared" si="491"/>
        <v>KCFN</v>
      </c>
      <c r="BV1214" s="188" t="str">
        <f t="shared" si="504"/>
        <v xml:space="preserve"> </v>
      </c>
      <c r="BW1214" s="188" t="str">
        <f t="shared" si="501"/>
        <v xml:space="preserve"> </v>
      </c>
      <c r="BX1214" s="188" t="str">
        <f t="shared" si="492"/>
        <v xml:space="preserve"> </v>
      </c>
      <c r="BY1214" s="50" t="str">
        <f t="shared" si="481"/>
        <v>KAUWINCH RIVER_Steelhead</v>
      </c>
      <c r="BZ1214" s="50" t="str">
        <f>IFERROR(VLOOKUP(BY1214,'[1]WCVI Esc'!$C$5:$W$555,18,FALSE),"-")</f>
        <v>-</v>
      </c>
      <c r="CA1214" s="50" t="str">
        <f t="shared" si="493"/>
        <v>-</v>
      </c>
      <c r="CB1214" s="50" t="str">
        <f>IFERROR(VLOOKUP(BY1214,'[1]WCVI Esc'!$C$5:$W$555,19,FALSE),"-")</f>
        <v>-</v>
      </c>
      <c r="CC1214" s="50" t="str">
        <f t="shared" si="494"/>
        <v>-</v>
      </c>
      <c r="CE1214" s="342" t="str">
        <f t="shared" si="508"/>
        <v>KAUWINCH RIVER_Steelhead</v>
      </c>
      <c r="CF1214" s="341" t="str">
        <f>IFERROR(VLOOKUP(BY1214,'RawPL+D'!$O$8:$AB$503,12,FALSE),"-")</f>
        <v>-</v>
      </c>
      <c r="CG1214" s="338" t="str">
        <f t="shared" si="506"/>
        <v>-</v>
      </c>
      <c r="CH1214" s="341" t="str">
        <f>IFERROR(VLOOKUP(BY1214,'RawPL+D'!$O$8:$AB$503,13,FALSE),"-")</f>
        <v>-</v>
      </c>
      <c r="CI1214" s="338" t="str">
        <f t="shared" si="507"/>
        <v>-</v>
      </c>
    </row>
    <row r="1215" spans="1:87" ht="12.75" hidden="1" customHeight="1" x14ac:dyDescent="0.2">
      <c r="A1215" s="28">
        <v>3</v>
      </c>
      <c r="B1215" s="28">
        <v>1</v>
      </c>
      <c r="C1215" s="11">
        <v>26</v>
      </c>
      <c r="D1215" s="149" t="s">
        <v>301</v>
      </c>
      <c r="E1215" s="10" t="s">
        <v>230</v>
      </c>
      <c r="F1215" s="10" t="s">
        <v>207</v>
      </c>
      <c r="G1215" s="10"/>
      <c r="H1215" s="10"/>
      <c r="I1215" s="10"/>
      <c r="J1215" s="10"/>
      <c r="K1215" s="575"/>
      <c r="L1215" s="152"/>
      <c r="M1215" s="422"/>
      <c r="N1215" s="423"/>
      <c r="O1215" s="62"/>
      <c r="P1215" s="424"/>
      <c r="Q1215" s="171"/>
      <c r="R1215" s="94"/>
      <c r="S1215" s="339"/>
      <c r="T1215" s="63"/>
      <c r="U1215" s="162"/>
      <c r="V1215" s="164"/>
      <c r="W1215" s="62"/>
      <c r="X1215" s="63"/>
      <c r="Y1215" s="62"/>
      <c r="Z1215" s="64"/>
      <c r="AA1215" s="164"/>
      <c r="AB1215" s="62"/>
      <c r="AC1215" s="62"/>
      <c r="AD1215" s="64"/>
      <c r="AE1215" s="164"/>
      <c r="AF1215" s="62"/>
      <c r="AG1215" s="64"/>
      <c r="AH1215" s="337"/>
      <c r="AI1215" s="337"/>
      <c r="AJ1215" s="337"/>
      <c r="AK1215" s="337"/>
      <c r="AL1215" s="414"/>
      <c r="AM1215" s="414"/>
      <c r="AN1215" s="45"/>
      <c r="AO1215" s="45"/>
      <c r="AP1215" s="45"/>
      <c r="AQ1215" s="485"/>
      <c r="AR1215"/>
      <c r="AS1215" s="485"/>
      <c r="AT1215" s="24"/>
      <c r="AU1215" s="24"/>
      <c r="AV1215" s="24"/>
      <c r="AW1215" s="18">
        <v>26</v>
      </c>
      <c r="AX1215" s="69" t="s">
        <v>301</v>
      </c>
      <c r="AY1215" s="243" t="s">
        <v>230</v>
      </c>
      <c r="AZ1215" s="243" t="str">
        <f t="shared" si="483"/>
        <v>Sockeye</v>
      </c>
      <c r="BA1215" s="243" t="s">
        <v>419</v>
      </c>
      <c r="BB1215" s="244" t="s">
        <v>292</v>
      </c>
      <c r="BC1215" s="43" t="str">
        <f t="shared" si="484"/>
        <v>-</v>
      </c>
      <c r="BD1215" s="43">
        <f t="shared" si="482"/>
        <v>0</v>
      </c>
      <c r="BE1215" s="193">
        <f t="shared" si="496"/>
        <v>0</v>
      </c>
      <c r="BF1215" s="193">
        <f t="shared" si="485"/>
        <v>0</v>
      </c>
      <c r="BG1215" s="193">
        <f t="shared" si="486"/>
        <v>0</v>
      </c>
      <c r="BH1215" s="307" t="str">
        <f t="shared" si="499"/>
        <v>-</v>
      </c>
      <c r="BI1215" s="312" t="s">
        <v>242</v>
      </c>
      <c r="BJ1215" s="26" t="str">
        <f t="shared" si="487"/>
        <v>OUOUKINSH RIVERSockeye</v>
      </c>
      <c r="BK1215" s="26">
        <f t="shared" si="488"/>
        <v>0</v>
      </c>
      <c r="BL1215" s="33">
        <f t="shared" si="502"/>
        <v>0</v>
      </c>
      <c r="BQ1215" s="47" t="str">
        <f t="shared" si="489"/>
        <v>OUOUKINSH RIVERSockeye</v>
      </c>
      <c r="BR1215" s="49">
        <f t="shared" si="490"/>
        <v>0</v>
      </c>
      <c r="BS1215" s="49">
        <f t="shared" si="500"/>
        <v>0</v>
      </c>
      <c r="BT1215" s="31">
        <v>0</v>
      </c>
      <c r="BU1215" s="188" t="str">
        <f t="shared" si="491"/>
        <v>KCFN/LGL</v>
      </c>
      <c r="BV1215" s="188" t="str">
        <f t="shared" si="504"/>
        <v xml:space="preserve"> </v>
      </c>
      <c r="BW1215" s="188" t="str">
        <f t="shared" si="501"/>
        <v xml:space="preserve"> </v>
      </c>
      <c r="BX1215" s="188" t="str">
        <f t="shared" si="492"/>
        <v xml:space="preserve"> </v>
      </c>
      <c r="BY1215" s="50" t="str">
        <f t="shared" ref="BY1215:BY1238" si="509">CONCATENATE(E1215,"_",F1215)</f>
        <v>OUOUKINSH RIVER_Sockeye</v>
      </c>
      <c r="BZ1215" s="50" t="str">
        <f>IFERROR(VLOOKUP(BY1215,'[1]WCVI Esc'!$C$5:$W$555,18,FALSE),"-")</f>
        <v>-</v>
      </c>
      <c r="CA1215" s="50" t="str">
        <f t="shared" si="493"/>
        <v>-</v>
      </c>
      <c r="CB1215" s="50" t="str">
        <f>IFERROR(VLOOKUP(BY1215,'[1]WCVI Esc'!$C$5:$W$555,19,FALSE),"-")</f>
        <v>-</v>
      </c>
      <c r="CC1215" s="50" t="str">
        <f t="shared" si="494"/>
        <v>-</v>
      </c>
      <c r="CE1215" s="342" t="str">
        <f t="shared" si="508"/>
        <v>OUOUKINSH RIVER_Sockeye</v>
      </c>
      <c r="CF1215" s="341" t="str">
        <f>IFERROR(VLOOKUP(BY1215,'RawPL+D'!$O$8:$AB$503,12,FALSE),"-")</f>
        <v>-</v>
      </c>
      <c r="CG1215" s="338" t="str">
        <f t="shared" si="506"/>
        <v>-</v>
      </c>
      <c r="CH1215" s="341" t="str">
        <f>IFERROR(VLOOKUP(BY1215,'RawPL+D'!$O$8:$AB$503,13,FALSE),"-")</f>
        <v>-</v>
      </c>
      <c r="CI1215" s="338" t="str">
        <f t="shared" si="507"/>
        <v>-</v>
      </c>
    </row>
    <row r="1216" spans="1:87" ht="12.75" hidden="1" customHeight="1" x14ac:dyDescent="0.2">
      <c r="A1216" s="28">
        <v>3</v>
      </c>
      <c r="B1216" s="28">
        <v>2</v>
      </c>
      <c r="C1216" s="11">
        <v>26</v>
      </c>
      <c r="D1216" s="149" t="s">
        <v>301</v>
      </c>
      <c r="E1216" s="10" t="s">
        <v>230</v>
      </c>
      <c r="F1216" s="10" t="s">
        <v>219</v>
      </c>
      <c r="G1216" s="10"/>
      <c r="H1216" s="10"/>
      <c r="I1216" s="10"/>
      <c r="J1216" s="10"/>
      <c r="K1216" s="575"/>
      <c r="L1216" s="152"/>
      <c r="M1216" s="422"/>
      <c r="N1216" s="423"/>
      <c r="O1216" s="62"/>
      <c r="P1216" s="424"/>
      <c r="Q1216" s="171"/>
      <c r="R1216" s="94"/>
      <c r="S1216" s="339"/>
      <c r="T1216" s="63"/>
      <c r="U1216" s="162"/>
      <c r="V1216" s="164"/>
      <c r="W1216" s="62"/>
      <c r="X1216" s="63"/>
      <c r="Y1216" s="62"/>
      <c r="Z1216" s="64"/>
      <c r="AA1216" s="164"/>
      <c r="AB1216" s="62"/>
      <c r="AC1216" s="62"/>
      <c r="AD1216" s="64"/>
      <c r="AE1216" s="164"/>
      <c r="AF1216" s="62"/>
      <c r="AG1216" s="64"/>
      <c r="AH1216" s="337"/>
      <c r="AI1216" s="337"/>
      <c r="AJ1216" s="337"/>
      <c r="AK1216" s="337"/>
      <c r="AL1216" s="414"/>
      <c r="AM1216" s="414"/>
      <c r="AN1216" s="45"/>
      <c r="AO1216" s="45"/>
      <c r="AP1216" s="45"/>
      <c r="AQ1216" s="485">
        <f>AL1216/BI1216</f>
        <v>0</v>
      </c>
      <c r="AR1216" s="485">
        <f>BL1216/BH1216</f>
        <v>0</v>
      </c>
      <c r="AS1216" s="485">
        <f>BL1216/BI1216</f>
        <v>0</v>
      </c>
      <c r="AT1216" s="24"/>
      <c r="AU1216" s="24"/>
      <c r="AV1216" s="24"/>
      <c r="AW1216" s="18">
        <v>26</v>
      </c>
      <c r="AX1216" s="69" t="s">
        <v>301</v>
      </c>
      <c r="AY1216" s="243" t="s">
        <v>230</v>
      </c>
      <c r="AZ1216" s="243" t="str">
        <f t="shared" si="483"/>
        <v>Coho</v>
      </c>
      <c r="BA1216" s="243" t="s">
        <v>419</v>
      </c>
      <c r="BB1216" s="244" t="s">
        <v>292</v>
      </c>
      <c r="BC1216" s="43" t="str">
        <f t="shared" si="484"/>
        <v>-</v>
      </c>
      <c r="BD1216" s="43">
        <f t="shared" si="482"/>
        <v>0</v>
      </c>
      <c r="BE1216" s="193">
        <f t="shared" si="496"/>
        <v>0</v>
      </c>
      <c r="BF1216" s="193">
        <f t="shared" si="485"/>
        <v>0</v>
      </c>
      <c r="BG1216" s="193">
        <f t="shared" si="486"/>
        <v>0</v>
      </c>
      <c r="BH1216" s="307">
        <f t="shared" si="499"/>
        <v>240</v>
      </c>
      <c r="BI1216" s="265">
        <f>CC1216</f>
        <v>470</v>
      </c>
      <c r="BJ1216" s="26" t="str">
        <f t="shared" si="487"/>
        <v>OUOUKINSH RIVERCoho</v>
      </c>
      <c r="BK1216" s="26">
        <f t="shared" si="488"/>
        <v>0</v>
      </c>
      <c r="BL1216" s="33">
        <f t="shared" si="502"/>
        <v>0</v>
      </c>
      <c r="BQ1216" s="47" t="str">
        <f t="shared" si="489"/>
        <v>OUOUKINSH RIVERCoho</v>
      </c>
      <c r="BR1216" s="49">
        <f t="shared" si="490"/>
        <v>0</v>
      </c>
      <c r="BS1216" s="49">
        <f t="shared" si="500"/>
        <v>0</v>
      </c>
      <c r="BT1216" s="31">
        <v>2011</v>
      </c>
      <c r="BU1216" s="188" t="str">
        <f t="shared" si="491"/>
        <v>KCFN/LGL</v>
      </c>
      <c r="BV1216" s="188" t="str">
        <f t="shared" si="504"/>
        <v xml:space="preserve"> </v>
      </c>
      <c r="BW1216" s="188" t="str">
        <f t="shared" si="501"/>
        <v xml:space="preserve"> </v>
      </c>
      <c r="BX1216" s="188" t="str">
        <f t="shared" si="492"/>
        <v xml:space="preserve"> </v>
      </c>
      <c r="BY1216" s="50" t="str">
        <f t="shared" si="509"/>
        <v>OUOUKINSH RIVER_Coho</v>
      </c>
      <c r="BZ1216" s="50">
        <f>IFERROR(VLOOKUP(BY1216,'[1]WCVI Esc'!$C$5:$W$555,18,FALSE),"-")</f>
        <v>266</v>
      </c>
      <c r="CA1216" s="50">
        <f t="shared" si="493"/>
        <v>270</v>
      </c>
      <c r="CB1216" s="50">
        <f>IFERROR(VLOOKUP(BY1216,'[1]WCVI Esc'!$C$5:$W$555,19,FALSE),"-")</f>
        <v>466</v>
      </c>
      <c r="CC1216" s="50">
        <f t="shared" si="494"/>
        <v>470</v>
      </c>
      <c r="CE1216" s="342" t="str">
        <f t="shared" si="508"/>
        <v>OUOUKINSH RIVER_Coho</v>
      </c>
      <c r="CF1216" s="341">
        <f>IFERROR(VLOOKUP(CE1216,'RawPL+D'!$O$8:$AB$503,12,FALSE),"-")</f>
        <v>0</v>
      </c>
      <c r="CG1216" s="338">
        <f t="shared" si="506"/>
        <v>0</v>
      </c>
      <c r="CH1216" s="341">
        <f>IFERROR(VLOOKUP(BY1216,'RawPL+D'!$O$8:$AB$503,13,FALSE),"-")</f>
        <v>239</v>
      </c>
      <c r="CI1216" s="338">
        <f t="shared" si="507"/>
        <v>240</v>
      </c>
    </row>
    <row r="1217" spans="1:87" ht="12.75" hidden="1" customHeight="1" x14ac:dyDescent="0.2">
      <c r="A1217" s="28">
        <v>3</v>
      </c>
      <c r="B1217" s="28">
        <v>3</v>
      </c>
      <c r="C1217" s="11">
        <v>26</v>
      </c>
      <c r="D1217" s="149" t="s">
        <v>301</v>
      </c>
      <c r="E1217" s="10" t="s">
        <v>230</v>
      </c>
      <c r="F1217" s="10" t="s">
        <v>208</v>
      </c>
      <c r="G1217" s="10"/>
      <c r="H1217" s="10"/>
      <c r="I1217" s="10"/>
      <c r="J1217" s="10"/>
      <c r="K1217" s="575"/>
      <c r="L1217" s="152"/>
      <c r="M1217" s="422"/>
      <c r="N1217" s="423"/>
      <c r="O1217" s="62"/>
      <c r="P1217" s="424"/>
      <c r="Q1217" s="171"/>
      <c r="R1217" s="94"/>
      <c r="S1217" s="339"/>
      <c r="T1217" s="63"/>
      <c r="U1217" s="162"/>
      <c r="V1217" s="164"/>
      <c r="W1217" s="62"/>
      <c r="X1217" s="63"/>
      <c r="Y1217" s="62"/>
      <c r="Z1217" s="64"/>
      <c r="AA1217" s="164"/>
      <c r="AB1217" s="62"/>
      <c r="AC1217" s="62"/>
      <c r="AD1217" s="64"/>
      <c r="AE1217" s="164"/>
      <c r="AF1217" s="62"/>
      <c r="AG1217" s="64"/>
      <c r="AH1217" s="337"/>
      <c r="AI1217" s="337"/>
      <c r="AJ1217" s="337"/>
      <c r="AK1217" s="337"/>
      <c r="AL1217" s="414"/>
      <c r="AM1217" s="414"/>
      <c r="AN1217" s="45"/>
      <c r="AO1217" s="45"/>
      <c r="AP1217" s="45"/>
      <c r="AQ1217" s="485"/>
      <c r="AR1217" s="100"/>
      <c r="AS1217" s="485"/>
      <c r="AT1217" s="24"/>
      <c r="AU1217" s="24"/>
      <c r="AV1217" s="24"/>
      <c r="AW1217" s="18">
        <v>26</v>
      </c>
      <c r="AX1217" s="69" t="s">
        <v>301</v>
      </c>
      <c r="AY1217" s="243" t="s">
        <v>230</v>
      </c>
      <c r="AZ1217" s="243" t="str">
        <f t="shared" si="483"/>
        <v>Pink</v>
      </c>
      <c r="BA1217" s="243" t="s">
        <v>419</v>
      </c>
      <c r="BB1217" s="244" t="s">
        <v>292</v>
      </c>
      <c r="BC1217" s="43" t="str">
        <f t="shared" si="484"/>
        <v>-</v>
      </c>
      <c r="BD1217" s="43">
        <f t="shared" si="482"/>
        <v>0</v>
      </c>
      <c r="BE1217" s="193">
        <f t="shared" si="496"/>
        <v>0</v>
      </c>
      <c r="BF1217" s="193">
        <f t="shared" si="485"/>
        <v>0</v>
      </c>
      <c r="BG1217" s="193">
        <f t="shared" si="486"/>
        <v>0</v>
      </c>
      <c r="BH1217" s="307" t="str">
        <f t="shared" si="499"/>
        <v>-</v>
      </c>
      <c r="BI1217" s="266"/>
      <c r="BJ1217" s="26" t="str">
        <f t="shared" si="487"/>
        <v>OUOUKINSH RIVERPink</v>
      </c>
      <c r="BK1217" s="26">
        <f t="shared" si="488"/>
        <v>0</v>
      </c>
      <c r="BL1217" s="33">
        <f t="shared" si="502"/>
        <v>0</v>
      </c>
      <c r="BQ1217" s="47" t="str">
        <f t="shared" si="489"/>
        <v>OUOUKINSH RIVERPink</v>
      </c>
      <c r="BR1217" s="49">
        <f t="shared" si="490"/>
        <v>0</v>
      </c>
      <c r="BS1217" s="49">
        <f t="shared" si="500"/>
        <v>0</v>
      </c>
      <c r="BT1217" s="31">
        <v>0</v>
      </c>
      <c r="BU1217" s="188" t="str">
        <f t="shared" si="491"/>
        <v>KCFN/LGL</v>
      </c>
      <c r="BV1217" s="188" t="str">
        <f t="shared" si="504"/>
        <v xml:space="preserve"> </v>
      </c>
      <c r="BW1217" s="188" t="str">
        <f t="shared" si="501"/>
        <v xml:space="preserve"> </v>
      </c>
      <c r="BX1217" s="188" t="str">
        <f t="shared" si="492"/>
        <v xml:space="preserve"> </v>
      </c>
      <c r="BY1217" s="50" t="str">
        <f t="shared" si="509"/>
        <v>OUOUKINSH RIVER_Pink</v>
      </c>
      <c r="BZ1217" s="50" t="str">
        <f>IFERROR(VLOOKUP(BY1217,'[1]WCVI Esc'!$C$5:$W$555,18,FALSE),"-")</f>
        <v>-</v>
      </c>
      <c r="CA1217" s="50" t="str">
        <f t="shared" si="493"/>
        <v>-</v>
      </c>
      <c r="CB1217" s="50" t="str">
        <f>IFERROR(VLOOKUP(BY1217,'[1]WCVI Esc'!$C$5:$W$555,19,FALSE),"-")</f>
        <v>-</v>
      </c>
      <c r="CC1217" s="50" t="str">
        <f t="shared" si="494"/>
        <v>-</v>
      </c>
      <c r="CE1217" s="342" t="str">
        <f t="shared" si="508"/>
        <v>OUOUKINSH RIVER_Pink</v>
      </c>
      <c r="CF1217" s="341" t="str">
        <f>IFERROR(VLOOKUP(BY1217,'RawPL+D'!$O$8:$AB$503,12,FALSE),"-")</f>
        <v>-</v>
      </c>
      <c r="CG1217" s="338" t="str">
        <f t="shared" si="506"/>
        <v>-</v>
      </c>
      <c r="CH1217" s="341" t="str">
        <f>IFERROR(VLOOKUP(BY1217,'RawPL+D'!$O$8:$AB$503,13,FALSE),"-")</f>
        <v>-</v>
      </c>
      <c r="CI1217" s="338" t="str">
        <f t="shared" si="507"/>
        <v>-</v>
      </c>
    </row>
    <row r="1218" spans="1:87" ht="12.75" hidden="1" customHeight="1" x14ac:dyDescent="0.2">
      <c r="A1218" s="28">
        <v>3</v>
      </c>
      <c r="B1218" s="28">
        <v>4</v>
      </c>
      <c r="C1218" s="11">
        <v>26</v>
      </c>
      <c r="D1218" s="149" t="s">
        <v>301</v>
      </c>
      <c r="E1218" s="10" t="s">
        <v>230</v>
      </c>
      <c r="F1218" s="10" t="s">
        <v>209</v>
      </c>
      <c r="G1218" s="10"/>
      <c r="H1218" s="10"/>
      <c r="I1218" s="10"/>
      <c r="J1218" s="10"/>
      <c r="K1218" s="575"/>
      <c r="L1218" s="152"/>
      <c r="M1218" s="422"/>
      <c r="N1218" s="423"/>
      <c r="O1218" s="62"/>
      <c r="P1218" s="424"/>
      <c r="Q1218" s="458"/>
      <c r="R1218" s="94"/>
      <c r="S1218" s="339"/>
      <c r="T1218" s="63"/>
      <c r="U1218" s="162"/>
      <c r="V1218" s="164"/>
      <c r="W1218" s="62"/>
      <c r="X1218" s="63"/>
      <c r="Y1218" s="62"/>
      <c r="Z1218" s="64"/>
      <c r="AA1218" s="164"/>
      <c r="AB1218" s="62"/>
      <c r="AC1218" s="62"/>
      <c r="AD1218" s="64"/>
      <c r="AE1218" s="164"/>
      <c r="AF1218" s="62"/>
      <c r="AG1218" s="64"/>
      <c r="AH1218" s="337"/>
      <c r="AI1218" s="337"/>
      <c r="AJ1218" s="337"/>
      <c r="AK1218" s="337"/>
      <c r="AL1218" s="414"/>
      <c r="AM1218" s="414"/>
      <c r="AN1218" s="45"/>
      <c r="AO1218" s="45"/>
      <c r="AP1218" s="45"/>
      <c r="AQ1218" s="485">
        <f>AL1218/BI1218</f>
        <v>0</v>
      </c>
      <c r="AR1218" s="485">
        <f>BL1218/BH1218</f>
        <v>0</v>
      </c>
      <c r="AS1218" s="485">
        <f>BL1218/BI1218</f>
        <v>0</v>
      </c>
      <c r="AT1218" s="24"/>
      <c r="AU1218" s="24"/>
      <c r="AV1218" s="24"/>
      <c r="AW1218" s="18">
        <v>26</v>
      </c>
      <c r="AX1218" s="69" t="s">
        <v>301</v>
      </c>
      <c r="AY1218" s="243" t="s">
        <v>230</v>
      </c>
      <c r="AZ1218" s="243" t="str">
        <f t="shared" si="483"/>
        <v>Chum</v>
      </c>
      <c r="BA1218" s="243" t="s">
        <v>419</v>
      </c>
      <c r="BB1218" s="244" t="s">
        <v>292</v>
      </c>
      <c r="BC1218" s="43" t="str">
        <f t="shared" si="484"/>
        <v>-</v>
      </c>
      <c r="BD1218" s="43">
        <f t="shared" si="482"/>
        <v>0</v>
      </c>
      <c r="BE1218" s="193">
        <f t="shared" si="496"/>
        <v>0</v>
      </c>
      <c r="BF1218" s="193">
        <f t="shared" si="485"/>
        <v>0</v>
      </c>
      <c r="BG1218" s="193">
        <f t="shared" si="486"/>
        <v>0</v>
      </c>
      <c r="BH1218" s="307">
        <f t="shared" si="499"/>
        <v>410</v>
      </c>
      <c r="BI1218" s="265">
        <f>CC1218</f>
        <v>5450</v>
      </c>
      <c r="BJ1218" s="26" t="str">
        <f t="shared" si="487"/>
        <v>OUOUKINSH RIVERChum</v>
      </c>
      <c r="BK1218" s="26">
        <f t="shared" si="488"/>
        <v>0</v>
      </c>
      <c r="BL1218" s="33">
        <f t="shared" si="502"/>
        <v>0</v>
      </c>
      <c r="BQ1218" s="47" t="str">
        <f t="shared" si="489"/>
        <v>OUOUKINSH RIVERChum</v>
      </c>
      <c r="BR1218" s="49">
        <f t="shared" si="490"/>
        <v>0</v>
      </c>
      <c r="BS1218" s="49">
        <f t="shared" si="500"/>
        <v>0</v>
      </c>
      <c r="BT1218" s="31">
        <v>2011</v>
      </c>
      <c r="BU1218" s="188" t="str">
        <f t="shared" si="491"/>
        <v>KCFN/LGL</v>
      </c>
      <c r="BV1218" s="188" t="str">
        <f t="shared" si="504"/>
        <v xml:space="preserve"> </v>
      </c>
      <c r="BW1218" s="188" t="str">
        <f t="shared" si="501"/>
        <v xml:space="preserve"> </v>
      </c>
      <c r="BX1218" s="188" t="str">
        <f t="shared" si="492"/>
        <v xml:space="preserve"> </v>
      </c>
      <c r="BY1218" s="50" t="str">
        <f t="shared" si="509"/>
        <v>OUOUKINSH RIVER_Chum</v>
      </c>
      <c r="BZ1218" s="50">
        <f>IFERROR(VLOOKUP(BY1218,'[1]WCVI Esc'!$C$5:$W$555,18,FALSE),"-")</f>
        <v>456</v>
      </c>
      <c r="CA1218" s="50">
        <f t="shared" si="493"/>
        <v>460</v>
      </c>
      <c r="CB1218" s="50">
        <f>IFERROR(VLOOKUP(BY1218,'[1]WCVI Esc'!$C$5:$W$555,19,FALSE),"-")</f>
        <v>5451</v>
      </c>
      <c r="CC1218" s="50">
        <f t="shared" si="494"/>
        <v>5450</v>
      </c>
      <c r="CE1218" s="342" t="str">
        <f t="shared" si="508"/>
        <v>OUOUKINSH RIVER_Chum</v>
      </c>
      <c r="CF1218" s="341">
        <f>IFERROR(VLOOKUP(CE1218,'RawPL+D'!$O$8:$AB$503,12,FALSE),"-")</f>
        <v>0</v>
      </c>
      <c r="CG1218" s="338">
        <f t="shared" si="506"/>
        <v>0</v>
      </c>
      <c r="CH1218" s="341">
        <f>IFERROR(VLOOKUP(BY1218,'RawPL+D'!$O$8:$AB$503,13,FALSE),"-")</f>
        <v>410</v>
      </c>
      <c r="CI1218" s="338">
        <f t="shared" si="507"/>
        <v>410</v>
      </c>
    </row>
    <row r="1219" spans="1:87" ht="12.75" hidden="1" customHeight="1" x14ac:dyDescent="0.2">
      <c r="A1219" s="28">
        <v>3</v>
      </c>
      <c r="B1219" s="28">
        <v>5</v>
      </c>
      <c r="C1219" s="11">
        <v>26</v>
      </c>
      <c r="D1219" s="149" t="s">
        <v>301</v>
      </c>
      <c r="E1219" s="10" t="s">
        <v>230</v>
      </c>
      <c r="F1219" s="10" t="s">
        <v>210</v>
      </c>
      <c r="G1219" s="10"/>
      <c r="H1219" s="10"/>
      <c r="I1219" s="10"/>
      <c r="J1219" s="10"/>
      <c r="K1219" s="575"/>
      <c r="L1219" s="152"/>
      <c r="M1219" s="422"/>
      <c r="N1219" s="423"/>
      <c r="O1219" s="62"/>
      <c r="P1219" s="424"/>
      <c r="Q1219" s="447"/>
      <c r="R1219" s="94"/>
      <c r="S1219" s="339"/>
      <c r="T1219" s="63"/>
      <c r="U1219" s="162"/>
      <c r="V1219" s="164"/>
      <c r="W1219" s="62"/>
      <c r="X1219" s="63"/>
      <c r="Y1219" s="62"/>
      <c r="Z1219" s="64"/>
      <c r="AA1219" s="164"/>
      <c r="AB1219" s="62"/>
      <c r="AC1219" s="62"/>
      <c r="AD1219" s="64"/>
      <c r="AE1219" s="164"/>
      <c r="AF1219" s="62"/>
      <c r="AG1219" s="64"/>
      <c r="AH1219" s="337"/>
      <c r="AI1219" s="337"/>
      <c r="AJ1219" s="337"/>
      <c r="AK1219" s="337"/>
      <c r="AL1219" s="414"/>
      <c r="AM1219" s="414"/>
      <c r="AN1219" s="45"/>
      <c r="AO1219" s="45"/>
      <c r="AP1219" s="45"/>
      <c r="AQ1219" s="485">
        <f>AL1219/BI1219</f>
        <v>0</v>
      </c>
      <c r="AR1219" s="485">
        <f>BL1219/BH1219</f>
        <v>0</v>
      </c>
      <c r="AS1219" s="485">
        <f>BL1219/BI1219</f>
        <v>0</v>
      </c>
      <c r="AT1219" s="24"/>
      <c r="AU1219" s="24"/>
      <c r="AV1219" s="24"/>
      <c r="AW1219" s="18">
        <v>26</v>
      </c>
      <c r="AX1219" s="69" t="s">
        <v>301</v>
      </c>
      <c r="AY1219" s="243" t="s">
        <v>230</v>
      </c>
      <c r="AZ1219" s="243" t="str">
        <f t="shared" si="483"/>
        <v>Chinook</v>
      </c>
      <c r="BA1219" s="243" t="s">
        <v>419</v>
      </c>
      <c r="BB1219" s="244" t="s">
        <v>292</v>
      </c>
      <c r="BC1219" s="43" t="str">
        <f t="shared" si="484"/>
        <v>-</v>
      </c>
      <c r="BD1219" s="43">
        <f t="shared" si="482"/>
        <v>0</v>
      </c>
      <c r="BE1219" s="193">
        <f t="shared" si="496"/>
        <v>0</v>
      </c>
      <c r="BF1219" s="193">
        <f t="shared" si="485"/>
        <v>0</v>
      </c>
      <c r="BG1219" s="193">
        <f t="shared" si="486"/>
        <v>0</v>
      </c>
      <c r="BH1219" s="307">
        <f t="shared" si="499"/>
        <v>30</v>
      </c>
      <c r="BI1219" s="265">
        <f>CC1219</f>
        <v>20</v>
      </c>
      <c r="BJ1219" s="26" t="str">
        <f t="shared" si="487"/>
        <v>OUOUKINSH RIVERChinook</v>
      </c>
      <c r="BK1219" s="26">
        <f t="shared" si="488"/>
        <v>0</v>
      </c>
      <c r="BL1219" s="33">
        <f t="shared" si="502"/>
        <v>0</v>
      </c>
      <c r="BQ1219" s="47" t="str">
        <f t="shared" si="489"/>
        <v>OUOUKINSH RIVERChinook</v>
      </c>
      <c r="BR1219" s="49">
        <f t="shared" si="490"/>
        <v>0</v>
      </c>
      <c r="BS1219" s="49">
        <f t="shared" si="500"/>
        <v>0</v>
      </c>
      <c r="BT1219" s="31">
        <v>2011</v>
      </c>
      <c r="BU1219" s="188" t="str">
        <f t="shared" si="491"/>
        <v>KCFN/LGL</v>
      </c>
      <c r="BV1219" s="188" t="str">
        <f t="shared" si="504"/>
        <v xml:space="preserve"> </v>
      </c>
      <c r="BW1219" s="188" t="str">
        <f t="shared" si="501"/>
        <v xml:space="preserve"> </v>
      </c>
      <c r="BX1219" s="188" t="str">
        <f t="shared" si="492"/>
        <v xml:space="preserve"> </v>
      </c>
      <c r="BY1219" s="50" t="str">
        <f t="shared" si="509"/>
        <v>OUOUKINSH RIVER_Chinook</v>
      </c>
      <c r="BZ1219" s="50">
        <f>IFERROR(VLOOKUP(BY1219,'[1]WCVI Esc'!$C$5:$W$555,18,FALSE),"-")</f>
        <v>30</v>
      </c>
      <c r="CA1219" s="50">
        <f t="shared" si="493"/>
        <v>30</v>
      </c>
      <c r="CB1219" s="50">
        <f>IFERROR(VLOOKUP(BY1219,'[1]WCVI Esc'!$C$5:$W$555,19,FALSE),"-")</f>
        <v>18.5</v>
      </c>
      <c r="CC1219" s="50">
        <f t="shared" si="494"/>
        <v>20</v>
      </c>
      <c r="CE1219" s="342" t="str">
        <f t="shared" si="508"/>
        <v>OUOUKINSH RIVER_Chinook</v>
      </c>
      <c r="CF1219" s="341">
        <f>IFERROR(VLOOKUP(CE1219,'RawPL+D'!$O$8:$AB$503,12,FALSE),"-")</f>
        <v>0</v>
      </c>
      <c r="CG1219" s="338">
        <f t="shared" si="506"/>
        <v>0</v>
      </c>
      <c r="CH1219" s="341">
        <f>IFERROR(VLOOKUP(BY1219,'RawPL+D'!$O$8:$AB$503,13,FALSE),"-")</f>
        <v>27</v>
      </c>
      <c r="CI1219" s="338">
        <f t="shared" si="507"/>
        <v>30</v>
      </c>
    </row>
    <row r="1220" spans="1:87" ht="12.75" hidden="1" customHeight="1" x14ac:dyDescent="0.2">
      <c r="A1220" s="28">
        <v>3</v>
      </c>
      <c r="B1220" s="28">
        <v>6</v>
      </c>
      <c r="C1220" s="11">
        <v>26</v>
      </c>
      <c r="D1220" s="149" t="s">
        <v>301</v>
      </c>
      <c r="E1220" s="10" t="s">
        <v>230</v>
      </c>
      <c r="F1220" s="10" t="s">
        <v>211</v>
      </c>
      <c r="G1220" s="10"/>
      <c r="H1220" s="10"/>
      <c r="I1220" s="10"/>
      <c r="J1220" s="10"/>
      <c r="K1220" s="575"/>
      <c r="L1220" s="152"/>
      <c r="M1220" s="422"/>
      <c r="N1220" s="423"/>
      <c r="O1220" s="62"/>
      <c r="P1220" s="424"/>
      <c r="Q1220" s="171"/>
      <c r="R1220" s="94"/>
      <c r="S1220" s="339"/>
      <c r="T1220" s="63"/>
      <c r="U1220" s="162"/>
      <c r="V1220" s="164"/>
      <c r="W1220" s="62"/>
      <c r="X1220" s="63"/>
      <c r="Y1220" s="62"/>
      <c r="Z1220" s="64"/>
      <c r="AA1220" s="164"/>
      <c r="AB1220" s="62"/>
      <c r="AC1220" s="62"/>
      <c r="AD1220" s="64"/>
      <c r="AE1220" s="164"/>
      <c r="AF1220" s="62"/>
      <c r="AG1220" s="64"/>
      <c r="AH1220" s="337"/>
      <c r="AI1220" s="337"/>
      <c r="AJ1220" s="337"/>
      <c r="AK1220" s="337"/>
      <c r="AL1220" s="414"/>
      <c r="AM1220" s="414"/>
      <c r="AN1220" s="45"/>
      <c r="AO1220" s="45"/>
      <c r="AP1220" s="45"/>
      <c r="AQ1220" s="485"/>
      <c r="AR1220" s="100"/>
      <c r="AS1220" s="24"/>
      <c r="AT1220" s="24"/>
      <c r="AU1220" s="24"/>
      <c r="AV1220" s="24"/>
      <c r="AW1220" s="18">
        <v>26</v>
      </c>
      <c r="AX1220" s="69" t="s">
        <v>301</v>
      </c>
      <c r="AY1220" s="243" t="s">
        <v>230</v>
      </c>
      <c r="AZ1220" s="243" t="str">
        <f t="shared" si="483"/>
        <v>Steelhead</v>
      </c>
      <c r="BA1220" s="243" t="s">
        <v>419</v>
      </c>
      <c r="BB1220" s="244" t="s">
        <v>292</v>
      </c>
      <c r="BC1220" s="43" t="str">
        <f t="shared" si="484"/>
        <v>-</v>
      </c>
      <c r="BD1220" s="43">
        <f t="shared" si="482"/>
        <v>0</v>
      </c>
      <c r="BE1220" s="193">
        <f t="shared" si="496"/>
        <v>0</v>
      </c>
      <c r="BF1220" s="193">
        <f t="shared" si="485"/>
        <v>0</v>
      </c>
      <c r="BG1220" s="193">
        <f t="shared" si="486"/>
        <v>0</v>
      </c>
      <c r="BH1220" s="307" t="str">
        <f t="shared" si="499"/>
        <v>-</v>
      </c>
      <c r="BI1220" s="265" t="str">
        <f>CC1220</f>
        <v>-</v>
      </c>
      <c r="BJ1220" s="26" t="str">
        <f t="shared" si="487"/>
        <v>OUOUKINSH RIVERSteelhead</v>
      </c>
      <c r="BK1220" s="26">
        <f t="shared" si="488"/>
        <v>0</v>
      </c>
      <c r="BL1220" s="33">
        <f t="shared" si="502"/>
        <v>0</v>
      </c>
      <c r="BQ1220" s="47" t="str">
        <f t="shared" si="489"/>
        <v>OUOUKINSH RIVERSteelhead</v>
      </c>
      <c r="BR1220" s="49">
        <f t="shared" si="490"/>
        <v>0</v>
      </c>
      <c r="BS1220" s="49">
        <f t="shared" si="500"/>
        <v>0</v>
      </c>
      <c r="BT1220" s="31">
        <v>0</v>
      </c>
      <c r="BU1220" s="188" t="str">
        <f t="shared" si="491"/>
        <v>KCFN/LGL</v>
      </c>
      <c r="BV1220" s="188" t="str">
        <f t="shared" si="504"/>
        <v xml:space="preserve"> </v>
      </c>
      <c r="BW1220" s="188" t="str">
        <f t="shared" si="501"/>
        <v xml:space="preserve"> </v>
      </c>
      <c r="BX1220" s="188" t="str">
        <f t="shared" si="492"/>
        <v xml:space="preserve"> </v>
      </c>
      <c r="BY1220" s="50" t="str">
        <f t="shared" si="509"/>
        <v>OUOUKINSH RIVER_Steelhead</v>
      </c>
      <c r="BZ1220" s="50" t="str">
        <f>IFERROR(VLOOKUP(BY1220,'[1]WCVI Esc'!$C$5:$W$555,18,FALSE),"-")</f>
        <v>-</v>
      </c>
      <c r="CA1220" s="50" t="str">
        <f t="shared" si="493"/>
        <v>-</v>
      </c>
      <c r="CB1220" s="50" t="str">
        <f>IFERROR(VLOOKUP(BY1220,'[1]WCVI Esc'!$C$5:$W$555,19,FALSE),"-")</f>
        <v>-</v>
      </c>
      <c r="CC1220" s="50" t="str">
        <f t="shared" si="494"/>
        <v>-</v>
      </c>
      <c r="CE1220" s="342" t="str">
        <f t="shared" si="508"/>
        <v>OUOUKINSH RIVER_Steelhead</v>
      </c>
      <c r="CF1220" s="341" t="str">
        <f>IFERROR(VLOOKUP(BY1220,'RawPL+D'!$O$8:$AB$503,12,FALSE),"-")</f>
        <v>-</v>
      </c>
      <c r="CG1220" s="338" t="str">
        <f t="shared" si="506"/>
        <v>-</v>
      </c>
      <c r="CH1220" s="341" t="str">
        <f>IFERROR(VLOOKUP(BY1220,'RawPL+D'!$O$8:$AB$503,13,FALSE),"-")</f>
        <v>-</v>
      </c>
      <c r="CI1220" s="338" t="str">
        <f t="shared" si="507"/>
        <v>-</v>
      </c>
    </row>
    <row r="1221" spans="1:87" ht="12.75" hidden="1" customHeight="1" x14ac:dyDescent="0.2">
      <c r="A1221" s="29">
        <v>3</v>
      </c>
      <c r="B1221" s="29">
        <v>1</v>
      </c>
      <c r="C1221" s="13">
        <v>26</v>
      </c>
      <c r="D1221" s="149" t="s">
        <v>301</v>
      </c>
      <c r="E1221" s="10" t="s">
        <v>247</v>
      </c>
      <c r="F1221" s="10" t="s">
        <v>207</v>
      </c>
      <c r="G1221" s="10"/>
      <c r="H1221" s="10"/>
      <c r="I1221" s="10"/>
      <c r="J1221" s="10"/>
      <c r="K1221" s="575"/>
      <c r="L1221" s="152"/>
      <c r="M1221" s="164"/>
      <c r="N1221" s="339"/>
      <c r="O1221" s="62"/>
      <c r="P1221" s="424"/>
      <c r="Q1221" s="171"/>
      <c r="R1221" s="339"/>
      <c r="S1221" s="339"/>
      <c r="T1221" s="63"/>
      <c r="U1221" s="162"/>
      <c r="V1221" s="164"/>
      <c r="W1221" s="62"/>
      <c r="X1221" s="63"/>
      <c r="Y1221" s="62"/>
      <c r="Z1221" s="64"/>
      <c r="AA1221" s="164"/>
      <c r="AB1221" s="62"/>
      <c r="AC1221" s="62"/>
      <c r="AD1221" s="64"/>
      <c r="AE1221" s="164"/>
      <c r="AF1221" s="62"/>
      <c r="AG1221" s="64"/>
      <c r="AH1221" s="337"/>
      <c r="AI1221" s="337"/>
      <c r="AJ1221" s="337"/>
      <c r="AK1221" s="337"/>
      <c r="AL1221" s="414"/>
      <c r="AM1221" s="414"/>
      <c r="AN1221" s="45"/>
      <c r="AO1221" s="45"/>
      <c r="AP1221" s="45"/>
      <c r="AQ1221" s="485"/>
      <c r="AR1221" s="396"/>
      <c r="AS1221" s="100"/>
      <c r="AT1221" s="100"/>
      <c r="AU1221" s="100"/>
      <c r="AV1221" s="100"/>
      <c r="AW1221" s="69">
        <v>26</v>
      </c>
      <c r="AX1221" s="69" t="s">
        <v>301</v>
      </c>
      <c r="AY1221" s="243" t="s">
        <v>247</v>
      </c>
      <c r="AZ1221" s="243" t="str">
        <f t="shared" si="483"/>
        <v>Sockeye</v>
      </c>
      <c r="BA1221" s="243" t="s">
        <v>419</v>
      </c>
      <c r="BB1221" s="244" t="s">
        <v>627</v>
      </c>
      <c r="BC1221" s="43" t="str">
        <f t="shared" si="484"/>
        <v>-</v>
      </c>
      <c r="BD1221" s="43">
        <f t="shared" ref="BD1221:BD1268" si="510">BK1221</f>
        <v>0</v>
      </c>
      <c r="BE1221" s="193">
        <f t="shared" si="496"/>
        <v>0</v>
      </c>
      <c r="BF1221" s="193">
        <f t="shared" si="485"/>
        <v>0</v>
      </c>
      <c r="BG1221" s="193">
        <f t="shared" si="486"/>
        <v>0</v>
      </c>
      <c r="BH1221" s="307" t="str">
        <f t="shared" si="499"/>
        <v>-</v>
      </c>
      <c r="BI1221" s="265" t="str">
        <f>CC1221</f>
        <v>-</v>
      </c>
      <c r="BJ1221" s="26" t="str">
        <f t="shared" si="487"/>
        <v>POWER RIVER/LAKESockeye</v>
      </c>
      <c r="BK1221" s="26">
        <f t="shared" si="488"/>
        <v>0</v>
      </c>
      <c r="BL1221" s="33">
        <f t="shared" si="502"/>
        <v>0</v>
      </c>
      <c r="BP1221" s="34"/>
      <c r="BQ1221" s="47" t="str">
        <f t="shared" si="489"/>
        <v>POWER RIVER/LAKESockeye</v>
      </c>
      <c r="BR1221" s="49">
        <f t="shared" si="490"/>
        <v>0</v>
      </c>
      <c r="BS1221" s="49">
        <f t="shared" si="500"/>
        <v>0</v>
      </c>
      <c r="BT1221" s="31">
        <v>2016</v>
      </c>
      <c r="BU1221" s="188" t="str">
        <f t="shared" si="491"/>
        <v>KCFN/StAD</v>
      </c>
      <c r="BV1221" s="188" t="str">
        <f t="shared" si="504"/>
        <v xml:space="preserve"> </v>
      </c>
      <c r="BW1221" s="188" t="str">
        <f t="shared" si="501"/>
        <v xml:space="preserve"> </v>
      </c>
      <c r="BX1221" s="188" t="str">
        <f t="shared" si="492"/>
        <v xml:space="preserve"> </v>
      </c>
      <c r="BY1221" s="50" t="str">
        <f t="shared" si="509"/>
        <v>POWER RIVER/LAKE_Sockeye</v>
      </c>
      <c r="BZ1221" s="50" t="str">
        <f>IFERROR(VLOOKUP(BY1221,'[1]WCVI Esc'!$C$5:$W$555,18,FALSE),"-")</f>
        <v>-</v>
      </c>
      <c r="CA1221" s="50" t="str">
        <f t="shared" si="493"/>
        <v>-</v>
      </c>
      <c r="CB1221" s="50" t="str">
        <f>IFERROR(VLOOKUP(BY1221,'[1]WCVI Esc'!$C$5:$W$555,19,FALSE),"-")</f>
        <v>-</v>
      </c>
      <c r="CC1221" s="50" t="str">
        <f t="shared" si="494"/>
        <v>-</v>
      </c>
      <c r="CE1221" s="342" t="str">
        <f t="shared" si="508"/>
        <v>POWER RIVER/LAKE_Sockeye</v>
      </c>
      <c r="CF1221" s="341" t="str">
        <f>IFERROR(VLOOKUP(BY1221,'RawPL+D'!$O$8:$AB$503,12,FALSE),"-")</f>
        <v>-</v>
      </c>
      <c r="CG1221" s="338" t="str">
        <f t="shared" si="506"/>
        <v>-</v>
      </c>
      <c r="CH1221" s="341" t="str">
        <f>IFERROR(VLOOKUP(BY1221,'RawPL+D'!$O$8:$AB$503,13,FALSE),"-")</f>
        <v>-</v>
      </c>
      <c r="CI1221" s="338" t="str">
        <f t="shared" si="507"/>
        <v>-</v>
      </c>
    </row>
    <row r="1222" spans="1:87" ht="12.75" hidden="1" customHeight="1" x14ac:dyDescent="0.2">
      <c r="A1222" s="28">
        <v>3</v>
      </c>
      <c r="B1222" s="28">
        <v>2</v>
      </c>
      <c r="C1222" s="11">
        <v>26</v>
      </c>
      <c r="D1222" s="149" t="s">
        <v>301</v>
      </c>
      <c r="E1222" s="10" t="s">
        <v>247</v>
      </c>
      <c r="F1222" s="10" t="s">
        <v>219</v>
      </c>
      <c r="G1222" s="10"/>
      <c r="H1222" s="10"/>
      <c r="I1222" s="10"/>
      <c r="J1222" s="10"/>
      <c r="K1222" s="575"/>
      <c r="L1222" s="152"/>
      <c r="M1222" s="164"/>
      <c r="N1222" s="339"/>
      <c r="O1222" s="62"/>
      <c r="P1222" s="424"/>
      <c r="Q1222" s="171"/>
      <c r="R1222" s="339"/>
      <c r="S1222" s="460"/>
      <c r="T1222" s="63"/>
      <c r="U1222" s="162"/>
      <c r="V1222" s="164"/>
      <c r="W1222" s="62"/>
      <c r="X1222" s="63"/>
      <c r="Y1222" s="62"/>
      <c r="Z1222" s="64"/>
      <c r="AA1222" s="164"/>
      <c r="AB1222" s="62"/>
      <c r="AC1222" s="62"/>
      <c r="AD1222" s="64"/>
      <c r="AE1222" s="164"/>
      <c r="AF1222" s="62"/>
      <c r="AG1222" s="64"/>
      <c r="AH1222" s="337"/>
      <c r="AI1222" s="337"/>
      <c r="AJ1222" s="337"/>
      <c r="AK1222" s="337"/>
      <c r="AL1222" s="414"/>
      <c r="AM1222" s="414"/>
      <c r="AN1222" s="45"/>
      <c r="AO1222" s="45"/>
      <c r="AP1222" s="45"/>
      <c r="AQ1222" s="485"/>
      <c r="AR1222" s="396"/>
      <c r="AS1222" s="100"/>
      <c r="AT1222" s="100"/>
      <c r="AU1222" s="100"/>
      <c r="AV1222" s="100"/>
      <c r="AW1222" s="18">
        <v>26</v>
      </c>
      <c r="AX1222" s="69" t="s">
        <v>301</v>
      </c>
      <c r="AY1222" s="243" t="s">
        <v>247</v>
      </c>
      <c r="AZ1222" s="243" t="str">
        <f t="shared" si="483"/>
        <v>Coho</v>
      </c>
      <c r="BA1222" s="243" t="s">
        <v>419</v>
      </c>
      <c r="BB1222" s="244" t="s">
        <v>627</v>
      </c>
      <c r="BC1222" s="43" t="str">
        <f t="shared" si="484"/>
        <v>-</v>
      </c>
      <c r="BD1222" s="43">
        <f t="shared" si="510"/>
        <v>0</v>
      </c>
      <c r="BE1222" s="193">
        <f t="shared" si="496"/>
        <v>0</v>
      </c>
      <c r="BF1222" s="193">
        <f t="shared" si="485"/>
        <v>0</v>
      </c>
      <c r="BG1222" s="193">
        <f t="shared" si="486"/>
        <v>0</v>
      </c>
      <c r="BH1222" s="307" t="str">
        <f t="shared" si="499"/>
        <v>-</v>
      </c>
      <c r="BI1222" s="265" t="str">
        <f>CC1222</f>
        <v>-</v>
      </c>
      <c r="BJ1222" s="26" t="str">
        <f t="shared" si="487"/>
        <v>POWER RIVER/LAKECoho</v>
      </c>
      <c r="BK1222" s="26">
        <f t="shared" si="488"/>
        <v>0</v>
      </c>
      <c r="BL1222" s="33">
        <f t="shared" si="502"/>
        <v>0</v>
      </c>
      <c r="BP1222" s="34"/>
      <c r="BQ1222" s="47" t="str">
        <f t="shared" si="489"/>
        <v>POWER RIVER/LAKECoho</v>
      </c>
      <c r="BR1222" s="49">
        <f t="shared" si="490"/>
        <v>0</v>
      </c>
      <c r="BS1222" s="49">
        <f t="shared" si="500"/>
        <v>0</v>
      </c>
      <c r="BT1222" s="31">
        <v>2016</v>
      </c>
      <c r="BU1222" s="188" t="str">
        <f t="shared" si="491"/>
        <v>KCFN/StAD</v>
      </c>
      <c r="BV1222" s="188" t="str">
        <f t="shared" si="504"/>
        <v xml:space="preserve"> </v>
      </c>
      <c r="BW1222" s="188" t="str">
        <f t="shared" si="501"/>
        <v xml:space="preserve"> </v>
      </c>
      <c r="BX1222" s="188" t="str">
        <f t="shared" si="492"/>
        <v xml:space="preserve"> </v>
      </c>
      <c r="BY1222" s="50" t="str">
        <f t="shared" si="509"/>
        <v>POWER RIVER/LAKE_Coho</v>
      </c>
      <c r="BZ1222" s="50" t="str">
        <f>IFERROR(VLOOKUP(BY1222,'[1]WCVI Esc'!$C$5:$W$555,18,FALSE),"-")</f>
        <v>-</v>
      </c>
      <c r="CA1222" s="50" t="str">
        <f t="shared" si="493"/>
        <v>-</v>
      </c>
      <c r="CB1222" s="50" t="str">
        <f>IFERROR(VLOOKUP(BY1222,'[1]WCVI Esc'!$C$5:$W$555,19,FALSE),"-")</f>
        <v>-</v>
      </c>
      <c r="CC1222" s="50" t="str">
        <f t="shared" si="494"/>
        <v>-</v>
      </c>
      <c r="CE1222" s="342" t="str">
        <f t="shared" si="508"/>
        <v>POWER RIVER/LAKE_Coho</v>
      </c>
      <c r="CF1222" s="341" t="str">
        <f>IFERROR(VLOOKUP(BY1222,'RawPL+D'!$O$8:$AB$503,12,FALSE),"-")</f>
        <v>-</v>
      </c>
      <c r="CG1222" s="338" t="str">
        <f t="shared" si="506"/>
        <v>-</v>
      </c>
      <c r="CH1222" s="341" t="str">
        <f>IFERROR(VLOOKUP(BY1222,'RawPL+D'!$O$8:$AB$503,13,FALSE),"-")</f>
        <v>-</v>
      </c>
      <c r="CI1222" s="338" t="str">
        <f t="shared" si="507"/>
        <v>-</v>
      </c>
    </row>
    <row r="1223" spans="1:87" ht="12.75" hidden="1" customHeight="1" x14ac:dyDescent="0.2">
      <c r="A1223" s="28">
        <v>3</v>
      </c>
      <c r="B1223" s="28">
        <v>3</v>
      </c>
      <c r="C1223" s="11">
        <v>26</v>
      </c>
      <c r="D1223" s="149" t="s">
        <v>301</v>
      </c>
      <c r="E1223" s="10" t="s">
        <v>247</v>
      </c>
      <c r="F1223" s="10" t="s">
        <v>208</v>
      </c>
      <c r="G1223" s="10"/>
      <c r="H1223" s="10"/>
      <c r="I1223" s="10"/>
      <c r="J1223" s="10"/>
      <c r="K1223" s="575"/>
      <c r="L1223" s="152"/>
      <c r="M1223" s="164"/>
      <c r="N1223" s="339"/>
      <c r="O1223" s="62"/>
      <c r="P1223" s="424"/>
      <c r="Q1223" s="171"/>
      <c r="R1223" s="339"/>
      <c r="S1223" s="339"/>
      <c r="T1223" s="63"/>
      <c r="U1223" s="162"/>
      <c r="V1223" s="164"/>
      <c r="W1223" s="62"/>
      <c r="X1223" s="63"/>
      <c r="Y1223" s="62"/>
      <c r="Z1223" s="64"/>
      <c r="AA1223" s="164"/>
      <c r="AB1223" s="62"/>
      <c r="AC1223" s="62"/>
      <c r="AD1223" s="64"/>
      <c r="AE1223" s="164"/>
      <c r="AF1223" s="62"/>
      <c r="AG1223" s="64"/>
      <c r="AH1223" s="337"/>
      <c r="AI1223" s="337"/>
      <c r="AJ1223" s="337"/>
      <c r="AK1223" s="337"/>
      <c r="AL1223" s="414"/>
      <c r="AM1223" s="414"/>
      <c r="AN1223" s="45"/>
      <c r="AO1223" s="45"/>
      <c r="AP1223" s="45"/>
      <c r="AQ1223" s="485"/>
      <c r="AR1223" s="396"/>
      <c r="AS1223" s="100"/>
      <c r="AT1223" s="100"/>
      <c r="AU1223" s="100"/>
      <c r="AV1223" s="100"/>
      <c r="AW1223" s="18">
        <v>26</v>
      </c>
      <c r="AX1223" s="69" t="s">
        <v>301</v>
      </c>
      <c r="AY1223" s="243" t="s">
        <v>247</v>
      </c>
      <c r="AZ1223" s="243" t="str">
        <f t="shared" si="483"/>
        <v>Pink</v>
      </c>
      <c r="BA1223" s="243" t="s">
        <v>419</v>
      </c>
      <c r="BB1223" s="244"/>
      <c r="BC1223" s="43" t="str">
        <f t="shared" si="484"/>
        <v>-</v>
      </c>
      <c r="BD1223" s="43">
        <f t="shared" si="510"/>
        <v>0</v>
      </c>
      <c r="BE1223" s="193">
        <f t="shared" si="496"/>
        <v>0</v>
      </c>
      <c r="BF1223" s="193">
        <f t="shared" si="485"/>
        <v>0</v>
      </c>
      <c r="BG1223" s="193">
        <f t="shared" si="486"/>
        <v>0</v>
      </c>
      <c r="BH1223" s="307" t="str">
        <f t="shared" si="499"/>
        <v>-</v>
      </c>
      <c r="BI1223" s="265"/>
      <c r="BJ1223" s="26" t="str">
        <f t="shared" si="487"/>
        <v>POWER RIVER/LAKEPink</v>
      </c>
      <c r="BK1223" s="26">
        <f t="shared" si="488"/>
        <v>0</v>
      </c>
      <c r="BL1223" s="33">
        <f t="shared" si="502"/>
        <v>0</v>
      </c>
      <c r="BP1223" s="34"/>
      <c r="BQ1223" s="47" t="str">
        <f t="shared" si="489"/>
        <v>POWER RIVER/LAKEPink</v>
      </c>
      <c r="BR1223" s="49">
        <f t="shared" si="490"/>
        <v>0</v>
      </c>
      <c r="BS1223" s="49">
        <f t="shared" si="500"/>
        <v>0</v>
      </c>
      <c r="BT1223" s="31">
        <v>0</v>
      </c>
      <c r="BU1223" s="188">
        <f t="shared" si="491"/>
        <v>0</v>
      </c>
      <c r="BV1223" s="188" t="str">
        <f t="shared" si="504"/>
        <v xml:space="preserve"> </v>
      </c>
      <c r="BW1223" s="188" t="str">
        <f t="shared" si="501"/>
        <v xml:space="preserve"> </v>
      </c>
      <c r="BX1223" s="188" t="str">
        <f t="shared" si="492"/>
        <v xml:space="preserve"> </v>
      </c>
      <c r="BY1223" s="50" t="str">
        <f t="shared" si="509"/>
        <v>POWER RIVER/LAKE_Pink</v>
      </c>
      <c r="BZ1223" s="50" t="str">
        <f>IFERROR(VLOOKUP(BY1223,'[1]WCVI Esc'!$C$5:$W$555,18,FALSE),"-")</f>
        <v>-</v>
      </c>
      <c r="CA1223" s="50" t="str">
        <f t="shared" si="493"/>
        <v>-</v>
      </c>
      <c r="CB1223" s="50" t="str">
        <f>IFERROR(VLOOKUP(BY1223,'[1]WCVI Esc'!$C$5:$W$555,19,FALSE),"-")</f>
        <v>-</v>
      </c>
      <c r="CC1223" s="50" t="str">
        <f t="shared" si="494"/>
        <v>-</v>
      </c>
      <c r="CE1223" s="342" t="str">
        <f t="shared" si="508"/>
        <v>POWER RIVER/LAKE_Pink</v>
      </c>
      <c r="CF1223" s="341" t="str">
        <f>IFERROR(VLOOKUP(BY1223,'RawPL+D'!$O$8:$AB$503,12,FALSE),"-")</f>
        <v>-</v>
      </c>
      <c r="CG1223" s="338" t="str">
        <f t="shared" si="506"/>
        <v>-</v>
      </c>
      <c r="CH1223" s="341" t="str">
        <f>IFERROR(VLOOKUP(BY1223,'RawPL+D'!$O$8:$AB$503,13,FALSE),"-")</f>
        <v>-</v>
      </c>
      <c r="CI1223" s="338" t="str">
        <f t="shared" si="507"/>
        <v>-</v>
      </c>
    </row>
    <row r="1224" spans="1:87" ht="12.75" hidden="1" customHeight="1" x14ac:dyDescent="0.2">
      <c r="A1224" s="28">
        <v>3</v>
      </c>
      <c r="B1224" s="28">
        <v>4</v>
      </c>
      <c r="C1224" s="11">
        <v>26</v>
      </c>
      <c r="D1224" s="149" t="s">
        <v>301</v>
      </c>
      <c r="E1224" s="10" t="s">
        <v>247</v>
      </c>
      <c r="F1224" s="10" t="s">
        <v>209</v>
      </c>
      <c r="G1224" s="10"/>
      <c r="H1224" s="10"/>
      <c r="I1224" s="10"/>
      <c r="J1224" s="10"/>
      <c r="K1224" s="575"/>
      <c r="L1224" s="152"/>
      <c r="M1224" s="164"/>
      <c r="N1224" s="339"/>
      <c r="O1224" s="62"/>
      <c r="P1224" s="424"/>
      <c r="Q1224" s="171"/>
      <c r="R1224" s="339"/>
      <c r="S1224" s="339"/>
      <c r="T1224" s="63"/>
      <c r="U1224" s="162"/>
      <c r="V1224" s="164"/>
      <c r="W1224" s="62"/>
      <c r="X1224" s="63"/>
      <c r="Y1224" s="62"/>
      <c r="Z1224" s="64"/>
      <c r="AA1224" s="164"/>
      <c r="AB1224" s="62"/>
      <c r="AC1224" s="62"/>
      <c r="AD1224" s="64"/>
      <c r="AE1224" s="164"/>
      <c r="AF1224" s="62"/>
      <c r="AG1224" s="64"/>
      <c r="AH1224" s="337"/>
      <c r="AI1224" s="337"/>
      <c r="AJ1224" s="337"/>
      <c r="AK1224" s="337"/>
      <c r="AL1224" s="414"/>
      <c r="AM1224" s="414"/>
      <c r="AN1224" s="45"/>
      <c r="AO1224" s="45"/>
      <c r="AP1224" s="45"/>
      <c r="AQ1224" s="485"/>
      <c r="AR1224" s="396"/>
      <c r="AS1224" s="100"/>
      <c r="AT1224" s="100"/>
      <c r="AU1224" s="100"/>
      <c r="AV1224" s="100"/>
      <c r="AW1224" s="18">
        <v>26</v>
      </c>
      <c r="AX1224" s="69" t="s">
        <v>301</v>
      </c>
      <c r="AY1224" s="243" t="s">
        <v>247</v>
      </c>
      <c r="AZ1224" s="243" t="str">
        <f t="shared" si="483"/>
        <v>Chum</v>
      </c>
      <c r="BA1224" s="243" t="s">
        <v>419</v>
      </c>
      <c r="BB1224" s="244"/>
      <c r="BC1224" s="43" t="str">
        <f t="shared" si="484"/>
        <v>-</v>
      </c>
      <c r="BD1224" s="43">
        <f t="shared" si="510"/>
        <v>0</v>
      </c>
      <c r="BE1224" s="193">
        <f t="shared" si="496"/>
        <v>0</v>
      </c>
      <c r="BF1224" s="193">
        <f t="shared" si="485"/>
        <v>0</v>
      </c>
      <c r="BG1224" s="193">
        <f t="shared" si="486"/>
        <v>0</v>
      </c>
      <c r="BH1224" s="307" t="str">
        <f t="shared" si="499"/>
        <v>-</v>
      </c>
      <c r="BI1224" s="265" t="str">
        <f>CC1224</f>
        <v>-</v>
      </c>
      <c r="BJ1224" s="26" t="str">
        <f t="shared" si="487"/>
        <v>POWER RIVER/LAKEChum</v>
      </c>
      <c r="BK1224" s="26">
        <f t="shared" si="488"/>
        <v>0</v>
      </c>
      <c r="BL1224" s="33">
        <f t="shared" si="502"/>
        <v>0</v>
      </c>
      <c r="BP1224" s="34"/>
      <c r="BQ1224" s="47" t="str">
        <f t="shared" si="489"/>
        <v>POWER RIVER/LAKEChum</v>
      </c>
      <c r="BR1224" s="49">
        <f t="shared" si="490"/>
        <v>0</v>
      </c>
      <c r="BS1224" s="49">
        <f t="shared" si="500"/>
        <v>0</v>
      </c>
      <c r="BT1224" s="31">
        <v>2016</v>
      </c>
      <c r="BU1224" s="188">
        <f t="shared" si="491"/>
        <v>0</v>
      </c>
      <c r="BV1224" s="188" t="str">
        <f t="shared" si="504"/>
        <v xml:space="preserve"> </v>
      </c>
      <c r="BW1224" s="188" t="str">
        <f t="shared" si="501"/>
        <v xml:space="preserve"> </v>
      </c>
      <c r="BX1224" s="188" t="str">
        <f t="shared" si="492"/>
        <v xml:space="preserve"> </v>
      </c>
      <c r="BY1224" s="50" t="str">
        <f t="shared" si="509"/>
        <v>POWER RIVER/LAKE_Chum</v>
      </c>
      <c r="BZ1224" s="50" t="str">
        <f>IFERROR(VLOOKUP(BY1224,'[1]WCVI Esc'!$C$5:$W$555,18,FALSE),"-")</f>
        <v>-</v>
      </c>
      <c r="CA1224" s="50" t="str">
        <f t="shared" si="493"/>
        <v>-</v>
      </c>
      <c r="CB1224" s="50" t="str">
        <f>IFERROR(VLOOKUP(BY1224,'[1]WCVI Esc'!$C$5:$W$555,19,FALSE),"-")</f>
        <v>-</v>
      </c>
      <c r="CC1224" s="50" t="str">
        <f t="shared" si="494"/>
        <v>-</v>
      </c>
      <c r="CE1224" s="342" t="str">
        <f t="shared" si="508"/>
        <v>POWER RIVER/LAKE_Chum</v>
      </c>
      <c r="CF1224" s="341" t="str">
        <f>IFERROR(VLOOKUP(BY1224,'RawPL+D'!$O$8:$AB$503,12,FALSE),"-")</f>
        <v>-</v>
      </c>
      <c r="CG1224" s="338" t="str">
        <f t="shared" si="506"/>
        <v>-</v>
      </c>
      <c r="CH1224" s="341" t="str">
        <f>IFERROR(VLOOKUP(BY1224,'RawPL+D'!$O$8:$AB$503,13,FALSE),"-")</f>
        <v>-</v>
      </c>
      <c r="CI1224" s="338" t="str">
        <f t="shared" si="507"/>
        <v>-</v>
      </c>
    </row>
    <row r="1225" spans="1:87" ht="12.75" hidden="1" customHeight="1" x14ac:dyDescent="0.2">
      <c r="A1225" s="28">
        <v>3</v>
      </c>
      <c r="B1225" s="28">
        <v>5</v>
      </c>
      <c r="C1225" s="11">
        <v>26</v>
      </c>
      <c r="D1225" s="149" t="s">
        <v>301</v>
      </c>
      <c r="E1225" s="10" t="s">
        <v>247</v>
      </c>
      <c r="F1225" s="10" t="s">
        <v>210</v>
      </c>
      <c r="G1225" s="10"/>
      <c r="H1225" s="10"/>
      <c r="I1225" s="10"/>
      <c r="J1225" s="10"/>
      <c r="K1225" s="575"/>
      <c r="L1225" s="152"/>
      <c r="M1225" s="164"/>
      <c r="N1225" s="339"/>
      <c r="O1225" s="62"/>
      <c r="P1225" s="424"/>
      <c r="Q1225" s="171"/>
      <c r="R1225" s="339"/>
      <c r="S1225" s="339"/>
      <c r="T1225" s="63"/>
      <c r="U1225" s="162"/>
      <c r="V1225" s="164"/>
      <c r="W1225" s="62"/>
      <c r="X1225" s="63"/>
      <c r="Y1225" s="62"/>
      <c r="Z1225" s="64"/>
      <c r="AA1225" s="164"/>
      <c r="AB1225" s="62"/>
      <c r="AC1225" s="62"/>
      <c r="AD1225" s="64"/>
      <c r="AE1225" s="164"/>
      <c r="AF1225" s="62"/>
      <c r="AG1225" s="64"/>
      <c r="AH1225" s="337"/>
      <c r="AI1225" s="337"/>
      <c r="AJ1225" s="337"/>
      <c r="AK1225" s="337"/>
      <c r="AL1225" s="414"/>
      <c r="AM1225" s="414"/>
      <c r="AN1225" s="45"/>
      <c r="AO1225" s="45"/>
      <c r="AP1225" s="45"/>
      <c r="AQ1225" s="485"/>
      <c r="AR1225" s="396"/>
      <c r="AS1225" s="100"/>
      <c r="AT1225" s="100"/>
      <c r="AU1225" s="100"/>
      <c r="AV1225" s="100"/>
      <c r="AW1225" s="18">
        <v>26</v>
      </c>
      <c r="AX1225" s="69" t="s">
        <v>301</v>
      </c>
      <c r="AY1225" s="243" t="s">
        <v>247</v>
      </c>
      <c r="AZ1225" s="243" t="str">
        <f t="shared" ref="AZ1225:AZ1268" si="511">F1225</f>
        <v>Chinook</v>
      </c>
      <c r="BA1225" s="243" t="s">
        <v>419</v>
      </c>
      <c r="BB1225" s="244"/>
      <c r="BC1225" s="43" t="str">
        <f t="shared" ref="BC1225:BC1268" si="512">IF(BX1225=" ",IF(BW1225=" ", IF(BV1225=" ","-",BV1225),BW1225), BX1225)</f>
        <v>-</v>
      </c>
      <c r="BD1225" s="43">
        <f t="shared" si="510"/>
        <v>0</v>
      </c>
      <c r="BE1225" s="193">
        <f t="shared" si="496"/>
        <v>0</v>
      </c>
      <c r="BF1225" s="193">
        <f t="shared" ref="BF1225:BF1268" si="513">AL1225</f>
        <v>0</v>
      </c>
      <c r="BG1225" s="193">
        <f t="shared" ref="BG1225:BG1268" si="514">AH1225</f>
        <v>0</v>
      </c>
      <c r="BH1225" s="307" t="str">
        <f t="shared" si="499"/>
        <v>-</v>
      </c>
      <c r="BI1225" s="265"/>
      <c r="BJ1225" s="26" t="str">
        <f t="shared" ref="BJ1225:BJ1268" si="515">CONCATENATE(E1225,F1225)</f>
        <v>POWER RIVER/LAKEChinook</v>
      </c>
      <c r="BK1225" s="26">
        <f t="shared" ref="BK1225:BK1268" si="516">COUNT(K1225:AB1225)</f>
        <v>0</v>
      </c>
      <c r="BL1225" s="33">
        <f t="shared" si="502"/>
        <v>0</v>
      </c>
      <c r="BP1225" s="34"/>
      <c r="BQ1225" s="47" t="str">
        <f t="shared" ref="BQ1225:BQ1268" si="517">CONCATENATE(E1225,F1225)</f>
        <v>POWER RIVER/LAKEChinook</v>
      </c>
      <c r="BR1225" s="49">
        <f t="shared" ref="BR1225:BR1268" si="518">AP1225</f>
        <v>0</v>
      </c>
      <c r="BS1225" s="49">
        <f t="shared" si="500"/>
        <v>0</v>
      </c>
      <c r="BT1225" s="31">
        <v>2016</v>
      </c>
      <c r="BU1225" s="188">
        <f t="shared" ref="BU1225:BU1256" si="519">BB1225</f>
        <v>0</v>
      </c>
      <c r="BV1225" s="188" t="str">
        <f t="shared" si="504"/>
        <v xml:space="preserve"> </v>
      </c>
      <c r="BW1225" s="188" t="str">
        <f t="shared" si="501"/>
        <v xml:space="preserve"> </v>
      </c>
      <c r="BX1225" s="188" t="str">
        <f t="shared" ref="BX1225:BX1268" si="520">IF(ISNUMBER(AB1225),AB$8,IF(ISNUMBER(AA1225),AA$8,IF(ISNUMBER(Z1225),Z$8,IF(ISNUMBER(Y1225),Y$8,IF(ISNUMBER(X1225),X$8," ")))))</f>
        <v xml:space="preserve"> </v>
      </c>
      <c r="BY1225" s="50" t="str">
        <f t="shared" si="509"/>
        <v>POWER RIVER/LAKE_Chinook</v>
      </c>
      <c r="BZ1225" s="50" t="str">
        <f>IFERROR(VLOOKUP(BY1225,'[1]WCVI Esc'!$C$5:$W$555,18,FALSE),"-")</f>
        <v>-</v>
      </c>
      <c r="CA1225" s="50" t="str">
        <f t="shared" ref="CA1225:CA1268" si="521">IFERROR(ROUND(BZ1225,-1),"-")</f>
        <v>-</v>
      </c>
      <c r="CB1225" s="50" t="str">
        <f>IFERROR(VLOOKUP(BY1225,'[1]WCVI Esc'!$C$5:$W$555,19,FALSE),"-")</f>
        <v>-</v>
      </c>
      <c r="CC1225" s="50" t="str">
        <f t="shared" ref="CC1225:CC1268" si="522">IFERROR(ROUND(CB1225,-1),"-")</f>
        <v>-</v>
      </c>
      <c r="CE1225" s="342" t="str">
        <f t="shared" si="508"/>
        <v>POWER RIVER/LAKE_Chinook</v>
      </c>
      <c r="CF1225" s="341" t="str">
        <f>IFERROR(VLOOKUP(BY1225,'RawPL+D'!$O$8:$AB$503,12,FALSE),"-")</f>
        <v>-</v>
      </c>
      <c r="CG1225" s="338" t="str">
        <f t="shared" si="506"/>
        <v>-</v>
      </c>
      <c r="CH1225" s="341" t="str">
        <f>IFERROR(VLOOKUP(BY1225,'RawPL+D'!$O$8:$AB$503,13,FALSE),"-")</f>
        <v>-</v>
      </c>
      <c r="CI1225" s="338" t="str">
        <f t="shared" si="507"/>
        <v>-</v>
      </c>
    </row>
    <row r="1226" spans="1:87" ht="12.75" hidden="1" customHeight="1" x14ac:dyDescent="0.2">
      <c r="A1226" s="28">
        <v>3</v>
      </c>
      <c r="B1226" s="28">
        <v>6</v>
      </c>
      <c r="C1226" s="11">
        <v>26</v>
      </c>
      <c r="D1226" s="149" t="s">
        <v>301</v>
      </c>
      <c r="E1226" s="10" t="s">
        <v>247</v>
      </c>
      <c r="F1226" s="10" t="s">
        <v>211</v>
      </c>
      <c r="G1226" s="10"/>
      <c r="H1226" s="10"/>
      <c r="I1226" s="10"/>
      <c r="J1226" s="10"/>
      <c r="K1226" s="575"/>
      <c r="L1226" s="152"/>
      <c r="M1226" s="164"/>
      <c r="N1226" s="339"/>
      <c r="O1226" s="62"/>
      <c r="P1226" s="424"/>
      <c r="Q1226" s="171"/>
      <c r="R1226" s="339"/>
      <c r="S1226" s="339"/>
      <c r="T1226" s="63"/>
      <c r="U1226" s="162"/>
      <c r="V1226" s="164"/>
      <c r="W1226" s="62"/>
      <c r="X1226" s="63"/>
      <c r="Y1226" s="62"/>
      <c r="Z1226" s="64"/>
      <c r="AA1226" s="164"/>
      <c r="AB1226" s="62"/>
      <c r="AC1226" s="62"/>
      <c r="AD1226" s="64"/>
      <c r="AE1226" s="164"/>
      <c r="AF1226" s="62"/>
      <c r="AG1226" s="64"/>
      <c r="AH1226" s="337"/>
      <c r="AI1226" s="337"/>
      <c r="AJ1226" s="337"/>
      <c r="AK1226" s="337"/>
      <c r="AL1226" s="414"/>
      <c r="AM1226" s="414"/>
      <c r="AN1226" s="45"/>
      <c r="AO1226" s="45"/>
      <c r="AP1226" s="45"/>
      <c r="AQ1226" s="485"/>
      <c r="AR1226" s="485"/>
      <c r="AS1226" s="100"/>
      <c r="AT1226" s="100"/>
      <c r="AU1226" s="100"/>
      <c r="AV1226" s="100"/>
      <c r="AW1226" s="18">
        <v>26</v>
      </c>
      <c r="AX1226" s="69" t="s">
        <v>301</v>
      </c>
      <c r="AY1226" s="243" t="s">
        <v>247</v>
      </c>
      <c r="AZ1226" s="243" t="str">
        <f t="shared" si="511"/>
        <v>Steelhead</v>
      </c>
      <c r="BA1226" s="243" t="s">
        <v>419</v>
      </c>
      <c r="BB1226" s="244"/>
      <c r="BC1226" s="43" t="str">
        <f t="shared" si="512"/>
        <v>-</v>
      </c>
      <c r="BD1226" s="43">
        <f t="shared" si="510"/>
        <v>0</v>
      </c>
      <c r="BE1226" s="193">
        <f t="shared" si="496"/>
        <v>0</v>
      </c>
      <c r="BF1226" s="193">
        <f t="shared" si="513"/>
        <v>0</v>
      </c>
      <c r="BG1226" s="193">
        <f t="shared" si="514"/>
        <v>0</v>
      </c>
      <c r="BH1226" s="307" t="str">
        <f t="shared" si="499"/>
        <v>-</v>
      </c>
      <c r="BI1226" s="265" t="str">
        <f>CC1226</f>
        <v>-</v>
      </c>
      <c r="BJ1226" s="26" t="str">
        <f t="shared" si="515"/>
        <v>POWER RIVER/LAKESteelhead</v>
      </c>
      <c r="BK1226" s="26">
        <f t="shared" si="516"/>
        <v>0</v>
      </c>
      <c r="BL1226" s="33">
        <f t="shared" si="502"/>
        <v>0</v>
      </c>
      <c r="BP1226" s="34"/>
      <c r="BQ1226" s="47" t="str">
        <f t="shared" si="517"/>
        <v>POWER RIVER/LAKESteelhead</v>
      </c>
      <c r="BR1226" s="49">
        <f t="shared" si="518"/>
        <v>0</v>
      </c>
      <c r="BS1226" s="49">
        <f t="shared" si="500"/>
        <v>0</v>
      </c>
      <c r="BT1226" s="31">
        <v>0</v>
      </c>
      <c r="BU1226" s="188">
        <f t="shared" si="519"/>
        <v>0</v>
      </c>
      <c r="BV1226" s="188" t="str">
        <f t="shared" si="504"/>
        <v xml:space="preserve"> </v>
      </c>
      <c r="BW1226" s="188" t="str">
        <f t="shared" si="501"/>
        <v xml:space="preserve"> </v>
      </c>
      <c r="BX1226" s="188" t="str">
        <f t="shared" si="520"/>
        <v xml:space="preserve"> </v>
      </c>
      <c r="BY1226" s="50" t="str">
        <f t="shared" si="509"/>
        <v>POWER RIVER/LAKE_Steelhead</v>
      </c>
      <c r="BZ1226" s="50" t="str">
        <f>IFERROR(VLOOKUP(BY1226,'[1]WCVI Esc'!$C$5:$W$555,18,FALSE),"-")</f>
        <v>-</v>
      </c>
      <c r="CA1226" s="50" t="str">
        <f t="shared" si="521"/>
        <v>-</v>
      </c>
      <c r="CB1226" s="50" t="str">
        <f>IFERROR(VLOOKUP(BY1226,'[1]WCVI Esc'!$C$5:$W$555,19,FALSE),"-")</f>
        <v>-</v>
      </c>
      <c r="CC1226" s="50" t="str">
        <f t="shared" si="522"/>
        <v>-</v>
      </c>
      <c r="CE1226" s="342" t="str">
        <f t="shared" si="508"/>
        <v>POWER RIVER/LAKE_Steelhead</v>
      </c>
      <c r="CF1226" s="341" t="str">
        <f>IFERROR(VLOOKUP(BY1226,'RawPL+D'!$O$8:$AB$503,12,FALSE),"-")</f>
        <v>-</v>
      </c>
      <c r="CG1226" s="338" t="str">
        <f t="shared" si="506"/>
        <v>-</v>
      </c>
      <c r="CH1226" s="341" t="str">
        <f>IFERROR(VLOOKUP(BY1226,'RawPL+D'!$O$8:$AB$503,13,FALSE),"-")</f>
        <v>-</v>
      </c>
      <c r="CI1226" s="338" t="str">
        <f t="shared" si="507"/>
        <v>-</v>
      </c>
    </row>
    <row r="1227" spans="1:87" ht="12.75" hidden="1" customHeight="1" x14ac:dyDescent="0.2">
      <c r="A1227" s="28">
        <v>4</v>
      </c>
      <c r="B1227" s="28">
        <v>1</v>
      </c>
      <c r="C1227" s="11">
        <v>26</v>
      </c>
      <c r="D1227" s="149" t="s">
        <v>301</v>
      </c>
      <c r="E1227" s="10" t="s">
        <v>58</v>
      </c>
      <c r="F1227" s="10" t="s">
        <v>207</v>
      </c>
      <c r="G1227" s="10"/>
      <c r="H1227" s="10"/>
      <c r="I1227" s="10"/>
      <c r="J1227" s="10"/>
      <c r="K1227" s="575"/>
      <c r="L1227" s="152"/>
      <c r="M1227" s="422"/>
      <c r="N1227" s="339"/>
      <c r="O1227" s="62"/>
      <c r="P1227" s="424"/>
      <c r="Q1227" s="171"/>
      <c r="R1227" s="94"/>
      <c r="S1227" s="339"/>
      <c r="T1227" s="63"/>
      <c r="U1227" s="162"/>
      <c r="V1227" s="164"/>
      <c r="W1227" s="62"/>
      <c r="X1227" s="63"/>
      <c r="Y1227" s="62"/>
      <c r="Z1227" s="64"/>
      <c r="AA1227" s="164"/>
      <c r="AB1227" s="62"/>
      <c r="AC1227" s="62"/>
      <c r="AD1227" s="64"/>
      <c r="AE1227" s="164"/>
      <c r="AF1227" s="62"/>
      <c r="AG1227" s="64"/>
      <c r="AH1227" s="337"/>
      <c r="AI1227" s="337"/>
      <c r="AJ1227" s="337"/>
      <c r="AK1227" s="337"/>
      <c r="AL1227" s="414"/>
      <c r="AM1227" s="414"/>
      <c r="AN1227" s="45"/>
      <c r="AO1227" s="45"/>
      <c r="AP1227" s="45"/>
      <c r="AQ1227" s="485"/>
      <c r="AR1227" s="67"/>
      <c r="AS1227" s="100"/>
      <c r="AT1227" s="24"/>
      <c r="AU1227" s="24"/>
      <c r="AV1227" s="24"/>
      <c r="AW1227" s="18">
        <v>26</v>
      </c>
      <c r="AX1227" s="69" t="s">
        <v>301</v>
      </c>
      <c r="AY1227" s="243" t="s">
        <v>58</v>
      </c>
      <c r="AZ1227" s="243" t="str">
        <f t="shared" si="511"/>
        <v>Sockeye</v>
      </c>
      <c r="BA1227" s="243" t="s">
        <v>419</v>
      </c>
      <c r="BB1227" s="246"/>
      <c r="BC1227" s="43" t="str">
        <f t="shared" si="512"/>
        <v>-</v>
      </c>
      <c r="BD1227" s="43">
        <f t="shared" si="510"/>
        <v>0</v>
      </c>
      <c r="BE1227" s="193">
        <f t="shared" si="496"/>
        <v>0</v>
      </c>
      <c r="BF1227" s="193">
        <f t="shared" si="513"/>
        <v>0</v>
      </c>
      <c r="BG1227" s="193">
        <f t="shared" si="514"/>
        <v>0</v>
      </c>
      <c r="BH1227" s="307" t="str">
        <f t="shared" si="499"/>
        <v>-</v>
      </c>
      <c r="BI1227" s="269"/>
      <c r="BJ1227" s="26" t="str">
        <f t="shared" si="515"/>
        <v>CACHALOT CREEKSockeye</v>
      </c>
      <c r="BK1227" s="26">
        <f t="shared" si="516"/>
        <v>0</v>
      </c>
      <c r="BL1227" s="33">
        <f t="shared" si="502"/>
        <v>0</v>
      </c>
      <c r="BQ1227" s="47" t="str">
        <f t="shared" si="517"/>
        <v>CACHALOT CREEKSockeye</v>
      </c>
      <c r="BR1227" s="49">
        <f t="shared" si="518"/>
        <v>0</v>
      </c>
      <c r="BS1227" s="49">
        <f t="shared" si="500"/>
        <v>0</v>
      </c>
      <c r="BT1227" s="31">
        <v>0</v>
      </c>
      <c r="BU1227" s="188">
        <f t="shared" si="519"/>
        <v>0</v>
      </c>
      <c r="BV1227" s="188" t="str">
        <f t="shared" si="504"/>
        <v xml:space="preserve"> </v>
      </c>
      <c r="BW1227" s="188" t="str">
        <f t="shared" si="501"/>
        <v xml:space="preserve"> </v>
      </c>
      <c r="BX1227" s="188" t="str">
        <f t="shared" si="520"/>
        <v xml:space="preserve"> </v>
      </c>
      <c r="BY1227" s="50" t="str">
        <f t="shared" si="509"/>
        <v>CACHALOT CREEK_Sockeye</v>
      </c>
      <c r="BZ1227" s="50" t="str">
        <f>IFERROR(VLOOKUP(BY1227,'[1]WCVI Esc'!$C$5:$W$555,18,FALSE),"-")</f>
        <v>-</v>
      </c>
      <c r="CA1227" s="50" t="str">
        <f t="shared" si="521"/>
        <v>-</v>
      </c>
      <c r="CB1227" s="50" t="str">
        <f>IFERROR(VLOOKUP(BY1227,'[1]WCVI Esc'!$C$5:$W$555,19,FALSE),"-")</f>
        <v>-</v>
      </c>
      <c r="CC1227" s="50" t="str">
        <f t="shared" si="522"/>
        <v>-</v>
      </c>
      <c r="CE1227" s="342" t="str">
        <f t="shared" si="508"/>
        <v>CACHALOT CREEK_Sockeye</v>
      </c>
      <c r="CF1227" s="341" t="str">
        <f>IFERROR(VLOOKUP(BY1227,'RawPL+D'!$O$8:$AB$503,12,FALSE),"-")</f>
        <v>-</v>
      </c>
      <c r="CG1227" s="338" t="str">
        <f t="shared" si="506"/>
        <v>-</v>
      </c>
      <c r="CH1227" s="341" t="str">
        <f>IFERROR(VLOOKUP(BY1227,'RawPL+D'!$O$8:$AB$503,13,FALSE),"-")</f>
        <v>-</v>
      </c>
      <c r="CI1227" s="338" t="str">
        <f t="shared" si="507"/>
        <v>-</v>
      </c>
    </row>
    <row r="1228" spans="1:87" ht="12.75" hidden="1" customHeight="1" x14ac:dyDescent="0.2">
      <c r="A1228" s="28">
        <v>4</v>
      </c>
      <c r="B1228" s="28">
        <v>2</v>
      </c>
      <c r="C1228" s="11">
        <v>26</v>
      </c>
      <c r="D1228" s="149" t="s">
        <v>301</v>
      </c>
      <c r="E1228" s="10" t="s">
        <v>58</v>
      </c>
      <c r="F1228" s="10" t="s">
        <v>219</v>
      </c>
      <c r="G1228" s="10"/>
      <c r="H1228" s="10"/>
      <c r="I1228" s="10"/>
      <c r="J1228" s="10"/>
      <c r="K1228" s="575"/>
      <c r="L1228" s="152"/>
      <c r="M1228" s="422"/>
      <c r="N1228" s="339"/>
      <c r="O1228" s="62"/>
      <c r="P1228" s="424"/>
      <c r="Q1228" s="171"/>
      <c r="R1228" s="94"/>
      <c r="S1228" s="339"/>
      <c r="T1228" s="63"/>
      <c r="U1228" s="162"/>
      <c r="V1228" s="164"/>
      <c r="W1228" s="62"/>
      <c r="X1228" s="63"/>
      <c r="Y1228" s="62"/>
      <c r="Z1228" s="64"/>
      <c r="AA1228" s="164"/>
      <c r="AB1228" s="62"/>
      <c r="AC1228" s="62"/>
      <c r="AD1228" s="64"/>
      <c r="AE1228" s="164"/>
      <c r="AF1228" s="62"/>
      <c r="AG1228" s="64"/>
      <c r="AH1228" s="337"/>
      <c r="AI1228" s="337"/>
      <c r="AJ1228" s="337"/>
      <c r="AK1228" s="337"/>
      <c r="AL1228" s="414"/>
      <c r="AM1228" s="414"/>
      <c r="AN1228" s="45"/>
      <c r="AO1228" s="45"/>
      <c r="AP1228" s="45"/>
      <c r="AQ1228" s="485">
        <f>AL1228/BI1228</f>
        <v>0</v>
      </c>
      <c r="AR1228" s="485" t="e">
        <f>BL1228/BH1228</f>
        <v>#DIV/0!</v>
      </c>
      <c r="AS1228" s="100">
        <f>BL1228/BI1228</f>
        <v>0</v>
      </c>
      <c r="AT1228" s="100"/>
      <c r="AU1228" s="100"/>
      <c r="AV1228" s="100"/>
      <c r="AW1228" s="18">
        <v>26</v>
      </c>
      <c r="AX1228" s="69" t="s">
        <v>301</v>
      </c>
      <c r="AY1228" s="243" t="s">
        <v>58</v>
      </c>
      <c r="AZ1228" s="243" t="str">
        <f t="shared" si="511"/>
        <v>Coho</v>
      </c>
      <c r="BA1228" s="243" t="s">
        <v>419</v>
      </c>
      <c r="BB1228" s="246"/>
      <c r="BC1228" s="43" t="str">
        <f t="shared" si="512"/>
        <v>-</v>
      </c>
      <c r="BD1228" s="43">
        <f t="shared" si="510"/>
        <v>0</v>
      </c>
      <c r="BE1228" s="193">
        <f t="shared" si="496"/>
        <v>0</v>
      </c>
      <c r="BF1228" s="193">
        <f t="shared" si="513"/>
        <v>0</v>
      </c>
      <c r="BG1228" s="193">
        <f t="shared" si="514"/>
        <v>0</v>
      </c>
      <c r="BH1228" s="307">
        <f t="shared" si="499"/>
        <v>0</v>
      </c>
      <c r="BI1228" s="265">
        <f>CC1228</f>
        <v>40</v>
      </c>
      <c r="BJ1228" s="26" t="str">
        <f t="shared" si="515"/>
        <v>CACHALOT CREEKCoho</v>
      </c>
      <c r="BK1228" s="26">
        <f t="shared" si="516"/>
        <v>0</v>
      </c>
      <c r="BL1228" s="33">
        <f t="shared" si="502"/>
        <v>0</v>
      </c>
      <c r="BQ1228" s="47" t="str">
        <f t="shared" si="517"/>
        <v>CACHALOT CREEKCoho</v>
      </c>
      <c r="BR1228" s="49">
        <f t="shared" si="518"/>
        <v>0</v>
      </c>
      <c r="BS1228" s="49">
        <f t="shared" si="500"/>
        <v>0</v>
      </c>
      <c r="BT1228" s="31">
        <v>2015</v>
      </c>
      <c r="BU1228" s="188">
        <f t="shared" si="519"/>
        <v>0</v>
      </c>
      <c r="BV1228" s="188" t="str">
        <f t="shared" si="504"/>
        <v xml:space="preserve"> </v>
      </c>
      <c r="BW1228" s="188" t="str">
        <f t="shared" si="501"/>
        <v xml:space="preserve"> </v>
      </c>
      <c r="BX1228" s="188" t="str">
        <f t="shared" si="520"/>
        <v xml:space="preserve"> </v>
      </c>
      <c r="BY1228" s="50" t="str">
        <f t="shared" si="509"/>
        <v>CACHALOT CREEK_Coho</v>
      </c>
      <c r="BZ1228" s="50" t="str">
        <f>IFERROR(VLOOKUP(BY1228,'[1]WCVI Esc'!$C$5:$W$555,18,FALSE),"-")</f>
        <v>-</v>
      </c>
      <c r="CA1228" s="50" t="str">
        <f t="shared" si="521"/>
        <v>-</v>
      </c>
      <c r="CB1228" s="50">
        <f>IFERROR(VLOOKUP(BY1228,'[1]WCVI Esc'!$C$5:$W$555,19,FALSE),"-")</f>
        <v>36.25</v>
      </c>
      <c r="CC1228" s="50">
        <f t="shared" si="522"/>
        <v>40</v>
      </c>
      <c r="CE1228" s="342" t="str">
        <f t="shared" si="508"/>
        <v>CACHALOT CREEK_Coho</v>
      </c>
      <c r="CF1228" s="341">
        <f>IFERROR(VLOOKUP(CE1228,'RawPL+D'!$O$8:$AB$503,12,FALSE),"-")</f>
        <v>0</v>
      </c>
      <c r="CG1228" s="338">
        <f t="shared" si="506"/>
        <v>0</v>
      </c>
      <c r="CH1228" s="341">
        <f>IFERROR(VLOOKUP(BY1228,'RawPL+D'!$O$8:$AB$503,13,FALSE),"-")</f>
        <v>0</v>
      </c>
      <c r="CI1228" s="338">
        <f t="shared" si="507"/>
        <v>0</v>
      </c>
    </row>
    <row r="1229" spans="1:87" ht="12.75" hidden="1" customHeight="1" x14ac:dyDescent="0.2">
      <c r="A1229" s="28">
        <v>4</v>
      </c>
      <c r="B1229" s="28">
        <v>3</v>
      </c>
      <c r="C1229" s="11">
        <v>26</v>
      </c>
      <c r="D1229" s="149" t="s">
        <v>301</v>
      </c>
      <c r="E1229" s="10" t="s">
        <v>58</v>
      </c>
      <c r="F1229" s="10" t="s">
        <v>208</v>
      </c>
      <c r="G1229" s="10"/>
      <c r="H1229" s="10"/>
      <c r="I1229" s="10"/>
      <c r="J1229" s="10"/>
      <c r="K1229" s="575"/>
      <c r="L1229" s="152"/>
      <c r="M1229" s="422"/>
      <c r="N1229" s="339"/>
      <c r="O1229" s="62"/>
      <c r="P1229" s="424"/>
      <c r="Q1229" s="171"/>
      <c r="R1229" s="94"/>
      <c r="S1229" s="339"/>
      <c r="T1229" s="63"/>
      <c r="U1229" s="162"/>
      <c r="V1229" s="164"/>
      <c r="W1229" s="62"/>
      <c r="X1229" s="63"/>
      <c r="Y1229" s="62"/>
      <c r="Z1229" s="64"/>
      <c r="AA1229" s="164"/>
      <c r="AB1229" s="62"/>
      <c r="AC1229" s="62"/>
      <c r="AD1229" s="64"/>
      <c r="AE1229" s="164"/>
      <c r="AF1229" s="62"/>
      <c r="AG1229" s="64"/>
      <c r="AH1229" s="337"/>
      <c r="AI1229" s="337"/>
      <c r="AJ1229" s="337"/>
      <c r="AK1229" s="337"/>
      <c r="AL1229" s="414"/>
      <c r="AM1229" s="414"/>
      <c r="AN1229" s="45"/>
      <c r="AO1229" s="45"/>
      <c r="AP1229" s="45"/>
      <c r="AQ1229" s="485"/>
      <c r="AR1229" s="100"/>
      <c r="AS1229" s="100"/>
      <c r="AT1229" s="24"/>
      <c r="AU1229" s="24"/>
      <c r="AV1229" s="24"/>
      <c r="AW1229" s="18">
        <v>26</v>
      </c>
      <c r="AX1229" s="69" t="s">
        <v>301</v>
      </c>
      <c r="AY1229" s="243" t="s">
        <v>58</v>
      </c>
      <c r="AZ1229" s="243" t="str">
        <f t="shared" si="511"/>
        <v>Pink</v>
      </c>
      <c r="BA1229" s="243" t="s">
        <v>419</v>
      </c>
      <c r="BB1229" s="246"/>
      <c r="BC1229" s="43" t="str">
        <f t="shared" si="512"/>
        <v>-</v>
      </c>
      <c r="BD1229" s="43">
        <f t="shared" si="510"/>
        <v>0</v>
      </c>
      <c r="BE1229" s="193">
        <f t="shared" si="496"/>
        <v>0</v>
      </c>
      <c r="BF1229" s="193">
        <f t="shared" si="513"/>
        <v>0</v>
      </c>
      <c r="BG1229" s="193">
        <f t="shared" si="514"/>
        <v>0</v>
      </c>
      <c r="BH1229" s="307" t="str">
        <f t="shared" si="499"/>
        <v>-</v>
      </c>
      <c r="BI1229" s="268"/>
      <c r="BJ1229" s="26" t="str">
        <f t="shared" si="515"/>
        <v>CACHALOT CREEKPink</v>
      </c>
      <c r="BK1229" s="26">
        <f t="shared" si="516"/>
        <v>0</v>
      </c>
      <c r="BL1229" s="33">
        <f t="shared" si="502"/>
        <v>0</v>
      </c>
      <c r="BQ1229" s="47" t="str">
        <f t="shared" si="517"/>
        <v>CACHALOT CREEKPink</v>
      </c>
      <c r="BR1229" s="49">
        <f t="shared" si="518"/>
        <v>0</v>
      </c>
      <c r="BS1229" s="49">
        <f t="shared" si="500"/>
        <v>0</v>
      </c>
      <c r="BT1229" s="31">
        <v>0</v>
      </c>
      <c r="BU1229" s="188">
        <f t="shared" si="519"/>
        <v>0</v>
      </c>
      <c r="BV1229" s="188" t="str">
        <f t="shared" si="504"/>
        <v xml:space="preserve"> </v>
      </c>
      <c r="BW1229" s="188" t="str">
        <f t="shared" si="501"/>
        <v xml:space="preserve"> </v>
      </c>
      <c r="BX1229" s="188" t="str">
        <f t="shared" si="520"/>
        <v xml:space="preserve"> </v>
      </c>
      <c r="BY1229" s="50" t="str">
        <f t="shared" si="509"/>
        <v>CACHALOT CREEK_Pink</v>
      </c>
      <c r="BZ1229" s="50" t="str">
        <f>IFERROR(VLOOKUP(BY1229,'[1]WCVI Esc'!$C$5:$W$555,18,FALSE),"-")</f>
        <v>-</v>
      </c>
      <c r="CA1229" s="50" t="str">
        <f t="shared" si="521"/>
        <v>-</v>
      </c>
      <c r="CB1229" s="50" t="str">
        <f>IFERROR(VLOOKUP(BY1229,'[1]WCVI Esc'!$C$5:$W$555,19,FALSE),"-")</f>
        <v>-</v>
      </c>
      <c r="CC1229" s="50" t="str">
        <f t="shared" si="522"/>
        <v>-</v>
      </c>
      <c r="CE1229" s="342" t="str">
        <f t="shared" si="508"/>
        <v>CACHALOT CREEK_Pink</v>
      </c>
      <c r="CF1229" s="341" t="str">
        <f>IFERROR(VLOOKUP(BY1229,'RawPL+D'!$O$8:$AB$503,12,FALSE),"-")</f>
        <v>-</v>
      </c>
      <c r="CG1229" s="338" t="str">
        <f t="shared" si="506"/>
        <v>-</v>
      </c>
      <c r="CH1229" s="341" t="str">
        <f>IFERROR(VLOOKUP(BY1229,'RawPL+D'!$O$8:$AB$503,13,FALSE),"-")</f>
        <v>-</v>
      </c>
      <c r="CI1229" s="338" t="str">
        <f t="shared" si="507"/>
        <v>-</v>
      </c>
    </row>
    <row r="1230" spans="1:87" ht="12.75" hidden="1" customHeight="1" x14ac:dyDescent="0.2">
      <c r="A1230" s="28">
        <v>4</v>
      </c>
      <c r="B1230" s="28">
        <v>4</v>
      </c>
      <c r="C1230" s="11">
        <v>26</v>
      </c>
      <c r="D1230" s="148" t="s">
        <v>301</v>
      </c>
      <c r="E1230" s="10" t="s">
        <v>58</v>
      </c>
      <c r="F1230" s="10" t="s">
        <v>209</v>
      </c>
      <c r="G1230" s="10"/>
      <c r="H1230" s="10"/>
      <c r="I1230" s="10"/>
      <c r="J1230" s="10"/>
      <c r="K1230" s="575"/>
      <c r="L1230" s="152"/>
      <c r="M1230" s="422"/>
      <c r="N1230" s="339"/>
      <c r="O1230" s="62"/>
      <c r="P1230" s="424"/>
      <c r="Q1230" s="171"/>
      <c r="R1230" s="94"/>
      <c r="S1230" s="339"/>
      <c r="T1230" s="63"/>
      <c r="U1230" s="162"/>
      <c r="V1230" s="164"/>
      <c r="W1230" s="62"/>
      <c r="X1230" s="63"/>
      <c r="Y1230" s="62"/>
      <c r="Z1230" s="64"/>
      <c r="AA1230" s="164"/>
      <c r="AB1230" s="62"/>
      <c r="AC1230" s="62"/>
      <c r="AD1230" s="64"/>
      <c r="AE1230" s="164"/>
      <c r="AF1230" s="62"/>
      <c r="AG1230" s="64"/>
      <c r="AH1230" s="337"/>
      <c r="AI1230" s="337"/>
      <c r="AJ1230" s="337"/>
      <c r="AK1230" s="337"/>
      <c r="AL1230" s="414"/>
      <c r="AM1230" s="414"/>
      <c r="AN1230" s="45"/>
      <c r="AO1230" s="45"/>
      <c r="AP1230" s="45"/>
      <c r="AQ1230" s="485">
        <f>AL1230/BI1230</f>
        <v>0</v>
      </c>
      <c r="AR1230" s="485" t="e">
        <f>BL1230/BH1230</f>
        <v>#DIV/0!</v>
      </c>
      <c r="AS1230" s="100"/>
      <c r="AT1230" s="100"/>
      <c r="AU1230" s="100"/>
      <c r="AV1230" s="100"/>
      <c r="AW1230" s="18">
        <v>26</v>
      </c>
      <c r="AX1230" s="69" t="s">
        <v>301</v>
      </c>
      <c r="AY1230" s="243" t="s">
        <v>58</v>
      </c>
      <c r="AZ1230" s="243" t="str">
        <f t="shared" si="511"/>
        <v>Chum</v>
      </c>
      <c r="BA1230" s="243" t="s">
        <v>419</v>
      </c>
      <c r="BB1230" s="246"/>
      <c r="BC1230" s="43" t="str">
        <f t="shared" si="512"/>
        <v>-</v>
      </c>
      <c r="BD1230" s="43">
        <f t="shared" si="510"/>
        <v>0</v>
      </c>
      <c r="BE1230" s="193">
        <f t="shared" si="496"/>
        <v>0</v>
      </c>
      <c r="BF1230" s="193">
        <f t="shared" si="513"/>
        <v>0</v>
      </c>
      <c r="BG1230" s="193">
        <f t="shared" si="514"/>
        <v>0</v>
      </c>
      <c r="BH1230" s="307">
        <f t="shared" si="499"/>
        <v>0</v>
      </c>
      <c r="BI1230" s="265">
        <f>CC1230</f>
        <v>300</v>
      </c>
      <c r="BJ1230" s="26" t="str">
        <f t="shared" si="515"/>
        <v>CACHALOT CREEKChum</v>
      </c>
      <c r="BK1230" s="26">
        <f t="shared" si="516"/>
        <v>0</v>
      </c>
      <c r="BL1230" s="33">
        <f t="shared" si="502"/>
        <v>0</v>
      </c>
      <c r="BQ1230" s="47" t="str">
        <f t="shared" si="517"/>
        <v>CACHALOT CREEKChum</v>
      </c>
      <c r="BR1230" s="49">
        <f t="shared" si="518"/>
        <v>0</v>
      </c>
      <c r="BS1230" s="49">
        <f t="shared" si="500"/>
        <v>0</v>
      </c>
      <c r="BT1230" s="31">
        <v>2015</v>
      </c>
      <c r="BU1230" s="188">
        <f t="shared" si="519"/>
        <v>0</v>
      </c>
      <c r="BV1230" s="188" t="str">
        <f t="shared" ref="BV1230:BV1261" si="523">IF(ISNUMBER(Q1230),Q$8,IF(ISNUMBER(P1230),P$8,IF(ISNUMBER(O1230),O$8,IF(ISNUMBER(N1230),N$8,IF(ISNUMBER(M1230),M$8,IF(ISNUMBER(L1230),L$8, IF(ISNUMBER(K1230),K$8," ")))))))</f>
        <v xml:space="preserve"> </v>
      </c>
      <c r="BW1230" s="188" t="str">
        <f t="shared" si="501"/>
        <v xml:space="preserve"> </v>
      </c>
      <c r="BX1230" s="188" t="str">
        <f t="shared" si="520"/>
        <v xml:space="preserve"> </v>
      </c>
      <c r="BY1230" s="50" t="str">
        <f t="shared" si="509"/>
        <v>CACHALOT CREEK_Chum</v>
      </c>
      <c r="BZ1230" s="50" t="str">
        <f>IFERROR(VLOOKUP(BY1230,'[1]WCVI Esc'!$C$5:$W$555,18,FALSE),"-")</f>
        <v>-</v>
      </c>
      <c r="CA1230" s="50" t="str">
        <f t="shared" si="521"/>
        <v>-</v>
      </c>
      <c r="CB1230" s="50">
        <f>IFERROR(VLOOKUP(BY1230,'[1]WCVI Esc'!$C$5:$W$555,19,FALSE),"-")</f>
        <v>298.25</v>
      </c>
      <c r="CC1230" s="50">
        <f t="shared" si="522"/>
        <v>300</v>
      </c>
      <c r="CE1230" s="342" t="str">
        <f t="shared" si="508"/>
        <v>CACHALOT CREEK_Chum</v>
      </c>
      <c r="CF1230" s="341">
        <f>IFERROR(VLOOKUP(BY1230,'RawPL+D'!$O$8:$AB$503,12,FALSE),"-")</f>
        <v>0</v>
      </c>
      <c r="CG1230" s="338">
        <f t="shared" si="506"/>
        <v>0</v>
      </c>
      <c r="CH1230" s="341">
        <f>IFERROR(VLOOKUP(BY1230,'RawPL+D'!$O$8:$AB$503,13,FALSE),"-")</f>
        <v>0</v>
      </c>
      <c r="CI1230" s="338">
        <f t="shared" si="507"/>
        <v>0</v>
      </c>
    </row>
    <row r="1231" spans="1:87" ht="12.75" hidden="1" customHeight="1" x14ac:dyDescent="0.2">
      <c r="A1231" s="28">
        <v>4</v>
      </c>
      <c r="B1231" s="28">
        <v>5</v>
      </c>
      <c r="C1231" s="11">
        <v>26</v>
      </c>
      <c r="D1231" s="148" t="s">
        <v>301</v>
      </c>
      <c r="E1231" s="10" t="s">
        <v>58</v>
      </c>
      <c r="F1231" s="10" t="s">
        <v>210</v>
      </c>
      <c r="G1231" s="10"/>
      <c r="H1231" s="10"/>
      <c r="I1231" s="10"/>
      <c r="J1231" s="10"/>
      <c r="K1231" s="575"/>
      <c r="L1231" s="152"/>
      <c r="M1231" s="422"/>
      <c r="N1231" s="339"/>
      <c r="O1231" s="62"/>
      <c r="P1231" s="424"/>
      <c r="Q1231" s="171"/>
      <c r="R1231" s="94"/>
      <c r="S1231" s="339"/>
      <c r="T1231" s="63"/>
      <c r="U1231" s="162"/>
      <c r="V1231" s="164"/>
      <c r="W1231" s="62"/>
      <c r="X1231" s="63"/>
      <c r="Y1231" s="62"/>
      <c r="Z1231" s="64"/>
      <c r="AA1231" s="164"/>
      <c r="AB1231" s="62"/>
      <c r="AC1231" s="62"/>
      <c r="AD1231" s="64"/>
      <c r="AE1231" s="164"/>
      <c r="AF1231" s="62"/>
      <c r="AG1231" s="64"/>
      <c r="AH1231" s="337"/>
      <c r="AI1231" s="337"/>
      <c r="AJ1231" s="337"/>
      <c r="AK1231" s="337"/>
      <c r="AL1231" s="414"/>
      <c r="AM1231" s="414"/>
      <c r="AN1231" s="45"/>
      <c r="AO1231" s="45"/>
      <c r="AP1231" s="45"/>
      <c r="AQ1231" s="485"/>
      <c r="AR1231" s="100"/>
      <c r="AS1231" s="24"/>
      <c r="AT1231" s="24"/>
      <c r="AU1231" s="24"/>
      <c r="AV1231" s="24"/>
      <c r="AW1231" s="18">
        <v>26</v>
      </c>
      <c r="AX1231" s="69" t="s">
        <v>301</v>
      </c>
      <c r="AY1231" s="243" t="s">
        <v>58</v>
      </c>
      <c r="AZ1231" s="243" t="str">
        <f t="shared" si="511"/>
        <v>Chinook</v>
      </c>
      <c r="BA1231" s="243" t="s">
        <v>419</v>
      </c>
      <c r="BB1231" s="246"/>
      <c r="BC1231" s="43" t="str">
        <f t="shared" si="512"/>
        <v>-</v>
      </c>
      <c r="BD1231" s="43">
        <f t="shared" si="510"/>
        <v>0</v>
      </c>
      <c r="BE1231" s="193">
        <f t="shared" si="496"/>
        <v>0</v>
      </c>
      <c r="BF1231" s="193">
        <f t="shared" si="513"/>
        <v>0</v>
      </c>
      <c r="BG1231" s="193">
        <f t="shared" si="514"/>
        <v>0</v>
      </c>
      <c r="BH1231" s="307" t="str">
        <f t="shared" si="499"/>
        <v>-</v>
      </c>
      <c r="BI1231" s="268"/>
      <c r="BJ1231" s="26" t="str">
        <f t="shared" si="515"/>
        <v>CACHALOT CREEKChinook</v>
      </c>
      <c r="BK1231" s="26">
        <f t="shared" si="516"/>
        <v>0</v>
      </c>
      <c r="BL1231" s="33">
        <f t="shared" si="502"/>
        <v>0</v>
      </c>
      <c r="BQ1231" s="47" t="str">
        <f t="shared" si="517"/>
        <v>CACHALOT CREEKChinook</v>
      </c>
      <c r="BR1231" s="49">
        <f t="shared" si="518"/>
        <v>0</v>
      </c>
      <c r="BS1231" s="49">
        <f t="shared" si="500"/>
        <v>0</v>
      </c>
      <c r="BT1231" s="31">
        <v>0</v>
      </c>
      <c r="BU1231" s="188">
        <f t="shared" si="519"/>
        <v>0</v>
      </c>
      <c r="BV1231" s="188" t="str">
        <f t="shared" si="523"/>
        <v xml:space="preserve"> </v>
      </c>
      <c r="BW1231" s="188" t="str">
        <f t="shared" si="501"/>
        <v xml:space="preserve"> </v>
      </c>
      <c r="BX1231" s="188" t="str">
        <f t="shared" si="520"/>
        <v xml:space="preserve"> </v>
      </c>
      <c r="BY1231" s="50" t="str">
        <f t="shared" si="509"/>
        <v>CACHALOT CREEK_Chinook</v>
      </c>
      <c r="BZ1231" s="50" t="str">
        <f>IFERROR(VLOOKUP(BY1231,'[1]WCVI Esc'!$C$5:$W$555,18,FALSE),"-")</f>
        <v>-</v>
      </c>
      <c r="CA1231" s="50" t="str">
        <f t="shared" si="521"/>
        <v>-</v>
      </c>
      <c r="CB1231" s="50" t="str">
        <f>IFERROR(VLOOKUP(BY1231,'[1]WCVI Esc'!$C$5:$W$555,19,FALSE),"-")</f>
        <v>-</v>
      </c>
      <c r="CC1231" s="50" t="str">
        <f t="shared" si="522"/>
        <v>-</v>
      </c>
      <c r="CE1231" s="342" t="str">
        <f t="shared" si="508"/>
        <v>CACHALOT CREEK_Chinook</v>
      </c>
      <c r="CF1231" s="341" t="str">
        <f>IFERROR(VLOOKUP(BY1231,'RawPL+D'!$O$8:$AB$503,12,FALSE),"-")</f>
        <v>-</v>
      </c>
      <c r="CG1231" s="338" t="str">
        <f t="shared" si="506"/>
        <v>-</v>
      </c>
      <c r="CH1231" s="341" t="str">
        <f>IFERROR(VLOOKUP(BY1231,'RawPL+D'!$O$8:$AB$503,13,FALSE),"-")</f>
        <v>-</v>
      </c>
      <c r="CI1231" s="338" t="str">
        <f t="shared" si="507"/>
        <v>-</v>
      </c>
    </row>
    <row r="1232" spans="1:87" ht="12.75" hidden="1" customHeight="1" x14ac:dyDescent="0.2">
      <c r="A1232" s="28">
        <v>4</v>
      </c>
      <c r="B1232" s="28">
        <v>6</v>
      </c>
      <c r="C1232" s="11">
        <v>26</v>
      </c>
      <c r="D1232" s="148" t="s">
        <v>301</v>
      </c>
      <c r="E1232" s="10" t="s">
        <v>58</v>
      </c>
      <c r="F1232" s="10" t="s">
        <v>211</v>
      </c>
      <c r="G1232" s="10"/>
      <c r="H1232" s="10"/>
      <c r="I1232" s="10"/>
      <c r="J1232" s="10"/>
      <c r="K1232" s="575"/>
      <c r="L1232" s="152"/>
      <c r="M1232" s="422"/>
      <c r="N1232" s="339"/>
      <c r="O1232" s="62"/>
      <c r="P1232" s="424"/>
      <c r="Q1232" s="171"/>
      <c r="R1232" s="94"/>
      <c r="S1232" s="339"/>
      <c r="T1232" s="63"/>
      <c r="U1232" s="162"/>
      <c r="V1232" s="164"/>
      <c r="W1232" s="62"/>
      <c r="X1232" s="63"/>
      <c r="Y1232" s="62"/>
      <c r="Z1232" s="64"/>
      <c r="AA1232" s="164"/>
      <c r="AB1232" s="62"/>
      <c r="AC1232" s="62"/>
      <c r="AD1232" s="64"/>
      <c r="AE1232" s="164"/>
      <c r="AF1232" s="62"/>
      <c r="AG1232" s="64"/>
      <c r="AH1232" s="337"/>
      <c r="AI1232" s="337"/>
      <c r="AJ1232" s="337"/>
      <c r="AK1232" s="337"/>
      <c r="AL1232" s="414"/>
      <c r="AM1232" s="414"/>
      <c r="AN1232" s="45"/>
      <c r="AO1232" s="45"/>
      <c r="AP1232" s="45"/>
      <c r="AQ1232" s="485"/>
      <c r="AR1232" s="100"/>
      <c r="AS1232" s="24"/>
      <c r="AT1232" s="24"/>
      <c r="AU1232" s="24"/>
      <c r="AV1232" s="24"/>
      <c r="AW1232" s="18">
        <v>26</v>
      </c>
      <c r="AX1232" s="69" t="s">
        <v>301</v>
      </c>
      <c r="AY1232" s="243" t="s">
        <v>58</v>
      </c>
      <c r="AZ1232" s="243" t="str">
        <f t="shared" si="511"/>
        <v>Steelhead</v>
      </c>
      <c r="BA1232" s="243" t="s">
        <v>419</v>
      </c>
      <c r="BB1232" s="246"/>
      <c r="BC1232" s="43" t="str">
        <f t="shared" si="512"/>
        <v>-</v>
      </c>
      <c r="BD1232" s="43">
        <f t="shared" si="510"/>
        <v>0</v>
      </c>
      <c r="BE1232" s="193">
        <f t="shared" si="496"/>
        <v>0</v>
      </c>
      <c r="BF1232" s="193">
        <f t="shared" si="513"/>
        <v>0</v>
      </c>
      <c r="BG1232" s="193">
        <f t="shared" si="514"/>
        <v>0</v>
      </c>
      <c r="BH1232" s="307" t="str">
        <f t="shared" si="499"/>
        <v>-</v>
      </c>
      <c r="BI1232" s="266"/>
      <c r="BJ1232" s="26" t="str">
        <f t="shared" si="515"/>
        <v>CACHALOT CREEKSteelhead</v>
      </c>
      <c r="BK1232" s="26">
        <f t="shared" si="516"/>
        <v>0</v>
      </c>
      <c r="BL1232" s="33">
        <f t="shared" si="502"/>
        <v>0</v>
      </c>
      <c r="BQ1232" s="47" t="str">
        <f t="shared" si="517"/>
        <v>CACHALOT CREEKSteelhead</v>
      </c>
      <c r="BR1232" s="49">
        <f t="shared" si="518"/>
        <v>0</v>
      </c>
      <c r="BS1232" s="49">
        <f t="shared" si="500"/>
        <v>0</v>
      </c>
      <c r="BT1232" s="31">
        <v>0</v>
      </c>
      <c r="BU1232" s="188">
        <f t="shared" si="519"/>
        <v>0</v>
      </c>
      <c r="BV1232" s="188" t="str">
        <f t="shared" si="523"/>
        <v xml:space="preserve"> </v>
      </c>
      <c r="BW1232" s="188" t="str">
        <f t="shared" si="501"/>
        <v xml:space="preserve"> </v>
      </c>
      <c r="BX1232" s="188" t="str">
        <f t="shared" si="520"/>
        <v xml:space="preserve"> </v>
      </c>
      <c r="BY1232" s="50" t="str">
        <f t="shared" si="509"/>
        <v>CACHALOT CREEK_Steelhead</v>
      </c>
      <c r="BZ1232" s="50" t="str">
        <f>IFERROR(VLOOKUP(BY1232,'[1]WCVI Esc'!$C$5:$W$555,18,FALSE),"-")</f>
        <v>-</v>
      </c>
      <c r="CA1232" s="50" t="str">
        <f t="shared" si="521"/>
        <v>-</v>
      </c>
      <c r="CB1232" s="50" t="str">
        <f>IFERROR(VLOOKUP(BY1232,'[1]WCVI Esc'!$C$5:$W$555,19,FALSE),"-")</f>
        <v>-</v>
      </c>
      <c r="CC1232" s="50" t="str">
        <f t="shared" si="522"/>
        <v>-</v>
      </c>
      <c r="CE1232" s="342" t="str">
        <f t="shared" si="508"/>
        <v>CACHALOT CREEK_Steelhead</v>
      </c>
      <c r="CF1232" s="341" t="str">
        <f>IFERROR(VLOOKUP(BY1232,'RawPL+D'!$O$8:$AB$503,12,FALSE),"-")</f>
        <v>-</v>
      </c>
      <c r="CG1232" s="338" t="str">
        <f t="shared" si="506"/>
        <v>-</v>
      </c>
      <c r="CH1232" s="341" t="str">
        <f>IFERROR(VLOOKUP(BY1232,'RawPL+D'!$O$8:$AB$503,13,FALSE),"-")</f>
        <v>-</v>
      </c>
      <c r="CI1232" s="338" t="str">
        <f t="shared" si="507"/>
        <v>-</v>
      </c>
    </row>
    <row r="1233" spans="1:87" ht="12.75" hidden="1" customHeight="1" x14ac:dyDescent="0.2">
      <c r="A1233" s="28">
        <v>4</v>
      </c>
      <c r="B1233" s="28">
        <v>1</v>
      </c>
      <c r="C1233" s="11">
        <v>26</v>
      </c>
      <c r="D1233" s="148" t="s">
        <v>301</v>
      </c>
      <c r="E1233" s="10" t="s">
        <v>65</v>
      </c>
      <c r="F1233" s="10" t="s">
        <v>207</v>
      </c>
      <c r="G1233" s="10"/>
      <c r="H1233" s="10"/>
      <c r="I1233" s="10"/>
      <c r="J1233" s="10"/>
      <c r="K1233" s="575"/>
      <c r="L1233" s="152"/>
      <c r="M1233" s="422"/>
      <c r="N1233" s="339"/>
      <c r="O1233" s="62"/>
      <c r="P1233" s="424"/>
      <c r="Q1233" s="171"/>
      <c r="R1233" s="94"/>
      <c r="S1233" s="339"/>
      <c r="T1233" s="63"/>
      <c r="U1233" s="162"/>
      <c r="V1233" s="164"/>
      <c r="W1233" s="62"/>
      <c r="X1233" s="63"/>
      <c r="Y1233" s="62"/>
      <c r="Z1233" s="64"/>
      <c r="AA1233" s="164"/>
      <c r="AB1233" s="62"/>
      <c r="AC1233" s="62"/>
      <c r="AD1233" s="64"/>
      <c r="AE1233" s="164"/>
      <c r="AF1233" s="62"/>
      <c r="AG1233" s="64"/>
      <c r="AH1233" s="337"/>
      <c r="AI1233" s="337"/>
      <c r="AJ1233" s="337"/>
      <c r="AK1233" s="337"/>
      <c r="AL1233" s="414"/>
      <c r="AM1233" s="414"/>
      <c r="AN1233" s="45"/>
      <c r="AO1233" s="45"/>
      <c r="AP1233" s="45"/>
      <c r="AQ1233" s="485"/>
      <c r="AR1233"/>
      <c r="AS1233" s="100"/>
      <c r="AT1233" s="24"/>
      <c r="AU1233" s="24"/>
      <c r="AV1233" s="24"/>
      <c r="AW1233" s="18">
        <v>26</v>
      </c>
      <c r="AX1233" s="69" t="s">
        <v>301</v>
      </c>
      <c r="AY1233" s="243" t="s">
        <v>65</v>
      </c>
      <c r="AZ1233" s="243" t="str">
        <f t="shared" si="511"/>
        <v>Sockeye</v>
      </c>
      <c r="BA1233" s="243" t="s">
        <v>419</v>
      </c>
      <c r="BB1233" s="246"/>
      <c r="BC1233" s="43" t="str">
        <f t="shared" si="512"/>
        <v>-</v>
      </c>
      <c r="BD1233" s="43">
        <f t="shared" si="510"/>
        <v>0</v>
      </c>
      <c r="BE1233" s="193">
        <f t="shared" ref="BE1233:BE1268" si="524">BL1233</f>
        <v>0</v>
      </c>
      <c r="BF1233" s="193">
        <f t="shared" si="513"/>
        <v>0</v>
      </c>
      <c r="BG1233" s="193">
        <f t="shared" si="514"/>
        <v>0</v>
      </c>
      <c r="BH1233" s="307" t="str">
        <f t="shared" si="499"/>
        <v>-</v>
      </c>
      <c r="BI1233" s="265"/>
      <c r="BJ1233" s="26" t="str">
        <f t="shared" si="515"/>
        <v>NARROWGUT CREEKSockeye</v>
      </c>
      <c r="BK1233" s="26">
        <f t="shared" si="516"/>
        <v>0</v>
      </c>
      <c r="BL1233" s="33">
        <f t="shared" si="502"/>
        <v>0</v>
      </c>
      <c r="BQ1233" s="47" t="str">
        <f t="shared" si="517"/>
        <v>NARROWGUT CREEKSockeye</v>
      </c>
      <c r="BR1233" s="49">
        <f t="shared" si="518"/>
        <v>0</v>
      </c>
      <c r="BS1233" s="49">
        <f t="shared" si="500"/>
        <v>0</v>
      </c>
      <c r="BT1233" s="31">
        <v>1998</v>
      </c>
      <c r="BU1233" s="188">
        <f t="shared" si="519"/>
        <v>0</v>
      </c>
      <c r="BV1233" s="188" t="str">
        <f t="shared" si="523"/>
        <v xml:space="preserve"> </v>
      </c>
      <c r="BW1233" s="188" t="str">
        <f t="shared" si="501"/>
        <v xml:space="preserve"> </v>
      </c>
      <c r="BX1233" s="188" t="str">
        <f t="shared" si="520"/>
        <v xml:space="preserve"> </v>
      </c>
      <c r="BY1233" s="50" t="str">
        <f t="shared" si="509"/>
        <v>NARROWGUT CREEK_Sockeye</v>
      </c>
      <c r="BZ1233" s="50" t="str">
        <f>IFERROR(VLOOKUP(BY1233,'[1]WCVI Esc'!$C$5:$W$555,18,FALSE),"-")</f>
        <v>-</v>
      </c>
      <c r="CA1233" s="50" t="str">
        <f t="shared" si="521"/>
        <v>-</v>
      </c>
      <c r="CB1233" s="50" t="str">
        <f>IFERROR(VLOOKUP(BY1233,'[1]WCVI Esc'!$C$5:$W$555,19,FALSE),"-")</f>
        <v>-</v>
      </c>
      <c r="CC1233" s="50" t="str">
        <f t="shared" si="522"/>
        <v>-</v>
      </c>
      <c r="CE1233" s="342" t="str">
        <f t="shared" si="508"/>
        <v>NARROWGUT CREEK_Sockeye</v>
      </c>
      <c r="CF1233" s="341">
        <f>IFERROR(VLOOKUP(BY1233,'RawPL+D'!$O$8:$AB$503,12,FALSE),"-")</f>
        <v>0</v>
      </c>
      <c r="CG1233" s="338">
        <f t="shared" si="506"/>
        <v>0</v>
      </c>
      <c r="CH1233" s="341" t="str">
        <f>IFERROR(VLOOKUP(BY1233,'RawPL+D'!$O$8:$AB$503,13,FALSE),"-")</f>
        <v>-</v>
      </c>
      <c r="CI1233" s="338" t="str">
        <f t="shared" si="507"/>
        <v>-</v>
      </c>
    </row>
    <row r="1234" spans="1:87" ht="12.75" hidden="1" customHeight="1" x14ac:dyDescent="0.2">
      <c r="A1234" s="28">
        <v>4</v>
      </c>
      <c r="B1234" s="28">
        <v>2</v>
      </c>
      <c r="C1234" s="11">
        <v>26</v>
      </c>
      <c r="D1234" s="148" t="s">
        <v>301</v>
      </c>
      <c r="E1234" s="10" t="s">
        <v>65</v>
      </c>
      <c r="F1234" s="10" t="s">
        <v>219</v>
      </c>
      <c r="G1234" s="10"/>
      <c r="H1234" s="10"/>
      <c r="I1234" s="10"/>
      <c r="J1234" s="10"/>
      <c r="K1234" s="575"/>
      <c r="L1234" s="152"/>
      <c r="M1234" s="422"/>
      <c r="N1234" s="339"/>
      <c r="O1234" s="62"/>
      <c r="P1234" s="424"/>
      <c r="Q1234" s="171"/>
      <c r="R1234" s="94"/>
      <c r="S1234" s="339"/>
      <c r="T1234" s="63"/>
      <c r="U1234" s="162"/>
      <c r="V1234" s="164"/>
      <c r="W1234" s="62"/>
      <c r="X1234" s="63"/>
      <c r="Y1234" s="62"/>
      <c r="Z1234" s="64"/>
      <c r="AA1234" s="164"/>
      <c r="AB1234" s="62"/>
      <c r="AC1234" s="62"/>
      <c r="AD1234" s="64"/>
      <c r="AE1234" s="164"/>
      <c r="AF1234" s="62"/>
      <c r="AG1234" s="64"/>
      <c r="AH1234" s="337"/>
      <c r="AI1234" s="337"/>
      <c r="AJ1234" s="337"/>
      <c r="AK1234" s="337"/>
      <c r="AL1234" s="414"/>
      <c r="AM1234" s="414"/>
      <c r="AN1234" s="45"/>
      <c r="AO1234" s="45"/>
      <c r="AP1234" s="45"/>
      <c r="AQ1234" s="485">
        <f>AL1234/BI1234</f>
        <v>0</v>
      </c>
      <c r="AR1234" s="485" t="e">
        <f>BL1234/BH1234</f>
        <v>#DIV/0!</v>
      </c>
      <c r="AS1234" s="100"/>
      <c r="AT1234" s="100"/>
      <c r="AU1234" s="100"/>
      <c r="AV1234" s="100"/>
      <c r="AW1234" s="18">
        <v>26</v>
      </c>
      <c r="AX1234" s="69" t="s">
        <v>301</v>
      </c>
      <c r="AY1234" s="243" t="s">
        <v>65</v>
      </c>
      <c r="AZ1234" s="243" t="str">
        <f t="shared" si="511"/>
        <v>Coho</v>
      </c>
      <c r="BA1234" s="243" t="s">
        <v>419</v>
      </c>
      <c r="BB1234" s="246"/>
      <c r="BC1234" s="43" t="str">
        <f t="shared" si="512"/>
        <v>-</v>
      </c>
      <c r="BD1234" s="43">
        <f t="shared" si="510"/>
        <v>0</v>
      </c>
      <c r="BE1234" s="193">
        <f t="shared" si="524"/>
        <v>0</v>
      </c>
      <c r="BF1234" s="193">
        <f t="shared" si="513"/>
        <v>0</v>
      </c>
      <c r="BG1234" s="193">
        <f t="shared" si="514"/>
        <v>0</v>
      </c>
      <c r="BH1234" s="307">
        <f t="shared" si="499"/>
        <v>0</v>
      </c>
      <c r="BI1234" s="265">
        <f>CC1234</f>
        <v>310</v>
      </c>
      <c r="BJ1234" s="26" t="str">
        <f t="shared" si="515"/>
        <v>NARROWGUT CREEKCoho</v>
      </c>
      <c r="BK1234" s="26">
        <f t="shared" si="516"/>
        <v>0</v>
      </c>
      <c r="BL1234" s="33">
        <f t="shared" si="502"/>
        <v>0</v>
      </c>
      <c r="BQ1234" s="47" t="str">
        <f t="shared" si="517"/>
        <v>NARROWGUT CREEKCoho</v>
      </c>
      <c r="BR1234" s="49">
        <f t="shared" si="518"/>
        <v>0</v>
      </c>
      <c r="BS1234" s="49">
        <f t="shared" si="500"/>
        <v>0</v>
      </c>
      <c r="BT1234" s="31">
        <v>2015</v>
      </c>
      <c r="BU1234" s="188">
        <f t="shared" si="519"/>
        <v>0</v>
      </c>
      <c r="BV1234" s="188" t="str">
        <f t="shared" si="523"/>
        <v xml:space="preserve"> </v>
      </c>
      <c r="BW1234" s="188" t="str">
        <f t="shared" si="501"/>
        <v xml:space="preserve"> </v>
      </c>
      <c r="BX1234" s="188" t="str">
        <f t="shared" si="520"/>
        <v xml:space="preserve"> </v>
      </c>
      <c r="BY1234" s="50" t="str">
        <f t="shared" si="509"/>
        <v>NARROWGUT CREEK_Coho</v>
      </c>
      <c r="BZ1234" s="50" t="str">
        <f>IFERROR(VLOOKUP(BY1234,'[1]WCVI Esc'!$C$5:$W$555,18,FALSE),"-")</f>
        <v>-</v>
      </c>
      <c r="CA1234" s="50" t="str">
        <f t="shared" si="521"/>
        <v>-</v>
      </c>
      <c r="CB1234" s="50">
        <f>IFERROR(VLOOKUP(BY1234,'[1]WCVI Esc'!$C$5:$W$555,19,FALSE),"-")</f>
        <v>313.8</v>
      </c>
      <c r="CC1234" s="50">
        <f t="shared" si="522"/>
        <v>310</v>
      </c>
      <c r="CE1234" s="342" t="str">
        <f t="shared" si="508"/>
        <v>NARROWGUT CREEK_Coho</v>
      </c>
      <c r="CF1234" s="341">
        <f>IFERROR(VLOOKUP(BY1234,'RawPL+D'!$O$8:$AB$503,12,FALSE),"-")</f>
        <v>0</v>
      </c>
      <c r="CG1234" s="338">
        <f t="shared" si="506"/>
        <v>0</v>
      </c>
      <c r="CH1234" s="341">
        <f>IFERROR(VLOOKUP(BY1234,'RawPL+D'!$O$8:$AB$503,13,FALSE),"-")</f>
        <v>0</v>
      </c>
      <c r="CI1234" s="338">
        <f t="shared" si="507"/>
        <v>0</v>
      </c>
    </row>
    <row r="1235" spans="1:87" ht="12.75" hidden="1" customHeight="1" x14ac:dyDescent="0.2">
      <c r="A1235" s="28">
        <v>4</v>
      </c>
      <c r="B1235" s="28">
        <v>3</v>
      </c>
      <c r="C1235" s="11">
        <v>26</v>
      </c>
      <c r="D1235" s="148" t="s">
        <v>301</v>
      </c>
      <c r="E1235" s="10" t="s">
        <v>65</v>
      </c>
      <c r="F1235" s="10" t="s">
        <v>208</v>
      </c>
      <c r="G1235" s="10"/>
      <c r="H1235" s="10"/>
      <c r="I1235" s="10"/>
      <c r="J1235" s="10"/>
      <c r="K1235" s="575"/>
      <c r="L1235" s="152"/>
      <c r="M1235" s="422"/>
      <c r="N1235" s="339"/>
      <c r="O1235" s="62"/>
      <c r="P1235" s="424"/>
      <c r="Q1235" s="171"/>
      <c r="R1235" s="94"/>
      <c r="S1235" s="339"/>
      <c r="T1235" s="63"/>
      <c r="U1235" s="162"/>
      <c r="V1235" s="164"/>
      <c r="W1235" s="62"/>
      <c r="X1235" s="63"/>
      <c r="Y1235" s="62"/>
      <c r="Z1235" s="64"/>
      <c r="AA1235" s="164"/>
      <c r="AB1235" s="62"/>
      <c r="AC1235" s="62"/>
      <c r="AD1235" s="64"/>
      <c r="AE1235" s="164"/>
      <c r="AF1235" s="62"/>
      <c r="AG1235" s="64"/>
      <c r="AH1235" s="337"/>
      <c r="AI1235" s="337"/>
      <c r="AJ1235" s="337"/>
      <c r="AK1235" s="337"/>
      <c r="AL1235" s="414"/>
      <c r="AM1235" s="414"/>
      <c r="AN1235" s="45"/>
      <c r="AO1235" s="45"/>
      <c r="AP1235" s="45"/>
      <c r="AQ1235" s="485"/>
      <c r="AR1235"/>
      <c r="AS1235" s="100"/>
      <c r="AT1235" s="24"/>
      <c r="AU1235" s="24"/>
      <c r="AV1235" s="24"/>
      <c r="AW1235" s="18">
        <v>26</v>
      </c>
      <c r="AX1235" s="69" t="s">
        <v>301</v>
      </c>
      <c r="AY1235" s="243" t="s">
        <v>65</v>
      </c>
      <c r="AZ1235" s="243" t="str">
        <f t="shared" si="511"/>
        <v>Pink</v>
      </c>
      <c r="BA1235" s="243" t="s">
        <v>419</v>
      </c>
      <c r="BB1235" s="246"/>
      <c r="BC1235" s="43" t="str">
        <f t="shared" si="512"/>
        <v>-</v>
      </c>
      <c r="BD1235" s="43">
        <f t="shared" si="510"/>
        <v>0</v>
      </c>
      <c r="BE1235" s="193">
        <f t="shared" si="524"/>
        <v>0</v>
      </c>
      <c r="BF1235" s="193">
        <f t="shared" si="513"/>
        <v>0</v>
      </c>
      <c r="BG1235" s="193">
        <f t="shared" si="514"/>
        <v>0</v>
      </c>
      <c r="BH1235" s="307" t="str">
        <f t="shared" si="499"/>
        <v>-</v>
      </c>
      <c r="BI1235" s="265"/>
      <c r="BJ1235" s="26" t="str">
        <f t="shared" si="515"/>
        <v>NARROWGUT CREEKPink</v>
      </c>
      <c r="BK1235" s="26">
        <f t="shared" si="516"/>
        <v>0</v>
      </c>
      <c r="BL1235" s="33">
        <f t="shared" si="502"/>
        <v>0</v>
      </c>
      <c r="BQ1235" s="47" t="str">
        <f t="shared" si="517"/>
        <v>NARROWGUT CREEKPink</v>
      </c>
      <c r="BR1235" s="49">
        <f t="shared" si="518"/>
        <v>0</v>
      </c>
      <c r="BS1235" s="49">
        <f t="shared" si="500"/>
        <v>0</v>
      </c>
      <c r="BT1235" s="31">
        <v>0</v>
      </c>
      <c r="BU1235" s="188">
        <f t="shared" si="519"/>
        <v>0</v>
      </c>
      <c r="BV1235" s="188" t="str">
        <f t="shared" si="523"/>
        <v xml:space="preserve"> </v>
      </c>
      <c r="BW1235" s="188" t="str">
        <f t="shared" si="501"/>
        <v xml:space="preserve"> </v>
      </c>
      <c r="BX1235" s="188" t="str">
        <f t="shared" si="520"/>
        <v xml:space="preserve"> </v>
      </c>
      <c r="BY1235" s="50" t="str">
        <f t="shared" si="509"/>
        <v>NARROWGUT CREEK_Pink</v>
      </c>
      <c r="BZ1235" s="50" t="str">
        <f>IFERROR(VLOOKUP(BY1235,'[1]WCVI Esc'!$C$5:$W$555,18,FALSE),"-")</f>
        <v>-</v>
      </c>
      <c r="CA1235" s="50" t="str">
        <f t="shared" si="521"/>
        <v>-</v>
      </c>
      <c r="CB1235" s="50" t="str">
        <f>IFERROR(VLOOKUP(BY1235,'[1]WCVI Esc'!$C$5:$W$555,19,FALSE),"-")</f>
        <v>-</v>
      </c>
      <c r="CC1235" s="50" t="str">
        <f t="shared" si="522"/>
        <v>-</v>
      </c>
      <c r="CE1235" s="342" t="str">
        <f t="shared" si="508"/>
        <v>NARROWGUT CREEK_Pink</v>
      </c>
      <c r="CF1235" s="341" t="str">
        <f>IFERROR(VLOOKUP(BY1235,'RawPL+D'!$O$8:$AB$503,12,FALSE),"-")</f>
        <v>-</v>
      </c>
      <c r="CG1235" s="338" t="str">
        <f t="shared" si="506"/>
        <v>-</v>
      </c>
      <c r="CH1235" s="341" t="str">
        <f>IFERROR(VLOOKUP(BY1235,'RawPL+D'!$O$8:$AB$503,13,FALSE),"-")</f>
        <v>-</v>
      </c>
      <c r="CI1235" s="338" t="str">
        <f t="shared" si="507"/>
        <v>-</v>
      </c>
    </row>
    <row r="1236" spans="1:87" ht="12.75" hidden="1" customHeight="1" x14ac:dyDescent="0.2">
      <c r="A1236" s="28">
        <v>4</v>
      </c>
      <c r="B1236" s="28">
        <v>4</v>
      </c>
      <c r="C1236" s="11">
        <v>26</v>
      </c>
      <c r="D1236" s="148" t="s">
        <v>301</v>
      </c>
      <c r="E1236" s="10" t="s">
        <v>65</v>
      </c>
      <c r="F1236" s="10" t="s">
        <v>209</v>
      </c>
      <c r="G1236" s="10"/>
      <c r="H1236" s="10"/>
      <c r="I1236" s="10"/>
      <c r="J1236" s="10"/>
      <c r="K1236" s="575"/>
      <c r="L1236" s="152"/>
      <c r="M1236" s="422"/>
      <c r="N1236" s="339"/>
      <c r="O1236" s="62"/>
      <c r="P1236" s="424"/>
      <c r="Q1236" s="171"/>
      <c r="R1236" s="94"/>
      <c r="S1236" s="339"/>
      <c r="T1236" s="63"/>
      <c r="U1236" s="162"/>
      <c r="V1236" s="164"/>
      <c r="W1236" s="62"/>
      <c r="X1236" s="63"/>
      <c r="Y1236" s="62"/>
      <c r="Z1236" s="64"/>
      <c r="AA1236" s="164"/>
      <c r="AB1236" s="62"/>
      <c r="AC1236" s="62"/>
      <c r="AD1236" s="64"/>
      <c r="AE1236" s="164"/>
      <c r="AF1236" s="62"/>
      <c r="AG1236" s="64"/>
      <c r="AH1236" s="337"/>
      <c r="AI1236" s="337"/>
      <c r="AJ1236" s="337"/>
      <c r="AK1236" s="337"/>
      <c r="AL1236" s="414"/>
      <c r="AM1236" s="414"/>
      <c r="AN1236" s="45"/>
      <c r="AO1236" s="45"/>
      <c r="AP1236" s="45"/>
      <c r="AQ1236" s="485">
        <f>AL1236/BI1236</f>
        <v>0</v>
      </c>
      <c r="AR1236" s="485" t="e">
        <f>BL1236/BH1236</f>
        <v>#DIV/0!</v>
      </c>
      <c r="AS1236" s="100"/>
      <c r="AT1236" s="100"/>
      <c r="AU1236" s="100"/>
      <c r="AV1236" s="100"/>
      <c r="AW1236" s="18">
        <v>26</v>
      </c>
      <c r="AX1236" s="69" t="s">
        <v>301</v>
      </c>
      <c r="AY1236" s="243" t="s">
        <v>65</v>
      </c>
      <c r="AZ1236" s="243" t="str">
        <f t="shared" si="511"/>
        <v>Chum</v>
      </c>
      <c r="BA1236" s="243" t="s">
        <v>419</v>
      </c>
      <c r="BB1236" s="246"/>
      <c r="BC1236" s="43" t="str">
        <f t="shared" si="512"/>
        <v>-</v>
      </c>
      <c r="BD1236" s="43">
        <f t="shared" si="510"/>
        <v>0</v>
      </c>
      <c r="BE1236" s="193">
        <f t="shared" si="524"/>
        <v>0</v>
      </c>
      <c r="BF1236" s="193">
        <f t="shared" si="513"/>
        <v>0</v>
      </c>
      <c r="BG1236" s="193">
        <f t="shared" si="514"/>
        <v>0</v>
      </c>
      <c r="BH1236" s="307">
        <f t="shared" si="499"/>
        <v>0</v>
      </c>
      <c r="BI1236" s="265">
        <f>CC1236</f>
        <v>1660</v>
      </c>
      <c r="BJ1236" s="26" t="str">
        <f t="shared" si="515"/>
        <v>NARROWGUT CREEKChum</v>
      </c>
      <c r="BK1236" s="26">
        <f t="shared" si="516"/>
        <v>0</v>
      </c>
      <c r="BL1236" s="33">
        <f t="shared" si="502"/>
        <v>0</v>
      </c>
      <c r="BQ1236" s="47" t="str">
        <f t="shared" si="517"/>
        <v>NARROWGUT CREEKChum</v>
      </c>
      <c r="BR1236" s="49">
        <f t="shared" si="518"/>
        <v>0</v>
      </c>
      <c r="BS1236" s="49">
        <f t="shared" si="500"/>
        <v>0</v>
      </c>
      <c r="BT1236" s="31">
        <v>2014</v>
      </c>
      <c r="BU1236" s="188">
        <f t="shared" si="519"/>
        <v>0</v>
      </c>
      <c r="BV1236" s="188" t="str">
        <f t="shared" si="523"/>
        <v xml:space="preserve"> </v>
      </c>
      <c r="BW1236" s="188" t="str">
        <f t="shared" si="501"/>
        <v xml:space="preserve"> </v>
      </c>
      <c r="BX1236" s="188" t="str">
        <f t="shared" si="520"/>
        <v xml:space="preserve"> </v>
      </c>
      <c r="BY1236" s="50" t="str">
        <f t="shared" si="509"/>
        <v>NARROWGUT CREEK_Chum</v>
      </c>
      <c r="BZ1236" s="50" t="str">
        <f>IFERROR(VLOOKUP(BY1236,'[1]WCVI Esc'!$C$5:$W$555,18,FALSE),"-")</f>
        <v>-</v>
      </c>
      <c r="CA1236" s="50" t="str">
        <f t="shared" si="521"/>
        <v>-</v>
      </c>
      <c r="CB1236" s="50">
        <f>IFERROR(VLOOKUP(BY1236,'[1]WCVI Esc'!$C$5:$W$555,19,FALSE),"-")</f>
        <v>1658.25</v>
      </c>
      <c r="CC1236" s="50">
        <f t="shared" si="522"/>
        <v>1660</v>
      </c>
      <c r="CE1236" s="342" t="str">
        <f t="shared" si="508"/>
        <v>NARROWGUT CREEK_Chum</v>
      </c>
      <c r="CF1236" s="341">
        <f>IFERROR(VLOOKUP(BY1236,'RawPL+D'!$O$8:$AB$503,12,FALSE),"-")</f>
        <v>0</v>
      </c>
      <c r="CG1236" s="338">
        <f t="shared" si="506"/>
        <v>0</v>
      </c>
      <c r="CH1236" s="341">
        <f>IFERROR(VLOOKUP(BY1236,'RawPL+D'!$O$8:$AB$503,13,FALSE),"-")</f>
        <v>0</v>
      </c>
      <c r="CI1236" s="338">
        <f t="shared" si="507"/>
        <v>0</v>
      </c>
    </row>
    <row r="1237" spans="1:87" ht="12.75" hidden="1" customHeight="1" x14ac:dyDescent="0.2">
      <c r="A1237" s="28">
        <v>4</v>
      </c>
      <c r="B1237" s="28">
        <v>5</v>
      </c>
      <c r="C1237" s="11">
        <v>26</v>
      </c>
      <c r="D1237" s="148" t="s">
        <v>301</v>
      </c>
      <c r="E1237" s="10" t="s">
        <v>65</v>
      </c>
      <c r="F1237" s="10" t="s">
        <v>210</v>
      </c>
      <c r="G1237" s="10"/>
      <c r="H1237" s="10"/>
      <c r="I1237" s="10"/>
      <c r="J1237" s="10"/>
      <c r="K1237" s="575"/>
      <c r="L1237" s="152"/>
      <c r="M1237" s="422"/>
      <c r="N1237" s="339"/>
      <c r="O1237" s="62"/>
      <c r="P1237" s="424"/>
      <c r="Q1237" s="171"/>
      <c r="R1237" s="94"/>
      <c r="S1237" s="339"/>
      <c r="T1237" s="63"/>
      <c r="U1237" s="162"/>
      <c r="V1237" s="164"/>
      <c r="W1237" s="62"/>
      <c r="X1237" s="63"/>
      <c r="Y1237" s="62"/>
      <c r="Z1237" s="64"/>
      <c r="AA1237" s="164"/>
      <c r="AB1237" s="62"/>
      <c r="AC1237" s="62"/>
      <c r="AD1237" s="64"/>
      <c r="AE1237" s="164"/>
      <c r="AF1237" s="62"/>
      <c r="AG1237" s="64"/>
      <c r="AH1237" s="337"/>
      <c r="AI1237" s="337"/>
      <c r="AJ1237" s="337"/>
      <c r="AK1237" s="337"/>
      <c r="AL1237" s="414"/>
      <c r="AM1237" s="414"/>
      <c r="AN1237" s="45"/>
      <c r="AO1237" s="45"/>
      <c r="AP1237" s="45"/>
      <c r="AQ1237" s="485"/>
      <c r="AR1237"/>
      <c r="AS1237" s="100"/>
      <c r="AT1237" s="100"/>
      <c r="AU1237" s="100"/>
      <c r="AV1237" s="100"/>
      <c r="AW1237" s="18">
        <v>26</v>
      </c>
      <c r="AX1237" s="69" t="s">
        <v>301</v>
      </c>
      <c r="AY1237" s="243" t="s">
        <v>65</v>
      </c>
      <c r="AZ1237" s="243" t="str">
        <f t="shared" si="511"/>
        <v>Chinook</v>
      </c>
      <c r="BA1237" s="243" t="s">
        <v>419</v>
      </c>
      <c r="BB1237" s="246"/>
      <c r="BC1237" s="43" t="str">
        <f t="shared" si="512"/>
        <v>-</v>
      </c>
      <c r="BD1237" s="43">
        <f t="shared" si="510"/>
        <v>0</v>
      </c>
      <c r="BE1237" s="193">
        <f t="shared" si="524"/>
        <v>0</v>
      </c>
      <c r="BF1237" s="193">
        <f t="shared" si="513"/>
        <v>0</v>
      </c>
      <c r="BG1237" s="193">
        <f t="shared" si="514"/>
        <v>0</v>
      </c>
      <c r="BH1237" s="307" t="str">
        <f t="shared" si="499"/>
        <v>-</v>
      </c>
      <c r="BI1237" s="265">
        <f>CC1237</f>
        <v>0</v>
      </c>
      <c r="BJ1237" s="26" t="str">
        <f t="shared" si="515"/>
        <v>NARROWGUT CREEKChinook</v>
      </c>
      <c r="BK1237" s="26">
        <f t="shared" si="516"/>
        <v>0</v>
      </c>
      <c r="BL1237" s="33">
        <f t="shared" si="502"/>
        <v>0</v>
      </c>
      <c r="BQ1237" s="47" t="str">
        <f t="shared" si="517"/>
        <v>NARROWGUT CREEKChinook</v>
      </c>
      <c r="BR1237" s="49">
        <f t="shared" si="518"/>
        <v>0</v>
      </c>
      <c r="BS1237" s="49">
        <f t="shared" si="500"/>
        <v>0</v>
      </c>
      <c r="BT1237" s="31">
        <v>2011</v>
      </c>
      <c r="BU1237" s="188">
        <f t="shared" si="519"/>
        <v>0</v>
      </c>
      <c r="BV1237" s="188" t="str">
        <f t="shared" si="523"/>
        <v xml:space="preserve"> </v>
      </c>
      <c r="BW1237" s="188" t="str">
        <f t="shared" si="501"/>
        <v xml:space="preserve"> </v>
      </c>
      <c r="BX1237" s="188" t="str">
        <f t="shared" si="520"/>
        <v xml:space="preserve"> </v>
      </c>
      <c r="BY1237" s="50" t="str">
        <f t="shared" si="509"/>
        <v>NARROWGUT CREEK_Chinook</v>
      </c>
      <c r="BZ1237" s="50" t="str">
        <f>IFERROR(VLOOKUP(BY1237,'[1]WCVI Esc'!$C$5:$W$555,18,FALSE),"-")</f>
        <v>-</v>
      </c>
      <c r="CA1237" s="50" t="str">
        <f t="shared" si="521"/>
        <v>-</v>
      </c>
      <c r="CB1237" s="50">
        <f>IFERROR(VLOOKUP(BY1237,'[1]WCVI Esc'!$C$5:$W$555,19,FALSE),"-")</f>
        <v>2</v>
      </c>
      <c r="CC1237" s="50">
        <f t="shared" si="522"/>
        <v>0</v>
      </c>
      <c r="CE1237" s="342" t="str">
        <f t="shared" si="508"/>
        <v>NARROWGUT CREEK_Chinook</v>
      </c>
      <c r="CF1237" s="341">
        <f>IFERROR(VLOOKUP(BY1237,'RawPL+D'!$O$8:$AB$503,12,FALSE),"-")</f>
        <v>0</v>
      </c>
      <c r="CG1237" s="338">
        <f t="shared" si="506"/>
        <v>0</v>
      </c>
      <c r="CH1237" s="341" t="str">
        <f>IFERROR(VLOOKUP(BY1237,'RawPL+D'!$O$8:$AB$503,13,FALSE),"-")</f>
        <v>-</v>
      </c>
      <c r="CI1237" s="338" t="str">
        <f t="shared" si="507"/>
        <v>-</v>
      </c>
    </row>
    <row r="1238" spans="1:87" ht="12.75" hidden="1" customHeight="1" x14ac:dyDescent="0.2">
      <c r="A1238" s="28">
        <v>4</v>
      </c>
      <c r="B1238" s="28">
        <v>6</v>
      </c>
      <c r="C1238" s="11">
        <v>26</v>
      </c>
      <c r="D1238" s="148" t="s">
        <v>301</v>
      </c>
      <c r="E1238" s="10" t="s">
        <v>65</v>
      </c>
      <c r="F1238" s="10" t="s">
        <v>211</v>
      </c>
      <c r="G1238" s="10"/>
      <c r="H1238" s="10"/>
      <c r="I1238" s="10"/>
      <c r="J1238" s="10"/>
      <c r="K1238" s="575"/>
      <c r="L1238" s="152"/>
      <c r="M1238" s="422"/>
      <c r="N1238" s="339"/>
      <c r="O1238" s="62"/>
      <c r="P1238" s="424"/>
      <c r="Q1238" s="171"/>
      <c r="R1238" s="94"/>
      <c r="S1238" s="339"/>
      <c r="T1238" s="63"/>
      <c r="U1238" s="162"/>
      <c r="V1238" s="164"/>
      <c r="W1238" s="62"/>
      <c r="X1238" s="63"/>
      <c r="Y1238" s="62"/>
      <c r="Z1238" s="64"/>
      <c r="AA1238" s="164"/>
      <c r="AB1238" s="62"/>
      <c r="AC1238" s="62"/>
      <c r="AD1238" s="64"/>
      <c r="AE1238" s="164"/>
      <c r="AF1238" s="62"/>
      <c r="AG1238" s="64"/>
      <c r="AH1238" s="337"/>
      <c r="AI1238" s="337"/>
      <c r="AJ1238" s="337"/>
      <c r="AK1238" s="337"/>
      <c r="AL1238" s="414"/>
      <c r="AM1238" s="414"/>
      <c r="AN1238" s="45"/>
      <c r="AO1238" s="45"/>
      <c r="AP1238" s="45"/>
      <c r="AQ1238" s="485"/>
      <c r="AR1238"/>
      <c r="AS1238" s="24"/>
      <c r="AT1238" s="24"/>
      <c r="AU1238" s="24"/>
      <c r="AV1238" s="24"/>
      <c r="AW1238" s="18">
        <v>26</v>
      </c>
      <c r="AX1238" s="69" t="s">
        <v>301</v>
      </c>
      <c r="AY1238" s="243" t="s">
        <v>65</v>
      </c>
      <c r="AZ1238" s="243" t="str">
        <f t="shared" si="511"/>
        <v>Steelhead</v>
      </c>
      <c r="BA1238" s="243" t="s">
        <v>419</v>
      </c>
      <c r="BB1238" s="246"/>
      <c r="BC1238" s="43" t="str">
        <f t="shared" si="512"/>
        <v>-</v>
      </c>
      <c r="BD1238" s="43">
        <f t="shared" si="510"/>
        <v>0</v>
      </c>
      <c r="BE1238" s="193">
        <f t="shared" si="524"/>
        <v>0</v>
      </c>
      <c r="BF1238" s="193">
        <f t="shared" si="513"/>
        <v>0</v>
      </c>
      <c r="BG1238" s="193">
        <f t="shared" si="514"/>
        <v>0</v>
      </c>
      <c r="BH1238" s="307" t="str">
        <f t="shared" si="499"/>
        <v>-</v>
      </c>
      <c r="BI1238" s="265"/>
      <c r="BJ1238" s="26" t="str">
        <f t="shared" si="515"/>
        <v>NARROWGUT CREEKSteelhead</v>
      </c>
      <c r="BK1238" s="26">
        <f t="shared" si="516"/>
        <v>0</v>
      </c>
      <c r="BL1238" s="33">
        <f t="shared" si="502"/>
        <v>0</v>
      </c>
      <c r="BQ1238" s="47" t="str">
        <f t="shared" si="517"/>
        <v>NARROWGUT CREEKSteelhead</v>
      </c>
      <c r="BR1238" s="49">
        <f t="shared" si="518"/>
        <v>0</v>
      </c>
      <c r="BS1238" s="49">
        <f t="shared" si="500"/>
        <v>0</v>
      </c>
      <c r="BT1238" s="31">
        <v>0</v>
      </c>
      <c r="BU1238" s="188">
        <f t="shared" si="519"/>
        <v>0</v>
      </c>
      <c r="BV1238" s="188" t="str">
        <f t="shared" si="523"/>
        <v xml:space="preserve"> </v>
      </c>
      <c r="BW1238" s="188" t="str">
        <f t="shared" si="501"/>
        <v xml:space="preserve"> </v>
      </c>
      <c r="BX1238" s="188" t="str">
        <f t="shared" si="520"/>
        <v xml:space="preserve"> </v>
      </c>
      <c r="BY1238" s="50" t="str">
        <f t="shared" si="509"/>
        <v>NARROWGUT CREEK_Steelhead</v>
      </c>
      <c r="BZ1238" s="50" t="str">
        <f>IFERROR(VLOOKUP(BY1238,'[1]WCVI Esc'!$C$5:$W$555,18,FALSE),"-")</f>
        <v>-</v>
      </c>
      <c r="CA1238" s="50" t="str">
        <f t="shared" si="521"/>
        <v>-</v>
      </c>
      <c r="CB1238" s="50" t="str">
        <f>IFERROR(VLOOKUP(BY1238,'[1]WCVI Esc'!$C$5:$W$555,19,FALSE),"-")</f>
        <v>-</v>
      </c>
      <c r="CC1238" s="50" t="str">
        <f t="shared" si="522"/>
        <v>-</v>
      </c>
      <c r="CE1238" s="342" t="str">
        <f t="shared" si="508"/>
        <v>NARROWGUT CREEK_Steelhead</v>
      </c>
      <c r="CF1238" s="341" t="str">
        <f>IFERROR(VLOOKUP(BY1238,'RawPL+D'!$O$8:$AB$503,12,FALSE),"-")</f>
        <v>-</v>
      </c>
      <c r="CG1238" s="338" t="str">
        <f t="shared" si="506"/>
        <v>-</v>
      </c>
      <c r="CH1238" s="341" t="str">
        <f>IFERROR(VLOOKUP(BY1238,'RawPL+D'!$O$8:$AB$503,13,FALSE),"-")</f>
        <v>-</v>
      </c>
      <c r="CI1238" s="338" t="str">
        <f t="shared" si="507"/>
        <v>-</v>
      </c>
    </row>
    <row r="1239" spans="1:87" ht="12.75" hidden="1" customHeight="1" x14ac:dyDescent="0.2">
      <c r="A1239" s="28">
        <v>2</v>
      </c>
      <c r="B1239" s="28">
        <v>1</v>
      </c>
      <c r="C1239" s="11">
        <v>27</v>
      </c>
      <c r="D1239" s="13" t="s">
        <v>302</v>
      </c>
      <c r="E1239" s="10" t="s">
        <v>68</v>
      </c>
      <c r="F1239" s="10" t="s">
        <v>207</v>
      </c>
      <c r="G1239" s="10"/>
      <c r="H1239" s="10"/>
      <c r="I1239" s="10"/>
      <c r="J1239" s="10"/>
      <c r="K1239" s="575"/>
      <c r="L1239" s="792">
        <v>4</v>
      </c>
      <c r="M1239" s="422"/>
      <c r="N1239" s="358"/>
      <c r="O1239" s="853">
        <v>0</v>
      </c>
      <c r="P1239" s="854">
        <v>1</v>
      </c>
      <c r="Q1239" s="855">
        <v>4</v>
      </c>
      <c r="R1239" s="470"/>
      <c r="S1239" s="358"/>
      <c r="T1239" s="853">
        <v>1</v>
      </c>
      <c r="U1239" s="859">
        <v>2</v>
      </c>
      <c r="V1239" s="472"/>
      <c r="W1239" s="62"/>
      <c r="X1239" s="358"/>
      <c r="Y1239" s="62"/>
      <c r="Z1239" s="64"/>
      <c r="AA1239" s="164"/>
      <c r="AB1239" s="62"/>
      <c r="AC1239" s="62"/>
      <c r="AD1239" s="64"/>
      <c r="AE1239" s="164"/>
      <c r="AF1239" s="62"/>
      <c r="AG1239" s="64"/>
      <c r="AH1239" s="14">
        <v>8</v>
      </c>
      <c r="AI1239" s="14">
        <v>0</v>
      </c>
      <c r="AJ1239" s="14">
        <v>0</v>
      </c>
      <c r="AK1239" s="14">
        <v>0</v>
      </c>
      <c r="AL1239" s="14">
        <v>8</v>
      </c>
      <c r="AM1239" s="14">
        <v>8</v>
      </c>
      <c r="AN1239" s="552" t="s">
        <v>765</v>
      </c>
      <c r="AO1239" s="552" t="s">
        <v>786</v>
      </c>
      <c r="AP1239" s="44"/>
      <c r="AQ1239" s="485"/>
      <c r="AR1239"/>
      <c r="AS1239"/>
      <c r="AT1239" s="100"/>
      <c r="AU1239" s="100"/>
      <c r="AV1239" s="100"/>
      <c r="AW1239" s="18">
        <v>27</v>
      </c>
      <c r="AX1239" s="69" t="s">
        <v>302</v>
      </c>
      <c r="AY1239" s="243" t="s">
        <v>68</v>
      </c>
      <c r="AZ1239" s="243" t="str">
        <f t="shared" si="511"/>
        <v>Sockeye</v>
      </c>
      <c r="BA1239" s="243" t="s">
        <v>419</v>
      </c>
      <c r="BB1239" s="244" t="s">
        <v>628</v>
      </c>
      <c r="BC1239" s="43" t="str">
        <f t="shared" si="512"/>
        <v>Oct 29-Nov4</v>
      </c>
      <c r="BD1239" s="43">
        <f t="shared" si="510"/>
        <v>6</v>
      </c>
      <c r="BE1239" s="193">
        <f t="shared" si="524"/>
        <v>4</v>
      </c>
      <c r="BF1239" s="193">
        <f t="shared" si="513"/>
        <v>8</v>
      </c>
      <c r="BG1239" s="193">
        <f t="shared" si="514"/>
        <v>8</v>
      </c>
      <c r="BH1239" s="307">
        <f t="shared" si="499"/>
        <v>0</v>
      </c>
      <c r="BI1239" s="265">
        <f t="shared" ref="BI1239:BI1247" si="525">CC1239</f>
        <v>10</v>
      </c>
      <c r="BJ1239" s="26" t="str">
        <f t="shared" si="515"/>
        <v>CAYEGHLE SYSTEMSockeye</v>
      </c>
      <c r="BK1239" s="26">
        <f t="shared" si="516"/>
        <v>6</v>
      </c>
      <c r="BL1239" s="33">
        <f t="shared" si="502"/>
        <v>4</v>
      </c>
      <c r="BQ1239" s="47" t="str">
        <f t="shared" si="517"/>
        <v>CAYEGHLE SYSTEMSockeye</v>
      </c>
      <c r="BR1239" s="49">
        <f t="shared" si="518"/>
        <v>0</v>
      </c>
      <c r="BS1239" s="49">
        <f t="shared" si="500"/>
        <v>8</v>
      </c>
      <c r="BT1239" s="31">
        <v>2016</v>
      </c>
      <c r="BU1239" s="188" t="str">
        <f t="shared" si="519"/>
        <v>Wildcoast/Quatsino</v>
      </c>
      <c r="BV1239" s="188" t="str">
        <f t="shared" si="523"/>
        <v>Oct 1-7</v>
      </c>
      <c r="BW1239" s="188" t="str">
        <f t="shared" si="501"/>
        <v>Oct 29-Nov4</v>
      </c>
      <c r="BX1239" s="188" t="str">
        <f t="shared" si="520"/>
        <v xml:space="preserve"> </v>
      </c>
      <c r="BY1239" s="50" t="str">
        <f t="shared" ref="BY1239:BY1244" si="526">CONCATENATE("COLONIAL/CAYEGHLE CREEKS","_",F1239)</f>
        <v>COLONIAL/CAYEGHLE CREEKS_Sockeye</v>
      </c>
      <c r="BZ1239" s="50">
        <f>IFERROR(VLOOKUP(BY1239,'[1]WCVI Esc'!$C$5:$W$555,18,FALSE),"-")</f>
        <v>8</v>
      </c>
      <c r="CA1239" s="50">
        <f t="shared" si="521"/>
        <v>10</v>
      </c>
      <c r="CB1239" s="50">
        <f>IFERROR(VLOOKUP(BY1239,'[1]WCVI Esc'!$C$5:$W$555,19,FALSE),"-")</f>
        <v>5.5</v>
      </c>
      <c r="CC1239" s="50">
        <f t="shared" si="522"/>
        <v>10</v>
      </c>
      <c r="CE1239" s="342" t="str">
        <f t="shared" si="508"/>
        <v>CAYEGHLE SYSTEM_Sockeye</v>
      </c>
      <c r="CF1239" s="341">
        <f>IFERROR(VLOOKUP(BY1239,'RawPL+D'!$O$8:$AB$503,12,FALSE),"-")</f>
        <v>6</v>
      </c>
      <c r="CG1239" s="338">
        <f t="shared" si="506"/>
        <v>10</v>
      </c>
      <c r="CH1239" s="341">
        <f>IFERROR(VLOOKUP(BY1239,'RawPL+D'!$O$8:$AB$503,13,FALSE),"-")</f>
        <v>2</v>
      </c>
      <c r="CI1239" s="338">
        <f t="shared" si="507"/>
        <v>0</v>
      </c>
    </row>
    <row r="1240" spans="1:87" ht="12.75" hidden="1" customHeight="1" x14ac:dyDescent="0.2">
      <c r="A1240" s="28">
        <v>2</v>
      </c>
      <c r="B1240" s="28">
        <v>2</v>
      </c>
      <c r="C1240" s="11">
        <v>27</v>
      </c>
      <c r="D1240" s="13" t="s">
        <v>302</v>
      </c>
      <c r="E1240" s="10" t="s">
        <v>68</v>
      </c>
      <c r="F1240" s="10" t="s">
        <v>219</v>
      </c>
      <c r="G1240" s="10"/>
      <c r="H1240" s="10"/>
      <c r="I1240" s="10"/>
      <c r="J1240" s="10"/>
      <c r="K1240" s="575"/>
      <c r="L1240" s="792">
        <v>0</v>
      </c>
      <c r="M1240" s="469"/>
      <c r="N1240" s="555"/>
      <c r="O1240" s="853">
        <f>35+70</f>
        <v>105</v>
      </c>
      <c r="P1240" s="856">
        <f>244+111</f>
        <v>355</v>
      </c>
      <c r="Q1240" s="855">
        <f>239+204</f>
        <v>443</v>
      </c>
      <c r="R1240" s="358"/>
      <c r="S1240" s="470"/>
      <c r="T1240" s="853">
        <f>281+197</f>
        <v>478</v>
      </c>
      <c r="U1240" s="859">
        <f>211+214</f>
        <v>425</v>
      </c>
      <c r="V1240" s="472"/>
      <c r="W1240" s="432"/>
      <c r="X1240" s="562"/>
      <c r="Y1240" s="62"/>
      <c r="Z1240" s="64"/>
      <c r="AA1240" s="164"/>
      <c r="AB1240" s="62"/>
      <c r="AC1240" s="62"/>
      <c r="AD1240" s="64"/>
      <c r="AE1240" s="164"/>
      <c r="AF1240" s="62"/>
      <c r="AG1240" s="64"/>
      <c r="AH1240" s="14">
        <f>547+648</f>
        <v>1195</v>
      </c>
      <c r="AI1240" s="14">
        <v>52</v>
      </c>
      <c r="AJ1240" s="14">
        <v>0</v>
      </c>
      <c r="AK1240" s="14">
        <v>0</v>
      </c>
      <c r="AL1240" s="14">
        <v>1195</v>
      </c>
      <c r="AM1240" s="14">
        <v>1546</v>
      </c>
      <c r="AN1240" s="552" t="s">
        <v>768</v>
      </c>
      <c r="AO1240" s="552" t="s">
        <v>786</v>
      </c>
      <c r="AP1240" s="44"/>
      <c r="AQ1240" s="485">
        <f>AL1240/BI1240</f>
        <v>1.1950000000000001</v>
      </c>
      <c r="AR1240" s="485">
        <f>BL1240/BH1240</f>
        <v>0.69275362318840583</v>
      </c>
      <c r="AS1240" s="100">
        <f>BL1240/BI1240</f>
        <v>0.47799999999999998</v>
      </c>
      <c r="AT1240" s="100"/>
      <c r="AU1240" s="100"/>
      <c r="AV1240" s="100"/>
      <c r="AW1240" s="18">
        <v>27</v>
      </c>
      <c r="AX1240" s="69" t="s">
        <v>302</v>
      </c>
      <c r="AY1240" s="243" t="s">
        <v>68</v>
      </c>
      <c r="AZ1240" s="243" t="str">
        <f t="shared" si="511"/>
        <v>Coho</v>
      </c>
      <c r="BA1240" s="243" t="s">
        <v>419</v>
      </c>
      <c r="BB1240" s="244" t="s">
        <v>628</v>
      </c>
      <c r="BC1240" s="43" t="str">
        <f t="shared" si="512"/>
        <v>Oct 29-Nov4</v>
      </c>
      <c r="BD1240" s="43">
        <f t="shared" si="510"/>
        <v>6</v>
      </c>
      <c r="BE1240" s="193">
        <f t="shared" si="524"/>
        <v>478</v>
      </c>
      <c r="BF1240" s="193">
        <f t="shared" si="513"/>
        <v>1195</v>
      </c>
      <c r="BG1240" s="193">
        <f t="shared" si="514"/>
        <v>1195</v>
      </c>
      <c r="BH1240" s="307">
        <f t="shared" si="499"/>
        <v>690</v>
      </c>
      <c r="BI1240" s="265">
        <f t="shared" si="525"/>
        <v>1000</v>
      </c>
      <c r="BJ1240" s="26" t="str">
        <f t="shared" si="515"/>
        <v>CAYEGHLE SYSTEMCoho</v>
      </c>
      <c r="BK1240" s="26">
        <f t="shared" si="516"/>
        <v>6</v>
      </c>
      <c r="BL1240" s="33">
        <f t="shared" si="502"/>
        <v>478</v>
      </c>
      <c r="BQ1240" s="47" t="str">
        <f t="shared" si="517"/>
        <v>CAYEGHLE SYSTEMCoho</v>
      </c>
      <c r="BR1240" s="49">
        <f t="shared" si="518"/>
        <v>0</v>
      </c>
      <c r="BS1240" s="49">
        <f t="shared" si="500"/>
        <v>1195</v>
      </c>
      <c r="BT1240" s="31">
        <v>2016</v>
      </c>
      <c r="BU1240" s="188" t="str">
        <f t="shared" si="519"/>
        <v>Wildcoast/Quatsino</v>
      </c>
      <c r="BV1240" s="188" t="str">
        <f t="shared" si="523"/>
        <v>Oct 1-7</v>
      </c>
      <c r="BW1240" s="188" t="str">
        <f t="shared" si="501"/>
        <v>Oct 29-Nov4</v>
      </c>
      <c r="BX1240" s="188" t="str">
        <f t="shared" si="520"/>
        <v xml:space="preserve"> </v>
      </c>
      <c r="BY1240" s="50" t="str">
        <f t="shared" si="526"/>
        <v>COLONIAL/CAYEGHLE CREEKS_Coho</v>
      </c>
      <c r="BZ1240" s="50">
        <f>IFERROR(VLOOKUP(BY1240,'[1]WCVI Esc'!$C$5:$W$555,18,FALSE),"-")</f>
        <v>1467.6666666666667</v>
      </c>
      <c r="CA1240" s="50">
        <f t="shared" si="521"/>
        <v>1470</v>
      </c>
      <c r="CB1240" s="50">
        <f>IFERROR(VLOOKUP(BY1240,'[1]WCVI Esc'!$C$5:$W$555,19,FALSE),"-")</f>
        <v>1003.1818181818181</v>
      </c>
      <c r="CC1240" s="50">
        <f t="shared" si="522"/>
        <v>1000</v>
      </c>
      <c r="CE1240" s="342" t="s">
        <v>385</v>
      </c>
      <c r="CF1240" s="341">
        <f>IFERROR(VLOOKUP(CE1240,'RawPL+D'!$O$8:$AB$503,12,FALSE),"-")</f>
        <v>713</v>
      </c>
      <c r="CG1240" s="338">
        <f t="shared" si="506"/>
        <v>710</v>
      </c>
      <c r="CH1240" s="341">
        <f>IFERROR(VLOOKUP(BY1240,'RawPL+D'!$O$8:$AB$503,13,FALSE),"-")</f>
        <v>685.5</v>
      </c>
      <c r="CI1240" s="338">
        <f t="shared" si="507"/>
        <v>690</v>
      </c>
    </row>
    <row r="1241" spans="1:87" ht="12.75" hidden="1" customHeight="1" x14ac:dyDescent="0.2">
      <c r="A1241" s="28">
        <v>2</v>
      </c>
      <c r="B1241" s="28">
        <v>3</v>
      </c>
      <c r="C1241" s="11">
        <v>27</v>
      </c>
      <c r="D1241" s="13" t="s">
        <v>302</v>
      </c>
      <c r="E1241" s="10" t="s">
        <v>68</v>
      </c>
      <c r="F1241" s="10" t="s">
        <v>208</v>
      </c>
      <c r="G1241" s="10"/>
      <c r="H1241" s="10"/>
      <c r="I1241" s="10"/>
      <c r="J1241" s="10"/>
      <c r="K1241" s="575"/>
      <c r="L1241" s="792">
        <v>0</v>
      </c>
      <c r="M1241" s="422"/>
      <c r="N1241" s="358"/>
      <c r="O1241" s="853">
        <v>0</v>
      </c>
      <c r="P1241" s="857">
        <v>0</v>
      </c>
      <c r="Q1241" s="855">
        <v>0</v>
      </c>
      <c r="R1241" s="358"/>
      <c r="S1241" s="358"/>
      <c r="T1241" s="853">
        <v>0</v>
      </c>
      <c r="U1241" s="859">
        <v>0</v>
      </c>
      <c r="V1241" s="472"/>
      <c r="W1241" s="62"/>
      <c r="X1241" s="358"/>
      <c r="Y1241" s="62"/>
      <c r="Z1241" s="64"/>
      <c r="AA1241" s="164"/>
      <c r="AB1241" s="62"/>
      <c r="AC1241" s="62"/>
      <c r="AD1241" s="64"/>
      <c r="AE1241" s="164"/>
      <c r="AF1241" s="62"/>
      <c r="AG1241" s="64"/>
      <c r="AH1241" s="14"/>
      <c r="AI1241" s="14"/>
      <c r="AJ1241" s="14"/>
      <c r="AK1241" s="14"/>
      <c r="AL1241" s="14" t="s">
        <v>770</v>
      </c>
      <c r="AM1241" s="14"/>
      <c r="AN1241" s="552" t="s">
        <v>787</v>
      </c>
      <c r="AO1241" s="552" t="s">
        <v>785</v>
      </c>
      <c r="AP1241" s="44"/>
      <c r="AQ1241" s="485" t="e">
        <f>AL1241/BI1241</f>
        <v>#VALUE!</v>
      </c>
      <c r="AR1241" s="100" t="e">
        <f>BL1241/BH1241</f>
        <v>#DIV/0!</v>
      </c>
      <c r="AS1241" s="100">
        <f>BL1241/BI1241</f>
        <v>0</v>
      </c>
      <c r="AT1241" s="100"/>
      <c r="AU1241" s="100"/>
      <c r="AV1241" s="100"/>
      <c r="AW1241" s="18">
        <v>27</v>
      </c>
      <c r="AX1241" s="69" t="s">
        <v>302</v>
      </c>
      <c r="AY1241" s="243" t="s">
        <v>68</v>
      </c>
      <c r="AZ1241" s="243" t="str">
        <f t="shared" si="511"/>
        <v>Pink</v>
      </c>
      <c r="BA1241" s="243" t="s">
        <v>419</v>
      </c>
      <c r="BB1241" s="244" t="s">
        <v>628</v>
      </c>
      <c r="BC1241" s="43" t="str">
        <f t="shared" si="512"/>
        <v>Oct 29-Nov4</v>
      </c>
      <c r="BD1241" s="43">
        <f t="shared" si="510"/>
        <v>6</v>
      </c>
      <c r="BE1241" s="193">
        <f t="shared" si="524"/>
        <v>0</v>
      </c>
      <c r="BF1241" s="193" t="str">
        <f t="shared" si="513"/>
        <v>NO</v>
      </c>
      <c r="BG1241" s="193">
        <f t="shared" si="514"/>
        <v>0</v>
      </c>
      <c r="BH1241" s="307">
        <f t="shared" si="499"/>
        <v>0</v>
      </c>
      <c r="BI1241" s="265">
        <f t="shared" si="525"/>
        <v>10</v>
      </c>
      <c r="BJ1241" s="26" t="str">
        <f t="shared" si="515"/>
        <v>CAYEGHLE SYSTEMPink</v>
      </c>
      <c r="BK1241" s="26">
        <f t="shared" si="516"/>
        <v>6</v>
      </c>
      <c r="BL1241" s="33">
        <f t="shared" si="502"/>
        <v>0</v>
      </c>
      <c r="BQ1241" s="47" t="str">
        <f t="shared" si="517"/>
        <v>CAYEGHLE SYSTEMPink</v>
      </c>
      <c r="BR1241" s="49">
        <f t="shared" si="518"/>
        <v>0</v>
      </c>
      <c r="BS1241" s="49" t="str">
        <f t="shared" si="500"/>
        <v>NO</v>
      </c>
      <c r="BT1241" s="31">
        <v>2016</v>
      </c>
      <c r="BU1241" s="188" t="str">
        <f t="shared" si="519"/>
        <v>Wildcoast/Quatsino</v>
      </c>
      <c r="BV1241" s="188" t="str">
        <f t="shared" si="523"/>
        <v>Oct 1-7</v>
      </c>
      <c r="BW1241" s="188" t="str">
        <f t="shared" si="501"/>
        <v>Oct 29-Nov4</v>
      </c>
      <c r="BX1241" s="188" t="str">
        <f t="shared" si="520"/>
        <v xml:space="preserve"> </v>
      </c>
      <c r="BY1241" s="50" t="str">
        <f t="shared" si="526"/>
        <v>COLONIAL/CAYEGHLE CREEKS_Pink</v>
      </c>
      <c r="BZ1241" s="50">
        <f>IFERROR(VLOOKUP(BY1241,'[1]WCVI Esc'!$C$5:$W$555,18,FALSE),"-")</f>
        <v>2.5</v>
      </c>
      <c r="CA1241" s="50">
        <f t="shared" si="521"/>
        <v>0</v>
      </c>
      <c r="CB1241" s="50">
        <f>IFERROR(VLOOKUP(BY1241,'[1]WCVI Esc'!$C$5:$W$555,19,FALSE),"-")</f>
        <v>8.8571428571428577</v>
      </c>
      <c r="CC1241" s="50">
        <f t="shared" si="522"/>
        <v>10</v>
      </c>
      <c r="CE1241" s="342" t="s">
        <v>386</v>
      </c>
      <c r="CF1241" s="341">
        <f>IFERROR(VLOOKUP(CE1241,'RawPL+D'!$O$8:$AB$503,12,FALSE),"-")</f>
        <v>2</v>
      </c>
      <c r="CG1241" s="338">
        <f t="shared" si="506"/>
        <v>0</v>
      </c>
      <c r="CH1241" s="341">
        <f>IFERROR(VLOOKUP(BY1241,'RawPL+D'!$O$8:$AB$503,13,FALSE),"-")</f>
        <v>1.6666666666666667</v>
      </c>
      <c r="CI1241" s="338">
        <f t="shared" si="507"/>
        <v>0</v>
      </c>
    </row>
    <row r="1242" spans="1:87" ht="12.75" hidden="1" customHeight="1" x14ac:dyDescent="0.2">
      <c r="A1242" s="28">
        <v>2</v>
      </c>
      <c r="B1242" s="28">
        <v>4</v>
      </c>
      <c r="C1242" s="11">
        <v>27</v>
      </c>
      <c r="D1242" s="13" t="s">
        <v>302</v>
      </c>
      <c r="E1242" s="10" t="s">
        <v>68</v>
      </c>
      <c r="F1242" s="10" t="s">
        <v>209</v>
      </c>
      <c r="G1242" s="10"/>
      <c r="H1242" s="10"/>
      <c r="I1242" s="10"/>
      <c r="J1242" s="10"/>
      <c r="K1242" s="575"/>
      <c r="L1242" s="792">
        <v>0</v>
      </c>
      <c r="M1242" s="422"/>
      <c r="N1242" s="358"/>
      <c r="O1242" s="853">
        <v>8</v>
      </c>
      <c r="P1242" s="857">
        <f>244+238</f>
        <v>482</v>
      </c>
      <c r="Q1242" s="858">
        <f>178+324</f>
        <v>502</v>
      </c>
      <c r="R1242" s="555"/>
      <c r="S1242" s="470"/>
      <c r="T1242" s="860">
        <f>874+3+1178+14</f>
        <v>2069</v>
      </c>
      <c r="U1242" s="861">
        <f>508+31+902</f>
        <v>1441</v>
      </c>
      <c r="V1242" s="471"/>
      <c r="W1242" s="390"/>
      <c r="X1242" s="470"/>
      <c r="Y1242" s="62"/>
      <c r="Z1242" s="64"/>
      <c r="AA1242" s="164"/>
      <c r="AB1242" s="62"/>
      <c r="AC1242" s="62"/>
      <c r="AD1242" s="64"/>
      <c r="AE1242" s="164"/>
      <c r="AF1242" s="62"/>
      <c r="AG1242" s="64"/>
      <c r="AH1242" s="14">
        <f>2713+1818</f>
        <v>4531</v>
      </c>
      <c r="AI1242" s="14">
        <v>0</v>
      </c>
      <c r="AJ1242" s="14">
        <v>0</v>
      </c>
      <c r="AK1242" s="14">
        <v>0</v>
      </c>
      <c r="AL1242" s="14">
        <v>4531</v>
      </c>
      <c r="AM1242" s="14">
        <v>3453</v>
      </c>
      <c r="AN1242" s="552" t="s">
        <v>768</v>
      </c>
      <c r="AO1242" s="552" t="s">
        <v>767</v>
      </c>
      <c r="AP1242" s="44"/>
      <c r="AQ1242" s="485">
        <f>AL1242/BI1242</f>
        <v>0.55188794153471377</v>
      </c>
      <c r="AR1242" s="485">
        <f>BL1242/BH1242</f>
        <v>1.4368055555555554</v>
      </c>
      <c r="AS1242" s="485">
        <f>BL1242/BI1242</f>
        <v>0.25200974421437272</v>
      </c>
      <c r="AT1242" s="100"/>
      <c r="AU1242" s="100"/>
      <c r="AV1242" s="100"/>
      <c r="AW1242" s="18">
        <v>27</v>
      </c>
      <c r="AX1242" s="69" t="s">
        <v>302</v>
      </c>
      <c r="AY1242" s="243" t="s">
        <v>68</v>
      </c>
      <c r="AZ1242" s="243" t="str">
        <f t="shared" si="511"/>
        <v>Chum</v>
      </c>
      <c r="BA1242" s="243" t="s">
        <v>419</v>
      </c>
      <c r="BB1242" s="244" t="s">
        <v>628</v>
      </c>
      <c r="BC1242" s="43" t="str">
        <f t="shared" si="512"/>
        <v>Oct 29-Nov4</v>
      </c>
      <c r="BD1242" s="43">
        <f t="shared" si="510"/>
        <v>6</v>
      </c>
      <c r="BE1242" s="193">
        <f t="shared" si="524"/>
        <v>2069</v>
      </c>
      <c r="BF1242" s="193">
        <f t="shared" si="513"/>
        <v>4531</v>
      </c>
      <c r="BG1242" s="193">
        <f t="shared" si="514"/>
        <v>4531</v>
      </c>
      <c r="BH1242" s="307">
        <f t="shared" si="499"/>
        <v>1440</v>
      </c>
      <c r="BI1242" s="265">
        <f t="shared" si="525"/>
        <v>8210</v>
      </c>
      <c r="BJ1242" s="26" t="str">
        <f t="shared" si="515"/>
        <v>CAYEGHLE SYSTEMChum</v>
      </c>
      <c r="BK1242" s="26">
        <f t="shared" si="516"/>
        <v>6</v>
      </c>
      <c r="BL1242" s="33">
        <f t="shared" si="502"/>
        <v>2069</v>
      </c>
      <c r="BQ1242" s="47" t="str">
        <f t="shared" si="517"/>
        <v>CAYEGHLE SYSTEMChum</v>
      </c>
      <c r="BR1242" s="49">
        <f t="shared" si="518"/>
        <v>0</v>
      </c>
      <c r="BS1242" s="49">
        <f t="shared" si="500"/>
        <v>4531</v>
      </c>
      <c r="BT1242" s="31">
        <v>2016</v>
      </c>
      <c r="BU1242" s="188" t="str">
        <f t="shared" si="519"/>
        <v>Wildcoast/Quatsino</v>
      </c>
      <c r="BV1242" s="188" t="str">
        <f t="shared" si="523"/>
        <v>Oct 1-7</v>
      </c>
      <c r="BW1242" s="188" t="str">
        <f t="shared" si="501"/>
        <v>Oct 29-Nov4</v>
      </c>
      <c r="BX1242" s="188" t="str">
        <f t="shared" si="520"/>
        <v xml:space="preserve"> </v>
      </c>
      <c r="BY1242" s="50" t="str">
        <f t="shared" si="526"/>
        <v>COLONIAL/CAYEGHLE CREEKS_Chum</v>
      </c>
      <c r="BZ1242" s="50">
        <f>IFERROR(VLOOKUP(BY1242,'[1]WCVI Esc'!$C$5:$W$555,18,FALSE),"-")</f>
        <v>3542.25</v>
      </c>
      <c r="CA1242" s="50">
        <f t="shared" si="521"/>
        <v>3540</v>
      </c>
      <c r="CB1242" s="50">
        <f>IFERROR(VLOOKUP(BY1242,'[1]WCVI Esc'!$C$5:$W$555,19,FALSE),"-")</f>
        <v>8212.5833333333339</v>
      </c>
      <c r="CC1242" s="50">
        <f t="shared" si="522"/>
        <v>8210</v>
      </c>
      <c r="CE1242" s="342" t="s">
        <v>387</v>
      </c>
      <c r="CF1242" s="341">
        <f>IFERROR(VLOOKUP(CE1242,'RawPL+D'!$O$8:$AB$503,12,FALSE),"-")</f>
        <v>1416</v>
      </c>
      <c r="CG1242" s="338">
        <f t="shared" si="506"/>
        <v>1420</v>
      </c>
      <c r="CH1242" s="341">
        <f>IFERROR(VLOOKUP(BY1242,'RawPL+D'!$O$8:$AB$503,13,FALSE),"-")</f>
        <v>1444</v>
      </c>
      <c r="CI1242" s="338">
        <f t="shared" si="507"/>
        <v>1440</v>
      </c>
    </row>
    <row r="1243" spans="1:87" ht="12.75" hidden="1" customHeight="1" x14ac:dyDescent="0.2">
      <c r="A1243" s="28">
        <v>2</v>
      </c>
      <c r="B1243" s="28">
        <v>5</v>
      </c>
      <c r="C1243" s="11">
        <v>27</v>
      </c>
      <c r="D1243" s="13" t="s">
        <v>302</v>
      </c>
      <c r="E1243" s="10" t="s">
        <v>68</v>
      </c>
      <c r="F1243" s="10" t="s">
        <v>210</v>
      </c>
      <c r="G1243" s="10"/>
      <c r="H1243" s="10"/>
      <c r="I1243" s="10"/>
      <c r="J1243" s="10"/>
      <c r="K1243" s="575"/>
      <c r="L1243" s="792">
        <v>0</v>
      </c>
      <c r="M1243" s="469"/>
      <c r="N1243" s="555"/>
      <c r="O1243" s="853">
        <f>14+98</f>
        <v>112</v>
      </c>
      <c r="P1243" s="857">
        <f>31+134</f>
        <v>165</v>
      </c>
      <c r="Q1243" s="858">
        <f>61+66</f>
        <v>127</v>
      </c>
      <c r="R1243" s="560"/>
      <c r="S1243" s="470"/>
      <c r="T1243" s="860">
        <f>28+67</f>
        <v>95</v>
      </c>
      <c r="U1243" s="861">
        <f>18+31</f>
        <v>49</v>
      </c>
      <c r="V1243" s="476"/>
      <c r="W1243" s="390"/>
      <c r="X1243" s="470"/>
      <c r="Y1243" s="358"/>
      <c r="Z1243" s="64"/>
      <c r="AA1243" s="164"/>
      <c r="AB1243" s="62"/>
      <c r="AC1243" s="62"/>
      <c r="AD1243" s="64"/>
      <c r="AE1243" s="164"/>
      <c r="AF1243" s="62"/>
      <c r="AG1243" s="64"/>
      <c r="AH1243" s="14">
        <f>279+103</f>
        <v>382</v>
      </c>
      <c r="AI1243" s="14">
        <v>44</v>
      </c>
      <c r="AJ1243" s="14">
        <v>0</v>
      </c>
      <c r="AK1243" s="14">
        <v>0</v>
      </c>
      <c r="AL1243" s="829">
        <v>382</v>
      </c>
      <c r="AM1243" s="829">
        <v>413</v>
      </c>
      <c r="AN1243" s="552" t="s">
        <v>768</v>
      </c>
      <c r="AO1243" s="552" t="s">
        <v>767</v>
      </c>
      <c r="AP1243" s="44"/>
      <c r="AQ1243" s="485">
        <f>AL1243/BI1243</f>
        <v>1.0611111111111111</v>
      </c>
      <c r="AR1243" s="485">
        <f>BL1243/BH1243</f>
        <v>0.82499999999999996</v>
      </c>
      <c r="AS1243" s="485">
        <f>BL1243/BI1243</f>
        <v>0.45833333333333331</v>
      </c>
      <c r="AT1243" s="344">
        <v>433</v>
      </c>
      <c r="AU1243" s="344">
        <v>127</v>
      </c>
      <c r="AV1243" s="123">
        <f>AL1243</f>
        <v>382</v>
      </c>
      <c r="AW1243" s="18">
        <v>27</v>
      </c>
      <c r="AX1243" s="69" t="s">
        <v>302</v>
      </c>
      <c r="AY1243" s="243" t="s">
        <v>68</v>
      </c>
      <c r="AZ1243" s="243" t="str">
        <f t="shared" si="511"/>
        <v>Chinook</v>
      </c>
      <c r="BA1243" s="243" t="s">
        <v>419</v>
      </c>
      <c r="BB1243" s="244" t="s">
        <v>628</v>
      </c>
      <c r="BC1243" s="43" t="str">
        <f t="shared" si="512"/>
        <v>Oct 29-Nov4</v>
      </c>
      <c r="BD1243" s="43">
        <f t="shared" si="510"/>
        <v>6</v>
      </c>
      <c r="BE1243" s="193">
        <f t="shared" si="524"/>
        <v>165</v>
      </c>
      <c r="BF1243" s="193">
        <f t="shared" si="513"/>
        <v>382</v>
      </c>
      <c r="BG1243" s="193">
        <f t="shared" si="514"/>
        <v>382</v>
      </c>
      <c r="BH1243" s="307">
        <f t="shared" si="499"/>
        <v>200</v>
      </c>
      <c r="BI1243" s="265">
        <f t="shared" si="525"/>
        <v>360</v>
      </c>
      <c r="BJ1243" s="26" t="str">
        <f t="shared" si="515"/>
        <v>CAYEGHLE SYSTEMChinook</v>
      </c>
      <c r="BK1243" s="26">
        <f t="shared" si="516"/>
        <v>6</v>
      </c>
      <c r="BL1243" s="33">
        <f t="shared" si="502"/>
        <v>165</v>
      </c>
      <c r="BM1243" s="34">
        <f>BL1243*1.14</f>
        <v>188.1</v>
      </c>
      <c r="BN1243" s="34">
        <f>BL1243*2.88</f>
        <v>475.2</v>
      </c>
      <c r="BO1243" s="36" t="s">
        <v>223</v>
      </c>
      <c r="BP1243" s="24">
        <f>SUM(BM1243:BN1243)/2</f>
        <v>331.65</v>
      </c>
      <c r="BQ1243" s="47" t="str">
        <f t="shared" si="517"/>
        <v>CAYEGHLE SYSTEMChinook</v>
      </c>
      <c r="BR1243" s="49">
        <f t="shared" si="518"/>
        <v>0</v>
      </c>
      <c r="BS1243" s="49">
        <f t="shared" si="500"/>
        <v>382</v>
      </c>
      <c r="BT1243" s="31">
        <v>2016</v>
      </c>
      <c r="BU1243" s="188" t="str">
        <f t="shared" si="519"/>
        <v>Wildcoast/Quatsino</v>
      </c>
      <c r="BV1243" s="188" t="str">
        <f t="shared" si="523"/>
        <v>Oct 1-7</v>
      </c>
      <c r="BW1243" s="188" t="str">
        <f t="shared" si="501"/>
        <v>Oct 29-Nov4</v>
      </c>
      <c r="BX1243" s="188" t="str">
        <f t="shared" si="520"/>
        <v xml:space="preserve"> </v>
      </c>
      <c r="BY1243" s="50" t="str">
        <f t="shared" si="526"/>
        <v>COLONIAL/CAYEGHLE CREEKS_Chinook</v>
      </c>
      <c r="BZ1243" s="50">
        <f>IFERROR(VLOOKUP(BY1243,'[1]WCVI Esc'!$C$5:$W$555,18,FALSE),"-")</f>
        <v>334</v>
      </c>
      <c r="CA1243" s="50">
        <f t="shared" si="521"/>
        <v>330</v>
      </c>
      <c r="CB1243" s="50">
        <f>IFERROR(VLOOKUP(BY1243,'[1]WCVI Esc'!$C$5:$W$555,19,FALSE),"-")</f>
        <v>360.91666666666669</v>
      </c>
      <c r="CC1243" s="50">
        <f t="shared" si="522"/>
        <v>360</v>
      </c>
      <c r="CE1243" s="342" t="s">
        <v>388</v>
      </c>
      <c r="CF1243" s="341">
        <f>IFERROR(VLOOKUP(CE1243,'RawPL+D'!$O$8:$AB$503,12,FALSE),"-")</f>
        <v>44</v>
      </c>
      <c r="CG1243" s="338">
        <f t="shared" si="506"/>
        <v>40</v>
      </c>
      <c r="CH1243" s="341">
        <f>IFERROR(VLOOKUP(BY1243,'RawPL+D'!$O$8:$AB$503,13,FALSE),"-")</f>
        <v>195.25</v>
      </c>
      <c r="CI1243" s="338">
        <f t="shared" si="507"/>
        <v>200</v>
      </c>
    </row>
    <row r="1244" spans="1:87" ht="12.75" hidden="1" customHeight="1" x14ac:dyDescent="0.2">
      <c r="A1244" s="28">
        <v>2</v>
      </c>
      <c r="B1244" s="28">
        <v>6</v>
      </c>
      <c r="C1244" s="11">
        <v>27</v>
      </c>
      <c r="D1244" s="13" t="s">
        <v>302</v>
      </c>
      <c r="E1244" s="10" t="s">
        <v>68</v>
      </c>
      <c r="F1244" s="10" t="s">
        <v>211</v>
      </c>
      <c r="G1244" s="10"/>
      <c r="H1244" s="10"/>
      <c r="I1244" s="10"/>
      <c r="J1244" s="10"/>
      <c r="K1244" s="575"/>
      <c r="L1244" s="792">
        <v>0</v>
      </c>
      <c r="M1244" s="422"/>
      <c r="N1244" s="358"/>
      <c r="O1244" s="853">
        <v>0</v>
      </c>
      <c r="P1244" s="857">
        <v>0</v>
      </c>
      <c r="Q1244" s="855">
        <v>0</v>
      </c>
      <c r="R1244" s="358"/>
      <c r="S1244" s="358"/>
      <c r="T1244" s="853">
        <v>0</v>
      </c>
      <c r="U1244" s="859">
        <v>0</v>
      </c>
      <c r="V1244" s="472"/>
      <c r="W1244" s="62"/>
      <c r="X1244" s="63"/>
      <c r="Y1244" s="62"/>
      <c r="Z1244" s="64"/>
      <c r="AA1244" s="164"/>
      <c r="AB1244" s="62"/>
      <c r="AC1244" s="62"/>
      <c r="AD1244" s="64"/>
      <c r="AE1244" s="164"/>
      <c r="AF1244" s="62"/>
      <c r="AG1244" s="64"/>
      <c r="AL1244" s="12"/>
      <c r="AM1244" s="12"/>
      <c r="AN1244" s="552"/>
      <c r="AO1244" s="552"/>
      <c r="AP1244" s="44"/>
      <c r="AQ1244" s="485"/>
      <c r="AR1244"/>
      <c r="AS1244" s="485"/>
      <c r="AT1244" s="24"/>
      <c r="AU1244" s="24"/>
      <c r="AV1244" s="24"/>
      <c r="AW1244" s="18">
        <v>27</v>
      </c>
      <c r="AX1244" s="69" t="s">
        <v>302</v>
      </c>
      <c r="AY1244" s="243" t="s">
        <v>68</v>
      </c>
      <c r="AZ1244" s="243" t="str">
        <f t="shared" si="511"/>
        <v>Steelhead</v>
      </c>
      <c r="BA1244" s="243" t="s">
        <v>419</v>
      </c>
      <c r="BB1244" s="244" t="s">
        <v>628</v>
      </c>
      <c r="BC1244" s="43" t="str">
        <f t="shared" si="512"/>
        <v>Oct 29-Nov4</v>
      </c>
      <c r="BD1244" s="43">
        <f t="shared" si="510"/>
        <v>6</v>
      </c>
      <c r="BE1244" s="193">
        <f t="shared" si="524"/>
        <v>0</v>
      </c>
      <c r="BF1244" s="193">
        <f t="shared" si="513"/>
        <v>0</v>
      </c>
      <c r="BG1244" s="193">
        <f t="shared" si="514"/>
        <v>0</v>
      </c>
      <c r="BH1244" s="307" t="str">
        <f t="shared" ref="BH1244:BH1268" si="527">CI1244</f>
        <v>-</v>
      </c>
      <c r="BI1244" s="265" t="str">
        <f t="shared" si="525"/>
        <v>-</v>
      </c>
      <c r="BJ1244" s="26" t="str">
        <f t="shared" si="515"/>
        <v>CAYEGHLE SYSTEMSteelhead</v>
      </c>
      <c r="BK1244" s="26">
        <f t="shared" si="516"/>
        <v>6</v>
      </c>
      <c r="BL1244" s="33">
        <f t="shared" si="502"/>
        <v>0</v>
      </c>
      <c r="BQ1244" s="47" t="str">
        <f t="shared" si="517"/>
        <v>CAYEGHLE SYSTEMSteelhead</v>
      </c>
      <c r="BR1244" s="49">
        <f t="shared" si="518"/>
        <v>0</v>
      </c>
      <c r="BS1244" s="49">
        <f t="shared" si="500"/>
        <v>0</v>
      </c>
      <c r="BT1244" s="31">
        <v>0</v>
      </c>
      <c r="BU1244" s="188" t="str">
        <f t="shared" si="519"/>
        <v>Wildcoast/Quatsino</v>
      </c>
      <c r="BV1244" s="188" t="str">
        <f t="shared" si="523"/>
        <v>Oct 1-7</v>
      </c>
      <c r="BW1244" s="188" t="str">
        <f t="shared" si="501"/>
        <v>Oct 29-Nov4</v>
      </c>
      <c r="BX1244" s="188" t="str">
        <f t="shared" si="520"/>
        <v xml:space="preserve"> </v>
      </c>
      <c r="BY1244" s="50" t="str">
        <f t="shared" si="526"/>
        <v>COLONIAL/CAYEGHLE CREEKS_Steelhead</v>
      </c>
      <c r="BZ1244" s="50" t="str">
        <f>IFERROR(VLOOKUP(BY1244,'[1]WCVI Esc'!$C$5:$W$555,18,FALSE),"-")</f>
        <v>-</v>
      </c>
      <c r="CA1244" s="50" t="str">
        <f t="shared" si="521"/>
        <v>-</v>
      </c>
      <c r="CB1244" s="50" t="str">
        <f>IFERROR(VLOOKUP(BY1244,'[1]WCVI Esc'!$C$5:$W$555,19,FALSE),"-")</f>
        <v>-</v>
      </c>
      <c r="CC1244" s="50" t="str">
        <f t="shared" si="522"/>
        <v>-</v>
      </c>
      <c r="CE1244" s="342" t="str">
        <f t="shared" ref="CE1244:CE1254" si="528">CONCATENATE(E1244,"_",F1244)</f>
        <v>CAYEGHLE SYSTEM_Steelhead</v>
      </c>
      <c r="CF1244" s="341" t="str">
        <f>IFERROR(VLOOKUP(BY1244,'RawPL+D'!$O$8:$AB$503,12,FALSE),"-")</f>
        <v>-</v>
      </c>
      <c r="CG1244" s="338" t="str">
        <f t="shared" si="506"/>
        <v>-</v>
      </c>
      <c r="CH1244" s="341" t="str">
        <f>IFERROR(VLOOKUP(BY1244,'RawPL+D'!$O$8:$AB$503,13,FALSE),"-")</f>
        <v>-</v>
      </c>
      <c r="CI1244" s="338" t="str">
        <f t="shared" si="507"/>
        <v>-</v>
      </c>
    </row>
    <row r="1245" spans="1:87" ht="12.75" hidden="1" customHeight="1" x14ac:dyDescent="0.2">
      <c r="A1245" s="29">
        <v>2</v>
      </c>
      <c r="B1245" s="29">
        <v>1</v>
      </c>
      <c r="C1245" s="13">
        <v>27</v>
      </c>
      <c r="D1245" s="13" t="s">
        <v>302</v>
      </c>
      <c r="E1245" s="10" t="s">
        <v>70</v>
      </c>
      <c r="F1245" s="10" t="s">
        <v>207</v>
      </c>
      <c r="G1245" s="10"/>
      <c r="H1245" s="10"/>
      <c r="I1245" s="10"/>
      <c r="J1245" s="10"/>
      <c r="K1245" s="575"/>
      <c r="L1245" s="632">
        <v>0</v>
      </c>
      <c r="M1245" s="690">
        <v>0</v>
      </c>
      <c r="N1245" s="691">
        <v>0</v>
      </c>
      <c r="O1245" s="473"/>
      <c r="P1245" s="838">
        <v>0</v>
      </c>
      <c r="Q1245" s="721">
        <v>0</v>
      </c>
      <c r="R1245" s="643">
        <v>0</v>
      </c>
      <c r="S1245" s="358"/>
      <c r="T1245" s="339"/>
      <c r="U1245" s="835">
        <v>0</v>
      </c>
      <c r="V1245" s="472"/>
      <c r="W1245" s="62"/>
      <c r="X1245" s="63"/>
      <c r="Y1245" s="62"/>
      <c r="Z1245" s="64"/>
      <c r="AA1245" s="164"/>
      <c r="AB1245" s="62"/>
      <c r="AC1245" s="62"/>
      <c r="AD1245" s="64"/>
      <c r="AE1245" s="164"/>
      <c r="AF1245" s="62"/>
      <c r="AG1245" s="64"/>
      <c r="AH1245" s="337"/>
      <c r="AI1245" s="337"/>
      <c r="AJ1245" s="337"/>
      <c r="AK1245" s="337"/>
      <c r="AL1245" s="12" t="s">
        <v>770</v>
      </c>
      <c r="AM1245" s="12"/>
      <c r="AN1245" s="552" t="s">
        <v>787</v>
      </c>
      <c r="AO1245" s="552" t="s">
        <v>785</v>
      </c>
      <c r="AP1245" s="44"/>
      <c r="AQ1245" s="485"/>
      <c r="AR1245"/>
      <c r="AS1245" s="485"/>
      <c r="AT1245" s="100"/>
      <c r="AU1245" s="100"/>
      <c r="AV1245" s="100"/>
      <c r="AW1245" s="69">
        <v>27</v>
      </c>
      <c r="AX1245" s="69" t="s">
        <v>302</v>
      </c>
      <c r="AY1245" s="243" t="s">
        <v>70</v>
      </c>
      <c r="AZ1245" s="243" t="str">
        <f t="shared" si="511"/>
        <v>Sockeye</v>
      </c>
      <c r="BA1245" s="243" t="s">
        <v>419</v>
      </c>
      <c r="BB1245" s="244" t="s">
        <v>628</v>
      </c>
      <c r="BC1245" s="43" t="str">
        <f t="shared" si="512"/>
        <v>Oct 29-Nov4</v>
      </c>
      <c r="BD1245" s="43">
        <f t="shared" si="510"/>
        <v>7</v>
      </c>
      <c r="BE1245" s="193">
        <f t="shared" si="524"/>
        <v>0</v>
      </c>
      <c r="BF1245" s="193" t="str">
        <f t="shared" si="513"/>
        <v>NO</v>
      </c>
      <c r="BG1245" s="193">
        <f t="shared" si="514"/>
        <v>0</v>
      </c>
      <c r="BH1245" s="307">
        <f t="shared" si="527"/>
        <v>0</v>
      </c>
      <c r="BI1245" s="265" t="str">
        <f t="shared" si="525"/>
        <v>-</v>
      </c>
      <c r="BJ1245" s="26" t="str">
        <f t="shared" si="515"/>
        <v>MARBLE RIVERSockeye</v>
      </c>
      <c r="BK1245" s="26">
        <f t="shared" si="516"/>
        <v>7</v>
      </c>
      <c r="BL1245" s="33">
        <f t="shared" si="502"/>
        <v>0</v>
      </c>
      <c r="BQ1245" s="47" t="str">
        <f t="shared" si="517"/>
        <v>MARBLE RIVERSockeye</v>
      </c>
      <c r="BR1245" s="49">
        <f t="shared" si="518"/>
        <v>0</v>
      </c>
      <c r="BS1245" s="49" t="str">
        <f t="shared" si="500"/>
        <v>NO</v>
      </c>
      <c r="BT1245" s="31">
        <v>2016</v>
      </c>
      <c r="BU1245" s="188" t="str">
        <f t="shared" si="519"/>
        <v>Wildcoast/Quatsino</v>
      </c>
      <c r="BV1245" s="188" t="str">
        <f t="shared" si="523"/>
        <v>Oct 1-7</v>
      </c>
      <c r="BW1245" s="188" t="str">
        <f t="shared" si="501"/>
        <v>Oct 29-Nov4</v>
      </c>
      <c r="BX1245" s="188" t="str">
        <f t="shared" si="520"/>
        <v xml:space="preserve"> </v>
      </c>
      <c r="BY1245" s="50" t="str">
        <f t="shared" ref="BY1245:BY1268" si="529">CONCATENATE(E1245,"_",F1245)</f>
        <v>MARBLE RIVER_Sockeye</v>
      </c>
      <c r="BZ1245" s="50" t="str">
        <f>IFERROR(VLOOKUP(BY1245,'[1]WCVI Esc'!$C$5:$W$555,18,FALSE),"-")</f>
        <v>-</v>
      </c>
      <c r="CA1245" s="50" t="str">
        <f t="shared" si="521"/>
        <v>-</v>
      </c>
      <c r="CB1245" s="50" t="str">
        <f>IFERROR(VLOOKUP(BY1245,'[1]WCVI Esc'!$C$5:$W$555,19,FALSE),"-")</f>
        <v>-</v>
      </c>
      <c r="CC1245" s="50" t="str">
        <f t="shared" si="522"/>
        <v>-</v>
      </c>
      <c r="CE1245" s="342" t="str">
        <f t="shared" si="528"/>
        <v>MARBLE RIVER_Sockeye</v>
      </c>
      <c r="CF1245" s="341">
        <f>IFERROR(VLOOKUP(BY1245,'RawPL+D'!$O$8:$AB$503,12,FALSE),"-")</f>
        <v>0</v>
      </c>
      <c r="CG1245" s="338">
        <f t="shared" si="506"/>
        <v>0</v>
      </c>
      <c r="CH1245" s="341">
        <f>IFERROR(VLOOKUP(BY1245,'RawPL+D'!$O$8:$AB$503,13,FALSE),"-")</f>
        <v>0</v>
      </c>
      <c r="CI1245" s="338">
        <f t="shared" si="507"/>
        <v>0</v>
      </c>
    </row>
    <row r="1246" spans="1:87" ht="12.75" hidden="1" customHeight="1" x14ac:dyDescent="0.2">
      <c r="A1246" s="29">
        <v>2</v>
      </c>
      <c r="B1246" s="29">
        <v>2</v>
      </c>
      <c r="C1246" s="13">
        <v>27</v>
      </c>
      <c r="D1246" s="13" t="s">
        <v>302</v>
      </c>
      <c r="E1246" s="10" t="s">
        <v>70</v>
      </c>
      <c r="F1246" s="10" t="s">
        <v>219</v>
      </c>
      <c r="G1246" s="10"/>
      <c r="H1246" s="10"/>
      <c r="I1246" s="10"/>
      <c r="J1246" s="10"/>
      <c r="K1246" s="575"/>
      <c r="L1246" s="632">
        <f>462+2</f>
        <v>464</v>
      </c>
      <c r="M1246" s="690">
        <f>568+2</f>
        <v>570</v>
      </c>
      <c r="N1246" s="650">
        <f>669+1</f>
        <v>670</v>
      </c>
      <c r="O1246" s="473"/>
      <c r="P1246" s="696">
        <v>135</v>
      </c>
      <c r="Q1246" s="700">
        <v>310</v>
      </c>
      <c r="R1246" s="643">
        <f>162+1</f>
        <v>163</v>
      </c>
      <c r="S1246" s="562"/>
      <c r="T1246" s="339"/>
      <c r="U1246" s="836">
        <v>142</v>
      </c>
      <c r="V1246" s="471"/>
      <c r="W1246" s="431"/>
      <c r="X1246" s="436"/>
      <c r="Y1246" s="62"/>
      <c r="Z1246" s="64"/>
      <c r="AA1246" s="164"/>
      <c r="AB1246" s="62"/>
      <c r="AC1246" s="62"/>
      <c r="AD1246" s="64"/>
      <c r="AE1246" s="164"/>
      <c r="AF1246" s="62"/>
      <c r="AG1246" s="64"/>
      <c r="AH1246" s="337">
        <v>1333</v>
      </c>
      <c r="AI1246" s="337">
        <v>54</v>
      </c>
      <c r="AJ1246" s="337">
        <v>0</v>
      </c>
      <c r="AK1246" s="337">
        <v>0</v>
      </c>
      <c r="AL1246" s="552">
        <v>1333</v>
      </c>
      <c r="AM1246" s="552">
        <v>1649</v>
      </c>
      <c r="AN1246" s="552" t="s">
        <v>768</v>
      </c>
      <c r="AO1246" s="841"/>
      <c r="AP1246" s="44"/>
      <c r="AQ1246" s="485">
        <f>AL1246/BI1246</f>
        <v>1.1393162393162393</v>
      </c>
      <c r="AR1246" s="485">
        <f>BL1246/BH1246</f>
        <v>1.5227272727272727</v>
      </c>
      <c r="AS1246" s="485">
        <f>BL1246/BI1246</f>
        <v>0.57264957264957261</v>
      </c>
      <c r="AT1246" s="100"/>
      <c r="AU1246" s="100"/>
      <c r="AV1246" s="100"/>
      <c r="AW1246" s="69">
        <v>27</v>
      </c>
      <c r="AX1246" s="69" t="s">
        <v>302</v>
      </c>
      <c r="AY1246" s="243" t="s">
        <v>70</v>
      </c>
      <c r="AZ1246" s="243" t="str">
        <f t="shared" si="511"/>
        <v>Coho</v>
      </c>
      <c r="BA1246" s="243" t="s">
        <v>419</v>
      </c>
      <c r="BB1246" s="244" t="s">
        <v>628</v>
      </c>
      <c r="BC1246" s="43" t="str">
        <f t="shared" si="512"/>
        <v>Oct 29-Nov4</v>
      </c>
      <c r="BD1246" s="43">
        <f t="shared" si="510"/>
        <v>7</v>
      </c>
      <c r="BE1246" s="193">
        <f t="shared" si="524"/>
        <v>670</v>
      </c>
      <c r="BF1246" s="193">
        <f t="shared" si="513"/>
        <v>1333</v>
      </c>
      <c r="BG1246" s="193">
        <f t="shared" si="514"/>
        <v>1333</v>
      </c>
      <c r="BH1246" s="307">
        <f t="shared" si="527"/>
        <v>440</v>
      </c>
      <c r="BI1246" s="265">
        <f t="shared" si="525"/>
        <v>1170</v>
      </c>
      <c r="BJ1246" s="26" t="str">
        <f t="shared" si="515"/>
        <v>MARBLE RIVERCoho</v>
      </c>
      <c r="BK1246" s="26">
        <f t="shared" si="516"/>
        <v>7</v>
      </c>
      <c r="BL1246" s="33">
        <f t="shared" si="502"/>
        <v>670</v>
      </c>
      <c r="BQ1246" s="47" t="str">
        <f t="shared" si="517"/>
        <v>MARBLE RIVERCoho</v>
      </c>
      <c r="BR1246" s="49">
        <f t="shared" si="518"/>
        <v>0</v>
      </c>
      <c r="BS1246" s="49">
        <f t="shared" si="500"/>
        <v>1333</v>
      </c>
      <c r="BT1246" s="31">
        <v>2016</v>
      </c>
      <c r="BU1246" s="188" t="str">
        <f t="shared" si="519"/>
        <v>Wildcoast/Quatsino</v>
      </c>
      <c r="BV1246" s="188" t="str">
        <f t="shared" si="523"/>
        <v>Oct 1-7</v>
      </c>
      <c r="BW1246" s="188" t="str">
        <f t="shared" si="501"/>
        <v>Oct 29-Nov4</v>
      </c>
      <c r="BX1246" s="188" t="str">
        <f t="shared" si="520"/>
        <v xml:space="preserve"> </v>
      </c>
      <c r="BY1246" s="50" t="str">
        <f t="shared" si="529"/>
        <v>MARBLE RIVER_Coho</v>
      </c>
      <c r="BZ1246" s="50">
        <f>IFERROR(VLOOKUP(BY1246,'[1]WCVI Esc'!$C$5:$W$555,18,FALSE),"-")</f>
        <v>753.25</v>
      </c>
      <c r="CA1246" s="50">
        <f t="shared" si="521"/>
        <v>750</v>
      </c>
      <c r="CB1246" s="50">
        <f>IFERROR(VLOOKUP(BY1246,'[1]WCVI Esc'!$C$5:$W$555,19,FALSE),"-")</f>
        <v>1173</v>
      </c>
      <c r="CC1246" s="50">
        <f t="shared" si="522"/>
        <v>1170</v>
      </c>
      <c r="CE1246" s="342" t="str">
        <f t="shared" si="528"/>
        <v>MARBLE RIVER_Coho</v>
      </c>
      <c r="CF1246" s="341">
        <f>IFERROR(VLOOKUP(CE1246,'RawPL+D'!$O$8:$AB$503,12,FALSE),"-")</f>
        <v>329</v>
      </c>
      <c r="CG1246" s="338">
        <f t="shared" si="506"/>
        <v>330</v>
      </c>
      <c r="CH1246" s="341">
        <f>IFERROR(VLOOKUP(BY1246,'RawPL+D'!$O$8:$AB$503,13,FALSE),"-")</f>
        <v>441</v>
      </c>
      <c r="CI1246" s="338">
        <f t="shared" si="507"/>
        <v>440</v>
      </c>
    </row>
    <row r="1247" spans="1:87" ht="12.75" hidden="1" customHeight="1" x14ac:dyDescent="0.2">
      <c r="A1247" s="29">
        <v>2</v>
      </c>
      <c r="B1247" s="29">
        <v>3</v>
      </c>
      <c r="C1247" s="13">
        <v>27</v>
      </c>
      <c r="D1247" s="13" t="s">
        <v>302</v>
      </c>
      <c r="E1247" s="10" t="s">
        <v>70</v>
      </c>
      <c r="F1247" s="10" t="s">
        <v>208</v>
      </c>
      <c r="G1247" s="10"/>
      <c r="H1247" s="10"/>
      <c r="I1247" s="10"/>
      <c r="J1247" s="10"/>
      <c r="K1247" s="575"/>
      <c r="L1247" s="632">
        <v>0</v>
      </c>
      <c r="M1247" s="690">
        <v>0</v>
      </c>
      <c r="N1247" s="691">
        <v>0</v>
      </c>
      <c r="O1247" s="473"/>
      <c r="P1247" s="838">
        <v>0</v>
      </c>
      <c r="Q1247" s="721">
        <v>0</v>
      </c>
      <c r="R1247" s="643">
        <v>0</v>
      </c>
      <c r="S1247" s="358"/>
      <c r="T1247" s="339"/>
      <c r="U1247" s="835">
        <v>0</v>
      </c>
      <c r="V1247" s="472"/>
      <c r="W1247" s="62"/>
      <c r="X1247" s="63"/>
      <c r="Y1247" s="62"/>
      <c r="Z1247" s="64"/>
      <c r="AA1247" s="164"/>
      <c r="AB1247" s="62"/>
      <c r="AC1247" s="62"/>
      <c r="AD1247" s="64"/>
      <c r="AE1247" s="164"/>
      <c r="AF1247" s="62"/>
      <c r="AG1247" s="64"/>
      <c r="AH1247" s="337"/>
      <c r="AI1247" s="337"/>
      <c r="AJ1247" s="337"/>
      <c r="AK1247" s="337"/>
      <c r="AL1247" s="552" t="s">
        <v>770</v>
      </c>
      <c r="AM1247" s="552"/>
      <c r="AN1247" s="552"/>
      <c r="AO1247" s="45"/>
      <c r="AP1247" s="44"/>
      <c r="AQ1247" s="485"/>
      <c r="AR1247"/>
      <c r="AS1247" s="485"/>
      <c r="AT1247" s="100"/>
      <c r="AU1247" s="100"/>
      <c r="AV1247" s="100"/>
      <c r="AW1247" s="69">
        <v>27</v>
      </c>
      <c r="AX1247" s="69" t="s">
        <v>302</v>
      </c>
      <c r="AY1247" s="243" t="s">
        <v>70</v>
      </c>
      <c r="AZ1247" s="243" t="str">
        <f t="shared" si="511"/>
        <v>Pink</v>
      </c>
      <c r="BA1247" s="243" t="s">
        <v>419</v>
      </c>
      <c r="BB1247" s="244" t="s">
        <v>628</v>
      </c>
      <c r="BC1247" s="43" t="str">
        <f t="shared" si="512"/>
        <v>Oct 29-Nov4</v>
      </c>
      <c r="BD1247" s="43">
        <f t="shared" si="510"/>
        <v>7</v>
      </c>
      <c r="BE1247" s="193">
        <f t="shared" si="524"/>
        <v>0</v>
      </c>
      <c r="BF1247" s="193" t="str">
        <f t="shared" si="513"/>
        <v>NO</v>
      </c>
      <c r="BG1247" s="193">
        <f t="shared" si="514"/>
        <v>0</v>
      </c>
      <c r="BH1247" s="307">
        <f t="shared" si="527"/>
        <v>0</v>
      </c>
      <c r="BI1247" s="265">
        <f t="shared" si="525"/>
        <v>10</v>
      </c>
      <c r="BJ1247" s="26" t="str">
        <f t="shared" si="515"/>
        <v>MARBLE RIVERPink</v>
      </c>
      <c r="BK1247" s="26">
        <f t="shared" si="516"/>
        <v>7</v>
      </c>
      <c r="BL1247" s="33">
        <f t="shared" si="502"/>
        <v>0</v>
      </c>
      <c r="BQ1247" s="47" t="str">
        <f t="shared" si="517"/>
        <v>MARBLE RIVERPink</v>
      </c>
      <c r="BR1247" s="49">
        <f t="shared" si="518"/>
        <v>0</v>
      </c>
      <c r="BS1247" s="49" t="str">
        <f t="shared" si="500"/>
        <v>NO</v>
      </c>
      <c r="BT1247" s="31">
        <v>2013</v>
      </c>
      <c r="BU1247" s="188" t="str">
        <f t="shared" si="519"/>
        <v>Wildcoast/Quatsino</v>
      </c>
      <c r="BV1247" s="188" t="str">
        <f t="shared" si="523"/>
        <v>Oct 1-7</v>
      </c>
      <c r="BW1247" s="188" t="str">
        <f t="shared" si="501"/>
        <v>Oct 29-Nov4</v>
      </c>
      <c r="BX1247" s="188" t="str">
        <f t="shared" si="520"/>
        <v xml:space="preserve"> </v>
      </c>
      <c r="BY1247" s="50" t="str">
        <f t="shared" si="529"/>
        <v>MARBLE RIVER_Pink</v>
      </c>
      <c r="BZ1247" s="50" t="str">
        <f>IFERROR(VLOOKUP(BY1247,'[1]WCVI Esc'!$C$5:$W$555,18,FALSE),"-")</f>
        <v>-</v>
      </c>
      <c r="CA1247" s="50" t="str">
        <f t="shared" si="521"/>
        <v>-</v>
      </c>
      <c r="CB1247" s="50">
        <f>IFERROR(VLOOKUP(BY1247,'[1]WCVI Esc'!$C$5:$W$555,19,FALSE),"-")</f>
        <v>7</v>
      </c>
      <c r="CC1247" s="50">
        <f t="shared" si="522"/>
        <v>10</v>
      </c>
      <c r="CE1247" s="342" t="str">
        <f t="shared" si="528"/>
        <v>MARBLE RIVER_Pink</v>
      </c>
      <c r="CF1247" s="341">
        <f>IFERROR(VLOOKUP(BY1247,'RawPL+D'!$O$8:$AB$503,12,FALSE),"-")</f>
        <v>0</v>
      </c>
      <c r="CG1247" s="338">
        <f t="shared" si="506"/>
        <v>0</v>
      </c>
      <c r="CH1247" s="341">
        <f>IFERROR(VLOOKUP(BY1247,'RawPL+D'!$O$8:$AB$503,13,FALSE),"-")</f>
        <v>0</v>
      </c>
      <c r="CI1247" s="338">
        <f t="shared" si="507"/>
        <v>0</v>
      </c>
    </row>
    <row r="1248" spans="1:87" ht="12.75" hidden="1" customHeight="1" x14ac:dyDescent="0.2">
      <c r="A1248" s="29">
        <v>2</v>
      </c>
      <c r="B1248" s="29">
        <v>4</v>
      </c>
      <c r="C1248" s="13">
        <v>27</v>
      </c>
      <c r="D1248" s="13" t="s">
        <v>302</v>
      </c>
      <c r="E1248" s="10" t="s">
        <v>70</v>
      </c>
      <c r="F1248" s="10" t="s">
        <v>209</v>
      </c>
      <c r="G1248" s="10"/>
      <c r="H1248" s="10"/>
      <c r="I1248" s="10"/>
      <c r="J1248" s="10"/>
      <c r="K1248" s="575"/>
      <c r="L1248" s="632">
        <v>0</v>
      </c>
      <c r="M1248" s="690">
        <v>0</v>
      </c>
      <c r="N1248" s="691">
        <v>0</v>
      </c>
      <c r="O1248" s="473"/>
      <c r="P1248" s="838">
        <v>0</v>
      </c>
      <c r="Q1248" s="721">
        <v>0</v>
      </c>
      <c r="R1248" s="643">
        <v>0</v>
      </c>
      <c r="S1248" s="358"/>
      <c r="T1248" s="339"/>
      <c r="U1248" s="835">
        <v>0</v>
      </c>
      <c r="V1248" s="472"/>
      <c r="W1248" s="62"/>
      <c r="X1248" s="63"/>
      <c r="Y1248" s="62"/>
      <c r="Z1248" s="64"/>
      <c r="AA1248" s="164"/>
      <c r="AB1248" s="62"/>
      <c r="AC1248" s="62"/>
      <c r="AD1248" s="64"/>
      <c r="AE1248" s="164"/>
      <c r="AF1248" s="62"/>
      <c r="AG1248" s="64"/>
      <c r="AH1248" s="337"/>
      <c r="AI1248" s="337"/>
      <c r="AJ1248" s="337"/>
      <c r="AK1248" s="337"/>
      <c r="AL1248" s="552"/>
      <c r="AM1248" s="552"/>
      <c r="AN1248" s="552"/>
      <c r="AO1248" s="45"/>
      <c r="AP1248" s="44"/>
      <c r="AQ1248" s="485"/>
      <c r="AR1248" s="485"/>
      <c r="AS1248" s="485"/>
      <c r="AT1248" s="100"/>
      <c r="AU1248" s="100"/>
      <c r="AV1248" s="100"/>
      <c r="AW1248" s="69">
        <v>27</v>
      </c>
      <c r="AX1248" s="69" t="s">
        <v>302</v>
      </c>
      <c r="AY1248" s="243" t="s">
        <v>70</v>
      </c>
      <c r="AZ1248" s="243" t="str">
        <f t="shared" si="511"/>
        <v>Chum</v>
      </c>
      <c r="BA1248" s="243" t="s">
        <v>419</v>
      </c>
      <c r="BB1248" s="244" t="s">
        <v>628</v>
      </c>
      <c r="BC1248" s="43" t="str">
        <f t="shared" si="512"/>
        <v>Oct 29-Nov4</v>
      </c>
      <c r="BD1248" s="43">
        <f t="shared" si="510"/>
        <v>7</v>
      </c>
      <c r="BE1248" s="193">
        <f t="shared" si="524"/>
        <v>0</v>
      </c>
      <c r="BF1248" s="193">
        <f t="shared" si="513"/>
        <v>0</v>
      </c>
      <c r="BG1248" s="193">
        <f t="shared" si="514"/>
        <v>0</v>
      </c>
      <c r="BH1248" s="307">
        <f t="shared" si="527"/>
        <v>0</v>
      </c>
      <c r="BI1248" s="265"/>
      <c r="BJ1248" s="26" t="str">
        <f t="shared" si="515"/>
        <v>MARBLE RIVERChum</v>
      </c>
      <c r="BK1248" s="26">
        <f t="shared" si="516"/>
        <v>7</v>
      </c>
      <c r="BL1248" s="33">
        <f t="shared" si="502"/>
        <v>0</v>
      </c>
      <c r="BQ1248" s="47" t="str">
        <f t="shared" si="517"/>
        <v>MARBLE RIVERChum</v>
      </c>
      <c r="BR1248" s="49">
        <f t="shared" si="518"/>
        <v>0</v>
      </c>
      <c r="BS1248" s="49">
        <f t="shared" si="500"/>
        <v>0</v>
      </c>
      <c r="BT1248" s="31">
        <v>2016</v>
      </c>
      <c r="BU1248" s="188" t="str">
        <f t="shared" si="519"/>
        <v>Wildcoast/Quatsino</v>
      </c>
      <c r="BV1248" s="188" t="str">
        <f t="shared" si="523"/>
        <v>Oct 1-7</v>
      </c>
      <c r="BW1248" s="188" t="str">
        <f t="shared" si="501"/>
        <v>Oct 29-Nov4</v>
      </c>
      <c r="BX1248" s="188" t="str">
        <f t="shared" si="520"/>
        <v xml:space="preserve"> </v>
      </c>
      <c r="BY1248" s="50" t="str">
        <f t="shared" si="529"/>
        <v>MARBLE RIVER_Chum</v>
      </c>
      <c r="BZ1248" s="50" t="str">
        <f>IFERROR(VLOOKUP(BY1248,'[1]WCVI Esc'!$C$5:$W$555,18,FALSE),"-")</f>
        <v>-</v>
      </c>
      <c r="CA1248" s="50" t="str">
        <f t="shared" si="521"/>
        <v>-</v>
      </c>
      <c r="CB1248" s="50">
        <f>IFERROR(VLOOKUP(BY1248,'[1]WCVI Esc'!$C$5:$W$555,19,FALSE),"-")</f>
        <v>3</v>
      </c>
      <c r="CC1248" s="50">
        <f t="shared" si="522"/>
        <v>0</v>
      </c>
      <c r="CE1248" s="342" t="str">
        <f t="shared" si="528"/>
        <v>MARBLE RIVER_Chum</v>
      </c>
      <c r="CF1248" s="341">
        <f>IFERROR(VLOOKUP(BY1248,'RawPL+D'!$O$8:$AB$503,12,FALSE),"-")</f>
        <v>0</v>
      </c>
      <c r="CG1248" s="338">
        <f t="shared" si="506"/>
        <v>0</v>
      </c>
      <c r="CH1248" s="341">
        <f>IFERROR(VLOOKUP(BY1248,'RawPL+D'!$O$8:$AB$503,13,FALSE),"-")</f>
        <v>0</v>
      </c>
      <c r="CI1248" s="338">
        <f t="shared" si="507"/>
        <v>0</v>
      </c>
    </row>
    <row r="1249" spans="1:87" ht="12.75" hidden="1" customHeight="1" x14ac:dyDescent="0.2">
      <c r="A1249" s="29">
        <v>2</v>
      </c>
      <c r="B1249" s="29">
        <v>5</v>
      </c>
      <c r="C1249" s="13">
        <v>27</v>
      </c>
      <c r="D1249" s="13" t="s">
        <v>302</v>
      </c>
      <c r="E1249" s="10" t="s">
        <v>70</v>
      </c>
      <c r="F1249" s="10" t="s">
        <v>210</v>
      </c>
      <c r="G1249" s="10"/>
      <c r="H1249" s="10"/>
      <c r="I1249" s="10"/>
      <c r="J1249" s="10"/>
      <c r="K1249" s="575"/>
      <c r="L1249" s="632">
        <v>332</v>
      </c>
      <c r="M1249" s="690">
        <v>349</v>
      </c>
      <c r="N1249" s="650">
        <v>941</v>
      </c>
      <c r="O1249" s="473"/>
      <c r="P1249" s="696">
        <v>1837</v>
      </c>
      <c r="Q1249" s="721">
        <v>2873</v>
      </c>
      <c r="R1249" s="645">
        <f>2072+1</f>
        <v>2073</v>
      </c>
      <c r="S1249" s="555"/>
      <c r="T1249" s="339"/>
      <c r="U1249" s="830">
        <v>1906</v>
      </c>
      <c r="V1249" s="474"/>
      <c r="W1249" s="475"/>
      <c r="X1249" s="436"/>
      <c r="Y1249" s="62"/>
      <c r="Z1249" s="64"/>
      <c r="AA1249" s="164"/>
      <c r="AB1249" s="62"/>
      <c r="AC1249" s="62"/>
      <c r="AD1249" s="64"/>
      <c r="AE1249" s="164"/>
      <c r="AF1249" s="62"/>
      <c r="AG1249" s="64"/>
      <c r="AH1249" s="337">
        <v>7906</v>
      </c>
      <c r="AI1249" s="840">
        <v>941</v>
      </c>
      <c r="AJ1249" s="840">
        <v>0</v>
      </c>
      <c r="AK1249" s="337">
        <v>0</v>
      </c>
      <c r="AL1249" s="821">
        <v>7906</v>
      </c>
      <c r="AM1249" s="821">
        <v>7429</v>
      </c>
      <c r="AN1249" s="552" t="s">
        <v>768</v>
      </c>
      <c r="AO1249" s="552" t="s">
        <v>786</v>
      </c>
      <c r="AP1249" s="44"/>
      <c r="AQ1249" s="485">
        <f>AL1249/BI1249</f>
        <v>2.7838028169014084</v>
      </c>
      <c r="AR1249" s="485">
        <f>BL1249/BH1249</f>
        <v>1.8183544303797468</v>
      </c>
      <c r="AS1249" s="485">
        <f>BL1249/BI1249</f>
        <v>1.0116197183098592</v>
      </c>
      <c r="AT1249" s="123">
        <v>923</v>
      </c>
      <c r="AU1249" s="123">
        <v>271</v>
      </c>
      <c r="AV1249" s="123">
        <f>AL1249</f>
        <v>7906</v>
      </c>
      <c r="AW1249" s="69">
        <v>27</v>
      </c>
      <c r="AX1249" s="69" t="s">
        <v>302</v>
      </c>
      <c r="AY1249" s="243" t="s">
        <v>70</v>
      </c>
      <c r="AZ1249" s="243" t="str">
        <f t="shared" si="511"/>
        <v>Chinook</v>
      </c>
      <c r="BA1249" s="243" t="s">
        <v>419</v>
      </c>
      <c r="BB1249" s="244" t="s">
        <v>628</v>
      </c>
      <c r="BC1249" s="43" t="str">
        <f t="shared" si="512"/>
        <v>Oct 29-Nov4</v>
      </c>
      <c r="BD1249" s="43">
        <f t="shared" si="510"/>
        <v>7</v>
      </c>
      <c r="BE1249" s="193">
        <f t="shared" si="524"/>
        <v>2873</v>
      </c>
      <c r="BF1249" s="193">
        <f t="shared" si="513"/>
        <v>7906</v>
      </c>
      <c r="BG1249" s="193">
        <f t="shared" si="514"/>
        <v>7906</v>
      </c>
      <c r="BH1249" s="307">
        <f t="shared" si="527"/>
        <v>1580</v>
      </c>
      <c r="BI1249" s="265">
        <f t="shared" ref="BI1249:BI1256" si="530">CC1249</f>
        <v>2840</v>
      </c>
      <c r="BJ1249" s="26" t="str">
        <f t="shared" si="515"/>
        <v>MARBLE RIVERChinook</v>
      </c>
      <c r="BK1249" s="26">
        <f t="shared" si="516"/>
        <v>7</v>
      </c>
      <c r="BL1249" s="33">
        <f t="shared" si="502"/>
        <v>2873</v>
      </c>
      <c r="BM1249" s="34">
        <f>BL1249*1.14</f>
        <v>3275.22</v>
      </c>
      <c r="BN1249" s="34">
        <f>BL1249*2.88</f>
        <v>8274.24</v>
      </c>
      <c r="BO1249" s="35"/>
      <c r="BP1249" s="34">
        <f>SUM(BM1249:BN1249)/2</f>
        <v>5774.73</v>
      </c>
      <c r="BQ1249" s="47" t="str">
        <f t="shared" si="517"/>
        <v>MARBLE RIVERChinook</v>
      </c>
      <c r="BR1249" s="49">
        <f t="shared" si="518"/>
        <v>0</v>
      </c>
      <c r="BS1249" s="49">
        <f t="shared" ref="BS1249:BS1268" si="531">AL1249</f>
        <v>7906</v>
      </c>
      <c r="BT1249" s="31">
        <v>2016</v>
      </c>
      <c r="BU1249" s="188" t="str">
        <f t="shared" si="519"/>
        <v>Wildcoast/Quatsino</v>
      </c>
      <c r="BV1249" s="188" t="str">
        <f t="shared" si="523"/>
        <v>Oct 1-7</v>
      </c>
      <c r="BW1249" s="188" t="str">
        <f t="shared" si="501"/>
        <v>Oct 29-Nov4</v>
      </c>
      <c r="BX1249" s="188" t="str">
        <f t="shared" si="520"/>
        <v xml:space="preserve"> </v>
      </c>
      <c r="BY1249" s="50" t="str">
        <f t="shared" si="529"/>
        <v>MARBLE RIVER_Chinook</v>
      </c>
      <c r="BZ1249" s="50">
        <f>IFERROR(VLOOKUP(BY1249,'[1]WCVI Esc'!$C$5:$W$555,18,FALSE),"-")</f>
        <v>2669.25</v>
      </c>
      <c r="CA1249" s="50">
        <f t="shared" si="521"/>
        <v>2670</v>
      </c>
      <c r="CB1249" s="50">
        <f>IFERROR(VLOOKUP(BY1249,'[1]WCVI Esc'!$C$5:$W$555,19,FALSE),"-")</f>
        <v>2844.5833333333335</v>
      </c>
      <c r="CC1249" s="50">
        <f t="shared" si="522"/>
        <v>2840</v>
      </c>
      <c r="CE1249" s="342" t="str">
        <f t="shared" si="528"/>
        <v>MARBLE RIVER_Chinook</v>
      </c>
      <c r="CF1249" s="341">
        <f>IFERROR(VLOOKUP(CE1249,'RawPL+D'!$O$8:$AB$503,12,FALSE),"-")</f>
        <v>770</v>
      </c>
      <c r="CG1249" s="338">
        <f t="shared" si="506"/>
        <v>770</v>
      </c>
      <c r="CH1249" s="341">
        <f>IFERROR(VLOOKUP(BY1249,'RawPL+D'!$O$8:$AB$503,13,FALSE),"-")</f>
        <v>1580.25</v>
      </c>
      <c r="CI1249" s="338">
        <f t="shared" si="507"/>
        <v>1580</v>
      </c>
    </row>
    <row r="1250" spans="1:87" ht="12.75" hidden="1" customHeight="1" x14ac:dyDescent="0.2">
      <c r="A1250" s="29">
        <v>2</v>
      </c>
      <c r="B1250" s="29">
        <v>6</v>
      </c>
      <c r="C1250" s="13">
        <v>27</v>
      </c>
      <c r="D1250" s="13" t="s">
        <v>302</v>
      </c>
      <c r="E1250" s="10" t="s">
        <v>70</v>
      </c>
      <c r="F1250" s="10" t="s">
        <v>211</v>
      </c>
      <c r="G1250" s="10"/>
      <c r="H1250" s="10"/>
      <c r="I1250" s="10"/>
      <c r="J1250" s="10"/>
      <c r="K1250" s="575"/>
      <c r="L1250" s="632">
        <v>0</v>
      </c>
      <c r="M1250" s="690">
        <v>0</v>
      </c>
      <c r="N1250" s="650">
        <v>0</v>
      </c>
      <c r="O1250" s="473"/>
      <c r="P1250" s="696">
        <v>0</v>
      </c>
      <c r="Q1250" s="721">
        <v>0</v>
      </c>
      <c r="R1250" s="643">
        <v>0</v>
      </c>
      <c r="S1250" s="358"/>
      <c r="T1250" s="339"/>
      <c r="U1250" s="835">
        <v>0</v>
      </c>
      <c r="V1250" s="472"/>
      <c r="W1250" s="62"/>
      <c r="X1250" s="63"/>
      <c r="Y1250" s="62"/>
      <c r="Z1250" s="64"/>
      <c r="AA1250" s="586"/>
      <c r="AB1250" s="581"/>
      <c r="AC1250" s="581"/>
      <c r="AD1250" s="585"/>
      <c r="AE1250" s="586"/>
      <c r="AF1250" s="581"/>
      <c r="AG1250" s="585"/>
      <c r="AH1250" s="337"/>
      <c r="AI1250" s="337"/>
      <c r="AJ1250" s="337"/>
      <c r="AK1250" s="337"/>
      <c r="AL1250" s="552"/>
      <c r="AM1250" s="552"/>
      <c r="AN1250" s="45"/>
      <c r="AO1250" s="45"/>
      <c r="AP1250" s="44"/>
      <c r="AQ1250" s="100"/>
      <c r="AR1250"/>
      <c r="AS1250"/>
      <c r="AT1250" s="100"/>
      <c r="AU1250" s="100"/>
      <c r="AV1250" s="100"/>
      <c r="AW1250" s="69">
        <v>27</v>
      </c>
      <c r="AX1250" s="69" t="s">
        <v>302</v>
      </c>
      <c r="AY1250" s="243" t="s">
        <v>70</v>
      </c>
      <c r="AZ1250" s="243" t="str">
        <f t="shared" si="511"/>
        <v>Steelhead</v>
      </c>
      <c r="BA1250" s="243" t="s">
        <v>419</v>
      </c>
      <c r="BB1250" s="244" t="s">
        <v>628</v>
      </c>
      <c r="BC1250" s="43" t="str">
        <f t="shared" si="512"/>
        <v>Oct 29-Nov4</v>
      </c>
      <c r="BD1250" s="43">
        <f t="shared" si="510"/>
        <v>7</v>
      </c>
      <c r="BE1250" s="193">
        <f t="shared" si="524"/>
        <v>0</v>
      </c>
      <c r="BF1250" s="193">
        <f t="shared" si="513"/>
        <v>0</v>
      </c>
      <c r="BG1250" s="193">
        <f t="shared" si="514"/>
        <v>0</v>
      </c>
      <c r="BH1250" s="307" t="str">
        <f t="shared" si="527"/>
        <v>-</v>
      </c>
      <c r="BI1250" s="265" t="str">
        <f t="shared" si="530"/>
        <v>-</v>
      </c>
      <c r="BJ1250" s="26" t="str">
        <f t="shared" si="515"/>
        <v>MARBLE RIVERSteelhead</v>
      </c>
      <c r="BK1250" s="26">
        <f t="shared" si="516"/>
        <v>7</v>
      </c>
      <c r="BL1250" s="33">
        <f t="shared" si="502"/>
        <v>0</v>
      </c>
      <c r="BP1250" s="34"/>
      <c r="BQ1250" s="47" t="str">
        <f t="shared" si="517"/>
        <v>MARBLE RIVERSteelhead</v>
      </c>
      <c r="BR1250" s="49">
        <f t="shared" si="518"/>
        <v>0</v>
      </c>
      <c r="BS1250" s="49">
        <f t="shared" si="531"/>
        <v>0</v>
      </c>
      <c r="BT1250" s="31">
        <v>0</v>
      </c>
      <c r="BU1250" s="188" t="str">
        <f t="shared" si="519"/>
        <v>Wildcoast/Quatsino</v>
      </c>
      <c r="BV1250" s="188" t="str">
        <f t="shared" si="523"/>
        <v>Oct 1-7</v>
      </c>
      <c r="BW1250" s="188" t="str">
        <f t="shared" si="501"/>
        <v>Oct 29-Nov4</v>
      </c>
      <c r="BX1250" s="188" t="str">
        <f t="shared" si="520"/>
        <v xml:space="preserve"> </v>
      </c>
      <c r="BY1250" s="50" t="str">
        <f t="shared" si="529"/>
        <v>MARBLE RIVER_Steelhead</v>
      </c>
      <c r="BZ1250" s="50" t="str">
        <f>IFERROR(VLOOKUP(BY1250,'[1]WCVI Esc'!$C$5:$W$555,18,FALSE),"-")</f>
        <v>-</v>
      </c>
      <c r="CA1250" s="50" t="str">
        <f t="shared" si="521"/>
        <v>-</v>
      </c>
      <c r="CB1250" s="50" t="str">
        <f>IFERROR(VLOOKUP(BY1250,'[1]WCVI Esc'!$C$5:$W$555,19,FALSE),"-")</f>
        <v>-</v>
      </c>
      <c r="CC1250" s="50" t="str">
        <f t="shared" si="522"/>
        <v>-</v>
      </c>
      <c r="CE1250" s="342" t="str">
        <f t="shared" si="528"/>
        <v>MARBLE RIVER_Steelhead</v>
      </c>
      <c r="CF1250" s="341" t="str">
        <f>IFERROR(VLOOKUP(BY1250,'RawPL+D'!$O$8:$AB$503,12,FALSE),"-")</f>
        <v>-</v>
      </c>
      <c r="CG1250" s="338" t="str">
        <f t="shared" si="506"/>
        <v>-</v>
      </c>
      <c r="CH1250" s="341" t="str">
        <f>IFERROR(VLOOKUP(BY1250,'RawPL+D'!$O$8:$AB$503,13,FALSE),"-")</f>
        <v>-</v>
      </c>
      <c r="CI1250" s="338" t="str">
        <f t="shared" si="507"/>
        <v>-</v>
      </c>
    </row>
    <row r="1251" spans="1:87" ht="12.75" hidden="1" customHeight="1" x14ac:dyDescent="0.2">
      <c r="A1251" s="28">
        <v>4</v>
      </c>
      <c r="B1251" s="28">
        <v>1</v>
      </c>
      <c r="C1251" s="11">
        <v>27</v>
      </c>
      <c r="D1251" s="13" t="s">
        <v>302</v>
      </c>
      <c r="E1251" s="10" t="s">
        <v>67</v>
      </c>
      <c r="F1251" s="10" t="s">
        <v>207</v>
      </c>
      <c r="G1251" s="10"/>
      <c r="H1251" s="10"/>
      <c r="I1251" s="10"/>
      <c r="J1251" s="10"/>
      <c r="K1251" s="360"/>
      <c r="L1251" s="361"/>
      <c r="M1251" s="366"/>
      <c r="N1251" s="365"/>
      <c r="O1251" s="371"/>
      <c r="P1251" s="379"/>
      <c r="Q1251" s="381"/>
      <c r="R1251" s="374"/>
      <c r="S1251" s="365"/>
      <c r="T1251" s="375"/>
      <c r="U1251" s="375"/>
      <c r="V1251" s="371"/>
      <c r="W1251" s="362"/>
      <c r="X1251" s="364"/>
      <c r="Y1251" s="362"/>
      <c r="Z1251" s="363"/>
      <c r="AA1251" s="362"/>
      <c r="AB1251" s="362"/>
      <c r="AC1251" s="362"/>
      <c r="AD1251" s="362"/>
      <c r="AE1251" s="362"/>
      <c r="AF1251" s="362"/>
      <c r="AG1251" s="363"/>
      <c r="AH1251" s="493"/>
      <c r="AI1251" s="337"/>
      <c r="AJ1251" s="337"/>
      <c r="AK1251" s="337"/>
      <c r="AL1251" s="412"/>
      <c r="AM1251" s="414"/>
      <c r="AN1251" s="45"/>
      <c r="AO1251" s="45"/>
      <c r="AP1251" s="45"/>
      <c r="AQ1251" s="396"/>
      <c r="AR1251" s="100"/>
      <c r="AS1251" s="100"/>
      <c r="AT1251" s="24"/>
      <c r="AU1251" s="24"/>
      <c r="AV1251" s="24"/>
      <c r="AW1251" s="18">
        <v>27</v>
      </c>
      <c r="AX1251" s="69" t="s">
        <v>302</v>
      </c>
      <c r="AY1251" s="243" t="s">
        <v>67</v>
      </c>
      <c r="AZ1251" s="243" t="str">
        <f t="shared" si="511"/>
        <v>Sockeye</v>
      </c>
      <c r="BA1251" s="243" t="s">
        <v>419</v>
      </c>
      <c r="BB1251" s="246"/>
      <c r="BC1251" s="43" t="str">
        <f t="shared" si="512"/>
        <v>-</v>
      </c>
      <c r="BD1251" s="43">
        <f t="shared" si="510"/>
        <v>0</v>
      </c>
      <c r="BE1251" s="193">
        <f t="shared" si="524"/>
        <v>0</v>
      </c>
      <c r="BF1251" s="193">
        <f t="shared" si="513"/>
        <v>0</v>
      </c>
      <c r="BG1251" s="193">
        <f t="shared" si="514"/>
        <v>0</v>
      </c>
      <c r="BH1251" s="307" t="str">
        <f t="shared" si="527"/>
        <v>-</v>
      </c>
      <c r="BI1251" s="265" t="str">
        <f t="shared" si="530"/>
        <v>-</v>
      </c>
      <c r="BJ1251" s="26" t="str">
        <f t="shared" si="515"/>
        <v>BENSON RIVERSockeye</v>
      </c>
      <c r="BK1251" s="26">
        <f t="shared" si="516"/>
        <v>0</v>
      </c>
      <c r="BL1251" s="33">
        <f t="shared" si="502"/>
        <v>0</v>
      </c>
      <c r="BQ1251" s="47" t="str">
        <f t="shared" si="517"/>
        <v>BENSON RIVERSockeye</v>
      </c>
      <c r="BR1251" s="49">
        <f t="shared" si="518"/>
        <v>0</v>
      </c>
      <c r="BS1251" s="49">
        <f t="shared" si="531"/>
        <v>0</v>
      </c>
      <c r="BT1251" s="31">
        <v>0</v>
      </c>
      <c r="BU1251" s="188">
        <f t="shared" si="519"/>
        <v>0</v>
      </c>
      <c r="BV1251" s="188" t="str">
        <f t="shared" si="523"/>
        <v xml:space="preserve"> </v>
      </c>
      <c r="BW1251" s="188" t="str">
        <f t="shared" ref="BW1251:BW1268" si="532">IF(ISNUMBER(W1251),W$8,IF(ISNUMBER(V1251),V$8,IF(ISNUMBER(U1251),U$8,IF(ISNUMBER(T1251),T$8,IF(ISNUMBER(S1251),S$8,IF(ISNUMBER(R1251),R$8," "))))))</f>
        <v xml:space="preserve"> </v>
      </c>
      <c r="BX1251" s="188" t="str">
        <f t="shared" si="520"/>
        <v xml:space="preserve"> </v>
      </c>
      <c r="BY1251" s="50" t="str">
        <f t="shared" si="529"/>
        <v>BENSON RIVER_Sockeye</v>
      </c>
      <c r="BZ1251" s="50" t="str">
        <f>IFERROR(VLOOKUP(BY1251,'[1]WCVI Esc'!$C$5:$W$555,18,FALSE),"-")</f>
        <v>-</v>
      </c>
      <c r="CA1251" s="50" t="str">
        <f t="shared" si="521"/>
        <v>-</v>
      </c>
      <c r="CB1251" s="50" t="str">
        <f>IFERROR(VLOOKUP(BY1251,'[1]WCVI Esc'!$C$5:$W$555,19,FALSE),"-")</f>
        <v>-</v>
      </c>
      <c r="CC1251" s="50" t="str">
        <f t="shared" si="522"/>
        <v>-</v>
      </c>
      <c r="CE1251" s="342" t="str">
        <f t="shared" si="528"/>
        <v>BENSON RIVER_Sockeye</v>
      </c>
      <c r="CF1251" s="341" t="str">
        <f>IFERROR(VLOOKUP(BY1251,'RawPL+D'!$O$8:$AB$503,12,FALSE),"-")</f>
        <v>-</v>
      </c>
      <c r="CG1251" s="338" t="str">
        <f t="shared" si="506"/>
        <v>-</v>
      </c>
      <c r="CH1251" s="341" t="str">
        <f>IFERROR(VLOOKUP(BY1251,'RawPL+D'!$O$8:$AB$503,13,FALSE),"-")</f>
        <v>-</v>
      </c>
      <c r="CI1251" s="338" t="str">
        <f t="shared" si="507"/>
        <v>-</v>
      </c>
    </row>
    <row r="1252" spans="1:87" ht="12.75" hidden="1" customHeight="1" x14ac:dyDescent="0.2">
      <c r="A1252" s="28">
        <v>4</v>
      </c>
      <c r="B1252" s="28">
        <v>2</v>
      </c>
      <c r="C1252" s="11">
        <v>27</v>
      </c>
      <c r="D1252" s="13" t="s">
        <v>302</v>
      </c>
      <c r="E1252" s="10" t="s">
        <v>67</v>
      </c>
      <c r="F1252" s="10" t="s">
        <v>219</v>
      </c>
      <c r="G1252" s="10"/>
      <c r="H1252" s="10"/>
      <c r="I1252" s="10"/>
      <c r="J1252" s="10"/>
      <c r="K1252" s="360"/>
      <c r="L1252" s="361"/>
      <c r="M1252" s="366"/>
      <c r="N1252" s="365"/>
      <c r="O1252" s="371"/>
      <c r="P1252" s="379"/>
      <c r="Q1252" s="381"/>
      <c r="R1252" s="374"/>
      <c r="S1252" s="365"/>
      <c r="T1252" s="375"/>
      <c r="U1252" s="375"/>
      <c r="V1252" s="371"/>
      <c r="W1252" s="362"/>
      <c r="X1252" s="364"/>
      <c r="Y1252" s="362"/>
      <c r="Z1252" s="363"/>
      <c r="AA1252" s="362"/>
      <c r="AB1252" s="362"/>
      <c r="AC1252" s="362"/>
      <c r="AD1252" s="362"/>
      <c r="AE1252" s="362"/>
      <c r="AF1252" s="362"/>
      <c r="AG1252" s="363"/>
      <c r="AH1252" s="493"/>
      <c r="AI1252" s="337"/>
      <c r="AJ1252" s="337"/>
      <c r="AK1252" s="337"/>
      <c r="AL1252" s="412"/>
      <c r="AM1252" s="414"/>
      <c r="AN1252" s="45"/>
      <c r="AO1252" s="45"/>
      <c r="AP1252" s="45"/>
      <c r="AQ1252" s="396"/>
      <c r="AR1252" s="100"/>
      <c r="AS1252" s="24"/>
      <c r="AT1252" s="24"/>
      <c r="AU1252" s="24"/>
      <c r="AV1252" s="24"/>
      <c r="AW1252" s="18">
        <v>27</v>
      </c>
      <c r="AX1252" s="69" t="s">
        <v>302</v>
      </c>
      <c r="AY1252" s="243" t="s">
        <v>67</v>
      </c>
      <c r="AZ1252" s="243" t="str">
        <f t="shared" si="511"/>
        <v>Coho</v>
      </c>
      <c r="BA1252" s="243" t="s">
        <v>419</v>
      </c>
      <c r="BB1252" s="246"/>
      <c r="BC1252" s="43" t="str">
        <f t="shared" si="512"/>
        <v>-</v>
      </c>
      <c r="BD1252" s="43">
        <f t="shared" si="510"/>
        <v>0</v>
      </c>
      <c r="BE1252" s="193">
        <f t="shared" si="524"/>
        <v>0</v>
      </c>
      <c r="BF1252" s="193">
        <f t="shared" si="513"/>
        <v>0</v>
      </c>
      <c r="BG1252" s="193">
        <f t="shared" si="514"/>
        <v>0</v>
      </c>
      <c r="BH1252" s="307" t="str">
        <f t="shared" si="527"/>
        <v>-</v>
      </c>
      <c r="BI1252" s="265">
        <f t="shared" si="530"/>
        <v>30</v>
      </c>
      <c r="BJ1252" s="26" t="str">
        <f t="shared" si="515"/>
        <v>BENSON RIVERCoho</v>
      </c>
      <c r="BK1252" s="26">
        <f t="shared" si="516"/>
        <v>0</v>
      </c>
      <c r="BL1252" s="33">
        <f t="shared" si="502"/>
        <v>0</v>
      </c>
      <c r="BN1252" s="34"/>
      <c r="BQ1252" s="47" t="str">
        <f t="shared" si="517"/>
        <v>BENSON RIVERCoho</v>
      </c>
      <c r="BR1252" s="49">
        <f t="shared" si="518"/>
        <v>0</v>
      </c>
      <c r="BS1252" s="49">
        <f t="shared" si="531"/>
        <v>0</v>
      </c>
      <c r="BT1252" s="31">
        <v>2011</v>
      </c>
      <c r="BU1252" s="188">
        <f t="shared" si="519"/>
        <v>0</v>
      </c>
      <c r="BV1252" s="188" t="str">
        <f t="shared" si="523"/>
        <v xml:space="preserve"> </v>
      </c>
      <c r="BW1252" s="188" t="str">
        <f t="shared" si="532"/>
        <v xml:space="preserve"> </v>
      </c>
      <c r="BX1252" s="188" t="str">
        <f t="shared" si="520"/>
        <v xml:space="preserve"> </v>
      </c>
      <c r="BY1252" s="50" t="str">
        <f t="shared" si="529"/>
        <v>BENSON RIVER_Coho</v>
      </c>
      <c r="BZ1252" s="50" t="str">
        <f>IFERROR(VLOOKUP(BY1252,'[1]WCVI Esc'!$C$5:$W$555,18,FALSE),"-")</f>
        <v>-</v>
      </c>
      <c r="CA1252" s="50" t="str">
        <f t="shared" si="521"/>
        <v>-</v>
      </c>
      <c r="CB1252" s="50">
        <f>IFERROR(VLOOKUP(BY1252,'[1]WCVI Esc'!$C$5:$W$555,19,FALSE),"-")</f>
        <v>27</v>
      </c>
      <c r="CC1252" s="50">
        <f t="shared" si="522"/>
        <v>30</v>
      </c>
      <c r="CE1252" s="342" t="str">
        <f t="shared" si="528"/>
        <v>BENSON RIVER_Coho</v>
      </c>
      <c r="CF1252" s="341" t="str">
        <f>IFERROR(VLOOKUP(BY1252,'RawPL+D'!$O$8:$AB$503,12,FALSE),"-")</f>
        <v>-</v>
      </c>
      <c r="CG1252" s="338" t="str">
        <f t="shared" si="506"/>
        <v>-</v>
      </c>
      <c r="CH1252" s="341" t="str">
        <f>IFERROR(VLOOKUP(BY1252,'RawPL+D'!$O$8:$AB$503,13,FALSE),"-")</f>
        <v>-</v>
      </c>
      <c r="CI1252" s="338" t="str">
        <f t="shared" si="507"/>
        <v>-</v>
      </c>
    </row>
    <row r="1253" spans="1:87" ht="12.75" hidden="1" customHeight="1" x14ac:dyDescent="0.2">
      <c r="A1253" s="28">
        <v>4</v>
      </c>
      <c r="B1253" s="28">
        <v>3</v>
      </c>
      <c r="C1253" s="11">
        <v>27</v>
      </c>
      <c r="D1253" s="13" t="s">
        <v>302</v>
      </c>
      <c r="E1253" s="10" t="s">
        <v>67</v>
      </c>
      <c r="F1253" s="10" t="s">
        <v>208</v>
      </c>
      <c r="G1253" s="10"/>
      <c r="H1253" s="10"/>
      <c r="I1253" s="10"/>
      <c r="J1253" s="10"/>
      <c r="K1253" s="360"/>
      <c r="L1253" s="361"/>
      <c r="M1253" s="366"/>
      <c r="N1253" s="365"/>
      <c r="O1253" s="371"/>
      <c r="P1253" s="379"/>
      <c r="Q1253" s="381"/>
      <c r="R1253" s="374"/>
      <c r="S1253" s="365"/>
      <c r="T1253" s="375"/>
      <c r="U1253" s="375"/>
      <c r="V1253" s="371"/>
      <c r="W1253" s="362"/>
      <c r="X1253" s="364"/>
      <c r="Y1253" s="362"/>
      <c r="Z1253" s="363"/>
      <c r="AA1253" s="362"/>
      <c r="AB1253" s="362"/>
      <c r="AC1253" s="362"/>
      <c r="AD1253" s="362"/>
      <c r="AE1253" s="362"/>
      <c r="AF1253" s="362"/>
      <c r="AG1253" s="363"/>
      <c r="AH1253" s="493"/>
      <c r="AI1253" s="337"/>
      <c r="AJ1253" s="337"/>
      <c r="AK1253" s="337"/>
      <c r="AL1253" s="412"/>
      <c r="AM1253" s="414"/>
      <c r="AN1253" s="45"/>
      <c r="AO1253" s="45"/>
      <c r="AP1253" s="45"/>
      <c r="AQ1253" s="396"/>
      <c r="AR1253" s="100"/>
      <c r="AS1253" s="100"/>
      <c r="AT1253" s="24"/>
      <c r="AU1253" s="24"/>
      <c r="AV1253" s="24"/>
      <c r="AW1253" s="18">
        <v>27</v>
      </c>
      <c r="AX1253" s="69" t="s">
        <v>302</v>
      </c>
      <c r="AY1253" s="243" t="s">
        <v>67</v>
      </c>
      <c r="AZ1253" s="243" t="str">
        <f t="shared" si="511"/>
        <v>Pink</v>
      </c>
      <c r="BA1253" s="243" t="s">
        <v>419</v>
      </c>
      <c r="BB1253" s="246"/>
      <c r="BC1253" s="43" t="str">
        <f t="shared" si="512"/>
        <v>-</v>
      </c>
      <c r="BD1253" s="43">
        <f t="shared" si="510"/>
        <v>0</v>
      </c>
      <c r="BE1253" s="193">
        <f t="shared" si="524"/>
        <v>0</v>
      </c>
      <c r="BF1253" s="193">
        <f t="shared" si="513"/>
        <v>0</v>
      </c>
      <c r="BG1253" s="193">
        <f t="shared" si="514"/>
        <v>0</v>
      </c>
      <c r="BH1253" s="307" t="str">
        <f t="shared" si="527"/>
        <v>-</v>
      </c>
      <c r="BI1253" s="265" t="str">
        <f t="shared" si="530"/>
        <v>-</v>
      </c>
      <c r="BJ1253" s="26" t="str">
        <f t="shared" si="515"/>
        <v>BENSON RIVERPink</v>
      </c>
      <c r="BK1253" s="26">
        <f t="shared" si="516"/>
        <v>0</v>
      </c>
      <c r="BL1253" s="33">
        <f t="shared" si="502"/>
        <v>0</v>
      </c>
      <c r="BN1253" s="34"/>
      <c r="BQ1253" s="47" t="str">
        <f t="shared" si="517"/>
        <v>BENSON RIVERPink</v>
      </c>
      <c r="BR1253" s="49">
        <f t="shared" si="518"/>
        <v>0</v>
      </c>
      <c r="BS1253" s="49">
        <f t="shared" si="531"/>
        <v>0</v>
      </c>
      <c r="BT1253" s="31">
        <v>0</v>
      </c>
      <c r="BU1253" s="188">
        <f t="shared" si="519"/>
        <v>0</v>
      </c>
      <c r="BV1253" s="188" t="str">
        <f t="shared" si="523"/>
        <v xml:space="preserve"> </v>
      </c>
      <c r="BW1253" s="188" t="str">
        <f t="shared" si="532"/>
        <v xml:space="preserve"> </v>
      </c>
      <c r="BX1253" s="188" t="str">
        <f t="shared" si="520"/>
        <v xml:space="preserve"> </v>
      </c>
      <c r="BY1253" s="50" t="str">
        <f t="shared" si="529"/>
        <v>BENSON RIVER_Pink</v>
      </c>
      <c r="BZ1253" s="50" t="str">
        <f>IFERROR(VLOOKUP(BY1253,'[1]WCVI Esc'!$C$5:$W$555,18,FALSE),"-")</f>
        <v>-</v>
      </c>
      <c r="CA1253" s="50" t="str">
        <f t="shared" si="521"/>
        <v>-</v>
      </c>
      <c r="CB1253" s="50" t="str">
        <f>IFERROR(VLOOKUP(BY1253,'[1]WCVI Esc'!$C$5:$W$555,19,FALSE),"-")</f>
        <v>-</v>
      </c>
      <c r="CC1253" s="50" t="str">
        <f t="shared" si="522"/>
        <v>-</v>
      </c>
      <c r="CE1253" s="342" t="str">
        <f t="shared" si="528"/>
        <v>BENSON RIVER_Pink</v>
      </c>
      <c r="CF1253" s="341" t="str">
        <f>IFERROR(VLOOKUP(BY1253,'RawPL+D'!$O$8:$AB$503,12,FALSE),"-")</f>
        <v>-</v>
      </c>
      <c r="CG1253" s="338" t="str">
        <f t="shared" si="506"/>
        <v>-</v>
      </c>
      <c r="CH1253" s="341" t="str">
        <f>IFERROR(VLOOKUP(BY1253,'RawPL+D'!$O$8:$AB$503,13,FALSE),"-")</f>
        <v>-</v>
      </c>
      <c r="CI1253" s="338" t="str">
        <f t="shared" si="507"/>
        <v>-</v>
      </c>
    </row>
    <row r="1254" spans="1:87" ht="12.75" hidden="1" customHeight="1" x14ac:dyDescent="0.2">
      <c r="A1254" s="28">
        <v>4</v>
      </c>
      <c r="B1254" s="28">
        <v>4</v>
      </c>
      <c r="C1254" s="11">
        <v>27</v>
      </c>
      <c r="D1254" s="13" t="s">
        <v>302</v>
      </c>
      <c r="E1254" s="10" t="s">
        <v>67</v>
      </c>
      <c r="F1254" s="10" t="s">
        <v>209</v>
      </c>
      <c r="G1254" s="10"/>
      <c r="H1254" s="10"/>
      <c r="I1254" s="10"/>
      <c r="J1254" s="10"/>
      <c r="K1254" s="360"/>
      <c r="L1254" s="361"/>
      <c r="M1254" s="366"/>
      <c r="N1254" s="365"/>
      <c r="O1254" s="371"/>
      <c r="P1254" s="379"/>
      <c r="Q1254" s="381"/>
      <c r="R1254" s="374"/>
      <c r="S1254" s="365"/>
      <c r="T1254" s="375"/>
      <c r="U1254" s="375"/>
      <c r="V1254" s="371"/>
      <c r="W1254" s="362"/>
      <c r="X1254" s="364"/>
      <c r="Y1254" s="362"/>
      <c r="Z1254" s="363"/>
      <c r="AA1254" s="362"/>
      <c r="AB1254" s="362"/>
      <c r="AC1254" s="362"/>
      <c r="AD1254" s="362"/>
      <c r="AE1254" s="362"/>
      <c r="AF1254" s="362"/>
      <c r="AG1254" s="363"/>
      <c r="AH1254" s="493"/>
      <c r="AI1254" s="337"/>
      <c r="AJ1254" s="337"/>
      <c r="AK1254" s="337"/>
      <c r="AL1254" s="412"/>
      <c r="AM1254" s="414"/>
      <c r="AN1254" s="45"/>
      <c r="AO1254" s="45"/>
      <c r="AP1254" s="45"/>
      <c r="AQ1254" s="396"/>
      <c r="AR1254" s="100"/>
      <c r="AS1254" s="24"/>
      <c r="AT1254" s="24"/>
      <c r="AU1254" s="24"/>
      <c r="AV1254" s="24"/>
      <c r="AW1254" s="18">
        <v>27</v>
      </c>
      <c r="AX1254" s="69" t="s">
        <v>302</v>
      </c>
      <c r="AY1254" s="243" t="s">
        <v>67</v>
      </c>
      <c r="AZ1254" s="243" t="str">
        <f t="shared" si="511"/>
        <v>Chum</v>
      </c>
      <c r="BA1254" s="243" t="s">
        <v>419</v>
      </c>
      <c r="BB1254" s="246"/>
      <c r="BC1254" s="43" t="str">
        <f t="shared" si="512"/>
        <v>-</v>
      </c>
      <c r="BD1254" s="43">
        <f t="shared" si="510"/>
        <v>0</v>
      </c>
      <c r="BE1254" s="193">
        <f t="shared" si="524"/>
        <v>0</v>
      </c>
      <c r="BF1254" s="193">
        <f t="shared" si="513"/>
        <v>0</v>
      </c>
      <c r="BG1254" s="193">
        <f t="shared" si="514"/>
        <v>0</v>
      </c>
      <c r="BH1254" s="307" t="str">
        <f t="shared" si="527"/>
        <v>-</v>
      </c>
      <c r="BI1254" s="265" t="str">
        <f t="shared" si="530"/>
        <v>-</v>
      </c>
      <c r="BJ1254" s="26" t="str">
        <f t="shared" si="515"/>
        <v>BENSON RIVERChum</v>
      </c>
      <c r="BK1254" s="26">
        <f t="shared" si="516"/>
        <v>0</v>
      </c>
      <c r="BL1254" s="33">
        <f t="shared" si="502"/>
        <v>0</v>
      </c>
      <c r="BN1254" s="34"/>
      <c r="BQ1254" s="47" t="str">
        <f t="shared" si="517"/>
        <v>BENSON RIVERChum</v>
      </c>
      <c r="BR1254" s="49">
        <f t="shared" si="518"/>
        <v>0</v>
      </c>
      <c r="BS1254" s="49">
        <f t="shared" si="531"/>
        <v>0</v>
      </c>
      <c r="BT1254" s="31">
        <v>0</v>
      </c>
      <c r="BU1254" s="188">
        <f t="shared" si="519"/>
        <v>0</v>
      </c>
      <c r="BV1254" s="188" t="str">
        <f t="shared" si="523"/>
        <v xml:space="preserve"> </v>
      </c>
      <c r="BW1254" s="188" t="str">
        <f t="shared" si="532"/>
        <v xml:space="preserve"> </v>
      </c>
      <c r="BX1254" s="188" t="str">
        <f t="shared" si="520"/>
        <v xml:space="preserve"> </v>
      </c>
      <c r="BY1254" s="50" t="str">
        <f t="shared" si="529"/>
        <v>BENSON RIVER_Chum</v>
      </c>
      <c r="BZ1254" s="50" t="str">
        <f>IFERROR(VLOOKUP(BY1254,'[1]WCVI Esc'!$C$5:$W$555,18,FALSE),"-")</f>
        <v>-</v>
      </c>
      <c r="CA1254" s="50" t="str">
        <f t="shared" si="521"/>
        <v>-</v>
      </c>
      <c r="CB1254" s="50" t="str">
        <f>IFERROR(VLOOKUP(BY1254,'[1]WCVI Esc'!$C$5:$W$555,19,FALSE),"-")</f>
        <v>-</v>
      </c>
      <c r="CC1254" s="50" t="str">
        <f t="shared" si="522"/>
        <v>-</v>
      </c>
      <c r="CE1254" s="342" t="str">
        <f t="shared" si="528"/>
        <v>BENSON RIVER_Chum</v>
      </c>
      <c r="CF1254" s="341" t="str">
        <f>IFERROR(VLOOKUP(BY1254,'RawPL+D'!$O$8:$AB$503,12,FALSE),"-")</f>
        <v>-</v>
      </c>
      <c r="CG1254" s="338" t="str">
        <f t="shared" si="506"/>
        <v>-</v>
      </c>
      <c r="CH1254" s="341" t="str">
        <f>IFERROR(VLOOKUP(BY1254,'RawPL+D'!$O$8:$AB$503,13,FALSE),"-")</f>
        <v>-</v>
      </c>
      <c r="CI1254" s="338" t="str">
        <f t="shared" si="507"/>
        <v>-</v>
      </c>
    </row>
    <row r="1255" spans="1:87" ht="12.75" hidden="1" customHeight="1" x14ac:dyDescent="0.2">
      <c r="A1255" s="28">
        <v>4</v>
      </c>
      <c r="B1255" s="28">
        <v>5</v>
      </c>
      <c r="C1255" s="11">
        <v>27</v>
      </c>
      <c r="D1255" s="13" t="s">
        <v>302</v>
      </c>
      <c r="E1255" s="10" t="s">
        <v>67</v>
      </c>
      <c r="F1255" s="10" t="s">
        <v>210</v>
      </c>
      <c r="G1255" s="10"/>
      <c r="H1255" s="10"/>
      <c r="I1255" s="10"/>
      <c r="J1255" s="10"/>
      <c r="K1255" s="360"/>
      <c r="L1255" s="361"/>
      <c r="M1255" s="366"/>
      <c r="N1255" s="365"/>
      <c r="O1255" s="371"/>
      <c r="P1255" s="379"/>
      <c r="Q1255" s="381"/>
      <c r="R1255" s="374"/>
      <c r="S1255" s="365"/>
      <c r="T1255" s="375"/>
      <c r="U1255" s="375"/>
      <c r="V1255" s="371"/>
      <c r="W1255" s="362"/>
      <c r="X1255" s="364"/>
      <c r="Y1255" s="362"/>
      <c r="Z1255" s="363"/>
      <c r="AA1255" s="362"/>
      <c r="AB1255" s="362"/>
      <c r="AC1255" s="362"/>
      <c r="AD1255" s="362"/>
      <c r="AE1255" s="362"/>
      <c r="AF1255" s="362"/>
      <c r="AG1255" s="363"/>
      <c r="AH1255" s="493"/>
      <c r="AI1255" s="337"/>
      <c r="AJ1255" s="337"/>
      <c r="AK1255" s="337"/>
      <c r="AL1255" s="412"/>
      <c r="AM1255" s="414"/>
      <c r="AN1255" s="45"/>
      <c r="AO1255" s="45"/>
      <c r="AP1255" s="45"/>
      <c r="AQ1255" s="396"/>
      <c r="AR1255" s="100"/>
      <c r="AS1255" s="24"/>
      <c r="AT1255" s="24"/>
      <c r="AU1255" s="24"/>
      <c r="AV1255" s="24"/>
      <c r="AW1255" s="18">
        <v>27</v>
      </c>
      <c r="AX1255" s="69" t="s">
        <v>302</v>
      </c>
      <c r="AY1255" s="243" t="s">
        <v>67</v>
      </c>
      <c r="AZ1255" s="243" t="str">
        <f t="shared" si="511"/>
        <v>Chinook</v>
      </c>
      <c r="BA1255" s="243" t="s">
        <v>419</v>
      </c>
      <c r="BB1255" s="246"/>
      <c r="BC1255" s="43" t="str">
        <f t="shared" si="512"/>
        <v>-</v>
      </c>
      <c r="BD1255" s="43">
        <f t="shared" si="510"/>
        <v>0</v>
      </c>
      <c r="BE1255" s="193">
        <f t="shared" si="524"/>
        <v>0</v>
      </c>
      <c r="BF1255" s="193">
        <f t="shared" si="513"/>
        <v>0</v>
      </c>
      <c r="BG1255" s="193">
        <f t="shared" si="514"/>
        <v>0</v>
      </c>
      <c r="BH1255" s="307" t="str">
        <f t="shared" si="527"/>
        <v>-</v>
      </c>
      <c r="BI1255" s="265">
        <f t="shared" si="530"/>
        <v>0</v>
      </c>
      <c r="BJ1255" s="26" t="str">
        <f t="shared" si="515"/>
        <v>BENSON RIVERChinook</v>
      </c>
      <c r="BK1255" s="26">
        <f t="shared" si="516"/>
        <v>0</v>
      </c>
      <c r="BL1255" s="33">
        <f t="shared" ref="BL1255:BL1268" si="533">MAX(K1255:AB1255)</f>
        <v>0</v>
      </c>
      <c r="BN1255" s="34"/>
      <c r="BQ1255" s="47" t="str">
        <f t="shared" si="517"/>
        <v>BENSON RIVERChinook</v>
      </c>
      <c r="BR1255" s="49">
        <f t="shared" si="518"/>
        <v>0</v>
      </c>
      <c r="BS1255" s="49">
        <f t="shared" si="531"/>
        <v>0</v>
      </c>
      <c r="BT1255" s="31">
        <v>2011</v>
      </c>
      <c r="BU1255" s="188">
        <f t="shared" si="519"/>
        <v>0</v>
      </c>
      <c r="BV1255" s="188" t="str">
        <f t="shared" si="523"/>
        <v xml:space="preserve"> </v>
      </c>
      <c r="BW1255" s="188" t="str">
        <f t="shared" si="532"/>
        <v xml:space="preserve"> </v>
      </c>
      <c r="BX1255" s="188" t="str">
        <f t="shared" si="520"/>
        <v xml:space="preserve"> </v>
      </c>
      <c r="BY1255" s="50" t="str">
        <f t="shared" si="529"/>
        <v>BENSON RIVER_Chinook</v>
      </c>
      <c r="BZ1255" s="50" t="str">
        <f>IFERROR(VLOOKUP(BY1255,'[1]WCVI Esc'!$C$5:$W$555,18,FALSE),"-")</f>
        <v>-</v>
      </c>
      <c r="CA1255" s="50" t="str">
        <f t="shared" si="521"/>
        <v>-</v>
      </c>
      <c r="CB1255" s="50">
        <f>IFERROR(VLOOKUP(BY1255,'[1]WCVI Esc'!$C$5:$W$555,19,FALSE),"-")</f>
        <v>2</v>
      </c>
      <c r="CC1255" s="50">
        <f t="shared" si="522"/>
        <v>0</v>
      </c>
      <c r="CE1255" s="342" t="str">
        <f>CONCATENATE("COLONIAL/CAYEGHLE CREEKS","_",F1255)</f>
        <v>COLONIAL/CAYEGHLE CREEKS_Chinook</v>
      </c>
      <c r="CF1255" s="341" t="str">
        <f>IFERROR(VLOOKUP(BY1255,'RawPL+D'!$O$8:$AB$503,12,FALSE),"-")</f>
        <v>-</v>
      </c>
      <c r="CG1255" s="338" t="str">
        <f t="shared" si="506"/>
        <v>-</v>
      </c>
      <c r="CH1255" s="341" t="str">
        <f>IFERROR(VLOOKUP(BY1255,'RawPL+D'!$O$8:$AB$503,13,FALSE),"-")</f>
        <v>-</v>
      </c>
      <c r="CI1255" s="338" t="str">
        <f t="shared" si="507"/>
        <v>-</v>
      </c>
    </row>
    <row r="1256" spans="1:87" ht="12.75" hidden="1" customHeight="1" x14ac:dyDescent="0.2">
      <c r="A1256" s="28">
        <v>4</v>
      </c>
      <c r="B1256" s="28">
        <v>6</v>
      </c>
      <c r="C1256" s="11">
        <v>27</v>
      </c>
      <c r="D1256" s="13" t="s">
        <v>302</v>
      </c>
      <c r="E1256" s="10" t="s">
        <v>67</v>
      </c>
      <c r="F1256" s="10" t="s">
        <v>211</v>
      </c>
      <c r="G1256" s="10"/>
      <c r="H1256" s="10"/>
      <c r="I1256" s="10"/>
      <c r="J1256" s="10"/>
      <c r="K1256" s="360"/>
      <c r="L1256" s="361"/>
      <c r="M1256" s="366"/>
      <c r="N1256" s="365"/>
      <c r="O1256" s="371"/>
      <c r="P1256" s="379"/>
      <c r="Q1256" s="381"/>
      <c r="R1256" s="374"/>
      <c r="S1256" s="365"/>
      <c r="T1256" s="375"/>
      <c r="U1256" s="375"/>
      <c r="V1256" s="371"/>
      <c r="W1256" s="362"/>
      <c r="X1256" s="364"/>
      <c r="Y1256" s="362"/>
      <c r="Z1256" s="363"/>
      <c r="AA1256" s="362"/>
      <c r="AB1256" s="362"/>
      <c r="AC1256" s="362"/>
      <c r="AD1256" s="362"/>
      <c r="AE1256" s="362"/>
      <c r="AF1256" s="362"/>
      <c r="AG1256" s="363"/>
      <c r="AH1256" s="493"/>
      <c r="AI1256" s="337"/>
      <c r="AJ1256" s="337"/>
      <c r="AK1256" s="337"/>
      <c r="AL1256" s="412"/>
      <c r="AM1256" s="414"/>
      <c r="AN1256" s="45"/>
      <c r="AO1256" s="45"/>
      <c r="AP1256" s="45"/>
      <c r="AQ1256" s="396"/>
      <c r="AR1256" s="100"/>
      <c r="AS1256" s="100"/>
      <c r="AT1256" s="24"/>
      <c r="AU1256" s="24"/>
      <c r="AV1256" s="24"/>
      <c r="AW1256" s="355">
        <v>27</v>
      </c>
      <c r="AX1256" s="69" t="s">
        <v>302</v>
      </c>
      <c r="AY1256" s="357" t="s">
        <v>67</v>
      </c>
      <c r="AZ1256" s="243" t="str">
        <f t="shared" si="511"/>
        <v>Steelhead</v>
      </c>
      <c r="BA1256" s="357" t="s">
        <v>419</v>
      </c>
      <c r="BB1256" s="386"/>
      <c r="BC1256" s="348" t="str">
        <f t="shared" si="512"/>
        <v>-</v>
      </c>
      <c r="BD1256" s="348">
        <f t="shared" si="510"/>
        <v>0</v>
      </c>
      <c r="BE1256" s="349">
        <f t="shared" si="524"/>
        <v>0</v>
      </c>
      <c r="BF1256" s="193">
        <f t="shared" si="513"/>
        <v>0</v>
      </c>
      <c r="BG1256" s="193">
        <f t="shared" si="514"/>
        <v>0</v>
      </c>
      <c r="BH1256" s="350" t="str">
        <f t="shared" si="527"/>
        <v>-</v>
      </c>
      <c r="BI1256" s="486" t="str">
        <f t="shared" si="530"/>
        <v>-</v>
      </c>
      <c r="BJ1256" s="26" t="str">
        <f t="shared" si="515"/>
        <v>BENSON RIVERSteelhead</v>
      </c>
      <c r="BK1256" s="26">
        <f t="shared" si="516"/>
        <v>0</v>
      </c>
      <c r="BL1256" s="33">
        <f t="shared" si="533"/>
        <v>0</v>
      </c>
      <c r="BN1256" s="34"/>
      <c r="BQ1256" s="47" t="str">
        <f t="shared" si="517"/>
        <v>BENSON RIVERSteelhead</v>
      </c>
      <c r="BR1256" s="49">
        <f t="shared" si="518"/>
        <v>0</v>
      </c>
      <c r="BS1256" s="49">
        <f t="shared" si="531"/>
        <v>0</v>
      </c>
      <c r="BT1256" s="31">
        <v>0</v>
      </c>
      <c r="BU1256" s="188">
        <f t="shared" si="519"/>
        <v>0</v>
      </c>
      <c r="BV1256" s="188" t="str">
        <f t="shared" si="523"/>
        <v xml:space="preserve"> </v>
      </c>
      <c r="BW1256" s="188" t="str">
        <f t="shared" si="532"/>
        <v xml:space="preserve"> </v>
      </c>
      <c r="BX1256" s="188" t="str">
        <f t="shared" si="520"/>
        <v xml:space="preserve"> </v>
      </c>
      <c r="BY1256" s="50" t="str">
        <f t="shared" si="529"/>
        <v>BENSON RIVER_Steelhead</v>
      </c>
      <c r="BZ1256" s="50" t="str">
        <f>IFERROR(VLOOKUP(BY1256,'[1]WCVI Esc'!$C$5:$W$555,18,FALSE),"-")</f>
        <v>-</v>
      </c>
      <c r="CA1256" s="50" t="str">
        <f t="shared" si="521"/>
        <v>-</v>
      </c>
      <c r="CB1256" s="50" t="str">
        <f>IFERROR(VLOOKUP(BY1256,'[1]WCVI Esc'!$C$5:$W$555,19,FALSE),"-")</f>
        <v>-</v>
      </c>
      <c r="CC1256" s="50" t="str">
        <f t="shared" si="522"/>
        <v>-</v>
      </c>
      <c r="CE1256" s="342" t="str">
        <f>CONCATENATE(E1256,"_",F1256)</f>
        <v>BENSON RIVER_Steelhead</v>
      </c>
      <c r="CF1256" s="341" t="str">
        <f>IFERROR(VLOOKUP(BY1256,'RawPL+D'!$O$8:$AB$503,12,FALSE),"-")</f>
        <v>-</v>
      </c>
      <c r="CG1256" s="338" t="str">
        <f t="shared" si="506"/>
        <v>-</v>
      </c>
      <c r="CH1256" s="341" t="str">
        <f>IFERROR(VLOOKUP(BY1256,'RawPL+D'!$O$8:$AB$503,13,FALSE),"-")</f>
        <v>-</v>
      </c>
      <c r="CI1256" s="338" t="str">
        <f t="shared" si="507"/>
        <v>-</v>
      </c>
    </row>
    <row r="1257" spans="1:87" ht="12.75" hidden="1" customHeight="1" x14ac:dyDescent="0.2">
      <c r="A1257" s="28">
        <v>4</v>
      </c>
      <c r="B1257" s="28">
        <v>1</v>
      </c>
      <c r="C1257" s="11">
        <v>27</v>
      </c>
      <c r="D1257" s="13" t="s">
        <v>302</v>
      </c>
      <c r="E1257" s="10" t="s">
        <v>582</v>
      </c>
      <c r="F1257" s="10" t="s">
        <v>207</v>
      </c>
      <c r="G1257" s="10"/>
      <c r="H1257" s="10"/>
      <c r="I1257" s="10"/>
      <c r="J1257" s="10"/>
      <c r="K1257" s="360"/>
      <c r="L1257" s="385"/>
      <c r="M1257" s="373"/>
      <c r="N1257" s="365"/>
      <c r="O1257" s="371"/>
      <c r="P1257" s="379"/>
      <c r="Q1257" s="381"/>
      <c r="R1257" s="374"/>
      <c r="S1257" s="365"/>
      <c r="T1257" s="375"/>
      <c r="U1257" s="375"/>
      <c r="V1257" s="372"/>
      <c r="W1257" s="362"/>
      <c r="X1257" s="364"/>
      <c r="Y1257" s="362"/>
      <c r="Z1257" s="363"/>
      <c r="AA1257" s="362"/>
      <c r="AB1257" s="362"/>
      <c r="AC1257" s="362"/>
      <c r="AD1257" s="362"/>
      <c r="AE1257" s="362"/>
      <c r="AF1257" s="362"/>
      <c r="AG1257" s="363"/>
      <c r="AH1257" s="493"/>
      <c r="AI1257" s="337"/>
      <c r="AJ1257" s="337"/>
      <c r="AK1257" s="337"/>
      <c r="AL1257" s="415"/>
      <c r="AM1257" s="414"/>
      <c r="AN1257" s="45"/>
      <c r="AO1257" s="45"/>
      <c r="AP1257" s="45"/>
      <c r="AQ1257" s="485"/>
      <c r="AR1257" s="100"/>
      <c r="AS1257" s="100"/>
      <c r="AT1257" s="24"/>
      <c r="AU1257" s="24"/>
      <c r="AV1257" s="24"/>
      <c r="AW1257" s="18">
        <v>27</v>
      </c>
      <c r="AX1257" s="69"/>
      <c r="AY1257" s="243" t="s">
        <v>562</v>
      </c>
      <c r="AZ1257" s="243" t="str">
        <f t="shared" si="511"/>
        <v>Sockeye</v>
      </c>
      <c r="BA1257" s="243" t="s">
        <v>419</v>
      </c>
      <c r="BB1257" s="352" t="s">
        <v>563</v>
      </c>
      <c r="BC1257" s="43" t="str">
        <f t="shared" si="512"/>
        <v>-</v>
      </c>
      <c r="BD1257" s="43">
        <f t="shared" si="510"/>
        <v>0</v>
      </c>
      <c r="BE1257" s="193">
        <f t="shared" si="524"/>
        <v>0</v>
      </c>
      <c r="BF1257" s="193">
        <f t="shared" si="513"/>
        <v>0</v>
      </c>
      <c r="BG1257" s="193">
        <f t="shared" si="514"/>
        <v>0</v>
      </c>
      <c r="BH1257" s="307" t="str">
        <f t="shared" si="527"/>
        <v>-</v>
      </c>
      <c r="BI1257" s="488"/>
      <c r="BJ1257" s="26" t="str">
        <f t="shared" si="515"/>
        <v>EAST CREEKSockeye</v>
      </c>
      <c r="BK1257" s="26">
        <f t="shared" si="516"/>
        <v>0</v>
      </c>
      <c r="BL1257" s="33">
        <f t="shared" si="533"/>
        <v>0</v>
      </c>
      <c r="BN1257" s="34"/>
      <c r="BQ1257" s="47" t="str">
        <f t="shared" si="517"/>
        <v>EAST CREEKSockeye</v>
      </c>
      <c r="BR1257" s="49">
        <f t="shared" si="518"/>
        <v>0</v>
      </c>
      <c r="BS1257" s="49">
        <f t="shared" si="531"/>
        <v>0</v>
      </c>
      <c r="BT1257" s="31"/>
      <c r="BU1257" s="188"/>
      <c r="BV1257" s="188" t="str">
        <f t="shared" si="523"/>
        <v xml:space="preserve"> </v>
      </c>
      <c r="BW1257" s="188" t="str">
        <f t="shared" si="532"/>
        <v xml:space="preserve"> </v>
      </c>
      <c r="BX1257" s="188" t="str">
        <f t="shared" si="520"/>
        <v xml:space="preserve"> </v>
      </c>
      <c r="BY1257" s="50" t="str">
        <f t="shared" si="529"/>
        <v>EAST CREEK_Sockeye</v>
      </c>
      <c r="BZ1257" s="50" t="str">
        <f>IFERROR(VLOOKUP(BY1257,'[1]WCVI Esc'!$C$5:$W$555,18,FALSE),"-")</f>
        <v>-</v>
      </c>
      <c r="CA1257" s="50" t="str">
        <f t="shared" si="521"/>
        <v>-</v>
      </c>
      <c r="CB1257" s="50" t="str">
        <f>IFERROR(VLOOKUP(BY1257,'[1]WCVI Esc'!$C$5:$W$555,19,FALSE),"-")</f>
        <v>-</v>
      </c>
      <c r="CC1257" s="50" t="str">
        <f t="shared" si="522"/>
        <v>-</v>
      </c>
      <c r="CE1257" s="342" t="str">
        <f>CONCATENATE(E1257,"_",F1257)</f>
        <v>EAST CREEK_Sockeye</v>
      </c>
      <c r="CF1257" s="341" t="str">
        <f>IFERROR(VLOOKUP(BY1257,'RawPL+D'!$O$8:$AB$503,12,FALSE),"-")</f>
        <v>-</v>
      </c>
      <c r="CG1257" s="338" t="str">
        <f t="shared" si="506"/>
        <v>-</v>
      </c>
      <c r="CH1257" s="341" t="str">
        <f>IFERROR(VLOOKUP(BY1257,'RawPL+D'!$O$8:$AB$503,13,FALSE),"-")</f>
        <v>-</v>
      </c>
      <c r="CI1257" s="338" t="str">
        <f t="shared" si="507"/>
        <v>-</v>
      </c>
    </row>
    <row r="1258" spans="1:87" ht="12.75" hidden="1" customHeight="1" x14ac:dyDescent="0.2">
      <c r="A1258" s="28">
        <v>4</v>
      </c>
      <c r="B1258" s="28">
        <v>2</v>
      </c>
      <c r="C1258" s="11">
        <v>27</v>
      </c>
      <c r="D1258" s="13" t="s">
        <v>302</v>
      </c>
      <c r="E1258" s="10" t="s">
        <v>582</v>
      </c>
      <c r="F1258" s="10" t="s">
        <v>219</v>
      </c>
      <c r="G1258" s="10"/>
      <c r="H1258" s="10"/>
      <c r="I1258" s="10"/>
      <c r="J1258" s="10"/>
      <c r="K1258" s="360"/>
      <c r="L1258" s="385"/>
      <c r="M1258" s="482"/>
      <c r="N1258" s="376"/>
      <c r="O1258" s="371"/>
      <c r="P1258" s="379"/>
      <c r="Q1258" s="369"/>
      <c r="R1258" s="374"/>
      <c r="S1258" s="365"/>
      <c r="T1258" s="382"/>
      <c r="U1258" s="375"/>
      <c r="V1258" s="378"/>
      <c r="W1258" s="362"/>
      <c r="X1258" s="364"/>
      <c r="Y1258" s="362"/>
      <c r="Z1258" s="363"/>
      <c r="AA1258" s="362"/>
      <c r="AB1258" s="362"/>
      <c r="AC1258" s="362"/>
      <c r="AD1258" s="362"/>
      <c r="AE1258" s="362"/>
      <c r="AF1258" s="362"/>
      <c r="AG1258" s="363"/>
      <c r="AH1258" s="493"/>
      <c r="AI1258" s="337"/>
      <c r="AJ1258" s="337"/>
      <c r="AK1258" s="337"/>
      <c r="AL1258" s="412"/>
      <c r="AM1258" s="414"/>
      <c r="AN1258" s="45"/>
      <c r="AO1258" s="45"/>
      <c r="AP1258" s="45"/>
      <c r="AQ1258" s="100"/>
      <c r="AR1258" s="100"/>
      <c r="AS1258" s="24"/>
      <c r="AT1258" s="24"/>
      <c r="AU1258" s="24"/>
      <c r="AV1258" s="24"/>
      <c r="AW1258" s="18">
        <v>27</v>
      </c>
      <c r="AX1258" s="69"/>
      <c r="AY1258" s="243" t="s">
        <v>562</v>
      </c>
      <c r="AZ1258" s="243" t="str">
        <f t="shared" si="511"/>
        <v>Coho</v>
      </c>
      <c r="BA1258" s="243" t="s">
        <v>419</v>
      </c>
      <c r="BB1258" s="244" t="s">
        <v>563</v>
      </c>
      <c r="BC1258" s="43" t="str">
        <f t="shared" si="512"/>
        <v>-</v>
      </c>
      <c r="BD1258" s="43">
        <f t="shared" si="510"/>
        <v>0</v>
      </c>
      <c r="BE1258" s="193">
        <f t="shared" si="524"/>
        <v>0</v>
      </c>
      <c r="BF1258" s="193">
        <f t="shared" si="513"/>
        <v>0</v>
      </c>
      <c r="BG1258" s="193">
        <f t="shared" si="514"/>
        <v>0</v>
      </c>
      <c r="BH1258" s="307" t="str">
        <f t="shared" si="527"/>
        <v>-</v>
      </c>
      <c r="BI1258" s="265" t="str">
        <f t="shared" ref="BI1258:BI1268" si="534">CC1258</f>
        <v>-</v>
      </c>
      <c r="BJ1258" s="26" t="str">
        <f t="shared" si="515"/>
        <v>EAST CREEKCoho</v>
      </c>
      <c r="BK1258" s="26">
        <f t="shared" si="516"/>
        <v>0</v>
      </c>
      <c r="BL1258" s="33">
        <f t="shared" si="533"/>
        <v>0</v>
      </c>
      <c r="BN1258" s="34"/>
      <c r="BQ1258" s="47" t="str">
        <f t="shared" si="517"/>
        <v>EAST CREEKCoho</v>
      </c>
      <c r="BR1258" s="49">
        <f t="shared" si="518"/>
        <v>0</v>
      </c>
      <c r="BS1258" s="49">
        <f t="shared" si="531"/>
        <v>0</v>
      </c>
      <c r="BT1258" s="31"/>
      <c r="BU1258" s="188"/>
      <c r="BV1258" s="188" t="str">
        <f t="shared" si="523"/>
        <v xml:space="preserve"> </v>
      </c>
      <c r="BW1258" s="188" t="str">
        <f t="shared" si="532"/>
        <v xml:space="preserve"> </v>
      </c>
      <c r="BX1258" s="188" t="str">
        <f t="shared" si="520"/>
        <v xml:space="preserve"> </v>
      </c>
      <c r="BY1258" s="50" t="str">
        <f t="shared" si="529"/>
        <v>EAST CREEK_Coho</v>
      </c>
      <c r="BZ1258" s="50" t="str">
        <f>IFERROR(VLOOKUP(BY1258,'[1]WCVI Esc'!$C$5:$W$555,18,FALSE),"-")</f>
        <v>-</v>
      </c>
      <c r="CA1258" s="50" t="str">
        <f t="shared" si="521"/>
        <v>-</v>
      </c>
      <c r="CB1258" s="50" t="str">
        <f>IFERROR(VLOOKUP(BY1258,'[1]WCVI Esc'!$C$5:$W$555,19,FALSE),"-")</f>
        <v>-</v>
      </c>
      <c r="CC1258" s="50" t="str">
        <f t="shared" si="522"/>
        <v>-</v>
      </c>
      <c r="CE1258" s="342" t="str">
        <f>CONCATENATE(E1258,"_",F1258)</f>
        <v>EAST CREEK_Coho</v>
      </c>
      <c r="CF1258" s="341" t="str">
        <f>IFERROR(VLOOKUP(BY1258,'RawPL+D'!$O$8:$AB$503,12,FALSE),"-")</f>
        <v>-</v>
      </c>
      <c r="CG1258" s="338" t="str">
        <f t="shared" si="506"/>
        <v>-</v>
      </c>
      <c r="CH1258" s="341" t="str">
        <f>IFERROR(VLOOKUP(BY1258,'RawPL+D'!$O$8:$AB$503,13,FALSE),"-")</f>
        <v>-</v>
      </c>
      <c r="CI1258" s="338" t="str">
        <f t="shared" si="507"/>
        <v>-</v>
      </c>
    </row>
    <row r="1259" spans="1:87" ht="12.75" hidden="1" customHeight="1" x14ac:dyDescent="0.2">
      <c r="A1259" s="28">
        <v>4</v>
      </c>
      <c r="B1259" s="28">
        <v>3</v>
      </c>
      <c r="C1259" s="11">
        <v>27</v>
      </c>
      <c r="D1259" s="13" t="s">
        <v>302</v>
      </c>
      <c r="E1259" s="10" t="s">
        <v>582</v>
      </c>
      <c r="F1259" s="10" t="s">
        <v>208</v>
      </c>
      <c r="G1259" s="10"/>
      <c r="H1259" s="10"/>
      <c r="I1259" s="10"/>
      <c r="J1259" s="10"/>
      <c r="K1259" s="360"/>
      <c r="L1259" s="385"/>
      <c r="M1259" s="373"/>
      <c r="N1259" s="365"/>
      <c r="O1259" s="371"/>
      <c r="P1259" s="379"/>
      <c r="Q1259" s="381"/>
      <c r="R1259" s="374"/>
      <c r="S1259" s="365"/>
      <c r="T1259" s="375"/>
      <c r="U1259" s="375"/>
      <c r="V1259" s="372"/>
      <c r="W1259" s="362"/>
      <c r="X1259" s="364"/>
      <c r="Y1259" s="362"/>
      <c r="Z1259" s="363"/>
      <c r="AA1259" s="362"/>
      <c r="AB1259" s="362"/>
      <c r="AC1259" s="362"/>
      <c r="AD1259" s="362"/>
      <c r="AE1259" s="362"/>
      <c r="AF1259" s="362"/>
      <c r="AG1259" s="363"/>
      <c r="AH1259" s="493"/>
      <c r="AI1259" s="337"/>
      <c r="AJ1259" s="337"/>
      <c r="AK1259" s="337"/>
      <c r="AL1259" s="414"/>
      <c r="AM1259" s="414"/>
      <c r="AN1259" s="45"/>
      <c r="AO1259" s="45"/>
      <c r="AP1259" s="45"/>
      <c r="AQ1259" s="100"/>
      <c r="AR1259" s="100"/>
      <c r="AS1259" s="100"/>
      <c r="AT1259" s="24"/>
      <c r="AU1259" s="24"/>
      <c r="AV1259" s="24"/>
      <c r="AW1259" s="18">
        <v>27</v>
      </c>
      <c r="AX1259" s="69"/>
      <c r="AY1259" s="243" t="s">
        <v>562</v>
      </c>
      <c r="AZ1259" s="243" t="str">
        <f t="shared" si="511"/>
        <v>Pink</v>
      </c>
      <c r="BA1259" s="243" t="s">
        <v>419</v>
      </c>
      <c r="BB1259" s="244" t="s">
        <v>563</v>
      </c>
      <c r="BC1259" s="43" t="str">
        <f t="shared" si="512"/>
        <v>-</v>
      </c>
      <c r="BD1259" s="43">
        <f t="shared" si="510"/>
        <v>0</v>
      </c>
      <c r="BE1259" s="193">
        <f t="shared" si="524"/>
        <v>0</v>
      </c>
      <c r="BF1259" s="193">
        <f t="shared" si="513"/>
        <v>0</v>
      </c>
      <c r="BG1259" s="193">
        <f t="shared" si="514"/>
        <v>0</v>
      </c>
      <c r="BH1259" s="307" t="str">
        <f t="shared" si="527"/>
        <v>-</v>
      </c>
      <c r="BI1259" s="265" t="str">
        <f t="shared" si="534"/>
        <v>-</v>
      </c>
      <c r="BJ1259" s="26" t="str">
        <f t="shared" si="515"/>
        <v>EAST CREEKPink</v>
      </c>
      <c r="BK1259" s="26">
        <f t="shared" si="516"/>
        <v>0</v>
      </c>
      <c r="BL1259" s="33">
        <f t="shared" si="533"/>
        <v>0</v>
      </c>
      <c r="BN1259" s="34"/>
      <c r="BQ1259" s="47" t="str">
        <f t="shared" si="517"/>
        <v>EAST CREEKPink</v>
      </c>
      <c r="BR1259" s="49">
        <f t="shared" si="518"/>
        <v>0</v>
      </c>
      <c r="BS1259" s="49">
        <f t="shared" si="531"/>
        <v>0</v>
      </c>
      <c r="BT1259" s="31"/>
      <c r="BU1259" s="188"/>
      <c r="BV1259" s="188" t="str">
        <f t="shared" si="523"/>
        <v xml:space="preserve"> </v>
      </c>
      <c r="BW1259" s="188" t="str">
        <f t="shared" si="532"/>
        <v xml:space="preserve"> </v>
      </c>
      <c r="BX1259" s="188" t="str">
        <f t="shared" si="520"/>
        <v xml:space="preserve"> </v>
      </c>
      <c r="BY1259" s="50" t="str">
        <f t="shared" si="529"/>
        <v>EAST CREEK_Pink</v>
      </c>
      <c r="BZ1259" s="50" t="str">
        <f>IFERROR(VLOOKUP(BY1259,'[1]WCVI Esc'!$C$5:$W$555,18,FALSE),"-")</f>
        <v>-</v>
      </c>
      <c r="CA1259" s="50" t="str">
        <f t="shared" si="521"/>
        <v>-</v>
      </c>
      <c r="CB1259" s="50" t="str">
        <f>IFERROR(VLOOKUP(BY1259,'[1]WCVI Esc'!$C$5:$W$555,19,FALSE),"-")</f>
        <v>-</v>
      </c>
      <c r="CC1259" s="50" t="str">
        <f t="shared" si="522"/>
        <v>-</v>
      </c>
      <c r="CE1259" s="342" t="str">
        <f>CONCATENATE(E1259,"_",F1259)</f>
        <v>EAST CREEK_Pink</v>
      </c>
      <c r="CF1259" s="341" t="str">
        <f>IFERROR(VLOOKUP(BY1259,'RawPL+D'!$O$8:$AB$503,12,FALSE),"-")</f>
        <v>-</v>
      </c>
      <c r="CG1259" s="338" t="str">
        <f t="shared" si="506"/>
        <v>-</v>
      </c>
      <c r="CH1259" s="341" t="str">
        <f>IFERROR(VLOOKUP(BY1259,'RawPL+D'!$O$8:$AB$503,13,FALSE),"-")</f>
        <v>-</v>
      </c>
      <c r="CI1259" s="338" t="str">
        <f t="shared" si="507"/>
        <v>-</v>
      </c>
    </row>
    <row r="1260" spans="1:87" ht="12.75" hidden="1" customHeight="1" x14ac:dyDescent="0.2">
      <c r="A1260" s="28">
        <v>4</v>
      </c>
      <c r="B1260" s="28">
        <v>4</v>
      </c>
      <c r="C1260" s="11">
        <v>27</v>
      </c>
      <c r="D1260" s="13" t="s">
        <v>302</v>
      </c>
      <c r="E1260" s="10" t="s">
        <v>582</v>
      </c>
      <c r="F1260" s="10" t="s">
        <v>209</v>
      </c>
      <c r="G1260" s="10"/>
      <c r="H1260" s="10"/>
      <c r="I1260" s="10"/>
      <c r="J1260" s="10"/>
      <c r="K1260" s="360"/>
      <c r="L1260" s="385"/>
      <c r="M1260" s="373"/>
      <c r="N1260" s="365"/>
      <c r="O1260" s="371"/>
      <c r="P1260" s="379"/>
      <c r="Q1260" s="369"/>
      <c r="R1260" s="374"/>
      <c r="S1260" s="365"/>
      <c r="T1260" s="377"/>
      <c r="U1260" s="375"/>
      <c r="V1260" s="378"/>
      <c r="W1260" s="362"/>
      <c r="X1260" s="364"/>
      <c r="Y1260" s="362"/>
      <c r="Z1260" s="363"/>
      <c r="AA1260" s="362"/>
      <c r="AB1260" s="362"/>
      <c r="AC1260" s="362"/>
      <c r="AD1260" s="362"/>
      <c r="AE1260" s="362"/>
      <c r="AF1260" s="362"/>
      <c r="AG1260" s="363"/>
      <c r="AH1260" s="493"/>
      <c r="AI1260" s="337"/>
      <c r="AJ1260" s="337"/>
      <c r="AK1260" s="337"/>
      <c r="AL1260" s="412"/>
      <c r="AM1260" s="414"/>
      <c r="AN1260" s="45"/>
      <c r="AO1260" s="45"/>
      <c r="AP1260" s="45"/>
      <c r="AQ1260" s="100"/>
      <c r="AR1260" s="100"/>
      <c r="AS1260" s="24"/>
      <c r="AT1260" s="24"/>
      <c r="AU1260" s="24"/>
      <c r="AV1260" s="24"/>
      <c r="AW1260" s="18">
        <v>27</v>
      </c>
      <c r="AX1260" s="69"/>
      <c r="AY1260" s="243" t="s">
        <v>562</v>
      </c>
      <c r="AZ1260" s="243" t="str">
        <f t="shared" si="511"/>
        <v>Chum</v>
      </c>
      <c r="BA1260" s="243" t="s">
        <v>419</v>
      </c>
      <c r="BB1260" s="244" t="s">
        <v>563</v>
      </c>
      <c r="BC1260" s="43" t="str">
        <f t="shared" si="512"/>
        <v>-</v>
      </c>
      <c r="BD1260" s="43">
        <f t="shared" si="510"/>
        <v>0</v>
      </c>
      <c r="BE1260" s="193">
        <f t="shared" si="524"/>
        <v>0</v>
      </c>
      <c r="BF1260" s="193">
        <f t="shared" si="513"/>
        <v>0</v>
      </c>
      <c r="BG1260" s="193">
        <f t="shared" si="514"/>
        <v>0</v>
      </c>
      <c r="BH1260" s="307" t="str">
        <f t="shared" si="527"/>
        <v>-</v>
      </c>
      <c r="BI1260" s="265" t="str">
        <f t="shared" si="534"/>
        <v>-</v>
      </c>
      <c r="BJ1260" s="26" t="str">
        <f t="shared" si="515"/>
        <v>EAST CREEKChum</v>
      </c>
      <c r="BK1260" s="26">
        <f t="shared" si="516"/>
        <v>0</v>
      </c>
      <c r="BL1260" s="33">
        <f t="shared" si="533"/>
        <v>0</v>
      </c>
      <c r="BN1260" s="34"/>
      <c r="BQ1260" s="47" t="str">
        <f t="shared" si="517"/>
        <v>EAST CREEKChum</v>
      </c>
      <c r="BR1260" s="49">
        <f t="shared" si="518"/>
        <v>0</v>
      </c>
      <c r="BS1260" s="49">
        <f t="shared" si="531"/>
        <v>0</v>
      </c>
      <c r="BT1260" s="31"/>
      <c r="BU1260" s="188"/>
      <c r="BV1260" s="188" t="str">
        <f t="shared" si="523"/>
        <v xml:space="preserve"> </v>
      </c>
      <c r="BW1260" s="188" t="str">
        <f t="shared" si="532"/>
        <v xml:space="preserve"> </v>
      </c>
      <c r="BX1260" s="188" t="str">
        <f t="shared" si="520"/>
        <v xml:space="preserve"> </v>
      </c>
      <c r="BY1260" s="50" t="str">
        <f t="shared" si="529"/>
        <v>EAST CREEK_Chum</v>
      </c>
      <c r="BZ1260" s="50" t="str">
        <f>IFERROR(VLOOKUP(BY1260,'[1]WCVI Esc'!$C$5:$W$555,18,FALSE),"-")</f>
        <v>-</v>
      </c>
      <c r="CA1260" s="50" t="str">
        <f t="shared" si="521"/>
        <v>-</v>
      </c>
      <c r="CB1260" s="50" t="str">
        <f>IFERROR(VLOOKUP(BY1260,'[1]WCVI Esc'!$C$5:$W$555,19,FALSE),"-")</f>
        <v>-</v>
      </c>
      <c r="CC1260" s="50" t="str">
        <f t="shared" si="522"/>
        <v>-</v>
      </c>
      <c r="CE1260" s="342" t="str">
        <f>CONCATENATE(E1260,"_",F1260)</f>
        <v>EAST CREEK_Chum</v>
      </c>
      <c r="CF1260" s="341" t="str">
        <f>IFERROR(VLOOKUP(BY1260,'RawPL+D'!$O$8:$AB$503,12,FALSE),"-")</f>
        <v>-</v>
      </c>
      <c r="CG1260" s="338" t="str">
        <f t="shared" si="506"/>
        <v>-</v>
      </c>
      <c r="CH1260" s="341" t="str">
        <f>IFERROR(VLOOKUP(BY1260,'RawPL+D'!$O$8:$AB$503,13,FALSE),"-")</f>
        <v>-</v>
      </c>
      <c r="CI1260" s="338" t="str">
        <f t="shared" si="507"/>
        <v>-</v>
      </c>
    </row>
    <row r="1261" spans="1:87" ht="12.75" hidden="1" customHeight="1" x14ac:dyDescent="0.2">
      <c r="A1261" s="28">
        <v>4</v>
      </c>
      <c r="B1261" s="28">
        <v>5</v>
      </c>
      <c r="C1261" s="11">
        <v>27</v>
      </c>
      <c r="D1261" s="13" t="s">
        <v>302</v>
      </c>
      <c r="E1261" s="10" t="s">
        <v>582</v>
      </c>
      <c r="F1261" s="10" t="s">
        <v>210</v>
      </c>
      <c r="G1261" s="84"/>
      <c r="H1261" s="84"/>
      <c r="I1261" s="84"/>
      <c r="J1261" s="84"/>
      <c r="K1261" s="479"/>
      <c r="L1261" s="380"/>
      <c r="M1261" s="368"/>
      <c r="N1261" s="376"/>
      <c r="O1261" s="371"/>
      <c r="P1261" s="379"/>
      <c r="Q1261" s="369"/>
      <c r="R1261" s="374"/>
      <c r="S1261" s="365"/>
      <c r="T1261" s="375"/>
      <c r="U1261" s="375"/>
      <c r="V1261" s="370"/>
      <c r="W1261" s="362"/>
      <c r="X1261" s="364"/>
      <c r="Y1261" s="362"/>
      <c r="Z1261" s="363"/>
      <c r="AA1261" s="362"/>
      <c r="AB1261" s="362"/>
      <c r="AC1261" s="362"/>
      <c r="AD1261" s="362"/>
      <c r="AE1261" s="362"/>
      <c r="AF1261" s="362"/>
      <c r="AG1261" s="363"/>
      <c r="AH1261" s="493"/>
      <c r="AI1261" s="337"/>
      <c r="AJ1261" s="337"/>
      <c r="AK1261" s="337"/>
      <c r="AL1261" s="412"/>
      <c r="AM1261" s="414"/>
      <c r="AN1261" s="45"/>
      <c r="AO1261" s="45"/>
      <c r="AP1261" s="45"/>
      <c r="AQ1261" s="100"/>
      <c r="AR1261" s="100"/>
      <c r="AS1261" s="24"/>
      <c r="AT1261" s="24"/>
      <c r="AU1261" s="24"/>
      <c r="AV1261" s="24"/>
      <c r="AW1261" s="18">
        <v>27</v>
      </c>
      <c r="AX1261" s="69"/>
      <c r="AY1261" s="243" t="s">
        <v>562</v>
      </c>
      <c r="AZ1261" s="243" t="str">
        <f t="shared" si="511"/>
        <v>Chinook</v>
      </c>
      <c r="BA1261" s="243" t="s">
        <v>419</v>
      </c>
      <c r="BB1261" s="244" t="s">
        <v>563</v>
      </c>
      <c r="BC1261" s="43" t="str">
        <f t="shared" si="512"/>
        <v>-</v>
      </c>
      <c r="BD1261" s="43">
        <f t="shared" si="510"/>
        <v>0</v>
      </c>
      <c r="BE1261" s="193">
        <f t="shared" si="524"/>
        <v>0</v>
      </c>
      <c r="BF1261" s="193">
        <f t="shared" si="513"/>
        <v>0</v>
      </c>
      <c r="BG1261" s="193">
        <f t="shared" si="514"/>
        <v>0</v>
      </c>
      <c r="BH1261" s="307" t="str">
        <f t="shared" si="527"/>
        <v>-</v>
      </c>
      <c r="BI1261" s="265" t="str">
        <f t="shared" si="534"/>
        <v>-</v>
      </c>
      <c r="BJ1261" s="26" t="str">
        <f t="shared" si="515"/>
        <v>EAST CREEKChinook</v>
      </c>
      <c r="BK1261" s="26">
        <f t="shared" si="516"/>
        <v>0</v>
      </c>
      <c r="BL1261" s="33">
        <f t="shared" si="533"/>
        <v>0</v>
      </c>
      <c r="BN1261" s="34"/>
      <c r="BQ1261" s="47" t="str">
        <f t="shared" si="517"/>
        <v>EAST CREEKChinook</v>
      </c>
      <c r="BR1261" s="49">
        <f t="shared" si="518"/>
        <v>0</v>
      </c>
      <c r="BS1261" s="49">
        <f t="shared" si="531"/>
        <v>0</v>
      </c>
      <c r="BT1261" s="31"/>
      <c r="BU1261" s="188"/>
      <c r="BV1261" s="188" t="str">
        <f t="shared" si="523"/>
        <v xml:space="preserve"> </v>
      </c>
      <c r="BW1261" s="188" t="str">
        <f t="shared" si="532"/>
        <v xml:space="preserve"> </v>
      </c>
      <c r="BX1261" s="188" t="str">
        <f t="shared" si="520"/>
        <v xml:space="preserve"> </v>
      </c>
      <c r="BY1261" s="50" t="str">
        <f t="shared" si="529"/>
        <v>EAST CREEK_Chinook</v>
      </c>
      <c r="BZ1261" s="50" t="str">
        <f>IFERROR(VLOOKUP(BY1261,'[1]WCVI Esc'!$C$5:$W$555,18,FALSE),"-")</f>
        <v>-</v>
      </c>
      <c r="CA1261" s="50" t="str">
        <f t="shared" si="521"/>
        <v>-</v>
      </c>
      <c r="CB1261" s="50" t="str">
        <f>IFERROR(VLOOKUP(BY1261,'[1]WCVI Esc'!$C$5:$W$555,19,FALSE),"-")</f>
        <v>-</v>
      </c>
      <c r="CC1261" s="50" t="str">
        <f t="shared" si="522"/>
        <v>-</v>
      </c>
      <c r="CE1261" s="342" t="str">
        <f>CONCATENATE("COLONIAL/CAYEGHLE CREEKS","_",F1261)</f>
        <v>COLONIAL/CAYEGHLE CREEKS_Chinook</v>
      </c>
      <c r="CF1261" s="341" t="str">
        <f>IFERROR(VLOOKUP(BY1261,'RawPL+D'!$O$8:$AB$503,12,FALSE),"-")</f>
        <v>-</v>
      </c>
      <c r="CG1261" s="338" t="str">
        <f t="shared" si="506"/>
        <v>-</v>
      </c>
      <c r="CH1261" s="341" t="str">
        <f>IFERROR(VLOOKUP(BY1261,'RawPL+D'!$O$8:$AB$503,13,FALSE),"-")</f>
        <v>-</v>
      </c>
      <c r="CI1261" s="338" t="str">
        <f t="shared" si="507"/>
        <v>-</v>
      </c>
    </row>
    <row r="1262" spans="1:87" ht="12.75" hidden="1" customHeight="1" x14ac:dyDescent="0.2">
      <c r="A1262" s="28">
        <v>4</v>
      </c>
      <c r="B1262" s="28">
        <v>6</v>
      </c>
      <c r="C1262" s="11">
        <v>27</v>
      </c>
      <c r="D1262" s="13" t="s">
        <v>302</v>
      </c>
      <c r="E1262" s="10" t="s">
        <v>582</v>
      </c>
      <c r="F1262" s="10" t="s">
        <v>211</v>
      </c>
      <c r="G1262" s="19"/>
      <c r="H1262" s="19"/>
      <c r="I1262" s="19"/>
      <c r="J1262" s="19"/>
      <c r="K1262" s="480"/>
      <c r="L1262" s="481"/>
      <c r="M1262" s="366"/>
      <c r="N1262" s="365"/>
      <c r="O1262" s="371"/>
      <c r="P1262" s="379"/>
      <c r="Q1262" s="381"/>
      <c r="R1262" s="374"/>
      <c r="S1262" s="365"/>
      <c r="T1262" s="375"/>
      <c r="U1262" s="375"/>
      <c r="V1262" s="372"/>
      <c r="W1262" s="362"/>
      <c r="X1262" s="364"/>
      <c r="Y1262" s="362"/>
      <c r="Z1262" s="363"/>
      <c r="AA1262" s="362"/>
      <c r="AB1262" s="362"/>
      <c r="AC1262" s="362"/>
      <c r="AD1262" s="362"/>
      <c r="AE1262" s="362"/>
      <c r="AF1262" s="362"/>
      <c r="AG1262" s="363"/>
      <c r="AH1262" s="493"/>
      <c r="AI1262" s="337"/>
      <c r="AJ1262" s="337"/>
      <c r="AK1262" s="337"/>
      <c r="AL1262" s="414"/>
      <c r="AM1262" s="414"/>
      <c r="AN1262" s="45"/>
      <c r="AO1262" s="45"/>
      <c r="AP1262" s="45"/>
      <c r="AQ1262" s="100"/>
      <c r="AR1262" s="100"/>
      <c r="AS1262" s="24"/>
      <c r="AT1262" s="24"/>
      <c r="AU1262" s="24"/>
      <c r="AV1262" s="24"/>
      <c r="AW1262" s="18">
        <v>27</v>
      </c>
      <c r="AX1262" s="69"/>
      <c r="AY1262" s="243" t="s">
        <v>562</v>
      </c>
      <c r="AZ1262" s="243" t="str">
        <f t="shared" si="511"/>
        <v>Steelhead</v>
      </c>
      <c r="BA1262" s="243" t="s">
        <v>419</v>
      </c>
      <c r="BB1262" s="244" t="s">
        <v>563</v>
      </c>
      <c r="BC1262" s="43" t="str">
        <f t="shared" si="512"/>
        <v>-</v>
      </c>
      <c r="BD1262" s="43">
        <f t="shared" si="510"/>
        <v>0</v>
      </c>
      <c r="BE1262" s="193">
        <f t="shared" si="524"/>
        <v>0</v>
      </c>
      <c r="BF1262" s="193">
        <f t="shared" si="513"/>
        <v>0</v>
      </c>
      <c r="BG1262" s="193">
        <f t="shared" si="514"/>
        <v>0</v>
      </c>
      <c r="BH1262" s="307" t="str">
        <f t="shared" si="527"/>
        <v>-</v>
      </c>
      <c r="BI1262" s="265" t="str">
        <f t="shared" si="534"/>
        <v>-</v>
      </c>
      <c r="BJ1262" s="26" t="str">
        <f t="shared" si="515"/>
        <v>EAST CREEKSteelhead</v>
      </c>
      <c r="BK1262" s="26">
        <f t="shared" si="516"/>
        <v>0</v>
      </c>
      <c r="BL1262" s="33">
        <f t="shared" si="533"/>
        <v>0</v>
      </c>
      <c r="BN1262" s="34"/>
      <c r="BQ1262" s="47" t="str">
        <f t="shared" si="517"/>
        <v>EAST CREEKSteelhead</v>
      </c>
      <c r="BR1262" s="49">
        <f t="shared" si="518"/>
        <v>0</v>
      </c>
      <c r="BS1262" s="49">
        <f t="shared" si="531"/>
        <v>0</v>
      </c>
      <c r="BT1262" s="31"/>
      <c r="BU1262" s="188"/>
      <c r="BV1262" s="188" t="str">
        <f t="shared" ref="BV1262:BV1268" si="535">IF(ISNUMBER(Q1262),Q$8,IF(ISNUMBER(P1262),P$8,IF(ISNUMBER(O1262),O$8,IF(ISNUMBER(N1262),N$8,IF(ISNUMBER(M1262),M$8,IF(ISNUMBER(L1262),L$8, IF(ISNUMBER(K1262),K$8," ")))))))</f>
        <v xml:space="preserve"> </v>
      </c>
      <c r="BW1262" s="188" t="str">
        <f t="shared" si="532"/>
        <v xml:space="preserve"> </v>
      </c>
      <c r="BX1262" s="188" t="str">
        <f t="shared" si="520"/>
        <v xml:space="preserve"> </v>
      </c>
      <c r="BY1262" s="50" t="str">
        <f t="shared" si="529"/>
        <v>EAST CREEK_Steelhead</v>
      </c>
      <c r="BZ1262" s="50" t="str">
        <f>IFERROR(VLOOKUP(BY1262,'[1]WCVI Esc'!$C$5:$W$555,18,FALSE),"-")</f>
        <v>-</v>
      </c>
      <c r="CA1262" s="50" t="str">
        <f t="shared" si="521"/>
        <v>-</v>
      </c>
      <c r="CB1262" s="50" t="str">
        <f>IFERROR(VLOOKUP(BY1262,'[1]WCVI Esc'!$C$5:$W$555,19,FALSE),"-")</f>
        <v>-</v>
      </c>
      <c r="CC1262" s="50" t="str">
        <f t="shared" si="522"/>
        <v>-</v>
      </c>
      <c r="CE1262" s="342" t="str">
        <f>CONCATENATE(E1262,"_",F1262)</f>
        <v>EAST CREEK_Steelhead</v>
      </c>
      <c r="CF1262" s="341" t="str">
        <f>IFERROR(VLOOKUP(BY1262,'RawPL+D'!$O$8:$AB$503,12,FALSE),"-")</f>
        <v>-</v>
      </c>
      <c r="CG1262" s="338" t="str">
        <f t="shared" si="506"/>
        <v>-</v>
      </c>
      <c r="CH1262" s="341" t="str">
        <f>IFERROR(VLOOKUP(BY1262,'RawPL+D'!$O$8:$AB$503,13,FALSE),"-")</f>
        <v>-</v>
      </c>
      <c r="CI1262" s="338" t="str">
        <f t="shared" si="507"/>
        <v>-</v>
      </c>
    </row>
    <row r="1263" spans="1:87" hidden="1" x14ac:dyDescent="0.2">
      <c r="A1263" s="28">
        <v>4</v>
      </c>
      <c r="B1263" s="28">
        <v>1</v>
      </c>
      <c r="C1263" s="11">
        <v>27</v>
      </c>
      <c r="D1263" s="103" t="s">
        <v>302</v>
      </c>
      <c r="E1263" s="10" t="s">
        <v>69</v>
      </c>
      <c r="F1263" s="10" t="s">
        <v>207</v>
      </c>
      <c r="G1263" s="10"/>
      <c r="H1263" s="10"/>
      <c r="I1263" s="10"/>
      <c r="J1263" s="10"/>
      <c r="K1263" s="360"/>
      <c r="L1263" s="361"/>
      <c r="M1263" s="366"/>
      <c r="N1263" s="365"/>
      <c r="O1263" s="362"/>
      <c r="P1263" s="379"/>
      <c r="Q1263" s="367"/>
      <c r="R1263" s="332"/>
      <c r="S1263" s="365"/>
      <c r="T1263" s="364"/>
      <c r="U1263" s="364"/>
      <c r="V1263" s="299"/>
      <c r="W1263" s="362"/>
      <c r="X1263" s="364"/>
      <c r="Y1263" s="362"/>
      <c r="Z1263" s="363"/>
      <c r="AA1263" s="299"/>
      <c r="AB1263" s="362"/>
      <c r="AC1263" s="362"/>
      <c r="AD1263" s="363"/>
      <c r="AE1263" s="299"/>
      <c r="AF1263" s="362"/>
      <c r="AG1263" s="362"/>
      <c r="AH1263" s="493"/>
      <c r="AI1263" s="337"/>
      <c r="AJ1263" s="337"/>
      <c r="AK1263" s="337"/>
      <c r="AL1263" s="412"/>
      <c r="AM1263" s="414"/>
      <c r="AN1263" s="45"/>
      <c r="AO1263" s="45"/>
      <c r="AP1263" s="45"/>
      <c r="AQ1263" s="396"/>
      <c r="AR1263" s="100"/>
      <c r="AS1263" s="100"/>
      <c r="AT1263" s="24"/>
      <c r="AU1263" s="24"/>
      <c r="AV1263" s="24"/>
      <c r="AW1263" s="18">
        <v>27</v>
      </c>
      <c r="AX1263" s="69" t="s">
        <v>302</v>
      </c>
      <c r="AY1263" s="243" t="s">
        <v>69</v>
      </c>
      <c r="AZ1263" s="243" t="str">
        <f t="shared" si="511"/>
        <v>Sockeye</v>
      </c>
      <c r="BA1263" s="243" t="s">
        <v>419</v>
      </c>
      <c r="BB1263" s="256"/>
      <c r="BC1263" s="43" t="str">
        <f t="shared" si="512"/>
        <v>-</v>
      </c>
      <c r="BD1263" s="43">
        <f t="shared" si="510"/>
        <v>0</v>
      </c>
      <c r="BE1263" s="193">
        <f t="shared" si="524"/>
        <v>0</v>
      </c>
      <c r="BF1263" s="193">
        <f t="shared" si="513"/>
        <v>0</v>
      </c>
      <c r="BG1263" s="193">
        <f t="shared" si="514"/>
        <v>0</v>
      </c>
      <c r="BH1263" s="307" t="str">
        <f t="shared" si="527"/>
        <v>-</v>
      </c>
      <c r="BI1263" s="265" t="str">
        <f t="shared" si="534"/>
        <v>-</v>
      </c>
      <c r="BJ1263" s="26" t="str">
        <f t="shared" si="515"/>
        <v>LINK RIVERSockeye</v>
      </c>
      <c r="BK1263" s="26">
        <f t="shared" si="516"/>
        <v>0</v>
      </c>
      <c r="BL1263" s="33">
        <f t="shared" si="533"/>
        <v>0</v>
      </c>
      <c r="BQ1263" s="47" t="str">
        <f t="shared" si="517"/>
        <v>LINK RIVERSockeye</v>
      </c>
      <c r="BR1263" s="49">
        <f t="shared" si="518"/>
        <v>0</v>
      </c>
      <c r="BS1263" s="49">
        <f t="shared" si="531"/>
        <v>0</v>
      </c>
      <c r="BT1263" s="31">
        <v>0</v>
      </c>
      <c r="BU1263" s="188">
        <f t="shared" ref="BU1263:BU1268" si="536">BB1263</f>
        <v>0</v>
      </c>
      <c r="BV1263" s="188" t="str">
        <f t="shared" si="535"/>
        <v xml:space="preserve"> </v>
      </c>
      <c r="BW1263" s="188" t="str">
        <f t="shared" si="532"/>
        <v xml:space="preserve"> </v>
      </c>
      <c r="BX1263" s="188" t="str">
        <f t="shared" si="520"/>
        <v xml:space="preserve"> </v>
      </c>
      <c r="BY1263" s="50" t="str">
        <f t="shared" si="529"/>
        <v>LINK RIVER_Sockeye</v>
      </c>
      <c r="BZ1263" s="50" t="str">
        <f>IFERROR(VLOOKUP(BY1263,'[1]WCVI Esc'!$C$5:$W$555,18,FALSE),"-")</f>
        <v>-</v>
      </c>
      <c r="CA1263" s="50" t="str">
        <f t="shared" si="521"/>
        <v>-</v>
      </c>
      <c r="CB1263" s="50" t="str">
        <f>IFERROR(VLOOKUP(BY1263,'[1]WCVI Esc'!$C$5:$W$555,19,FALSE),"-")</f>
        <v>-</v>
      </c>
      <c r="CC1263" s="50" t="str">
        <f t="shared" si="522"/>
        <v>-</v>
      </c>
      <c r="CE1263" s="342" t="str">
        <f>CONCATENATE(E1263,"_",F1263)</f>
        <v>LINK RIVER_Sockeye</v>
      </c>
      <c r="CF1263" s="341" t="str">
        <f>IFERROR(VLOOKUP(BY1263,'RawPL+D'!$O$8:$AB$503,12,FALSE),"-")</f>
        <v>-</v>
      </c>
      <c r="CG1263" s="338" t="str">
        <f t="shared" si="506"/>
        <v>-</v>
      </c>
      <c r="CH1263" s="341" t="str">
        <f>IFERROR(VLOOKUP(BY1263,'RawPL+D'!$O$8:$AB$503,13,FALSE),"-")</f>
        <v>-</v>
      </c>
      <c r="CI1263" s="338" t="str">
        <f t="shared" si="507"/>
        <v>-</v>
      </c>
    </row>
    <row r="1264" spans="1:87" hidden="1" x14ac:dyDescent="0.2">
      <c r="A1264" s="28">
        <v>4</v>
      </c>
      <c r="B1264" s="28">
        <v>2</v>
      </c>
      <c r="C1264" s="11">
        <v>27</v>
      </c>
      <c r="D1264" s="103" t="s">
        <v>302</v>
      </c>
      <c r="E1264" s="10" t="s">
        <v>69</v>
      </c>
      <c r="F1264" s="10" t="s">
        <v>219</v>
      </c>
      <c r="G1264" s="10"/>
      <c r="H1264" s="10"/>
      <c r="I1264" s="10"/>
      <c r="J1264" s="10"/>
      <c r="K1264" s="360"/>
      <c r="L1264" s="361"/>
      <c r="M1264" s="366"/>
      <c r="N1264" s="365"/>
      <c r="O1264" s="362"/>
      <c r="P1264" s="379"/>
      <c r="Q1264" s="367"/>
      <c r="R1264" s="332"/>
      <c r="S1264" s="365"/>
      <c r="T1264" s="364"/>
      <c r="U1264" s="364"/>
      <c r="V1264" s="299"/>
      <c r="W1264" s="362"/>
      <c r="X1264" s="364"/>
      <c r="Y1264" s="362"/>
      <c r="Z1264" s="363"/>
      <c r="AA1264" s="299"/>
      <c r="AB1264" s="362"/>
      <c r="AC1264" s="362"/>
      <c r="AD1264" s="363"/>
      <c r="AE1264" s="299"/>
      <c r="AF1264" s="362"/>
      <c r="AG1264" s="362"/>
      <c r="AH1264" s="493"/>
      <c r="AI1264" s="337"/>
      <c r="AJ1264" s="337"/>
      <c r="AK1264" s="337"/>
      <c r="AL1264" s="412"/>
      <c r="AM1264" s="414"/>
      <c r="AN1264" s="45"/>
      <c r="AO1264" s="45"/>
      <c r="AP1264" s="45"/>
      <c r="AQ1264" s="396"/>
      <c r="AR1264" s="100"/>
      <c r="AS1264" s="24"/>
      <c r="AT1264" s="24"/>
      <c r="AU1264" s="24"/>
      <c r="AV1264" s="24"/>
      <c r="AW1264" s="18">
        <v>27</v>
      </c>
      <c r="AX1264" s="69" t="s">
        <v>302</v>
      </c>
      <c r="AY1264" s="243" t="s">
        <v>69</v>
      </c>
      <c r="AZ1264" s="243" t="str">
        <f t="shared" si="511"/>
        <v>Coho</v>
      </c>
      <c r="BA1264" s="243" t="s">
        <v>419</v>
      </c>
      <c r="BB1264" s="256"/>
      <c r="BC1264" s="43" t="str">
        <f t="shared" si="512"/>
        <v>-</v>
      </c>
      <c r="BD1264" s="43">
        <f t="shared" si="510"/>
        <v>0</v>
      </c>
      <c r="BE1264" s="193">
        <f t="shared" si="524"/>
        <v>0</v>
      </c>
      <c r="BF1264" s="193">
        <f t="shared" si="513"/>
        <v>0</v>
      </c>
      <c r="BG1264" s="193">
        <f t="shared" si="514"/>
        <v>0</v>
      </c>
      <c r="BH1264" s="307" t="str">
        <f t="shared" si="527"/>
        <v>-</v>
      </c>
      <c r="BI1264" s="265" t="str">
        <f t="shared" si="534"/>
        <v>-</v>
      </c>
      <c r="BJ1264" s="26" t="str">
        <f t="shared" si="515"/>
        <v>LINK RIVERCoho</v>
      </c>
      <c r="BK1264" s="26">
        <f t="shared" si="516"/>
        <v>0</v>
      </c>
      <c r="BL1264" s="33">
        <f t="shared" si="533"/>
        <v>0</v>
      </c>
      <c r="BQ1264" s="47" t="str">
        <f t="shared" si="517"/>
        <v>LINK RIVERCoho</v>
      </c>
      <c r="BR1264" s="49">
        <f t="shared" si="518"/>
        <v>0</v>
      </c>
      <c r="BS1264" s="49">
        <f t="shared" si="531"/>
        <v>0</v>
      </c>
      <c r="BT1264" s="31">
        <v>2005</v>
      </c>
      <c r="BU1264" s="188">
        <f t="shared" si="536"/>
        <v>0</v>
      </c>
      <c r="BV1264" s="188" t="str">
        <f t="shared" si="535"/>
        <v xml:space="preserve"> </v>
      </c>
      <c r="BW1264" s="188" t="str">
        <f t="shared" si="532"/>
        <v xml:space="preserve"> </v>
      </c>
      <c r="BX1264" s="188" t="str">
        <f t="shared" si="520"/>
        <v xml:space="preserve"> </v>
      </c>
      <c r="BY1264" s="50" t="str">
        <f t="shared" si="529"/>
        <v>LINK RIVER_Coho</v>
      </c>
      <c r="BZ1264" s="50" t="str">
        <f>IFERROR(VLOOKUP(BY1264,'[1]WCVI Esc'!$C$5:$W$555,18,FALSE),"-")</f>
        <v>-</v>
      </c>
      <c r="CA1264" s="50" t="str">
        <f t="shared" si="521"/>
        <v>-</v>
      </c>
      <c r="CB1264" s="50" t="str">
        <f>IFERROR(VLOOKUP(BY1264,'[1]WCVI Esc'!$C$5:$W$555,19,FALSE),"-")</f>
        <v>-</v>
      </c>
      <c r="CC1264" s="50" t="str">
        <f t="shared" si="522"/>
        <v>-</v>
      </c>
      <c r="CE1264" s="342" t="str">
        <f>CONCATENATE(E1264,"_",F1264)</f>
        <v>LINK RIVER_Coho</v>
      </c>
      <c r="CF1264" s="341" t="str">
        <f>IFERROR(VLOOKUP(BY1264,'RawPL+D'!$O$8:$AB$503,12,FALSE),"-")</f>
        <v>-</v>
      </c>
      <c r="CG1264" s="338" t="str">
        <f t="shared" si="506"/>
        <v>-</v>
      </c>
      <c r="CH1264" s="341" t="str">
        <f>IFERROR(VLOOKUP(BY1264,'RawPL+D'!$O$8:$AB$503,13,FALSE),"-")</f>
        <v>-</v>
      </c>
      <c r="CI1264" s="338" t="str">
        <f t="shared" si="507"/>
        <v>-</v>
      </c>
    </row>
    <row r="1265" spans="1:87" hidden="1" x14ac:dyDescent="0.2">
      <c r="A1265" s="28">
        <v>4</v>
      </c>
      <c r="B1265" s="28">
        <v>3</v>
      </c>
      <c r="C1265" s="11">
        <v>27</v>
      </c>
      <c r="D1265" s="103" t="s">
        <v>302</v>
      </c>
      <c r="E1265" s="10" t="s">
        <v>69</v>
      </c>
      <c r="F1265" s="10" t="s">
        <v>208</v>
      </c>
      <c r="G1265" s="10"/>
      <c r="H1265" s="10"/>
      <c r="I1265" s="10"/>
      <c r="J1265" s="10"/>
      <c r="K1265" s="360"/>
      <c r="L1265" s="361"/>
      <c r="M1265" s="366"/>
      <c r="N1265" s="365"/>
      <c r="O1265" s="362"/>
      <c r="P1265" s="379"/>
      <c r="Q1265" s="367"/>
      <c r="R1265" s="332"/>
      <c r="S1265" s="365"/>
      <c r="T1265" s="364"/>
      <c r="U1265" s="364"/>
      <c r="V1265" s="299"/>
      <c r="W1265" s="362"/>
      <c r="X1265" s="364"/>
      <c r="Y1265" s="362"/>
      <c r="Z1265" s="363"/>
      <c r="AA1265" s="299"/>
      <c r="AB1265" s="362"/>
      <c r="AC1265" s="362"/>
      <c r="AD1265" s="363"/>
      <c r="AE1265" s="299"/>
      <c r="AF1265" s="362"/>
      <c r="AG1265" s="362"/>
      <c r="AH1265" s="493"/>
      <c r="AI1265" s="337"/>
      <c r="AJ1265" s="337"/>
      <c r="AK1265" s="337"/>
      <c r="AL1265" s="412"/>
      <c r="AM1265" s="414"/>
      <c r="AN1265" s="45"/>
      <c r="AO1265" s="45"/>
      <c r="AP1265" s="45"/>
      <c r="AQ1265" s="396"/>
      <c r="AR1265" s="100"/>
      <c r="AS1265" s="100"/>
      <c r="AT1265" s="24"/>
      <c r="AU1265" s="24"/>
      <c r="AV1265" s="24"/>
      <c r="AW1265" s="18">
        <v>27</v>
      </c>
      <c r="AX1265" s="69" t="s">
        <v>302</v>
      </c>
      <c r="AY1265" s="243" t="s">
        <v>69</v>
      </c>
      <c r="AZ1265" s="243" t="str">
        <f t="shared" si="511"/>
        <v>Pink</v>
      </c>
      <c r="BA1265" s="243" t="s">
        <v>419</v>
      </c>
      <c r="BB1265" s="256"/>
      <c r="BC1265" s="43" t="str">
        <f t="shared" si="512"/>
        <v>-</v>
      </c>
      <c r="BD1265" s="43">
        <f t="shared" si="510"/>
        <v>0</v>
      </c>
      <c r="BE1265" s="193">
        <f t="shared" si="524"/>
        <v>0</v>
      </c>
      <c r="BF1265" s="193">
        <f t="shared" si="513"/>
        <v>0</v>
      </c>
      <c r="BG1265" s="193">
        <f t="shared" si="514"/>
        <v>0</v>
      </c>
      <c r="BH1265" s="307" t="str">
        <f t="shared" si="527"/>
        <v>-</v>
      </c>
      <c r="BI1265" s="265" t="str">
        <f t="shared" si="534"/>
        <v>-</v>
      </c>
      <c r="BJ1265" s="26" t="str">
        <f t="shared" si="515"/>
        <v>LINK RIVERPink</v>
      </c>
      <c r="BK1265" s="26">
        <f t="shared" si="516"/>
        <v>0</v>
      </c>
      <c r="BL1265" s="33">
        <f t="shared" si="533"/>
        <v>0</v>
      </c>
      <c r="BQ1265" s="47" t="str">
        <f t="shared" si="517"/>
        <v>LINK RIVERPink</v>
      </c>
      <c r="BR1265" s="49">
        <f t="shared" si="518"/>
        <v>0</v>
      </c>
      <c r="BS1265" s="49">
        <f t="shared" si="531"/>
        <v>0</v>
      </c>
      <c r="BT1265" s="31">
        <v>0</v>
      </c>
      <c r="BU1265" s="188">
        <f t="shared" si="536"/>
        <v>0</v>
      </c>
      <c r="BV1265" s="188" t="str">
        <f t="shared" si="535"/>
        <v xml:space="preserve"> </v>
      </c>
      <c r="BW1265" s="188" t="str">
        <f t="shared" si="532"/>
        <v xml:space="preserve"> </v>
      </c>
      <c r="BX1265" s="188" t="str">
        <f t="shared" si="520"/>
        <v xml:space="preserve"> </v>
      </c>
      <c r="BY1265" s="50" t="str">
        <f t="shared" si="529"/>
        <v>LINK RIVER_Pink</v>
      </c>
      <c r="BZ1265" s="50" t="str">
        <f>IFERROR(VLOOKUP(BY1265,'[1]WCVI Esc'!$C$5:$W$555,18,FALSE),"-")</f>
        <v>-</v>
      </c>
      <c r="CA1265" s="50" t="str">
        <f t="shared" si="521"/>
        <v>-</v>
      </c>
      <c r="CB1265" s="50" t="str">
        <f>IFERROR(VLOOKUP(BY1265,'[1]WCVI Esc'!$C$5:$W$555,19,FALSE),"-")</f>
        <v>-</v>
      </c>
      <c r="CC1265" s="50" t="str">
        <f t="shared" si="522"/>
        <v>-</v>
      </c>
      <c r="CE1265" s="342" t="str">
        <f>CONCATENATE(E1265,"_",F1265)</f>
        <v>LINK RIVER_Pink</v>
      </c>
      <c r="CF1265" s="341" t="str">
        <f>IFERROR(VLOOKUP(BY1265,'RawPL+D'!$O$8:$AB$503,12,FALSE),"-")</f>
        <v>-</v>
      </c>
      <c r="CG1265" s="338" t="str">
        <f t="shared" si="506"/>
        <v>-</v>
      </c>
      <c r="CH1265" s="341" t="str">
        <f>IFERROR(VLOOKUP(BY1265,'RawPL+D'!$O$8:$AB$503,13,FALSE),"-")</f>
        <v>-</v>
      </c>
      <c r="CI1265" s="338" t="str">
        <f t="shared" si="507"/>
        <v>-</v>
      </c>
    </row>
    <row r="1266" spans="1:87" hidden="1" x14ac:dyDescent="0.2">
      <c r="A1266" s="28">
        <v>4</v>
      </c>
      <c r="B1266" s="28">
        <v>4</v>
      </c>
      <c r="C1266" s="11">
        <v>27</v>
      </c>
      <c r="D1266" s="103" t="s">
        <v>302</v>
      </c>
      <c r="E1266" s="10" t="s">
        <v>69</v>
      </c>
      <c r="F1266" s="10" t="s">
        <v>209</v>
      </c>
      <c r="G1266" s="10"/>
      <c r="H1266" s="10"/>
      <c r="I1266" s="10"/>
      <c r="J1266" s="10"/>
      <c r="K1266" s="360"/>
      <c r="L1266" s="361"/>
      <c r="M1266" s="366"/>
      <c r="N1266" s="365"/>
      <c r="O1266" s="362"/>
      <c r="P1266" s="379"/>
      <c r="Q1266" s="367"/>
      <c r="R1266" s="332"/>
      <c r="S1266" s="365"/>
      <c r="T1266" s="364"/>
      <c r="U1266" s="364"/>
      <c r="V1266" s="299"/>
      <c r="W1266" s="362"/>
      <c r="X1266" s="364"/>
      <c r="Y1266" s="362"/>
      <c r="Z1266" s="363"/>
      <c r="AA1266" s="299"/>
      <c r="AB1266" s="362"/>
      <c r="AC1266" s="362"/>
      <c r="AD1266" s="363"/>
      <c r="AE1266" s="299"/>
      <c r="AF1266" s="362"/>
      <c r="AG1266" s="362"/>
      <c r="AH1266" s="493"/>
      <c r="AI1266" s="337"/>
      <c r="AJ1266" s="337"/>
      <c r="AK1266" s="337"/>
      <c r="AL1266" s="412"/>
      <c r="AM1266" s="414"/>
      <c r="AN1266" s="45"/>
      <c r="AO1266" s="45"/>
      <c r="AP1266" s="45"/>
      <c r="AQ1266" s="396"/>
      <c r="AR1266" s="100"/>
      <c r="AS1266" s="24"/>
      <c r="AT1266" s="24"/>
      <c r="AU1266" s="24"/>
      <c r="AV1266" s="24"/>
      <c r="AW1266" s="18">
        <v>27</v>
      </c>
      <c r="AX1266" s="69" t="s">
        <v>302</v>
      </c>
      <c r="AY1266" s="243" t="s">
        <v>69</v>
      </c>
      <c r="AZ1266" s="243" t="str">
        <f t="shared" si="511"/>
        <v>Chum</v>
      </c>
      <c r="BA1266" s="243" t="s">
        <v>419</v>
      </c>
      <c r="BB1266" s="256"/>
      <c r="BC1266" s="43" t="str">
        <f t="shared" si="512"/>
        <v>-</v>
      </c>
      <c r="BD1266" s="43">
        <f t="shared" si="510"/>
        <v>0</v>
      </c>
      <c r="BE1266" s="193">
        <f t="shared" si="524"/>
        <v>0</v>
      </c>
      <c r="BF1266" s="193">
        <f t="shared" si="513"/>
        <v>0</v>
      </c>
      <c r="BG1266" s="193">
        <f t="shared" si="514"/>
        <v>0</v>
      </c>
      <c r="BH1266" s="307" t="str">
        <f t="shared" si="527"/>
        <v>-</v>
      </c>
      <c r="BI1266" s="265" t="str">
        <f t="shared" si="534"/>
        <v>-</v>
      </c>
      <c r="BJ1266" s="26" t="str">
        <f t="shared" si="515"/>
        <v>LINK RIVERChum</v>
      </c>
      <c r="BK1266" s="26">
        <f t="shared" si="516"/>
        <v>0</v>
      </c>
      <c r="BL1266" s="33">
        <f t="shared" si="533"/>
        <v>0</v>
      </c>
      <c r="BQ1266" s="47" t="str">
        <f t="shared" si="517"/>
        <v>LINK RIVERChum</v>
      </c>
      <c r="BR1266" s="49">
        <f t="shared" si="518"/>
        <v>0</v>
      </c>
      <c r="BS1266" s="49">
        <f t="shared" si="531"/>
        <v>0</v>
      </c>
      <c r="BT1266" s="31">
        <v>0</v>
      </c>
      <c r="BU1266" s="188">
        <f t="shared" si="536"/>
        <v>0</v>
      </c>
      <c r="BV1266" s="188" t="str">
        <f t="shared" si="535"/>
        <v xml:space="preserve"> </v>
      </c>
      <c r="BW1266" s="188" t="str">
        <f t="shared" si="532"/>
        <v xml:space="preserve"> </v>
      </c>
      <c r="BX1266" s="188" t="str">
        <f t="shared" si="520"/>
        <v xml:space="preserve"> </v>
      </c>
      <c r="BY1266" s="50" t="str">
        <f t="shared" si="529"/>
        <v>LINK RIVER_Chum</v>
      </c>
      <c r="BZ1266" s="50" t="str">
        <f>IFERROR(VLOOKUP(BY1266,'[1]WCVI Esc'!$C$5:$W$555,18,FALSE),"-")</f>
        <v>-</v>
      </c>
      <c r="CA1266" s="50" t="str">
        <f t="shared" si="521"/>
        <v>-</v>
      </c>
      <c r="CB1266" s="50" t="str">
        <f>IFERROR(VLOOKUP(BY1266,'[1]WCVI Esc'!$C$5:$W$555,19,FALSE),"-")</f>
        <v>-</v>
      </c>
      <c r="CC1266" s="50" t="str">
        <f t="shared" si="522"/>
        <v>-</v>
      </c>
      <c r="CE1266" s="342" t="str">
        <f>CONCATENATE(E1266,"_",F1266)</f>
        <v>LINK RIVER_Chum</v>
      </c>
      <c r="CF1266" s="341" t="str">
        <f>IFERROR(VLOOKUP(BY1266,'RawPL+D'!$O$8:$AB$503,12,FALSE),"-")</f>
        <v>-</v>
      </c>
      <c r="CG1266" s="338" t="str">
        <f t="shared" si="506"/>
        <v>-</v>
      </c>
      <c r="CH1266" s="341" t="str">
        <f>IFERROR(VLOOKUP(BY1266,'RawPL+D'!$O$8:$AB$503,13,FALSE),"-")</f>
        <v>-</v>
      </c>
      <c r="CI1266" s="338" t="str">
        <f t="shared" si="507"/>
        <v>-</v>
      </c>
    </row>
    <row r="1267" spans="1:87" ht="12.6" hidden="1" customHeight="1" x14ac:dyDescent="0.2">
      <c r="A1267" s="28">
        <v>4</v>
      </c>
      <c r="B1267" s="28">
        <v>5</v>
      </c>
      <c r="C1267" s="11">
        <v>27</v>
      </c>
      <c r="D1267" s="103" t="s">
        <v>302</v>
      </c>
      <c r="E1267" s="10" t="s">
        <v>69</v>
      </c>
      <c r="F1267" s="10" t="s">
        <v>210</v>
      </c>
      <c r="G1267" s="10"/>
      <c r="H1267" s="10"/>
      <c r="I1267" s="10"/>
      <c r="J1267" s="10"/>
      <c r="K1267" s="360"/>
      <c r="L1267" s="361"/>
      <c r="M1267" s="366"/>
      <c r="N1267" s="365"/>
      <c r="O1267" s="362"/>
      <c r="P1267" s="379"/>
      <c r="Q1267" s="367"/>
      <c r="R1267" s="332"/>
      <c r="S1267" s="365"/>
      <c r="T1267" s="364"/>
      <c r="U1267" s="364"/>
      <c r="V1267" s="299"/>
      <c r="W1267" s="362"/>
      <c r="X1267" s="364"/>
      <c r="Y1267" s="362"/>
      <c r="Z1267" s="363"/>
      <c r="AA1267" s="299"/>
      <c r="AB1267" s="362"/>
      <c r="AC1267" s="362"/>
      <c r="AD1267" s="363"/>
      <c r="AE1267" s="299"/>
      <c r="AF1267" s="362"/>
      <c r="AG1267" s="362"/>
      <c r="AH1267" s="493"/>
      <c r="AI1267" s="337"/>
      <c r="AJ1267" s="337"/>
      <c r="AK1267" s="337"/>
      <c r="AL1267" s="412"/>
      <c r="AM1267" s="414"/>
      <c r="AN1267" s="45"/>
      <c r="AO1267" s="45"/>
      <c r="AP1267" s="45"/>
      <c r="AQ1267" s="396"/>
      <c r="AR1267" s="100"/>
      <c r="AS1267" s="24"/>
      <c r="AT1267" s="24"/>
      <c r="AU1267" s="24"/>
      <c r="AV1267" s="24"/>
      <c r="AW1267" s="18">
        <v>27</v>
      </c>
      <c r="AX1267" s="69" t="s">
        <v>302</v>
      </c>
      <c r="AY1267" s="243" t="s">
        <v>69</v>
      </c>
      <c r="AZ1267" s="243" t="str">
        <f t="shared" si="511"/>
        <v>Chinook</v>
      </c>
      <c r="BA1267" s="243" t="s">
        <v>419</v>
      </c>
      <c r="BB1267" s="256"/>
      <c r="BC1267" s="43" t="str">
        <f t="shared" si="512"/>
        <v>-</v>
      </c>
      <c r="BD1267" s="43">
        <f t="shared" si="510"/>
        <v>0</v>
      </c>
      <c r="BE1267" s="193">
        <f t="shared" si="524"/>
        <v>0</v>
      </c>
      <c r="BF1267" s="193">
        <f t="shared" si="513"/>
        <v>0</v>
      </c>
      <c r="BG1267" s="193">
        <f t="shared" si="514"/>
        <v>0</v>
      </c>
      <c r="BH1267" s="307" t="str">
        <f t="shared" si="527"/>
        <v>-</v>
      </c>
      <c r="BI1267" s="265" t="str">
        <f t="shared" si="534"/>
        <v>-</v>
      </c>
      <c r="BJ1267" s="26" t="str">
        <f t="shared" si="515"/>
        <v>LINK RIVERChinook</v>
      </c>
      <c r="BK1267" s="26">
        <f t="shared" si="516"/>
        <v>0</v>
      </c>
      <c r="BL1267" s="33">
        <f t="shared" si="533"/>
        <v>0</v>
      </c>
      <c r="BQ1267" s="47" t="str">
        <f t="shared" si="517"/>
        <v>LINK RIVERChinook</v>
      </c>
      <c r="BR1267" s="49">
        <f t="shared" si="518"/>
        <v>0</v>
      </c>
      <c r="BS1267" s="49">
        <f t="shared" si="531"/>
        <v>0</v>
      </c>
      <c r="BT1267" s="31">
        <v>0</v>
      </c>
      <c r="BU1267" s="188">
        <f t="shared" si="536"/>
        <v>0</v>
      </c>
      <c r="BV1267" s="188" t="str">
        <f t="shared" si="535"/>
        <v xml:space="preserve"> </v>
      </c>
      <c r="BW1267" s="188" t="str">
        <f t="shared" si="532"/>
        <v xml:space="preserve"> </v>
      </c>
      <c r="BX1267" s="188" t="str">
        <f t="shared" si="520"/>
        <v xml:space="preserve"> </v>
      </c>
      <c r="BY1267" s="50" t="str">
        <f t="shared" si="529"/>
        <v>LINK RIVER_Chinook</v>
      </c>
      <c r="BZ1267" s="50" t="str">
        <f>IFERROR(VLOOKUP(BY1267,'[1]WCVI Esc'!$C$5:$W$555,18,FALSE),"-")</f>
        <v>-</v>
      </c>
      <c r="CA1267" s="50" t="str">
        <f t="shared" si="521"/>
        <v>-</v>
      </c>
      <c r="CB1267" s="50" t="str">
        <f>IFERROR(VLOOKUP(BY1267,'[1]WCVI Esc'!$C$5:$W$555,19,FALSE),"-")</f>
        <v>-</v>
      </c>
      <c r="CC1267" s="50" t="str">
        <f t="shared" si="522"/>
        <v>-</v>
      </c>
      <c r="CE1267" s="342" t="str">
        <f>CONCATENATE("COLONIAL/CAYEGHLE CREEKS","_",F1267)</f>
        <v>COLONIAL/CAYEGHLE CREEKS_Chinook</v>
      </c>
      <c r="CF1267" s="341" t="str">
        <f>IFERROR(VLOOKUP(BY1267,'RawPL+D'!$O$8:$AB$503,12,FALSE),"-")</f>
        <v>-</v>
      </c>
      <c r="CG1267" s="338" t="str">
        <f t="shared" si="506"/>
        <v>-</v>
      </c>
      <c r="CH1267" s="341" t="str">
        <f>IFERROR(VLOOKUP(BY1267,'RawPL+D'!$O$8:$AB$503,13,FALSE),"-")</f>
        <v>-</v>
      </c>
      <c r="CI1267" s="338" t="str">
        <f t="shared" si="507"/>
        <v>-</v>
      </c>
    </row>
    <row r="1268" spans="1:87" hidden="1" x14ac:dyDescent="0.2">
      <c r="A1268" s="28">
        <v>4</v>
      </c>
      <c r="B1268" s="28">
        <v>6</v>
      </c>
      <c r="C1268" s="11">
        <v>27</v>
      </c>
      <c r="D1268" s="103" t="s">
        <v>302</v>
      </c>
      <c r="E1268" s="10" t="s">
        <v>69</v>
      </c>
      <c r="F1268" s="10" t="s">
        <v>211</v>
      </c>
      <c r="G1268" s="10"/>
      <c r="H1268" s="10"/>
      <c r="I1268" s="10"/>
      <c r="J1268" s="10"/>
      <c r="K1268" s="360"/>
      <c r="L1268" s="361"/>
      <c r="M1268" s="366"/>
      <c r="N1268" s="365"/>
      <c r="O1268" s="362"/>
      <c r="P1268" s="379"/>
      <c r="Q1268" s="367"/>
      <c r="R1268" s="332"/>
      <c r="S1268" s="365"/>
      <c r="T1268" s="364"/>
      <c r="U1268" s="364"/>
      <c r="V1268" s="299"/>
      <c r="W1268" s="362"/>
      <c r="X1268" s="364"/>
      <c r="Y1268" s="362"/>
      <c r="Z1268" s="363"/>
      <c r="AA1268" s="299"/>
      <c r="AB1268" s="362"/>
      <c r="AC1268" s="362"/>
      <c r="AD1268" s="363"/>
      <c r="AE1268" s="299"/>
      <c r="AF1268" s="362"/>
      <c r="AG1268" s="362"/>
      <c r="AH1268" s="493"/>
      <c r="AI1268" s="337"/>
      <c r="AJ1268" s="337"/>
      <c r="AK1268" s="337"/>
      <c r="AL1268" s="412"/>
      <c r="AM1268" s="414"/>
      <c r="AN1268" s="45"/>
      <c r="AO1268" s="45"/>
      <c r="AP1268" s="45"/>
      <c r="AQ1268" s="396"/>
      <c r="AR1268" s="100"/>
      <c r="AS1268" s="24"/>
      <c r="AT1268" s="24"/>
      <c r="AU1268" s="24"/>
      <c r="AV1268" s="24"/>
      <c r="AW1268" s="18">
        <v>27</v>
      </c>
      <c r="AX1268" s="69" t="s">
        <v>302</v>
      </c>
      <c r="AY1268" s="243" t="s">
        <v>69</v>
      </c>
      <c r="AZ1268" s="243" t="str">
        <f t="shared" si="511"/>
        <v>Steelhead</v>
      </c>
      <c r="BA1268" s="243" t="s">
        <v>419</v>
      </c>
      <c r="BB1268" s="256"/>
      <c r="BC1268" s="43" t="str">
        <f t="shared" si="512"/>
        <v>-</v>
      </c>
      <c r="BD1268" s="43">
        <f t="shared" si="510"/>
        <v>0</v>
      </c>
      <c r="BE1268" s="193">
        <f t="shared" si="524"/>
        <v>0</v>
      </c>
      <c r="BF1268" s="193">
        <f t="shared" si="513"/>
        <v>0</v>
      </c>
      <c r="BG1268" s="193">
        <f t="shared" si="514"/>
        <v>0</v>
      </c>
      <c r="BH1268" s="307" t="str">
        <f t="shared" si="527"/>
        <v>-</v>
      </c>
      <c r="BI1268" s="265" t="str">
        <f t="shared" si="534"/>
        <v>-</v>
      </c>
      <c r="BJ1268" s="26" t="str">
        <f t="shared" si="515"/>
        <v>LINK RIVERSteelhead</v>
      </c>
      <c r="BK1268" s="26">
        <f t="shared" si="516"/>
        <v>0</v>
      </c>
      <c r="BL1268" s="33">
        <f t="shared" si="533"/>
        <v>0</v>
      </c>
      <c r="BQ1268" s="47" t="str">
        <f t="shared" si="517"/>
        <v>LINK RIVERSteelhead</v>
      </c>
      <c r="BR1268" s="49">
        <f t="shared" si="518"/>
        <v>0</v>
      </c>
      <c r="BS1268" s="49">
        <f t="shared" si="531"/>
        <v>0</v>
      </c>
      <c r="BT1268" s="31">
        <v>0</v>
      </c>
      <c r="BU1268" s="188">
        <f t="shared" si="536"/>
        <v>0</v>
      </c>
      <c r="BV1268" s="188" t="str">
        <f t="shared" si="535"/>
        <v xml:space="preserve"> </v>
      </c>
      <c r="BW1268" s="188" t="str">
        <f t="shared" si="532"/>
        <v xml:space="preserve"> </v>
      </c>
      <c r="BX1268" s="188" t="str">
        <f t="shared" si="520"/>
        <v xml:space="preserve"> </v>
      </c>
      <c r="BY1268" s="50" t="str">
        <f t="shared" si="529"/>
        <v>LINK RIVER_Steelhead</v>
      </c>
      <c r="BZ1268" s="50" t="str">
        <f>IFERROR(VLOOKUP(BY1268,'[1]WCVI Esc'!$C$5:$W$555,18,FALSE),"-")</f>
        <v>-</v>
      </c>
      <c r="CA1268" s="50" t="str">
        <f t="shared" si="521"/>
        <v>-</v>
      </c>
      <c r="CB1268" s="50" t="str">
        <f>IFERROR(VLOOKUP(BY1268,'[1]WCVI Esc'!$C$5:$W$555,19,FALSE),"-")</f>
        <v>-</v>
      </c>
      <c r="CC1268" s="50" t="str">
        <f t="shared" si="522"/>
        <v>-</v>
      </c>
      <c r="CE1268" s="342" t="str">
        <f>CONCATENATE(E1268,"_",F1268)</f>
        <v>LINK RIVER_Steelhead</v>
      </c>
      <c r="CF1268" s="341" t="str">
        <f>IFERROR(VLOOKUP(BY1268,'RawPL+D'!$O$8:$AB$503,12,FALSE),"-")</f>
        <v>-</v>
      </c>
      <c r="CG1268" s="338" t="str">
        <f t="shared" si="506"/>
        <v>-</v>
      </c>
      <c r="CH1268" s="341" t="str">
        <f>IFERROR(VLOOKUP(BY1268,'RawPL+D'!$O$8:$AB$503,13,FALSE),"-")</f>
        <v>-</v>
      </c>
      <c r="CI1268" s="338" t="str">
        <f t="shared" si="507"/>
        <v>-</v>
      </c>
    </row>
    <row r="1269" spans="1:87" x14ac:dyDescent="0.2">
      <c r="Q1269" s="14"/>
      <c r="R1269" s="508"/>
      <c r="T1269" s="294"/>
      <c r="W1269" s="294"/>
      <c r="AL1269" s="553"/>
      <c r="AM1269" s="553"/>
      <c r="AN1269" s="14"/>
      <c r="AO1269" s="12"/>
      <c r="AP1269" s="12"/>
      <c r="AQ1269" s="12"/>
      <c r="AR1269" s="12"/>
      <c r="AS1269" s="124"/>
      <c r="AT1269" s="124"/>
      <c r="AU1269" s="124"/>
      <c r="AV1269" s="124"/>
      <c r="AW1269" s="124"/>
      <c r="AX1269" s="124"/>
      <c r="AY1269" s="124"/>
      <c r="AZ1269" s="124"/>
      <c r="BA1269" s="124"/>
      <c r="BB1269" s="12"/>
      <c r="BC1269" s="12"/>
      <c r="BD1269" s="12"/>
      <c r="BE1269" s="12"/>
      <c r="BF1269" s="12"/>
      <c r="BG1269" s="12"/>
      <c r="BH1269" s="261"/>
      <c r="BI1269" s="247"/>
      <c r="BL1269" s="24"/>
    </row>
    <row r="1270" spans="1:87" x14ac:dyDescent="0.2">
      <c r="Q1270" s="14"/>
      <c r="R1270" s="56"/>
      <c r="T1270" s="294"/>
      <c r="W1270" s="294"/>
      <c r="AL1270" s="553"/>
      <c r="AM1270" s="553"/>
      <c r="AN1270" s="14"/>
      <c r="AO1270" s="12"/>
      <c r="AP1270" s="12"/>
      <c r="AQ1270" s="12"/>
      <c r="AR1270" s="12"/>
      <c r="AS1270" s="124"/>
      <c r="AT1270" s="124"/>
      <c r="AU1270" s="124"/>
      <c r="AV1270" s="124"/>
      <c r="AW1270" s="124"/>
      <c r="AX1270" s="124"/>
      <c r="AY1270" s="124"/>
      <c r="AZ1270" s="124"/>
      <c r="BA1270" s="124"/>
      <c r="BB1270" s="12"/>
      <c r="BC1270" s="12"/>
      <c r="BD1270" s="12"/>
      <c r="BE1270" s="12"/>
      <c r="BF1270" s="12"/>
      <c r="BG1270" s="12"/>
      <c r="BH1270" s="261"/>
      <c r="BI1270" s="247"/>
      <c r="BL1270" s="24"/>
    </row>
    <row r="1271" spans="1:87" x14ac:dyDescent="0.2">
      <c r="W1271" s="294"/>
      <c r="AB1271" s="294"/>
      <c r="AC1271" s="294"/>
      <c r="AD1271" s="294"/>
      <c r="AE1271" s="294"/>
      <c r="AF1271" s="294"/>
      <c r="AG1271" s="294"/>
      <c r="AH1271" s="394"/>
      <c r="AI1271" s="394"/>
      <c r="AJ1271" s="394"/>
      <c r="AK1271" s="394"/>
      <c r="AL1271" s="43"/>
      <c r="AM1271" s="133"/>
      <c r="AN1271" s="633"/>
      <c r="AO1271" s="12"/>
      <c r="AP1271" s="12"/>
      <c r="AQ1271" s="12"/>
      <c r="AR1271" s="12"/>
      <c r="AS1271" s="124"/>
      <c r="AT1271" s="124"/>
      <c r="AU1271" s="124"/>
      <c r="AV1271" s="124"/>
      <c r="AW1271" s="124"/>
      <c r="AX1271" s="124"/>
      <c r="AY1271" s="124"/>
      <c r="AZ1271" s="124"/>
      <c r="BA1271" s="124"/>
      <c r="BB1271" s="12"/>
      <c r="BC1271" s="12"/>
      <c r="BD1271" s="12"/>
      <c r="BE1271" s="12"/>
      <c r="BF1271" s="12"/>
      <c r="BG1271" s="12"/>
      <c r="BH1271" s="261"/>
      <c r="BI1271" s="247"/>
      <c r="BL1271" s="24"/>
    </row>
    <row r="1272" spans="1:87" x14ac:dyDescent="0.2">
      <c r="S1272" s="12" t="s">
        <v>675</v>
      </c>
      <c r="T1272" s="12" t="s">
        <v>676</v>
      </c>
      <c r="V1272" s="548" t="s">
        <v>764</v>
      </c>
      <c r="W1272" s="294"/>
      <c r="X1272" s="12" t="s">
        <v>762</v>
      </c>
      <c r="Y1272" s="12" t="s">
        <v>763</v>
      </c>
      <c r="AA1272" s="548" t="s">
        <v>764</v>
      </c>
      <c r="AB1272" s="294"/>
      <c r="AC1272" s="294"/>
      <c r="AD1272" s="294"/>
      <c r="AE1272" s="294"/>
      <c r="AF1272" s="634"/>
      <c r="AG1272" s="19"/>
      <c r="AH1272" s="294"/>
      <c r="AI1272" s="294"/>
      <c r="AJ1272" s="294"/>
      <c r="AK1272" s="294"/>
      <c r="AL1272" s="571"/>
      <c r="AM1272" s="571"/>
      <c r="AN1272" s="633"/>
      <c r="AO1272" s="12"/>
      <c r="AP1272" s="12"/>
      <c r="AQ1272" s="12"/>
      <c r="AR1272" s="12"/>
      <c r="AS1272" s="124"/>
      <c r="AT1272" s="124"/>
      <c r="AU1272" s="124"/>
      <c r="AV1272" s="124"/>
      <c r="AW1272" s="124"/>
      <c r="AX1272" s="124"/>
      <c r="AY1272" s="124"/>
      <c r="AZ1272" s="124"/>
      <c r="BA1272" s="124"/>
      <c r="BB1272" s="12"/>
      <c r="BC1272" s="12"/>
      <c r="BD1272" s="12"/>
      <c r="BE1272" s="12"/>
      <c r="BF1272" s="12"/>
      <c r="BG1272" s="12"/>
      <c r="BH1272" s="261"/>
      <c r="BI1272" s="247"/>
      <c r="BL1272" s="24"/>
    </row>
    <row r="1273" spans="1:87" x14ac:dyDescent="0.2">
      <c r="R1273" s="10" t="s">
        <v>207</v>
      </c>
      <c r="S1273" s="12">
        <v>122623</v>
      </c>
      <c r="T1273" s="12">
        <v>121535</v>
      </c>
      <c r="V1273" s="12">
        <f>SUM(S1273:T1273)</f>
        <v>244158</v>
      </c>
      <c r="W1273" s="294"/>
      <c r="X1273" s="12">
        <v>32395</v>
      </c>
      <c r="Y1273" s="12">
        <v>88666</v>
      </c>
      <c r="AA1273" s="12">
        <f>SUM(X1273:Y1273)</f>
        <v>121061</v>
      </c>
      <c r="AB1273" s="294"/>
      <c r="AC1273" s="294"/>
      <c r="AD1273" s="294"/>
      <c r="AE1273" s="294"/>
      <c r="AF1273" s="294"/>
      <c r="AG1273" s="19"/>
      <c r="AH1273" s="294"/>
      <c r="AI1273" s="294"/>
      <c r="AJ1273" s="294"/>
      <c r="AK1273" s="294"/>
      <c r="AL1273" s="571"/>
      <c r="AM1273" s="571"/>
      <c r="AN1273" s="633"/>
      <c r="AO1273" s="12"/>
      <c r="AP1273" s="12"/>
      <c r="AQ1273" s="12"/>
      <c r="AR1273" s="12"/>
      <c r="AS1273" s="124"/>
      <c r="AT1273" s="124"/>
      <c r="AU1273" s="124"/>
      <c r="AV1273" s="124"/>
      <c r="AW1273" s="124"/>
      <c r="AX1273" s="124"/>
      <c r="AY1273" s="124"/>
      <c r="AZ1273" s="124"/>
      <c r="BA1273" s="124"/>
      <c r="BB1273" s="12"/>
      <c r="BC1273" s="12"/>
      <c r="BD1273" s="12"/>
      <c r="BE1273" s="12"/>
      <c r="BF1273" s="12"/>
      <c r="BG1273" s="12"/>
      <c r="BH1273" s="261"/>
      <c r="BI1273" s="247"/>
      <c r="BL1273" s="24"/>
    </row>
    <row r="1274" spans="1:87" x14ac:dyDescent="0.2">
      <c r="R1274" s="10" t="s">
        <v>219</v>
      </c>
      <c r="S1274" s="12">
        <v>4951</v>
      </c>
      <c r="T1274" s="12">
        <v>18760</v>
      </c>
      <c r="V1274" s="12">
        <f t="shared" ref="V1274:V1278" si="537">SUM(S1274:T1274)</f>
        <v>23711</v>
      </c>
      <c r="W1274" s="294"/>
      <c r="X1274" s="12">
        <v>1410</v>
      </c>
      <c r="Y1274" s="12">
        <v>2971</v>
      </c>
      <c r="AA1274" s="12">
        <f t="shared" ref="AA1274:AA1278" si="538">SUM(X1274:Y1274)</f>
        <v>4381</v>
      </c>
      <c r="AB1274" s="294"/>
      <c r="AC1274" s="294"/>
      <c r="AD1274" s="294"/>
      <c r="AE1274" s="294"/>
      <c r="AF1274" s="294"/>
      <c r="AG1274" s="19"/>
      <c r="AH1274" s="294"/>
      <c r="AI1274" s="294"/>
      <c r="AJ1274" s="294"/>
      <c r="AK1274" s="294"/>
      <c r="AL1274" s="571"/>
      <c r="AM1274" s="571"/>
      <c r="AN1274" s="633"/>
      <c r="AO1274" s="12"/>
      <c r="AP1274" s="12"/>
      <c r="AQ1274" s="12"/>
      <c r="AR1274" s="12"/>
      <c r="AS1274" s="124"/>
      <c r="AT1274" s="124"/>
      <c r="AU1274" s="124"/>
      <c r="AV1274" s="124"/>
      <c r="AW1274" s="124"/>
      <c r="AX1274" s="124"/>
      <c r="AY1274" s="124"/>
      <c r="AZ1274" s="124"/>
      <c r="BA1274" s="124"/>
      <c r="BB1274" s="12"/>
      <c r="BC1274" s="12"/>
      <c r="BD1274" s="12"/>
      <c r="BE1274" s="12"/>
      <c r="BF1274" s="12"/>
      <c r="BG1274" s="12"/>
      <c r="BH1274" s="261"/>
      <c r="BI1274" s="247"/>
      <c r="BL1274" s="24"/>
    </row>
    <row r="1275" spans="1:87" x14ac:dyDescent="0.2">
      <c r="R1275" s="10" t="s">
        <v>208</v>
      </c>
      <c r="S1275" s="12">
        <v>2</v>
      </c>
      <c r="T1275" s="12">
        <v>30</v>
      </c>
      <c r="V1275" s="12">
        <f t="shared" si="537"/>
        <v>32</v>
      </c>
      <c r="W1275" s="294"/>
      <c r="AA1275" s="12">
        <f t="shared" si="538"/>
        <v>0</v>
      </c>
      <c r="AB1275" s="294"/>
      <c r="AC1275" s="294"/>
      <c r="AD1275" s="294"/>
      <c r="AE1275" s="294"/>
      <c r="AF1275" s="294"/>
      <c r="AG1275" s="19"/>
      <c r="AH1275" s="294"/>
      <c r="AI1275" s="294"/>
      <c r="AJ1275" s="294"/>
      <c r="AK1275" s="294"/>
      <c r="AL1275" s="571"/>
      <c r="AM1275" s="571"/>
      <c r="AN1275" s="633"/>
      <c r="AO1275" s="12"/>
      <c r="AP1275" s="12"/>
      <c r="AQ1275" s="12"/>
      <c r="AR1275" s="12"/>
      <c r="AS1275" s="124"/>
      <c r="AT1275" s="124"/>
      <c r="AU1275" s="124"/>
      <c r="AV1275" s="124"/>
      <c r="AW1275" s="124"/>
      <c r="AX1275" s="124"/>
      <c r="AY1275" s="124"/>
      <c r="AZ1275" s="124"/>
      <c r="BA1275" s="124"/>
      <c r="BB1275" s="12"/>
      <c r="BC1275" s="12"/>
      <c r="BD1275" s="12"/>
      <c r="BE1275" s="12"/>
      <c r="BF1275" s="12"/>
      <c r="BG1275" s="12"/>
      <c r="BH1275" s="261"/>
      <c r="BI1275" s="247"/>
      <c r="BL1275" s="24"/>
    </row>
    <row r="1276" spans="1:87" x14ac:dyDescent="0.2">
      <c r="F1276" s="12">
        <f>35*3000</f>
        <v>105000</v>
      </c>
      <c r="R1276" s="10" t="s">
        <v>209</v>
      </c>
      <c r="S1276" s="294">
        <v>3</v>
      </c>
      <c r="T1276" s="12">
        <v>55</v>
      </c>
      <c r="V1276" s="12">
        <f t="shared" si="537"/>
        <v>58</v>
      </c>
      <c r="W1276" s="294"/>
      <c r="AA1276" s="12">
        <f t="shared" si="538"/>
        <v>0</v>
      </c>
      <c r="AB1276" s="294"/>
      <c r="AC1276" s="294"/>
      <c r="AD1276" s="294"/>
      <c r="AE1276" s="294"/>
      <c r="AF1276" s="294"/>
      <c r="AG1276" s="19"/>
      <c r="AH1276" s="294"/>
      <c r="AI1276" s="294"/>
      <c r="AJ1276" s="294"/>
      <c r="AK1276" s="294"/>
      <c r="AL1276" s="571"/>
      <c r="AM1276" s="571"/>
      <c r="AN1276" s="633"/>
      <c r="AO1276" s="12"/>
      <c r="AP1276" s="12"/>
      <c r="AQ1276" s="12"/>
      <c r="AR1276" s="12"/>
      <c r="AS1276" s="124"/>
      <c r="AT1276" s="124"/>
      <c r="AU1276" s="124"/>
      <c r="AV1276" s="124"/>
      <c r="AW1276" s="124"/>
      <c r="AX1276" s="124"/>
      <c r="AY1276" s="124"/>
      <c r="AZ1276" s="124"/>
      <c r="BA1276" s="124"/>
      <c r="BB1276" s="12"/>
      <c r="BC1276" s="12"/>
      <c r="BD1276" s="12"/>
      <c r="BE1276" s="12"/>
      <c r="BF1276" s="12"/>
      <c r="BG1276" s="12"/>
      <c r="BH1276" s="261"/>
      <c r="BI1276" s="247"/>
      <c r="BL1276" s="24"/>
    </row>
    <row r="1277" spans="1:87" x14ac:dyDescent="0.2">
      <c r="R1277" s="10" t="s">
        <v>210</v>
      </c>
      <c r="S1277" s="294">
        <v>265</v>
      </c>
      <c r="T1277" s="12">
        <v>98080</v>
      </c>
      <c r="V1277" s="12">
        <f t="shared" si="537"/>
        <v>98345</v>
      </c>
      <c r="W1277" s="294"/>
      <c r="X1277" s="12">
        <v>144</v>
      </c>
      <c r="Y1277" s="12">
        <v>3870</v>
      </c>
      <c r="AA1277" s="12">
        <f t="shared" si="538"/>
        <v>4014</v>
      </c>
      <c r="AB1277" s="294"/>
      <c r="AC1277" s="294"/>
      <c r="AD1277" s="294"/>
      <c r="AE1277" s="294"/>
      <c r="AF1277" s="294"/>
      <c r="AG1277" s="19"/>
      <c r="AH1277" s="294"/>
      <c r="AI1277" s="294"/>
      <c r="AJ1277" s="294"/>
      <c r="AK1277" s="294"/>
      <c r="AL1277" s="571"/>
      <c r="AM1277" s="571"/>
      <c r="AN1277" s="633"/>
      <c r="AO1277" s="12"/>
      <c r="AP1277" s="12"/>
      <c r="AQ1277" s="12"/>
      <c r="AR1277" s="12"/>
      <c r="AS1277" s="124"/>
      <c r="AT1277" s="124"/>
      <c r="AU1277" s="124"/>
      <c r="AV1277" s="124"/>
      <c r="AW1277" s="124"/>
      <c r="AX1277" s="124"/>
      <c r="AY1277" s="124"/>
      <c r="AZ1277" s="124"/>
      <c r="BA1277" s="124"/>
      <c r="BB1277" s="12"/>
      <c r="BC1277" s="12"/>
      <c r="BD1277" s="12"/>
      <c r="BE1277" s="12"/>
      <c r="BF1277" s="12"/>
      <c r="BG1277" s="12"/>
      <c r="BH1277" s="261"/>
      <c r="BI1277" s="247"/>
      <c r="BL1277" s="24"/>
    </row>
    <row r="1278" spans="1:87" x14ac:dyDescent="0.2">
      <c r="R1278" s="10" t="s">
        <v>211</v>
      </c>
      <c r="S1278" s="294">
        <v>88</v>
      </c>
      <c r="T1278" s="12">
        <v>1257</v>
      </c>
      <c r="V1278" s="12">
        <f t="shared" si="537"/>
        <v>1345</v>
      </c>
      <c r="W1278" s="294"/>
      <c r="AA1278" s="12">
        <f t="shared" si="538"/>
        <v>0</v>
      </c>
      <c r="AB1278" s="294"/>
      <c r="AC1278" s="294"/>
      <c r="AD1278" s="294"/>
      <c r="AE1278" s="294"/>
      <c r="AF1278" s="294"/>
      <c r="AG1278" s="294"/>
      <c r="AH1278" s="294"/>
      <c r="AI1278" s="294"/>
      <c r="AJ1278" s="294"/>
      <c r="AK1278" s="294"/>
      <c r="AL1278" s="571"/>
      <c r="AM1278" s="571"/>
      <c r="AN1278" s="633"/>
      <c r="AO1278" s="12"/>
      <c r="AP1278" s="12"/>
      <c r="AQ1278" s="12"/>
      <c r="AR1278" s="12"/>
      <c r="AS1278" s="124"/>
      <c r="AT1278" s="124"/>
      <c r="AU1278" s="124"/>
      <c r="AV1278" s="124"/>
      <c r="AW1278" s="124"/>
      <c r="AX1278" s="124"/>
      <c r="AY1278" s="124"/>
      <c r="AZ1278" s="124"/>
      <c r="BA1278" s="124"/>
      <c r="BB1278" s="12"/>
      <c r="BC1278" s="12"/>
      <c r="BD1278" s="12"/>
      <c r="BE1278" s="12"/>
      <c r="BF1278" s="12"/>
      <c r="BG1278" s="12"/>
      <c r="BH1278" s="261"/>
      <c r="BI1278" s="247"/>
      <c r="BL1278" s="24"/>
    </row>
    <row r="1279" spans="1:87" x14ac:dyDescent="0.2">
      <c r="F1279" s="12">
        <f>50000/3000</f>
        <v>16.666666666666668</v>
      </c>
      <c r="W1279" s="294"/>
      <c r="AB1279" s="294"/>
      <c r="AC1279" s="294"/>
      <c r="AD1279" s="294"/>
      <c r="AE1279" s="294"/>
      <c r="AF1279" s="634"/>
      <c r="AG1279" s="19"/>
      <c r="AH1279" s="294"/>
      <c r="AI1279" s="294"/>
      <c r="AJ1279" s="294"/>
      <c r="AK1279" s="294"/>
      <c r="AL1279" s="571"/>
      <c r="AM1279" s="571"/>
      <c r="AN1279" s="633"/>
      <c r="AO1279" s="12"/>
      <c r="AP1279" s="12"/>
      <c r="AQ1279" s="12"/>
      <c r="AR1279" s="12"/>
      <c r="AS1279" s="124"/>
      <c r="AT1279" s="124"/>
      <c r="AU1279" s="124"/>
      <c r="AV1279" s="124"/>
      <c r="AW1279" s="124"/>
      <c r="AX1279" s="124"/>
      <c r="AY1279" s="124"/>
      <c r="AZ1279" s="124"/>
      <c r="BA1279" s="124"/>
      <c r="BB1279" s="12"/>
      <c r="BC1279" s="12"/>
      <c r="BD1279" s="12"/>
      <c r="BE1279" s="12"/>
      <c r="BF1279" s="12"/>
      <c r="BG1279" s="12"/>
      <c r="BH1279" s="261"/>
      <c r="BI1279" s="247"/>
      <c r="BL1279" s="24"/>
    </row>
    <row r="1280" spans="1:87" x14ac:dyDescent="0.2">
      <c r="W1280" s="294"/>
      <c r="AB1280" s="294"/>
      <c r="AC1280" s="294"/>
      <c r="AD1280" s="294"/>
      <c r="AE1280" s="294"/>
      <c r="AF1280" s="294"/>
      <c r="AG1280" s="19"/>
      <c r="AH1280" s="294"/>
      <c r="AI1280" s="294"/>
      <c r="AJ1280" s="294"/>
      <c r="AK1280" s="294"/>
      <c r="AL1280" s="571"/>
      <c r="AM1280" s="571"/>
      <c r="AN1280" s="633"/>
      <c r="AO1280" s="12"/>
      <c r="AP1280" s="12"/>
      <c r="AQ1280" s="12"/>
      <c r="AR1280" s="12"/>
      <c r="AS1280" s="124"/>
      <c r="AT1280" s="124"/>
      <c r="AU1280" s="124"/>
      <c r="AV1280" s="124"/>
      <c r="AW1280" s="124"/>
      <c r="AX1280" s="124"/>
      <c r="AY1280" s="124"/>
      <c r="AZ1280" s="124"/>
      <c r="BA1280" s="124"/>
      <c r="BB1280" s="12"/>
      <c r="BC1280" s="12"/>
      <c r="BD1280" s="12"/>
      <c r="BE1280" s="12"/>
      <c r="BF1280" s="12"/>
      <c r="BG1280" s="12"/>
      <c r="BH1280" s="261"/>
      <c r="BI1280" s="247"/>
      <c r="BL1280" s="24"/>
    </row>
    <row r="1281" spans="17:64" ht="45" x14ac:dyDescent="0.2">
      <c r="S1281" s="394" t="s">
        <v>685</v>
      </c>
      <c r="T1281" s="394" t="s">
        <v>686</v>
      </c>
      <c r="U1281" s="394" t="s">
        <v>688</v>
      </c>
      <c r="V1281" s="394" t="s">
        <v>689</v>
      </c>
      <c r="W1281" s="204" t="s">
        <v>687</v>
      </c>
      <c r="X1281" s="43" t="s">
        <v>690</v>
      </c>
      <c r="AB1281" s="294"/>
      <c r="AC1281" s="294"/>
      <c r="AD1281" s="294"/>
      <c r="AE1281" s="294"/>
      <c r="AF1281" s="294"/>
      <c r="AG1281" s="19"/>
      <c r="AH1281" s="294"/>
      <c r="AI1281" s="294"/>
      <c r="AJ1281" s="294"/>
      <c r="AK1281" s="294"/>
      <c r="AL1281" s="571"/>
      <c r="AM1281" s="571"/>
      <c r="AN1281" s="633"/>
      <c r="AO1281" s="12"/>
      <c r="AP1281" s="12"/>
      <c r="AQ1281" s="12"/>
      <c r="AR1281" s="12"/>
      <c r="AS1281" s="124"/>
      <c r="AT1281" s="124"/>
      <c r="AU1281" s="124"/>
      <c r="AV1281" s="124"/>
      <c r="AW1281" s="124"/>
      <c r="AX1281" s="124"/>
      <c r="AY1281" s="124"/>
      <c r="AZ1281" s="124"/>
      <c r="BA1281" s="124"/>
      <c r="BB1281" s="12"/>
      <c r="BC1281" s="12"/>
      <c r="BD1281" s="12"/>
      <c r="BE1281" s="12"/>
      <c r="BF1281" s="12"/>
      <c r="BG1281" s="12"/>
      <c r="BH1281" s="261"/>
      <c r="BI1281" s="247"/>
      <c r="BL1281" s="24"/>
    </row>
    <row r="1282" spans="17:64" x14ac:dyDescent="0.2">
      <c r="Q1282" s="19" t="s">
        <v>269</v>
      </c>
      <c r="R1282" s="10" t="s">
        <v>207</v>
      </c>
      <c r="S1282" s="12">
        <v>24</v>
      </c>
      <c r="T1282" s="12">
        <v>0</v>
      </c>
      <c r="U1282" s="12">
        <v>0</v>
      </c>
      <c r="V1282" s="294">
        <v>0</v>
      </c>
      <c r="W1282" s="294">
        <v>24</v>
      </c>
      <c r="X1282" s="294">
        <v>24</v>
      </c>
      <c r="AB1282" s="294"/>
      <c r="AC1282" s="294"/>
      <c r="AD1282" s="294"/>
      <c r="AE1282" s="294"/>
      <c r="AF1282" s="294"/>
      <c r="AG1282" s="19"/>
      <c r="AH1282" s="294"/>
      <c r="AI1282" s="294"/>
      <c r="AJ1282" s="294"/>
      <c r="AK1282" s="294"/>
      <c r="AL1282" s="571"/>
      <c r="AM1282" s="571"/>
      <c r="AN1282" s="633"/>
      <c r="AO1282" s="12"/>
      <c r="AP1282" s="12"/>
      <c r="AQ1282" s="12"/>
      <c r="AR1282" s="12"/>
      <c r="AS1282" s="124"/>
      <c r="AT1282" s="124"/>
      <c r="AU1282" s="124"/>
      <c r="AV1282" s="124"/>
      <c r="AW1282" s="124"/>
      <c r="AX1282" s="124"/>
      <c r="AY1282" s="124"/>
      <c r="AZ1282" s="124"/>
      <c r="BA1282" s="124"/>
      <c r="BB1282" s="12"/>
      <c r="BC1282" s="12"/>
      <c r="BD1282" s="12"/>
      <c r="BE1282" s="12"/>
      <c r="BF1282" s="12"/>
      <c r="BG1282" s="12"/>
      <c r="BH1282" s="261"/>
      <c r="BI1282" s="247"/>
      <c r="BL1282" s="24"/>
    </row>
    <row r="1283" spans="17:64" x14ac:dyDescent="0.2">
      <c r="Q1283" s="19" t="s">
        <v>269</v>
      </c>
      <c r="R1283" s="10" t="s">
        <v>219</v>
      </c>
      <c r="S1283" s="12">
        <v>521</v>
      </c>
      <c r="T1283" s="12">
        <v>49</v>
      </c>
      <c r="U1283" s="12">
        <v>0</v>
      </c>
      <c r="V1283" s="294">
        <v>0</v>
      </c>
      <c r="W1283" s="294">
        <v>521</v>
      </c>
      <c r="X1283" s="294">
        <v>570</v>
      </c>
      <c r="AB1283" s="294"/>
      <c r="AC1283" s="294"/>
      <c r="AD1283" s="294"/>
      <c r="AE1283" s="294"/>
      <c r="AF1283" s="294"/>
      <c r="AG1283" s="19"/>
      <c r="AH1283" s="294"/>
      <c r="AI1283" s="294"/>
      <c r="AJ1283" s="294"/>
      <c r="AK1283" s="294"/>
      <c r="AL1283" s="571"/>
      <c r="AM1283" s="571"/>
      <c r="AN1283" s="633"/>
      <c r="AO1283" s="12"/>
      <c r="AP1283" s="12"/>
      <c r="AQ1283" s="12"/>
      <c r="AR1283" s="12"/>
      <c r="AS1283" s="124"/>
      <c r="AT1283" s="124"/>
      <c r="AU1283" s="124"/>
      <c r="AV1283" s="124"/>
      <c r="AW1283" s="124"/>
      <c r="AX1283" s="124"/>
      <c r="AY1283" s="124"/>
      <c r="AZ1283" s="124"/>
      <c r="BA1283" s="124"/>
      <c r="BB1283" s="12"/>
      <c r="BC1283" s="12"/>
      <c r="BD1283" s="12"/>
      <c r="BE1283" s="12"/>
      <c r="BF1283" s="12"/>
      <c r="BG1283" s="12"/>
      <c r="BH1283" s="261"/>
      <c r="BI1283" s="247"/>
      <c r="BL1283" s="24"/>
    </row>
    <row r="1284" spans="17:64" x14ac:dyDescent="0.2">
      <c r="Q1284" s="19" t="s">
        <v>269</v>
      </c>
      <c r="R1284" s="10" t="s">
        <v>208</v>
      </c>
      <c r="S1284" s="12">
        <v>1</v>
      </c>
      <c r="T1284" s="12">
        <v>0</v>
      </c>
      <c r="U1284" s="12">
        <v>0</v>
      </c>
      <c r="V1284" s="294">
        <v>0</v>
      </c>
      <c r="W1284" s="294">
        <v>1</v>
      </c>
      <c r="X1284" s="294">
        <v>1</v>
      </c>
      <c r="AB1284" s="294"/>
      <c r="AC1284" s="294"/>
      <c r="AD1284" s="294"/>
      <c r="AE1284" s="294"/>
      <c r="AF1284" s="294"/>
      <c r="AG1284" s="19"/>
      <c r="AH1284" s="294"/>
      <c r="AI1284" s="294"/>
      <c r="AJ1284" s="294"/>
      <c r="AK1284" s="294"/>
      <c r="AL1284" s="571"/>
      <c r="AM1284" s="571"/>
      <c r="AN1284" s="633"/>
      <c r="AO1284" s="12"/>
      <c r="AP1284" s="12"/>
      <c r="AQ1284" s="12"/>
      <c r="AR1284" s="12"/>
      <c r="AS1284" s="124"/>
      <c r="AT1284" s="124"/>
      <c r="AU1284" s="124"/>
      <c r="AV1284" s="124"/>
      <c r="AW1284" s="124"/>
      <c r="AX1284" s="124"/>
      <c r="AY1284" s="124"/>
      <c r="AZ1284" s="124"/>
      <c r="BA1284" s="124"/>
      <c r="BB1284" s="12"/>
      <c r="BC1284" s="12"/>
      <c r="BD1284" s="12"/>
      <c r="BE1284" s="12"/>
      <c r="BF1284" s="12"/>
      <c r="BG1284" s="12"/>
      <c r="BH1284" s="261"/>
      <c r="BI1284" s="247"/>
      <c r="BL1284" s="24"/>
    </row>
    <row r="1285" spans="17:64" x14ac:dyDescent="0.2">
      <c r="Q1285" s="19" t="s">
        <v>269</v>
      </c>
      <c r="R1285" s="10" t="s">
        <v>209</v>
      </c>
      <c r="S1285" s="294">
        <v>4223</v>
      </c>
      <c r="T1285" s="12">
        <v>0</v>
      </c>
      <c r="U1285" s="12">
        <v>0</v>
      </c>
      <c r="V1285" s="294">
        <v>0</v>
      </c>
      <c r="W1285" s="294">
        <v>4223</v>
      </c>
      <c r="X1285" s="294">
        <v>4223</v>
      </c>
      <c r="AB1285" s="294"/>
      <c r="AC1285" s="294"/>
      <c r="AD1285" s="294"/>
      <c r="AE1285" s="294"/>
      <c r="AF1285" s="294"/>
      <c r="AG1285" s="294"/>
      <c r="AH1285" s="294"/>
      <c r="AI1285" s="294"/>
      <c r="AJ1285" s="294"/>
      <c r="AK1285" s="294"/>
      <c r="AL1285" s="571"/>
      <c r="AM1285" s="571"/>
      <c r="AN1285" s="633"/>
      <c r="AO1285" s="12"/>
      <c r="AP1285" s="12"/>
      <c r="AQ1285" s="12"/>
      <c r="AR1285" s="12"/>
      <c r="AS1285" s="124"/>
      <c r="AT1285" s="124"/>
      <c r="AU1285" s="124"/>
      <c r="AV1285" s="124"/>
      <c r="AW1285" s="124"/>
      <c r="AX1285" s="124"/>
      <c r="AY1285" s="124"/>
      <c r="AZ1285" s="124"/>
      <c r="BA1285" s="124"/>
      <c r="BB1285" s="12"/>
      <c r="BC1285" s="12"/>
      <c r="BD1285" s="12"/>
      <c r="BE1285" s="12"/>
      <c r="BF1285" s="12"/>
      <c r="BG1285" s="12"/>
      <c r="BH1285" s="261"/>
      <c r="BI1285" s="247"/>
      <c r="BL1285" s="24"/>
    </row>
    <row r="1286" spans="17:64" x14ac:dyDescent="0.2">
      <c r="Q1286" s="19" t="s">
        <v>269</v>
      </c>
      <c r="R1286" s="10" t="s">
        <v>210</v>
      </c>
      <c r="S1286" s="294">
        <v>176</v>
      </c>
      <c r="T1286" s="12">
        <v>0</v>
      </c>
      <c r="U1286" s="12">
        <v>0</v>
      </c>
      <c r="V1286" s="294">
        <v>0</v>
      </c>
      <c r="W1286" s="294">
        <v>176</v>
      </c>
      <c r="X1286" s="294">
        <v>176</v>
      </c>
      <c r="AB1286" s="294"/>
      <c r="AC1286" s="294"/>
      <c r="AD1286" s="294"/>
      <c r="AE1286" s="294"/>
      <c r="AF1286" s="635"/>
      <c r="AG1286" s="19"/>
      <c r="AH1286" s="294"/>
      <c r="AI1286" s="294"/>
      <c r="AJ1286" s="294"/>
      <c r="AK1286" s="294"/>
      <c r="AL1286" s="634"/>
      <c r="AM1286" s="634"/>
      <c r="AN1286" s="633"/>
      <c r="AO1286" s="12"/>
      <c r="AP1286" s="12"/>
      <c r="AQ1286" s="12"/>
      <c r="AR1286" s="12"/>
      <c r="AS1286" s="124"/>
      <c r="AT1286" s="124"/>
      <c r="AU1286" s="124"/>
      <c r="AV1286" s="124"/>
      <c r="AW1286" s="124"/>
      <c r="AX1286" s="124"/>
      <c r="AY1286" s="124"/>
      <c r="AZ1286" s="124"/>
      <c r="BA1286" s="124"/>
      <c r="BB1286" s="12"/>
      <c r="BC1286" s="12"/>
      <c r="BD1286" s="12"/>
      <c r="BE1286" s="12"/>
      <c r="BF1286" s="12"/>
      <c r="BG1286" s="12"/>
      <c r="BH1286" s="261"/>
      <c r="BI1286" s="247"/>
      <c r="BL1286" s="24"/>
    </row>
    <row r="1287" spans="17:64" x14ac:dyDescent="0.2">
      <c r="R1287" s="10" t="s">
        <v>211</v>
      </c>
      <c r="W1287" s="294"/>
      <c r="AB1287" s="294"/>
      <c r="AC1287" s="294"/>
      <c r="AD1287" s="294"/>
      <c r="AE1287" s="294"/>
      <c r="AF1287" s="294"/>
      <c r="AG1287" s="19"/>
      <c r="AH1287" s="294"/>
      <c r="AI1287" s="294"/>
      <c r="AJ1287" s="294"/>
      <c r="AK1287" s="294"/>
      <c r="AL1287" s="634"/>
      <c r="AM1287" s="634"/>
      <c r="AN1287" s="633"/>
      <c r="AO1287" s="12"/>
      <c r="AP1287" s="12"/>
      <c r="AQ1287" s="12"/>
      <c r="AR1287" s="12"/>
      <c r="AS1287" s="124"/>
      <c r="AT1287" s="124"/>
      <c r="AU1287" s="124"/>
      <c r="AV1287" s="124"/>
      <c r="AW1287" s="124"/>
      <c r="AX1287" s="124"/>
      <c r="AY1287" s="124"/>
      <c r="AZ1287" s="124"/>
      <c r="BA1287" s="124"/>
      <c r="BB1287" s="12"/>
      <c r="BC1287" s="12"/>
      <c r="BD1287" s="12"/>
      <c r="BE1287" s="12"/>
      <c r="BF1287" s="12"/>
      <c r="BG1287" s="12"/>
      <c r="BH1287" s="261"/>
      <c r="BI1287" s="247"/>
      <c r="BL1287" s="24"/>
    </row>
    <row r="1288" spans="17:64" x14ac:dyDescent="0.2">
      <c r="Q1288" s="14" t="s">
        <v>776</v>
      </c>
      <c r="R1288" s="10" t="s">
        <v>207</v>
      </c>
      <c r="S1288" s="12">
        <v>207</v>
      </c>
      <c r="T1288" s="12">
        <v>5</v>
      </c>
      <c r="U1288" s="12">
        <v>0</v>
      </c>
      <c r="V1288" s="294">
        <v>0</v>
      </c>
      <c r="W1288" s="294">
        <v>207</v>
      </c>
      <c r="X1288" s="294">
        <v>212</v>
      </c>
      <c r="AB1288" s="294"/>
      <c r="AC1288" s="294"/>
      <c r="AD1288" s="294"/>
      <c r="AE1288" s="294"/>
      <c r="AF1288" s="294"/>
      <c r="AG1288" s="19"/>
      <c r="AH1288" s="294"/>
      <c r="AI1288" s="294"/>
      <c r="AJ1288" s="294"/>
      <c r="AK1288" s="294"/>
      <c r="AL1288" s="634"/>
      <c r="AM1288" s="634"/>
      <c r="AN1288" s="633"/>
      <c r="AO1288" s="12"/>
      <c r="AP1288" s="12"/>
      <c r="AQ1288" s="12"/>
      <c r="AR1288" s="12"/>
      <c r="AS1288" s="124"/>
      <c r="AT1288" s="124"/>
      <c r="AU1288" s="124"/>
      <c r="AV1288" s="124"/>
      <c r="AW1288" s="124"/>
      <c r="AX1288" s="124"/>
      <c r="AY1288" s="124"/>
      <c r="AZ1288" s="124"/>
      <c r="BA1288" s="124"/>
      <c r="BB1288" s="12"/>
      <c r="BC1288" s="12"/>
      <c r="BD1288" s="12"/>
      <c r="BE1288" s="12"/>
      <c r="BF1288" s="12"/>
      <c r="BG1288" s="12"/>
      <c r="BH1288" s="261"/>
      <c r="BI1288" s="247"/>
      <c r="BL1288" s="24"/>
    </row>
    <row r="1289" spans="17:64" x14ac:dyDescent="0.2">
      <c r="Q1289" s="14" t="s">
        <v>776</v>
      </c>
      <c r="R1289" s="10" t="s">
        <v>219</v>
      </c>
      <c r="S1289" s="12">
        <v>263</v>
      </c>
      <c r="T1289" s="12">
        <v>30</v>
      </c>
      <c r="U1289" s="12">
        <v>0</v>
      </c>
      <c r="V1289" s="294">
        <v>0</v>
      </c>
      <c r="W1289" s="294">
        <v>263</v>
      </c>
      <c r="X1289" s="294">
        <v>293</v>
      </c>
      <c r="AB1289" s="294"/>
      <c r="AC1289" s="294"/>
      <c r="AD1289" s="294"/>
      <c r="AE1289" s="294"/>
      <c r="AF1289" s="294"/>
      <c r="AG1289" s="19"/>
      <c r="AH1289" s="294"/>
      <c r="AI1289" s="294"/>
      <c r="AJ1289" s="294"/>
      <c r="AK1289" s="294"/>
      <c r="AL1289" s="634"/>
      <c r="AM1289" s="634"/>
      <c r="AN1289" s="633"/>
      <c r="AO1289" s="12"/>
      <c r="AP1289" s="12"/>
      <c r="AQ1289" s="12"/>
      <c r="AR1289" s="12"/>
      <c r="AS1289" s="124"/>
      <c r="AT1289" s="124"/>
      <c r="AU1289" s="124"/>
      <c r="AV1289" s="124"/>
      <c r="AW1289" s="124"/>
      <c r="AX1289" s="124"/>
      <c r="AY1289" s="124"/>
      <c r="AZ1289" s="124"/>
      <c r="BA1289" s="124"/>
      <c r="BB1289" s="12"/>
      <c r="BC1289" s="12"/>
      <c r="BD1289" s="12"/>
      <c r="BE1289" s="12"/>
      <c r="BF1289" s="12"/>
      <c r="BG1289" s="12"/>
      <c r="BH1289" s="261"/>
      <c r="BI1289" s="247"/>
      <c r="BL1289" s="24"/>
    </row>
    <row r="1290" spans="17:64" x14ac:dyDescent="0.2">
      <c r="Q1290" s="14" t="s">
        <v>776</v>
      </c>
      <c r="R1290" s="10" t="s">
        <v>208</v>
      </c>
      <c r="S1290" s="12">
        <v>9</v>
      </c>
      <c r="T1290" s="12">
        <v>0</v>
      </c>
      <c r="U1290" s="12">
        <v>0</v>
      </c>
      <c r="V1290" s="294">
        <v>0</v>
      </c>
      <c r="W1290" s="294">
        <v>9</v>
      </c>
      <c r="X1290" s="294">
        <v>9</v>
      </c>
      <c r="AB1290" s="294"/>
      <c r="AC1290" s="294"/>
      <c r="AD1290" s="294"/>
      <c r="AE1290" s="294"/>
      <c r="AF1290" s="294"/>
      <c r="AG1290" s="19"/>
      <c r="AH1290" s="294"/>
      <c r="AI1290" s="294"/>
      <c r="AJ1290" s="294"/>
      <c r="AK1290" s="294"/>
      <c r="AL1290" s="634"/>
      <c r="AM1290" s="634"/>
      <c r="AN1290" s="633"/>
      <c r="AO1290" s="12"/>
      <c r="AP1290" s="12"/>
      <c r="AQ1290" s="12"/>
      <c r="AR1290" s="12"/>
      <c r="AS1290" s="124"/>
      <c r="AT1290" s="124"/>
      <c r="AU1290" s="124"/>
      <c r="AV1290" s="124"/>
      <c r="AW1290" s="124"/>
      <c r="AX1290" s="124"/>
      <c r="AY1290" s="124"/>
      <c r="AZ1290" s="124"/>
      <c r="BA1290" s="124"/>
      <c r="BB1290" s="12"/>
      <c r="BC1290" s="12"/>
      <c r="BD1290" s="12"/>
      <c r="BE1290" s="12"/>
      <c r="BF1290" s="12"/>
      <c r="BG1290" s="12"/>
      <c r="BH1290" s="261"/>
      <c r="BI1290" s="247"/>
      <c r="BL1290" s="24"/>
    </row>
    <row r="1291" spans="17:64" x14ac:dyDescent="0.2">
      <c r="Q1291" s="14" t="s">
        <v>776</v>
      </c>
      <c r="R1291" s="10" t="s">
        <v>209</v>
      </c>
      <c r="S1291" s="12">
        <v>216</v>
      </c>
      <c r="T1291" s="12">
        <v>0</v>
      </c>
      <c r="U1291" s="12">
        <v>0</v>
      </c>
      <c r="V1291" s="294">
        <v>0</v>
      </c>
      <c r="W1291" s="294">
        <v>216</v>
      </c>
      <c r="X1291" s="294">
        <v>216</v>
      </c>
      <c r="AB1291" s="294"/>
      <c r="AC1291" s="294"/>
      <c r="AD1291" s="294"/>
      <c r="AE1291" s="294"/>
      <c r="AF1291" s="294"/>
      <c r="AG1291" s="19"/>
      <c r="AH1291" s="294"/>
      <c r="AI1291" s="294"/>
      <c r="AJ1291" s="294"/>
      <c r="AK1291" s="294"/>
      <c r="AL1291" s="634"/>
      <c r="AM1291" s="634"/>
      <c r="AN1291" s="633"/>
      <c r="AO1291" s="12"/>
      <c r="AP1291" s="12"/>
      <c r="AQ1291" s="12"/>
      <c r="AR1291" s="12"/>
      <c r="AS1291" s="124"/>
      <c r="AT1291" s="124"/>
      <c r="AU1291" s="124"/>
      <c r="AV1291" s="124"/>
      <c r="AW1291" s="124"/>
      <c r="AX1291" s="124"/>
      <c r="AY1291" s="124"/>
      <c r="AZ1291" s="124"/>
      <c r="BA1291" s="124"/>
      <c r="BB1291" s="12"/>
      <c r="BC1291" s="12"/>
      <c r="BD1291" s="12"/>
      <c r="BE1291" s="12"/>
      <c r="BF1291" s="12"/>
      <c r="BG1291" s="12"/>
      <c r="BH1291" s="261"/>
      <c r="BI1291" s="247"/>
      <c r="BL1291" s="24"/>
    </row>
    <row r="1292" spans="17:64" x14ac:dyDescent="0.2">
      <c r="Q1292" s="14" t="s">
        <v>776</v>
      </c>
      <c r="R1292" s="10" t="s">
        <v>210</v>
      </c>
      <c r="S1292" s="12">
        <v>132</v>
      </c>
      <c r="T1292" s="12">
        <v>0</v>
      </c>
      <c r="U1292" s="12">
        <v>0</v>
      </c>
      <c r="V1292" s="294">
        <v>0</v>
      </c>
      <c r="W1292" s="294">
        <v>132</v>
      </c>
      <c r="X1292" s="294">
        <v>132</v>
      </c>
      <c r="AB1292" s="294"/>
      <c r="AC1292" s="294"/>
      <c r="AD1292" s="294"/>
      <c r="AE1292" s="294"/>
      <c r="AF1292" s="294"/>
      <c r="AG1292" s="294"/>
      <c r="AH1292" s="294"/>
      <c r="AI1292" s="294"/>
      <c r="AJ1292" s="294"/>
      <c r="AK1292" s="294"/>
      <c r="AL1292" s="571"/>
      <c r="AM1292" s="571"/>
      <c r="AN1292" s="633"/>
      <c r="AO1292" s="12"/>
      <c r="AP1292" s="12"/>
      <c r="AQ1292" s="12"/>
      <c r="AR1292" s="12"/>
      <c r="AS1292" s="124"/>
      <c r="AT1292" s="124"/>
      <c r="AU1292" s="124"/>
      <c r="AV1292" s="124"/>
      <c r="AW1292" s="124"/>
      <c r="AX1292" s="124"/>
      <c r="AY1292" s="124"/>
      <c r="AZ1292" s="124"/>
      <c r="BA1292" s="124"/>
      <c r="BB1292" s="12"/>
      <c r="BC1292" s="12"/>
      <c r="BD1292" s="12"/>
      <c r="BE1292" s="12"/>
      <c r="BF1292" s="12"/>
      <c r="BG1292" s="12"/>
      <c r="BH1292" s="261"/>
      <c r="BI1292" s="247"/>
      <c r="BL1292" s="24"/>
    </row>
    <row r="1293" spans="17:64" x14ac:dyDescent="0.2">
      <c r="Q1293" s="14" t="s">
        <v>776</v>
      </c>
      <c r="R1293" s="10" t="s">
        <v>211</v>
      </c>
      <c r="AB1293" s="294"/>
      <c r="AC1293" s="294"/>
      <c r="AD1293" s="294"/>
      <c r="AE1293" s="294"/>
      <c r="AF1293" s="294"/>
      <c r="AG1293" s="294"/>
      <c r="AH1293" s="294"/>
      <c r="AI1293" s="294"/>
      <c r="AJ1293" s="294"/>
      <c r="AK1293" s="294"/>
      <c r="AL1293" s="571"/>
      <c r="AM1293" s="571"/>
      <c r="AN1293" s="633"/>
      <c r="AO1293" s="12"/>
      <c r="AP1293" s="12"/>
      <c r="AQ1293" s="12"/>
      <c r="AR1293" s="12"/>
      <c r="AS1293" s="124"/>
      <c r="AT1293" s="124"/>
      <c r="AU1293" s="124"/>
      <c r="AV1293" s="124"/>
      <c r="AW1293" s="124"/>
      <c r="AX1293" s="124"/>
      <c r="AY1293" s="124"/>
      <c r="AZ1293" s="124"/>
      <c r="BA1293" s="124"/>
      <c r="BB1293" s="12"/>
      <c r="BC1293" s="12"/>
      <c r="BD1293" s="12"/>
      <c r="BE1293" s="12"/>
      <c r="BF1293" s="12"/>
      <c r="BG1293" s="12"/>
      <c r="BH1293" s="261"/>
      <c r="BI1293" s="247"/>
      <c r="BL1293" s="24"/>
    </row>
    <row r="1294" spans="17:64" x14ac:dyDescent="0.2">
      <c r="AB1294" s="294"/>
      <c r="AC1294" s="294"/>
      <c r="AD1294" s="294"/>
      <c r="AE1294" s="294"/>
      <c r="AF1294" s="294"/>
      <c r="AG1294" s="294"/>
      <c r="AH1294" s="294"/>
      <c r="AI1294" s="294"/>
      <c r="AJ1294" s="294"/>
      <c r="AK1294" s="294"/>
      <c r="AL1294" s="571"/>
      <c r="AM1294" s="571"/>
      <c r="AN1294" s="633"/>
      <c r="AO1294" s="12"/>
      <c r="AP1294" s="12"/>
      <c r="AQ1294" s="12"/>
      <c r="AR1294" s="12"/>
      <c r="AS1294" s="124"/>
      <c r="AT1294" s="124"/>
      <c r="AU1294" s="124"/>
      <c r="AV1294" s="124"/>
      <c r="AW1294" s="124"/>
      <c r="AX1294" s="124"/>
      <c r="AY1294" s="124"/>
      <c r="AZ1294" s="124"/>
      <c r="BA1294" s="124"/>
      <c r="BB1294" s="12"/>
      <c r="BC1294" s="12"/>
      <c r="BD1294" s="12"/>
      <c r="BE1294" s="12"/>
      <c r="BF1294" s="12"/>
      <c r="BG1294" s="12"/>
      <c r="BH1294" s="261"/>
      <c r="BI1294" s="247"/>
      <c r="BL1294" s="24"/>
    </row>
    <row r="1295" spans="17:64" x14ac:dyDescent="0.2">
      <c r="Q1295" s="633" t="s">
        <v>777</v>
      </c>
      <c r="R1295" s="10" t="s">
        <v>207</v>
      </c>
      <c r="S1295" s="12">
        <f>S1282+S1288</f>
        <v>231</v>
      </c>
      <c r="T1295" s="12">
        <f t="shared" ref="T1295:X1295" si="539">T1282+T1288</f>
        <v>5</v>
      </c>
      <c r="U1295" s="12">
        <f t="shared" si="539"/>
        <v>0</v>
      </c>
      <c r="V1295" s="12">
        <f t="shared" si="539"/>
        <v>0</v>
      </c>
      <c r="W1295" s="12">
        <f t="shared" si="539"/>
        <v>231</v>
      </c>
      <c r="X1295" s="12">
        <f t="shared" si="539"/>
        <v>236</v>
      </c>
      <c r="AB1295" s="294"/>
      <c r="AC1295" s="294"/>
      <c r="AD1295" s="294"/>
      <c r="AE1295" s="294"/>
      <c r="AF1295" s="294"/>
      <c r="AG1295" s="294"/>
      <c r="AH1295" s="294"/>
      <c r="AI1295" s="294"/>
      <c r="AJ1295" s="294"/>
      <c r="AK1295" s="294"/>
      <c r="AL1295" s="571"/>
      <c r="AM1295" s="571"/>
      <c r="AN1295" s="633"/>
      <c r="AO1295" s="12"/>
      <c r="AP1295" s="12"/>
      <c r="AQ1295" s="12"/>
      <c r="AR1295" s="12"/>
      <c r="AS1295" s="124"/>
      <c r="AT1295" s="124"/>
      <c r="AU1295" s="124"/>
      <c r="AV1295" s="124"/>
      <c r="AW1295" s="124"/>
      <c r="AX1295" s="124"/>
      <c r="AY1295" s="124"/>
      <c r="AZ1295" s="124"/>
      <c r="BA1295" s="124"/>
      <c r="BB1295" s="12"/>
      <c r="BC1295" s="12"/>
      <c r="BD1295" s="12"/>
      <c r="BE1295" s="12"/>
      <c r="BF1295" s="12"/>
      <c r="BG1295" s="12"/>
      <c r="BH1295" s="261"/>
      <c r="BI1295" s="247"/>
      <c r="BL1295" s="24"/>
    </row>
    <row r="1296" spans="17:64" x14ac:dyDescent="0.2">
      <c r="R1296" s="10" t="s">
        <v>219</v>
      </c>
      <c r="S1296" s="12">
        <f t="shared" ref="S1296:X1296" si="540">S1283+S1289</f>
        <v>784</v>
      </c>
      <c r="T1296" s="12">
        <f t="shared" si="540"/>
        <v>79</v>
      </c>
      <c r="U1296" s="12">
        <f t="shared" si="540"/>
        <v>0</v>
      </c>
      <c r="V1296" s="12">
        <f t="shared" si="540"/>
        <v>0</v>
      </c>
      <c r="W1296" s="12">
        <f t="shared" si="540"/>
        <v>784</v>
      </c>
      <c r="X1296" s="12">
        <f t="shared" si="540"/>
        <v>863</v>
      </c>
      <c r="AB1296" s="294"/>
      <c r="AC1296" s="294"/>
      <c r="AD1296" s="294"/>
      <c r="AE1296" s="294"/>
      <c r="AF1296" s="294"/>
      <c r="AG1296" s="294"/>
      <c r="AH1296" s="294"/>
      <c r="AI1296" s="294"/>
      <c r="AJ1296" s="294"/>
      <c r="AK1296" s="294"/>
      <c r="AL1296" s="571"/>
      <c r="AM1296" s="571"/>
      <c r="AN1296" s="633"/>
      <c r="AO1296" s="12"/>
      <c r="AP1296" s="12"/>
      <c r="AQ1296" s="12"/>
      <c r="AR1296" s="12"/>
      <c r="AS1296" s="124"/>
      <c r="AT1296" s="124"/>
      <c r="AU1296" s="124"/>
      <c r="AV1296" s="124"/>
      <c r="AW1296" s="124"/>
      <c r="AX1296" s="124"/>
      <c r="AY1296" s="124"/>
      <c r="AZ1296" s="124"/>
      <c r="BA1296" s="124"/>
      <c r="BB1296" s="12"/>
      <c r="BC1296" s="12"/>
      <c r="BD1296" s="12"/>
      <c r="BE1296" s="12"/>
      <c r="BF1296" s="12"/>
      <c r="BG1296" s="12"/>
      <c r="BH1296" s="261"/>
      <c r="BI1296" s="247"/>
      <c r="BL1296" s="24"/>
    </row>
    <row r="1297" spans="17:64" x14ac:dyDescent="0.2">
      <c r="R1297" s="10" t="s">
        <v>208</v>
      </c>
      <c r="S1297" s="12">
        <f t="shared" ref="S1297:X1297" si="541">S1284+S1290</f>
        <v>10</v>
      </c>
      <c r="T1297" s="12">
        <f t="shared" si="541"/>
        <v>0</v>
      </c>
      <c r="U1297" s="12">
        <f t="shared" si="541"/>
        <v>0</v>
      </c>
      <c r="V1297" s="12">
        <f t="shared" si="541"/>
        <v>0</v>
      </c>
      <c r="W1297" s="12">
        <f t="shared" si="541"/>
        <v>10</v>
      </c>
      <c r="X1297" s="12">
        <f t="shared" si="541"/>
        <v>10</v>
      </c>
      <c r="AL1297" s="553"/>
      <c r="AM1297" s="553"/>
      <c r="AN1297" s="14"/>
      <c r="AO1297" s="12"/>
      <c r="AP1297" s="12"/>
      <c r="AQ1297" s="12"/>
      <c r="AR1297" s="12"/>
      <c r="AS1297" s="124"/>
      <c r="AT1297" s="124"/>
      <c r="AU1297" s="124"/>
      <c r="AV1297" s="124"/>
      <c r="AW1297" s="124"/>
      <c r="AX1297" s="124"/>
      <c r="AY1297" s="124"/>
      <c r="AZ1297" s="124"/>
      <c r="BA1297" s="124"/>
      <c r="BB1297" s="12"/>
      <c r="BC1297" s="12"/>
      <c r="BD1297" s="12"/>
      <c r="BE1297" s="12"/>
      <c r="BF1297" s="12"/>
      <c r="BG1297" s="12"/>
      <c r="BH1297" s="261"/>
      <c r="BI1297" s="247"/>
      <c r="BL1297" s="24"/>
    </row>
    <row r="1298" spans="17:64" x14ac:dyDescent="0.2">
      <c r="R1298" s="10" t="s">
        <v>209</v>
      </c>
      <c r="S1298" s="12">
        <f t="shared" ref="S1298:X1298" si="542">S1285+S1291</f>
        <v>4439</v>
      </c>
      <c r="T1298" s="12">
        <f t="shared" si="542"/>
        <v>0</v>
      </c>
      <c r="U1298" s="12">
        <f t="shared" si="542"/>
        <v>0</v>
      </c>
      <c r="V1298" s="12">
        <f t="shared" si="542"/>
        <v>0</v>
      </c>
      <c r="W1298" s="12">
        <f t="shared" si="542"/>
        <v>4439</v>
      </c>
      <c r="X1298" s="12">
        <f t="shared" si="542"/>
        <v>4439</v>
      </c>
      <c r="AL1298" s="553"/>
      <c r="AM1298" s="553"/>
      <c r="AN1298" s="14"/>
      <c r="AO1298" s="12"/>
      <c r="AP1298" s="12"/>
      <c r="AQ1298" s="12"/>
      <c r="AR1298" s="12"/>
      <c r="AS1298" s="124"/>
      <c r="AT1298" s="124"/>
      <c r="AU1298" s="124"/>
      <c r="AV1298" s="124"/>
      <c r="AW1298" s="124"/>
      <c r="AX1298" s="124"/>
      <c r="AY1298" s="124"/>
      <c r="AZ1298" s="124"/>
      <c r="BA1298" s="124"/>
      <c r="BB1298" s="12"/>
      <c r="BC1298" s="12"/>
      <c r="BD1298" s="12"/>
      <c r="BE1298" s="12"/>
      <c r="BF1298" s="12"/>
      <c r="BG1298" s="12"/>
      <c r="BH1298" s="261"/>
      <c r="BI1298" s="247"/>
      <c r="BL1298" s="24"/>
    </row>
    <row r="1299" spans="17:64" x14ac:dyDescent="0.2">
      <c r="R1299" s="10" t="s">
        <v>210</v>
      </c>
      <c r="S1299" s="12">
        <f t="shared" ref="S1299:X1299" si="543">S1286+S1292</f>
        <v>308</v>
      </c>
      <c r="T1299" s="12">
        <f t="shared" si="543"/>
        <v>0</v>
      </c>
      <c r="U1299" s="12">
        <f t="shared" si="543"/>
        <v>0</v>
      </c>
      <c r="V1299" s="12">
        <f t="shared" si="543"/>
        <v>0</v>
      </c>
      <c r="W1299" s="12">
        <f t="shared" si="543"/>
        <v>308</v>
      </c>
      <c r="X1299" s="12">
        <f t="shared" si="543"/>
        <v>308</v>
      </c>
      <c r="AL1299" s="553"/>
      <c r="AM1299" s="553"/>
      <c r="AN1299" s="14"/>
      <c r="AO1299" s="12"/>
      <c r="AP1299" s="12"/>
      <c r="AQ1299" s="12"/>
      <c r="AR1299" s="12"/>
      <c r="AS1299" s="124"/>
      <c r="AT1299" s="124"/>
      <c r="AU1299" s="124"/>
      <c r="AV1299" s="124"/>
      <c r="AW1299" s="124"/>
      <c r="AX1299" s="124"/>
      <c r="AY1299" s="124"/>
      <c r="AZ1299" s="124"/>
      <c r="BA1299" s="124"/>
      <c r="BB1299" s="12"/>
      <c r="BC1299" s="12"/>
      <c r="BD1299" s="12"/>
      <c r="BE1299" s="12"/>
      <c r="BF1299" s="12"/>
      <c r="BG1299" s="12"/>
      <c r="BH1299" s="261"/>
      <c r="BI1299" s="247"/>
      <c r="BL1299" s="24"/>
    </row>
    <row r="1300" spans="17:64" x14ac:dyDescent="0.2">
      <c r="R1300" s="10" t="s">
        <v>211</v>
      </c>
      <c r="AL1300" s="553"/>
      <c r="AM1300" s="553"/>
      <c r="AN1300" s="14"/>
      <c r="AO1300" s="12"/>
      <c r="AP1300" s="12"/>
      <c r="AQ1300" s="12"/>
      <c r="AR1300" s="12"/>
      <c r="AS1300" s="124"/>
      <c r="AT1300" s="124"/>
      <c r="AU1300" s="124"/>
      <c r="AV1300" s="124"/>
      <c r="AW1300" s="124"/>
      <c r="AX1300" s="124"/>
      <c r="AY1300" s="124"/>
      <c r="AZ1300" s="124"/>
      <c r="BA1300" s="124"/>
      <c r="BB1300" s="12"/>
      <c r="BC1300" s="12"/>
      <c r="BD1300" s="12"/>
      <c r="BE1300" s="12"/>
      <c r="BF1300" s="12"/>
      <c r="BG1300" s="12"/>
      <c r="BH1300" s="261"/>
      <c r="BI1300" s="247"/>
      <c r="BL1300" s="24"/>
    </row>
    <row r="1301" spans="17:64" x14ac:dyDescent="0.2">
      <c r="AL1301" s="553"/>
      <c r="AM1301" s="553"/>
      <c r="AN1301" s="14"/>
      <c r="AO1301" s="12"/>
      <c r="AP1301" s="12"/>
      <c r="AQ1301" s="12"/>
      <c r="AR1301" s="12"/>
      <c r="AS1301" s="124"/>
      <c r="AT1301" s="124"/>
      <c r="AU1301" s="124"/>
      <c r="AV1301" s="124"/>
      <c r="AW1301" s="124"/>
      <c r="AX1301" s="124"/>
      <c r="AY1301" s="124"/>
      <c r="AZ1301" s="124"/>
      <c r="BA1301" s="124"/>
      <c r="BB1301" s="12"/>
      <c r="BC1301" s="12"/>
      <c r="BD1301" s="12"/>
      <c r="BE1301" s="12"/>
      <c r="BF1301" s="12"/>
      <c r="BG1301" s="12"/>
      <c r="BH1301" s="261"/>
      <c r="BI1301" s="247"/>
      <c r="BL1301" s="24"/>
    </row>
    <row r="1302" spans="17:64" ht="45" x14ac:dyDescent="0.2">
      <c r="S1302" s="394" t="s">
        <v>685</v>
      </c>
      <c r="T1302" s="394" t="s">
        <v>686</v>
      </c>
      <c r="U1302" s="394" t="s">
        <v>688</v>
      </c>
      <c r="V1302" s="394" t="s">
        <v>689</v>
      </c>
      <c r="W1302" s="204" t="s">
        <v>687</v>
      </c>
      <c r="X1302" s="43" t="s">
        <v>690</v>
      </c>
      <c r="AL1302" s="553"/>
      <c r="AM1302" s="553"/>
      <c r="AN1302" s="14"/>
      <c r="AO1302" s="12"/>
      <c r="AP1302" s="12"/>
      <c r="AQ1302" s="12"/>
      <c r="AR1302" s="12"/>
      <c r="AS1302" s="124"/>
      <c r="AT1302" s="124"/>
      <c r="AU1302" s="124"/>
      <c r="AV1302" s="124"/>
      <c r="AW1302" s="124"/>
      <c r="AX1302" s="124"/>
      <c r="AY1302" s="124"/>
      <c r="AZ1302" s="124"/>
      <c r="BA1302" s="124"/>
      <c r="BB1302" s="12"/>
      <c r="BC1302" s="12"/>
      <c r="BD1302" s="12"/>
      <c r="BE1302" s="12"/>
      <c r="BF1302" s="12"/>
      <c r="BG1302" s="12"/>
      <c r="BH1302" s="261"/>
      <c r="BI1302" s="247"/>
      <c r="BL1302" s="24"/>
    </row>
    <row r="1303" spans="17:64" x14ac:dyDescent="0.2">
      <c r="Q1303" s="851" t="s">
        <v>783</v>
      </c>
      <c r="R1303" s="10" t="s">
        <v>207</v>
      </c>
      <c r="S1303" s="12">
        <v>4</v>
      </c>
      <c r="T1303" s="12">
        <v>0</v>
      </c>
      <c r="U1303" s="12">
        <v>0</v>
      </c>
      <c r="V1303" s="294">
        <v>0</v>
      </c>
      <c r="W1303" s="12">
        <v>4</v>
      </c>
      <c r="X1303" s="12">
        <v>4</v>
      </c>
      <c r="AL1303" s="553"/>
      <c r="AM1303" s="553"/>
      <c r="AN1303" s="14"/>
      <c r="AO1303" s="12"/>
      <c r="AP1303" s="12"/>
      <c r="AQ1303" s="12"/>
      <c r="AR1303" s="12"/>
      <c r="AS1303" s="124"/>
      <c r="AT1303" s="124"/>
      <c r="AU1303" s="124"/>
      <c r="AV1303" s="124"/>
      <c r="AW1303" s="124"/>
      <c r="AX1303" s="124"/>
      <c r="AY1303" s="124"/>
      <c r="AZ1303" s="124"/>
      <c r="BA1303" s="124"/>
      <c r="BB1303" s="12"/>
      <c r="BC1303" s="12"/>
      <c r="BD1303" s="12"/>
      <c r="BE1303" s="12"/>
      <c r="BF1303" s="12"/>
      <c r="BG1303" s="12"/>
      <c r="BH1303" s="261"/>
      <c r="BI1303" s="247"/>
      <c r="BL1303" s="24"/>
    </row>
    <row r="1304" spans="17:64" x14ac:dyDescent="0.2">
      <c r="Q1304" s="851" t="s">
        <v>783</v>
      </c>
      <c r="R1304" s="10" t="s">
        <v>219</v>
      </c>
      <c r="S1304" s="12">
        <v>684</v>
      </c>
      <c r="T1304" s="12">
        <v>34</v>
      </c>
      <c r="U1304" s="12">
        <v>0</v>
      </c>
      <c r="V1304" s="294">
        <v>0</v>
      </c>
      <c r="W1304" s="12">
        <v>684</v>
      </c>
      <c r="X1304" s="294">
        <v>718</v>
      </c>
      <c r="AL1304" s="553"/>
      <c r="AM1304" s="553"/>
      <c r="AN1304" s="14"/>
      <c r="AO1304" s="12"/>
      <c r="AP1304" s="12"/>
      <c r="AQ1304" s="12"/>
      <c r="AR1304" s="12"/>
      <c r="AS1304" s="124"/>
      <c r="AT1304" s="124"/>
      <c r="AU1304" s="124"/>
      <c r="AV1304" s="124"/>
      <c r="AW1304" s="124"/>
      <c r="AX1304" s="124"/>
      <c r="AY1304" s="124"/>
      <c r="AZ1304" s="124"/>
      <c r="BA1304" s="124"/>
      <c r="BB1304" s="12"/>
      <c r="BC1304" s="12"/>
      <c r="BD1304" s="12"/>
      <c r="BE1304" s="12"/>
      <c r="BF1304" s="12"/>
      <c r="BG1304" s="12"/>
      <c r="BH1304" s="261"/>
      <c r="BI1304" s="247"/>
      <c r="BL1304" s="24"/>
    </row>
    <row r="1305" spans="17:64" x14ac:dyDescent="0.2">
      <c r="Q1305" s="851" t="s">
        <v>783</v>
      </c>
      <c r="R1305" s="10" t="s">
        <v>208</v>
      </c>
      <c r="W1305" s="12" t="s">
        <v>770</v>
      </c>
      <c r="AL1305" s="553"/>
      <c r="AM1305" s="553"/>
      <c r="AN1305" s="14"/>
      <c r="AO1305" s="12"/>
      <c r="AP1305" s="12"/>
      <c r="AQ1305" s="12"/>
      <c r="AR1305" s="12"/>
      <c r="AS1305" s="124"/>
      <c r="AT1305" s="124"/>
      <c r="AU1305" s="124"/>
      <c r="AV1305" s="124"/>
      <c r="AW1305" s="124"/>
      <c r="AX1305" s="124"/>
      <c r="AY1305" s="124"/>
      <c r="AZ1305" s="124"/>
      <c r="BA1305" s="124"/>
      <c r="BB1305" s="12"/>
      <c r="BC1305" s="12"/>
      <c r="BD1305" s="12"/>
      <c r="BE1305" s="12"/>
      <c r="BF1305" s="12"/>
      <c r="BG1305" s="12"/>
      <c r="BH1305" s="261"/>
      <c r="BI1305" s="247"/>
      <c r="BL1305" s="24"/>
    </row>
    <row r="1306" spans="17:64" x14ac:dyDescent="0.2">
      <c r="Q1306" s="851" t="s">
        <v>783</v>
      </c>
      <c r="R1306" s="10" t="s">
        <v>209</v>
      </c>
      <c r="S1306" s="12">
        <v>1938</v>
      </c>
      <c r="T1306" s="12">
        <v>0</v>
      </c>
      <c r="U1306" s="12">
        <v>0</v>
      </c>
      <c r="V1306" s="294">
        <v>0</v>
      </c>
      <c r="W1306" s="12">
        <v>1938</v>
      </c>
      <c r="X1306" s="12">
        <v>1938</v>
      </c>
      <c r="AL1306" s="553"/>
      <c r="AM1306" s="553"/>
      <c r="AN1306" s="14"/>
      <c r="AO1306" s="12"/>
      <c r="AP1306" s="12"/>
      <c r="AQ1306" s="12"/>
      <c r="AR1306" s="12"/>
      <c r="AS1306" s="124"/>
      <c r="AT1306" s="124"/>
      <c r="AU1306" s="124"/>
      <c r="AV1306" s="124"/>
      <c r="AW1306" s="124"/>
      <c r="AX1306" s="124"/>
      <c r="AY1306" s="124"/>
      <c r="AZ1306" s="124"/>
      <c r="BA1306" s="124"/>
      <c r="BB1306" s="12"/>
      <c r="BC1306" s="12"/>
      <c r="BD1306" s="12"/>
      <c r="BE1306" s="12"/>
      <c r="BF1306" s="12"/>
      <c r="BG1306" s="12"/>
      <c r="BH1306" s="261"/>
      <c r="BI1306" s="247"/>
      <c r="BL1306" s="24"/>
    </row>
    <row r="1307" spans="17:64" x14ac:dyDescent="0.2">
      <c r="Q1307" s="851" t="s">
        <v>783</v>
      </c>
      <c r="R1307" s="10" t="s">
        <v>210</v>
      </c>
      <c r="S1307" s="294">
        <v>266</v>
      </c>
      <c r="T1307" s="12">
        <v>34</v>
      </c>
      <c r="U1307" s="12">
        <v>0</v>
      </c>
      <c r="V1307" s="294">
        <v>0</v>
      </c>
      <c r="W1307" s="294">
        <v>266</v>
      </c>
      <c r="X1307" s="294">
        <v>300</v>
      </c>
      <c r="AL1307" s="553"/>
      <c r="AM1307" s="553"/>
      <c r="AN1307" s="14"/>
      <c r="AO1307" s="12"/>
      <c r="AP1307" s="12"/>
      <c r="AQ1307" s="12"/>
      <c r="AR1307" s="12"/>
      <c r="AS1307" s="124"/>
      <c r="AT1307" s="124"/>
      <c r="AU1307" s="124"/>
      <c r="AV1307" s="124"/>
      <c r="AW1307" s="124"/>
      <c r="AX1307" s="124"/>
      <c r="AY1307" s="124"/>
      <c r="AZ1307" s="124"/>
      <c r="BA1307" s="124"/>
      <c r="BB1307" s="12"/>
      <c r="BC1307" s="12"/>
      <c r="BD1307" s="12"/>
      <c r="BE1307" s="12"/>
      <c r="BF1307" s="12"/>
      <c r="BG1307" s="12"/>
      <c r="BH1307" s="261"/>
      <c r="BI1307" s="247"/>
      <c r="BL1307" s="24"/>
    </row>
    <row r="1308" spans="17:64" x14ac:dyDescent="0.2">
      <c r="AL1308" s="553"/>
      <c r="AM1308" s="553"/>
      <c r="AN1308" s="14"/>
      <c r="AO1308" s="12"/>
      <c r="AP1308" s="12"/>
      <c r="AQ1308" s="12"/>
      <c r="AR1308" s="12"/>
      <c r="AS1308" s="124"/>
      <c r="AT1308" s="124"/>
      <c r="AU1308" s="124"/>
      <c r="AV1308" s="124"/>
      <c r="AW1308" s="124"/>
      <c r="AX1308" s="124"/>
      <c r="AY1308" s="124"/>
      <c r="AZ1308" s="124"/>
      <c r="BA1308" s="124"/>
      <c r="BB1308" s="12"/>
      <c r="BC1308" s="12"/>
      <c r="BD1308" s="12"/>
      <c r="BE1308" s="12"/>
      <c r="BF1308" s="12"/>
      <c r="BG1308" s="12"/>
      <c r="BH1308" s="261"/>
      <c r="BI1308" s="247"/>
      <c r="BL1308" s="24"/>
    </row>
    <row r="1309" spans="17:64" x14ac:dyDescent="0.2">
      <c r="Q1309" s="852" t="s">
        <v>784</v>
      </c>
      <c r="R1309" s="10" t="s">
        <v>207</v>
      </c>
      <c r="S1309" s="12">
        <v>4</v>
      </c>
      <c r="T1309" s="12">
        <v>0</v>
      </c>
      <c r="U1309" s="12">
        <v>0</v>
      </c>
      <c r="V1309" s="12">
        <v>0</v>
      </c>
      <c r="W1309" s="12">
        <v>4</v>
      </c>
      <c r="X1309" s="12">
        <v>4</v>
      </c>
      <c r="AL1309" s="553"/>
      <c r="AM1309" s="553"/>
      <c r="AN1309" s="14"/>
      <c r="AO1309" s="12"/>
      <c r="AP1309" s="12"/>
      <c r="AQ1309" s="12"/>
      <c r="AR1309" s="12"/>
      <c r="AS1309" s="124"/>
      <c r="AT1309" s="124"/>
      <c r="AU1309" s="124"/>
      <c r="AV1309" s="124"/>
      <c r="AW1309" s="124"/>
      <c r="AX1309" s="124"/>
      <c r="AY1309" s="124"/>
      <c r="AZ1309" s="124"/>
      <c r="BA1309" s="124"/>
      <c r="BB1309" s="12"/>
      <c r="BC1309" s="12"/>
      <c r="BD1309" s="12"/>
      <c r="BE1309" s="12"/>
      <c r="BF1309" s="12"/>
      <c r="BG1309" s="12"/>
      <c r="BH1309" s="261"/>
      <c r="BI1309" s="247"/>
      <c r="BL1309" s="24"/>
    </row>
    <row r="1310" spans="17:64" x14ac:dyDescent="0.2">
      <c r="Q1310" s="852" t="s">
        <v>784</v>
      </c>
      <c r="R1310" s="10" t="s">
        <v>219</v>
      </c>
      <c r="S1310" s="12">
        <v>810</v>
      </c>
      <c r="T1310" s="12">
        <v>18</v>
      </c>
      <c r="U1310" s="12">
        <v>0</v>
      </c>
      <c r="V1310" s="294">
        <v>0</v>
      </c>
      <c r="W1310" s="294">
        <v>810</v>
      </c>
      <c r="X1310" s="294">
        <v>828</v>
      </c>
      <c r="AL1310" s="553"/>
      <c r="AM1310" s="553"/>
      <c r="AN1310" s="14"/>
      <c r="AO1310" s="12"/>
      <c r="AP1310" s="12"/>
      <c r="AQ1310" s="12"/>
      <c r="AR1310" s="12"/>
      <c r="AS1310" s="124"/>
      <c r="AT1310" s="124"/>
      <c r="AU1310" s="124"/>
      <c r="AV1310" s="124"/>
      <c r="AW1310" s="124"/>
      <c r="AX1310" s="124"/>
      <c r="AY1310" s="124"/>
      <c r="AZ1310" s="124"/>
      <c r="BA1310" s="124"/>
      <c r="BB1310" s="12"/>
      <c r="BC1310" s="12"/>
      <c r="BD1310" s="12"/>
      <c r="BE1310" s="12"/>
      <c r="BF1310" s="12"/>
      <c r="BG1310" s="12"/>
      <c r="BH1310" s="261"/>
      <c r="BI1310" s="247"/>
      <c r="BL1310" s="24"/>
    </row>
    <row r="1311" spans="17:64" x14ac:dyDescent="0.2">
      <c r="Q1311" s="852" t="s">
        <v>784</v>
      </c>
      <c r="R1311" s="10" t="s">
        <v>208</v>
      </c>
      <c r="W1311" s="12" t="s">
        <v>770</v>
      </c>
      <c r="AL1311" s="553"/>
      <c r="AM1311" s="553"/>
      <c r="AN1311" s="14"/>
      <c r="AO1311" s="12"/>
      <c r="AP1311" s="12"/>
      <c r="AQ1311" s="12"/>
      <c r="AR1311" s="12"/>
      <c r="AS1311" s="124"/>
      <c r="AT1311" s="124"/>
      <c r="AU1311" s="124"/>
      <c r="AV1311" s="124"/>
      <c r="AW1311" s="124"/>
      <c r="AX1311" s="124"/>
      <c r="AY1311" s="124"/>
      <c r="AZ1311" s="124"/>
      <c r="BA1311" s="124"/>
      <c r="BB1311" s="12"/>
      <c r="BC1311" s="12"/>
      <c r="BD1311" s="12"/>
      <c r="BE1311" s="12"/>
      <c r="BF1311" s="12"/>
      <c r="BG1311" s="12"/>
      <c r="BH1311" s="261"/>
      <c r="BI1311" s="247"/>
      <c r="BL1311" s="24"/>
    </row>
    <row r="1312" spans="17:64" x14ac:dyDescent="0.2">
      <c r="Q1312" s="852" t="s">
        <v>784</v>
      </c>
      <c r="R1312" s="10" t="s">
        <v>209</v>
      </c>
      <c r="S1312" s="12">
        <v>1515</v>
      </c>
      <c r="T1312" s="12">
        <v>0</v>
      </c>
      <c r="U1312" s="12">
        <v>0</v>
      </c>
      <c r="V1312" s="294">
        <v>0</v>
      </c>
      <c r="W1312" s="294">
        <v>1515</v>
      </c>
      <c r="X1312" s="294">
        <v>1515</v>
      </c>
      <c r="AL1312" s="553"/>
      <c r="AM1312" s="553"/>
      <c r="AN1312" s="14"/>
      <c r="AO1312" s="12"/>
      <c r="AP1312" s="12"/>
      <c r="AQ1312" s="12"/>
      <c r="AR1312" s="12"/>
      <c r="AS1312" s="124"/>
      <c r="AT1312" s="124"/>
      <c r="AU1312" s="124"/>
      <c r="AV1312" s="124"/>
      <c r="AW1312" s="124"/>
      <c r="AX1312" s="124"/>
      <c r="AY1312" s="124"/>
      <c r="AZ1312" s="124"/>
      <c r="BA1312" s="124"/>
      <c r="BB1312" s="12"/>
      <c r="BC1312" s="12"/>
      <c r="BD1312" s="12"/>
      <c r="BE1312" s="12"/>
      <c r="BF1312" s="12"/>
      <c r="BG1312" s="12"/>
      <c r="BH1312" s="261"/>
      <c r="BI1312" s="247"/>
      <c r="BL1312" s="24"/>
    </row>
    <row r="1313" spans="17:64" x14ac:dyDescent="0.2">
      <c r="Q1313" s="852" t="s">
        <v>784</v>
      </c>
      <c r="R1313" s="10" t="s">
        <v>210</v>
      </c>
      <c r="S1313" s="294">
        <v>103</v>
      </c>
      <c r="T1313" s="12">
        <v>10</v>
      </c>
      <c r="U1313" s="12">
        <v>0</v>
      </c>
      <c r="V1313" s="294">
        <v>0</v>
      </c>
      <c r="W1313" s="294">
        <v>103</v>
      </c>
      <c r="X1313" s="294">
        <v>113</v>
      </c>
      <c r="AL1313" s="553"/>
      <c r="AM1313" s="553"/>
      <c r="AN1313" s="14"/>
      <c r="AO1313" s="12"/>
      <c r="AP1313" s="12"/>
      <c r="AQ1313" s="12"/>
      <c r="AR1313" s="12"/>
      <c r="AS1313" s="124"/>
      <c r="AT1313" s="124"/>
      <c r="AU1313" s="124"/>
      <c r="AV1313" s="124"/>
      <c r="AW1313" s="124"/>
      <c r="AX1313" s="124"/>
      <c r="AY1313" s="124"/>
      <c r="AZ1313" s="124"/>
      <c r="BA1313" s="124"/>
      <c r="BB1313" s="12"/>
      <c r="BC1313" s="12"/>
      <c r="BD1313" s="12"/>
      <c r="BE1313" s="12"/>
      <c r="BF1313" s="12"/>
      <c r="BG1313" s="12"/>
      <c r="BH1313" s="261"/>
      <c r="BI1313" s="247"/>
      <c r="BL1313" s="24"/>
    </row>
    <row r="1314" spans="17:64" x14ac:dyDescent="0.2">
      <c r="AL1314" s="553"/>
      <c r="AM1314" s="553"/>
      <c r="AN1314" s="14"/>
      <c r="AO1314" s="12"/>
      <c r="AP1314" s="12"/>
      <c r="AQ1314" s="12"/>
      <c r="AR1314" s="12"/>
      <c r="AS1314" s="124"/>
      <c r="AT1314" s="124"/>
      <c r="AU1314" s="124"/>
      <c r="AV1314" s="124"/>
      <c r="AW1314" s="124"/>
      <c r="AX1314" s="124"/>
      <c r="AY1314" s="124"/>
      <c r="AZ1314" s="124"/>
      <c r="BA1314" s="124"/>
      <c r="BB1314" s="12"/>
      <c r="BC1314" s="12"/>
      <c r="BD1314" s="12"/>
      <c r="BE1314" s="12"/>
      <c r="BF1314" s="12"/>
      <c r="BG1314" s="12"/>
      <c r="BH1314" s="261"/>
      <c r="BI1314" s="247"/>
      <c r="BL1314" s="24"/>
    </row>
    <row r="1315" spans="17:64" x14ac:dyDescent="0.2">
      <c r="Q1315" s="852" t="s">
        <v>280</v>
      </c>
      <c r="R1315" s="10" t="s">
        <v>207</v>
      </c>
      <c r="S1315" s="12">
        <f>S1303+S1309</f>
        <v>8</v>
      </c>
      <c r="T1315" s="12">
        <f t="shared" ref="T1315:X1315" si="544">T1303+T1309</f>
        <v>0</v>
      </c>
      <c r="U1315" s="12">
        <f t="shared" si="544"/>
        <v>0</v>
      </c>
      <c r="V1315" s="12">
        <f t="shared" si="544"/>
        <v>0</v>
      </c>
      <c r="W1315" s="12">
        <f t="shared" si="544"/>
        <v>8</v>
      </c>
      <c r="X1315" s="12">
        <f t="shared" si="544"/>
        <v>8</v>
      </c>
      <c r="AL1315" s="553"/>
      <c r="AM1315" s="553"/>
      <c r="AN1315" s="14"/>
      <c r="AO1315" s="12"/>
      <c r="AP1315" s="12"/>
      <c r="AQ1315" s="12"/>
      <c r="AR1315" s="12"/>
      <c r="AS1315" s="124"/>
      <c r="AT1315" s="124"/>
      <c r="AU1315" s="124"/>
      <c r="AV1315" s="124"/>
      <c r="AW1315" s="124"/>
      <c r="AX1315" s="124"/>
      <c r="AY1315" s="124"/>
      <c r="AZ1315" s="124"/>
      <c r="BA1315" s="124"/>
      <c r="BB1315" s="12"/>
      <c r="BC1315" s="12"/>
      <c r="BD1315" s="12"/>
      <c r="BE1315" s="12"/>
      <c r="BF1315" s="12"/>
      <c r="BG1315" s="12"/>
      <c r="BH1315" s="261"/>
      <c r="BI1315" s="247"/>
      <c r="BL1315" s="24"/>
    </row>
    <row r="1316" spans="17:64" x14ac:dyDescent="0.2">
      <c r="Q1316" s="852" t="s">
        <v>280</v>
      </c>
      <c r="R1316" s="10" t="s">
        <v>219</v>
      </c>
      <c r="S1316" s="12">
        <f>S1304+S1310</f>
        <v>1494</v>
      </c>
      <c r="T1316" s="12">
        <f t="shared" ref="T1316:X1316" si="545">T1304+T1310</f>
        <v>52</v>
      </c>
      <c r="U1316" s="12">
        <f t="shared" si="545"/>
        <v>0</v>
      </c>
      <c r="V1316" s="12">
        <f t="shared" si="545"/>
        <v>0</v>
      </c>
      <c r="W1316" s="12">
        <f t="shared" si="545"/>
        <v>1494</v>
      </c>
      <c r="X1316" s="12">
        <f t="shared" si="545"/>
        <v>1546</v>
      </c>
      <c r="AL1316" s="553"/>
      <c r="AM1316" s="553"/>
      <c r="AN1316" s="14"/>
      <c r="AO1316" s="12"/>
      <c r="AP1316" s="12"/>
      <c r="AQ1316" s="12"/>
      <c r="AR1316" s="12"/>
      <c r="AS1316" s="124"/>
      <c r="AT1316" s="124"/>
      <c r="AU1316" s="124"/>
      <c r="AV1316" s="124"/>
      <c r="AW1316" s="124"/>
      <c r="AX1316" s="124"/>
      <c r="AY1316" s="124"/>
      <c r="AZ1316" s="124"/>
      <c r="BA1316" s="124"/>
      <c r="BB1316" s="12"/>
      <c r="BC1316" s="12"/>
      <c r="BD1316" s="12"/>
      <c r="BE1316" s="12"/>
      <c r="BF1316" s="12"/>
      <c r="BG1316" s="12"/>
      <c r="BH1316" s="261"/>
      <c r="BI1316" s="247"/>
      <c r="BL1316" s="24"/>
    </row>
    <row r="1317" spans="17:64" x14ac:dyDescent="0.2">
      <c r="Q1317" s="852" t="s">
        <v>280</v>
      </c>
      <c r="R1317" s="10" t="s">
        <v>208</v>
      </c>
      <c r="W1317" s="12" t="s">
        <v>770</v>
      </c>
      <c r="AL1317" s="553"/>
      <c r="AM1317" s="553"/>
      <c r="AN1317" s="14"/>
      <c r="AO1317" s="12"/>
      <c r="AP1317" s="12"/>
      <c r="AQ1317" s="12"/>
      <c r="AR1317" s="12"/>
      <c r="AS1317" s="124"/>
      <c r="AT1317" s="124"/>
      <c r="AU1317" s="124"/>
      <c r="AV1317" s="124"/>
      <c r="AW1317" s="124"/>
      <c r="AX1317" s="124"/>
      <c r="AY1317" s="124"/>
      <c r="AZ1317" s="124"/>
      <c r="BA1317" s="124"/>
      <c r="BB1317" s="12"/>
      <c r="BC1317" s="12"/>
      <c r="BD1317" s="12"/>
      <c r="BE1317" s="12"/>
      <c r="BF1317" s="12"/>
      <c r="BG1317" s="12"/>
      <c r="BH1317" s="261"/>
      <c r="BI1317" s="247"/>
      <c r="BL1317" s="24"/>
    </row>
    <row r="1318" spans="17:64" x14ac:dyDescent="0.2">
      <c r="Q1318" s="852" t="s">
        <v>280</v>
      </c>
      <c r="R1318" s="10" t="s">
        <v>209</v>
      </c>
      <c r="S1318" s="12">
        <f>S1306+S1312</f>
        <v>3453</v>
      </c>
      <c r="T1318" s="12">
        <f t="shared" ref="T1318:X1318" si="546">T1306+T1312</f>
        <v>0</v>
      </c>
      <c r="U1318" s="12">
        <f t="shared" si="546"/>
        <v>0</v>
      </c>
      <c r="V1318" s="12">
        <f t="shared" si="546"/>
        <v>0</v>
      </c>
      <c r="W1318" s="12">
        <f t="shared" si="546"/>
        <v>3453</v>
      </c>
      <c r="X1318" s="12">
        <f t="shared" si="546"/>
        <v>3453</v>
      </c>
      <c r="AL1318" s="553"/>
      <c r="AM1318" s="553"/>
      <c r="AN1318" s="14"/>
      <c r="AO1318" s="12"/>
      <c r="AP1318" s="12"/>
      <c r="AQ1318" s="12"/>
      <c r="AR1318" s="12"/>
      <c r="AS1318" s="124"/>
      <c r="AT1318" s="124"/>
      <c r="AU1318" s="124"/>
      <c r="AV1318" s="124"/>
      <c r="AW1318" s="124"/>
      <c r="AX1318" s="124"/>
      <c r="AY1318" s="124"/>
      <c r="AZ1318" s="124"/>
      <c r="BA1318" s="124"/>
      <c r="BB1318" s="12"/>
      <c r="BC1318" s="12"/>
      <c r="BD1318" s="12"/>
      <c r="BE1318" s="12"/>
      <c r="BF1318" s="12"/>
      <c r="BG1318" s="12"/>
      <c r="BH1318" s="261"/>
      <c r="BI1318" s="247"/>
      <c r="BL1318" s="24"/>
    </row>
    <row r="1319" spans="17:64" x14ac:dyDescent="0.2">
      <c r="Q1319" s="852" t="s">
        <v>280</v>
      </c>
      <c r="R1319" s="10" t="s">
        <v>210</v>
      </c>
      <c r="S1319" s="12">
        <f>S1307+S1313</f>
        <v>369</v>
      </c>
      <c r="T1319" s="12">
        <f t="shared" ref="T1319:X1319" si="547">T1307+T1313</f>
        <v>44</v>
      </c>
      <c r="U1319" s="12">
        <f t="shared" si="547"/>
        <v>0</v>
      </c>
      <c r="V1319" s="12">
        <f t="shared" si="547"/>
        <v>0</v>
      </c>
      <c r="W1319" s="12">
        <f t="shared" si="547"/>
        <v>369</v>
      </c>
      <c r="X1319" s="12">
        <f t="shared" si="547"/>
        <v>413</v>
      </c>
      <c r="AL1319" s="553"/>
      <c r="AM1319" s="553"/>
      <c r="AN1319" s="14"/>
      <c r="AO1319" s="12"/>
      <c r="AP1319" s="12"/>
      <c r="AQ1319" s="12"/>
      <c r="AR1319" s="12"/>
      <c r="AS1319" s="124"/>
      <c r="AT1319" s="124"/>
      <c r="AU1319" s="124"/>
      <c r="AV1319" s="124"/>
      <c r="AW1319" s="124"/>
      <c r="AX1319" s="124"/>
      <c r="AY1319" s="124"/>
      <c r="AZ1319" s="124"/>
      <c r="BA1319" s="124"/>
      <c r="BB1319" s="12"/>
      <c r="BC1319" s="12"/>
      <c r="BD1319" s="12"/>
      <c r="BE1319" s="12"/>
      <c r="BF1319" s="12"/>
      <c r="BG1319" s="12"/>
      <c r="BH1319" s="261"/>
      <c r="BI1319" s="247"/>
      <c r="BL1319" s="24"/>
    </row>
    <row r="1320" spans="17:64" x14ac:dyDescent="0.2">
      <c r="AL1320" s="553"/>
      <c r="AM1320" s="553"/>
      <c r="AN1320" s="14"/>
      <c r="AO1320" s="12"/>
      <c r="AP1320" s="12"/>
      <c r="AQ1320" s="12"/>
      <c r="AR1320" s="12"/>
      <c r="AS1320" s="124"/>
      <c r="AT1320" s="124"/>
      <c r="AU1320" s="124"/>
      <c r="AV1320" s="124"/>
      <c r="AW1320" s="124"/>
      <c r="AX1320" s="124"/>
      <c r="AY1320" s="124"/>
      <c r="AZ1320" s="124"/>
      <c r="BA1320" s="124"/>
      <c r="BB1320" s="12"/>
      <c r="BC1320" s="12"/>
      <c r="BD1320" s="12"/>
      <c r="BE1320" s="12"/>
      <c r="BF1320" s="12"/>
      <c r="BG1320" s="12"/>
      <c r="BH1320" s="261"/>
      <c r="BI1320" s="247"/>
      <c r="BL1320" s="24"/>
    </row>
    <row r="1321" spans="17:64" x14ac:dyDescent="0.2">
      <c r="AL1321" s="553"/>
      <c r="AM1321" s="553"/>
      <c r="AN1321" s="14"/>
      <c r="AO1321" s="12"/>
      <c r="AP1321" s="12"/>
      <c r="AQ1321" s="12"/>
      <c r="AR1321" s="12"/>
      <c r="AS1321" s="124"/>
      <c r="AT1321" s="124"/>
      <c r="AU1321" s="124"/>
      <c r="AV1321" s="124"/>
      <c r="AW1321" s="124"/>
      <c r="AX1321" s="124"/>
      <c r="AY1321" s="124"/>
      <c r="AZ1321" s="124"/>
      <c r="BA1321" s="124"/>
      <c r="BB1321" s="12"/>
      <c r="BC1321" s="12"/>
      <c r="BD1321" s="12"/>
      <c r="BE1321" s="12"/>
      <c r="BF1321" s="12"/>
      <c r="BG1321" s="12"/>
      <c r="BH1321" s="261"/>
      <c r="BI1321" s="247"/>
      <c r="BL1321" s="24"/>
    </row>
    <row r="1322" spans="17:64" x14ac:dyDescent="0.2">
      <c r="AL1322" s="553"/>
      <c r="AM1322" s="553"/>
      <c r="AN1322" s="14"/>
      <c r="AO1322" s="12"/>
      <c r="AP1322" s="12"/>
      <c r="AQ1322" s="12"/>
      <c r="AR1322" s="12"/>
      <c r="AS1322" s="124"/>
      <c r="AT1322" s="124"/>
      <c r="AU1322" s="124"/>
      <c r="AV1322" s="124"/>
      <c r="AW1322" s="124"/>
      <c r="AX1322" s="124"/>
      <c r="AY1322" s="124"/>
      <c r="AZ1322" s="124"/>
      <c r="BA1322" s="124"/>
      <c r="BB1322" s="12"/>
      <c r="BC1322" s="12"/>
      <c r="BD1322" s="12"/>
      <c r="BE1322" s="12"/>
      <c r="BF1322" s="12"/>
      <c r="BG1322" s="12"/>
      <c r="BH1322" s="261"/>
      <c r="BI1322" s="247"/>
      <c r="BL1322" s="24"/>
    </row>
    <row r="1323" spans="17:64" x14ac:dyDescent="0.2">
      <c r="AL1323" s="553"/>
      <c r="AM1323" s="553"/>
      <c r="AN1323" s="14"/>
      <c r="AO1323" s="12"/>
      <c r="AP1323" s="12"/>
      <c r="AQ1323" s="12"/>
      <c r="AR1323" s="12"/>
      <c r="AS1323" s="124"/>
      <c r="AT1323" s="124"/>
      <c r="AU1323" s="124"/>
      <c r="AV1323" s="124"/>
      <c r="AW1323" s="124"/>
      <c r="AX1323" s="124"/>
      <c r="AY1323" s="124"/>
      <c r="AZ1323" s="124"/>
      <c r="BA1323" s="124"/>
      <c r="BB1323" s="12"/>
      <c r="BC1323" s="12"/>
      <c r="BD1323" s="12"/>
      <c r="BE1323" s="12"/>
      <c r="BF1323" s="12"/>
      <c r="BG1323" s="12"/>
      <c r="BH1323" s="261"/>
      <c r="BI1323" s="247"/>
      <c r="BL1323" s="24"/>
    </row>
    <row r="1324" spans="17:64" x14ac:dyDescent="0.2">
      <c r="AL1324" s="553"/>
      <c r="AM1324" s="553"/>
      <c r="AN1324" s="14"/>
      <c r="AO1324" s="12"/>
      <c r="AP1324" s="12"/>
      <c r="AQ1324" s="12"/>
      <c r="AR1324" s="12"/>
      <c r="AS1324" s="124"/>
      <c r="AT1324" s="124"/>
      <c r="AU1324" s="124"/>
      <c r="AV1324" s="124"/>
      <c r="AW1324" s="124"/>
      <c r="AX1324" s="124"/>
      <c r="AY1324" s="124"/>
      <c r="AZ1324" s="124"/>
      <c r="BA1324" s="124"/>
      <c r="BB1324" s="12"/>
      <c r="BC1324" s="12"/>
      <c r="BD1324" s="12"/>
      <c r="BE1324" s="12"/>
      <c r="BF1324" s="12"/>
      <c r="BG1324" s="12"/>
      <c r="BH1324" s="261"/>
      <c r="BI1324" s="247"/>
      <c r="BL1324" s="24"/>
    </row>
    <row r="1325" spans="17:64" x14ac:dyDescent="0.2">
      <c r="AL1325" s="553"/>
      <c r="AM1325" s="553"/>
      <c r="AN1325" s="14"/>
      <c r="AO1325" s="12"/>
      <c r="AP1325" s="12"/>
      <c r="AQ1325" s="12"/>
      <c r="AR1325" s="12"/>
      <c r="AS1325" s="124"/>
      <c r="AT1325" s="124"/>
      <c r="AU1325" s="124"/>
      <c r="AV1325" s="124"/>
      <c r="AW1325" s="124"/>
      <c r="AX1325" s="124"/>
      <c r="AY1325" s="124"/>
      <c r="AZ1325" s="124"/>
      <c r="BA1325" s="124"/>
      <c r="BB1325" s="12"/>
      <c r="BC1325" s="12"/>
      <c r="BD1325" s="12"/>
      <c r="BE1325" s="12"/>
      <c r="BF1325" s="12"/>
      <c r="BG1325" s="12"/>
      <c r="BH1325" s="261"/>
      <c r="BI1325" s="247"/>
      <c r="BL1325" s="24"/>
    </row>
    <row r="1326" spans="17:64" x14ac:dyDescent="0.2">
      <c r="AL1326" s="553"/>
      <c r="AM1326" s="553"/>
      <c r="AN1326" s="14"/>
      <c r="AO1326" s="12"/>
      <c r="AP1326" s="12"/>
      <c r="AQ1326" s="12"/>
      <c r="AR1326" s="12"/>
      <c r="AS1326" s="124"/>
      <c r="AT1326" s="124"/>
      <c r="AU1326" s="124"/>
      <c r="AV1326" s="124"/>
      <c r="AW1326" s="124"/>
      <c r="AX1326" s="124"/>
      <c r="AY1326" s="124"/>
      <c r="AZ1326" s="124"/>
      <c r="BA1326" s="124"/>
      <c r="BB1326" s="12"/>
      <c r="BC1326" s="12"/>
      <c r="BD1326" s="12"/>
      <c r="BE1326" s="12"/>
      <c r="BF1326" s="12"/>
      <c r="BG1326" s="12"/>
      <c r="BH1326" s="261"/>
      <c r="BI1326" s="247"/>
      <c r="BL1326" s="24"/>
    </row>
    <row r="1327" spans="17:64" x14ac:dyDescent="0.2">
      <c r="AL1327" s="553"/>
      <c r="AM1327" s="553"/>
      <c r="AN1327" s="14"/>
      <c r="AO1327" s="12"/>
      <c r="AP1327" s="12"/>
      <c r="AQ1327" s="12"/>
      <c r="AR1327" s="12"/>
      <c r="AS1327" s="124"/>
      <c r="AT1327" s="124"/>
      <c r="AU1327" s="124"/>
      <c r="AV1327" s="124"/>
      <c r="AW1327" s="124"/>
      <c r="AX1327" s="124"/>
      <c r="AY1327" s="124"/>
      <c r="AZ1327" s="124"/>
      <c r="BA1327" s="124"/>
      <c r="BB1327" s="12"/>
      <c r="BC1327" s="12"/>
      <c r="BD1327" s="12"/>
      <c r="BE1327" s="12"/>
      <c r="BF1327" s="12"/>
      <c r="BG1327" s="12"/>
      <c r="BH1327" s="261"/>
      <c r="BI1327" s="247"/>
      <c r="BL1327" s="24"/>
    </row>
    <row r="1328" spans="17:64" x14ac:dyDescent="0.2">
      <c r="AL1328" s="553"/>
      <c r="AM1328" s="553"/>
      <c r="AN1328" s="14"/>
      <c r="AO1328" s="12"/>
      <c r="AP1328" s="12"/>
      <c r="AQ1328" s="12"/>
      <c r="AR1328" s="12"/>
      <c r="AS1328" s="124"/>
      <c r="AT1328" s="124"/>
      <c r="AU1328" s="124"/>
      <c r="AV1328" s="124"/>
      <c r="AW1328" s="124"/>
      <c r="AX1328" s="124"/>
      <c r="AY1328" s="124"/>
      <c r="AZ1328" s="124"/>
      <c r="BA1328" s="124"/>
      <c r="BB1328" s="12"/>
      <c r="BC1328" s="12"/>
      <c r="BD1328" s="12"/>
      <c r="BE1328" s="12"/>
      <c r="BF1328" s="12"/>
      <c r="BG1328" s="12"/>
      <c r="BH1328" s="261"/>
      <c r="BI1328" s="247"/>
      <c r="BL1328" s="24"/>
    </row>
    <row r="1329" spans="38:64" x14ac:dyDescent="0.2">
      <c r="AL1329" s="553"/>
      <c r="AM1329" s="553"/>
      <c r="AN1329" s="14"/>
      <c r="AO1329" s="12"/>
      <c r="AP1329" s="12"/>
      <c r="AQ1329" s="12"/>
      <c r="AR1329" s="12"/>
      <c r="AS1329" s="124"/>
      <c r="AT1329" s="124"/>
      <c r="AU1329" s="124"/>
      <c r="AV1329" s="124"/>
      <c r="AW1329" s="124"/>
      <c r="AX1329" s="124"/>
      <c r="AY1329" s="124"/>
      <c r="AZ1329" s="124"/>
      <c r="BA1329" s="124"/>
      <c r="BB1329" s="12"/>
      <c r="BC1329" s="12"/>
      <c r="BD1329" s="12"/>
      <c r="BE1329" s="12"/>
      <c r="BF1329" s="12"/>
      <c r="BG1329" s="12"/>
      <c r="BH1329" s="261"/>
      <c r="BI1329" s="247"/>
      <c r="BL1329" s="24"/>
    </row>
    <row r="1330" spans="38:64" x14ac:dyDescent="0.2">
      <c r="AL1330" s="553"/>
      <c r="AM1330" s="553"/>
      <c r="AN1330" s="14"/>
      <c r="AO1330" s="12"/>
      <c r="AP1330" s="12"/>
      <c r="AQ1330" s="12"/>
      <c r="AR1330" s="12"/>
      <c r="AS1330" s="124"/>
      <c r="AT1330" s="124"/>
      <c r="AU1330" s="124"/>
      <c r="AV1330" s="124"/>
      <c r="AW1330" s="124"/>
      <c r="AX1330" s="124"/>
      <c r="AY1330" s="124"/>
      <c r="AZ1330" s="124"/>
      <c r="BA1330" s="124"/>
      <c r="BB1330" s="12"/>
      <c r="BC1330" s="12"/>
      <c r="BD1330" s="12"/>
      <c r="BE1330" s="12"/>
      <c r="BF1330" s="12"/>
      <c r="BG1330" s="12"/>
      <c r="BH1330" s="261"/>
      <c r="BI1330" s="247"/>
      <c r="BL1330" s="24"/>
    </row>
    <row r="1331" spans="38:64" x14ac:dyDescent="0.2">
      <c r="AL1331" s="553"/>
      <c r="AM1331" s="553"/>
      <c r="AN1331" s="14"/>
      <c r="AO1331" s="12"/>
      <c r="AP1331" s="12"/>
      <c r="AQ1331" s="12"/>
      <c r="AR1331" s="12"/>
      <c r="AS1331" s="124"/>
      <c r="AT1331" s="124"/>
      <c r="AU1331" s="124"/>
      <c r="AV1331" s="124"/>
      <c r="AW1331" s="124"/>
      <c r="AX1331" s="124"/>
      <c r="AY1331" s="124"/>
      <c r="AZ1331" s="124"/>
      <c r="BA1331" s="124"/>
      <c r="BB1331" s="12"/>
      <c r="BC1331" s="12"/>
      <c r="BD1331" s="12"/>
      <c r="BE1331" s="12"/>
      <c r="BF1331" s="12"/>
      <c r="BG1331" s="12"/>
      <c r="BH1331" s="261"/>
      <c r="BI1331" s="247"/>
      <c r="BL1331" s="24"/>
    </row>
    <row r="1332" spans="38:64" x14ac:dyDescent="0.2">
      <c r="AL1332" s="553"/>
      <c r="AM1332" s="553"/>
      <c r="AN1332" s="14"/>
      <c r="AO1332" s="12"/>
      <c r="AP1332" s="12"/>
      <c r="AQ1332" s="12"/>
      <c r="AR1332" s="12"/>
      <c r="AS1332" s="124"/>
      <c r="AT1332" s="124"/>
      <c r="AU1332" s="124"/>
      <c r="AV1332" s="124"/>
      <c r="AW1332" s="124"/>
      <c r="AX1332" s="124"/>
      <c r="AY1332" s="124"/>
      <c r="AZ1332" s="124"/>
      <c r="BA1332" s="124"/>
      <c r="BB1332" s="12"/>
      <c r="BC1332" s="12"/>
      <c r="BD1332" s="12"/>
      <c r="BE1332" s="12"/>
      <c r="BF1332" s="12"/>
      <c r="BG1332" s="12"/>
      <c r="BH1332" s="261"/>
      <c r="BI1332" s="247"/>
      <c r="BL1332" s="24"/>
    </row>
    <row r="1333" spans="38:64" x14ac:dyDescent="0.2">
      <c r="AL1333" s="553"/>
      <c r="AM1333" s="553"/>
      <c r="AN1333" s="14"/>
      <c r="AO1333" s="12"/>
      <c r="AP1333" s="12"/>
      <c r="AQ1333" s="12"/>
      <c r="AR1333" s="12"/>
      <c r="AS1333" s="124"/>
      <c r="AT1333" s="124"/>
      <c r="AU1333" s="124"/>
      <c r="AV1333" s="124"/>
      <c r="AW1333" s="124"/>
      <c r="AX1333" s="124"/>
      <c r="AY1333" s="124"/>
      <c r="AZ1333" s="124"/>
      <c r="BA1333" s="124"/>
      <c r="BB1333" s="12"/>
      <c r="BC1333" s="12"/>
      <c r="BD1333" s="12"/>
      <c r="BE1333" s="12"/>
      <c r="BF1333" s="12"/>
      <c r="BG1333" s="12"/>
      <c r="BH1333" s="261"/>
      <c r="BI1333" s="247"/>
      <c r="BL1333" s="24"/>
    </row>
    <row r="1334" spans="38:64" x14ac:dyDescent="0.2">
      <c r="AL1334" s="553"/>
      <c r="AM1334" s="553"/>
      <c r="AN1334" s="14"/>
      <c r="AO1334" s="12"/>
      <c r="AP1334" s="12"/>
      <c r="AQ1334" s="12"/>
      <c r="AR1334" s="12"/>
      <c r="AS1334" s="124"/>
      <c r="AT1334" s="124"/>
      <c r="AU1334" s="124"/>
      <c r="AV1334" s="124"/>
      <c r="AW1334" s="124"/>
      <c r="AX1334" s="124"/>
      <c r="AY1334" s="124"/>
      <c r="AZ1334" s="124"/>
      <c r="BA1334" s="124"/>
      <c r="BB1334" s="12"/>
      <c r="BC1334" s="12"/>
      <c r="BD1334" s="12"/>
      <c r="BE1334" s="12"/>
      <c r="BF1334" s="12"/>
      <c r="BG1334" s="12"/>
      <c r="BH1334" s="261"/>
      <c r="BI1334" s="247"/>
      <c r="BL1334" s="24"/>
    </row>
    <row r="1335" spans="38:64" x14ac:dyDescent="0.2">
      <c r="AL1335" s="553"/>
      <c r="AM1335" s="553"/>
      <c r="AN1335" s="14"/>
      <c r="AO1335" s="12"/>
      <c r="AP1335" s="12"/>
      <c r="AQ1335" s="12"/>
      <c r="AR1335" s="12"/>
      <c r="AS1335" s="124"/>
      <c r="AT1335" s="124"/>
      <c r="AU1335" s="124"/>
      <c r="AV1335" s="124"/>
      <c r="AW1335" s="124"/>
      <c r="AX1335" s="124"/>
      <c r="AY1335" s="124"/>
      <c r="AZ1335" s="124"/>
      <c r="BA1335" s="124"/>
      <c r="BB1335" s="12"/>
      <c r="BC1335" s="12"/>
      <c r="BD1335" s="12"/>
      <c r="BE1335" s="12"/>
      <c r="BF1335" s="12"/>
      <c r="BG1335" s="12"/>
      <c r="BH1335" s="261"/>
      <c r="BI1335" s="247"/>
      <c r="BL1335" s="24"/>
    </row>
    <row r="1336" spans="38:64" x14ac:dyDescent="0.2">
      <c r="AL1336" s="553"/>
      <c r="AM1336" s="553"/>
      <c r="AN1336" s="14"/>
      <c r="AO1336" s="12"/>
      <c r="AP1336" s="12"/>
      <c r="AQ1336" s="12"/>
      <c r="AR1336" s="12"/>
      <c r="AS1336" s="124"/>
      <c r="AT1336" s="124"/>
      <c r="AU1336" s="124"/>
      <c r="AV1336" s="124"/>
      <c r="AW1336" s="124"/>
      <c r="AX1336" s="124"/>
      <c r="AY1336" s="124"/>
      <c r="AZ1336" s="124"/>
      <c r="BA1336" s="124"/>
      <c r="BB1336" s="12"/>
      <c r="BC1336" s="12"/>
      <c r="BD1336" s="12"/>
      <c r="BE1336" s="12"/>
      <c r="BF1336" s="12"/>
      <c r="BG1336" s="12"/>
      <c r="BH1336" s="261"/>
      <c r="BI1336" s="247"/>
      <c r="BL1336" s="24"/>
    </row>
    <row r="1337" spans="38:64" x14ac:dyDescent="0.2">
      <c r="AL1337" s="553"/>
      <c r="AM1337" s="553"/>
      <c r="AN1337" s="14"/>
      <c r="AO1337" s="12"/>
      <c r="AP1337" s="12"/>
      <c r="AQ1337" s="12"/>
      <c r="AR1337" s="12"/>
      <c r="AS1337" s="124"/>
      <c r="AT1337" s="124"/>
      <c r="AU1337" s="124"/>
      <c r="AV1337" s="124"/>
      <c r="AW1337" s="124"/>
      <c r="AX1337" s="124"/>
      <c r="AY1337" s="124"/>
      <c r="AZ1337" s="124"/>
      <c r="BA1337" s="124"/>
      <c r="BB1337" s="12"/>
      <c r="BC1337" s="12"/>
      <c r="BD1337" s="12"/>
      <c r="BE1337" s="12"/>
      <c r="BF1337" s="12"/>
      <c r="BG1337" s="12"/>
      <c r="BH1337" s="261"/>
      <c r="BI1337" s="247"/>
      <c r="BL1337" s="24"/>
    </row>
    <row r="1338" spans="38:64" x14ac:dyDescent="0.2">
      <c r="AL1338" s="553"/>
      <c r="AM1338" s="553"/>
      <c r="AN1338" s="14"/>
      <c r="AO1338" s="12"/>
      <c r="AP1338" s="12"/>
      <c r="AQ1338" s="12"/>
      <c r="AR1338" s="12"/>
      <c r="AS1338" s="124"/>
      <c r="AT1338" s="124"/>
      <c r="AU1338" s="124"/>
      <c r="AV1338" s="124"/>
      <c r="AW1338" s="124"/>
      <c r="AX1338" s="124"/>
      <c r="AY1338" s="124"/>
      <c r="AZ1338" s="124"/>
      <c r="BA1338" s="124"/>
      <c r="BB1338" s="12"/>
      <c r="BC1338" s="12"/>
      <c r="BD1338" s="12"/>
      <c r="BE1338" s="12"/>
      <c r="BF1338" s="12"/>
      <c r="BG1338" s="12"/>
      <c r="BH1338" s="261"/>
      <c r="BI1338" s="247"/>
      <c r="BL1338" s="24"/>
    </row>
    <row r="1339" spans="38:64" x14ac:dyDescent="0.2">
      <c r="AL1339" s="553"/>
      <c r="AM1339" s="553"/>
      <c r="AN1339" s="14"/>
      <c r="AO1339" s="12"/>
      <c r="AP1339" s="12"/>
      <c r="AQ1339" s="12"/>
      <c r="AR1339" s="12"/>
      <c r="AS1339" s="124"/>
      <c r="AT1339" s="124"/>
      <c r="AU1339" s="124"/>
      <c r="AV1339" s="124"/>
      <c r="AW1339" s="124"/>
      <c r="AX1339" s="124"/>
      <c r="AY1339" s="124"/>
      <c r="AZ1339" s="124"/>
      <c r="BA1339" s="124"/>
      <c r="BB1339" s="12"/>
      <c r="BC1339" s="12"/>
      <c r="BD1339" s="12"/>
      <c r="BE1339" s="12"/>
      <c r="BF1339" s="12"/>
      <c r="BG1339" s="12"/>
      <c r="BH1339" s="261"/>
      <c r="BI1339" s="247"/>
      <c r="BL1339" s="24"/>
    </row>
    <row r="1340" spans="38:64" x14ac:dyDescent="0.2">
      <c r="AL1340" s="553"/>
      <c r="AM1340" s="553"/>
      <c r="AN1340" s="14"/>
      <c r="AO1340" s="12"/>
      <c r="AP1340" s="12"/>
      <c r="AQ1340" s="12"/>
      <c r="AR1340" s="12"/>
      <c r="AS1340" s="124"/>
      <c r="AT1340" s="124"/>
      <c r="AU1340" s="124"/>
      <c r="AV1340" s="124"/>
      <c r="AW1340" s="124"/>
      <c r="AX1340" s="124"/>
      <c r="AY1340" s="124"/>
      <c r="AZ1340" s="124"/>
      <c r="BA1340" s="124"/>
      <c r="BB1340" s="12"/>
      <c r="BC1340" s="12"/>
      <c r="BD1340" s="12"/>
      <c r="BE1340" s="12"/>
      <c r="BF1340" s="12"/>
      <c r="BG1340" s="12"/>
      <c r="BH1340" s="261"/>
      <c r="BI1340" s="247"/>
      <c r="BL1340" s="24"/>
    </row>
    <row r="1341" spans="38:64" x14ac:dyDescent="0.2">
      <c r="AL1341" s="553"/>
      <c r="AM1341" s="553"/>
      <c r="AN1341" s="14"/>
      <c r="AO1341" s="12"/>
      <c r="AP1341" s="12"/>
      <c r="AQ1341" s="12"/>
      <c r="AR1341" s="12"/>
      <c r="AS1341" s="124"/>
      <c r="AT1341" s="124"/>
      <c r="AU1341" s="124"/>
      <c r="AV1341" s="124"/>
      <c r="AW1341" s="124"/>
      <c r="AX1341" s="124"/>
      <c r="AY1341" s="124"/>
      <c r="AZ1341" s="124"/>
      <c r="BA1341" s="124"/>
      <c r="BB1341" s="12"/>
      <c r="BC1341" s="12"/>
      <c r="BD1341" s="12"/>
      <c r="BE1341" s="12"/>
      <c r="BF1341" s="12"/>
      <c r="BG1341" s="12"/>
      <c r="BH1341" s="261"/>
      <c r="BI1341" s="247"/>
      <c r="BL1341" s="24"/>
    </row>
    <row r="1342" spans="38:64" x14ac:dyDescent="0.2">
      <c r="AL1342" s="553"/>
      <c r="AM1342" s="553"/>
      <c r="AN1342" s="14"/>
      <c r="AO1342" s="12"/>
      <c r="AP1342" s="12"/>
      <c r="AQ1342" s="12"/>
      <c r="AR1342" s="12"/>
      <c r="AS1342" s="124"/>
      <c r="AT1342" s="124"/>
      <c r="AU1342" s="124"/>
      <c r="AV1342" s="124"/>
      <c r="AW1342" s="124"/>
      <c r="AX1342" s="124"/>
      <c r="AY1342" s="124"/>
      <c r="AZ1342" s="124"/>
      <c r="BA1342" s="124"/>
      <c r="BB1342" s="12"/>
      <c r="BC1342" s="12"/>
      <c r="BD1342" s="12"/>
      <c r="BE1342" s="12"/>
      <c r="BF1342" s="12"/>
      <c r="BG1342" s="12"/>
      <c r="BH1342" s="261"/>
      <c r="BI1342" s="247"/>
      <c r="BL1342" s="24"/>
    </row>
    <row r="1343" spans="38:64" x14ac:dyDescent="0.2">
      <c r="AL1343" s="553"/>
      <c r="AM1343" s="553"/>
      <c r="AN1343" s="14"/>
      <c r="AO1343" s="12"/>
      <c r="AP1343" s="12"/>
      <c r="AQ1343" s="12"/>
      <c r="AR1343" s="12"/>
      <c r="AS1343" s="124"/>
      <c r="AT1343" s="124"/>
      <c r="AU1343" s="124"/>
      <c r="AV1343" s="124"/>
      <c r="AW1343" s="124"/>
      <c r="AX1343" s="124"/>
      <c r="AY1343" s="124"/>
      <c r="AZ1343" s="124"/>
      <c r="BA1343" s="124"/>
      <c r="BB1343" s="12"/>
      <c r="BC1343" s="12"/>
      <c r="BD1343" s="12"/>
      <c r="BE1343" s="12"/>
      <c r="BF1343" s="12"/>
      <c r="BG1343" s="12"/>
      <c r="BH1343" s="261"/>
      <c r="BI1343" s="247"/>
      <c r="BL1343" s="24"/>
    </row>
    <row r="1344" spans="38:64" x14ac:dyDescent="0.2">
      <c r="AL1344" s="553"/>
      <c r="AM1344" s="553"/>
      <c r="AN1344" s="14"/>
      <c r="AO1344" s="12"/>
      <c r="AP1344" s="12"/>
      <c r="AQ1344" s="12"/>
      <c r="AR1344" s="12"/>
      <c r="AS1344" s="124"/>
      <c r="AT1344" s="124"/>
      <c r="AU1344" s="124"/>
      <c r="AV1344" s="124"/>
      <c r="AW1344" s="124"/>
      <c r="AX1344" s="124"/>
      <c r="AY1344" s="124"/>
      <c r="AZ1344" s="124"/>
      <c r="BA1344" s="124"/>
      <c r="BB1344" s="12"/>
      <c r="BC1344" s="12"/>
      <c r="BD1344" s="12"/>
      <c r="BE1344" s="12"/>
      <c r="BF1344" s="12"/>
      <c r="BG1344" s="12"/>
      <c r="BH1344" s="261"/>
      <c r="BI1344" s="247"/>
      <c r="BL1344" s="24"/>
    </row>
    <row r="1345" spans="38:64" x14ac:dyDescent="0.2">
      <c r="AL1345" s="553"/>
      <c r="AM1345" s="553"/>
      <c r="AN1345" s="14"/>
      <c r="AO1345" s="12"/>
      <c r="AP1345" s="12"/>
      <c r="AQ1345" s="12"/>
      <c r="AR1345" s="12"/>
      <c r="AS1345" s="124"/>
      <c r="AT1345" s="124"/>
      <c r="AU1345" s="124"/>
      <c r="AV1345" s="124"/>
      <c r="AW1345" s="124"/>
      <c r="AX1345" s="124"/>
      <c r="AY1345" s="124"/>
      <c r="AZ1345" s="124"/>
      <c r="BA1345" s="124"/>
      <c r="BB1345" s="12"/>
      <c r="BC1345" s="12"/>
      <c r="BD1345" s="12"/>
      <c r="BE1345" s="12"/>
      <c r="BF1345" s="12"/>
      <c r="BG1345" s="12"/>
      <c r="BH1345" s="261"/>
      <c r="BI1345" s="247"/>
      <c r="BL1345" s="24"/>
    </row>
    <row r="1346" spans="38:64" x14ac:dyDescent="0.2">
      <c r="AL1346" s="553"/>
      <c r="AM1346" s="553"/>
      <c r="AN1346" s="14"/>
      <c r="AO1346" s="12"/>
      <c r="AP1346" s="12"/>
      <c r="AQ1346" s="12"/>
      <c r="AR1346" s="12"/>
      <c r="AS1346" s="124"/>
      <c r="AT1346" s="124"/>
      <c r="AU1346" s="124"/>
      <c r="AV1346" s="124"/>
      <c r="AW1346" s="124"/>
      <c r="AX1346" s="124"/>
      <c r="AY1346" s="124"/>
      <c r="AZ1346" s="124"/>
      <c r="BA1346" s="124"/>
      <c r="BB1346" s="12"/>
      <c r="BC1346" s="12"/>
      <c r="BD1346" s="12"/>
      <c r="BE1346" s="12"/>
      <c r="BF1346" s="12"/>
      <c r="BG1346" s="12"/>
      <c r="BH1346" s="261"/>
      <c r="BI1346" s="247"/>
      <c r="BL1346" s="24"/>
    </row>
    <row r="1347" spans="38:64" x14ac:dyDescent="0.2">
      <c r="AL1347" s="553"/>
      <c r="AM1347" s="553"/>
      <c r="AN1347" s="14"/>
      <c r="AO1347" s="12"/>
      <c r="AP1347" s="12"/>
      <c r="AQ1347" s="12"/>
      <c r="AR1347" s="12"/>
      <c r="AS1347" s="124"/>
      <c r="AT1347" s="124"/>
      <c r="AU1347" s="124"/>
      <c r="AV1347" s="124"/>
      <c r="AW1347" s="124"/>
      <c r="AX1347" s="124"/>
      <c r="AY1347" s="124"/>
      <c r="AZ1347" s="124"/>
      <c r="BA1347" s="124"/>
      <c r="BB1347" s="12"/>
      <c r="BC1347" s="12"/>
      <c r="BD1347" s="12"/>
      <c r="BE1347" s="12"/>
      <c r="BF1347" s="12"/>
      <c r="BG1347" s="12"/>
      <c r="BH1347" s="261"/>
      <c r="BI1347" s="247"/>
      <c r="BL1347" s="24"/>
    </row>
    <row r="1348" spans="38:64" x14ac:dyDescent="0.2">
      <c r="AL1348" s="553"/>
      <c r="AM1348" s="553"/>
      <c r="AN1348" s="14"/>
      <c r="AO1348" s="12"/>
      <c r="AP1348" s="12"/>
      <c r="AQ1348" s="12"/>
      <c r="AR1348" s="12"/>
      <c r="AS1348" s="124"/>
      <c r="AT1348" s="124"/>
      <c r="AU1348" s="124"/>
      <c r="AV1348" s="124"/>
      <c r="AW1348" s="124"/>
      <c r="AX1348" s="124"/>
      <c r="AY1348" s="124"/>
      <c r="AZ1348" s="124"/>
      <c r="BA1348" s="124"/>
      <c r="BB1348" s="12"/>
      <c r="BC1348" s="12"/>
      <c r="BD1348" s="12"/>
      <c r="BE1348" s="12"/>
      <c r="BF1348" s="12"/>
      <c r="BG1348" s="12"/>
      <c r="BH1348" s="261"/>
      <c r="BI1348" s="247"/>
      <c r="BL1348" s="24"/>
    </row>
    <row r="1349" spans="38:64" x14ac:dyDescent="0.2">
      <c r="AL1349" s="553"/>
      <c r="AM1349" s="553"/>
      <c r="AN1349" s="14"/>
      <c r="AO1349" s="12"/>
      <c r="AP1349" s="12"/>
      <c r="AQ1349" s="12"/>
      <c r="AR1349" s="12"/>
      <c r="AS1349" s="124"/>
      <c r="AT1349" s="124"/>
      <c r="AU1349" s="124"/>
      <c r="AV1349" s="124"/>
      <c r="AW1349" s="124"/>
      <c r="AX1349" s="124"/>
      <c r="AY1349" s="124"/>
      <c r="AZ1349" s="124"/>
      <c r="BA1349" s="124"/>
      <c r="BB1349" s="12"/>
      <c r="BC1349" s="12"/>
      <c r="BD1349" s="12"/>
      <c r="BE1349" s="12"/>
      <c r="BF1349" s="12"/>
      <c r="BG1349" s="12"/>
      <c r="BH1349" s="261"/>
      <c r="BI1349" s="247"/>
      <c r="BL1349" s="24"/>
    </row>
    <row r="1350" spans="38:64" x14ac:dyDescent="0.2">
      <c r="AL1350" s="553"/>
      <c r="AM1350" s="553"/>
      <c r="AN1350" s="14"/>
      <c r="AO1350" s="12"/>
      <c r="AP1350" s="12"/>
      <c r="AQ1350" s="12"/>
      <c r="AR1350" s="12"/>
      <c r="AS1350" s="124"/>
      <c r="AT1350" s="124"/>
      <c r="AU1350" s="124"/>
      <c r="AV1350" s="124"/>
      <c r="AW1350" s="124"/>
      <c r="AX1350" s="124"/>
      <c r="AY1350" s="124"/>
      <c r="AZ1350" s="124"/>
      <c r="BA1350" s="124"/>
      <c r="BB1350" s="12"/>
      <c r="BC1350" s="12"/>
      <c r="BD1350" s="12"/>
      <c r="BE1350" s="12"/>
      <c r="BF1350" s="12"/>
      <c r="BG1350" s="12"/>
      <c r="BH1350" s="261"/>
      <c r="BI1350" s="247"/>
      <c r="BL1350" s="24"/>
    </row>
    <row r="1351" spans="38:64" x14ac:dyDescent="0.2">
      <c r="AL1351" s="553"/>
      <c r="AM1351" s="553"/>
      <c r="AN1351" s="14"/>
      <c r="AO1351" s="12"/>
      <c r="AP1351" s="12"/>
      <c r="AQ1351" s="12"/>
      <c r="AR1351" s="12"/>
      <c r="AS1351" s="124"/>
      <c r="AT1351" s="124"/>
      <c r="AU1351" s="124"/>
      <c r="AV1351" s="124"/>
      <c r="AW1351" s="124"/>
      <c r="AX1351" s="124"/>
      <c r="AY1351" s="124"/>
      <c r="AZ1351" s="124"/>
      <c r="BA1351" s="124"/>
      <c r="BB1351" s="12"/>
      <c r="BC1351" s="12"/>
      <c r="BD1351" s="12"/>
      <c r="BE1351" s="12"/>
      <c r="BF1351" s="12"/>
      <c r="BG1351" s="12"/>
      <c r="BH1351" s="261"/>
      <c r="BI1351" s="247"/>
      <c r="BL1351" s="24"/>
    </row>
    <row r="1352" spans="38:64" x14ac:dyDescent="0.2">
      <c r="AL1352" s="553"/>
      <c r="AM1352" s="553"/>
      <c r="AN1352" s="14"/>
      <c r="AO1352" s="12"/>
      <c r="AP1352" s="12"/>
      <c r="AQ1352" s="12"/>
      <c r="AR1352" s="12"/>
      <c r="AS1352" s="124"/>
      <c r="AT1352" s="124"/>
      <c r="AU1352" s="124"/>
      <c r="AV1352" s="124"/>
      <c r="AW1352" s="124"/>
      <c r="AX1352" s="124"/>
      <c r="AY1352" s="124"/>
      <c r="AZ1352" s="124"/>
      <c r="BA1352" s="124"/>
      <c r="BB1352" s="12"/>
      <c r="BC1352" s="12"/>
      <c r="BD1352" s="12"/>
      <c r="BE1352" s="12"/>
      <c r="BF1352" s="12"/>
      <c r="BG1352" s="12"/>
      <c r="BH1352" s="261"/>
      <c r="BI1352" s="247"/>
      <c r="BL1352" s="24"/>
    </row>
    <row r="1353" spans="38:64" x14ac:dyDescent="0.2">
      <c r="AL1353" s="553"/>
      <c r="AM1353" s="553"/>
      <c r="AN1353" s="14"/>
      <c r="AO1353" s="12"/>
      <c r="AP1353" s="12"/>
      <c r="AQ1353" s="12"/>
      <c r="AR1353" s="12"/>
      <c r="AS1353" s="124"/>
      <c r="AT1353" s="124"/>
      <c r="AU1353" s="124"/>
      <c r="AV1353" s="124"/>
      <c r="AW1353" s="124"/>
      <c r="AX1353" s="124"/>
      <c r="AY1353" s="124"/>
      <c r="AZ1353" s="124"/>
      <c r="BA1353" s="124"/>
      <c r="BB1353" s="12"/>
      <c r="BC1353" s="12"/>
      <c r="BD1353" s="12"/>
      <c r="BE1353" s="12"/>
      <c r="BF1353" s="12"/>
      <c r="BG1353" s="12"/>
      <c r="BH1353" s="261"/>
      <c r="BI1353" s="247"/>
      <c r="BL1353" s="24"/>
    </row>
    <row r="1354" spans="38:64" x14ac:dyDescent="0.2">
      <c r="AL1354" s="553"/>
      <c r="AM1354" s="553"/>
      <c r="AN1354" s="14"/>
      <c r="AO1354" s="12"/>
      <c r="AP1354" s="12"/>
      <c r="AQ1354" s="12"/>
      <c r="AR1354" s="12"/>
      <c r="AS1354" s="124"/>
      <c r="AT1354" s="124"/>
      <c r="AU1354" s="124"/>
      <c r="AV1354" s="124"/>
      <c r="AW1354" s="124"/>
      <c r="AX1354" s="124"/>
      <c r="AY1354" s="124"/>
      <c r="AZ1354" s="124"/>
      <c r="BA1354" s="124"/>
      <c r="BB1354" s="12"/>
      <c r="BC1354" s="12"/>
      <c r="BD1354" s="12"/>
      <c r="BE1354" s="12"/>
      <c r="BF1354" s="12"/>
      <c r="BG1354" s="12"/>
      <c r="BH1354" s="261"/>
      <c r="BI1354" s="247"/>
      <c r="BL1354" s="24"/>
    </row>
    <row r="1355" spans="38:64" x14ac:dyDescent="0.2">
      <c r="AL1355" s="553"/>
      <c r="AM1355" s="553"/>
      <c r="AN1355" s="14"/>
      <c r="AO1355" s="12"/>
      <c r="AP1355" s="12"/>
      <c r="AQ1355" s="12"/>
      <c r="AR1355" s="12"/>
      <c r="AS1355" s="124"/>
      <c r="AT1355" s="124"/>
      <c r="AU1355" s="124"/>
      <c r="AV1355" s="124"/>
      <c r="AW1355" s="124"/>
      <c r="AX1355" s="124"/>
      <c r="AY1355" s="124"/>
      <c r="AZ1355" s="124"/>
      <c r="BA1355" s="124"/>
      <c r="BB1355" s="12"/>
      <c r="BC1355" s="12"/>
      <c r="BD1355" s="12"/>
      <c r="BE1355" s="12"/>
      <c r="BF1355" s="12"/>
      <c r="BG1355" s="12"/>
      <c r="BH1355" s="261"/>
      <c r="BI1355" s="247"/>
      <c r="BL1355" s="24"/>
    </row>
    <row r="1356" spans="38:64" x14ac:dyDescent="0.2">
      <c r="AL1356" s="553"/>
      <c r="AM1356" s="553"/>
      <c r="AN1356" s="14"/>
      <c r="AO1356" s="12"/>
      <c r="AP1356" s="12"/>
      <c r="AQ1356" s="12"/>
      <c r="AR1356" s="12"/>
      <c r="AS1356" s="124"/>
      <c r="AT1356" s="124"/>
      <c r="AU1356" s="124"/>
      <c r="AV1356" s="124"/>
      <c r="AW1356" s="124"/>
      <c r="AX1356" s="124"/>
      <c r="AY1356" s="124"/>
      <c r="AZ1356" s="124"/>
      <c r="BA1356" s="124"/>
      <c r="BB1356" s="12"/>
      <c r="BC1356" s="12"/>
      <c r="BD1356" s="12"/>
      <c r="BE1356" s="12"/>
      <c r="BF1356" s="12"/>
      <c r="BG1356" s="12"/>
      <c r="BH1356" s="261"/>
      <c r="BI1356" s="247"/>
      <c r="BL1356" s="24"/>
    </row>
    <row r="1357" spans="38:64" x14ac:dyDescent="0.2">
      <c r="AL1357" s="553"/>
      <c r="AM1357" s="553"/>
      <c r="AN1357" s="14"/>
      <c r="AO1357" s="12"/>
      <c r="AP1357" s="12"/>
      <c r="AQ1357" s="12"/>
      <c r="AR1357" s="12"/>
      <c r="AS1357" s="124"/>
      <c r="AT1357" s="124"/>
      <c r="AU1357" s="124"/>
      <c r="AV1357" s="124"/>
      <c r="AW1357" s="124"/>
      <c r="AX1357" s="124"/>
      <c r="AY1357" s="124"/>
      <c r="AZ1357" s="124"/>
      <c r="BA1357" s="124"/>
      <c r="BB1357" s="12"/>
      <c r="BC1357" s="12"/>
      <c r="BD1357" s="12"/>
      <c r="BE1357" s="12"/>
      <c r="BF1357" s="12"/>
      <c r="BG1357" s="12"/>
      <c r="BH1357" s="261"/>
      <c r="BI1357" s="247"/>
      <c r="BL1357" s="24"/>
    </row>
    <row r="1358" spans="38:64" x14ac:dyDescent="0.2">
      <c r="AL1358" s="553"/>
      <c r="AM1358" s="553"/>
      <c r="AN1358" s="14"/>
      <c r="AO1358" s="12"/>
      <c r="AP1358" s="12"/>
      <c r="AQ1358" s="12"/>
      <c r="AR1358" s="12"/>
      <c r="AS1358" s="124"/>
      <c r="AT1358" s="124"/>
      <c r="AU1358" s="124"/>
      <c r="AV1358" s="124"/>
      <c r="AW1358" s="124"/>
      <c r="AX1358" s="124"/>
      <c r="AY1358" s="124"/>
      <c r="AZ1358" s="124"/>
      <c r="BA1358" s="124"/>
      <c r="BB1358" s="12"/>
      <c r="BC1358" s="12"/>
      <c r="BD1358" s="12"/>
      <c r="BE1358" s="12"/>
      <c r="BF1358" s="12"/>
      <c r="BG1358" s="12"/>
      <c r="BH1358" s="261"/>
      <c r="BI1358" s="247"/>
      <c r="BL1358" s="24"/>
    </row>
    <row r="1359" spans="38:64" x14ac:dyDescent="0.2">
      <c r="AL1359" s="553"/>
      <c r="AM1359" s="553"/>
      <c r="AN1359" s="14"/>
      <c r="AO1359" s="12"/>
      <c r="AP1359" s="12"/>
      <c r="AQ1359" s="12"/>
      <c r="AR1359" s="12"/>
      <c r="AS1359" s="124"/>
      <c r="AT1359" s="124"/>
      <c r="AU1359" s="124"/>
      <c r="AV1359" s="124"/>
      <c r="AW1359" s="124"/>
      <c r="AX1359" s="124"/>
      <c r="AY1359" s="124"/>
      <c r="AZ1359" s="124"/>
      <c r="BA1359" s="124"/>
      <c r="BB1359" s="12"/>
      <c r="BC1359" s="12"/>
      <c r="BD1359" s="12"/>
      <c r="BE1359" s="12"/>
      <c r="BF1359" s="12"/>
      <c r="BG1359" s="12"/>
      <c r="BH1359" s="261"/>
      <c r="BI1359" s="247"/>
      <c r="BL1359" s="24"/>
    </row>
    <row r="1360" spans="38:64" x14ac:dyDescent="0.2">
      <c r="AL1360" s="553"/>
      <c r="AM1360" s="553"/>
      <c r="AN1360" s="14"/>
      <c r="AO1360" s="12"/>
      <c r="AP1360" s="12"/>
      <c r="AQ1360" s="12"/>
      <c r="AR1360" s="12"/>
      <c r="AS1360" s="124"/>
      <c r="AT1360" s="124"/>
      <c r="AU1360" s="124"/>
      <c r="AV1360" s="124"/>
      <c r="AW1360" s="124"/>
      <c r="AX1360" s="124"/>
      <c r="AY1360" s="124"/>
      <c r="AZ1360" s="124"/>
      <c r="BA1360" s="124"/>
      <c r="BB1360" s="12"/>
      <c r="BC1360" s="12"/>
      <c r="BD1360" s="12"/>
      <c r="BE1360" s="12"/>
      <c r="BF1360" s="12"/>
      <c r="BG1360" s="12"/>
      <c r="BH1360" s="261"/>
      <c r="BI1360" s="247"/>
      <c r="BL1360" s="24"/>
    </row>
    <row r="1361" spans="38:64" x14ac:dyDescent="0.2">
      <c r="AL1361" s="553"/>
      <c r="AM1361" s="553"/>
      <c r="AN1361" s="14"/>
      <c r="AO1361" s="12"/>
      <c r="AP1361" s="12"/>
      <c r="AQ1361" s="12"/>
      <c r="AR1361" s="12"/>
      <c r="AS1361" s="124"/>
      <c r="AT1361" s="124"/>
      <c r="AU1361" s="124"/>
      <c r="AV1361" s="124"/>
      <c r="AW1361" s="124"/>
      <c r="AX1361" s="124"/>
      <c r="AY1361" s="124"/>
      <c r="AZ1361" s="124"/>
      <c r="BA1361" s="124"/>
      <c r="BB1361" s="12"/>
      <c r="BC1361" s="12"/>
      <c r="BD1361" s="12"/>
      <c r="BE1361" s="12"/>
      <c r="BF1361" s="12"/>
      <c r="BG1361" s="12"/>
      <c r="BH1361" s="261"/>
      <c r="BI1361" s="247"/>
      <c r="BL1361" s="24"/>
    </row>
    <row r="1362" spans="38:64" x14ac:dyDescent="0.2">
      <c r="AL1362" s="553"/>
      <c r="AM1362" s="553"/>
      <c r="AN1362" s="14"/>
      <c r="AO1362" s="12"/>
      <c r="AP1362" s="12"/>
      <c r="AQ1362" s="12"/>
      <c r="AR1362" s="12"/>
      <c r="AS1362" s="124"/>
      <c r="AT1362" s="124"/>
      <c r="AU1362" s="124"/>
      <c r="AV1362" s="124"/>
      <c r="AW1362" s="124"/>
      <c r="AX1362" s="124"/>
      <c r="AY1362" s="124"/>
      <c r="AZ1362" s="124"/>
      <c r="BA1362" s="124"/>
      <c r="BB1362" s="12"/>
      <c r="BC1362" s="12"/>
      <c r="BD1362" s="12"/>
      <c r="BE1362" s="12"/>
      <c r="BF1362" s="12"/>
      <c r="BG1362" s="12"/>
      <c r="BH1362" s="261"/>
      <c r="BI1362" s="247"/>
      <c r="BL1362" s="24"/>
    </row>
    <row r="1363" spans="38:64" x14ac:dyDescent="0.2">
      <c r="AL1363" s="553"/>
      <c r="AM1363" s="553"/>
      <c r="AN1363" s="14"/>
      <c r="AO1363" s="12"/>
      <c r="AP1363" s="12"/>
      <c r="AQ1363" s="12"/>
      <c r="AR1363" s="12"/>
      <c r="AS1363" s="124"/>
      <c r="AT1363" s="124"/>
      <c r="AU1363" s="124"/>
      <c r="AV1363" s="124"/>
      <c r="AW1363" s="124"/>
      <c r="AX1363" s="124"/>
      <c r="AY1363" s="124"/>
      <c r="AZ1363" s="124"/>
      <c r="BA1363" s="124"/>
      <c r="BB1363" s="12"/>
      <c r="BC1363" s="12"/>
      <c r="BD1363" s="12"/>
      <c r="BE1363" s="12"/>
      <c r="BF1363" s="12"/>
      <c r="BG1363" s="12"/>
      <c r="BH1363" s="261"/>
      <c r="BI1363" s="247"/>
      <c r="BL1363" s="24"/>
    </row>
    <row r="1364" spans="38:64" x14ac:dyDescent="0.2">
      <c r="AL1364" s="553"/>
      <c r="AM1364" s="553"/>
      <c r="AN1364" s="14"/>
      <c r="AO1364" s="12"/>
      <c r="AP1364" s="12"/>
      <c r="AQ1364" s="12"/>
      <c r="AR1364" s="12"/>
      <c r="AS1364" s="124"/>
      <c r="AT1364" s="124"/>
      <c r="AU1364" s="124"/>
      <c r="AV1364" s="124"/>
      <c r="AW1364" s="124"/>
      <c r="AX1364" s="124"/>
      <c r="AY1364" s="124"/>
      <c r="AZ1364" s="124"/>
      <c r="BA1364" s="124"/>
      <c r="BB1364" s="12"/>
      <c r="BC1364" s="12"/>
      <c r="BD1364" s="12"/>
      <c r="BE1364" s="12"/>
      <c r="BF1364" s="12"/>
      <c r="BG1364" s="12"/>
      <c r="BH1364" s="261"/>
      <c r="BI1364" s="247"/>
      <c r="BL1364" s="24"/>
    </row>
    <row r="1365" spans="38:64" x14ac:dyDescent="0.2">
      <c r="AL1365" s="553"/>
      <c r="AM1365" s="553"/>
      <c r="AN1365" s="14"/>
      <c r="AO1365" s="12"/>
      <c r="AP1365" s="12"/>
      <c r="AQ1365" s="12"/>
      <c r="AR1365" s="12"/>
      <c r="AS1365" s="124"/>
      <c r="AT1365" s="124"/>
      <c r="AU1365" s="124"/>
      <c r="AV1365" s="124"/>
      <c r="AW1365" s="124"/>
      <c r="AX1365" s="124"/>
      <c r="AY1365" s="124"/>
      <c r="AZ1365" s="124"/>
      <c r="BA1365" s="124"/>
      <c r="BB1365" s="12"/>
      <c r="BC1365" s="12"/>
      <c r="BD1365" s="12"/>
      <c r="BE1365" s="12"/>
      <c r="BF1365" s="12"/>
      <c r="BG1365" s="12"/>
      <c r="BH1365" s="261"/>
      <c r="BI1365" s="247"/>
      <c r="BL1365" s="24"/>
    </row>
    <row r="1366" spans="38:64" x14ac:dyDescent="0.2">
      <c r="AL1366" s="553"/>
      <c r="AM1366" s="553"/>
      <c r="AN1366" s="14"/>
      <c r="AO1366" s="12"/>
      <c r="AP1366" s="12"/>
      <c r="AQ1366" s="12"/>
      <c r="AR1366" s="12"/>
      <c r="AS1366" s="124"/>
      <c r="AT1366" s="124"/>
      <c r="AU1366" s="124"/>
      <c r="AV1366" s="124"/>
      <c r="AW1366" s="124"/>
      <c r="AX1366" s="124"/>
      <c r="AY1366" s="124"/>
      <c r="AZ1366" s="124"/>
      <c r="BA1366" s="124"/>
      <c r="BB1366" s="12"/>
      <c r="BC1366" s="12"/>
      <c r="BD1366" s="12"/>
      <c r="BE1366" s="12"/>
      <c r="BF1366" s="12"/>
      <c r="BG1366" s="12"/>
      <c r="BH1366" s="261"/>
      <c r="BI1366" s="247"/>
      <c r="BL1366" s="24"/>
    </row>
    <row r="1367" spans="38:64" x14ac:dyDescent="0.2">
      <c r="AL1367" s="553"/>
      <c r="AM1367" s="553"/>
      <c r="AN1367" s="14"/>
      <c r="AO1367" s="12"/>
      <c r="AP1367" s="12"/>
      <c r="AQ1367" s="12"/>
      <c r="AR1367" s="12"/>
      <c r="AS1367" s="124"/>
      <c r="AT1367" s="124"/>
      <c r="AU1367" s="124"/>
      <c r="AV1367" s="124"/>
      <c r="AW1367" s="124"/>
      <c r="AX1367" s="124"/>
      <c r="AY1367" s="124"/>
      <c r="AZ1367" s="124"/>
      <c r="BA1367" s="124"/>
      <c r="BB1367" s="12"/>
      <c r="BC1367" s="12"/>
      <c r="BD1367" s="12"/>
      <c r="BE1367" s="12"/>
      <c r="BF1367" s="12"/>
      <c r="BG1367" s="12"/>
      <c r="BH1367" s="261"/>
      <c r="BI1367" s="247"/>
      <c r="BL1367" s="24"/>
    </row>
    <row r="1368" spans="38:64" x14ac:dyDescent="0.2">
      <c r="AL1368" s="553"/>
      <c r="AM1368" s="553"/>
      <c r="AN1368" s="14"/>
      <c r="AO1368" s="12"/>
      <c r="AP1368" s="12"/>
      <c r="AQ1368" s="12"/>
      <c r="AR1368" s="12"/>
      <c r="AS1368" s="124"/>
      <c r="AT1368" s="124"/>
      <c r="AU1368" s="124"/>
      <c r="AV1368" s="124"/>
      <c r="AW1368" s="124"/>
      <c r="AX1368" s="124"/>
      <c r="AY1368" s="124"/>
      <c r="AZ1368" s="124"/>
      <c r="BA1368" s="124"/>
      <c r="BB1368" s="12"/>
      <c r="BC1368" s="12"/>
      <c r="BD1368" s="12"/>
      <c r="BE1368" s="12"/>
      <c r="BF1368" s="12"/>
      <c r="BG1368" s="12"/>
      <c r="BH1368" s="261"/>
      <c r="BI1368" s="247"/>
      <c r="BL1368" s="24"/>
    </row>
    <row r="1369" spans="38:64" x14ac:dyDescent="0.2">
      <c r="AL1369" s="553"/>
      <c r="AM1369" s="553"/>
      <c r="AN1369" s="14"/>
      <c r="AO1369" s="12"/>
      <c r="AP1369" s="12"/>
      <c r="AQ1369" s="12"/>
      <c r="AR1369" s="12"/>
      <c r="AS1369" s="124"/>
      <c r="AT1369" s="124"/>
      <c r="AU1369" s="124"/>
      <c r="AV1369" s="124"/>
      <c r="AW1369" s="124"/>
      <c r="AX1369" s="124"/>
      <c r="AY1369" s="124"/>
      <c r="AZ1369" s="124"/>
      <c r="BA1369" s="124"/>
      <c r="BB1369" s="12"/>
      <c r="BC1369" s="12"/>
      <c r="BD1369" s="12"/>
      <c r="BE1369" s="12"/>
      <c r="BF1369" s="12"/>
      <c r="BG1369" s="12"/>
      <c r="BH1369" s="261"/>
      <c r="BI1369" s="247"/>
      <c r="BL1369" s="24"/>
    </row>
    <row r="1370" spans="38:64" x14ac:dyDescent="0.2">
      <c r="AL1370" s="553"/>
      <c r="AM1370" s="553"/>
      <c r="AN1370" s="14"/>
      <c r="AO1370" s="12"/>
      <c r="AP1370" s="12"/>
      <c r="AQ1370" s="12"/>
      <c r="AR1370" s="12"/>
      <c r="AS1370" s="124"/>
      <c r="AT1370" s="124"/>
      <c r="AU1370" s="124"/>
      <c r="AV1370" s="124"/>
      <c r="AW1370" s="124"/>
      <c r="AX1370" s="124"/>
      <c r="AY1370" s="124"/>
      <c r="AZ1370" s="124"/>
      <c r="BA1370" s="124"/>
      <c r="BB1370" s="12"/>
      <c r="BC1370" s="12"/>
      <c r="BD1370" s="12"/>
      <c r="BE1370" s="12"/>
      <c r="BF1370" s="12"/>
      <c r="BG1370" s="12"/>
      <c r="BH1370" s="261"/>
      <c r="BI1370" s="247"/>
      <c r="BL1370" s="24"/>
    </row>
    <row r="1371" spans="38:64" x14ac:dyDescent="0.2">
      <c r="AL1371" s="553"/>
      <c r="AM1371" s="553"/>
      <c r="AN1371" s="14"/>
      <c r="AO1371" s="12"/>
      <c r="AP1371" s="12"/>
      <c r="AQ1371" s="12"/>
      <c r="AR1371" s="12"/>
      <c r="AS1371" s="124"/>
      <c r="AT1371" s="124"/>
      <c r="AU1371" s="124"/>
      <c r="AV1371" s="124"/>
      <c r="AW1371" s="124"/>
      <c r="AX1371" s="124"/>
      <c r="AY1371" s="124"/>
      <c r="AZ1371" s="124"/>
      <c r="BA1371" s="124"/>
      <c r="BB1371" s="12"/>
      <c r="BC1371" s="12"/>
      <c r="BD1371" s="12"/>
      <c r="BE1371" s="12"/>
      <c r="BF1371" s="12"/>
      <c r="BG1371" s="12"/>
      <c r="BH1371" s="261"/>
      <c r="BI1371" s="247"/>
      <c r="BL1371" s="24"/>
    </row>
    <row r="1372" spans="38:64" x14ac:dyDescent="0.2">
      <c r="AL1372" s="553"/>
      <c r="AM1372" s="553"/>
      <c r="AN1372" s="14"/>
      <c r="AO1372" s="12"/>
      <c r="AP1372" s="12"/>
      <c r="AQ1372" s="12"/>
      <c r="AR1372" s="12"/>
      <c r="AS1372" s="124"/>
      <c r="AT1372" s="124"/>
      <c r="AU1372" s="124"/>
      <c r="AV1372" s="124"/>
      <c r="AW1372" s="124"/>
      <c r="AX1372" s="124"/>
      <c r="AY1372" s="124"/>
      <c r="AZ1372" s="124"/>
      <c r="BA1372" s="124"/>
      <c r="BB1372" s="12"/>
      <c r="BC1372" s="12"/>
      <c r="BD1372" s="12"/>
      <c r="BE1372" s="12"/>
      <c r="BF1372" s="12"/>
      <c r="BG1372" s="12"/>
      <c r="BH1372" s="261"/>
      <c r="BI1372" s="247"/>
      <c r="BL1372" s="24"/>
    </row>
    <row r="1373" spans="38:64" x14ac:dyDescent="0.2">
      <c r="AL1373" s="553"/>
      <c r="AM1373" s="553"/>
      <c r="AN1373" s="14"/>
      <c r="AO1373" s="12"/>
      <c r="AP1373" s="12"/>
      <c r="AQ1373" s="12"/>
      <c r="AR1373" s="12"/>
      <c r="AS1373" s="124"/>
      <c r="AT1373" s="124"/>
      <c r="AU1373" s="124"/>
      <c r="AV1373" s="124"/>
      <c r="AW1373" s="124"/>
      <c r="AX1373" s="124"/>
      <c r="AY1373" s="124"/>
      <c r="AZ1373" s="124"/>
      <c r="BA1373" s="124"/>
      <c r="BB1373" s="12"/>
      <c r="BC1373" s="12"/>
      <c r="BD1373" s="12"/>
      <c r="BE1373" s="12"/>
      <c r="BF1373" s="12"/>
      <c r="BG1373" s="12"/>
      <c r="BH1373" s="261"/>
      <c r="BI1373" s="247"/>
      <c r="BL1373" s="24"/>
    </row>
    <row r="1374" spans="38:64" x14ac:dyDescent="0.2">
      <c r="AL1374" s="553"/>
      <c r="AM1374" s="553"/>
      <c r="AN1374" s="14"/>
      <c r="AO1374" s="12"/>
      <c r="AP1374" s="12"/>
      <c r="AQ1374" s="12"/>
      <c r="AR1374" s="12"/>
      <c r="AS1374" s="124"/>
      <c r="AT1374" s="124"/>
      <c r="AU1374" s="124"/>
      <c r="AV1374" s="124"/>
      <c r="AW1374" s="124"/>
      <c r="AX1374" s="124"/>
      <c r="AY1374" s="124"/>
      <c r="AZ1374" s="124"/>
      <c r="BA1374" s="124"/>
      <c r="BB1374" s="12"/>
      <c r="BC1374" s="12"/>
      <c r="BD1374" s="12"/>
      <c r="BE1374" s="12"/>
      <c r="BF1374" s="12"/>
      <c r="BG1374" s="12"/>
      <c r="BH1374" s="261"/>
      <c r="BI1374" s="247"/>
      <c r="BL1374" s="24"/>
    </row>
    <row r="1375" spans="38:64" x14ac:dyDescent="0.2">
      <c r="AL1375" s="553"/>
      <c r="AM1375" s="553"/>
      <c r="AN1375" s="14"/>
      <c r="AO1375" s="12"/>
      <c r="AP1375" s="12"/>
      <c r="AQ1375" s="12"/>
      <c r="AR1375" s="12"/>
      <c r="AS1375" s="124"/>
      <c r="AT1375" s="124"/>
      <c r="AU1375" s="124"/>
      <c r="AV1375" s="124"/>
      <c r="AW1375" s="124"/>
      <c r="AX1375" s="124"/>
      <c r="AY1375" s="124"/>
      <c r="AZ1375" s="124"/>
      <c r="BA1375" s="124"/>
      <c r="BB1375" s="12"/>
      <c r="BC1375" s="12"/>
      <c r="BD1375" s="12"/>
      <c r="BE1375" s="12"/>
      <c r="BF1375" s="12"/>
      <c r="BG1375" s="12"/>
      <c r="BH1375" s="261"/>
      <c r="BI1375" s="247"/>
      <c r="BL1375" s="24"/>
    </row>
    <row r="1376" spans="38:64" x14ac:dyDescent="0.2">
      <c r="AL1376" s="553"/>
      <c r="AM1376" s="553"/>
      <c r="AN1376" s="14"/>
      <c r="AO1376" s="12"/>
      <c r="AP1376" s="12"/>
      <c r="AQ1376" s="12"/>
      <c r="AR1376" s="12"/>
      <c r="AS1376" s="124"/>
      <c r="AT1376" s="124"/>
      <c r="AU1376" s="124"/>
      <c r="AV1376" s="124"/>
      <c r="AW1376" s="124"/>
      <c r="AX1376" s="124"/>
      <c r="AY1376" s="124"/>
      <c r="AZ1376" s="124"/>
      <c r="BA1376" s="124"/>
      <c r="BB1376" s="12"/>
      <c r="BC1376" s="12"/>
      <c r="BD1376" s="12"/>
      <c r="BE1376" s="12"/>
      <c r="BF1376" s="12"/>
      <c r="BG1376" s="12"/>
      <c r="BH1376" s="261"/>
      <c r="BI1376" s="247"/>
      <c r="BL1376" s="24"/>
    </row>
    <row r="1377" spans="38:64" x14ac:dyDescent="0.2">
      <c r="AL1377" s="553"/>
      <c r="AM1377" s="553"/>
      <c r="AN1377" s="14"/>
      <c r="AO1377" s="12"/>
      <c r="AP1377" s="12"/>
      <c r="AQ1377" s="12"/>
      <c r="AR1377" s="12"/>
      <c r="AS1377" s="124"/>
      <c r="AT1377" s="124"/>
      <c r="AU1377" s="124"/>
      <c r="AV1377" s="124"/>
      <c r="AW1377" s="124"/>
      <c r="AX1377" s="124"/>
      <c r="AY1377" s="124"/>
      <c r="AZ1377" s="124"/>
      <c r="BA1377" s="124"/>
      <c r="BB1377" s="12"/>
      <c r="BC1377" s="12"/>
      <c r="BD1377" s="12"/>
      <c r="BE1377" s="12"/>
      <c r="BF1377" s="12"/>
      <c r="BG1377" s="12"/>
      <c r="BH1377" s="261"/>
      <c r="BI1377" s="247"/>
      <c r="BL1377" s="24"/>
    </row>
    <row r="1378" spans="38:64" x14ac:dyDescent="0.2">
      <c r="AL1378" s="553"/>
      <c r="AM1378" s="553"/>
      <c r="AN1378" s="14"/>
      <c r="AO1378" s="12"/>
      <c r="AP1378" s="12"/>
      <c r="AQ1378" s="12"/>
      <c r="AR1378" s="12"/>
      <c r="AS1378" s="124"/>
      <c r="AT1378" s="124"/>
      <c r="AU1378" s="124"/>
      <c r="AV1378" s="124"/>
      <c r="AW1378" s="124"/>
      <c r="AX1378" s="124"/>
      <c r="AY1378" s="124"/>
      <c r="AZ1378" s="124"/>
      <c r="BA1378" s="124"/>
      <c r="BB1378" s="12"/>
      <c r="BC1378" s="12"/>
      <c r="BD1378" s="12"/>
      <c r="BE1378" s="12"/>
      <c r="BF1378" s="12"/>
      <c r="BG1378" s="12"/>
      <c r="BH1378" s="261"/>
      <c r="BI1378" s="247"/>
      <c r="BL1378" s="24"/>
    </row>
    <row r="1379" spans="38:64" x14ac:dyDescent="0.2">
      <c r="AL1379" s="553"/>
      <c r="AM1379" s="553"/>
      <c r="AN1379" s="14"/>
      <c r="AO1379" s="12"/>
      <c r="AP1379" s="12"/>
      <c r="AQ1379" s="12"/>
      <c r="AR1379" s="12"/>
      <c r="AS1379" s="124"/>
      <c r="AT1379" s="124"/>
      <c r="AU1379" s="124"/>
      <c r="AV1379" s="124"/>
      <c r="AW1379" s="124"/>
      <c r="AX1379" s="124"/>
      <c r="AY1379" s="124"/>
      <c r="AZ1379" s="124"/>
      <c r="BA1379" s="124"/>
      <c r="BB1379" s="12"/>
      <c r="BC1379" s="12"/>
      <c r="BD1379" s="12"/>
      <c r="BE1379" s="12"/>
      <c r="BF1379" s="12"/>
      <c r="BG1379" s="12"/>
      <c r="BH1379" s="261"/>
      <c r="BI1379" s="247"/>
      <c r="BL1379" s="24"/>
    </row>
    <row r="1380" spans="38:64" x14ac:dyDescent="0.2">
      <c r="AL1380" s="553"/>
      <c r="AM1380" s="553"/>
      <c r="AN1380" s="14"/>
      <c r="AO1380" s="12"/>
      <c r="AP1380" s="12"/>
      <c r="AQ1380" s="12"/>
      <c r="AR1380" s="12"/>
      <c r="AS1380" s="124"/>
      <c r="AT1380" s="124"/>
      <c r="AU1380" s="124"/>
      <c r="AV1380" s="124"/>
      <c r="AW1380" s="124"/>
      <c r="AX1380" s="124"/>
      <c r="AY1380" s="124"/>
      <c r="AZ1380" s="124"/>
      <c r="BA1380" s="124"/>
      <c r="BB1380" s="12"/>
      <c r="BC1380" s="12"/>
      <c r="BD1380" s="12"/>
      <c r="BE1380" s="12"/>
      <c r="BF1380" s="12"/>
      <c r="BG1380" s="12"/>
      <c r="BH1380" s="261"/>
      <c r="BI1380" s="247"/>
      <c r="BL1380" s="24"/>
    </row>
    <row r="1381" spans="38:64" x14ac:dyDescent="0.2">
      <c r="AL1381" s="553"/>
      <c r="AM1381" s="553"/>
      <c r="AN1381" s="14"/>
      <c r="AO1381" s="12"/>
      <c r="AP1381" s="12"/>
      <c r="AQ1381" s="12"/>
      <c r="AR1381" s="12"/>
      <c r="AS1381" s="124"/>
      <c r="AT1381" s="124"/>
      <c r="AU1381" s="124"/>
      <c r="AV1381" s="124"/>
      <c r="AW1381" s="124"/>
      <c r="AX1381" s="124"/>
      <c r="AY1381" s="124"/>
      <c r="AZ1381" s="124"/>
      <c r="BA1381" s="124"/>
      <c r="BB1381" s="12"/>
      <c r="BC1381" s="12"/>
      <c r="BD1381" s="12"/>
      <c r="BE1381" s="12"/>
      <c r="BF1381" s="12"/>
      <c r="BG1381" s="12"/>
      <c r="BH1381" s="261"/>
      <c r="BI1381" s="247"/>
      <c r="BL1381" s="24"/>
    </row>
    <row r="1382" spans="38:64" x14ac:dyDescent="0.2">
      <c r="AL1382" s="553"/>
      <c r="AM1382" s="553"/>
      <c r="AN1382" s="14"/>
      <c r="AO1382" s="12"/>
      <c r="AP1382" s="12"/>
      <c r="AQ1382" s="12"/>
      <c r="AR1382" s="12"/>
      <c r="AS1382" s="124"/>
      <c r="AT1382" s="124"/>
      <c r="AU1382" s="124"/>
      <c r="AV1382" s="124"/>
      <c r="AW1382" s="124"/>
      <c r="AX1382" s="124"/>
      <c r="AY1382" s="124"/>
      <c r="AZ1382" s="124"/>
      <c r="BA1382" s="124"/>
      <c r="BB1382" s="12"/>
      <c r="BC1382" s="12"/>
      <c r="BD1382" s="12"/>
      <c r="BE1382" s="12"/>
      <c r="BF1382" s="12"/>
      <c r="BG1382" s="12"/>
      <c r="BH1382" s="261"/>
      <c r="BI1382" s="247"/>
      <c r="BL1382" s="24"/>
    </row>
    <row r="1383" spans="38:64" x14ac:dyDescent="0.2">
      <c r="AL1383" s="553"/>
      <c r="AM1383" s="553"/>
      <c r="AN1383" s="14"/>
      <c r="AO1383" s="12"/>
      <c r="AP1383" s="12"/>
      <c r="AQ1383" s="12"/>
      <c r="AR1383" s="12"/>
      <c r="AS1383" s="124"/>
      <c r="AT1383" s="124"/>
      <c r="AU1383" s="124"/>
      <c r="AV1383" s="124"/>
      <c r="AW1383" s="124"/>
      <c r="AX1383" s="124"/>
      <c r="AY1383" s="124"/>
      <c r="AZ1383" s="124"/>
      <c r="BA1383" s="124"/>
      <c r="BB1383" s="12"/>
      <c r="BC1383" s="12"/>
      <c r="BD1383" s="12"/>
      <c r="BE1383" s="12"/>
      <c r="BF1383" s="12"/>
      <c r="BG1383" s="12"/>
      <c r="BH1383" s="261"/>
      <c r="BI1383" s="247"/>
      <c r="BL1383" s="24"/>
    </row>
    <row r="1384" spans="38:64" x14ac:dyDescent="0.2">
      <c r="AL1384" s="553"/>
      <c r="AM1384" s="553"/>
      <c r="AN1384" s="14"/>
      <c r="AO1384" s="12"/>
      <c r="AP1384" s="12"/>
      <c r="AQ1384" s="12"/>
      <c r="AR1384" s="12"/>
      <c r="AS1384" s="124"/>
      <c r="AT1384" s="124"/>
      <c r="AU1384" s="124"/>
      <c r="AV1384" s="124"/>
      <c r="AW1384" s="124"/>
      <c r="AX1384" s="124"/>
      <c r="AY1384" s="124"/>
      <c r="AZ1384" s="124"/>
      <c r="BA1384" s="124"/>
      <c r="BB1384" s="12"/>
      <c r="BC1384" s="12"/>
      <c r="BD1384" s="12"/>
      <c r="BE1384" s="12"/>
      <c r="BF1384" s="12"/>
      <c r="BG1384" s="12"/>
      <c r="BH1384" s="261"/>
      <c r="BI1384" s="247"/>
      <c r="BL1384" s="24"/>
    </row>
    <row r="1385" spans="38:64" x14ac:dyDescent="0.2">
      <c r="AL1385" s="553"/>
      <c r="AM1385" s="553"/>
      <c r="AN1385" s="14"/>
      <c r="AO1385" s="12"/>
      <c r="AP1385" s="12"/>
      <c r="AQ1385" s="12"/>
      <c r="AR1385" s="12"/>
      <c r="AS1385" s="124"/>
      <c r="AT1385" s="124"/>
      <c r="AU1385" s="124"/>
      <c r="AV1385" s="124"/>
      <c r="AW1385" s="124"/>
      <c r="AX1385" s="124"/>
      <c r="AY1385" s="124"/>
      <c r="AZ1385" s="124"/>
      <c r="BA1385" s="124"/>
      <c r="BB1385" s="12"/>
      <c r="BC1385" s="12"/>
      <c r="BD1385" s="12"/>
      <c r="BE1385" s="12"/>
      <c r="BF1385" s="12"/>
      <c r="BG1385" s="12"/>
      <c r="BH1385" s="261"/>
      <c r="BI1385" s="247"/>
      <c r="BL1385" s="24"/>
    </row>
    <row r="1386" spans="38:64" x14ac:dyDescent="0.2">
      <c r="AL1386" s="553"/>
      <c r="AM1386" s="553"/>
      <c r="AN1386" s="14"/>
      <c r="AO1386" s="12"/>
      <c r="AP1386" s="12"/>
      <c r="AQ1386" s="12"/>
      <c r="AR1386" s="12"/>
      <c r="AS1386" s="124"/>
      <c r="AT1386" s="124"/>
      <c r="AU1386" s="124"/>
      <c r="AV1386" s="124"/>
      <c r="AW1386" s="124"/>
      <c r="AX1386" s="124"/>
      <c r="AY1386" s="124"/>
      <c r="AZ1386" s="124"/>
      <c r="BA1386" s="124"/>
      <c r="BB1386" s="12"/>
      <c r="BC1386" s="12"/>
      <c r="BD1386" s="12"/>
      <c r="BE1386" s="12"/>
      <c r="BF1386" s="12"/>
      <c r="BG1386" s="12"/>
      <c r="BH1386" s="261"/>
      <c r="BI1386" s="247"/>
      <c r="BL1386" s="24"/>
    </row>
    <row r="1387" spans="38:64" x14ac:dyDescent="0.2">
      <c r="AL1387" s="553"/>
      <c r="AM1387" s="553"/>
      <c r="AN1387" s="14"/>
      <c r="AO1387" s="12"/>
      <c r="AP1387" s="12"/>
      <c r="AQ1387" s="12"/>
      <c r="AR1387" s="12"/>
      <c r="AS1387" s="124"/>
      <c r="AT1387" s="124"/>
      <c r="AU1387" s="124"/>
      <c r="AV1387" s="124"/>
      <c r="AW1387" s="124"/>
      <c r="AX1387" s="124"/>
      <c r="AY1387" s="124"/>
      <c r="AZ1387" s="124"/>
      <c r="BA1387" s="124"/>
      <c r="BB1387" s="12"/>
      <c r="BC1387" s="12"/>
      <c r="BD1387" s="12"/>
      <c r="BE1387" s="12"/>
      <c r="BF1387" s="12"/>
      <c r="BG1387" s="12"/>
      <c r="BH1387" s="261"/>
      <c r="BI1387" s="247"/>
      <c r="BL1387" s="24"/>
    </row>
    <row r="1388" spans="38:64" x14ac:dyDescent="0.2">
      <c r="AL1388" s="553"/>
      <c r="AM1388" s="553"/>
      <c r="AN1388" s="14"/>
      <c r="AO1388" s="12"/>
      <c r="AP1388" s="12"/>
      <c r="AQ1388" s="12"/>
      <c r="AR1388" s="12"/>
      <c r="AS1388" s="124"/>
      <c r="AT1388" s="124"/>
      <c r="AU1388" s="124"/>
      <c r="AV1388" s="124"/>
      <c r="AW1388" s="124"/>
      <c r="AX1388" s="124"/>
      <c r="AY1388" s="124"/>
      <c r="AZ1388" s="124"/>
      <c r="BA1388" s="124"/>
      <c r="BB1388" s="12"/>
      <c r="BC1388" s="12"/>
      <c r="BD1388" s="12"/>
      <c r="BE1388" s="12"/>
      <c r="BF1388" s="12"/>
      <c r="BG1388" s="12"/>
      <c r="BH1388" s="261"/>
      <c r="BI1388" s="247"/>
      <c r="BL1388" s="24"/>
    </row>
    <row r="1389" spans="38:64" x14ac:dyDescent="0.2">
      <c r="AL1389" s="553"/>
      <c r="AM1389" s="553"/>
      <c r="AN1389" s="14"/>
      <c r="AO1389" s="12"/>
      <c r="AP1389" s="12"/>
      <c r="AQ1389" s="12"/>
      <c r="AR1389" s="12"/>
      <c r="AS1389" s="124"/>
      <c r="AT1389" s="124"/>
      <c r="AU1389" s="124"/>
      <c r="AV1389" s="124"/>
      <c r="AW1389" s="124"/>
      <c r="AX1389" s="124"/>
      <c r="AY1389" s="124"/>
      <c r="AZ1389" s="124"/>
      <c r="BA1389" s="124"/>
      <c r="BB1389" s="12"/>
      <c r="BC1389" s="12"/>
      <c r="BD1389" s="12"/>
      <c r="BE1389" s="12"/>
      <c r="BF1389" s="12"/>
      <c r="BG1389" s="12"/>
      <c r="BH1389" s="261"/>
      <c r="BI1389" s="247"/>
      <c r="BL1389" s="24"/>
    </row>
    <row r="1390" spans="38:64" x14ac:dyDescent="0.2">
      <c r="AL1390" s="553"/>
      <c r="AM1390" s="553"/>
      <c r="AN1390" s="14"/>
      <c r="AO1390" s="12"/>
      <c r="AP1390" s="12"/>
      <c r="AQ1390" s="12"/>
      <c r="AR1390" s="12"/>
      <c r="AS1390" s="124"/>
      <c r="AT1390" s="124"/>
      <c r="AU1390" s="124"/>
      <c r="AV1390" s="124"/>
      <c r="AW1390" s="124"/>
      <c r="AX1390" s="124"/>
      <c r="AY1390" s="124"/>
      <c r="AZ1390" s="124"/>
      <c r="BA1390" s="124"/>
      <c r="BB1390" s="12"/>
      <c r="BC1390" s="12"/>
      <c r="BD1390" s="12"/>
      <c r="BE1390" s="12"/>
      <c r="BF1390" s="12"/>
      <c r="BG1390" s="12"/>
      <c r="BH1390" s="261"/>
      <c r="BI1390" s="247"/>
      <c r="BL1390" s="24"/>
    </row>
    <row r="1391" spans="38:64" x14ac:dyDescent="0.2">
      <c r="AL1391" s="553"/>
      <c r="AM1391" s="553"/>
      <c r="AN1391" s="14"/>
      <c r="AO1391" s="12"/>
      <c r="AP1391" s="12"/>
      <c r="AQ1391" s="12"/>
      <c r="AR1391" s="12"/>
      <c r="AS1391" s="124"/>
      <c r="AT1391" s="124"/>
      <c r="AU1391" s="124"/>
      <c r="AV1391" s="124"/>
      <c r="AW1391" s="124"/>
      <c r="AX1391" s="124"/>
      <c r="AY1391" s="124"/>
      <c r="AZ1391" s="124"/>
      <c r="BA1391" s="124"/>
      <c r="BB1391" s="12"/>
      <c r="BC1391" s="12"/>
      <c r="BD1391" s="12"/>
      <c r="BE1391" s="12"/>
      <c r="BF1391" s="12"/>
      <c r="BG1391" s="12"/>
      <c r="BH1391" s="261"/>
      <c r="BI1391" s="247"/>
      <c r="BL1391" s="24"/>
    </row>
    <row r="1392" spans="38:64" x14ac:dyDescent="0.2">
      <c r="AL1392" s="553"/>
      <c r="AM1392" s="553"/>
      <c r="AN1392" s="14"/>
      <c r="AO1392" s="12"/>
      <c r="AP1392" s="12"/>
      <c r="AQ1392" s="12"/>
      <c r="AR1392" s="12"/>
      <c r="AS1392" s="124"/>
      <c r="AT1392" s="124"/>
      <c r="AU1392" s="124"/>
      <c r="AV1392" s="124"/>
      <c r="AW1392" s="124"/>
      <c r="AX1392" s="124"/>
      <c r="AY1392" s="124"/>
      <c r="AZ1392" s="124"/>
      <c r="BA1392" s="124"/>
      <c r="BB1392" s="12"/>
      <c r="BC1392" s="12"/>
      <c r="BD1392" s="12"/>
      <c r="BE1392" s="12"/>
      <c r="BF1392" s="12"/>
      <c r="BG1392" s="12"/>
      <c r="BH1392" s="261"/>
      <c r="BI1392" s="247"/>
      <c r="BL1392" s="24"/>
    </row>
    <row r="1393" spans="38:64" x14ac:dyDescent="0.2">
      <c r="AL1393" s="553"/>
      <c r="AM1393" s="553"/>
      <c r="AN1393" s="14"/>
      <c r="AO1393" s="12"/>
      <c r="AP1393" s="12"/>
      <c r="AQ1393" s="12"/>
      <c r="AR1393" s="12"/>
      <c r="AS1393" s="124"/>
      <c r="AT1393" s="124"/>
      <c r="AU1393" s="124"/>
      <c r="AV1393" s="124"/>
      <c r="AW1393" s="124"/>
      <c r="AX1393" s="124"/>
      <c r="AY1393" s="124"/>
      <c r="AZ1393" s="124"/>
      <c r="BA1393" s="124"/>
      <c r="BB1393" s="12"/>
      <c r="BC1393" s="12"/>
      <c r="BD1393" s="12"/>
      <c r="BE1393" s="12"/>
      <c r="BF1393" s="12"/>
      <c r="BG1393" s="12"/>
      <c r="BH1393" s="261"/>
      <c r="BI1393" s="247"/>
      <c r="BL1393" s="24"/>
    </row>
    <row r="1394" spans="38:64" x14ac:dyDescent="0.2">
      <c r="AL1394" s="553"/>
      <c r="AM1394" s="553"/>
      <c r="AN1394" s="14"/>
      <c r="AO1394" s="12"/>
      <c r="AP1394" s="12"/>
      <c r="AQ1394" s="12"/>
      <c r="AR1394" s="12"/>
      <c r="AS1394" s="124"/>
      <c r="AT1394" s="124"/>
      <c r="AU1394" s="124"/>
      <c r="AV1394" s="124"/>
      <c r="AW1394" s="124"/>
      <c r="AX1394" s="124"/>
      <c r="AY1394" s="124"/>
      <c r="AZ1394" s="124"/>
      <c r="BA1394" s="124"/>
      <c r="BB1394" s="12"/>
      <c r="BC1394" s="12"/>
      <c r="BD1394" s="12"/>
      <c r="BE1394" s="12"/>
      <c r="BF1394" s="12"/>
      <c r="BG1394" s="12"/>
      <c r="BH1394" s="261"/>
      <c r="BI1394" s="247"/>
      <c r="BL1394" s="24"/>
    </row>
    <row r="1395" spans="38:64" x14ac:dyDescent="0.2">
      <c r="AL1395" s="553"/>
      <c r="AM1395" s="553"/>
      <c r="AN1395" s="14"/>
      <c r="AO1395" s="12"/>
      <c r="AP1395" s="12"/>
      <c r="AQ1395" s="12"/>
      <c r="AR1395" s="12"/>
      <c r="AS1395" s="124"/>
      <c r="AT1395" s="124"/>
      <c r="AU1395" s="124"/>
      <c r="AV1395" s="124"/>
      <c r="AW1395" s="124"/>
      <c r="AX1395" s="124"/>
      <c r="AY1395" s="124"/>
      <c r="AZ1395" s="124"/>
      <c r="BA1395" s="124"/>
      <c r="BB1395" s="12"/>
      <c r="BC1395" s="12"/>
      <c r="BD1395" s="12"/>
      <c r="BE1395" s="12"/>
      <c r="BF1395" s="12"/>
      <c r="BG1395" s="12"/>
      <c r="BH1395" s="261"/>
      <c r="BI1395" s="247"/>
      <c r="BL1395" s="24"/>
    </row>
    <row r="1396" spans="38:64" x14ac:dyDescent="0.2">
      <c r="AL1396" s="553"/>
      <c r="AM1396" s="553"/>
      <c r="AN1396" s="14"/>
      <c r="AO1396" s="12"/>
      <c r="AP1396" s="12"/>
      <c r="AQ1396" s="12"/>
      <c r="AR1396" s="12"/>
      <c r="AS1396" s="124"/>
      <c r="AT1396" s="124"/>
      <c r="AU1396" s="124"/>
      <c r="AV1396" s="124"/>
      <c r="AW1396" s="124"/>
      <c r="AX1396" s="124"/>
      <c r="AY1396" s="124"/>
      <c r="AZ1396" s="124"/>
      <c r="BA1396" s="124"/>
      <c r="BB1396" s="12"/>
      <c r="BC1396" s="12"/>
      <c r="BD1396" s="12"/>
      <c r="BE1396" s="12"/>
      <c r="BF1396" s="12"/>
      <c r="BG1396" s="12"/>
      <c r="BH1396" s="261"/>
      <c r="BI1396" s="247"/>
      <c r="BL1396" s="24"/>
    </row>
    <row r="1397" spans="38:64" x14ac:dyDescent="0.2">
      <c r="AL1397" s="553"/>
      <c r="AM1397" s="553"/>
      <c r="AN1397" s="14"/>
      <c r="AO1397" s="12"/>
      <c r="AP1397" s="12"/>
      <c r="AQ1397" s="12"/>
      <c r="AR1397" s="12"/>
      <c r="AS1397" s="124"/>
      <c r="AT1397" s="124"/>
      <c r="AU1397" s="124"/>
      <c r="AV1397" s="124"/>
      <c r="AW1397" s="124"/>
      <c r="AX1397" s="124"/>
      <c r="AY1397" s="124"/>
      <c r="AZ1397" s="124"/>
      <c r="BA1397" s="124"/>
      <c r="BB1397" s="12"/>
      <c r="BC1397" s="12"/>
      <c r="BD1397" s="12"/>
      <c r="BE1397" s="12"/>
      <c r="BF1397" s="12"/>
      <c r="BG1397" s="12"/>
      <c r="BH1397" s="261"/>
      <c r="BI1397" s="247"/>
      <c r="BL1397" s="24"/>
    </row>
    <row r="1398" spans="38:64" x14ac:dyDescent="0.2">
      <c r="AL1398" s="553"/>
      <c r="AM1398" s="553"/>
      <c r="AN1398" s="14"/>
      <c r="AO1398" s="12"/>
      <c r="AP1398" s="12"/>
      <c r="AQ1398" s="12"/>
      <c r="AR1398" s="12"/>
      <c r="AS1398" s="124"/>
      <c r="AT1398" s="124"/>
      <c r="AU1398" s="124"/>
      <c r="AV1398" s="124"/>
      <c r="AW1398" s="124"/>
      <c r="AX1398" s="124"/>
      <c r="AY1398" s="124"/>
      <c r="AZ1398" s="124"/>
      <c r="BA1398" s="124"/>
      <c r="BB1398" s="12"/>
      <c r="BC1398" s="12"/>
      <c r="BD1398" s="12"/>
      <c r="BE1398" s="12"/>
      <c r="BF1398" s="12"/>
      <c r="BG1398" s="12"/>
      <c r="BH1398" s="261"/>
      <c r="BI1398" s="247"/>
      <c r="BL1398" s="24"/>
    </row>
    <row r="1399" spans="38:64" x14ac:dyDescent="0.2">
      <c r="AL1399" s="553"/>
      <c r="AM1399" s="553"/>
      <c r="AN1399" s="14"/>
      <c r="AO1399" s="12"/>
      <c r="AP1399" s="12"/>
      <c r="AQ1399" s="12"/>
      <c r="AR1399" s="12"/>
      <c r="AS1399" s="124"/>
      <c r="AT1399" s="124"/>
      <c r="AU1399" s="124"/>
      <c r="AV1399" s="124"/>
      <c r="AW1399" s="124"/>
      <c r="AX1399" s="124"/>
      <c r="AY1399" s="124"/>
      <c r="AZ1399" s="124"/>
      <c r="BA1399" s="124"/>
      <c r="BB1399" s="12"/>
      <c r="BC1399" s="12"/>
      <c r="BD1399" s="12"/>
      <c r="BE1399" s="12"/>
      <c r="BF1399" s="12"/>
      <c r="BG1399" s="12"/>
      <c r="BH1399" s="261"/>
      <c r="BI1399" s="247"/>
      <c r="BL1399" s="24"/>
    </row>
    <row r="1400" spans="38:64" x14ac:dyDescent="0.2">
      <c r="AL1400" s="553"/>
      <c r="AM1400" s="553"/>
      <c r="AN1400" s="14"/>
      <c r="AO1400" s="12"/>
      <c r="AP1400" s="12"/>
      <c r="AQ1400" s="12"/>
      <c r="AR1400" s="12"/>
      <c r="AS1400" s="124"/>
      <c r="AT1400" s="124"/>
      <c r="AU1400" s="124"/>
      <c r="AV1400" s="124"/>
      <c r="AW1400" s="124"/>
      <c r="AX1400" s="124"/>
      <c r="AY1400" s="124"/>
      <c r="AZ1400" s="124"/>
      <c r="BA1400" s="124"/>
      <c r="BB1400" s="12"/>
      <c r="BC1400" s="12"/>
      <c r="BD1400" s="12"/>
      <c r="BE1400" s="12"/>
      <c r="BF1400" s="12"/>
      <c r="BG1400" s="12"/>
      <c r="BH1400" s="261"/>
      <c r="BI1400" s="247"/>
      <c r="BL1400" s="24"/>
    </row>
    <row r="1401" spans="38:64" x14ac:dyDescent="0.2">
      <c r="AL1401" s="553"/>
      <c r="AM1401" s="553"/>
      <c r="AN1401" s="14"/>
      <c r="AO1401" s="12"/>
      <c r="AP1401" s="12"/>
      <c r="AQ1401" s="12"/>
      <c r="AR1401" s="12"/>
      <c r="AS1401" s="124"/>
      <c r="AT1401" s="124"/>
      <c r="AU1401" s="124"/>
      <c r="AV1401" s="124"/>
      <c r="AW1401" s="124"/>
      <c r="AX1401" s="124"/>
      <c r="AY1401" s="124"/>
      <c r="AZ1401" s="124"/>
      <c r="BA1401" s="124"/>
      <c r="BB1401" s="12"/>
      <c r="BC1401" s="12"/>
      <c r="BD1401" s="12"/>
      <c r="BE1401" s="12"/>
      <c r="BF1401" s="12"/>
      <c r="BG1401" s="12"/>
      <c r="BH1401" s="261"/>
      <c r="BI1401" s="247"/>
      <c r="BL1401" s="24"/>
    </row>
    <row r="1402" spans="38:64" x14ac:dyDescent="0.2">
      <c r="AL1402" s="553"/>
      <c r="AM1402" s="553"/>
      <c r="AN1402" s="14"/>
      <c r="AO1402" s="12"/>
      <c r="AP1402" s="12"/>
      <c r="AQ1402" s="12"/>
      <c r="AR1402" s="12"/>
      <c r="AS1402" s="124"/>
      <c r="AT1402" s="124"/>
      <c r="AU1402" s="124"/>
      <c r="AV1402" s="124"/>
      <c r="AW1402" s="124"/>
      <c r="AX1402" s="124"/>
      <c r="AY1402" s="124"/>
      <c r="AZ1402" s="124"/>
      <c r="BA1402" s="124"/>
      <c r="BB1402" s="12"/>
      <c r="BC1402" s="12"/>
      <c r="BD1402" s="12"/>
      <c r="BE1402" s="12"/>
      <c r="BF1402" s="12"/>
      <c r="BG1402" s="12"/>
      <c r="BH1402" s="261"/>
      <c r="BI1402" s="247"/>
    </row>
    <row r="1403" spans="38:64" x14ac:dyDescent="0.2">
      <c r="AL1403" s="553"/>
      <c r="AM1403" s="553"/>
      <c r="AN1403" s="14"/>
      <c r="AO1403" s="12"/>
      <c r="AP1403" s="12"/>
      <c r="AQ1403" s="12"/>
      <c r="AR1403" s="12"/>
      <c r="AS1403" s="124"/>
      <c r="AT1403" s="124"/>
      <c r="AU1403" s="124"/>
      <c r="AV1403" s="124"/>
      <c r="AW1403" s="124"/>
      <c r="AX1403" s="124"/>
      <c r="AY1403" s="124"/>
      <c r="AZ1403" s="124"/>
      <c r="BA1403" s="124"/>
      <c r="BB1403" s="12"/>
      <c r="BC1403" s="12"/>
      <c r="BD1403" s="12"/>
      <c r="BE1403" s="12"/>
      <c r="BF1403" s="12"/>
      <c r="BG1403" s="12"/>
      <c r="BH1403" s="261"/>
      <c r="BI1403" s="247"/>
    </row>
    <row r="1404" spans="38:64" x14ac:dyDescent="0.2">
      <c r="AL1404" s="553"/>
      <c r="AM1404" s="553"/>
      <c r="AN1404" s="14"/>
      <c r="AO1404" s="12"/>
      <c r="AP1404" s="12"/>
      <c r="AQ1404" s="12"/>
      <c r="AR1404" s="12"/>
      <c r="AS1404" s="124"/>
      <c r="AT1404" s="124"/>
      <c r="AU1404" s="124"/>
      <c r="AV1404" s="124"/>
      <c r="AW1404" s="124"/>
      <c r="AX1404" s="124"/>
      <c r="AY1404" s="124"/>
      <c r="AZ1404" s="124"/>
      <c r="BA1404" s="124"/>
      <c r="BB1404" s="12"/>
      <c r="BC1404" s="12"/>
      <c r="BD1404" s="12"/>
      <c r="BE1404" s="12"/>
      <c r="BF1404" s="12"/>
      <c r="BG1404" s="12"/>
      <c r="BH1404" s="261"/>
      <c r="BI1404" s="247"/>
    </row>
    <row r="1405" spans="38:64" x14ac:dyDescent="0.2">
      <c r="AL1405" s="553"/>
      <c r="AM1405" s="553"/>
      <c r="AN1405" s="14"/>
      <c r="AO1405" s="12"/>
      <c r="AP1405" s="12"/>
      <c r="AQ1405" s="12"/>
      <c r="AR1405" s="12"/>
      <c r="AS1405" s="124"/>
      <c r="AT1405" s="124"/>
      <c r="AU1405" s="124"/>
      <c r="AV1405" s="124"/>
      <c r="AW1405" s="124"/>
      <c r="AX1405" s="124"/>
      <c r="AY1405" s="124"/>
      <c r="AZ1405" s="124"/>
      <c r="BA1405" s="124"/>
      <c r="BB1405" s="12"/>
      <c r="BC1405" s="12"/>
      <c r="BD1405" s="12"/>
      <c r="BE1405" s="12"/>
      <c r="BF1405" s="12"/>
      <c r="BG1405" s="12"/>
      <c r="BH1405" s="261"/>
      <c r="BI1405" s="247"/>
    </row>
    <row r="1406" spans="38:64" x14ac:dyDescent="0.2">
      <c r="AL1406" s="553"/>
      <c r="AM1406" s="553"/>
      <c r="AN1406" s="14"/>
      <c r="AO1406" s="12"/>
      <c r="AP1406" s="12"/>
      <c r="AQ1406" s="12"/>
      <c r="AR1406" s="12"/>
      <c r="AS1406" s="124"/>
      <c r="AT1406" s="124"/>
      <c r="AU1406" s="124"/>
      <c r="AV1406" s="124"/>
      <c r="AW1406" s="124"/>
      <c r="AX1406" s="124"/>
      <c r="AY1406" s="124"/>
      <c r="AZ1406" s="124"/>
      <c r="BA1406" s="124"/>
      <c r="BB1406" s="12"/>
      <c r="BC1406" s="12"/>
      <c r="BD1406" s="12"/>
      <c r="BE1406" s="12"/>
      <c r="BF1406" s="12"/>
      <c r="BG1406" s="12"/>
      <c r="BH1406" s="261"/>
      <c r="BI1406" s="247"/>
    </row>
    <row r="1407" spans="38:64" x14ac:dyDescent="0.2">
      <c r="AL1407" s="553"/>
      <c r="AM1407" s="553"/>
      <c r="AN1407" s="14"/>
      <c r="AO1407" s="12"/>
      <c r="AP1407" s="12"/>
      <c r="AQ1407" s="12"/>
      <c r="AR1407" s="12"/>
      <c r="AS1407" s="124"/>
      <c r="AT1407" s="124"/>
      <c r="AU1407" s="124"/>
      <c r="AV1407" s="124"/>
      <c r="AW1407" s="124"/>
      <c r="AX1407" s="124"/>
      <c r="AY1407" s="124"/>
      <c r="AZ1407" s="124"/>
      <c r="BA1407" s="124"/>
      <c r="BB1407" s="12"/>
      <c r="BC1407" s="12"/>
      <c r="BD1407" s="12"/>
      <c r="BE1407" s="12"/>
      <c r="BF1407" s="12"/>
      <c r="BG1407" s="12"/>
      <c r="BH1407" s="261"/>
      <c r="BI1407" s="247"/>
    </row>
    <row r="1408" spans="38:64" x14ac:dyDescent="0.2">
      <c r="AL1408" s="553"/>
      <c r="AM1408" s="553"/>
      <c r="AN1408" s="14"/>
      <c r="AO1408" s="12"/>
      <c r="AP1408" s="12"/>
      <c r="AQ1408" s="12"/>
      <c r="AR1408" s="12"/>
      <c r="AS1408" s="124"/>
      <c r="AT1408" s="124"/>
      <c r="AU1408" s="124"/>
      <c r="AV1408" s="124"/>
      <c r="AW1408" s="124"/>
      <c r="AX1408" s="124"/>
      <c r="AY1408" s="124"/>
      <c r="AZ1408" s="124"/>
      <c r="BA1408" s="124"/>
      <c r="BB1408" s="12"/>
      <c r="BC1408" s="12"/>
      <c r="BD1408" s="12"/>
      <c r="BE1408" s="12"/>
      <c r="BF1408" s="12"/>
      <c r="BG1408" s="12"/>
      <c r="BH1408" s="261"/>
      <c r="BI1408" s="247"/>
    </row>
    <row r="1409" spans="38:61" x14ac:dyDescent="0.2">
      <c r="AL1409" s="553"/>
      <c r="AM1409" s="553"/>
      <c r="AN1409" s="14"/>
      <c r="AO1409" s="12"/>
      <c r="AP1409" s="12"/>
      <c r="AQ1409" s="12"/>
      <c r="AR1409" s="12"/>
      <c r="AS1409" s="124"/>
      <c r="AT1409" s="124"/>
      <c r="AU1409" s="124"/>
      <c r="AV1409" s="124"/>
      <c r="AW1409" s="124"/>
      <c r="AX1409" s="124"/>
      <c r="AY1409" s="124"/>
      <c r="AZ1409" s="124"/>
      <c r="BA1409" s="124"/>
      <c r="BB1409" s="12"/>
      <c r="BC1409" s="12"/>
      <c r="BD1409" s="12"/>
      <c r="BE1409" s="12"/>
      <c r="BF1409" s="12"/>
      <c r="BG1409" s="12"/>
      <c r="BH1409" s="261"/>
      <c r="BI1409" s="247"/>
    </row>
    <row r="1410" spans="38:61" x14ac:dyDescent="0.2">
      <c r="AL1410" s="553"/>
      <c r="AM1410" s="553"/>
      <c r="AN1410" s="14"/>
      <c r="AO1410" s="12"/>
      <c r="AP1410" s="12"/>
      <c r="AQ1410" s="12"/>
      <c r="AR1410" s="12"/>
      <c r="AS1410" s="124"/>
      <c r="AT1410" s="124"/>
      <c r="AU1410" s="124"/>
      <c r="AV1410" s="124"/>
      <c r="AW1410" s="124"/>
      <c r="AX1410" s="124"/>
      <c r="AY1410" s="124"/>
      <c r="AZ1410" s="124"/>
      <c r="BA1410" s="124"/>
      <c r="BB1410" s="12"/>
      <c r="BC1410" s="12"/>
      <c r="BD1410" s="12"/>
      <c r="BE1410" s="12"/>
      <c r="BF1410" s="12"/>
      <c r="BG1410" s="12"/>
      <c r="BH1410" s="261"/>
      <c r="BI1410" s="247"/>
    </row>
    <row r="1411" spans="38:61" x14ac:dyDescent="0.2">
      <c r="AL1411" s="553"/>
      <c r="AM1411" s="553"/>
      <c r="AN1411" s="14"/>
      <c r="AO1411" s="12"/>
      <c r="AP1411" s="12"/>
      <c r="AQ1411" s="12"/>
      <c r="AR1411" s="12"/>
      <c r="AS1411" s="124"/>
      <c r="AT1411" s="124"/>
      <c r="AU1411" s="124"/>
      <c r="AV1411" s="124"/>
      <c r="AW1411" s="124"/>
      <c r="AX1411" s="124"/>
      <c r="AY1411" s="124"/>
      <c r="AZ1411" s="124"/>
      <c r="BA1411" s="124"/>
      <c r="BB1411" s="12"/>
      <c r="BC1411" s="12"/>
      <c r="BD1411" s="12"/>
      <c r="BE1411" s="12"/>
      <c r="BF1411" s="12"/>
      <c r="BG1411" s="12"/>
      <c r="BH1411" s="261"/>
      <c r="BI1411" s="247"/>
    </row>
    <row r="1412" spans="38:61" x14ac:dyDescent="0.2">
      <c r="AL1412" s="553"/>
      <c r="AM1412" s="553"/>
      <c r="AN1412" s="14"/>
      <c r="AO1412" s="12"/>
      <c r="AP1412" s="12"/>
      <c r="AQ1412" s="12"/>
      <c r="AR1412" s="12"/>
      <c r="AS1412" s="124"/>
      <c r="AT1412" s="124"/>
      <c r="AU1412" s="124"/>
      <c r="AV1412" s="124"/>
      <c r="AW1412" s="124"/>
      <c r="AX1412" s="124"/>
      <c r="AY1412" s="124"/>
      <c r="AZ1412" s="124"/>
      <c r="BA1412" s="124"/>
      <c r="BB1412" s="12"/>
      <c r="BC1412" s="12"/>
      <c r="BD1412" s="12"/>
      <c r="BE1412" s="12"/>
      <c r="BF1412" s="12"/>
      <c r="BG1412" s="12"/>
      <c r="BH1412" s="261"/>
      <c r="BI1412" s="247"/>
    </row>
    <row r="1413" spans="38:61" x14ac:dyDescent="0.2">
      <c r="AL1413" s="553"/>
      <c r="AM1413" s="553"/>
      <c r="AN1413" s="14"/>
      <c r="AO1413" s="12"/>
      <c r="AP1413" s="12"/>
      <c r="AQ1413" s="12"/>
      <c r="AR1413" s="12"/>
      <c r="AS1413" s="124"/>
      <c r="AT1413" s="124"/>
      <c r="AU1413" s="124"/>
      <c r="AV1413" s="124"/>
      <c r="AW1413" s="124"/>
      <c r="AX1413" s="124"/>
      <c r="AY1413" s="124"/>
      <c r="AZ1413" s="124"/>
      <c r="BA1413" s="124"/>
      <c r="BB1413" s="12"/>
      <c r="BC1413" s="12"/>
      <c r="BD1413" s="12"/>
      <c r="BE1413" s="12"/>
      <c r="BF1413" s="12"/>
      <c r="BG1413" s="12"/>
      <c r="BH1413" s="261"/>
      <c r="BI1413" s="247"/>
    </row>
    <row r="1414" spans="38:61" x14ac:dyDescent="0.2">
      <c r="AL1414" s="553"/>
      <c r="AM1414" s="553"/>
      <c r="AN1414" s="14"/>
      <c r="AO1414" s="12"/>
      <c r="AP1414" s="12"/>
      <c r="AQ1414" s="12"/>
      <c r="AR1414" s="12"/>
      <c r="AS1414" s="124"/>
      <c r="AT1414" s="124"/>
      <c r="AU1414" s="124"/>
      <c r="AV1414" s="124"/>
      <c r="AW1414" s="124"/>
      <c r="AX1414" s="124"/>
      <c r="AY1414" s="124"/>
      <c r="AZ1414" s="124"/>
      <c r="BA1414" s="124"/>
      <c r="BB1414" s="12"/>
      <c r="BC1414" s="12"/>
      <c r="BD1414" s="12"/>
      <c r="BE1414" s="12"/>
      <c r="BF1414" s="12"/>
      <c r="BG1414" s="12"/>
      <c r="BH1414" s="261"/>
      <c r="BI1414" s="247"/>
    </row>
    <row r="1415" spans="38:61" x14ac:dyDescent="0.2">
      <c r="AL1415" s="553"/>
      <c r="AM1415" s="553"/>
      <c r="AN1415" s="14"/>
      <c r="AO1415" s="12"/>
      <c r="AP1415" s="12"/>
      <c r="AQ1415" s="12"/>
      <c r="AR1415" s="12"/>
      <c r="AS1415" s="124"/>
      <c r="AT1415" s="124"/>
      <c r="AU1415" s="124"/>
      <c r="AV1415" s="124"/>
      <c r="AW1415" s="124"/>
      <c r="AX1415" s="124"/>
      <c r="AY1415" s="124"/>
      <c r="AZ1415" s="124"/>
      <c r="BA1415" s="124"/>
      <c r="BB1415" s="12"/>
      <c r="BC1415" s="12"/>
      <c r="BD1415" s="12"/>
      <c r="BE1415" s="12"/>
      <c r="BF1415" s="12"/>
      <c r="BG1415" s="12"/>
      <c r="BH1415" s="261"/>
      <c r="BI1415" s="247"/>
    </row>
    <row r="1416" spans="38:61" x14ac:dyDescent="0.2">
      <c r="AL1416" s="553"/>
      <c r="AM1416" s="553"/>
      <c r="AN1416" s="14"/>
      <c r="AO1416" s="12"/>
      <c r="AP1416" s="12"/>
      <c r="AQ1416" s="12"/>
      <c r="AR1416" s="12"/>
      <c r="AS1416" s="124"/>
      <c r="AT1416" s="124"/>
      <c r="AU1416" s="124"/>
      <c r="AV1416" s="124"/>
      <c r="AW1416" s="124"/>
      <c r="AX1416" s="124"/>
      <c r="AY1416" s="124"/>
      <c r="AZ1416" s="124"/>
      <c r="BA1416" s="124"/>
      <c r="BB1416" s="12"/>
      <c r="BC1416" s="12"/>
      <c r="BD1416" s="12"/>
      <c r="BE1416" s="12"/>
      <c r="BF1416" s="12"/>
      <c r="BG1416" s="12"/>
      <c r="BH1416" s="261"/>
      <c r="BI1416" s="247"/>
    </row>
    <row r="1417" spans="38:61" x14ac:dyDescent="0.2">
      <c r="AL1417" s="553"/>
      <c r="AM1417" s="553"/>
      <c r="AN1417" s="14"/>
      <c r="AO1417" s="12"/>
      <c r="AP1417" s="12"/>
      <c r="AQ1417" s="12"/>
      <c r="AR1417" s="12"/>
      <c r="AS1417" s="124"/>
      <c r="AT1417" s="124"/>
      <c r="AU1417" s="124"/>
      <c r="AV1417" s="124"/>
      <c r="AW1417" s="124"/>
      <c r="AX1417" s="124"/>
      <c r="AY1417" s="124"/>
      <c r="AZ1417" s="124"/>
      <c r="BA1417" s="124"/>
      <c r="BB1417" s="12"/>
      <c r="BC1417" s="12"/>
      <c r="BD1417" s="12"/>
      <c r="BE1417" s="12"/>
      <c r="BF1417" s="12"/>
      <c r="BG1417" s="12"/>
      <c r="BH1417" s="261"/>
      <c r="BI1417" s="247"/>
    </row>
    <row r="1418" spans="38:61" x14ac:dyDescent="0.2">
      <c r="AL1418" s="553"/>
      <c r="AM1418" s="553"/>
      <c r="AN1418" s="14"/>
      <c r="AO1418" s="12"/>
      <c r="AP1418" s="12"/>
      <c r="AQ1418" s="12"/>
      <c r="AR1418" s="12"/>
      <c r="AS1418" s="124"/>
      <c r="AT1418" s="124"/>
      <c r="AU1418" s="124"/>
      <c r="AV1418" s="124"/>
      <c r="AW1418" s="124"/>
      <c r="AX1418" s="124"/>
      <c r="AY1418" s="124"/>
      <c r="AZ1418" s="124"/>
      <c r="BA1418" s="124"/>
      <c r="BB1418" s="12"/>
      <c r="BC1418" s="12"/>
      <c r="BD1418" s="12"/>
      <c r="BE1418" s="12"/>
      <c r="BF1418" s="12"/>
      <c r="BG1418" s="12"/>
      <c r="BH1418" s="261"/>
      <c r="BI1418" s="247"/>
    </row>
    <row r="1419" spans="38:61" x14ac:dyDescent="0.2">
      <c r="AL1419" s="553"/>
      <c r="AM1419" s="553"/>
      <c r="AN1419" s="14"/>
      <c r="AO1419" s="12"/>
      <c r="AP1419" s="12"/>
      <c r="AQ1419" s="12"/>
      <c r="AR1419" s="12"/>
      <c r="AS1419" s="124"/>
      <c r="AT1419" s="124"/>
      <c r="AU1419" s="124"/>
      <c r="AV1419" s="124"/>
      <c r="AW1419" s="124"/>
      <c r="AX1419" s="124"/>
      <c r="AY1419" s="124"/>
      <c r="AZ1419" s="124"/>
      <c r="BA1419" s="124"/>
      <c r="BB1419" s="12"/>
      <c r="BC1419" s="12"/>
      <c r="BD1419" s="12"/>
      <c r="BE1419" s="12"/>
      <c r="BF1419" s="12"/>
      <c r="BG1419" s="12"/>
      <c r="BH1419" s="261"/>
      <c r="BI1419" s="247"/>
    </row>
    <row r="1420" spans="38:61" x14ac:dyDescent="0.2">
      <c r="AL1420" s="553"/>
      <c r="AM1420" s="553"/>
      <c r="AN1420" s="14"/>
      <c r="AO1420" s="12"/>
      <c r="AP1420" s="12"/>
      <c r="AQ1420" s="12"/>
      <c r="AR1420" s="12"/>
      <c r="AS1420" s="124"/>
      <c r="AT1420" s="124"/>
      <c r="AU1420" s="124"/>
      <c r="AV1420" s="124"/>
      <c r="AW1420" s="124"/>
      <c r="AX1420" s="124"/>
      <c r="AY1420" s="124"/>
      <c r="AZ1420" s="124"/>
      <c r="BA1420" s="124"/>
      <c r="BB1420" s="12"/>
      <c r="BC1420" s="12"/>
      <c r="BD1420" s="12"/>
      <c r="BE1420" s="12"/>
      <c r="BF1420" s="12"/>
      <c r="BG1420" s="12"/>
      <c r="BH1420" s="261"/>
      <c r="BI1420" s="247"/>
    </row>
    <row r="1421" spans="38:61" x14ac:dyDescent="0.2">
      <c r="AL1421" s="553"/>
      <c r="AM1421" s="553"/>
      <c r="AN1421" s="14"/>
      <c r="AO1421" s="12"/>
      <c r="AP1421" s="12"/>
      <c r="AQ1421" s="12"/>
      <c r="AR1421" s="12"/>
      <c r="AS1421" s="124"/>
      <c r="AT1421" s="124"/>
      <c r="AU1421" s="124"/>
      <c r="AV1421" s="124"/>
      <c r="AW1421" s="124"/>
      <c r="AX1421" s="124"/>
      <c r="AY1421" s="124"/>
      <c r="AZ1421" s="124"/>
      <c r="BA1421" s="124"/>
      <c r="BB1421" s="12"/>
      <c r="BC1421" s="12"/>
      <c r="BD1421" s="12"/>
      <c r="BE1421" s="12"/>
      <c r="BF1421" s="12"/>
      <c r="BG1421" s="12"/>
      <c r="BH1421" s="261"/>
      <c r="BI1421" s="247"/>
    </row>
    <row r="1422" spans="38:61" x14ac:dyDescent="0.2">
      <c r="AL1422" s="553"/>
      <c r="AM1422" s="553"/>
      <c r="AN1422" s="14"/>
      <c r="AO1422" s="12"/>
      <c r="AP1422" s="12"/>
      <c r="AQ1422" s="12"/>
      <c r="AR1422" s="12"/>
      <c r="AS1422" s="124"/>
      <c r="AT1422" s="124"/>
      <c r="AU1422" s="124"/>
      <c r="AV1422" s="124"/>
      <c r="AW1422" s="124"/>
      <c r="AX1422" s="124"/>
      <c r="AY1422" s="124"/>
      <c r="AZ1422" s="124"/>
      <c r="BA1422" s="124"/>
      <c r="BB1422" s="12"/>
      <c r="BC1422" s="12"/>
      <c r="BD1422" s="12"/>
      <c r="BE1422" s="12"/>
      <c r="BF1422" s="12"/>
      <c r="BG1422" s="12"/>
      <c r="BH1422" s="261"/>
      <c r="BI1422" s="247"/>
    </row>
    <row r="1423" spans="38:61" x14ac:dyDescent="0.2">
      <c r="AL1423" s="553"/>
      <c r="AM1423" s="553"/>
      <c r="AN1423" s="14"/>
      <c r="AO1423" s="12"/>
      <c r="AP1423" s="12"/>
      <c r="AQ1423" s="12"/>
      <c r="AR1423" s="12"/>
      <c r="AS1423" s="124"/>
      <c r="AT1423" s="124"/>
      <c r="AU1423" s="124"/>
      <c r="AV1423" s="124"/>
      <c r="AW1423" s="124"/>
      <c r="AX1423" s="124"/>
      <c r="AY1423" s="124"/>
      <c r="AZ1423" s="124"/>
      <c r="BA1423" s="124"/>
      <c r="BB1423" s="12"/>
      <c r="BC1423" s="12"/>
      <c r="BD1423" s="12"/>
      <c r="BE1423" s="12"/>
      <c r="BF1423" s="12"/>
      <c r="BG1423" s="12"/>
      <c r="BH1423" s="261"/>
      <c r="BI1423" s="247"/>
    </row>
    <row r="1424" spans="38:61" x14ac:dyDescent="0.2">
      <c r="AL1424" s="553"/>
      <c r="AM1424" s="553"/>
      <c r="AN1424" s="14"/>
      <c r="AO1424" s="12"/>
      <c r="AP1424" s="12"/>
      <c r="AQ1424" s="12"/>
      <c r="AR1424" s="12"/>
      <c r="AS1424" s="124"/>
      <c r="AT1424" s="124"/>
      <c r="AU1424" s="124"/>
      <c r="AV1424" s="124"/>
      <c r="AW1424" s="124"/>
      <c r="AX1424" s="124"/>
      <c r="AY1424" s="124"/>
      <c r="AZ1424" s="124"/>
      <c r="BA1424" s="124"/>
      <c r="BB1424" s="12"/>
      <c r="BC1424" s="12"/>
      <c r="BD1424" s="12"/>
      <c r="BE1424" s="12"/>
      <c r="BF1424" s="12"/>
      <c r="BG1424" s="12"/>
      <c r="BH1424" s="261"/>
      <c r="BI1424" s="247"/>
    </row>
    <row r="1425" spans="38:61" x14ac:dyDescent="0.2">
      <c r="AL1425" s="553"/>
      <c r="AM1425" s="553"/>
      <c r="AN1425" s="14"/>
      <c r="AO1425" s="12"/>
      <c r="AP1425" s="12"/>
      <c r="AQ1425" s="12"/>
      <c r="AR1425" s="12"/>
      <c r="AS1425" s="124"/>
      <c r="AT1425" s="124"/>
      <c r="AU1425" s="124"/>
      <c r="AV1425" s="124"/>
      <c r="AW1425" s="124"/>
      <c r="AX1425" s="124"/>
      <c r="AY1425" s="124"/>
      <c r="AZ1425" s="124"/>
      <c r="BA1425" s="124"/>
      <c r="BB1425" s="12"/>
      <c r="BC1425" s="12"/>
      <c r="BD1425" s="12"/>
      <c r="BE1425" s="12"/>
      <c r="BF1425" s="12"/>
      <c r="BG1425" s="12"/>
      <c r="BH1425" s="261"/>
      <c r="BI1425" s="247"/>
    </row>
    <row r="1426" spans="38:61" x14ac:dyDescent="0.2">
      <c r="AL1426" s="553"/>
      <c r="AM1426" s="553"/>
      <c r="AN1426" s="14"/>
      <c r="AO1426" s="12"/>
      <c r="AP1426" s="12"/>
      <c r="AQ1426" s="12"/>
      <c r="AR1426" s="12"/>
      <c r="AS1426" s="124"/>
      <c r="AT1426" s="124"/>
      <c r="AU1426" s="124"/>
      <c r="AV1426" s="124"/>
      <c r="AW1426" s="124"/>
      <c r="AX1426" s="124"/>
      <c r="AY1426" s="124"/>
      <c r="AZ1426" s="124"/>
      <c r="BA1426" s="124"/>
      <c r="BB1426" s="12"/>
      <c r="BC1426" s="12"/>
      <c r="BD1426" s="12"/>
      <c r="BE1426" s="12"/>
      <c r="BF1426" s="12"/>
      <c r="BG1426" s="12"/>
      <c r="BH1426" s="261"/>
      <c r="BI1426" s="247"/>
    </row>
    <row r="1427" spans="38:61" x14ac:dyDescent="0.2">
      <c r="AL1427" s="553"/>
      <c r="AM1427" s="553"/>
      <c r="AN1427" s="14"/>
      <c r="AO1427" s="12"/>
      <c r="AP1427" s="12"/>
      <c r="AQ1427" s="12"/>
      <c r="AR1427" s="12"/>
      <c r="AS1427" s="124"/>
      <c r="AT1427" s="124"/>
      <c r="AU1427" s="124"/>
      <c r="AV1427" s="124"/>
      <c r="AW1427" s="124"/>
      <c r="AX1427" s="124"/>
      <c r="AY1427" s="124"/>
      <c r="AZ1427" s="124"/>
      <c r="BA1427" s="124"/>
      <c r="BB1427" s="12"/>
      <c r="BC1427" s="12"/>
      <c r="BD1427" s="12"/>
      <c r="BE1427" s="12"/>
      <c r="BF1427" s="12"/>
      <c r="BG1427" s="12"/>
      <c r="BH1427" s="261"/>
      <c r="BI1427" s="247"/>
    </row>
    <row r="1428" spans="38:61" x14ac:dyDescent="0.2">
      <c r="AL1428" s="553"/>
      <c r="AM1428" s="553"/>
      <c r="AN1428" s="14"/>
      <c r="AO1428" s="12"/>
      <c r="AP1428" s="12"/>
      <c r="AQ1428" s="12"/>
      <c r="AR1428" s="12"/>
      <c r="AS1428" s="124"/>
      <c r="AT1428" s="124"/>
      <c r="AU1428" s="124"/>
      <c r="AV1428" s="124"/>
      <c r="AW1428" s="124"/>
      <c r="AX1428" s="124"/>
      <c r="AY1428" s="124"/>
      <c r="AZ1428" s="124"/>
      <c r="BA1428" s="124"/>
      <c r="BB1428" s="12"/>
      <c r="BC1428" s="12"/>
      <c r="BD1428" s="12"/>
      <c r="BE1428" s="12"/>
      <c r="BF1428" s="12"/>
      <c r="BG1428" s="12"/>
      <c r="BH1428" s="261"/>
      <c r="BI1428" s="247"/>
    </row>
    <row r="1429" spans="38:61" x14ac:dyDescent="0.2">
      <c r="AL1429" s="553"/>
      <c r="AM1429" s="553"/>
      <c r="AN1429" s="14"/>
      <c r="AO1429" s="12"/>
      <c r="AP1429" s="12"/>
      <c r="AQ1429" s="12"/>
      <c r="AR1429" s="12"/>
      <c r="AS1429" s="124"/>
      <c r="AT1429" s="124"/>
      <c r="AU1429" s="124"/>
      <c r="AV1429" s="124"/>
      <c r="AW1429" s="124"/>
      <c r="AX1429" s="124"/>
      <c r="AY1429" s="124"/>
      <c r="AZ1429" s="124"/>
      <c r="BA1429" s="124"/>
      <c r="BB1429" s="12"/>
      <c r="BC1429" s="12"/>
      <c r="BD1429" s="12"/>
      <c r="BE1429" s="12"/>
      <c r="BF1429" s="12"/>
      <c r="BG1429" s="12"/>
      <c r="BH1429" s="261"/>
      <c r="BI1429" s="247"/>
    </row>
    <row r="1430" spans="38:61" x14ac:dyDescent="0.2">
      <c r="AL1430" s="553"/>
      <c r="AM1430" s="553"/>
      <c r="AN1430" s="14"/>
      <c r="AO1430" s="12"/>
      <c r="AP1430" s="12"/>
      <c r="AQ1430" s="12"/>
      <c r="AR1430" s="12"/>
      <c r="AS1430" s="124"/>
      <c r="AT1430" s="124"/>
      <c r="AU1430" s="124"/>
      <c r="AV1430" s="124"/>
      <c r="AW1430" s="124"/>
      <c r="AX1430" s="124"/>
      <c r="AY1430" s="124"/>
      <c r="AZ1430" s="124"/>
      <c r="BA1430" s="124"/>
      <c r="BB1430" s="12"/>
      <c r="BC1430" s="12"/>
      <c r="BD1430" s="12"/>
      <c r="BE1430" s="12"/>
      <c r="BF1430" s="12"/>
      <c r="BG1430" s="12"/>
      <c r="BH1430" s="261"/>
      <c r="BI1430" s="247"/>
    </row>
    <row r="1431" spans="38:61" x14ac:dyDescent="0.2">
      <c r="AL1431" s="553"/>
      <c r="AM1431" s="553"/>
      <c r="AN1431" s="14"/>
      <c r="AO1431" s="12"/>
      <c r="AP1431" s="12"/>
      <c r="AQ1431" s="12"/>
      <c r="AR1431" s="12"/>
      <c r="AS1431" s="124"/>
      <c r="AT1431" s="124"/>
      <c r="AU1431" s="124"/>
      <c r="AV1431" s="124"/>
      <c r="AW1431" s="124"/>
      <c r="AX1431" s="124"/>
      <c r="AY1431" s="124"/>
      <c r="AZ1431" s="124"/>
      <c r="BA1431" s="124"/>
      <c r="BB1431" s="12"/>
      <c r="BC1431" s="12"/>
      <c r="BD1431" s="12"/>
      <c r="BE1431" s="12"/>
      <c r="BF1431" s="12"/>
      <c r="BG1431" s="12"/>
      <c r="BH1431" s="261"/>
      <c r="BI1431" s="247"/>
    </row>
    <row r="1432" spans="38:61" x14ac:dyDescent="0.2">
      <c r="AL1432" s="553"/>
      <c r="AM1432" s="553"/>
      <c r="AN1432" s="14"/>
      <c r="AO1432" s="12"/>
      <c r="AP1432" s="12"/>
      <c r="AQ1432" s="12"/>
      <c r="AR1432" s="12"/>
      <c r="AS1432" s="124"/>
      <c r="AT1432" s="124"/>
      <c r="AU1432" s="124"/>
      <c r="AV1432" s="124"/>
      <c r="AW1432" s="124"/>
      <c r="AX1432" s="124"/>
      <c r="AY1432" s="124"/>
      <c r="AZ1432" s="124"/>
      <c r="BA1432" s="124"/>
      <c r="BB1432" s="12"/>
      <c r="BC1432" s="12"/>
      <c r="BD1432" s="12"/>
      <c r="BE1432" s="12"/>
      <c r="BF1432" s="12"/>
      <c r="BG1432" s="12"/>
      <c r="BH1432" s="261"/>
      <c r="BI1432" s="247"/>
    </row>
    <row r="1433" spans="38:61" x14ac:dyDescent="0.2">
      <c r="AL1433" s="553"/>
      <c r="AM1433" s="553"/>
      <c r="AN1433" s="14"/>
      <c r="AO1433" s="12"/>
      <c r="AP1433" s="12"/>
      <c r="AQ1433" s="12"/>
      <c r="AR1433" s="12"/>
      <c r="AS1433" s="124"/>
      <c r="AT1433" s="124"/>
      <c r="AU1433" s="124"/>
      <c r="AV1433" s="124"/>
      <c r="AW1433" s="124"/>
      <c r="AX1433" s="124"/>
      <c r="AY1433" s="124"/>
      <c r="AZ1433" s="124"/>
      <c r="BA1433" s="124"/>
      <c r="BB1433" s="12"/>
      <c r="BC1433" s="12"/>
      <c r="BD1433" s="12"/>
      <c r="BE1433" s="12"/>
      <c r="BF1433" s="12"/>
      <c r="BG1433" s="12"/>
      <c r="BH1433" s="261"/>
      <c r="BI1433" s="247"/>
    </row>
    <row r="1434" spans="38:61" x14ac:dyDescent="0.2">
      <c r="AL1434" s="553"/>
      <c r="AM1434" s="553"/>
      <c r="AN1434" s="14"/>
      <c r="AO1434" s="12"/>
      <c r="AP1434" s="12"/>
      <c r="AQ1434" s="12"/>
      <c r="AR1434" s="12"/>
      <c r="AS1434" s="124"/>
      <c r="AT1434" s="124"/>
      <c r="AU1434" s="124"/>
      <c r="AV1434" s="124"/>
      <c r="AW1434" s="124"/>
      <c r="AX1434" s="124"/>
      <c r="AY1434" s="124"/>
      <c r="AZ1434" s="124"/>
      <c r="BA1434" s="124"/>
      <c r="BB1434" s="12"/>
      <c r="BC1434" s="12"/>
      <c r="BD1434" s="12"/>
      <c r="BE1434" s="12"/>
      <c r="BF1434" s="12"/>
      <c r="BG1434" s="12"/>
      <c r="BH1434" s="261"/>
      <c r="BI1434" s="247"/>
    </row>
    <row r="1435" spans="38:61" x14ac:dyDescent="0.2">
      <c r="AL1435" s="553"/>
      <c r="AM1435" s="553"/>
      <c r="AN1435" s="14"/>
      <c r="AO1435" s="12"/>
      <c r="AP1435" s="12"/>
      <c r="AQ1435" s="12"/>
      <c r="AR1435" s="12"/>
      <c r="AS1435" s="124"/>
      <c r="AT1435" s="124"/>
      <c r="AU1435" s="124"/>
      <c r="AV1435" s="124"/>
      <c r="AW1435" s="124"/>
      <c r="AX1435" s="124"/>
      <c r="AY1435" s="124"/>
      <c r="AZ1435" s="124"/>
      <c r="BA1435" s="124"/>
      <c r="BB1435" s="12"/>
      <c r="BC1435" s="12"/>
      <c r="BD1435" s="12"/>
      <c r="BE1435" s="12"/>
      <c r="BF1435" s="12"/>
      <c r="BG1435" s="12"/>
      <c r="BH1435" s="261"/>
      <c r="BI1435" s="247"/>
    </row>
    <row r="1436" spans="38:61" x14ac:dyDescent="0.2">
      <c r="AL1436" s="553"/>
      <c r="AM1436" s="553"/>
      <c r="AN1436" s="14"/>
      <c r="AO1436" s="12"/>
      <c r="AP1436" s="12"/>
      <c r="AQ1436" s="12"/>
      <c r="AR1436" s="12"/>
      <c r="AS1436" s="124"/>
      <c r="AT1436" s="124"/>
      <c r="AU1436" s="124"/>
      <c r="AV1436" s="124"/>
      <c r="AW1436" s="124"/>
      <c r="AX1436" s="124"/>
      <c r="AY1436" s="124"/>
      <c r="AZ1436" s="124"/>
      <c r="BA1436" s="124"/>
      <c r="BB1436" s="12"/>
      <c r="BC1436" s="12"/>
      <c r="BD1436" s="12"/>
      <c r="BE1436" s="12"/>
      <c r="BF1436" s="12"/>
      <c r="BG1436" s="12"/>
      <c r="BH1436" s="261"/>
      <c r="BI1436" s="247"/>
    </row>
    <row r="1437" spans="38:61" x14ac:dyDescent="0.2">
      <c r="AL1437" s="553"/>
      <c r="AM1437" s="553"/>
      <c r="AN1437" s="14"/>
      <c r="AO1437" s="12"/>
      <c r="AP1437" s="12"/>
      <c r="AQ1437" s="12"/>
      <c r="AR1437" s="12"/>
      <c r="AS1437" s="124"/>
      <c r="AT1437" s="124"/>
      <c r="AU1437" s="124"/>
      <c r="AV1437" s="124"/>
      <c r="AW1437" s="124"/>
      <c r="AX1437" s="124"/>
      <c r="AY1437" s="124"/>
      <c r="AZ1437" s="124"/>
      <c r="BA1437" s="124"/>
      <c r="BB1437" s="12"/>
      <c r="BC1437" s="12"/>
      <c r="BD1437" s="12"/>
      <c r="BE1437" s="12"/>
      <c r="BF1437" s="12"/>
      <c r="BG1437" s="12"/>
      <c r="BH1437" s="261"/>
      <c r="BI1437" s="247"/>
    </row>
    <row r="1438" spans="38:61" x14ac:dyDescent="0.2">
      <c r="AL1438" s="553"/>
      <c r="AM1438" s="553"/>
      <c r="AN1438" s="14"/>
      <c r="AO1438" s="12"/>
      <c r="AP1438" s="12"/>
      <c r="AQ1438" s="12"/>
      <c r="AR1438" s="12"/>
      <c r="AS1438" s="124"/>
      <c r="AT1438" s="124"/>
      <c r="AU1438" s="124"/>
      <c r="AV1438" s="124"/>
      <c r="AW1438" s="124"/>
      <c r="AX1438" s="124"/>
      <c r="AY1438" s="124"/>
      <c r="AZ1438" s="124"/>
      <c r="BA1438" s="124"/>
      <c r="BB1438" s="12"/>
      <c r="BC1438" s="12"/>
      <c r="BD1438" s="12"/>
      <c r="BE1438" s="12"/>
      <c r="BF1438" s="12"/>
      <c r="BG1438" s="12"/>
      <c r="BH1438" s="261"/>
      <c r="BI1438" s="247"/>
    </row>
    <row r="1439" spans="38:61" x14ac:dyDescent="0.2">
      <c r="AL1439" s="553"/>
      <c r="AM1439" s="553"/>
      <c r="AN1439" s="14"/>
      <c r="AO1439" s="12"/>
      <c r="AP1439" s="12"/>
      <c r="AQ1439" s="12"/>
      <c r="AR1439" s="12"/>
      <c r="AS1439" s="124"/>
      <c r="AT1439" s="124"/>
      <c r="AU1439" s="124"/>
      <c r="AV1439" s="124"/>
      <c r="AW1439" s="124"/>
      <c r="AX1439" s="124"/>
      <c r="AY1439" s="124"/>
      <c r="AZ1439" s="124"/>
      <c r="BA1439" s="124"/>
      <c r="BB1439" s="12"/>
      <c r="BC1439" s="12"/>
      <c r="BD1439" s="12"/>
      <c r="BE1439" s="12"/>
      <c r="BF1439" s="12"/>
      <c r="BG1439" s="12"/>
      <c r="BH1439" s="261"/>
      <c r="BI1439" s="247"/>
    </row>
    <row r="1440" spans="38:61" x14ac:dyDescent="0.2">
      <c r="AL1440" s="553"/>
      <c r="AM1440" s="553"/>
      <c r="AN1440" s="14"/>
      <c r="AO1440" s="12"/>
      <c r="AP1440" s="12"/>
      <c r="AQ1440" s="12"/>
      <c r="AR1440" s="12"/>
      <c r="AS1440" s="124"/>
      <c r="AT1440" s="124"/>
      <c r="AU1440" s="124"/>
      <c r="AV1440" s="124"/>
      <c r="AW1440" s="124"/>
      <c r="AX1440" s="124"/>
      <c r="AY1440" s="124"/>
      <c r="AZ1440" s="124"/>
      <c r="BA1440" s="124"/>
      <c r="BB1440" s="12"/>
      <c r="BC1440" s="12"/>
      <c r="BD1440" s="12"/>
      <c r="BE1440" s="12"/>
      <c r="BF1440" s="12"/>
      <c r="BG1440" s="12"/>
      <c r="BH1440" s="261"/>
      <c r="BI1440" s="247"/>
    </row>
    <row r="1441" spans="38:60" x14ac:dyDescent="0.2">
      <c r="AL1441" s="553"/>
      <c r="AM1441" s="553"/>
      <c r="AN1441" s="14"/>
      <c r="AO1441" s="12"/>
      <c r="AP1441" s="12"/>
      <c r="BH1441" s="261"/>
    </row>
    <row r="1442" spans="38:60" x14ac:dyDescent="0.2">
      <c r="AL1442" s="553"/>
      <c r="AM1442" s="553"/>
      <c r="AN1442" s="14"/>
      <c r="AO1442" s="12"/>
      <c r="AP1442" s="12"/>
      <c r="BH1442" s="261"/>
    </row>
    <row r="1443" spans="38:60" x14ac:dyDescent="0.2">
      <c r="AL1443" s="553"/>
      <c r="AM1443" s="553"/>
      <c r="AN1443" s="14"/>
      <c r="AO1443" s="12"/>
      <c r="AP1443" s="12"/>
      <c r="BH1443" s="261"/>
    </row>
    <row r="1444" spans="38:60" x14ac:dyDescent="0.2">
      <c r="AL1444" s="553"/>
      <c r="AM1444" s="553"/>
      <c r="AN1444" s="14"/>
      <c r="AO1444" s="12"/>
      <c r="AP1444" s="12"/>
      <c r="BH1444" s="261"/>
    </row>
    <row r="1445" spans="38:60" x14ac:dyDescent="0.2">
      <c r="AL1445" s="553"/>
      <c r="AM1445" s="553"/>
      <c r="AN1445" s="14"/>
      <c r="AO1445" s="12"/>
      <c r="AP1445" s="12"/>
      <c r="BH1445" s="261"/>
    </row>
    <row r="1446" spans="38:60" x14ac:dyDescent="0.2">
      <c r="AL1446" s="553"/>
      <c r="AM1446" s="553"/>
      <c r="AN1446" s="14"/>
      <c r="AO1446" s="12"/>
      <c r="AP1446" s="12"/>
      <c r="BH1446" s="261"/>
    </row>
    <row r="1447" spans="38:60" x14ac:dyDescent="0.2">
      <c r="AL1447" s="553"/>
      <c r="AM1447" s="553"/>
      <c r="AN1447" s="14"/>
      <c r="AO1447" s="12"/>
      <c r="AP1447" s="12"/>
      <c r="BH1447" s="261"/>
    </row>
    <row r="1448" spans="38:60" x14ac:dyDescent="0.2">
      <c r="AL1448" s="553"/>
      <c r="AM1448" s="553"/>
      <c r="AN1448" s="14"/>
      <c r="AO1448" s="12"/>
      <c r="AP1448" s="12"/>
      <c r="BH1448" s="261"/>
    </row>
    <row r="1449" spans="38:60" x14ac:dyDescent="0.2">
      <c r="AL1449" s="553"/>
      <c r="AM1449" s="553"/>
      <c r="AN1449" s="14"/>
      <c r="AO1449" s="12"/>
      <c r="AP1449" s="12"/>
      <c r="BH1449" s="261"/>
    </row>
    <row r="1450" spans="38:60" x14ac:dyDescent="0.2">
      <c r="AL1450" s="553"/>
      <c r="AM1450" s="553"/>
      <c r="AN1450" s="14"/>
      <c r="AO1450" s="12"/>
      <c r="AP1450" s="12"/>
      <c r="BH1450" s="261"/>
    </row>
    <row r="1451" spans="38:60" x14ac:dyDescent="0.2">
      <c r="AL1451" s="553"/>
      <c r="AM1451" s="553"/>
      <c r="AN1451" s="14"/>
      <c r="AO1451" s="12"/>
      <c r="AP1451" s="12"/>
      <c r="BH1451" s="261"/>
    </row>
    <row r="1452" spans="38:60" x14ac:dyDescent="0.2">
      <c r="AL1452" s="553"/>
      <c r="AM1452" s="553"/>
      <c r="AN1452" s="14"/>
      <c r="AO1452" s="12"/>
      <c r="AP1452" s="12"/>
      <c r="BH1452" s="261"/>
    </row>
    <row r="1453" spans="38:60" x14ac:dyDescent="0.2">
      <c r="AL1453" s="553"/>
      <c r="AM1453" s="553"/>
      <c r="AN1453" s="14"/>
      <c r="AO1453" s="12"/>
      <c r="AP1453" s="12"/>
      <c r="BH1453" s="261"/>
    </row>
    <row r="1454" spans="38:60" x14ac:dyDescent="0.2">
      <c r="AL1454" s="553"/>
      <c r="AM1454" s="553"/>
      <c r="AN1454" s="14"/>
      <c r="AO1454" s="12"/>
      <c r="AP1454" s="12"/>
      <c r="BH1454" s="261"/>
    </row>
    <row r="1455" spans="38:60" x14ac:dyDescent="0.2">
      <c r="AL1455" s="553"/>
      <c r="AM1455" s="553"/>
      <c r="AN1455" s="14"/>
      <c r="AO1455" s="12"/>
      <c r="AP1455" s="12"/>
      <c r="BH1455" s="261"/>
    </row>
    <row r="1456" spans="38:60" x14ac:dyDescent="0.2">
      <c r="AL1456" s="553"/>
      <c r="AM1456" s="553"/>
      <c r="AN1456" s="14"/>
      <c r="AO1456" s="12"/>
      <c r="AP1456" s="12"/>
      <c r="BH1456" s="261"/>
    </row>
    <row r="1457" spans="38:60" x14ac:dyDescent="0.2">
      <c r="AL1457" s="553"/>
      <c r="AM1457" s="553"/>
      <c r="AN1457" s="14"/>
      <c r="AO1457" s="12"/>
      <c r="AP1457" s="12"/>
      <c r="BH1457" s="261"/>
    </row>
    <row r="1458" spans="38:60" x14ac:dyDescent="0.2">
      <c r="AL1458" s="553"/>
      <c r="AM1458" s="553"/>
      <c r="AN1458" s="14"/>
      <c r="AO1458" s="12"/>
      <c r="AP1458" s="12"/>
      <c r="BH1458" s="261"/>
    </row>
    <row r="1459" spans="38:60" x14ac:dyDescent="0.2">
      <c r="AL1459" s="553"/>
      <c r="AM1459" s="553"/>
      <c r="AN1459" s="14"/>
      <c r="AO1459" s="12"/>
      <c r="AP1459" s="12"/>
      <c r="BH1459" s="261"/>
    </row>
    <row r="1460" spans="38:60" x14ac:dyDescent="0.2">
      <c r="AL1460" s="553"/>
      <c r="AM1460" s="553"/>
      <c r="AN1460" s="14"/>
      <c r="AO1460" s="12"/>
      <c r="AP1460" s="12"/>
      <c r="BH1460" s="261"/>
    </row>
    <row r="1461" spans="38:60" x14ac:dyDescent="0.2">
      <c r="AL1461" s="553"/>
      <c r="AM1461" s="553"/>
      <c r="AN1461" s="14"/>
      <c r="AO1461" s="12"/>
      <c r="AP1461" s="12"/>
      <c r="BH1461" s="261"/>
    </row>
    <row r="1462" spans="38:60" x14ac:dyDescent="0.2">
      <c r="AL1462" s="553"/>
      <c r="AM1462" s="553"/>
      <c r="AN1462" s="14"/>
      <c r="AO1462" s="12"/>
      <c r="AP1462" s="12"/>
      <c r="BH1462" s="261"/>
    </row>
    <row r="1463" spans="38:60" x14ac:dyDescent="0.2">
      <c r="AL1463" s="553"/>
      <c r="AM1463" s="553"/>
      <c r="AN1463" s="14"/>
      <c r="AO1463" s="12"/>
      <c r="AP1463" s="12"/>
      <c r="BH1463" s="261"/>
    </row>
    <row r="1464" spans="38:60" x14ac:dyDescent="0.2">
      <c r="AL1464" s="553"/>
      <c r="AM1464" s="553"/>
      <c r="AN1464" s="14"/>
      <c r="AO1464" s="12"/>
      <c r="AP1464" s="12"/>
      <c r="BH1464" s="261"/>
    </row>
    <row r="1465" spans="38:60" x14ac:dyDescent="0.2">
      <c r="AL1465" s="553"/>
      <c r="AM1465" s="553"/>
      <c r="AN1465" s="14"/>
      <c r="AO1465" s="12"/>
      <c r="AP1465" s="12"/>
      <c r="BH1465" s="261"/>
    </row>
    <row r="1466" spans="38:60" x14ac:dyDescent="0.2">
      <c r="AL1466" s="553"/>
      <c r="AM1466" s="553"/>
      <c r="AN1466" s="14"/>
      <c r="AO1466" s="12"/>
      <c r="AP1466" s="12"/>
      <c r="BH1466" s="261"/>
    </row>
    <row r="1467" spans="38:60" x14ac:dyDescent="0.2">
      <c r="AL1467" s="553"/>
      <c r="AM1467" s="553"/>
      <c r="AN1467" s="14"/>
      <c r="AO1467" s="12"/>
      <c r="AP1467" s="12"/>
      <c r="BH1467" s="261"/>
    </row>
    <row r="1468" spans="38:60" x14ac:dyDescent="0.2">
      <c r="AL1468" s="553"/>
      <c r="AM1468" s="553"/>
      <c r="AN1468" s="14"/>
      <c r="AO1468" s="12"/>
      <c r="AP1468" s="12"/>
      <c r="BH1468" s="261"/>
    </row>
    <row r="1469" spans="38:60" x14ac:dyDescent="0.2">
      <c r="AL1469" s="553"/>
      <c r="AM1469" s="553"/>
      <c r="AN1469" s="14"/>
      <c r="AO1469" s="12"/>
      <c r="AP1469" s="12"/>
      <c r="BH1469" s="261"/>
    </row>
    <row r="1470" spans="38:60" x14ac:dyDescent="0.2">
      <c r="AL1470" s="553"/>
      <c r="AM1470" s="553"/>
      <c r="AN1470" s="14"/>
      <c r="AO1470" s="12"/>
      <c r="AP1470" s="12"/>
      <c r="BH1470" s="261"/>
    </row>
    <row r="1471" spans="38:60" x14ac:dyDescent="0.2">
      <c r="AL1471" s="553"/>
      <c r="AM1471" s="553"/>
      <c r="AN1471" s="14"/>
      <c r="AO1471" s="12"/>
      <c r="AP1471" s="12"/>
      <c r="BH1471" s="261"/>
    </row>
    <row r="1472" spans="38:60" x14ac:dyDescent="0.2">
      <c r="AL1472" s="553"/>
      <c r="AM1472" s="553"/>
      <c r="AN1472" s="14"/>
      <c r="AO1472" s="12"/>
      <c r="AP1472" s="12"/>
      <c r="BH1472" s="261"/>
    </row>
    <row r="1473" spans="38:60" x14ac:dyDescent="0.2">
      <c r="AL1473" s="553"/>
      <c r="AM1473" s="553"/>
      <c r="AN1473" s="14"/>
      <c r="AO1473" s="12"/>
      <c r="AP1473" s="12"/>
      <c r="BH1473" s="261"/>
    </row>
    <row r="1474" spans="38:60" x14ac:dyDescent="0.2">
      <c r="AL1474" s="553"/>
      <c r="AM1474" s="553"/>
      <c r="AN1474" s="14"/>
      <c r="AO1474" s="12"/>
      <c r="AP1474" s="12"/>
      <c r="BH1474" s="261"/>
    </row>
    <row r="1475" spans="38:60" x14ac:dyDescent="0.2">
      <c r="AL1475" s="553"/>
      <c r="AM1475" s="553"/>
      <c r="AN1475" s="14"/>
      <c r="AO1475" s="12"/>
      <c r="AP1475" s="12"/>
      <c r="BH1475" s="261"/>
    </row>
    <row r="1476" spans="38:60" x14ac:dyDescent="0.2">
      <c r="AL1476" s="553"/>
      <c r="AM1476" s="553"/>
      <c r="AN1476" s="14"/>
      <c r="AO1476" s="12"/>
      <c r="AP1476" s="12"/>
      <c r="BH1476" s="261"/>
    </row>
    <row r="1477" spans="38:60" x14ac:dyDescent="0.2">
      <c r="AL1477" s="553"/>
      <c r="AM1477" s="553"/>
      <c r="AN1477" s="14"/>
      <c r="AO1477" s="12"/>
      <c r="AP1477" s="12"/>
      <c r="BH1477" s="261"/>
    </row>
    <row r="1478" spans="38:60" x14ac:dyDescent="0.2">
      <c r="AL1478" s="553"/>
      <c r="AM1478" s="553"/>
      <c r="AN1478" s="14"/>
      <c r="AO1478" s="12"/>
      <c r="AP1478" s="12"/>
      <c r="BH1478" s="261"/>
    </row>
    <row r="1479" spans="38:60" x14ac:dyDescent="0.2">
      <c r="AL1479" s="553"/>
      <c r="AM1479" s="553"/>
      <c r="AN1479" s="14"/>
      <c r="AO1479" s="12"/>
      <c r="AP1479" s="12"/>
      <c r="BH1479" s="261"/>
    </row>
    <row r="1480" spans="38:60" x14ac:dyDescent="0.2">
      <c r="AL1480" s="553"/>
      <c r="AM1480" s="553"/>
      <c r="AN1480" s="14"/>
      <c r="AO1480" s="12"/>
      <c r="AP1480" s="12"/>
      <c r="BH1480" s="261"/>
    </row>
    <row r="1481" spans="38:60" x14ac:dyDescent="0.2">
      <c r="AL1481" s="553"/>
      <c r="AM1481" s="553"/>
      <c r="AN1481" s="14"/>
      <c r="AO1481" s="12"/>
      <c r="AP1481" s="12"/>
      <c r="BH1481" s="261"/>
    </row>
    <row r="1482" spans="38:60" x14ac:dyDescent="0.2">
      <c r="AL1482" s="553"/>
      <c r="AM1482" s="553"/>
      <c r="AN1482" s="14"/>
      <c r="AO1482" s="12"/>
      <c r="AP1482" s="12"/>
      <c r="BH1482" s="261"/>
    </row>
    <row r="1483" spans="38:60" x14ac:dyDescent="0.2">
      <c r="AL1483" s="553"/>
      <c r="AM1483" s="553"/>
      <c r="AN1483" s="14"/>
      <c r="AO1483" s="12"/>
      <c r="AP1483" s="12"/>
      <c r="BH1483" s="261"/>
    </row>
    <row r="1484" spans="38:60" x14ac:dyDescent="0.2">
      <c r="AL1484" s="553"/>
      <c r="AM1484" s="553"/>
      <c r="AN1484" s="14"/>
      <c r="AO1484" s="12"/>
      <c r="AP1484" s="12"/>
      <c r="BH1484" s="261"/>
    </row>
    <row r="1485" spans="38:60" x14ac:dyDescent="0.2">
      <c r="AL1485" s="553"/>
      <c r="AM1485" s="553"/>
      <c r="AN1485" s="14"/>
      <c r="AO1485" s="12"/>
      <c r="AP1485" s="12"/>
      <c r="BH1485" s="261"/>
    </row>
    <row r="1486" spans="38:60" x14ac:dyDescent="0.2">
      <c r="AL1486" s="553"/>
      <c r="AM1486" s="553"/>
      <c r="AN1486" s="14"/>
      <c r="AO1486" s="12"/>
      <c r="AP1486" s="12"/>
      <c r="BH1486" s="261"/>
    </row>
    <row r="1487" spans="38:60" x14ac:dyDescent="0.2">
      <c r="AL1487" s="553"/>
      <c r="AM1487" s="553"/>
      <c r="AN1487" s="14"/>
      <c r="AO1487" s="12"/>
      <c r="AP1487" s="12"/>
      <c r="BH1487" s="261"/>
    </row>
    <row r="1488" spans="38:60" x14ac:dyDescent="0.2">
      <c r="AL1488" s="553"/>
      <c r="AM1488" s="553"/>
      <c r="AN1488" s="14"/>
      <c r="AO1488" s="12"/>
      <c r="AP1488" s="12"/>
      <c r="BH1488" s="261"/>
    </row>
    <row r="1489" spans="38:60" x14ac:dyDescent="0.2">
      <c r="AL1489" s="553"/>
      <c r="AM1489" s="553"/>
      <c r="AN1489" s="14"/>
      <c r="AO1489" s="12"/>
      <c r="AP1489" s="12"/>
      <c r="BH1489" s="261"/>
    </row>
    <row r="1490" spans="38:60" x14ac:dyDescent="0.2">
      <c r="AL1490" s="553"/>
      <c r="AM1490" s="553"/>
      <c r="AN1490" s="14"/>
      <c r="AO1490" s="12"/>
      <c r="AP1490" s="12"/>
      <c r="BH1490" s="261"/>
    </row>
    <row r="1491" spans="38:60" x14ac:dyDescent="0.2">
      <c r="AL1491" s="553"/>
      <c r="AM1491" s="553"/>
      <c r="AN1491" s="14"/>
      <c r="AO1491" s="12"/>
      <c r="AP1491" s="12"/>
      <c r="BH1491" s="261"/>
    </row>
    <row r="1492" spans="38:60" x14ac:dyDescent="0.2">
      <c r="AL1492" s="553"/>
      <c r="AM1492" s="553"/>
      <c r="AN1492" s="14"/>
      <c r="AO1492" s="12"/>
      <c r="AP1492" s="12"/>
      <c r="BH1492" s="261"/>
    </row>
    <row r="1493" spans="38:60" x14ac:dyDescent="0.2">
      <c r="AL1493" s="553"/>
      <c r="AM1493" s="553"/>
      <c r="AN1493" s="14"/>
      <c r="AO1493" s="12"/>
      <c r="AP1493" s="12"/>
      <c r="BH1493" s="261"/>
    </row>
    <row r="1494" spans="38:60" x14ac:dyDescent="0.2">
      <c r="AL1494" s="553"/>
      <c r="AM1494" s="553"/>
      <c r="AN1494" s="14"/>
      <c r="AO1494" s="12"/>
      <c r="AP1494" s="12"/>
      <c r="BH1494" s="261"/>
    </row>
    <row r="1495" spans="38:60" x14ac:dyDescent="0.2">
      <c r="AL1495" s="553"/>
      <c r="AM1495" s="553"/>
      <c r="AN1495" s="14"/>
      <c r="AO1495" s="12"/>
      <c r="AP1495" s="12"/>
      <c r="BH1495" s="261"/>
    </row>
    <row r="1496" spans="38:60" x14ac:dyDescent="0.2">
      <c r="AL1496" s="553"/>
      <c r="AM1496" s="553"/>
      <c r="AN1496" s="14"/>
      <c r="AO1496" s="12"/>
      <c r="AP1496" s="12"/>
      <c r="BH1496" s="261"/>
    </row>
    <row r="1497" spans="38:60" x14ac:dyDescent="0.2">
      <c r="AL1497" s="553"/>
      <c r="AM1497" s="553"/>
      <c r="AN1497" s="14"/>
      <c r="AO1497" s="12"/>
      <c r="AP1497" s="12"/>
      <c r="BH1497" s="261"/>
    </row>
    <row r="1498" spans="38:60" x14ac:dyDescent="0.2">
      <c r="AL1498" s="553"/>
      <c r="AM1498" s="553"/>
      <c r="AN1498" s="14"/>
      <c r="AO1498" s="12"/>
      <c r="AP1498" s="12"/>
      <c r="BH1498" s="261"/>
    </row>
    <row r="1499" spans="38:60" x14ac:dyDescent="0.2">
      <c r="AL1499" s="553"/>
      <c r="AM1499" s="553"/>
      <c r="AN1499" s="14"/>
      <c r="AO1499" s="12"/>
      <c r="AP1499" s="12"/>
      <c r="BH1499" s="261"/>
    </row>
    <row r="1500" spans="38:60" x14ac:dyDescent="0.2">
      <c r="AL1500" s="553"/>
      <c r="AM1500" s="553"/>
      <c r="AN1500" s="14"/>
      <c r="AO1500" s="12"/>
      <c r="AP1500" s="12"/>
      <c r="BH1500" s="261"/>
    </row>
    <row r="1501" spans="38:60" x14ac:dyDescent="0.2">
      <c r="AL1501" s="553"/>
      <c r="AM1501" s="553"/>
      <c r="AN1501" s="14"/>
      <c r="AO1501" s="12"/>
      <c r="AP1501" s="12"/>
      <c r="BH1501" s="261"/>
    </row>
    <row r="1502" spans="38:60" x14ac:dyDescent="0.2">
      <c r="AL1502" s="553"/>
      <c r="AM1502" s="553"/>
      <c r="AN1502" s="14"/>
      <c r="AO1502" s="12"/>
      <c r="AP1502" s="12"/>
      <c r="BH1502" s="261"/>
    </row>
    <row r="1503" spans="38:60" x14ac:dyDescent="0.2">
      <c r="AL1503" s="553"/>
      <c r="AM1503" s="553"/>
      <c r="AN1503" s="14"/>
      <c r="AO1503" s="12"/>
      <c r="AP1503" s="12"/>
      <c r="BH1503" s="261"/>
    </row>
    <row r="1504" spans="38:60" x14ac:dyDescent="0.2">
      <c r="AL1504" s="553"/>
      <c r="AM1504" s="553"/>
      <c r="AN1504" s="14"/>
      <c r="AO1504" s="12"/>
      <c r="AP1504" s="12"/>
      <c r="BH1504" s="261"/>
    </row>
    <row r="1505" spans="38:60" x14ac:dyDescent="0.2">
      <c r="AL1505" s="553"/>
      <c r="AM1505" s="553"/>
      <c r="AN1505" s="14"/>
      <c r="AO1505" s="12"/>
      <c r="AP1505" s="12"/>
      <c r="BH1505" s="261"/>
    </row>
    <row r="1506" spans="38:60" x14ac:dyDescent="0.2">
      <c r="AL1506" s="553"/>
      <c r="AM1506" s="553"/>
      <c r="AN1506" s="14"/>
      <c r="AO1506" s="12"/>
      <c r="AP1506" s="12"/>
      <c r="BH1506" s="261"/>
    </row>
    <row r="1507" spans="38:60" x14ac:dyDescent="0.2">
      <c r="AL1507" s="553"/>
      <c r="AM1507" s="553"/>
      <c r="AN1507" s="14"/>
      <c r="AO1507" s="12"/>
      <c r="AP1507" s="12"/>
      <c r="BH1507" s="261"/>
    </row>
    <row r="1508" spans="38:60" x14ac:dyDescent="0.2">
      <c r="AL1508" s="553"/>
      <c r="AM1508" s="553"/>
      <c r="AN1508" s="14"/>
      <c r="AO1508" s="12"/>
      <c r="AP1508" s="12"/>
      <c r="BH1508" s="261"/>
    </row>
    <row r="1509" spans="38:60" x14ac:dyDescent="0.2">
      <c r="AL1509" s="553"/>
      <c r="AM1509" s="553"/>
      <c r="AN1509" s="14"/>
      <c r="AO1509" s="12"/>
      <c r="AP1509" s="12"/>
      <c r="BH1509" s="261"/>
    </row>
    <row r="1510" spans="38:60" x14ac:dyDescent="0.2">
      <c r="AL1510" s="553"/>
      <c r="AM1510" s="553"/>
      <c r="AN1510" s="14"/>
      <c r="AO1510" s="12"/>
      <c r="AP1510" s="12"/>
      <c r="BH1510" s="261"/>
    </row>
    <row r="1511" spans="38:60" x14ac:dyDescent="0.2">
      <c r="AL1511" s="553"/>
      <c r="AM1511" s="553"/>
      <c r="AN1511" s="14"/>
      <c r="AO1511" s="12"/>
      <c r="AP1511" s="12"/>
      <c r="BH1511" s="261"/>
    </row>
    <row r="1512" spans="38:60" x14ac:dyDescent="0.2">
      <c r="AL1512" s="553"/>
      <c r="AM1512" s="553"/>
      <c r="AN1512" s="14"/>
      <c r="AO1512" s="12"/>
      <c r="AP1512" s="12"/>
      <c r="BH1512" s="261"/>
    </row>
    <row r="1513" spans="38:60" x14ac:dyDescent="0.2">
      <c r="AL1513" s="553"/>
      <c r="AM1513" s="553"/>
      <c r="AN1513" s="14"/>
      <c r="AO1513" s="12"/>
      <c r="AP1513" s="12"/>
      <c r="BH1513" s="261"/>
    </row>
    <row r="1514" spans="38:60" x14ac:dyDescent="0.2">
      <c r="AL1514" s="553"/>
      <c r="AM1514" s="553"/>
      <c r="AN1514" s="14"/>
      <c r="AO1514" s="12"/>
      <c r="AP1514" s="12"/>
      <c r="BH1514" s="261"/>
    </row>
    <row r="1515" spans="38:60" x14ac:dyDescent="0.2">
      <c r="AL1515" s="553"/>
      <c r="AM1515" s="553"/>
      <c r="AN1515" s="14"/>
      <c r="AO1515" s="12"/>
      <c r="AP1515" s="12"/>
      <c r="BH1515" s="261"/>
    </row>
    <row r="1516" spans="38:60" x14ac:dyDescent="0.2">
      <c r="AL1516" s="553"/>
      <c r="AM1516" s="553"/>
      <c r="AN1516" s="14"/>
      <c r="AO1516" s="12"/>
      <c r="AP1516" s="12"/>
      <c r="BH1516" s="261"/>
    </row>
    <row r="1517" spans="38:60" x14ac:dyDescent="0.2">
      <c r="AL1517" s="553"/>
      <c r="AM1517" s="553"/>
      <c r="AN1517" s="14"/>
      <c r="AO1517" s="12"/>
      <c r="AP1517" s="12"/>
      <c r="BH1517" s="261"/>
    </row>
    <row r="1518" spans="38:60" x14ac:dyDescent="0.2">
      <c r="AL1518" s="553"/>
      <c r="AM1518" s="553"/>
      <c r="AN1518" s="14"/>
      <c r="AO1518" s="12"/>
      <c r="AP1518" s="12"/>
      <c r="BH1518" s="261"/>
    </row>
    <row r="1519" spans="38:60" x14ac:dyDescent="0.2">
      <c r="AL1519" s="553"/>
      <c r="AM1519" s="553"/>
      <c r="AN1519" s="14"/>
      <c r="AO1519" s="12"/>
      <c r="AP1519" s="12"/>
      <c r="BH1519" s="261"/>
    </row>
    <row r="1520" spans="38:60" x14ac:dyDescent="0.2">
      <c r="AL1520" s="553"/>
      <c r="AM1520" s="553"/>
      <c r="AN1520" s="14"/>
      <c r="AO1520" s="12"/>
      <c r="AP1520" s="12"/>
      <c r="BH1520" s="261"/>
    </row>
    <row r="1521" spans="38:60" x14ac:dyDescent="0.2">
      <c r="AL1521" s="553"/>
      <c r="AM1521" s="553"/>
      <c r="AN1521" s="14"/>
      <c r="AO1521" s="12"/>
      <c r="AP1521" s="12"/>
      <c r="BH1521" s="261"/>
    </row>
    <row r="1522" spans="38:60" x14ac:dyDescent="0.2">
      <c r="AL1522" s="553"/>
      <c r="AM1522" s="553"/>
      <c r="AN1522" s="14"/>
      <c r="AO1522" s="12"/>
      <c r="AP1522" s="12"/>
      <c r="BH1522" s="261"/>
    </row>
    <row r="1523" spans="38:60" x14ac:dyDescent="0.2">
      <c r="AL1523" s="553"/>
      <c r="AM1523" s="553"/>
      <c r="AN1523" s="14"/>
      <c r="AO1523" s="12"/>
      <c r="AP1523" s="12"/>
      <c r="BH1523" s="261"/>
    </row>
    <row r="1524" spans="38:60" x14ac:dyDescent="0.2">
      <c r="AL1524" s="553"/>
      <c r="AM1524" s="553"/>
      <c r="AN1524" s="14"/>
      <c r="AO1524" s="12"/>
      <c r="AP1524" s="12"/>
      <c r="BH1524" s="261"/>
    </row>
    <row r="1525" spans="38:60" x14ac:dyDescent="0.2">
      <c r="AL1525" s="553"/>
      <c r="AM1525" s="553"/>
      <c r="AN1525" s="14"/>
      <c r="AO1525" s="12"/>
      <c r="AP1525" s="12"/>
      <c r="BH1525" s="261"/>
    </row>
    <row r="1526" spans="38:60" x14ac:dyDescent="0.2">
      <c r="AL1526" s="553"/>
      <c r="AM1526" s="553"/>
      <c r="AN1526" s="14"/>
      <c r="AO1526" s="12"/>
      <c r="AP1526" s="12"/>
      <c r="BH1526" s="261"/>
    </row>
    <row r="1527" spans="38:60" x14ac:dyDescent="0.2">
      <c r="AL1527" s="553"/>
      <c r="AM1527" s="553"/>
      <c r="AN1527" s="14"/>
      <c r="AO1527" s="12"/>
      <c r="AP1527" s="12"/>
      <c r="BH1527" s="261"/>
    </row>
    <row r="1528" spans="38:60" x14ac:dyDescent="0.2">
      <c r="AL1528" s="553"/>
      <c r="AM1528" s="553"/>
      <c r="AN1528" s="14"/>
      <c r="AO1528" s="12"/>
      <c r="AP1528" s="12"/>
      <c r="BH1528" s="261"/>
    </row>
    <row r="1529" spans="38:60" x14ac:dyDescent="0.2">
      <c r="AL1529" s="553"/>
      <c r="AM1529" s="553"/>
      <c r="AN1529" s="14"/>
      <c r="AO1529" s="12"/>
      <c r="AP1529" s="12"/>
      <c r="BH1529" s="261"/>
    </row>
    <row r="1530" spans="38:60" x14ac:dyDescent="0.2">
      <c r="AL1530" s="553"/>
      <c r="AM1530" s="553"/>
      <c r="AN1530" s="14"/>
      <c r="AO1530" s="12"/>
      <c r="AP1530" s="12"/>
      <c r="BH1530" s="261"/>
    </row>
  </sheetData>
  <autoFilter ref="A8:CC1268" xr:uid="{00000000-0009-0000-0000-000001000000}">
    <filterColumn colId="2">
      <filters>
        <filter val="25"/>
      </filters>
    </filterColumn>
    <filterColumn colId="5">
      <filters>
        <filter val="Chinook"/>
        <filter val="Chum"/>
        <filter val="Coho"/>
        <filter val="Pink"/>
        <filter val="Sockeye"/>
      </filters>
    </filterColumn>
    <filterColumn colId="37">
      <customFilters>
        <customFilter operator="notEqual" val=" "/>
      </customFilters>
    </filterColumn>
    <sortState xmlns:xlrd2="http://schemas.microsoft.com/office/spreadsheetml/2017/richdata2" ref="A1149:CC1172">
      <sortCondition descending="1" ref="E8:E1268"/>
    </sortState>
  </autoFilter>
  <sortState xmlns:xlrd2="http://schemas.microsoft.com/office/spreadsheetml/2017/richdata2" ref="A9:CI1268">
    <sortCondition ref="C9:C1268"/>
    <sortCondition ref="D9:D1268"/>
    <sortCondition ref="A9:A1268"/>
    <sortCondition ref="E9:E1268"/>
    <sortCondition ref="B9:B1268"/>
  </sortState>
  <mergeCells count="3">
    <mergeCell ref="AT7:AU7"/>
    <mergeCell ref="AR1:AS2"/>
    <mergeCell ref="AH7:AK7"/>
  </mergeCells>
  <phoneticPr fontId="0" type="noConversion"/>
  <conditionalFormatting sqref="AQ99:AQ100 AQ88 AQ111:AQ112 AQ106 AQ81:AQ82 AQ84:AQ85 AQ102 AQ75:AQ76 AQ90:AQ91 AQ241 AQ237:AQ238 AQ186:AQ187 AQ184 AQ45:AQ46 AQ39:AQ43 AQ48:AQ49 AQ51:AQ55 AQ57:AQ61 AQ63:AQ64 AQ66:AQ67 AQ243:AQ247 AQ78:AQ79 AQ93 AQ27:AQ28 AQ30:AQ31 AQ33:AQ34 AQ36:AQ37">
    <cfRule type="cellIs" dxfId="642" priority="2547" stopIfTrue="1" operator="between">
      <formula>0.25</formula>
      <formula>0.5</formula>
    </cfRule>
    <cfRule type="cellIs" dxfId="641" priority="2548" stopIfTrue="1" operator="between">
      <formula>0</formula>
      <formula>0.25</formula>
    </cfRule>
  </conditionalFormatting>
  <conditionalFormatting sqref="AQ99:AQ100 AQ88 AQ111:AQ112 AQ106 AQ81:AQ82 AQ84:AQ85 AQ102 AQ75:AQ76 AQ90:AQ91 AQ241 AQ237:AQ238 AQ186:AQ187 AQ184 AQ45:AQ46 AQ39:AQ43 AQ48:AQ49 AQ51:AQ55 AQ57:AQ61 AQ63:AQ64 AQ66:AQ67 AQ243:AQ247 AQ78:AQ79 AQ93 AQ27:AQ28 AQ30:AQ31 AQ33:AQ34 AQ36:AQ37">
    <cfRule type="cellIs" dxfId="640" priority="2480" stopIfTrue="1" operator="between">
      <formula>0.5</formula>
      <formula>0.75</formula>
    </cfRule>
  </conditionalFormatting>
  <conditionalFormatting sqref="AQ99:AQ100 AQ88 AQ111:AQ112 AQ106 AQ81:AQ82 AQ84:AQ85 AQ102 AQ75:AQ76 AQ90:AQ91 AQ241 AQ237:AQ238 AQ186:AQ187 AQ184 AQ45:AQ46 AQ39:AQ43 AQ48:AQ49 AQ51:AQ55 AQ57:AQ61 AQ63:AQ64 AQ66:AQ67 AQ243:AQ247 AQ78:AQ79 AQ93 AQ27:AQ28 AQ30:AQ31 AQ33:AQ34 AQ36:AQ37">
    <cfRule type="cellIs" dxfId="639" priority="2478" stopIfTrue="1" operator="greaterThan">
      <formula>1.25</formula>
    </cfRule>
    <cfRule type="cellIs" dxfId="638" priority="2479" stopIfTrue="1" operator="between">
      <formula>0.75</formula>
      <formula>1.25</formula>
    </cfRule>
  </conditionalFormatting>
  <conditionalFormatting sqref="AR837 AR1117 AR1177 AR1173">
    <cfRule type="cellIs" dxfId="637" priority="2468" stopIfTrue="1" operator="between">
      <formula>0.25</formula>
      <formula>0.5</formula>
    </cfRule>
    <cfRule type="cellIs" dxfId="636" priority="2469" stopIfTrue="1" operator="between">
      <formula>0</formula>
      <formula>0.25</formula>
    </cfRule>
  </conditionalFormatting>
  <conditionalFormatting sqref="AR837 AR1117 AR1177 AR1173">
    <cfRule type="cellIs" dxfId="635" priority="2467" stopIfTrue="1" operator="between">
      <formula>0.5</formula>
      <formula>0.75</formula>
    </cfRule>
  </conditionalFormatting>
  <conditionalFormatting sqref="AR837 AR1117 AR1177 AR1173">
    <cfRule type="cellIs" dxfId="634" priority="2465" stopIfTrue="1" operator="greaterThan">
      <formula>1.25</formula>
    </cfRule>
    <cfRule type="cellIs" dxfId="633" priority="2466" stopIfTrue="1" operator="between">
      <formula>0.75</formula>
      <formula>1.25</formula>
    </cfRule>
  </conditionalFormatting>
  <conditionalFormatting sqref="AV40 AV46 AV52 AV58 AV64 AV70 AV79 AV85 AV91 AV103 AV115 AV121 AV127 AV130 AV136 AV142 AV148 AV160 AV178 AV184 AV196 AV256 AV274 AV298 AV340 AV526 AV628 AV928 AV1012 AV1030 AV1054 AV1096 AV1102 AV1138 AV1150 AV1162 AV1168 AV1204 AV1210 AV1216 AV1246">
    <cfRule type="cellIs" dxfId="632" priority="2392" stopIfTrue="1" operator="greaterThanOrEqual">
      <formula>AT40</formula>
    </cfRule>
    <cfRule type="cellIs" dxfId="631" priority="2393" stopIfTrue="1" operator="between">
      <formula>AT40</formula>
      <formula>AU40</formula>
    </cfRule>
    <cfRule type="cellIs" dxfId="630" priority="2394" stopIfTrue="1" operator="lessThan">
      <formula>AU40</formula>
    </cfRule>
  </conditionalFormatting>
  <conditionalFormatting sqref="AQ113:AQ115 AQ117:AQ121">
    <cfRule type="cellIs" dxfId="629" priority="744" stopIfTrue="1" operator="between">
      <formula>0.25</formula>
      <formula>0.5</formula>
    </cfRule>
    <cfRule type="cellIs" dxfId="628" priority="745" stopIfTrue="1" operator="between">
      <formula>0</formula>
      <formula>0.25</formula>
    </cfRule>
  </conditionalFormatting>
  <conditionalFormatting sqref="AQ113:AQ115 AQ117:AQ121">
    <cfRule type="cellIs" dxfId="627" priority="743" operator="between">
      <formula>0.5</formula>
      <formula>0.75</formula>
    </cfRule>
  </conditionalFormatting>
  <conditionalFormatting sqref="AQ113:AQ115 AQ117:AQ121">
    <cfRule type="cellIs" dxfId="626" priority="741" stopIfTrue="1" operator="greaterThan">
      <formula>1.25</formula>
    </cfRule>
    <cfRule type="cellIs" dxfId="625" priority="742" stopIfTrue="1" operator="between">
      <formula>0.75</formula>
      <formula>1.25</formula>
    </cfRule>
  </conditionalFormatting>
  <conditionalFormatting sqref="AS99:AS100">
    <cfRule type="cellIs" dxfId="624" priority="719" stopIfTrue="1" operator="between">
      <formula>0.25</formula>
      <formula>0.5</formula>
    </cfRule>
    <cfRule type="cellIs" dxfId="623" priority="720" stopIfTrue="1" operator="between">
      <formula>0</formula>
      <formula>0.25</formula>
    </cfRule>
  </conditionalFormatting>
  <conditionalFormatting sqref="AS99:AS100">
    <cfRule type="cellIs" dxfId="622" priority="718" operator="between">
      <formula>0.5</formula>
      <formula>0.75</formula>
    </cfRule>
  </conditionalFormatting>
  <conditionalFormatting sqref="AS99:AS100">
    <cfRule type="cellIs" dxfId="621" priority="716" stopIfTrue="1" operator="greaterThan">
      <formula>1.25</formula>
    </cfRule>
    <cfRule type="cellIs" dxfId="620" priority="717" stopIfTrue="1" operator="between">
      <formula>0.75</formula>
      <formula>1.25</formula>
    </cfRule>
  </conditionalFormatting>
  <conditionalFormatting sqref="AS102">
    <cfRule type="cellIs" dxfId="619" priority="714" stopIfTrue="1" operator="between">
      <formula>0.25</formula>
      <formula>0.5</formula>
    </cfRule>
    <cfRule type="cellIs" dxfId="618" priority="715" stopIfTrue="1" operator="between">
      <formula>0</formula>
      <formula>0.25</formula>
    </cfRule>
  </conditionalFormatting>
  <conditionalFormatting sqref="AS102">
    <cfRule type="cellIs" dxfId="617" priority="713" operator="between">
      <formula>0.5</formula>
      <formula>0.75</formula>
    </cfRule>
  </conditionalFormatting>
  <conditionalFormatting sqref="AS102">
    <cfRule type="cellIs" dxfId="616" priority="711" stopIfTrue="1" operator="greaterThan">
      <formula>1.25</formula>
    </cfRule>
    <cfRule type="cellIs" dxfId="615" priority="712" stopIfTrue="1" operator="between">
      <formula>0.75</formula>
      <formula>1.25</formula>
    </cfRule>
  </conditionalFormatting>
  <conditionalFormatting sqref="AS107:AS115 AS117:AS121 AS123:AS124 AS126">
    <cfRule type="cellIs" dxfId="614" priority="709" stopIfTrue="1" operator="between">
      <formula>0.25</formula>
      <formula>0.5</formula>
    </cfRule>
    <cfRule type="cellIs" dxfId="613" priority="710" stopIfTrue="1" operator="between">
      <formula>0</formula>
      <formula>0.25</formula>
    </cfRule>
  </conditionalFormatting>
  <conditionalFormatting sqref="AS107:AS115 AS117:AS121 AS123:AS124 AS126">
    <cfRule type="cellIs" dxfId="612" priority="708" operator="between">
      <formula>0.5</formula>
      <formula>0.75</formula>
    </cfRule>
  </conditionalFormatting>
  <conditionalFormatting sqref="AS107:AS115 AS117:AS121 AS123:AS124 AS126">
    <cfRule type="cellIs" dxfId="611" priority="706" stopIfTrue="1" operator="greaterThan">
      <formula>1.25</formula>
    </cfRule>
    <cfRule type="cellIs" dxfId="610" priority="707" stopIfTrue="1" operator="between">
      <formula>0.75</formula>
      <formula>1.25</formula>
    </cfRule>
  </conditionalFormatting>
  <conditionalFormatting sqref="AS1229:AS1230">
    <cfRule type="cellIs" dxfId="609" priority="689" stopIfTrue="1" operator="between">
      <formula>0.25</formula>
      <formula>0.5</formula>
    </cfRule>
    <cfRule type="cellIs" dxfId="608" priority="690" stopIfTrue="1" operator="between">
      <formula>0</formula>
      <formula>0.25</formula>
    </cfRule>
  </conditionalFormatting>
  <conditionalFormatting sqref="AS1229:AS1230">
    <cfRule type="cellIs" dxfId="607" priority="688" operator="between">
      <formula>0.5</formula>
      <formula>0.75</formula>
    </cfRule>
  </conditionalFormatting>
  <conditionalFormatting sqref="AS1229:AS1230">
    <cfRule type="cellIs" dxfId="606" priority="686" stopIfTrue="1" operator="greaterThan">
      <formula>1.25</formula>
    </cfRule>
    <cfRule type="cellIs" dxfId="605" priority="687" stopIfTrue="1" operator="between">
      <formula>0.75</formula>
      <formula>1.25</formula>
    </cfRule>
  </conditionalFormatting>
  <conditionalFormatting sqref="AS1237:AS1241">
    <cfRule type="cellIs" dxfId="604" priority="684" stopIfTrue="1" operator="between">
      <formula>0.25</formula>
      <formula>0.5</formula>
    </cfRule>
    <cfRule type="cellIs" dxfId="603" priority="685" stopIfTrue="1" operator="between">
      <formula>0</formula>
      <formula>0.25</formula>
    </cfRule>
  </conditionalFormatting>
  <conditionalFormatting sqref="AS1237:AS1241">
    <cfRule type="cellIs" dxfId="602" priority="683" operator="between">
      <formula>0.5</formula>
      <formula>0.75</formula>
    </cfRule>
  </conditionalFormatting>
  <conditionalFormatting sqref="AS1237:AS1241">
    <cfRule type="cellIs" dxfId="601" priority="681" stopIfTrue="1" operator="greaterThan">
      <formula>1.25</formula>
    </cfRule>
    <cfRule type="cellIs" dxfId="600" priority="682" stopIfTrue="1" operator="between">
      <formula>0.75</formula>
      <formula>1.25</formula>
    </cfRule>
  </conditionalFormatting>
  <conditionalFormatting sqref="AS1228">
    <cfRule type="cellIs" dxfId="599" priority="679" stopIfTrue="1" operator="between">
      <formula>0.25</formula>
      <formula>0.5</formula>
    </cfRule>
    <cfRule type="cellIs" dxfId="598" priority="680" stopIfTrue="1" operator="between">
      <formula>0</formula>
      <formula>0.25</formula>
    </cfRule>
  </conditionalFormatting>
  <conditionalFormatting sqref="AS1228">
    <cfRule type="cellIs" dxfId="597" priority="678" operator="between">
      <formula>0.5</formula>
      <formula>0.75</formula>
    </cfRule>
  </conditionalFormatting>
  <conditionalFormatting sqref="AS1228">
    <cfRule type="cellIs" dxfId="596" priority="676" stopIfTrue="1" operator="greaterThan">
      <formula>1.25</formula>
    </cfRule>
    <cfRule type="cellIs" dxfId="595" priority="677" stopIfTrue="1" operator="between">
      <formula>0.75</formula>
      <formula>1.25</formula>
    </cfRule>
  </conditionalFormatting>
  <conditionalFormatting sqref="AS1233">
    <cfRule type="cellIs" dxfId="594" priority="674" stopIfTrue="1" operator="between">
      <formula>0.25</formula>
      <formula>0.5</formula>
    </cfRule>
    <cfRule type="cellIs" dxfId="593" priority="675" stopIfTrue="1" operator="between">
      <formula>0</formula>
      <formula>0.25</formula>
    </cfRule>
  </conditionalFormatting>
  <conditionalFormatting sqref="AS1233">
    <cfRule type="cellIs" dxfId="592" priority="673" operator="between">
      <formula>0.5</formula>
      <formula>0.75</formula>
    </cfRule>
  </conditionalFormatting>
  <conditionalFormatting sqref="AS1233">
    <cfRule type="cellIs" dxfId="591" priority="671" stopIfTrue="1" operator="greaterThan">
      <formula>1.25</formula>
    </cfRule>
    <cfRule type="cellIs" dxfId="590" priority="672" stopIfTrue="1" operator="between">
      <formula>0.75</formula>
      <formula>1.25</formula>
    </cfRule>
  </conditionalFormatting>
  <conditionalFormatting sqref="AQ107:AQ108">
    <cfRule type="cellIs" dxfId="589" priority="669" stopIfTrue="1" operator="between">
      <formula>0.25</formula>
      <formula>0.5</formula>
    </cfRule>
    <cfRule type="cellIs" dxfId="588" priority="670" stopIfTrue="1" operator="between">
      <formula>0</formula>
      <formula>0.25</formula>
    </cfRule>
  </conditionalFormatting>
  <conditionalFormatting sqref="AQ107:AQ108">
    <cfRule type="cellIs" dxfId="587" priority="668" operator="between">
      <formula>0.5</formula>
      <formula>0.75</formula>
    </cfRule>
  </conditionalFormatting>
  <conditionalFormatting sqref="AQ107:AQ108">
    <cfRule type="cellIs" dxfId="586" priority="666" stopIfTrue="1" operator="greaterThan">
      <formula>1.25</formula>
    </cfRule>
    <cfRule type="cellIs" dxfId="585" priority="667" stopIfTrue="1" operator="between">
      <formula>0.75</formula>
      <formula>1.25</formula>
    </cfRule>
  </conditionalFormatting>
  <conditionalFormatting sqref="AQ129 AQ163">
    <cfRule type="cellIs" dxfId="584" priority="664" stopIfTrue="1" operator="between">
      <formula>0.25</formula>
      <formula>0.5</formula>
    </cfRule>
    <cfRule type="cellIs" dxfId="583" priority="665" stopIfTrue="1" operator="between">
      <formula>0</formula>
      <formula>0.25</formula>
    </cfRule>
  </conditionalFormatting>
  <conditionalFormatting sqref="AQ129 AQ163">
    <cfRule type="cellIs" dxfId="582" priority="663" operator="between">
      <formula>0.5</formula>
      <formula>0.75</formula>
    </cfRule>
  </conditionalFormatting>
  <conditionalFormatting sqref="AQ129 AQ163">
    <cfRule type="cellIs" dxfId="581" priority="661" stopIfTrue="1" operator="greaterThan">
      <formula>1.25</formula>
    </cfRule>
    <cfRule type="cellIs" dxfId="580" priority="662" stopIfTrue="1" operator="between">
      <formula>0.75</formula>
      <formula>1.25</formula>
    </cfRule>
  </conditionalFormatting>
  <conditionalFormatting sqref="AQ297:AQ298">
    <cfRule type="cellIs" dxfId="579" priority="514" stopIfTrue="1" operator="between">
      <formula>0.25</formula>
      <formula>0.5</formula>
    </cfRule>
    <cfRule type="cellIs" dxfId="578" priority="515" stopIfTrue="1" operator="between">
      <formula>0</formula>
      <formula>0.25</formula>
    </cfRule>
  </conditionalFormatting>
  <conditionalFormatting sqref="AQ297:AQ298">
    <cfRule type="cellIs" dxfId="577" priority="511" stopIfTrue="1" operator="greaterThan">
      <formula>1.25</formula>
    </cfRule>
    <cfRule type="cellIs" dxfId="576" priority="512" stopIfTrue="1" operator="between">
      <formula>0.75</formula>
      <formula>1.25</formula>
    </cfRule>
  </conditionalFormatting>
  <conditionalFormatting sqref="AR1109">
    <cfRule type="cellIs" dxfId="575" priority="479" stopIfTrue="1" operator="between">
      <formula>0.25</formula>
      <formula>0.5</formula>
    </cfRule>
    <cfRule type="cellIs" dxfId="574" priority="480" stopIfTrue="1" operator="between">
      <formula>0</formula>
      <formula>0.25</formula>
    </cfRule>
  </conditionalFormatting>
  <conditionalFormatting sqref="AR1109">
    <cfRule type="cellIs" dxfId="573" priority="478" stopIfTrue="1" operator="between">
      <formula>0.5</formula>
      <formula>0.75</formula>
    </cfRule>
  </conditionalFormatting>
  <conditionalFormatting sqref="AR1109">
    <cfRule type="cellIs" dxfId="572" priority="476" stopIfTrue="1" operator="greaterThan">
      <formula>1.25</formula>
    </cfRule>
    <cfRule type="cellIs" dxfId="571" priority="477" stopIfTrue="1" operator="between">
      <formula>0.75</formula>
      <formula>1.25</formula>
    </cfRule>
  </conditionalFormatting>
  <conditionalFormatting sqref="AR1227">
    <cfRule type="cellIs" dxfId="570" priority="461" stopIfTrue="1" operator="greaterThan">
      <formula>1.25</formula>
    </cfRule>
    <cfRule type="cellIs" dxfId="569" priority="462" stopIfTrue="1" operator="between">
      <formula>0.75</formula>
      <formula>1.25</formula>
    </cfRule>
  </conditionalFormatting>
  <conditionalFormatting sqref="AQ21">
    <cfRule type="cellIs" dxfId="568" priority="599" stopIfTrue="1" operator="between">
      <formula>0.25</formula>
      <formula>0.5</formula>
    </cfRule>
    <cfRule type="cellIs" dxfId="567" priority="600" stopIfTrue="1" operator="between">
      <formula>0</formula>
      <formula>0.25</formula>
    </cfRule>
  </conditionalFormatting>
  <conditionalFormatting sqref="AQ21">
    <cfRule type="cellIs" dxfId="566" priority="598" stopIfTrue="1" operator="between">
      <formula>0.5</formula>
      <formula>0.75</formula>
    </cfRule>
  </conditionalFormatting>
  <conditionalFormatting sqref="AQ21">
    <cfRule type="cellIs" dxfId="565" priority="596" stopIfTrue="1" operator="greaterThan">
      <formula>1.25</formula>
    </cfRule>
    <cfRule type="cellIs" dxfId="564" priority="597" stopIfTrue="1" operator="between">
      <formula>0.75</formula>
      <formula>1.25</formula>
    </cfRule>
  </conditionalFormatting>
  <conditionalFormatting sqref="AQ69">
    <cfRule type="cellIs" dxfId="563" priority="584" stopIfTrue="1" operator="between">
      <formula>0.25</formula>
      <formula>0.5</formula>
    </cfRule>
    <cfRule type="cellIs" dxfId="562" priority="585" stopIfTrue="1" operator="between">
      <formula>0</formula>
      <formula>0.25</formula>
    </cfRule>
  </conditionalFormatting>
  <conditionalFormatting sqref="AQ69">
    <cfRule type="cellIs" dxfId="561" priority="583" stopIfTrue="1" operator="between">
      <formula>0.5</formula>
      <formula>0.75</formula>
    </cfRule>
  </conditionalFormatting>
  <conditionalFormatting sqref="AQ69">
    <cfRule type="cellIs" dxfId="560" priority="581" stopIfTrue="1" operator="greaterThan">
      <formula>1.25</formula>
    </cfRule>
    <cfRule type="cellIs" dxfId="559" priority="582" stopIfTrue="1" operator="between">
      <formula>0.75</formula>
      <formula>1.25</formula>
    </cfRule>
  </conditionalFormatting>
  <conditionalFormatting sqref="AQ70">
    <cfRule type="cellIs" dxfId="558" priority="579" stopIfTrue="1" operator="between">
      <formula>0.25</formula>
      <formula>0.5</formula>
    </cfRule>
    <cfRule type="cellIs" dxfId="557" priority="580" stopIfTrue="1" operator="between">
      <formula>0</formula>
      <formula>0.25</formula>
    </cfRule>
  </conditionalFormatting>
  <conditionalFormatting sqref="AQ70">
    <cfRule type="cellIs" dxfId="556" priority="578" stopIfTrue="1" operator="between">
      <formula>0.5</formula>
      <formula>0.75</formula>
    </cfRule>
  </conditionalFormatting>
  <conditionalFormatting sqref="AQ70">
    <cfRule type="cellIs" dxfId="555" priority="576" stopIfTrue="1" operator="greaterThan">
      <formula>1.25</formula>
    </cfRule>
    <cfRule type="cellIs" dxfId="554" priority="577" stopIfTrue="1" operator="between">
      <formula>0.75</formula>
      <formula>1.25</formula>
    </cfRule>
  </conditionalFormatting>
  <conditionalFormatting sqref="AQ72:AQ73">
    <cfRule type="cellIs" dxfId="553" priority="574" stopIfTrue="1" operator="between">
      <formula>0.25</formula>
      <formula>0.5</formula>
    </cfRule>
    <cfRule type="cellIs" dxfId="552" priority="575" stopIfTrue="1" operator="between">
      <formula>0</formula>
      <formula>0.25</formula>
    </cfRule>
  </conditionalFormatting>
  <conditionalFormatting sqref="AQ72:AQ73">
    <cfRule type="cellIs" dxfId="551" priority="573" stopIfTrue="1" operator="between">
      <formula>0.5</formula>
      <formula>0.75</formula>
    </cfRule>
  </conditionalFormatting>
  <conditionalFormatting sqref="AQ72:AQ73">
    <cfRule type="cellIs" dxfId="550" priority="571" stopIfTrue="1" operator="greaterThan">
      <formula>1.25</formula>
    </cfRule>
    <cfRule type="cellIs" dxfId="549" priority="572" stopIfTrue="1" operator="between">
      <formula>0.75</formula>
      <formula>1.25</formula>
    </cfRule>
  </conditionalFormatting>
  <conditionalFormatting sqref="AQ87">
    <cfRule type="cellIs" dxfId="548" priority="569" stopIfTrue="1" operator="between">
      <formula>0.25</formula>
      <formula>0.5</formula>
    </cfRule>
    <cfRule type="cellIs" dxfId="547" priority="570" stopIfTrue="1" operator="between">
      <formula>0</formula>
      <formula>0.25</formula>
    </cfRule>
  </conditionalFormatting>
  <conditionalFormatting sqref="AQ87">
    <cfRule type="cellIs" dxfId="546" priority="568" stopIfTrue="1" operator="between">
      <formula>0.5</formula>
      <formula>0.75</formula>
    </cfRule>
  </conditionalFormatting>
  <conditionalFormatting sqref="AQ87">
    <cfRule type="cellIs" dxfId="545" priority="566" stopIfTrue="1" operator="greaterThan">
      <formula>1.25</formula>
    </cfRule>
    <cfRule type="cellIs" dxfId="544" priority="567" stopIfTrue="1" operator="between">
      <formula>0.75</formula>
      <formula>1.25</formula>
    </cfRule>
  </conditionalFormatting>
  <conditionalFormatting sqref="AQ94">
    <cfRule type="cellIs" dxfId="543" priority="564" stopIfTrue="1" operator="between">
      <formula>0.25</formula>
      <formula>0.5</formula>
    </cfRule>
    <cfRule type="cellIs" dxfId="542" priority="565" stopIfTrue="1" operator="between">
      <formula>0</formula>
      <formula>0.25</formula>
    </cfRule>
  </conditionalFormatting>
  <conditionalFormatting sqref="AQ94">
    <cfRule type="cellIs" dxfId="541" priority="563" stopIfTrue="1" operator="between">
      <formula>0.5</formula>
      <formula>0.75</formula>
    </cfRule>
  </conditionalFormatting>
  <conditionalFormatting sqref="AQ94">
    <cfRule type="cellIs" dxfId="540" priority="561" stopIfTrue="1" operator="greaterThan">
      <formula>1.25</formula>
    </cfRule>
    <cfRule type="cellIs" dxfId="539" priority="562" stopIfTrue="1" operator="between">
      <formula>0.75</formula>
      <formula>1.25</formula>
    </cfRule>
  </conditionalFormatting>
  <conditionalFormatting sqref="AQ96:AQ97">
    <cfRule type="cellIs" dxfId="538" priority="559" stopIfTrue="1" operator="between">
      <formula>0.25</formula>
      <formula>0.5</formula>
    </cfRule>
    <cfRule type="cellIs" dxfId="537" priority="560" stopIfTrue="1" operator="between">
      <formula>0</formula>
      <formula>0.25</formula>
    </cfRule>
  </conditionalFormatting>
  <conditionalFormatting sqref="AQ96:AQ97">
    <cfRule type="cellIs" dxfId="536" priority="558" stopIfTrue="1" operator="between">
      <formula>0.5</formula>
      <formula>0.75</formula>
    </cfRule>
  </conditionalFormatting>
  <conditionalFormatting sqref="AQ96:AQ97">
    <cfRule type="cellIs" dxfId="535" priority="556" stopIfTrue="1" operator="greaterThan">
      <formula>1.25</formula>
    </cfRule>
    <cfRule type="cellIs" dxfId="534" priority="557" stopIfTrue="1" operator="between">
      <formula>0.75</formula>
      <formula>1.25</formula>
    </cfRule>
  </conditionalFormatting>
  <conditionalFormatting sqref="AQ101">
    <cfRule type="cellIs" dxfId="533" priority="554" stopIfTrue="1" operator="between">
      <formula>0.25</formula>
      <formula>0.5</formula>
    </cfRule>
    <cfRule type="cellIs" dxfId="532" priority="555" stopIfTrue="1" operator="between">
      <formula>0</formula>
      <formula>0.25</formula>
    </cfRule>
  </conditionalFormatting>
  <conditionalFormatting sqref="AQ101">
    <cfRule type="cellIs" dxfId="531" priority="553" stopIfTrue="1" operator="between">
      <formula>0.5</formula>
      <formula>0.75</formula>
    </cfRule>
  </conditionalFormatting>
  <conditionalFormatting sqref="AQ101">
    <cfRule type="cellIs" dxfId="530" priority="551" stopIfTrue="1" operator="greaterThan">
      <formula>1.25</formula>
    </cfRule>
    <cfRule type="cellIs" dxfId="529" priority="552" stopIfTrue="1" operator="between">
      <formula>0.75</formula>
      <formula>1.25</formula>
    </cfRule>
  </conditionalFormatting>
  <conditionalFormatting sqref="AQ105">
    <cfRule type="cellIs" dxfId="528" priority="549" stopIfTrue="1" operator="between">
      <formula>0.25</formula>
      <formula>0.5</formula>
    </cfRule>
    <cfRule type="cellIs" dxfId="527" priority="550" stopIfTrue="1" operator="between">
      <formula>0</formula>
      <formula>0.25</formula>
    </cfRule>
  </conditionalFormatting>
  <conditionalFormatting sqref="AQ105">
    <cfRule type="cellIs" dxfId="526" priority="548" stopIfTrue="1" operator="between">
      <formula>0.5</formula>
      <formula>0.75</formula>
    </cfRule>
  </conditionalFormatting>
  <conditionalFormatting sqref="AQ105">
    <cfRule type="cellIs" dxfId="525" priority="546" stopIfTrue="1" operator="greaterThan">
      <formula>1.25</formula>
    </cfRule>
    <cfRule type="cellIs" dxfId="524" priority="547" stopIfTrue="1" operator="between">
      <formula>0.75</formula>
      <formula>1.25</formula>
    </cfRule>
  </conditionalFormatting>
  <conditionalFormatting sqref="AQ109">
    <cfRule type="cellIs" dxfId="523" priority="544" stopIfTrue="1" operator="between">
      <formula>0.25</formula>
      <formula>0.5</formula>
    </cfRule>
    <cfRule type="cellIs" dxfId="522" priority="545" stopIfTrue="1" operator="between">
      <formula>0</formula>
      <formula>0.25</formula>
    </cfRule>
  </conditionalFormatting>
  <conditionalFormatting sqref="AQ109">
    <cfRule type="cellIs" dxfId="521" priority="543" stopIfTrue="1" operator="between">
      <formula>0.5</formula>
      <formula>0.75</formula>
    </cfRule>
  </conditionalFormatting>
  <conditionalFormatting sqref="AQ109">
    <cfRule type="cellIs" dxfId="520" priority="541" stopIfTrue="1" operator="greaterThan">
      <formula>1.25</formula>
    </cfRule>
    <cfRule type="cellIs" dxfId="519" priority="542" stopIfTrue="1" operator="between">
      <formula>0.75</formula>
      <formula>1.25</formula>
    </cfRule>
  </conditionalFormatting>
  <conditionalFormatting sqref="AQ249:AQ250 AQ252:AQ253">
    <cfRule type="cellIs" dxfId="518" priority="539" stopIfTrue="1" operator="between">
      <formula>0.25</formula>
      <formula>0.5</formula>
    </cfRule>
    <cfRule type="cellIs" dxfId="517" priority="540" stopIfTrue="1" operator="between">
      <formula>0</formula>
      <formula>0.25</formula>
    </cfRule>
  </conditionalFormatting>
  <conditionalFormatting sqref="AQ249:AQ250 AQ252:AQ253">
    <cfRule type="cellIs" dxfId="516" priority="538" stopIfTrue="1" operator="between">
      <formula>0.5</formula>
      <formula>0.75</formula>
    </cfRule>
  </conditionalFormatting>
  <conditionalFormatting sqref="AQ249:AQ250 AQ252:AQ253">
    <cfRule type="cellIs" dxfId="515" priority="536" stopIfTrue="1" operator="greaterThan">
      <formula>1.25</formula>
    </cfRule>
    <cfRule type="cellIs" dxfId="514" priority="537" stopIfTrue="1" operator="between">
      <formula>0.75</formula>
      <formula>1.25</formula>
    </cfRule>
  </conditionalFormatting>
  <conditionalFormatting sqref="AQ256">
    <cfRule type="cellIs" dxfId="513" priority="534" stopIfTrue="1" operator="between">
      <formula>0.25</formula>
      <formula>0.5</formula>
    </cfRule>
    <cfRule type="cellIs" dxfId="512" priority="535" stopIfTrue="1" operator="between">
      <formula>0</formula>
      <formula>0.25</formula>
    </cfRule>
  </conditionalFormatting>
  <conditionalFormatting sqref="AQ256">
    <cfRule type="cellIs" dxfId="511" priority="533" stopIfTrue="1" operator="between">
      <formula>0.5</formula>
      <formula>0.75</formula>
    </cfRule>
  </conditionalFormatting>
  <conditionalFormatting sqref="AQ256">
    <cfRule type="cellIs" dxfId="510" priority="531" stopIfTrue="1" operator="greaterThan">
      <formula>1.25</formula>
    </cfRule>
    <cfRule type="cellIs" dxfId="509" priority="532" stopIfTrue="1" operator="between">
      <formula>0.75</formula>
      <formula>1.25</formula>
    </cfRule>
  </conditionalFormatting>
  <conditionalFormatting sqref="AQ259">
    <cfRule type="cellIs" dxfId="508" priority="529" stopIfTrue="1" operator="between">
      <formula>0.25</formula>
      <formula>0.5</formula>
    </cfRule>
    <cfRule type="cellIs" dxfId="507" priority="530" stopIfTrue="1" operator="between">
      <formula>0</formula>
      <formula>0.25</formula>
    </cfRule>
  </conditionalFormatting>
  <conditionalFormatting sqref="AQ259">
    <cfRule type="cellIs" dxfId="506" priority="528" stopIfTrue="1" operator="between">
      <formula>0.5</formula>
      <formula>0.75</formula>
    </cfRule>
  </conditionalFormatting>
  <conditionalFormatting sqref="AQ259">
    <cfRule type="cellIs" dxfId="505" priority="526" stopIfTrue="1" operator="greaterThan">
      <formula>1.25</formula>
    </cfRule>
    <cfRule type="cellIs" dxfId="504" priority="527" stopIfTrue="1" operator="between">
      <formula>0.75</formula>
      <formula>1.25</formula>
    </cfRule>
  </conditionalFormatting>
  <conditionalFormatting sqref="AQ273:AQ274">
    <cfRule type="cellIs" dxfId="503" priority="524" stopIfTrue="1" operator="between">
      <formula>0.25</formula>
      <formula>0.5</formula>
    </cfRule>
    <cfRule type="cellIs" dxfId="502" priority="525" stopIfTrue="1" operator="between">
      <formula>0</formula>
      <formula>0.25</formula>
    </cfRule>
  </conditionalFormatting>
  <conditionalFormatting sqref="AQ273:AQ274">
    <cfRule type="cellIs" dxfId="501" priority="523" stopIfTrue="1" operator="between">
      <formula>0.5</formula>
      <formula>0.75</formula>
    </cfRule>
  </conditionalFormatting>
  <conditionalFormatting sqref="AQ273:AQ274">
    <cfRule type="cellIs" dxfId="500" priority="521" stopIfTrue="1" operator="greaterThan">
      <formula>1.25</formula>
    </cfRule>
    <cfRule type="cellIs" dxfId="499" priority="522" stopIfTrue="1" operator="between">
      <formula>0.75</formula>
      <formula>1.25</formula>
    </cfRule>
  </conditionalFormatting>
  <conditionalFormatting sqref="AQ277 AQ282">
    <cfRule type="cellIs" dxfId="498" priority="519" stopIfTrue="1" operator="between">
      <formula>0.25</formula>
      <formula>0.5</formula>
    </cfRule>
    <cfRule type="cellIs" dxfId="497" priority="520" stopIfTrue="1" operator="between">
      <formula>0</formula>
      <formula>0.25</formula>
    </cfRule>
  </conditionalFormatting>
  <conditionalFormatting sqref="AQ277 AQ282">
    <cfRule type="cellIs" dxfId="496" priority="518" stopIfTrue="1" operator="between">
      <formula>0.5</formula>
      <formula>0.75</formula>
    </cfRule>
  </conditionalFormatting>
  <conditionalFormatting sqref="AQ277 AQ282">
    <cfRule type="cellIs" dxfId="495" priority="516" stopIfTrue="1" operator="greaterThan">
      <formula>1.25</formula>
    </cfRule>
    <cfRule type="cellIs" dxfId="494" priority="517" stopIfTrue="1" operator="between">
      <formula>0.75</formula>
      <formula>1.25</formula>
    </cfRule>
  </conditionalFormatting>
  <conditionalFormatting sqref="AQ297:AQ298">
    <cfRule type="cellIs" dxfId="493" priority="513" stopIfTrue="1" operator="between">
      <formula>0.5</formula>
      <formula>0.75</formula>
    </cfRule>
  </conditionalFormatting>
  <conditionalFormatting sqref="AQ300:AQ301 AQ318:AQ319 AQ312 AQ337">
    <cfRule type="cellIs" dxfId="492" priority="509" stopIfTrue="1" operator="between">
      <formula>0.25</formula>
      <formula>0.5</formula>
    </cfRule>
    <cfRule type="cellIs" dxfId="491" priority="510" stopIfTrue="1" operator="between">
      <formula>0</formula>
      <formula>0.25</formula>
    </cfRule>
  </conditionalFormatting>
  <conditionalFormatting sqref="AQ300:AQ301 AQ318:AQ319 AQ312 AQ337">
    <cfRule type="cellIs" dxfId="490" priority="508" stopIfTrue="1" operator="between">
      <formula>0.5</formula>
      <formula>0.75</formula>
    </cfRule>
  </conditionalFormatting>
  <conditionalFormatting sqref="AQ300:AQ301 AQ318:AQ319 AQ312 AQ337">
    <cfRule type="cellIs" dxfId="489" priority="506" stopIfTrue="1" operator="greaterThan">
      <formula>1.25</formula>
    </cfRule>
    <cfRule type="cellIs" dxfId="488" priority="507" stopIfTrue="1" operator="between">
      <formula>0.75</formula>
      <formula>1.25</formula>
    </cfRule>
  </conditionalFormatting>
  <conditionalFormatting sqref="AQ1132:AQ1134">
    <cfRule type="cellIs" dxfId="487" priority="489" stopIfTrue="1" operator="between">
      <formula>0.25</formula>
      <formula>0.5</formula>
    </cfRule>
    <cfRule type="cellIs" dxfId="486" priority="490" stopIfTrue="1" operator="between">
      <formula>0</formula>
      <formula>0.25</formula>
    </cfRule>
  </conditionalFormatting>
  <conditionalFormatting sqref="AQ1132:AQ1134">
    <cfRule type="cellIs" dxfId="485" priority="488" stopIfTrue="1" operator="between">
      <formula>0.5</formula>
      <formula>0.75</formula>
    </cfRule>
  </conditionalFormatting>
  <conditionalFormatting sqref="AQ1132:AQ1134">
    <cfRule type="cellIs" dxfId="484" priority="486" stopIfTrue="1" operator="greaterThan">
      <formula>1.25</formula>
    </cfRule>
    <cfRule type="cellIs" dxfId="483" priority="487" stopIfTrue="1" operator="between">
      <formula>0.75</formula>
      <formula>1.25</formula>
    </cfRule>
  </conditionalFormatting>
  <conditionalFormatting sqref="AQ1137:AQ1146">
    <cfRule type="cellIs" dxfId="482" priority="484" stopIfTrue="1" operator="between">
      <formula>0.25</formula>
      <formula>0.5</formula>
    </cfRule>
    <cfRule type="cellIs" dxfId="481" priority="485" stopIfTrue="1" operator="between">
      <formula>0</formula>
      <formula>0.25</formula>
    </cfRule>
  </conditionalFormatting>
  <conditionalFormatting sqref="AQ1137:AQ1146">
    <cfRule type="cellIs" dxfId="480" priority="483" stopIfTrue="1" operator="between">
      <formula>0.5</formula>
      <formula>0.75</formula>
    </cfRule>
  </conditionalFormatting>
  <conditionalFormatting sqref="AQ1137:AQ1146">
    <cfRule type="cellIs" dxfId="479" priority="481" stopIfTrue="1" operator="greaterThan">
      <formula>1.25</formula>
    </cfRule>
    <cfRule type="cellIs" dxfId="478" priority="482" stopIfTrue="1" operator="between">
      <formula>0.75</formula>
      <formula>1.25</formula>
    </cfRule>
  </conditionalFormatting>
  <conditionalFormatting sqref="AR1000:AR1004 AR1006:AR1010 AR1012:AR1018">
    <cfRule type="cellIs" dxfId="477" priority="474" stopIfTrue="1" operator="between">
      <formula>0.25</formula>
      <formula>0.5</formula>
    </cfRule>
    <cfRule type="cellIs" dxfId="476" priority="475" stopIfTrue="1" operator="between">
      <formula>0</formula>
      <formula>0.25</formula>
    </cfRule>
  </conditionalFormatting>
  <conditionalFormatting sqref="AR1000:AR1004 AR1006:AR1010 AR1012:AR1018">
    <cfRule type="cellIs" dxfId="475" priority="473" stopIfTrue="1" operator="between">
      <formula>0.5</formula>
      <formula>0.75</formula>
    </cfRule>
  </conditionalFormatting>
  <conditionalFormatting sqref="AR1000:AR1004 AR1006:AR1010 AR1012:AR1018">
    <cfRule type="cellIs" dxfId="474" priority="471" stopIfTrue="1" operator="greaterThan">
      <formula>1.25</formula>
    </cfRule>
    <cfRule type="cellIs" dxfId="473" priority="472" stopIfTrue="1" operator="between">
      <formula>0.75</formula>
      <formula>1.25</formula>
    </cfRule>
  </conditionalFormatting>
  <conditionalFormatting sqref="AR1221:AR1225">
    <cfRule type="cellIs" dxfId="472" priority="469" stopIfTrue="1" operator="between">
      <formula>0.25</formula>
      <formula>0.5</formula>
    </cfRule>
    <cfRule type="cellIs" dxfId="471" priority="470" stopIfTrue="1" operator="between">
      <formula>0</formula>
      <formula>0.25</formula>
    </cfRule>
  </conditionalFormatting>
  <conditionalFormatting sqref="AR1221:AR1225">
    <cfRule type="cellIs" dxfId="470" priority="468" stopIfTrue="1" operator="between">
      <formula>0.5</formula>
      <formula>0.75</formula>
    </cfRule>
  </conditionalFormatting>
  <conditionalFormatting sqref="AR1221:AR1225">
    <cfRule type="cellIs" dxfId="469" priority="466" stopIfTrue="1" operator="greaterThan">
      <formula>1.25</formula>
    </cfRule>
    <cfRule type="cellIs" dxfId="468" priority="467" stopIfTrue="1" operator="between">
      <formula>0.75</formula>
      <formula>1.25</formula>
    </cfRule>
  </conditionalFormatting>
  <conditionalFormatting sqref="AR1227">
    <cfRule type="cellIs" dxfId="467" priority="464" stopIfTrue="1" operator="between">
      <formula>0.25</formula>
      <formula>0.5</formula>
    </cfRule>
    <cfRule type="cellIs" dxfId="466" priority="465" stopIfTrue="1" operator="between">
      <formula>0</formula>
      <formula>0.25</formula>
    </cfRule>
  </conditionalFormatting>
  <conditionalFormatting sqref="AR1227">
    <cfRule type="cellIs" dxfId="465" priority="463" stopIfTrue="1" operator="between">
      <formula>0.5</formula>
      <formula>0.75</formula>
    </cfRule>
  </conditionalFormatting>
  <conditionalFormatting sqref="AR21:AS67">
    <cfRule type="cellIs" dxfId="464" priority="459" stopIfTrue="1" operator="between">
      <formula>0.25</formula>
      <formula>0.5</formula>
    </cfRule>
    <cfRule type="cellIs" dxfId="463" priority="460" stopIfTrue="1" operator="between">
      <formula>0</formula>
      <formula>0.25</formula>
    </cfRule>
  </conditionalFormatting>
  <conditionalFormatting sqref="AR21:AS67">
    <cfRule type="cellIs" dxfId="462" priority="458" operator="between">
      <formula>0.5</formula>
      <formula>0.75</formula>
    </cfRule>
  </conditionalFormatting>
  <conditionalFormatting sqref="AR21:AS67">
    <cfRule type="cellIs" dxfId="461" priority="456" stopIfTrue="1" operator="greaterThan">
      <formula>1.25</formula>
    </cfRule>
    <cfRule type="cellIs" dxfId="460" priority="457" stopIfTrue="1" operator="between">
      <formula>0.75</formula>
      <formula>1.25</formula>
    </cfRule>
  </conditionalFormatting>
  <conditionalFormatting sqref="AR81:AS82">
    <cfRule type="cellIs" dxfId="459" priority="454" stopIfTrue="1" operator="between">
      <formula>0.25</formula>
      <formula>0.5</formula>
    </cfRule>
    <cfRule type="cellIs" dxfId="458" priority="455" stopIfTrue="1" operator="between">
      <formula>0</formula>
      <formula>0.25</formula>
    </cfRule>
  </conditionalFormatting>
  <conditionalFormatting sqref="AR81:AS82">
    <cfRule type="cellIs" dxfId="457" priority="453" operator="between">
      <formula>0.5</formula>
      <formula>0.75</formula>
    </cfRule>
  </conditionalFormatting>
  <conditionalFormatting sqref="AR81:AS82">
    <cfRule type="cellIs" dxfId="456" priority="451" stopIfTrue="1" operator="greaterThan">
      <formula>1.25</formula>
    </cfRule>
    <cfRule type="cellIs" dxfId="455" priority="452" stopIfTrue="1" operator="between">
      <formula>0.75</formula>
      <formula>1.25</formula>
    </cfRule>
  </conditionalFormatting>
  <conditionalFormatting sqref="AR84:AS85">
    <cfRule type="cellIs" dxfId="454" priority="449" stopIfTrue="1" operator="between">
      <formula>0.25</formula>
      <formula>0.5</formula>
    </cfRule>
    <cfRule type="cellIs" dxfId="453" priority="450" stopIfTrue="1" operator="between">
      <formula>0</formula>
      <formula>0.25</formula>
    </cfRule>
  </conditionalFormatting>
  <conditionalFormatting sqref="AR84:AS85">
    <cfRule type="cellIs" dxfId="452" priority="448" operator="between">
      <formula>0.5</formula>
      <formula>0.75</formula>
    </cfRule>
  </conditionalFormatting>
  <conditionalFormatting sqref="AR84:AS85">
    <cfRule type="cellIs" dxfId="451" priority="446" stopIfTrue="1" operator="greaterThan">
      <formula>1.25</formula>
    </cfRule>
    <cfRule type="cellIs" dxfId="450" priority="447" stopIfTrue="1" operator="between">
      <formula>0.75</formula>
      <formula>1.25</formula>
    </cfRule>
  </conditionalFormatting>
  <conditionalFormatting sqref="AR262">
    <cfRule type="cellIs" dxfId="449" priority="444" stopIfTrue="1" operator="between">
      <formula>0.25</formula>
      <formula>0.5</formula>
    </cfRule>
    <cfRule type="cellIs" dxfId="448" priority="445" stopIfTrue="1" operator="between">
      <formula>0</formula>
      <formula>0.25</formula>
    </cfRule>
  </conditionalFormatting>
  <conditionalFormatting sqref="AR262">
    <cfRule type="cellIs" dxfId="447" priority="443" operator="between">
      <formula>0.5</formula>
      <formula>0.75</formula>
    </cfRule>
  </conditionalFormatting>
  <conditionalFormatting sqref="AR262">
    <cfRule type="cellIs" dxfId="446" priority="441" stopIfTrue="1" operator="greaterThan">
      <formula>1.25</formula>
    </cfRule>
    <cfRule type="cellIs" dxfId="445" priority="442" stopIfTrue="1" operator="between">
      <formula>0.75</formula>
      <formula>1.25</formula>
    </cfRule>
  </conditionalFormatting>
  <conditionalFormatting sqref="AR265">
    <cfRule type="cellIs" dxfId="444" priority="439" stopIfTrue="1" operator="between">
      <formula>0.25</formula>
      <formula>0.5</formula>
    </cfRule>
    <cfRule type="cellIs" dxfId="443" priority="440" stopIfTrue="1" operator="between">
      <formula>0</formula>
      <formula>0.25</formula>
    </cfRule>
  </conditionalFormatting>
  <conditionalFormatting sqref="AR265">
    <cfRule type="cellIs" dxfId="442" priority="438" operator="between">
      <formula>0.5</formula>
      <formula>0.75</formula>
    </cfRule>
  </conditionalFormatting>
  <conditionalFormatting sqref="AR265">
    <cfRule type="cellIs" dxfId="441" priority="436" stopIfTrue="1" operator="greaterThan">
      <formula>1.25</formula>
    </cfRule>
    <cfRule type="cellIs" dxfId="440" priority="437" stopIfTrue="1" operator="between">
      <formula>0.75</formula>
      <formula>1.25</formula>
    </cfRule>
  </conditionalFormatting>
  <conditionalFormatting sqref="AR87:AS88">
    <cfRule type="cellIs" dxfId="439" priority="434" stopIfTrue="1" operator="between">
      <formula>0.25</formula>
      <formula>0.5</formula>
    </cfRule>
    <cfRule type="cellIs" dxfId="438" priority="435" stopIfTrue="1" operator="between">
      <formula>0</formula>
      <formula>0.25</formula>
    </cfRule>
  </conditionalFormatting>
  <conditionalFormatting sqref="AR87:AS88">
    <cfRule type="cellIs" dxfId="437" priority="433" operator="between">
      <formula>0.5</formula>
      <formula>0.75</formula>
    </cfRule>
  </conditionalFormatting>
  <conditionalFormatting sqref="AR87:AS88">
    <cfRule type="cellIs" dxfId="436" priority="431" stopIfTrue="1" operator="greaterThan">
      <formula>1.25</formula>
    </cfRule>
    <cfRule type="cellIs" dxfId="435" priority="432" stopIfTrue="1" operator="between">
      <formula>0.75</formula>
      <formula>1.25</formula>
    </cfRule>
  </conditionalFormatting>
  <conditionalFormatting sqref="AR90:AS91">
    <cfRule type="cellIs" dxfId="434" priority="429" stopIfTrue="1" operator="between">
      <formula>0.25</formula>
      <formula>0.5</formula>
    </cfRule>
    <cfRule type="cellIs" dxfId="433" priority="430" stopIfTrue="1" operator="between">
      <formula>0</formula>
      <formula>0.25</formula>
    </cfRule>
  </conditionalFormatting>
  <conditionalFormatting sqref="AR90:AS91">
    <cfRule type="cellIs" dxfId="432" priority="428" operator="between">
      <formula>0.5</formula>
      <formula>0.75</formula>
    </cfRule>
  </conditionalFormatting>
  <conditionalFormatting sqref="AR90:AS91">
    <cfRule type="cellIs" dxfId="431" priority="426" stopIfTrue="1" operator="greaterThan">
      <formula>1.25</formula>
    </cfRule>
    <cfRule type="cellIs" dxfId="430" priority="427" stopIfTrue="1" operator="between">
      <formula>0.75</formula>
      <formula>1.25</formula>
    </cfRule>
  </conditionalFormatting>
  <conditionalFormatting sqref="AR93:AS94">
    <cfRule type="cellIs" dxfId="429" priority="424" stopIfTrue="1" operator="between">
      <formula>0.25</formula>
      <formula>0.5</formula>
    </cfRule>
    <cfRule type="cellIs" dxfId="428" priority="425" stopIfTrue="1" operator="between">
      <formula>0</formula>
      <formula>0.25</formula>
    </cfRule>
  </conditionalFormatting>
  <conditionalFormatting sqref="AR93:AS94">
    <cfRule type="cellIs" dxfId="427" priority="423" operator="between">
      <formula>0.5</formula>
      <formula>0.75</formula>
    </cfRule>
  </conditionalFormatting>
  <conditionalFormatting sqref="AR93:AS94">
    <cfRule type="cellIs" dxfId="426" priority="421" stopIfTrue="1" operator="greaterThan">
      <formula>1.25</formula>
    </cfRule>
    <cfRule type="cellIs" dxfId="425" priority="422" stopIfTrue="1" operator="between">
      <formula>0.75</formula>
      <formula>1.25</formula>
    </cfRule>
  </conditionalFormatting>
  <conditionalFormatting sqref="AR96:AS97">
    <cfRule type="cellIs" dxfId="424" priority="419" stopIfTrue="1" operator="between">
      <formula>0.25</formula>
      <formula>0.5</formula>
    </cfRule>
    <cfRule type="cellIs" dxfId="423" priority="420" stopIfTrue="1" operator="between">
      <formula>0</formula>
      <formula>0.25</formula>
    </cfRule>
  </conditionalFormatting>
  <conditionalFormatting sqref="AR96:AS97">
    <cfRule type="cellIs" dxfId="422" priority="418" operator="between">
      <formula>0.5</formula>
      <formula>0.75</formula>
    </cfRule>
  </conditionalFormatting>
  <conditionalFormatting sqref="AR96:AS97">
    <cfRule type="cellIs" dxfId="421" priority="416" stopIfTrue="1" operator="greaterThan">
      <formula>1.25</formula>
    </cfRule>
    <cfRule type="cellIs" dxfId="420" priority="417" stopIfTrue="1" operator="between">
      <formula>0.75</formula>
      <formula>1.25</formula>
    </cfRule>
  </conditionalFormatting>
  <conditionalFormatting sqref="AR69:AS70">
    <cfRule type="cellIs" dxfId="419" priority="414" stopIfTrue="1" operator="between">
      <formula>0.25</formula>
      <formula>0.5</formula>
    </cfRule>
    <cfRule type="cellIs" dxfId="418" priority="415" stopIfTrue="1" operator="between">
      <formula>0</formula>
      <formula>0.25</formula>
    </cfRule>
  </conditionalFormatting>
  <conditionalFormatting sqref="AR69:AS70">
    <cfRule type="cellIs" dxfId="417" priority="413" operator="between">
      <formula>0.5</formula>
      <formula>0.75</formula>
    </cfRule>
  </conditionalFormatting>
  <conditionalFormatting sqref="AR69:AS70">
    <cfRule type="cellIs" dxfId="416" priority="411" stopIfTrue="1" operator="greaterThan">
      <formula>1.25</formula>
    </cfRule>
    <cfRule type="cellIs" dxfId="415" priority="412" stopIfTrue="1" operator="between">
      <formula>0.75</formula>
      <formula>1.25</formula>
    </cfRule>
  </conditionalFormatting>
  <conditionalFormatting sqref="AR72:AS73">
    <cfRule type="cellIs" dxfId="414" priority="409" stopIfTrue="1" operator="between">
      <formula>0.25</formula>
      <formula>0.5</formula>
    </cfRule>
    <cfRule type="cellIs" dxfId="413" priority="410" stopIfTrue="1" operator="between">
      <formula>0</formula>
      <formula>0.25</formula>
    </cfRule>
  </conditionalFormatting>
  <conditionalFormatting sqref="AR72:AS73">
    <cfRule type="cellIs" dxfId="412" priority="408" operator="between">
      <formula>0.5</formula>
      <formula>0.75</formula>
    </cfRule>
  </conditionalFormatting>
  <conditionalFormatting sqref="AR72:AS73">
    <cfRule type="cellIs" dxfId="411" priority="406" stopIfTrue="1" operator="greaterThan">
      <formula>1.25</formula>
    </cfRule>
    <cfRule type="cellIs" dxfId="410" priority="407" stopIfTrue="1" operator="between">
      <formula>0.75</formula>
      <formula>1.25</formula>
    </cfRule>
  </conditionalFormatting>
  <conditionalFormatting sqref="AS15:AS19">
    <cfRule type="cellIs" dxfId="409" priority="404" stopIfTrue="1" operator="between">
      <formula>0.25</formula>
      <formula>0.5</formula>
    </cfRule>
    <cfRule type="cellIs" dxfId="408" priority="405" stopIfTrue="1" operator="between">
      <formula>0</formula>
      <formula>0.25</formula>
    </cfRule>
  </conditionalFormatting>
  <conditionalFormatting sqref="AS15:AS19">
    <cfRule type="cellIs" dxfId="407" priority="403" operator="between">
      <formula>0.5</formula>
      <formula>0.75</formula>
    </cfRule>
  </conditionalFormatting>
  <conditionalFormatting sqref="AS15:AS19">
    <cfRule type="cellIs" dxfId="406" priority="401" stopIfTrue="1" operator="greaterThan">
      <formula>1.25</formula>
    </cfRule>
    <cfRule type="cellIs" dxfId="405" priority="402" stopIfTrue="1" operator="between">
      <formula>0.75</formula>
      <formula>1.25</formula>
    </cfRule>
  </conditionalFormatting>
  <conditionalFormatting sqref="AR1020:AR1021">
    <cfRule type="cellIs" dxfId="404" priority="399" stopIfTrue="1" operator="between">
      <formula>0.25</formula>
      <formula>0.5</formula>
    </cfRule>
    <cfRule type="cellIs" dxfId="403" priority="400" stopIfTrue="1" operator="between">
      <formula>0</formula>
      <formula>0.25</formula>
    </cfRule>
  </conditionalFormatting>
  <conditionalFormatting sqref="AR1020:AR1021">
    <cfRule type="cellIs" dxfId="402" priority="398" stopIfTrue="1" operator="between">
      <formula>0.5</formula>
      <formula>0.75</formula>
    </cfRule>
  </conditionalFormatting>
  <conditionalFormatting sqref="AR1020:AR1021">
    <cfRule type="cellIs" dxfId="401" priority="396" stopIfTrue="1" operator="greaterThan">
      <formula>1.25</formula>
    </cfRule>
    <cfRule type="cellIs" dxfId="400" priority="397" stopIfTrue="1" operator="between">
      <formula>0.75</formula>
      <formula>1.25</formula>
    </cfRule>
  </conditionalFormatting>
  <conditionalFormatting sqref="AR1023:AR1024">
    <cfRule type="cellIs" dxfId="399" priority="394" stopIfTrue="1" operator="between">
      <formula>0.25</formula>
      <formula>0.5</formula>
    </cfRule>
    <cfRule type="cellIs" dxfId="398" priority="395" stopIfTrue="1" operator="between">
      <formula>0</formula>
      <formula>0.25</formula>
    </cfRule>
  </conditionalFormatting>
  <conditionalFormatting sqref="AR1023:AR1024">
    <cfRule type="cellIs" dxfId="397" priority="393" stopIfTrue="1" operator="between">
      <formula>0.5</formula>
      <formula>0.75</formula>
    </cfRule>
  </conditionalFormatting>
  <conditionalFormatting sqref="AR1023:AR1024">
    <cfRule type="cellIs" dxfId="396" priority="391" stopIfTrue="1" operator="greaterThan">
      <formula>1.25</formula>
    </cfRule>
    <cfRule type="cellIs" dxfId="395" priority="392" stopIfTrue="1" operator="between">
      <formula>0.75</formula>
      <formula>1.25</formula>
    </cfRule>
  </conditionalFormatting>
  <conditionalFormatting sqref="AR1026:AR1027">
    <cfRule type="cellIs" dxfId="394" priority="389" stopIfTrue="1" operator="between">
      <formula>0.25</formula>
      <formula>0.5</formula>
    </cfRule>
    <cfRule type="cellIs" dxfId="393" priority="390" stopIfTrue="1" operator="between">
      <formula>0</formula>
      <formula>0.25</formula>
    </cfRule>
  </conditionalFormatting>
  <conditionalFormatting sqref="AR1026:AR1027">
    <cfRule type="cellIs" dxfId="392" priority="388" stopIfTrue="1" operator="between">
      <formula>0.5</formula>
      <formula>0.75</formula>
    </cfRule>
  </conditionalFormatting>
  <conditionalFormatting sqref="AR1026:AR1027">
    <cfRule type="cellIs" dxfId="391" priority="386" stopIfTrue="1" operator="greaterThan">
      <formula>1.25</formula>
    </cfRule>
    <cfRule type="cellIs" dxfId="390" priority="387" stopIfTrue="1" operator="between">
      <formula>0.75</formula>
      <formula>1.25</formula>
    </cfRule>
  </conditionalFormatting>
  <conditionalFormatting sqref="AS1152:AS1153">
    <cfRule type="cellIs" dxfId="389" priority="361" stopIfTrue="1" operator="greaterThan">
      <formula>1.25</formula>
    </cfRule>
    <cfRule type="cellIs" dxfId="388" priority="362" stopIfTrue="1" operator="between">
      <formula>0.75</formula>
      <formula>1.25</formula>
    </cfRule>
  </conditionalFormatting>
  <conditionalFormatting sqref="AR1029:AR1030">
    <cfRule type="cellIs" dxfId="387" priority="384" stopIfTrue="1" operator="between">
      <formula>0.25</formula>
      <formula>0.5</formula>
    </cfRule>
    <cfRule type="cellIs" dxfId="386" priority="385" stopIfTrue="1" operator="between">
      <formula>0</formula>
      <formula>0.25</formula>
    </cfRule>
  </conditionalFormatting>
  <conditionalFormatting sqref="AR1029:AR1030">
    <cfRule type="cellIs" dxfId="385" priority="383" stopIfTrue="1" operator="between">
      <formula>0.5</formula>
      <formula>0.75</formula>
    </cfRule>
  </conditionalFormatting>
  <conditionalFormatting sqref="AR1029:AR1030">
    <cfRule type="cellIs" dxfId="384" priority="381" stopIfTrue="1" operator="greaterThan">
      <formula>1.25</formula>
    </cfRule>
    <cfRule type="cellIs" dxfId="383" priority="382" stopIfTrue="1" operator="between">
      <formula>0.75</formula>
      <formula>1.25</formula>
    </cfRule>
  </conditionalFormatting>
  <conditionalFormatting sqref="AR1032:AR1033">
    <cfRule type="cellIs" dxfId="382" priority="379" stopIfTrue="1" operator="between">
      <formula>0.25</formula>
      <formula>0.5</formula>
    </cfRule>
    <cfRule type="cellIs" dxfId="381" priority="380" stopIfTrue="1" operator="between">
      <formula>0</formula>
      <formula>0.25</formula>
    </cfRule>
  </conditionalFormatting>
  <conditionalFormatting sqref="AR1032:AR1033">
    <cfRule type="cellIs" dxfId="380" priority="378" stopIfTrue="1" operator="between">
      <formula>0.5</formula>
      <formula>0.75</formula>
    </cfRule>
  </conditionalFormatting>
  <conditionalFormatting sqref="AR1032:AR1033">
    <cfRule type="cellIs" dxfId="379" priority="376" stopIfTrue="1" operator="greaterThan">
      <formula>1.25</formula>
    </cfRule>
    <cfRule type="cellIs" dxfId="378" priority="377" stopIfTrue="1" operator="between">
      <formula>0.75</formula>
      <formula>1.25</formula>
    </cfRule>
  </conditionalFormatting>
  <conditionalFormatting sqref="AS1149:AS1150">
    <cfRule type="cellIs" dxfId="377" priority="369" stopIfTrue="1" operator="between">
      <formula>0.25</formula>
      <formula>0.5</formula>
    </cfRule>
    <cfRule type="cellIs" dxfId="376" priority="370" stopIfTrue="1" operator="between">
      <formula>0</formula>
      <formula>0.25</formula>
    </cfRule>
  </conditionalFormatting>
  <conditionalFormatting sqref="AS1149:AS1150">
    <cfRule type="cellIs" dxfId="375" priority="368" stopIfTrue="1" operator="between">
      <formula>0.5</formula>
      <formula>0.75</formula>
    </cfRule>
  </conditionalFormatting>
  <conditionalFormatting sqref="AS1149:AS1150">
    <cfRule type="cellIs" dxfId="374" priority="366" stopIfTrue="1" operator="greaterThan">
      <formula>1.25</formula>
    </cfRule>
    <cfRule type="cellIs" dxfId="373" priority="367" stopIfTrue="1" operator="between">
      <formula>0.75</formula>
      <formula>1.25</formula>
    </cfRule>
  </conditionalFormatting>
  <conditionalFormatting sqref="AS1152:AS1153">
    <cfRule type="cellIs" dxfId="372" priority="364" stopIfTrue="1" operator="between">
      <formula>0.25</formula>
      <formula>0.5</formula>
    </cfRule>
    <cfRule type="cellIs" dxfId="371" priority="365" stopIfTrue="1" operator="between">
      <formula>0</formula>
      <formula>0.25</formula>
    </cfRule>
  </conditionalFormatting>
  <conditionalFormatting sqref="AS1152:AS1153">
    <cfRule type="cellIs" dxfId="370" priority="363" stopIfTrue="1" operator="between">
      <formula>0.5</formula>
      <formula>0.75</formula>
    </cfRule>
  </conditionalFormatting>
  <conditionalFormatting sqref="AR1249 AR1246 AR1242:AR1243 AR1240 AR1236 AR1234 AR1230 AR1228 AR1218:AR1219 AR1216 AR1212:AR1213 AR1209:AR1210 AR1206 AR1203:AR1204 AR1194:AR1195 AR1192 AR1188 AR1186 AR1182 AR1180 AR1176 AR1174 AR1170:AR1171 AR1167:AR1168 AR1164:AR1165 AR1158:AR1159 AR1155:AR1156 AR1152:AR1153 AR1149:AR1150 AR1146 AR1144 AR1140 AR1137:AR1138 AR1134 AR1132 AR1110 AR1108 AR1104:AR1105 AR1101:AR1102 AR1098 AR1096 AR1092:AR1093 AR1090 AR1086 AR1080:AR1081 AR1077:AR1078 AR1074:AR1075 AR1072 AR1063 AR1060 AR1056:AR1057 AR1053:AR1054 AR1051 AR1048 AR1044:AR1045 AR1041:AR1042 AR1038:AR1039 AR1035:AR1036 AR1161:AR1162">
    <cfRule type="cellIs" dxfId="369" priority="359" stopIfTrue="1" operator="between">
      <formula>0.25</formula>
      <formula>0.5</formula>
    </cfRule>
    <cfRule type="cellIs" dxfId="368" priority="360" stopIfTrue="1" operator="between">
      <formula>0</formula>
      <formula>0.25</formula>
    </cfRule>
  </conditionalFormatting>
  <conditionalFormatting sqref="AR1249 AR1246 AR1242:AR1243 AR1240 AR1236 AR1234 AR1230 AR1228 AR1218:AR1219 AR1216 AR1212:AR1213 AR1209:AR1210 AR1206 AR1203:AR1204 AR1194:AR1195 AR1192 AR1188 AR1186 AR1182 AR1180 AR1176 AR1174 AR1170:AR1171 AR1167:AR1168 AR1164:AR1165 AR1158:AR1159 AR1155:AR1156 AR1152:AR1153 AR1149:AR1150 AR1146 AR1144 AR1140 AR1137:AR1138 AR1134 AR1132 AR1110 AR1108 AR1104:AR1105 AR1101:AR1102 AR1098 AR1096 AR1092:AR1093 AR1090 AR1086 AR1080:AR1081 AR1077:AR1078 AR1074:AR1075 AR1072 AR1063 AR1060 AR1056:AR1057 AR1053:AR1054 AR1051 AR1048 AR1044:AR1045 AR1041:AR1042 AR1038:AR1039 AR1035:AR1036 AR1161:AR1162">
    <cfRule type="cellIs" dxfId="367" priority="358" stopIfTrue="1" operator="between">
      <formula>0.5</formula>
      <formula>0.75</formula>
    </cfRule>
  </conditionalFormatting>
  <conditionalFormatting sqref="AR1249 AR1246 AR1242:AR1243 AR1240 AR1236 AR1234 AR1230 AR1228 AR1218:AR1219 AR1216 AR1212:AR1213 AR1209:AR1210 AR1206 AR1203:AR1204 AR1194:AR1195 AR1192 AR1188 AR1186 AR1182 AR1180 AR1176 AR1174 AR1170:AR1171 AR1167:AR1168 AR1164:AR1165 AR1158:AR1159 AR1155:AR1156 AR1152:AR1153 AR1149:AR1150 AR1146 AR1144 AR1140 AR1137:AR1138 AR1134 AR1132 AR1110 AR1108 AR1104:AR1105 AR1101:AR1102 AR1098 AR1096 AR1092:AR1093 AR1090 AR1086 AR1080:AR1081 AR1077:AR1078 AR1074:AR1075 AR1072 AR1063 AR1060 AR1056:AR1057 AR1053:AR1054 AR1051 AR1048 AR1044:AR1045 AR1041:AR1042 AR1038:AR1039 AR1035:AR1036 AR1161:AR1162">
    <cfRule type="cellIs" dxfId="366" priority="356" stopIfTrue="1" operator="greaterThan">
      <formula>1.25</formula>
    </cfRule>
    <cfRule type="cellIs" dxfId="365" priority="357" stopIfTrue="1" operator="between">
      <formula>0.75</formula>
      <formula>1.25</formula>
    </cfRule>
  </conditionalFormatting>
  <conditionalFormatting sqref="AS1242:AS1249">
    <cfRule type="cellIs" dxfId="364" priority="354" stopIfTrue="1" operator="between">
      <formula>0.25</formula>
      <formula>0.5</formula>
    </cfRule>
    <cfRule type="cellIs" dxfId="363" priority="355" stopIfTrue="1" operator="between">
      <formula>0</formula>
      <formula>0.25</formula>
    </cfRule>
  </conditionalFormatting>
  <conditionalFormatting sqref="AS1242:AS1249">
    <cfRule type="cellIs" dxfId="362" priority="353" stopIfTrue="1" operator="between">
      <formula>0.5</formula>
      <formula>0.75</formula>
    </cfRule>
  </conditionalFormatting>
  <conditionalFormatting sqref="AS1242:AS1249">
    <cfRule type="cellIs" dxfId="361" priority="351" stopIfTrue="1" operator="greaterThan">
      <formula>1.25</formula>
    </cfRule>
    <cfRule type="cellIs" dxfId="360" priority="352" stopIfTrue="1" operator="between">
      <formula>0.75</formula>
      <formula>1.25</formula>
    </cfRule>
  </conditionalFormatting>
  <conditionalFormatting sqref="AS1155:AS1219">
    <cfRule type="cellIs" dxfId="359" priority="349" stopIfTrue="1" operator="between">
      <formula>0.25</formula>
      <formula>0.5</formula>
    </cfRule>
    <cfRule type="cellIs" dxfId="358" priority="350" stopIfTrue="1" operator="between">
      <formula>0</formula>
      <formula>0.25</formula>
    </cfRule>
  </conditionalFormatting>
  <conditionalFormatting sqref="AS1155:AS1219">
    <cfRule type="cellIs" dxfId="357" priority="348" stopIfTrue="1" operator="between">
      <formula>0.5</formula>
      <formula>0.75</formula>
    </cfRule>
  </conditionalFormatting>
  <conditionalFormatting sqref="AS1155:AS1219">
    <cfRule type="cellIs" dxfId="356" priority="346" stopIfTrue="1" operator="greaterThan">
      <formula>1.25</formula>
    </cfRule>
    <cfRule type="cellIs" dxfId="355" priority="347" stopIfTrue="1" operator="between">
      <formula>0.75</formula>
      <formula>1.25</formula>
    </cfRule>
  </conditionalFormatting>
  <conditionalFormatting sqref="AS213:AS578 AS585:AS1081 AS580:AS583">
    <cfRule type="cellIs" dxfId="354" priority="344" stopIfTrue="1" operator="between">
      <formula>0.25</formula>
      <formula>0.5</formula>
    </cfRule>
    <cfRule type="cellIs" dxfId="353" priority="345" stopIfTrue="1" operator="between">
      <formula>0</formula>
      <formula>0.25</formula>
    </cfRule>
  </conditionalFormatting>
  <conditionalFormatting sqref="AS213:AS578 AS585:AS1081 AS580:AS583">
    <cfRule type="cellIs" dxfId="352" priority="343" stopIfTrue="1" operator="between">
      <formula>0.5</formula>
      <formula>0.75</formula>
    </cfRule>
  </conditionalFormatting>
  <conditionalFormatting sqref="AS213:AS578 AS585:AS1081 AS580:AS583">
    <cfRule type="cellIs" dxfId="351" priority="341" stopIfTrue="1" operator="greaterThan">
      <formula>1.25</formula>
    </cfRule>
    <cfRule type="cellIs" dxfId="350" priority="342" stopIfTrue="1" operator="between">
      <formula>0.75</formula>
      <formula>1.25</formula>
    </cfRule>
  </conditionalFormatting>
  <conditionalFormatting sqref="AR213:AR217">
    <cfRule type="cellIs" dxfId="349" priority="339" stopIfTrue="1" operator="between">
      <formula>0.25</formula>
      <formula>0.5</formula>
    </cfRule>
    <cfRule type="cellIs" dxfId="348" priority="340" stopIfTrue="1" operator="between">
      <formula>0</formula>
      <formula>0.25</formula>
    </cfRule>
  </conditionalFormatting>
  <conditionalFormatting sqref="AR213:AR217">
    <cfRule type="cellIs" dxfId="347" priority="338" operator="between">
      <formula>0.5</formula>
      <formula>0.75</formula>
    </cfRule>
  </conditionalFormatting>
  <conditionalFormatting sqref="AR213:AR217">
    <cfRule type="cellIs" dxfId="346" priority="336" stopIfTrue="1" operator="greaterThan">
      <formula>1.25</formula>
    </cfRule>
    <cfRule type="cellIs" dxfId="345" priority="337" stopIfTrue="1" operator="between">
      <formula>0.75</formula>
      <formula>1.25</formula>
    </cfRule>
  </conditionalFormatting>
  <conditionalFormatting sqref="AR378:AR393 AR395 AR397:AR413 AR415:AR418 AR420:AR421">
    <cfRule type="cellIs" dxfId="344" priority="334" stopIfTrue="1" operator="between">
      <formula>0.25</formula>
      <formula>0.5</formula>
    </cfRule>
    <cfRule type="cellIs" dxfId="343" priority="335" stopIfTrue="1" operator="between">
      <formula>0</formula>
      <formula>0.25</formula>
    </cfRule>
  </conditionalFormatting>
  <conditionalFormatting sqref="AR378:AR393 AR395 AR397:AR413 AR415:AR418 AR420:AR421">
    <cfRule type="cellIs" dxfId="342" priority="333" operator="between">
      <formula>0.5</formula>
      <formula>0.75</formula>
    </cfRule>
  </conditionalFormatting>
  <conditionalFormatting sqref="AR378:AR393 AR395 AR397:AR413 AR415:AR418 AR420:AR421">
    <cfRule type="cellIs" dxfId="341" priority="331" stopIfTrue="1" operator="greaterThan">
      <formula>1.25</formula>
    </cfRule>
    <cfRule type="cellIs" dxfId="340" priority="332" stopIfTrue="1" operator="between">
      <formula>0.75</formula>
      <formula>1.25</formula>
    </cfRule>
  </conditionalFormatting>
  <conditionalFormatting sqref="AR435:AR436 AR502:AR503 AR461:AR465 AR467:AR489 AR491 AR493:AR500 AR505:AR522 AR438:AR459">
    <cfRule type="cellIs" dxfId="339" priority="329" stopIfTrue="1" operator="between">
      <formula>0.25</formula>
      <formula>0.5</formula>
    </cfRule>
    <cfRule type="cellIs" dxfId="338" priority="330" stopIfTrue="1" operator="between">
      <formula>0</formula>
      <formula>0.25</formula>
    </cfRule>
  </conditionalFormatting>
  <conditionalFormatting sqref="AR435:AR436 AR502:AR503 AR461:AR465 AR467:AR489 AR491 AR493:AR500 AR505:AR522 AR438:AR459">
    <cfRule type="cellIs" dxfId="337" priority="328" operator="between">
      <formula>0.5</formula>
      <formula>0.75</formula>
    </cfRule>
  </conditionalFormatting>
  <conditionalFormatting sqref="AR435:AR436 AR502:AR503 AR461:AR465 AR467:AR489 AR491 AR493:AR500 AR505:AR522 AR438:AR459">
    <cfRule type="cellIs" dxfId="336" priority="326" stopIfTrue="1" operator="greaterThan">
      <formula>1.25</formula>
    </cfRule>
    <cfRule type="cellIs" dxfId="335" priority="327" stopIfTrue="1" operator="between">
      <formula>0.75</formula>
      <formula>1.25</formula>
    </cfRule>
  </conditionalFormatting>
  <conditionalFormatting sqref="AR532:AR535">
    <cfRule type="cellIs" dxfId="334" priority="324" stopIfTrue="1" operator="between">
      <formula>0.25</formula>
      <formula>0.5</formula>
    </cfRule>
    <cfRule type="cellIs" dxfId="333" priority="325" stopIfTrue="1" operator="between">
      <formula>0</formula>
      <formula>0.25</formula>
    </cfRule>
  </conditionalFormatting>
  <conditionalFormatting sqref="AR532:AR535">
    <cfRule type="cellIs" dxfId="332" priority="323" operator="between">
      <formula>0.5</formula>
      <formula>0.75</formula>
    </cfRule>
  </conditionalFormatting>
  <conditionalFormatting sqref="AR532:AR535">
    <cfRule type="cellIs" dxfId="331" priority="321" stopIfTrue="1" operator="greaterThan">
      <formula>1.25</formula>
    </cfRule>
    <cfRule type="cellIs" dxfId="330" priority="322" stopIfTrue="1" operator="between">
      <formula>0.75</formula>
      <formula>1.25</formula>
    </cfRule>
  </conditionalFormatting>
  <conditionalFormatting sqref="AR625:AR722 AR724:AR746 AR749 AR751:AR767 AR769:AR805">
    <cfRule type="cellIs" dxfId="329" priority="319" stopIfTrue="1" operator="between">
      <formula>0.25</formula>
      <formula>0.5</formula>
    </cfRule>
    <cfRule type="cellIs" dxfId="328" priority="320" stopIfTrue="1" operator="between">
      <formula>0</formula>
      <formula>0.25</formula>
    </cfRule>
  </conditionalFormatting>
  <conditionalFormatting sqref="AR625:AR722 AR724:AR746 AR749 AR751:AR767 AR769:AR805">
    <cfRule type="cellIs" dxfId="327" priority="318" stopIfTrue="1" operator="between">
      <formula>0.5</formula>
      <formula>0.75</formula>
    </cfRule>
  </conditionalFormatting>
  <conditionalFormatting sqref="AR625:AR722 AR724:AR746 AR749 AR751:AR767 AR769:AR805">
    <cfRule type="cellIs" dxfId="326" priority="316" stopIfTrue="1" operator="greaterThan">
      <formula>1.25</formula>
    </cfRule>
    <cfRule type="cellIs" dxfId="325" priority="317" stopIfTrue="1" operator="between">
      <formula>0.75</formula>
      <formula>1.25</formula>
    </cfRule>
  </conditionalFormatting>
  <conditionalFormatting sqref="AR579:AR580">
    <cfRule type="cellIs" dxfId="324" priority="314" stopIfTrue="1" operator="between">
      <formula>0.25</formula>
      <formula>0.5</formula>
    </cfRule>
    <cfRule type="cellIs" dxfId="323" priority="315" stopIfTrue="1" operator="between">
      <formula>0</formula>
      <formula>0.25</formula>
    </cfRule>
  </conditionalFormatting>
  <conditionalFormatting sqref="AR579:AR580">
    <cfRule type="cellIs" dxfId="322" priority="313" stopIfTrue="1" operator="between">
      <formula>0.5</formula>
      <formula>0.75</formula>
    </cfRule>
  </conditionalFormatting>
  <conditionalFormatting sqref="AR579:AR580">
    <cfRule type="cellIs" dxfId="321" priority="311" stopIfTrue="1" operator="greaterThan">
      <formula>1.25</formula>
    </cfRule>
    <cfRule type="cellIs" dxfId="320" priority="312" stopIfTrue="1" operator="between">
      <formula>0.75</formula>
      <formula>1.25</formula>
    </cfRule>
  </conditionalFormatting>
  <conditionalFormatting sqref="AR582:AR583">
    <cfRule type="cellIs" dxfId="319" priority="309" stopIfTrue="1" operator="between">
      <formula>0.25</formula>
      <formula>0.5</formula>
    </cfRule>
    <cfRule type="cellIs" dxfId="318" priority="310" stopIfTrue="1" operator="between">
      <formula>0</formula>
      <formula>0.25</formula>
    </cfRule>
  </conditionalFormatting>
  <conditionalFormatting sqref="AR582:AR583">
    <cfRule type="cellIs" dxfId="317" priority="308" stopIfTrue="1" operator="between">
      <formula>0.5</formula>
      <formula>0.75</formula>
    </cfRule>
  </conditionalFormatting>
  <conditionalFormatting sqref="AR582:AR583">
    <cfRule type="cellIs" dxfId="316" priority="306" stopIfTrue="1" operator="greaterThan">
      <formula>1.25</formula>
    </cfRule>
    <cfRule type="cellIs" dxfId="315" priority="307" stopIfTrue="1" operator="between">
      <formula>0.75</formula>
      <formula>1.25</formula>
    </cfRule>
  </conditionalFormatting>
  <conditionalFormatting sqref="AR531">
    <cfRule type="cellIs" dxfId="314" priority="304" stopIfTrue="1" operator="between">
      <formula>0.25</formula>
      <formula>0.5</formula>
    </cfRule>
    <cfRule type="cellIs" dxfId="313" priority="305" stopIfTrue="1" operator="between">
      <formula>0</formula>
      <formula>0.25</formula>
    </cfRule>
  </conditionalFormatting>
  <conditionalFormatting sqref="AR531">
    <cfRule type="cellIs" dxfId="312" priority="303" stopIfTrue="1" operator="between">
      <formula>0.5</formula>
      <formula>0.75</formula>
    </cfRule>
  </conditionalFormatting>
  <conditionalFormatting sqref="AR531">
    <cfRule type="cellIs" dxfId="311" priority="301" stopIfTrue="1" operator="greaterThan">
      <formula>1.25</formula>
    </cfRule>
    <cfRule type="cellIs" dxfId="310" priority="302" stopIfTrue="1" operator="between">
      <formula>0.75</formula>
      <formula>1.25</formula>
    </cfRule>
  </conditionalFormatting>
  <conditionalFormatting sqref="AR621:AR622">
    <cfRule type="cellIs" dxfId="309" priority="299" stopIfTrue="1" operator="between">
      <formula>0.25</formula>
      <formula>0.5</formula>
    </cfRule>
    <cfRule type="cellIs" dxfId="308" priority="300" stopIfTrue="1" operator="between">
      <formula>0</formula>
      <formula>0.25</formula>
    </cfRule>
  </conditionalFormatting>
  <conditionalFormatting sqref="AR621:AR622">
    <cfRule type="cellIs" dxfId="307" priority="298" stopIfTrue="1" operator="between">
      <formula>0.5</formula>
      <formula>0.75</formula>
    </cfRule>
  </conditionalFormatting>
  <conditionalFormatting sqref="AR621:AR622">
    <cfRule type="cellIs" dxfId="306" priority="296" stopIfTrue="1" operator="greaterThan">
      <formula>1.25</formula>
    </cfRule>
    <cfRule type="cellIs" dxfId="305" priority="297" stopIfTrue="1" operator="between">
      <formula>0.75</formula>
      <formula>1.25</formula>
    </cfRule>
  </conditionalFormatting>
  <conditionalFormatting sqref="AR624">
    <cfRule type="cellIs" dxfId="304" priority="294" stopIfTrue="1" operator="between">
      <formula>0.25</formula>
      <formula>0.5</formula>
    </cfRule>
    <cfRule type="cellIs" dxfId="303" priority="295" stopIfTrue="1" operator="between">
      <formula>0</formula>
      <formula>0.25</formula>
    </cfRule>
  </conditionalFormatting>
  <conditionalFormatting sqref="AR624">
    <cfRule type="cellIs" dxfId="302" priority="293" stopIfTrue="1" operator="between">
      <formula>0.5</formula>
      <formula>0.75</formula>
    </cfRule>
  </conditionalFormatting>
  <conditionalFormatting sqref="AR624">
    <cfRule type="cellIs" dxfId="301" priority="291" stopIfTrue="1" operator="greaterThan">
      <formula>1.25</formula>
    </cfRule>
    <cfRule type="cellIs" dxfId="300" priority="292" stopIfTrue="1" operator="between">
      <formula>0.75</formula>
      <formula>1.25</formula>
    </cfRule>
  </conditionalFormatting>
  <conditionalFormatting sqref="AR987:AR991">
    <cfRule type="cellIs" dxfId="299" priority="289" stopIfTrue="1" operator="between">
      <formula>0.25</formula>
      <formula>0.5</formula>
    </cfRule>
    <cfRule type="cellIs" dxfId="298" priority="290" stopIfTrue="1" operator="between">
      <formula>0</formula>
      <formula>0.25</formula>
    </cfRule>
  </conditionalFormatting>
  <conditionalFormatting sqref="AR987:AR991">
    <cfRule type="cellIs" dxfId="297" priority="288" stopIfTrue="1" operator="between">
      <formula>0.5</formula>
      <formula>0.75</formula>
    </cfRule>
  </conditionalFormatting>
  <conditionalFormatting sqref="AR987:AR991">
    <cfRule type="cellIs" dxfId="296" priority="286" stopIfTrue="1" operator="greaterThan">
      <formula>1.25</formula>
    </cfRule>
    <cfRule type="cellIs" dxfId="295" priority="287" stopIfTrue="1" operator="between">
      <formula>0.75</formula>
      <formula>1.25</formula>
    </cfRule>
  </conditionalFormatting>
  <conditionalFormatting sqref="AR975">
    <cfRule type="cellIs" dxfId="294" priority="284" stopIfTrue="1" operator="between">
      <formula>0.25</formula>
      <formula>0.5</formula>
    </cfRule>
    <cfRule type="cellIs" dxfId="293" priority="285" stopIfTrue="1" operator="between">
      <formula>0</formula>
      <formula>0.25</formula>
    </cfRule>
  </conditionalFormatting>
  <conditionalFormatting sqref="AR975">
    <cfRule type="cellIs" dxfId="292" priority="283" stopIfTrue="1" operator="between">
      <formula>0.5</formula>
      <formula>0.75</formula>
    </cfRule>
  </conditionalFormatting>
  <conditionalFormatting sqref="AR975">
    <cfRule type="cellIs" dxfId="291" priority="281" stopIfTrue="1" operator="greaterThan">
      <formula>1.25</formula>
    </cfRule>
    <cfRule type="cellIs" dxfId="290" priority="282" stopIfTrue="1" operator="between">
      <formula>0.75</formula>
      <formula>1.25</formula>
    </cfRule>
  </conditionalFormatting>
  <conditionalFormatting sqref="AR936">
    <cfRule type="cellIs" dxfId="289" priority="246" stopIfTrue="1" operator="greaterThan">
      <formula>1.25</formula>
    </cfRule>
    <cfRule type="cellIs" dxfId="288" priority="247" stopIfTrue="1" operator="between">
      <formula>0.75</formula>
      <formula>1.25</formula>
    </cfRule>
  </conditionalFormatting>
  <conditionalFormatting sqref="AR996 AR978 AR960">
    <cfRule type="cellIs" dxfId="287" priority="279" stopIfTrue="1" operator="between">
      <formula>0.25</formula>
      <formula>0.5</formula>
    </cfRule>
    <cfRule type="cellIs" dxfId="286" priority="280" stopIfTrue="1" operator="between">
      <formula>0</formula>
      <formula>0.25</formula>
    </cfRule>
  </conditionalFormatting>
  <conditionalFormatting sqref="AR996 AR978 AR960">
    <cfRule type="cellIs" dxfId="285" priority="278" stopIfTrue="1" operator="between">
      <formula>0.5</formula>
      <formula>0.75</formula>
    </cfRule>
  </conditionalFormatting>
  <conditionalFormatting sqref="AR996 AR978 AR960">
    <cfRule type="cellIs" dxfId="284" priority="276" stopIfTrue="1" operator="greaterThan">
      <formula>1.25</formula>
    </cfRule>
    <cfRule type="cellIs" dxfId="283" priority="277" stopIfTrue="1" operator="between">
      <formula>0.75</formula>
      <formula>1.25</formula>
    </cfRule>
  </conditionalFormatting>
  <conditionalFormatting sqref="AR873">
    <cfRule type="cellIs" dxfId="282" priority="274" stopIfTrue="1" operator="between">
      <formula>0.25</formula>
      <formula>0.5</formula>
    </cfRule>
    <cfRule type="cellIs" dxfId="281" priority="275" stopIfTrue="1" operator="between">
      <formula>0</formula>
      <formula>0.25</formula>
    </cfRule>
  </conditionalFormatting>
  <conditionalFormatting sqref="AR873">
    <cfRule type="cellIs" dxfId="280" priority="273" stopIfTrue="1" operator="between">
      <formula>0.5</formula>
      <formula>0.75</formula>
    </cfRule>
  </conditionalFormatting>
  <conditionalFormatting sqref="AR873">
    <cfRule type="cellIs" dxfId="279" priority="271" stopIfTrue="1" operator="greaterThan">
      <formula>1.25</formula>
    </cfRule>
    <cfRule type="cellIs" dxfId="278" priority="272" stopIfTrue="1" operator="between">
      <formula>0.75</formula>
      <formula>1.25</formula>
    </cfRule>
  </conditionalFormatting>
  <conditionalFormatting sqref="AR891">
    <cfRule type="cellIs" dxfId="277" priority="269" stopIfTrue="1" operator="between">
      <formula>0.25</formula>
      <formula>0.5</formula>
    </cfRule>
    <cfRule type="cellIs" dxfId="276" priority="270" stopIfTrue="1" operator="between">
      <formula>0</formula>
      <formula>0.25</formula>
    </cfRule>
  </conditionalFormatting>
  <conditionalFormatting sqref="AR891">
    <cfRule type="cellIs" dxfId="275" priority="268" stopIfTrue="1" operator="between">
      <formula>0.5</formula>
      <formula>0.75</formula>
    </cfRule>
  </conditionalFormatting>
  <conditionalFormatting sqref="AR891">
    <cfRule type="cellIs" dxfId="274" priority="266" stopIfTrue="1" operator="greaterThan">
      <formula>1.25</formula>
    </cfRule>
    <cfRule type="cellIs" dxfId="273" priority="267" stopIfTrue="1" operator="between">
      <formula>0.75</formula>
      <formula>1.25</formula>
    </cfRule>
  </conditionalFormatting>
  <conditionalFormatting sqref="AR1059">
    <cfRule type="cellIs" dxfId="272" priority="264" stopIfTrue="1" operator="between">
      <formula>0.25</formula>
      <formula>0.5</formula>
    </cfRule>
    <cfRule type="cellIs" dxfId="271" priority="265" stopIfTrue="1" operator="between">
      <formula>0</formula>
      <formula>0.25</formula>
    </cfRule>
  </conditionalFormatting>
  <conditionalFormatting sqref="AR1059">
    <cfRule type="cellIs" dxfId="270" priority="263" stopIfTrue="1" operator="between">
      <formula>0.5</formula>
      <formula>0.75</formula>
    </cfRule>
  </conditionalFormatting>
  <conditionalFormatting sqref="AR1059">
    <cfRule type="cellIs" dxfId="269" priority="261" stopIfTrue="1" operator="greaterThan">
      <formula>1.25</formula>
    </cfRule>
    <cfRule type="cellIs" dxfId="268" priority="262" stopIfTrue="1" operator="between">
      <formula>0.75</formula>
      <formula>1.25</formula>
    </cfRule>
  </conditionalFormatting>
  <conditionalFormatting sqref="AR858">
    <cfRule type="cellIs" dxfId="267" priority="259" stopIfTrue="1" operator="between">
      <formula>0.25</formula>
      <formula>0.5</formula>
    </cfRule>
    <cfRule type="cellIs" dxfId="266" priority="260" stopIfTrue="1" operator="between">
      <formula>0</formula>
      <formula>0.25</formula>
    </cfRule>
  </conditionalFormatting>
  <conditionalFormatting sqref="AR858">
    <cfRule type="cellIs" dxfId="265" priority="258" stopIfTrue="1" operator="between">
      <formula>0.5</formula>
      <formula>0.75</formula>
    </cfRule>
  </conditionalFormatting>
  <conditionalFormatting sqref="AR858">
    <cfRule type="cellIs" dxfId="264" priority="256" stopIfTrue="1" operator="greaterThan">
      <formula>1.25</formula>
    </cfRule>
    <cfRule type="cellIs" dxfId="263" priority="257" stopIfTrue="1" operator="between">
      <formula>0.75</formula>
      <formula>1.25</formula>
    </cfRule>
  </conditionalFormatting>
  <conditionalFormatting sqref="AR924">
    <cfRule type="cellIs" dxfId="262" priority="254" stopIfTrue="1" operator="between">
      <formula>0.25</formula>
      <formula>0.5</formula>
    </cfRule>
    <cfRule type="cellIs" dxfId="261" priority="255" stopIfTrue="1" operator="between">
      <formula>0</formula>
      <formula>0.25</formula>
    </cfRule>
  </conditionalFormatting>
  <conditionalFormatting sqref="AR924">
    <cfRule type="cellIs" dxfId="260" priority="253" stopIfTrue="1" operator="between">
      <formula>0.5</formula>
      <formula>0.75</formula>
    </cfRule>
  </conditionalFormatting>
  <conditionalFormatting sqref="AR924">
    <cfRule type="cellIs" dxfId="259" priority="251" stopIfTrue="1" operator="greaterThan">
      <formula>1.25</formula>
    </cfRule>
    <cfRule type="cellIs" dxfId="258" priority="252" stopIfTrue="1" operator="between">
      <formula>0.75</formula>
      <formula>1.25</formula>
    </cfRule>
  </conditionalFormatting>
  <conditionalFormatting sqref="AR936">
    <cfRule type="cellIs" dxfId="257" priority="249" stopIfTrue="1" operator="between">
      <formula>0.25</formula>
      <formula>0.5</formula>
    </cfRule>
    <cfRule type="cellIs" dxfId="256" priority="250" stopIfTrue="1" operator="between">
      <formula>0</formula>
      <formula>0.25</formula>
    </cfRule>
  </conditionalFormatting>
  <conditionalFormatting sqref="AR936">
    <cfRule type="cellIs" dxfId="255" priority="248" stopIfTrue="1" operator="between">
      <formula>0.5</formula>
      <formula>0.75</formula>
    </cfRule>
  </conditionalFormatting>
  <conditionalFormatting sqref="AR10">
    <cfRule type="cellIs" dxfId="254" priority="244" stopIfTrue="1" operator="between">
      <formula>0.25</formula>
      <formula>0.5</formula>
    </cfRule>
    <cfRule type="cellIs" dxfId="253" priority="245" stopIfTrue="1" operator="between">
      <formula>0</formula>
      <formula>0.25</formula>
    </cfRule>
  </conditionalFormatting>
  <conditionalFormatting sqref="AR10">
    <cfRule type="cellIs" dxfId="252" priority="243" operator="between">
      <formula>0.5</formula>
      <formula>0.75</formula>
    </cfRule>
  </conditionalFormatting>
  <conditionalFormatting sqref="AR10">
    <cfRule type="cellIs" dxfId="251" priority="241" stopIfTrue="1" operator="greaterThan">
      <formula>1.25</formula>
    </cfRule>
    <cfRule type="cellIs" dxfId="250" priority="242" stopIfTrue="1" operator="between">
      <formula>0.75</formula>
      <formula>1.25</formula>
    </cfRule>
  </conditionalFormatting>
  <conditionalFormatting sqref="AR12:AR13">
    <cfRule type="cellIs" dxfId="249" priority="239" stopIfTrue="1" operator="between">
      <formula>0.25</formula>
      <formula>0.5</formula>
    </cfRule>
    <cfRule type="cellIs" dxfId="248" priority="240" stopIfTrue="1" operator="between">
      <formula>0</formula>
      <formula>0.25</formula>
    </cfRule>
  </conditionalFormatting>
  <conditionalFormatting sqref="AR12:AR13">
    <cfRule type="cellIs" dxfId="247" priority="238" operator="between">
      <formula>0.5</formula>
      <formula>0.75</formula>
    </cfRule>
  </conditionalFormatting>
  <conditionalFormatting sqref="AR12:AR13">
    <cfRule type="cellIs" dxfId="246" priority="236" stopIfTrue="1" operator="greaterThan">
      <formula>1.25</formula>
    </cfRule>
    <cfRule type="cellIs" dxfId="245" priority="237" stopIfTrue="1" operator="between">
      <formula>0.75</formula>
      <formula>1.25</formula>
    </cfRule>
  </conditionalFormatting>
  <conditionalFormatting sqref="AS10">
    <cfRule type="cellIs" dxfId="244" priority="234" stopIfTrue="1" operator="between">
      <formula>0.25</formula>
      <formula>0.5</formula>
    </cfRule>
    <cfRule type="cellIs" dxfId="243" priority="235" stopIfTrue="1" operator="between">
      <formula>0</formula>
      <formula>0.25</formula>
    </cfRule>
  </conditionalFormatting>
  <conditionalFormatting sqref="AS10">
    <cfRule type="cellIs" dxfId="242" priority="233" operator="between">
      <formula>0.5</formula>
      <formula>0.75</formula>
    </cfRule>
  </conditionalFormatting>
  <conditionalFormatting sqref="AS10">
    <cfRule type="cellIs" dxfId="241" priority="231" stopIfTrue="1" operator="greaterThan">
      <formula>1.25</formula>
    </cfRule>
    <cfRule type="cellIs" dxfId="240" priority="232" stopIfTrue="1" operator="between">
      <formula>0.75</formula>
      <formula>1.25</formula>
    </cfRule>
  </conditionalFormatting>
  <conditionalFormatting sqref="AS12:AS13">
    <cfRule type="cellIs" dxfId="239" priority="229" stopIfTrue="1" operator="between">
      <formula>0.25</formula>
      <formula>0.5</formula>
    </cfRule>
    <cfRule type="cellIs" dxfId="238" priority="230" stopIfTrue="1" operator="between">
      <formula>0</formula>
      <formula>0.25</formula>
    </cfRule>
  </conditionalFormatting>
  <conditionalFormatting sqref="AS12:AS13">
    <cfRule type="cellIs" dxfId="237" priority="228" operator="between">
      <formula>0.5</formula>
      <formula>0.75</formula>
    </cfRule>
  </conditionalFormatting>
  <conditionalFormatting sqref="AS12:AS13">
    <cfRule type="cellIs" dxfId="236" priority="226" stopIfTrue="1" operator="greaterThan">
      <formula>1.25</formula>
    </cfRule>
    <cfRule type="cellIs" dxfId="235" priority="227" stopIfTrue="1" operator="between">
      <formula>0.75</formula>
      <formula>1.25</formula>
    </cfRule>
  </conditionalFormatting>
  <conditionalFormatting sqref="AR222">
    <cfRule type="cellIs" dxfId="234" priority="224" stopIfTrue="1" operator="between">
      <formula>0.25</formula>
      <formula>0.5</formula>
    </cfRule>
    <cfRule type="cellIs" dxfId="233" priority="225" stopIfTrue="1" operator="between">
      <formula>0</formula>
      <formula>0.25</formula>
    </cfRule>
  </conditionalFormatting>
  <conditionalFormatting sqref="AR222">
    <cfRule type="cellIs" dxfId="232" priority="223" operator="between">
      <formula>0.5</formula>
      <formula>0.75</formula>
    </cfRule>
  </conditionalFormatting>
  <conditionalFormatting sqref="AR222">
    <cfRule type="cellIs" dxfId="231" priority="221" stopIfTrue="1" operator="greaterThan">
      <formula>1.25</formula>
    </cfRule>
    <cfRule type="cellIs" dxfId="230" priority="222" stopIfTrue="1" operator="between">
      <formula>0.75</formula>
      <formula>1.25</formula>
    </cfRule>
  </conditionalFormatting>
  <conditionalFormatting sqref="AR562">
    <cfRule type="cellIs" dxfId="229" priority="219" stopIfTrue="1" operator="between">
      <formula>0.25</formula>
      <formula>0.5</formula>
    </cfRule>
    <cfRule type="cellIs" dxfId="228" priority="220" stopIfTrue="1" operator="between">
      <formula>0</formula>
      <formula>0.25</formula>
    </cfRule>
  </conditionalFormatting>
  <conditionalFormatting sqref="AR562">
    <cfRule type="cellIs" dxfId="227" priority="218" operator="between">
      <formula>0.5</formula>
      <formula>0.75</formula>
    </cfRule>
  </conditionalFormatting>
  <conditionalFormatting sqref="AR562">
    <cfRule type="cellIs" dxfId="226" priority="216" stopIfTrue="1" operator="greaterThan">
      <formula>1.25</formula>
    </cfRule>
    <cfRule type="cellIs" dxfId="225" priority="217" stopIfTrue="1" operator="between">
      <formula>0.75</formula>
      <formula>1.25</formula>
    </cfRule>
  </conditionalFormatting>
  <conditionalFormatting sqref="AR564">
    <cfRule type="cellIs" dxfId="224" priority="214" stopIfTrue="1" operator="between">
      <formula>0.25</formula>
      <formula>0.5</formula>
    </cfRule>
    <cfRule type="cellIs" dxfId="223" priority="215" stopIfTrue="1" operator="between">
      <formula>0</formula>
      <formula>0.25</formula>
    </cfRule>
  </conditionalFormatting>
  <conditionalFormatting sqref="AR564">
    <cfRule type="cellIs" dxfId="222" priority="213" stopIfTrue="1" operator="between">
      <formula>0.5</formula>
      <formula>0.75</formula>
    </cfRule>
  </conditionalFormatting>
  <conditionalFormatting sqref="AR564">
    <cfRule type="cellIs" dxfId="221" priority="211" stopIfTrue="1" operator="greaterThan">
      <formula>1.25</formula>
    </cfRule>
    <cfRule type="cellIs" dxfId="220" priority="212" stopIfTrue="1" operator="between">
      <formula>0.75</formula>
      <formula>1.25</formula>
    </cfRule>
  </conditionalFormatting>
  <conditionalFormatting sqref="AR612 AR606">
    <cfRule type="cellIs" dxfId="219" priority="209" stopIfTrue="1" operator="between">
      <formula>0.25</formula>
      <formula>0.5</formula>
    </cfRule>
    <cfRule type="cellIs" dxfId="218" priority="210" stopIfTrue="1" operator="between">
      <formula>0</formula>
      <formula>0.25</formula>
    </cfRule>
  </conditionalFormatting>
  <conditionalFormatting sqref="AR612 AR606">
    <cfRule type="cellIs" dxfId="217" priority="208" stopIfTrue="1" operator="between">
      <formula>0.5</formula>
      <formula>0.75</formula>
    </cfRule>
  </conditionalFormatting>
  <conditionalFormatting sqref="AR612 AR606">
    <cfRule type="cellIs" dxfId="216" priority="206" stopIfTrue="1" operator="greaterThan">
      <formula>1.25</formula>
    </cfRule>
    <cfRule type="cellIs" dxfId="215" priority="207" stopIfTrue="1" operator="between">
      <formula>0.75</formula>
      <formula>1.25</formula>
    </cfRule>
  </conditionalFormatting>
  <conditionalFormatting sqref="AR613">
    <cfRule type="cellIs" dxfId="214" priority="204" stopIfTrue="1" operator="between">
      <formula>0.25</formula>
      <formula>0.5</formula>
    </cfRule>
    <cfRule type="cellIs" dxfId="213" priority="205" stopIfTrue="1" operator="between">
      <formula>0</formula>
      <formula>0.25</formula>
    </cfRule>
  </conditionalFormatting>
  <conditionalFormatting sqref="AR613">
    <cfRule type="cellIs" dxfId="212" priority="203" stopIfTrue="1" operator="between">
      <formula>0.5</formula>
      <formula>0.75</formula>
    </cfRule>
  </conditionalFormatting>
  <conditionalFormatting sqref="AR613">
    <cfRule type="cellIs" dxfId="211" priority="201" stopIfTrue="1" operator="greaterThan">
      <formula>1.25</formula>
    </cfRule>
    <cfRule type="cellIs" dxfId="210" priority="202" stopIfTrue="1" operator="between">
      <formula>0.75</formula>
      <formula>1.25</formula>
    </cfRule>
  </conditionalFormatting>
  <conditionalFormatting sqref="AR183">
    <cfRule type="cellIs" dxfId="209" priority="199" stopIfTrue="1" operator="between">
      <formula>0.25</formula>
      <formula>0.5</formula>
    </cfRule>
    <cfRule type="cellIs" dxfId="208" priority="200" stopIfTrue="1" operator="between">
      <formula>0</formula>
      <formula>0.25</formula>
    </cfRule>
  </conditionalFormatting>
  <conditionalFormatting sqref="AR183">
    <cfRule type="cellIs" dxfId="207" priority="198" operator="between">
      <formula>0.5</formula>
      <formula>0.75</formula>
    </cfRule>
  </conditionalFormatting>
  <conditionalFormatting sqref="AR183">
    <cfRule type="cellIs" dxfId="206" priority="196" stopIfTrue="1" operator="greaterThan">
      <formula>1.25</formula>
    </cfRule>
    <cfRule type="cellIs" dxfId="205" priority="197" stopIfTrue="1" operator="between">
      <formula>0.75</formula>
      <formula>1.25</formula>
    </cfRule>
  </conditionalFormatting>
  <conditionalFormatting sqref="AR202">
    <cfRule type="cellIs" dxfId="204" priority="194" stopIfTrue="1" operator="between">
      <formula>0.25</formula>
      <formula>0.5</formula>
    </cfRule>
    <cfRule type="cellIs" dxfId="203" priority="195" stopIfTrue="1" operator="between">
      <formula>0</formula>
      <formula>0.25</formula>
    </cfRule>
  </conditionalFormatting>
  <conditionalFormatting sqref="AR202">
    <cfRule type="cellIs" dxfId="202" priority="193" operator="between">
      <formula>0.5</formula>
      <formula>0.75</formula>
    </cfRule>
  </conditionalFormatting>
  <conditionalFormatting sqref="AR202">
    <cfRule type="cellIs" dxfId="201" priority="191" stopIfTrue="1" operator="greaterThan">
      <formula>1.25</formula>
    </cfRule>
    <cfRule type="cellIs" dxfId="200" priority="192" stopIfTrue="1" operator="between">
      <formula>0.75</formula>
      <formula>1.25</formula>
    </cfRule>
  </conditionalFormatting>
  <conditionalFormatting sqref="AQ990:AQ1122">
    <cfRule type="cellIs" dxfId="199" priority="184" stopIfTrue="1" operator="between">
      <formula>0.25</formula>
      <formula>0.5</formula>
    </cfRule>
    <cfRule type="cellIs" dxfId="198" priority="185" stopIfTrue="1" operator="between">
      <formula>0</formula>
      <formula>0.25</formula>
    </cfRule>
  </conditionalFormatting>
  <conditionalFormatting sqref="AQ990:AQ1122">
    <cfRule type="cellIs" dxfId="197" priority="183" stopIfTrue="1" operator="between">
      <formula>0.5</formula>
      <formula>0.75</formula>
    </cfRule>
  </conditionalFormatting>
  <conditionalFormatting sqref="AQ990:AQ1122">
    <cfRule type="cellIs" dxfId="196" priority="181" stopIfTrue="1" operator="greaterThan">
      <formula>1.25</formula>
    </cfRule>
    <cfRule type="cellIs" dxfId="195" priority="182" stopIfTrue="1" operator="between">
      <formula>0.75</formula>
      <formula>1.25</formula>
    </cfRule>
  </conditionalFormatting>
  <conditionalFormatting sqref="AQ1149:AQ1158 AQ1160:AQ1240 AQ1242:AQ1249">
    <cfRule type="cellIs" dxfId="194" priority="179" stopIfTrue="1" operator="between">
      <formula>0.25</formula>
      <formula>0.5</formula>
    </cfRule>
    <cfRule type="cellIs" dxfId="193" priority="180" stopIfTrue="1" operator="between">
      <formula>0</formula>
      <formula>0.25</formula>
    </cfRule>
  </conditionalFormatting>
  <conditionalFormatting sqref="AQ1149:AQ1158 AQ1160:AQ1240 AQ1242:AQ1249">
    <cfRule type="cellIs" dxfId="192" priority="178" stopIfTrue="1" operator="between">
      <formula>0.5</formula>
      <formula>0.75</formula>
    </cfRule>
  </conditionalFormatting>
  <conditionalFormatting sqref="AQ1149:AQ1158 AQ1160:AQ1240 AQ1242:AQ1249">
    <cfRule type="cellIs" dxfId="191" priority="176" stopIfTrue="1" operator="greaterThan">
      <formula>1.25</formula>
    </cfRule>
    <cfRule type="cellIs" dxfId="190" priority="177" stopIfTrue="1" operator="between">
      <formula>0.75</formula>
      <formula>1.25</formula>
    </cfRule>
  </conditionalFormatting>
  <conditionalFormatting sqref="AQ412:AQ429 AQ431 AQ433:AQ987">
    <cfRule type="cellIs" dxfId="189" priority="174" stopIfTrue="1" operator="between">
      <formula>0.25</formula>
      <formula>0.5</formula>
    </cfRule>
    <cfRule type="cellIs" dxfId="188" priority="175" stopIfTrue="1" operator="between">
      <formula>0</formula>
      <formula>0.25</formula>
    </cfRule>
  </conditionalFormatting>
  <conditionalFormatting sqref="AQ412:AQ429 AQ431 AQ433:AQ987">
    <cfRule type="cellIs" dxfId="187" priority="173" stopIfTrue="1" operator="between">
      <formula>0.5</formula>
      <formula>0.75</formula>
    </cfRule>
  </conditionalFormatting>
  <conditionalFormatting sqref="AQ412:AQ429 AQ431 AQ433:AQ987">
    <cfRule type="cellIs" dxfId="186" priority="171" stopIfTrue="1" operator="greaterThan">
      <formula>1.25</formula>
    </cfRule>
    <cfRule type="cellIs" dxfId="185" priority="172" stopIfTrue="1" operator="between">
      <formula>0.75</formula>
      <formula>1.25</formula>
    </cfRule>
  </conditionalFormatting>
  <conditionalFormatting sqref="AR223">
    <cfRule type="cellIs" dxfId="184" priority="169" stopIfTrue="1" operator="between">
      <formula>0.25</formula>
      <formula>0.5</formula>
    </cfRule>
    <cfRule type="cellIs" dxfId="183" priority="170" stopIfTrue="1" operator="between">
      <formula>0</formula>
      <formula>0.25</formula>
    </cfRule>
  </conditionalFormatting>
  <conditionalFormatting sqref="AR223">
    <cfRule type="cellIs" dxfId="182" priority="168" operator="between">
      <formula>0.5</formula>
      <formula>0.75</formula>
    </cfRule>
  </conditionalFormatting>
  <conditionalFormatting sqref="AR223">
    <cfRule type="cellIs" dxfId="181" priority="166" stopIfTrue="1" operator="greaterThan">
      <formula>1.25</formula>
    </cfRule>
    <cfRule type="cellIs" dxfId="180" priority="167" stopIfTrue="1" operator="between">
      <formula>0.75</formula>
      <formula>1.25</formula>
    </cfRule>
  </conditionalFormatting>
  <conditionalFormatting sqref="AR220">
    <cfRule type="cellIs" dxfId="179" priority="164" stopIfTrue="1" operator="between">
      <formula>0.25</formula>
      <formula>0.5</formula>
    </cfRule>
    <cfRule type="cellIs" dxfId="178" priority="165" stopIfTrue="1" operator="between">
      <formula>0</formula>
      <formula>0.25</formula>
    </cfRule>
  </conditionalFormatting>
  <conditionalFormatting sqref="AR220">
    <cfRule type="cellIs" dxfId="177" priority="163" operator="between">
      <formula>0.5</formula>
      <formula>0.75</formula>
    </cfRule>
  </conditionalFormatting>
  <conditionalFormatting sqref="AR220">
    <cfRule type="cellIs" dxfId="176" priority="161" stopIfTrue="1" operator="greaterThan">
      <formula>1.25</formula>
    </cfRule>
    <cfRule type="cellIs" dxfId="175" priority="162" stopIfTrue="1" operator="between">
      <formula>0.75</formula>
      <formula>1.25</formula>
    </cfRule>
  </conditionalFormatting>
  <conditionalFormatting sqref="AQ10">
    <cfRule type="cellIs" dxfId="174" priority="159" stopIfTrue="1" operator="between">
      <formula>0.25</formula>
      <formula>0.5</formula>
    </cfRule>
    <cfRule type="cellIs" dxfId="173" priority="160" stopIfTrue="1" operator="between">
      <formula>0</formula>
      <formula>0.25</formula>
    </cfRule>
  </conditionalFormatting>
  <conditionalFormatting sqref="AQ10">
    <cfRule type="cellIs" dxfId="172" priority="158" stopIfTrue="1" operator="between">
      <formula>0.5</formula>
      <formula>0.75</formula>
    </cfRule>
  </conditionalFormatting>
  <conditionalFormatting sqref="AQ10">
    <cfRule type="cellIs" dxfId="171" priority="156" stopIfTrue="1" operator="greaterThan">
      <formula>1.25</formula>
    </cfRule>
    <cfRule type="cellIs" dxfId="170" priority="157" stopIfTrue="1" operator="between">
      <formula>0.75</formula>
      <formula>1.25</formula>
    </cfRule>
  </conditionalFormatting>
  <conditionalFormatting sqref="AQ22">
    <cfRule type="cellIs" dxfId="169" priority="154" stopIfTrue="1" operator="between">
      <formula>0.25</formula>
      <formula>0.5</formula>
    </cfRule>
    <cfRule type="cellIs" dxfId="168" priority="155" stopIfTrue="1" operator="between">
      <formula>0</formula>
      <formula>0.25</formula>
    </cfRule>
  </conditionalFormatting>
  <conditionalFormatting sqref="AQ22">
    <cfRule type="cellIs" dxfId="167" priority="153" stopIfTrue="1" operator="between">
      <formula>0.5</formula>
      <formula>0.75</formula>
    </cfRule>
  </conditionalFormatting>
  <conditionalFormatting sqref="AQ22">
    <cfRule type="cellIs" dxfId="166" priority="151" stopIfTrue="1" operator="greaterThan">
      <formula>1.25</formula>
    </cfRule>
    <cfRule type="cellIs" dxfId="165" priority="152" stopIfTrue="1" operator="between">
      <formula>0.75</formula>
      <formula>1.25</formula>
    </cfRule>
  </conditionalFormatting>
  <conditionalFormatting sqref="AQ24">
    <cfRule type="cellIs" dxfId="164" priority="149" stopIfTrue="1" operator="between">
      <formula>0.25</formula>
      <formula>0.5</formula>
    </cfRule>
    <cfRule type="cellIs" dxfId="163" priority="150" stopIfTrue="1" operator="between">
      <formula>0</formula>
      <formula>0.25</formula>
    </cfRule>
  </conditionalFormatting>
  <conditionalFormatting sqref="AQ24">
    <cfRule type="cellIs" dxfId="162" priority="148" stopIfTrue="1" operator="between">
      <formula>0.5</formula>
      <formula>0.75</formula>
    </cfRule>
  </conditionalFormatting>
  <conditionalFormatting sqref="AQ24">
    <cfRule type="cellIs" dxfId="161" priority="146" stopIfTrue="1" operator="greaterThan">
      <formula>1.25</formula>
    </cfRule>
    <cfRule type="cellIs" dxfId="160" priority="147" stopIfTrue="1" operator="between">
      <formula>0.75</formula>
      <formula>1.25</formula>
    </cfRule>
  </conditionalFormatting>
  <conditionalFormatting sqref="AQ25">
    <cfRule type="cellIs" dxfId="159" priority="144" stopIfTrue="1" operator="between">
      <formula>0.25</formula>
      <formula>0.5</formula>
    </cfRule>
    <cfRule type="cellIs" dxfId="158" priority="145" stopIfTrue="1" operator="between">
      <formula>0</formula>
      <formula>0.25</formula>
    </cfRule>
  </conditionalFormatting>
  <conditionalFormatting sqref="AQ25">
    <cfRule type="cellIs" dxfId="157" priority="143" stopIfTrue="1" operator="between">
      <formula>0.5</formula>
      <formula>0.75</formula>
    </cfRule>
  </conditionalFormatting>
  <conditionalFormatting sqref="AQ25">
    <cfRule type="cellIs" dxfId="156" priority="141" stopIfTrue="1" operator="greaterThan">
      <formula>1.25</formula>
    </cfRule>
    <cfRule type="cellIs" dxfId="155" priority="142" stopIfTrue="1" operator="between">
      <formula>0.75</formula>
      <formula>1.25</formula>
    </cfRule>
  </conditionalFormatting>
  <conditionalFormatting sqref="AQ12">
    <cfRule type="cellIs" dxfId="154" priority="139" stopIfTrue="1" operator="between">
      <formula>0.25</formula>
      <formula>0.5</formula>
    </cfRule>
    <cfRule type="cellIs" dxfId="153" priority="140" stopIfTrue="1" operator="between">
      <formula>0</formula>
      <formula>0.25</formula>
    </cfRule>
  </conditionalFormatting>
  <conditionalFormatting sqref="AQ12">
    <cfRule type="cellIs" dxfId="152" priority="138" stopIfTrue="1" operator="between">
      <formula>0.5</formula>
      <formula>0.75</formula>
    </cfRule>
  </conditionalFormatting>
  <conditionalFormatting sqref="AQ12">
    <cfRule type="cellIs" dxfId="151" priority="136" stopIfTrue="1" operator="greaterThan">
      <formula>1.25</formula>
    </cfRule>
    <cfRule type="cellIs" dxfId="150" priority="137" stopIfTrue="1" operator="between">
      <formula>0.75</formula>
      <formula>1.25</formula>
    </cfRule>
  </conditionalFormatting>
  <conditionalFormatting sqref="AQ202">
    <cfRule type="cellIs" dxfId="149" priority="134" stopIfTrue="1" operator="between">
      <formula>0.25</formula>
      <formula>0.5</formula>
    </cfRule>
    <cfRule type="cellIs" dxfId="148" priority="135" stopIfTrue="1" operator="between">
      <formula>0</formula>
      <formula>0.25</formula>
    </cfRule>
  </conditionalFormatting>
  <conditionalFormatting sqref="AQ202">
    <cfRule type="cellIs" dxfId="147" priority="133" stopIfTrue="1" operator="between">
      <formula>0.5</formula>
      <formula>0.75</formula>
    </cfRule>
  </conditionalFormatting>
  <conditionalFormatting sqref="AQ202">
    <cfRule type="cellIs" dxfId="146" priority="131" stopIfTrue="1" operator="greaterThan">
      <formula>1.25</formula>
    </cfRule>
    <cfRule type="cellIs" dxfId="145" priority="132" stopIfTrue="1" operator="between">
      <formula>0.75</formula>
      <formula>1.25</formula>
    </cfRule>
  </conditionalFormatting>
  <conditionalFormatting sqref="AQ213">
    <cfRule type="cellIs" dxfId="144" priority="129" stopIfTrue="1" operator="between">
      <formula>0.25</formula>
      <formula>0.5</formula>
    </cfRule>
    <cfRule type="cellIs" dxfId="143" priority="130" stopIfTrue="1" operator="between">
      <formula>0</formula>
      <formula>0.25</formula>
    </cfRule>
  </conditionalFormatting>
  <conditionalFormatting sqref="AQ213">
    <cfRule type="cellIs" dxfId="142" priority="128" stopIfTrue="1" operator="between">
      <formula>0.5</formula>
      <formula>0.75</formula>
    </cfRule>
  </conditionalFormatting>
  <conditionalFormatting sqref="AQ213">
    <cfRule type="cellIs" dxfId="141" priority="126" stopIfTrue="1" operator="greaterThan">
      <formula>1.25</formula>
    </cfRule>
    <cfRule type="cellIs" dxfId="140" priority="127" stopIfTrue="1" operator="between">
      <formula>0.75</formula>
      <formula>1.25</formula>
    </cfRule>
  </conditionalFormatting>
  <conditionalFormatting sqref="AQ214">
    <cfRule type="cellIs" dxfId="139" priority="124" stopIfTrue="1" operator="between">
      <formula>0.25</formula>
      <formula>0.5</formula>
    </cfRule>
    <cfRule type="cellIs" dxfId="138" priority="125" stopIfTrue="1" operator="between">
      <formula>0</formula>
      <formula>0.25</formula>
    </cfRule>
  </conditionalFormatting>
  <conditionalFormatting sqref="AQ214">
    <cfRule type="cellIs" dxfId="137" priority="123" stopIfTrue="1" operator="between">
      <formula>0.5</formula>
      <formula>0.75</formula>
    </cfRule>
  </conditionalFormatting>
  <conditionalFormatting sqref="AQ214">
    <cfRule type="cellIs" dxfId="136" priority="121" stopIfTrue="1" operator="greaterThan">
      <formula>1.25</formula>
    </cfRule>
    <cfRule type="cellIs" dxfId="135" priority="122" stopIfTrue="1" operator="between">
      <formula>0.75</formula>
      <formula>1.25</formula>
    </cfRule>
  </conditionalFormatting>
  <conditionalFormatting sqref="AQ215">
    <cfRule type="cellIs" dxfId="134" priority="119" stopIfTrue="1" operator="between">
      <formula>0.25</formula>
      <formula>0.5</formula>
    </cfRule>
    <cfRule type="cellIs" dxfId="133" priority="120" stopIfTrue="1" operator="between">
      <formula>0</formula>
      <formula>0.25</formula>
    </cfRule>
  </conditionalFormatting>
  <conditionalFormatting sqref="AQ215">
    <cfRule type="cellIs" dxfId="132" priority="118" stopIfTrue="1" operator="between">
      <formula>0.5</formula>
      <formula>0.75</formula>
    </cfRule>
  </conditionalFormatting>
  <conditionalFormatting sqref="AQ215">
    <cfRule type="cellIs" dxfId="131" priority="116" stopIfTrue="1" operator="greaterThan">
      <formula>1.25</formula>
    </cfRule>
    <cfRule type="cellIs" dxfId="130" priority="117" stopIfTrue="1" operator="between">
      <formula>0.75</formula>
      <formula>1.25</formula>
    </cfRule>
  </conditionalFormatting>
  <conditionalFormatting sqref="AQ216">
    <cfRule type="cellIs" dxfId="129" priority="114" stopIfTrue="1" operator="between">
      <formula>0.25</formula>
      <formula>0.5</formula>
    </cfRule>
    <cfRule type="cellIs" dxfId="128" priority="115" stopIfTrue="1" operator="between">
      <formula>0</formula>
      <formula>0.25</formula>
    </cfRule>
  </conditionalFormatting>
  <conditionalFormatting sqref="AQ216">
    <cfRule type="cellIs" dxfId="127" priority="113" stopIfTrue="1" operator="between">
      <formula>0.5</formula>
      <formula>0.75</formula>
    </cfRule>
  </conditionalFormatting>
  <conditionalFormatting sqref="AQ216">
    <cfRule type="cellIs" dxfId="126" priority="111" stopIfTrue="1" operator="greaterThan">
      <formula>1.25</formula>
    </cfRule>
    <cfRule type="cellIs" dxfId="125" priority="112" stopIfTrue="1" operator="between">
      <formula>0.75</formula>
      <formula>1.25</formula>
    </cfRule>
  </conditionalFormatting>
  <conditionalFormatting sqref="AQ217">
    <cfRule type="cellIs" dxfId="124" priority="109" stopIfTrue="1" operator="between">
      <formula>0.25</formula>
      <formula>0.5</formula>
    </cfRule>
    <cfRule type="cellIs" dxfId="123" priority="110" stopIfTrue="1" operator="between">
      <formula>0</formula>
      <formula>0.25</formula>
    </cfRule>
  </conditionalFormatting>
  <conditionalFormatting sqref="AQ217">
    <cfRule type="cellIs" dxfId="122" priority="108" stopIfTrue="1" operator="between">
      <formula>0.5</formula>
      <formula>0.75</formula>
    </cfRule>
  </conditionalFormatting>
  <conditionalFormatting sqref="AQ217">
    <cfRule type="cellIs" dxfId="121" priority="106" stopIfTrue="1" operator="greaterThan">
      <formula>1.25</formula>
    </cfRule>
    <cfRule type="cellIs" dxfId="120" priority="107" stopIfTrue="1" operator="between">
      <formula>0.75</formula>
      <formula>1.25</formula>
    </cfRule>
  </conditionalFormatting>
  <conditionalFormatting sqref="AQ220">
    <cfRule type="cellIs" dxfId="119" priority="104" stopIfTrue="1" operator="between">
      <formula>0.25</formula>
      <formula>0.5</formula>
    </cfRule>
    <cfRule type="cellIs" dxfId="118" priority="105" stopIfTrue="1" operator="between">
      <formula>0</formula>
      <formula>0.25</formula>
    </cfRule>
  </conditionalFormatting>
  <conditionalFormatting sqref="AQ220">
    <cfRule type="cellIs" dxfId="117" priority="103" stopIfTrue="1" operator="between">
      <formula>0.5</formula>
      <formula>0.75</formula>
    </cfRule>
  </conditionalFormatting>
  <conditionalFormatting sqref="AQ220">
    <cfRule type="cellIs" dxfId="116" priority="101" stopIfTrue="1" operator="greaterThan">
      <formula>1.25</formula>
    </cfRule>
    <cfRule type="cellIs" dxfId="115" priority="102" stopIfTrue="1" operator="between">
      <formula>0.75</formula>
      <formula>1.25</formula>
    </cfRule>
  </conditionalFormatting>
  <conditionalFormatting sqref="AQ222">
    <cfRule type="cellIs" dxfId="114" priority="99" stopIfTrue="1" operator="between">
      <formula>0.25</formula>
      <formula>0.5</formula>
    </cfRule>
    <cfRule type="cellIs" dxfId="113" priority="100" stopIfTrue="1" operator="between">
      <formula>0</formula>
      <formula>0.25</formula>
    </cfRule>
  </conditionalFormatting>
  <conditionalFormatting sqref="AQ222">
    <cfRule type="cellIs" dxfId="112" priority="98" stopIfTrue="1" operator="between">
      <formula>0.5</formula>
      <formula>0.75</formula>
    </cfRule>
  </conditionalFormatting>
  <conditionalFormatting sqref="AQ222">
    <cfRule type="cellIs" dxfId="111" priority="96" stopIfTrue="1" operator="greaterThan">
      <formula>1.25</formula>
    </cfRule>
    <cfRule type="cellIs" dxfId="110" priority="97" stopIfTrue="1" operator="between">
      <formula>0.75</formula>
      <formula>1.25</formula>
    </cfRule>
  </conditionalFormatting>
  <conditionalFormatting sqref="AQ223">
    <cfRule type="cellIs" dxfId="109" priority="94" stopIfTrue="1" operator="between">
      <formula>0.25</formula>
      <formula>0.5</formula>
    </cfRule>
    <cfRule type="cellIs" dxfId="108" priority="95" stopIfTrue="1" operator="between">
      <formula>0</formula>
      <formula>0.25</formula>
    </cfRule>
  </conditionalFormatting>
  <conditionalFormatting sqref="AQ223">
    <cfRule type="cellIs" dxfId="107" priority="93" stopIfTrue="1" operator="between">
      <formula>0.5</formula>
      <formula>0.75</formula>
    </cfRule>
  </conditionalFormatting>
  <conditionalFormatting sqref="AQ223">
    <cfRule type="cellIs" dxfId="106" priority="91" stopIfTrue="1" operator="greaterThan">
      <formula>1.25</formula>
    </cfRule>
    <cfRule type="cellIs" dxfId="105" priority="92" stopIfTrue="1" operator="between">
      <formula>0.75</formula>
      <formula>1.25</formula>
    </cfRule>
  </conditionalFormatting>
  <conditionalFormatting sqref="AQ234">
    <cfRule type="cellIs" dxfId="104" priority="89" stopIfTrue="1" operator="between">
      <formula>0.25</formula>
      <formula>0.5</formula>
    </cfRule>
    <cfRule type="cellIs" dxfId="103" priority="90" stopIfTrue="1" operator="between">
      <formula>0</formula>
      <formula>0.25</formula>
    </cfRule>
  </conditionalFormatting>
  <conditionalFormatting sqref="AQ234">
    <cfRule type="cellIs" dxfId="102" priority="88" stopIfTrue="1" operator="between">
      <formula>0.5</formula>
      <formula>0.75</formula>
    </cfRule>
  </conditionalFormatting>
  <conditionalFormatting sqref="AQ234">
    <cfRule type="cellIs" dxfId="101" priority="86" stopIfTrue="1" operator="greaterThan">
      <formula>1.25</formula>
    </cfRule>
    <cfRule type="cellIs" dxfId="100" priority="87" stopIfTrue="1" operator="between">
      <formula>0.75</formula>
      <formula>1.25</formula>
    </cfRule>
  </conditionalFormatting>
  <conditionalFormatting sqref="AQ240">
    <cfRule type="cellIs" dxfId="99" priority="84" stopIfTrue="1" operator="between">
      <formula>0.25</formula>
      <formula>0.5</formula>
    </cfRule>
    <cfRule type="cellIs" dxfId="98" priority="85" stopIfTrue="1" operator="between">
      <formula>0</formula>
      <formula>0.25</formula>
    </cfRule>
  </conditionalFormatting>
  <conditionalFormatting sqref="AQ240">
    <cfRule type="cellIs" dxfId="97" priority="83" stopIfTrue="1" operator="between">
      <formula>0.5</formula>
      <formula>0.75</formula>
    </cfRule>
  </conditionalFormatting>
  <conditionalFormatting sqref="AQ240">
    <cfRule type="cellIs" dxfId="96" priority="81" stopIfTrue="1" operator="greaterThan">
      <formula>1.25</formula>
    </cfRule>
    <cfRule type="cellIs" dxfId="95" priority="82" stopIfTrue="1" operator="between">
      <formula>0.75</formula>
      <formula>1.25</formula>
    </cfRule>
  </conditionalFormatting>
  <conditionalFormatting sqref="AQ394">
    <cfRule type="cellIs" dxfId="94" priority="79" stopIfTrue="1" operator="between">
      <formula>0.25</formula>
      <formula>0.5</formula>
    </cfRule>
    <cfRule type="cellIs" dxfId="93" priority="80" stopIfTrue="1" operator="between">
      <formula>0</formula>
      <formula>0.25</formula>
    </cfRule>
  </conditionalFormatting>
  <conditionalFormatting sqref="AQ394">
    <cfRule type="cellIs" dxfId="92" priority="78" stopIfTrue="1" operator="between">
      <formula>0.5</formula>
      <formula>0.75</formula>
    </cfRule>
  </conditionalFormatting>
  <conditionalFormatting sqref="AQ394">
    <cfRule type="cellIs" dxfId="91" priority="76" stopIfTrue="1" operator="greaterThan">
      <formula>1.25</formula>
    </cfRule>
    <cfRule type="cellIs" dxfId="90" priority="77" stopIfTrue="1" operator="between">
      <formula>0.75</formula>
      <formula>1.25</formula>
    </cfRule>
  </conditionalFormatting>
  <conditionalFormatting sqref="AQ430">
    <cfRule type="cellIs" dxfId="89" priority="74" stopIfTrue="1" operator="between">
      <formula>0.25</formula>
      <formula>0.5</formula>
    </cfRule>
    <cfRule type="cellIs" dxfId="88" priority="75" stopIfTrue="1" operator="between">
      <formula>0</formula>
      <formula>0.25</formula>
    </cfRule>
  </conditionalFormatting>
  <conditionalFormatting sqref="AQ430">
    <cfRule type="cellIs" dxfId="87" priority="73" stopIfTrue="1" operator="between">
      <formula>0.5</formula>
      <formula>0.75</formula>
    </cfRule>
  </conditionalFormatting>
  <conditionalFormatting sqref="AQ430">
    <cfRule type="cellIs" dxfId="86" priority="71" stopIfTrue="1" operator="greaterThan">
      <formula>1.25</formula>
    </cfRule>
    <cfRule type="cellIs" dxfId="85" priority="72" stopIfTrue="1" operator="between">
      <formula>0.75</formula>
      <formula>1.25</formula>
    </cfRule>
  </conditionalFormatting>
  <conditionalFormatting sqref="AQ432">
    <cfRule type="cellIs" dxfId="84" priority="69" stopIfTrue="1" operator="between">
      <formula>0.25</formula>
      <formula>0.5</formula>
    </cfRule>
    <cfRule type="cellIs" dxfId="83" priority="70" stopIfTrue="1" operator="between">
      <formula>0</formula>
      <formula>0.25</formula>
    </cfRule>
  </conditionalFormatting>
  <conditionalFormatting sqref="AQ432">
    <cfRule type="cellIs" dxfId="82" priority="68" stopIfTrue="1" operator="between">
      <formula>0.5</formula>
      <formula>0.75</formula>
    </cfRule>
  </conditionalFormatting>
  <conditionalFormatting sqref="AQ432">
    <cfRule type="cellIs" dxfId="81" priority="66" stopIfTrue="1" operator="greaterThan">
      <formula>1.25</formula>
    </cfRule>
    <cfRule type="cellIs" dxfId="80" priority="67" stopIfTrue="1" operator="between">
      <formula>0.75</formula>
      <formula>1.25</formula>
    </cfRule>
  </conditionalFormatting>
  <conditionalFormatting sqref="AQ1159">
    <cfRule type="cellIs" dxfId="79" priority="64" stopIfTrue="1" operator="between">
      <formula>0.25</formula>
      <formula>0.5</formula>
    </cfRule>
    <cfRule type="cellIs" dxfId="78" priority="65" stopIfTrue="1" operator="between">
      <formula>0</formula>
      <formula>0.25</formula>
    </cfRule>
  </conditionalFormatting>
  <conditionalFormatting sqref="AQ1159">
    <cfRule type="cellIs" dxfId="77" priority="63" stopIfTrue="1" operator="between">
      <formula>0.5</formula>
      <formula>0.75</formula>
    </cfRule>
  </conditionalFormatting>
  <conditionalFormatting sqref="AQ1159">
    <cfRule type="cellIs" dxfId="76" priority="61" stopIfTrue="1" operator="greaterThan">
      <formula>1.25</formula>
    </cfRule>
    <cfRule type="cellIs" dxfId="75" priority="62" stopIfTrue="1" operator="between">
      <formula>0.75</formula>
      <formula>1.25</formula>
    </cfRule>
  </conditionalFormatting>
  <conditionalFormatting sqref="AQ1241">
    <cfRule type="cellIs" dxfId="74" priority="59" stopIfTrue="1" operator="between">
      <formula>0.25</formula>
      <formula>0.5</formula>
    </cfRule>
    <cfRule type="cellIs" dxfId="73" priority="60" stopIfTrue="1" operator="between">
      <formula>0</formula>
      <formula>0.25</formula>
    </cfRule>
  </conditionalFormatting>
  <conditionalFormatting sqref="AQ1241">
    <cfRule type="cellIs" dxfId="72" priority="58" stopIfTrue="1" operator="between">
      <formula>0.5</formula>
      <formula>0.75</formula>
    </cfRule>
  </conditionalFormatting>
  <conditionalFormatting sqref="AQ1241">
    <cfRule type="cellIs" dxfId="71" priority="56" stopIfTrue="1" operator="greaterThan">
      <formula>1.25</formula>
    </cfRule>
    <cfRule type="cellIs" dxfId="70" priority="57" stopIfTrue="1" operator="between">
      <formula>0.75</formula>
      <formula>1.25</formula>
    </cfRule>
  </conditionalFormatting>
  <conditionalFormatting sqref="AR892">
    <cfRule type="cellIs" dxfId="69" priority="54" stopIfTrue="1" operator="between">
      <formula>0.25</formula>
      <formula>0.5</formula>
    </cfRule>
    <cfRule type="cellIs" dxfId="68" priority="55" stopIfTrue="1" operator="between">
      <formula>0</formula>
      <formula>0.25</formula>
    </cfRule>
  </conditionalFormatting>
  <conditionalFormatting sqref="AR892">
    <cfRule type="cellIs" dxfId="67" priority="53" stopIfTrue="1" operator="between">
      <formula>0.5</formula>
      <formula>0.75</formula>
    </cfRule>
  </conditionalFormatting>
  <conditionalFormatting sqref="AR892">
    <cfRule type="cellIs" dxfId="66" priority="51" stopIfTrue="1" operator="greaterThan">
      <formula>1.25</formula>
    </cfRule>
    <cfRule type="cellIs" dxfId="65" priority="52" stopIfTrue="1" operator="between">
      <formula>0.75</formula>
      <formula>1.25</formula>
    </cfRule>
  </conditionalFormatting>
  <conditionalFormatting sqref="AR909">
    <cfRule type="cellIs" dxfId="64" priority="49" stopIfTrue="1" operator="between">
      <formula>0.25</formula>
      <formula>0.5</formula>
    </cfRule>
    <cfRule type="cellIs" dxfId="63" priority="50" stopIfTrue="1" operator="between">
      <formula>0</formula>
      <formula>0.25</formula>
    </cfRule>
  </conditionalFormatting>
  <conditionalFormatting sqref="AR909">
    <cfRule type="cellIs" dxfId="62" priority="48" stopIfTrue="1" operator="between">
      <formula>0.5</formula>
      <formula>0.75</formula>
    </cfRule>
  </conditionalFormatting>
  <conditionalFormatting sqref="AR909">
    <cfRule type="cellIs" dxfId="61" priority="46" stopIfTrue="1" operator="greaterThan">
      <formula>1.25</formula>
    </cfRule>
    <cfRule type="cellIs" dxfId="60" priority="47" stopIfTrue="1" operator="between">
      <formula>0.75</formula>
      <formula>1.25</formula>
    </cfRule>
  </conditionalFormatting>
  <conditionalFormatting sqref="AR958">
    <cfRule type="cellIs" dxfId="59" priority="44" stopIfTrue="1" operator="between">
      <formula>0.25</formula>
      <formula>0.5</formula>
    </cfRule>
    <cfRule type="cellIs" dxfId="58" priority="45" stopIfTrue="1" operator="between">
      <formula>0</formula>
      <formula>0.25</formula>
    </cfRule>
  </conditionalFormatting>
  <conditionalFormatting sqref="AR958">
    <cfRule type="cellIs" dxfId="57" priority="43" stopIfTrue="1" operator="between">
      <formula>0.5</formula>
      <formula>0.75</formula>
    </cfRule>
  </conditionalFormatting>
  <conditionalFormatting sqref="AR958">
    <cfRule type="cellIs" dxfId="56" priority="41" stopIfTrue="1" operator="greaterThan">
      <formula>1.25</formula>
    </cfRule>
    <cfRule type="cellIs" dxfId="55" priority="42" stopIfTrue="1" operator="between">
      <formula>0.75</formula>
      <formula>1.25</formula>
    </cfRule>
  </conditionalFormatting>
  <conditionalFormatting sqref="AR964">
    <cfRule type="cellIs" dxfId="54" priority="39" stopIfTrue="1" operator="between">
      <formula>0.25</formula>
      <formula>0.5</formula>
    </cfRule>
    <cfRule type="cellIs" dxfId="53" priority="40" stopIfTrue="1" operator="between">
      <formula>0</formula>
      <formula>0.25</formula>
    </cfRule>
  </conditionalFormatting>
  <conditionalFormatting sqref="AR964">
    <cfRule type="cellIs" dxfId="52" priority="38" stopIfTrue="1" operator="between">
      <formula>0.5</formula>
      <formula>0.75</formula>
    </cfRule>
  </conditionalFormatting>
  <conditionalFormatting sqref="AR964">
    <cfRule type="cellIs" dxfId="51" priority="36" stopIfTrue="1" operator="greaterThan">
      <formula>1.25</formula>
    </cfRule>
    <cfRule type="cellIs" dxfId="50" priority="37" stopIfTrue="1" operator="between">
      <formula>0.75</formula>
      <formula>1.25</formula>
    </cfRule>
  </conditionalFormatting>
  <conditionalFormatting sqref="AR966:AR967">
    <cfRule type="cellIs" dxfId="49" priority="34" stopIfTrue="1" operator="between">
      <formula>0.25</formula>
      <formula>0.5</formula>
    </cfRule>
    <cfRule type="cellIs" dxfId="48" priority="35" stopIfTrue="1" operator="between">
      <formula>0</formula>
      <formula>0.25</formula>
    </cfRule>
  </conditionalFormatting>
  <conditionalFormatting sqref="AR966:AR967">
    <cfRule type="cellIs" dxfId="47" priority="33" stopIfTrue="1" operator="between">
      <formula>0.5</formula>
      <formula>0.75</formula>
    </cfRule>
  </conditionalFormatting>
  <conditionalFormatting sqref="AR966:AR967">
    <cfRule type="cellIs" dxfId="46" priority="31" stopIfTrue="1" operator="greaterThan">
      <formula>1.25</formula>
    </cfRule>
    <cfRule type="cellIs" dxfId="45" priority="32" stopIfTrue="1" operator="between">
      <formula>0.75</formula>
      <formula>1.25</formula>
    </cfRule>
  </conditionalFormatting>
  <conditionalFormatting sqref="AR976">
    <cfRule type="cellIs" dxfId="44" priority="29" stopIfTrue="1" operator="between">
      <formula>0.25</formula>
      <formula>0.5</formula>
    </cfRule>
    <cfRule type="cellIs" dxfId="43" priority="30" stopIfTrue="1" operator="between">
      <formula>0</formula>
      <formula>0.25</formula>
    </cfRule>
  </conditionalFormatting>
  <conditionalFormatting sqref="AR976">
    <cfRule type="cellIs" dxfId="42" priority="28" stopIfTrue="1" operator="between">
      <formula>0.5</formula>
      <formula>0.75</formula>
    </cfRule>
  </conditionalFormatting>
  <conditionalFormatting sqref="AR976">
    <cfRule type="cellIs" dxfId="41" priority="26" stopIfTrue="1" operator="greaterThan">
      <formula>1.25</formula>
    </cfRule>
    <cfRule type="cellIs" dxfId="40" priority="27" stopIfTrue="1" operator="between">
      <formula>0.75</formula>
      <formula>1.25</formula>
    </cfRule>
  </conditionalFormatting>
  <conditionalFormatting sqref="AR979">
    <cfRule type="cellIs" dxfId="39" priority="24" stopIfTrue="1" operator="between">
      <formula>0.25</formula>
      <formula>0.5</formula>
    </cfRule>
    <cfRule type="cellIs" dxfId="38" priority="25" stopIfTrue="1" operator="between">
      <formula>0</formula>
      <formula>0.25</formula>
    </cfRule>
  </conditionalFormatting>
  <conditionalFormatting sqref="AR979">
    <cfRule type="cellIs" dxfId="37" priority="23" stopIfTrue="1" operator="between">
      <formula>0.5</formula>
      <formula>0.75</formula>
    </cfRule>
  </conditionalFormatting>
  <conditionalFormatting sqref="AR979">
    <cfRule type="cellIs" dxfId="36" priority="21" stopIfTrue="1" operator="greaterThan">
      <formula>1.25</formula>
    </cfRule>
    <cfRule type="cellIs" dxfId="35" priority="22" stopIfTrue="1" operator="between">
      <formula>0.75</formula>
      <formula>1.25</formula>
    </cfRule>
  </conditionalFormatting>
  <conditionalFormatting sqref="AR982">
    <cfRule type="cellIs" dxfId="34" priority="19" stopIfTrue="1" operator="between">
      <formula>0.25</formula>
      <formula>0.5</formula>
    </cfRule>
    <cfRule type="cellIs" dxfId="33" priority="20" stopIfTrue="1" operator="between">
      <formula>0</formula>
      <formula>0.25</formula>
    </cfRule>
  </conditionalFormatting>
  <conditionalFormatting sqref="AR982">
    <cfRule type="cellIs" dxfId="32" priority="18" stopIfTrue="1" operator="between">
      <formula>0.5</formula>
      <formula>0.75</formula>
    </cfRule>
  </conditionalFormatting>
  <conditionalFormatting sqref="AR982">
    <cfRule type="cellIs" dxfId="31" priority="16" stopIfTrue="1" operator="greaterThan">
      <formula>1.25</formula>
    </cfRule>
    <cfRule type="cellIs" dxfId="30" priority="17" stopIfTrue="1" operator="between">
      <formula>0.75</formula>
      <formula>1.25</formula>
    </cfRule>
  </conditionalFormatting>
  <conditionalFormatting sqref="AR984">
    <cfRule type="cellIs" dxfId="29" priority="14" stopIfTrue="1" operator="between">
      <formula>0.25</formula>
      <formula>0.5</formula>
    </cfRule>
    <cfRule type="cellIs" dxfId="28" priority="15" stopIfTrue="1" operator="between">
      <formula>0</formula>
      <formula>0.25</formula>
    </cfRule>
  </conditionalFormatting>
  <conditionalFormatting sqref="AR984">
    <cfRule type="cellIs" dxfId="27" priority="13" stopIfTrue="1" operator="between">
      <formula>0.5</formula>
      <formula>0.75</formula>
    </cfRule>
  </conditionalFormatting>
  <conditionalFormatting sqref="AR984">
    <cfRule type="cellIs" dxfId="26" priority="11" stopIfTrue="1" operator="greaterThan">
      <formula>1.25</formula>
    </cfRule>
    <cfRule type="cellIs" dxfId="25" priority="12" stopIfTrue="1" operator="between">
      <formula>0.75</formula>
      <formula>1.25</formula>
    </cfRule>
  </conditionalFormatting>
  <conditionalFormatting sqref="AR237">
    <cfRule type="cellIs" dxfId="24" priority="9" stopIfTrue="1" operator="between">
      <formula>0.25</formula>
      <formula>0.5</formula>
    </cfRule>
    <cfRule type="cellIs" dxfId="23" priority="10" stopIfTrue="1" operator="between">
      <formula>0</formula>
      <formula>0.25</formula>
    </cfRule>
  </conditionalFormatting>
  <conditionalFormatting sqref="AR237">
    <cfRule type="cellIs" dxfId="22" priority="8" stopIfTrue="1" operator="between">
      <formula>0.5</formula>
      <formula>0.75</formula>
    </cfRule>
  </conditionalFormatting>
  <conditionalFormatting sqref="AR237">
    <cfRule type="cellIs" dxfId="21" priority="6" stopIfTrue="1" operator="greaterThan">
      <formula>1.25</formula>
    </cfRule>
    <cfRule type="cellIs" dxfId="20" priority="7" stopIfTrue="1" operator="between">
      <formula>0.75</formula>
      <formula>1.25</formula>
    </cfRule>
  </conditionalFormatting>
  <conditionalFormatting sqref="AR240">
    <cfRule type="cellIs" dxfId="19" priority="4" stopIfTrue="1" operator="between">
      <formula>0.25</formula>
      <formula>0.5</formula>
    </cfRule>
    <cfRule type="cellIs" dxfId="18" priority="5" stopIfTrue="1" operator="between">
      <formula>0</formula>
      <formula>0.25</formula>
    </cfRule>
  </conditionalFormatting>
  <conditionalFormatting sqref="AR240">
    <cfRule type="cellIs" dxfId="17" priority="3" stopIfTrue="1" operator="between">
      <formula>0.5</formula>
      <formula>0.75</formula>
    </cfRule>
  </conditionalFormatting>
  <conditionalFormatting sqref="AR240">
    <cfRule type="cellIs" dxfId="16" priority="1" stopIfTrue="1" operator="greaterThan">
      <formula>1.25</formula>
    </cfRule>
    <cfRule type="cellIs" dxfId="15" priority="2" stopIfTrue="1" operator="between">
      <formula>0.75</formula>
      <formula>1.25</formula>
    </cfRule>
  </conditionalFormatting>
  <printOptions horizontalCentered="1"/>
  <pageMargins left="0.19685039370078741" right="0.19685039370078741" top="0.59055118110236227" bottom="0.51181102362204722" header="0.19685039370078741" footer="0.19685039370078741"/>
  <pageSetup paperSize="5" scale="76" fitToHeight="0" orientation="landscape" horizontalDpi="300" verticalDpi="300" r:id="rId1"/>
  <headerFooter alignWithMargins="0">
    <oddHeader>&amp;R&amp;8&amp;D</oddHeader>
    <oddFooter>&amp;L&amp;8South Coast / &amp;F / &amp;A&amp;R&amp;8Page  &amp;P  of  &amp;N</oddFooter>
  </headerFooter>
  <rowBreaks count="1" manualBreakCount="1">
    <brk id="1058" min="2" max="34" man="1"/>
  </rowBreaks>
  <ignoredErrors>
    <ignoredError sqref="G8" twoDigitTextYear="1"/>
  </ignoredError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8D1F5-2561-4E25-A888-551559C2BA04}">
  <dimension ref="A1"/>
  <sheetViews>
    <sheetView workbookViewId="0">
      <selection activeCell="D3" sqref="D3"/>
    </sheetView>
  </sheetViews>
  <sheetFormatPr defaultRowHeight="12.75" x14ac:dyDescent="0.2"/>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5ABEB-0AF4-4F9E-9372-96F667D3443C}">
  <dimension ref="A2:C26"/>
  <sheetViews>
    <sheetView workbookViewId="0">
      <selection activeCell="C6" sqref="C6:C17"/>
    </sheetView>
  </sheetViews>
  <sheetFormatPr defaultRowHeight="12.75" x14ac:dyDescent="0.2"/>
  <cols>
    <col min="3" max="3" width="11.85546875" customWidth="1"/>
  </cols>
  <sheetData>
    <row r="2" spans="1:3" x14ac:dyDescent="0.2">
      <c r="B2" s="511" t="s">
        <v>678</v>
      </c>
    </row>
    <row r="3" spans="1:3" x14ac:dyDescent="0.2">
      <c r="B3" s="512" t="s">
        <v>679</v>
      </c>
    </row>
    <row r="5" spans="1:3" ht="15" x14ac:dyDescent="0.2">
      <c r="C5" s="509">
        <v>44852</v>
      </c>
    </row>
    <row r="6" spans="1:3" x14ac:dyDescent="0.2">
      <c r="A6" s="404" t="s">
        <v>675</v>
      </c>
      <c r="B6" s="10" t="s">
        <v>207</v>
      </c>
      <c r="C6" s="510"/>
    </row>
    <row r="7" spans="1:3" x14ac:dyDescent="0.2">
      <c r="A7" s="404" t="s">
        <v>675</v>
      </c>
      <c r="B7" s="10" t="s">
        <v>219</v>
      </c>
      <c r="C7" s="510"/>
    </row>
    <row r="8" spans="1:3" x14ac:dyDescent="0.2">
      <c r="A8" s="404" t="s">
        <v>675</v>
      </c>
      <c r="B8" s="10" t="s">
        <v>208</v>
      </c>
      <c r="C8" s="510"/>
    </row>
    <row r="9" spans="1:3" x14ac:dyDescent="0.2">
      <c r="A9" s="404" t="s">
        <v>675</v>
      </c>
      <c r="B9" s="10" t="s">
        <v>209</v>
      </c>
      <c r="C9" s="510"/>
    </row>
    <row r="10" spans="1:3" x14ac:dyDescent="0.2">
      <c r="A10" s="404" t="s">
        <v>675</v>
      </c>
      <c r="B10" s="10" t="s">
        <v>210</v>
      </c>
      <c r="C10" s="510"/>
    </row>
    <row r="11" spans="1:3" x14ac:dyDescent="0.2">
      <c r="A11" s="404" t="s">
        <v>675</v>
      </c>
      <c r="B11" s="10" t="s">
        <v>211</v>
      </c>
      <c r="C11" s="510"/>
    </row>
    <row r="12" spans="1:3" x14ac:dyDescent="0.2">
      <c r="A12" s="404" t="s">
        <v>676</v>
      </c>
      <c r="B12" s="10" t="s">
        <v>207</v>
      </c>
      <c r="C12" s="510"/>
    </row>
    <row r="13" spans="1:3" x14ac:dyDescent="0.2">
      <c r="A13" s="404" t="s">
        <v>676</v>
      </c>
      <c r="B13" s="10" t="s">
        <v>219</v>
      </c>
      <c r="C13" s="510"/>
    </row>
    <row r="14" spans="1:3" x14ac:dyDescent="0.2">
      <c r="A14" s="404" t="s">
        <v>676</v>
      </c>
      <c r="B14" s="10" t="s">
        <v>208</v>
      </c>
      <c r="C14" s="510"/>
    </row>
    <row r="15" spans="1:3" x14ac:dyDescent="0.2">
      <c r="A15" s="404" t="s">
        <v>676</v>
      </c>
      <c r="B15" s="10" t="s">
        <v>209</v>
      </c>
      <c r="C15" s="510"/>
    </row>
    <row r="16" spans="1:3" x14ac:dyDescent="0.2">
      <c r="A16" s="404" t="s">
        <v>676</v>
      </c>
      <c r="B16" s="10" t="s">
        <v>210</v>
      </c>
      <c r="C16" s="510"/>
    </row>
    <row r="17" spans="1:3" x14ac:dyDescent="0.2">
      <c r="A17" s="404" t="s">
        <v>676</v>
      </c>
      <c r="B17" s="10" t="s">
        <v>211</v>
      </c>
      <c r="C17" s="510"/>
    </row>
    <row r="21" spans="1:3" x14ac:dyDescent="0.2">
      <c r="A21" s="404" t="s">
        <v>677</v>
      </c>
      <c r="B21" s="10" t="s">
        <v>207</v>
      </c>
      <c r="C21" s="513">
        <f>C6+C12</f>
        <v>0</v>
      </c>
    </row>
    <row r="22" spans="1:3" x14ac:dyDescent="0.2">
      <c r="B22" s="10" t="s">
        <v>219</v>
      </c>
      <c r="C22" s="513">
        <f t="shared" ref="C22:C26" si="0">C7+C13</f>
        <v>0</v>
      </c>
    </row>
    <row r="23" spans="1:3" x14ac:dyDescent="0.2">
      <c r="B23" s="10" t="s">
        <v>208</v>
      </c>
      <c r="C23" s="513">
        <f t="shared" si="0"/>
        <v>0</v>
      </c>
    </row>
    <row r="24" spans="1:3" x14ac:dyDescent="0.2">
      <c r="B24" s="10" t="s">
        <v>209</v>
      </c>
      <c r="C24" s="513">
        <f t="shared" si="0"/>
        <v>0</v>
      </c>
    </row>
    <row r="25" spans="1:3" x14ac:dyDescent="0.2">
      <c r="B25" s="10" t="s">
        <v>210</v>
      </c>
      <c r="C25" s="513">
        <f t="shared" si="0"/>
        <v>0</v>
      </c>
    </row>
    <row r="26" spans="1:3" x14ac:dyDescent="0.2">
      <c r="B26" s="10" t="s">
        <v>211</v>
      </c>
      <c r="C26" s="513">
        <f t="shared" si="0"/>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P16"/>
  <sheetViews>
    <sheetView workbookViewId="0">
      <selection activeCell="N5" sqref="K5:P10"/>
    </sheetView>
  </sheetViews>
  <sheetFormatPr defaultRowHeight="12.75" x14ac:dyDescent="0.2"/>
  <cols>
    <col min="3" max="3" width="28.42578125" bestFit="1" customWidth="1"/>
    <col min="11" max="11" width="17.7109375" customWidth="1"/>
    <col min="13" max="13" width="11" customWidth="1"/>
  </cols>
  <sheetData>
    <row r="3" spans="2:16" x14ac:dyDescent="0.2">
      <c r="B3" s="1" t="s">
        <v>15</v>
      </c>
      <c r="C3" s="1" t="s">
        <v>629</v>
      </c>
      <c r="D3" s="1" t="s">
        <v>631</v>
      </c>
    </row>
    <row r="4" spans="2:16" x14ac:dyDescent="0.2">
      <c r="B4" t="s">
        <v>264</v>
      </c>
      <c r="C4" t="s">
        <v>630</v>
      </c>
      <c r="D4" t="s">
        <v>632</v>
      </c>
    </row>
    <row r="5" spans="2:16" ht="15.75" customHeight="1" x14ac:dyDescent="0.2">
      <c r="B5" t="s">
        <v>633</v>
      </c>
      <c r="C5" t="s">
        <v>634</v>
      </c>
      <c r="D5" t="s">
        <v>632</v>
      </c>
      <c r="K5" s="869" t="s">
        <v>206</v>
      </c>
      <c r="L5" s="871" t="s">
        <v>653</v>
      </c>
      <c r="M5" s="504" t="s">
        <v>667</v>
      </c>
      <c r="N5" s="871" t="s">
        <v>668</v>
      </c>
      <c r="O5" s="871"/>
      <c r="P5" s="871"/>
    </row>
    <row r="6" spans="2:16" ht="15.75" thickBot="1" x14ac:dyDescent="0.25">
      <c r="B6" t="s">
        <v>266</v>
      </c>
      <c r="C6" t="s">
        <v>636</v>
      </c>
      <c r="D6" t="s">
        <v>635</v>
      </c>
      <c r="K6" s="870"/>
      <c r="L6" s="872"/>
      <c r="M6" s="505" t="s">
        <v>666</v>
      </c>
      <c r="N6" s="506" t="s">
        <v>656</v>
      </c>
      <c r="O6" s="506" t="s">
        <v>654</v>
      </c>
      <c r="P6" s="506" t="s">
        <v>655</v>
      </c>
    </row>
    <row r="7" spans="2:16" x14ac:dyDescent="0.2">
      <c r="B7" t="s">
        <v>271</v>
      </c>
      <c r="C7" s="404" t="s">
        <v>637</v>
      </c>
      <c r="D7" t="s">
        <v>643</v>
      </c>
      <c r="K7" s="502" t="s">
        <v>210</v>
      </c>
      <c r="L7" s="501" t="s">
        <v>657</v>
      </c>
      <c r="M7" s="501" t="s">
        <v>664</v>
      </c>
      <c r="N7" s="501" t="s">
        <v>663</v>
      </c>
      <c r="O7" s="501" t="s">
        <v>664</v>
      </c>
      <c r="P7" s="501" t="s">
        <v>658</v>
      </c>
    </row>
    <row r="8" spans="2:16" x14ac:dyDescent="0.2">
      <c r="B8" s="404" t="s">
        <v>284</v>
      </c>
      <c r="C8" s="404" t="s">
        <v>638</v>
      </c>
      <c r="D8" t="s">
        <v>643</v>
      </c>
      <c r="K8" s="503" t="s">
        <v>219</v>
      </c>
      <c r="L8" s="500" t="s">
        <v>657</v>
      </c>
      <c r="M8" s="500" t="s">
        <v>658</v>
      </c>
      <c r="N8" s="500" t="s">
        <v>658</v>
      </c>
      <c r="O8" s="500" t="s">
        <v>660</v>
      </c>
      <c r="P8" s="500" t="s">
        <v>661</v>
      </c>
    </row>
    <row r="9" spans="2:16" x14ac:dyDescent="0.2">
      <c r="B9" s="489" t="s">
        <v>639</v>
      </c>
      <c r="C9" s="404" t="s">
        <v>640</v>
      </c>
      <c r="D9" t="s">
        <v>642</v>
      </c>
      <c r="K9" s="503" t="s">
        <v>209</v>
      </c>
      <c r="L9" s="500" t="s">
        <v>663</v>
      </c>
      <c r="M9" s="500" t="s">
        <v>665</v>
      </c>
      <c r="N9" s="500" t="s">
        <v>664</v>
      </c>
      <c r="O9" s="500" t="s">
        <v>662</v>
      </c>
      <c r="P9" s="500" t="s">
        <v>659</v>
      </c>
    </row>
    <row r="10" spans="2:16" x14ac:dyDescent="0.2">
      <c r="B10" s="404" t="s">
        <v>272</v>
      </c>
      <c r="C10" s="404" t="s">
        <v>648</v>
      </c>
      <c r="D10" t="s">
        <v>643</v>
      </c>
      <c r="K10" s="503" t="s">
        <v>669</v>
      </c>
      <c r="L10" s="500" t="s">
        <v>657</v>
      </c>
      <c r="M10" s="500" t="s">
        <v>665</v>
      </c>
      <c r="N10" s="500" t="s">
        <v>664</v>
      </c>
      <c r="O10" s="500" t="s">
        <v>659</v>
      </c>
      <c r="P10" s="500" t="s">
        <v>660</v>
      </c>
    </row>
    <row r="11" spans="2:16" x14ac:dyDescent="0.2">
      <c r="B11" s="404" t="s">
        <v>273</v>
      </c>
      <c r="C11" s="404" t="s">
        <v>641</v>
      </c>
      <c r="D11" t="s">
        <v>644</v>
      </c>
    </row>
    <row r="12" spans="2:16" x14ac:dyDescent="0.2">
      <c r="B12" s="404" t="s">
        <v>274</v>
      </c>
      <c r="C12" s="404" t="s">
        <v>645</v>
      </c>
      <c r="D12" t="s">
        <v>644</v>
      </c>
    </row>
    <row r="13" spans="2:16" x14ac:dyDescent="0.2">
      <c r="B13" s="404" t="s">
        <v>226</v>
      </c>
      <c r="C13" s="404" t="s">
        <v>649</v>
      </c>
    </row>
    <row r="14" spans="2:16" x14ac:dyDescent="0.2">
      <c r="B14" s="404" t="s">
        <v>276</v>
      </c>
      <c r="C14" s="404" t="s">
        <v>646</v>
      </c>
      <c r="D14" t="s">
        <v>632</v>
      </c>
    </row>
    <row r="15" spans="2:16" x14ac:dyDescent="0.2">
      <c r="B15" s="404" t="s">
        <v>278</v>
      </c>
      <c r="C15" s="404" t="s">
        <v>647</v>
      </c>
    </row>
    <row r="16" spans="2:16" x14ac:dyDescent="0.2">
      <c r="B16" s="404" t="s">
        <v>279</v>
      </c>
      <c r="C16" s="404" t="s">
        <v>650</v>
      </c>
    </row>
  </sheetData>
  <mergeCells count="3">
    <mergeCell ref="K5:K6"/>
    <mergeCell ref="L5:L6"/>
    <mergeCell ref="N5:P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5:N310"/>
  <sheetViews>
    <sheetView workbookViewId="0">
      <selection activeCell="L7" sqref="L7"/>
    </sheetView>
  </sheetViews>
  <sheetFormatPr defaultRowHeight="12.75" x14ac:dyDescent="0.2"/>
  <cols>
    <col min="3" max="3" width="5" customWidth="1"/>
    <col min="4" max="4" width="20.5703125" bestFit="1" customWidth="1"/>
    <col min="5" max="5" width="21.7109375" bestFit="1" customWidth="1"/>
    <col min="6" max="6" width="8" customWidth="1"/>
    <col min="7" max="7" width="13.28515625" bestFit="1" customWidth="1"/>
    <col min="8" max="8" width="10" customWidth="1"/>
    <col min="9" max="9" width="10.85546875" customWidth="1"/>
    <col min="10" max="10" width="7.7109375" customWidth="1"/>
  </cols>
  <sheetData>
    <row r="5" spans="3:14" ht="27.75" thickBot="1" x14ac:dyDescent="0.25">
      <c r="C5" s="248" t="s">
        <v>16</v>
      </c>
      <c r="D5" s="248" t="s">
        <v>353</v>
      </c>
      <c r="E5" s="248" t="s">
        <v>15</v>
      </c>
      <c r="F5" s="248" t="s">
        <v>206</v>
      </c>
      <c r="G5" s="248" t="s">
        <v>417</v>
      </c>
      <c r="H5" s="249" t="s">
        <v>396</v>
      </c>
      <c r="I5" s="249" t="s">
        <v>382</v>
      </c>
      <c r="J5" s="249" t="s">
        <v>564</v>
      </c>
      <c r="K5" s="249" t="s">
        <v>383</v>
      </c>
      <c r="L5" s="249" t="s">
        <v>600</v>
      </c>
      <c r="M5" s="258" t="s">
        <v>567</v>
      </c>
      <c r="N5" s="249" t="s">
        <v>568</v>
      </c>
    </row>
    <row r="6" spans="3:14" x14ac:dyDescent="0.2">
      <c r="C6" s="69">
        <v>20</v>
      </c>
      <c r="D6" s="69" t="s">
        <v>291</v>
      </c>
      <c r="E6" s="243" t="s">
        <v>22</v>
      </c>
      <c r="F6" s="243" t="s">
        <v>207</v>
      </c>
      <c r="G6" s="243" t="s">
        <v>420</v>
      </c>
      <c r="H6" s="244" t="s">
        <v>530</v>
      </c>
      <c r="I6" s="43" t="s">
        <v>586</v>
      </c>
      <c r="J6" s="43"/>
      <c r="K6" s="193"/>
      <c r="L6" s="193"/>
      <c r="M6" s="307"/>
      <c r="N6" s="265"/>
    </row>
    <row r="7" spans="3:14" x14ac:dyDescent="0.2">
      <c r="C7" s="69">
        <v>20</v>
      </c>
      <c r="D7" s="69" t="s">
        <v>291</v>
      </c>
      <c r="E7" s="243" t="s">
        <v>22</v>
      </c>
      <c r="F7" s="243" t="s">
        <v>219</v>
      </c>
      <c r="G7" s="243" t="s">
        <v>420</v>
      </c>
      <c r="H7" s="244" t="s">
        <v>530</v>
      </c>
      <c r="I7" s="43" t="s">
        <v>586</v>
      </c>
      <c r="J7" s="43"/>
      <c r="K7" s="193"/>
      <c r="L7" s="616"/>
      <c r="M7" s="307"/>
      <c r="N7" s="265"/>
    </row>
    <row r="8" spans="3:14" x14ac:dyDescent="0.2">
      <c r="C8" s="69">
        <v>20</v>
      </c>
      <c r="D8" s="69" t="s">
        <v>291</v>
      </c>
      <c r="E8" s="243" t="s">
        <v>22</v>
      </c>
      <c r="F8" s="243" t="s">
        <v>208</v>
      </c>
      <c r="G8" s="243" t="s">
        <v>420</v>
      </c>
      <c r="H8" s="244" t="s">
        <v>530</v>
      </c>
      <c r="I8" s="43" t="s">
        <v>586</v>
      </c>
      <c r="J8" s="43"/>
      <c r="K8" s="193"/>
      <c r="L8" s="193"/>
      <c r="M8" s="307"/>
      <c r="N8" s="265"/>
    </row>
    <row r="9" spans="3:14" x14ac:dyDescent="0.2">
      <c r="C9" s="69">
        <v>20</v>
      </c>
      <c r="D9" s="69" t="s">
        <v>291</v>
      </c>
      <c r="E9" s="243" t="s">
        <v>22</v>
      </c>
      <c r="F9" s="243" t="s">
        <v>209</v>
      </c>
      <c r="G9" s="243" t="s">
        <v>420</v>
      </c>
      <c r="H9" s="244" t="s">
        <v>530</v>
      </c>
      <c r="I9" s="43" t="s">
        <v>586</v>
      </c>
      <c r="J9" s="43"/>
      <c r="K9" s="193"/>
      <c r="L9" s="193"/>
      <c r="M9" s="307"/>
      <c r="N9" s="265"/>
    </row>
    <row r="10" spans="3:14" x14ac:dyDescent="0.2">
      <c r="C10" s="69">
        <v>20</v>
      </c>
      <c r="D10" s="69" t="s">
        <v>291</v>
      </c>
      <c r="E10" s="243" t="s">
        <v>22</v>
      </c>
      <c r="F10" s="243" t="s">
        <v>210</v>
      </c>
      <c r="G10" s="243" t="s">
        <v>420</v>
      </c>
      <c r="H10" s="244" t="s">
        <v>530</v>
      </c>
      <c r="I10" s="43" t="s">
        <v>586</v>
      </c>
      <c r="J10" s="43"/>
      <c r="K10" s="193"/>
      <c r="L10" s="193"/>
      <c r="M10" s="307"/>
      <c r="N10" s="265"/>
    </row>
    <row r="11" spans="3:14" x14ac:dyDescent="0.2">
      <c r="C11" s="18">
        <v>22</v>
      </c>
      <c r="D11" s="69" t="s">
        <v>304</v>
      </c>
      <c r="E11" s="243" t="s">
        <v>79</v>
      </c>
      <c r="F11" s="243" t="s">
        <v>207</v>
      </c>
      <c r="G11" s="243" t="s">
        <v>419</v>
      </c>
      <c r="H11" s="244" t="s">
        <v>304</v>
      </c>
      <c r="I11" s="43" t="s">
        <v>586</v>
      </c>
      <c r="J11" s="43"/>
      <c r="K11" s="193"/>
      <c r="L11" s="193"/>
      <c r="M11" s="307"/>
      <c r="N11" s="265"/>
    </row>
    <row r="12" spans="3:14" x14ac:dyDescent="0.2">
      <c r="C12" s="18">
        <v>22</v>
      </c>
      <c r="D12" s="69" t="s">
        <v>304</v>
      </c>
      <c r="E12" s="243" t="s">
        <v>79</v>
      </c>
      <c r="F12" s="243" t="s">
        <v>219</v>
      </c>
      <c r="G12" s="243" t="s">
        <v>419</v>
      </c>
      <c r="H12" s="244" t="s">
        <v>304</v>
      </c>
      <c r="I12" s="43" t="s">
        <v>586</v>
      </c>
      <c r="J12" s="43"/>
      <c r="K12" s="193"/>
      <c r="L12" s="193"/>
      <c r="M12" s="307"/>
      <c r="N12" s="265"/>
    </row>
    <row r="13" spans="3:14" x14ac:dyDescent="0.2">
      <c r="C13" s="18">
        <v>22</v>
      </c>
      <c r="D13" s="69" t="s">
        <v>304</v>
      </c>
      <c r="E13" s="243" t="s">
        <v>79</v>
      </c>
      <c r="F13" s="243" t="s">
        <v>208</v>
      </c>
      <c r="G13" s="243" t="s">
        <v>419</v>
      </c>
      <c r="H13" s="244" t="s">
        <v>304</v>
      </c>
      <c r="I13" s="43" t="s">
        <v>586</v>
      </c>
      <c r="J13" s="43"/>
      <c r="K13" s="193"/>
      <c r="L13" s="193"/>
      <c r="M13" s="307"/>
      <c r="N13" s="265"/>
    </row>
    <row r="14" spans="3:14" x14ac:dyDescent="0.2">
      <c r="C14" s="18">
        <v>22</v>
      </c>
      <c r="D14" s="69" t="s">
        <v>304</v>
      </c>
      <c r="E14" s="243" t="s">
        <v>79</v>
      </c>
      <c r="F14" s="243" t="s">
        <v>209</v>
      </c>
      <c r="G14" s="243" t="s">
        <v>419</v>
      </c>
      <c r="H14" s="244" t="s">
        <v>304</v>
      </c>
      <c r="I14" s="43" t="s">
        <v>586</v>
      </c>
      <c r="J14" s="43"/>
      <c r="K14" s="193"/>
      <c r="L14" s="193"/>
      <c r="M14" s="307"/>
      <c r="N14" s="265"/>
    </row>
    <row r="15" spans="3:14" x14ac:dyDescent="0.2">
      <c r="C15" s="18">
        <v>22</v>
      </c>
      <c r="D15" s="69" t="s">
        <v>304</v>
      </c>
      <c r="E15" s="243" t="s">
        <v>79</v>
      </c>
      <c r="F15" s="243" t="s">
        <v>210</v>
      </c>
      <c r="G15" s="243" t="s">
        <v>419</v>
      </c>
      <c r="H15" s="244" t="s">
        <v>304</v>
      </c>
      <c r="I15" s="43" t="s">
        <v>586</v>
      </c>
      <c r="J15" s="43"/>
      <c r="K15" s="193"/>
      <c r="L15" s="193"/>
      <c r="M15" s="307"/>
      <c r="N15" s="265"/>
    </row>
    <row r="16" spans="3:14" x14ac:dyDescent="0.2">
      <c r="C16" s="18">
        <v>22</v>
      </c>
      <c r="D16" s="69" t="s">
        <v>304</v>
      </c>
      <c r="E16" s="243" t="s">
        <v>25</v>
      </c>
      <c r="F16" s="243" t="s">
        <v>207</v>
      </c>
      <c r="G16" s="243" t="s">
        <v>419</v>
      </c>
      <c r="H16" s="244" t="s">
        <v>304</v>
      </c>
      <c r="I16" s="43" t="s">
        <v>596</v>
      </c>
      <c r="J16" s="43"/>
      <c r="K16" s="193"/>
      <c r="L16" s="193"/>
      <c r="M16" s="307"/>
      <c r="N16" s="265"/>
    </row>
    <row r="17" spans="3:14" x14ac:dyDescent="0.2">
      <c r="C17" s="18">
        <v>22</v>
      </c>
      <c r="D17" s="69" t="s">
        <v>304</v>
      </c>
      <c r="E17" s="243" t="s">
        <v>25</v>
      </c>
      <c r="F17" s="243" t="s">
        <v>219</v>
      </c>
      <c r="G17" s="243" t="s">
        <v>419</v>
      </c>
      <c r="H17" s="244" t="s">
        <v>304</v>
      </c>
      <c r="I17" s="43" t="s">
        <v>596</v>
      </c>
      <c r="J17" s="43"/>
      <c r="K17" s="193"/>
      <c r="L17" s="193"/>
      <c r="M17" s="307"/>
      <c r="N17" s="265"/>
    </row>
    <row r="18" spans="3:14" x14ac:dyDescent="0.2">
      <c r="C18" s="18">
        <v>22</v>
      </c>
      <c r="D18" s="69" t="s">
        <v>304</v>
      </c>
      <c r="E18" s="243" t="s">
        <v>25</v>
      </c>
      <c r="F18" s="243" t="s">
        <v>208</v>
      </c>
      <c r="G18" s="243" t="s">
        <v>419</v>
      </c>
      <c r="H18" s="244" t="s">
        <v>304</v>
      </c>
      <c r="I18" s="43" t="s">
        <v>596</v>
      </c>
      <c r="J18" s="43"/>
      <c r="K18" s="193"/>
      <c r="L18" s="193"/>
      <c r="M18" s="307"/>
      <c r="N18" s="265"/>
    </row>
    <row r="19" spans="3:14" x14ac:dyDescent="0.2">
      <c r="C19" s="18">
        <v>22</v>
      </c>
      <c r="D19" s="69" t="s">
        <v>304</v>
      </c>
      <c r="E19" s="243" t="s">
        <v>25</v>
      </c>
      <c r="F19" s="243" t="s">
        <v>209</v>
      </c>
      <c r="G19" s="243" t="s">
        <v>419</v>
      </c>
      <c r="H19" s="244" t="s">
        <v>304</v>
      </c>
      <c r="I19" s="43" t="s">
        <v>596</v>
      </c>
      <c r="J19" s="43"/>
      <c r="K19" s="193"/>
      <c r="L19" s="193"/>
      <c r="M19" s="307"/>
      <c r="N19" s="265"/>
    </row>
    <row r="20" spans="3:14" x14ac:dyDescent="0.2">
      <c r="C20" s="18">
        <v>22</v>
      </c>
      <c r="D20" s="69" t="s">
        <v>304</v>
      </c>
      <c r="E20" s="243" t="s">
        <v>25</v>
      </c>
      <c r="F20" s="243" t="s">
        <v>210</v>
      </c>
      <c r="G20" s="243" t="s">
        <v>419</v>
      </c>
      <c r="H20" s="244" t="s">
        <v>304</v>
      </c>
      <c r="I20" s="43" t="s">
        <v>596</v>
      </c>
      <c r="J20" s="43"/>
      <c r="K20" s="193"/>
      <c r="L20" s="193"/>
      <c r="M20" s="307"/>
      <c r="N20" s="265"/>
    </row>
    <row r="21" spans="3:14" x14ac:dyDescent="0.2">
      <c r="C21" s="69">
        <v>22</v>
      </c>
      <c r="D21" s="69" t="s">
        <v>304</v>
      </c>
      <c r="E21" s="243" t="s">
        <v>26</v>
      </c>
      <c r="F21" s="243" t="s">
        <v>207</v>
      </c>
      <c r="G21" s="243" t="s">
        <v>419</v>
      </c>
      <c r="H21" s="244" t="s">
        <v>494</v>
      </c>
      <c r="I21" s="43" t="s">
        <v>589</v>
      </c>
      <c r="J21" s="43"/>
      <c r="K21" s="193"/>
      <c r="L21" s="193"/>
      <c r="M21" s="307"/>
      <c r="N21" s="265"/>
    </row>
    <row r="22" spans="3:14" x14ac:dyDescent="0.2">
      <c r="C22" s="69">
        <v>22</v>
      </c>
      <c r="D22" s="69" t="s">
        <v>304</v>
      </c>
      <c r="E22" s="243" t="s">
        <v>26</v>
      </c>
      <c r="F22" s="243" t="s">
        <v>219</v>
      </c>
      <c r="G22" s="243" t="s">
        <v>419</v>
      </c>
      <c r="H22" s="244" t="s">
        <v>494</v>
      </c>
      <c r="I22" s="43" t="s">
        <v>589</v>
      </c>
      <c r="J22" s="43"/>
      <c r="K22" s="193"/>
      <c r="L22" s="193"/>
      <c r="M22" s="307"/>
      <c r="N22" s="265"/>
    </row>
    <row r="23" spans="3:14" x14ac:dyDescent="0.2">
      <c r="C23" s="69">
        <v>22</v>
      </c>
      <c r="D23" s="69" t="s">
        <v>304</v>
      </c>
      <c r="E23" s="243" t="s">
        <v>26</v>
      </c>
      <c r="F23" s="243" t="s">
        <v>208</v>
      </c>
      <c r="G23" s="243" t="s">
        <v>419</v>
      </c>
      <c r="H23" s="244" t="s">
        <v>494</v>
      </c>
      <c r="I23" s="43" t="s">
        <v>589</v>
      </c>
      <c r="J23" s="43"/>
      <c r="K23" s="193"/>
      <c r="L23" s="193"/>
      <c r="M23" s="307"/>
      <c r="N23" s="265"/>
    </row>
    <row r="24" spans="3:14" x14ac:dyDescent="0.2">
      <c r="C24" s="69">
        <v>22</v>
      </c>
      <c r="D24" s="69" t="s">
        <v>304</v>
      </c>
      <c r="E24" s="243" t="s">
        <v>26</v>
      </c>
      <c r="F24" s="243" t="s">
        <v>209</v>
      </c>
      <c r="G24" s="243" t="s">
        <v>419</v>
      </c>
      <c r="H24" s="244" t="s">
        <v>494</v>
      </c>
      <c r="I24" s="43" t="s">
        <v>589</v>
      </c>
      <c r="J24" s="43"/>
      <c r="K24" s="193"/>
      <c r="L24" s="193"/>
      <c r="M24" s="307"/>
      <c r="N24" s="265"/>
    </row>
    <row r="25" spans="3:14" x14ac:dyDescent="0.2">
      <c r="C25" s="69">
        <v>22</v>
      </c>
      <c r="D25" s="69" t="s">
        <v>304</v>
      </c>
      <c r="E25" s="243" t="s">
        <v>26</v>
      </c>
      <c r="F25" s="243" t="s">
        <v>210</v>
      </c>
      <c r="G25" s="243" t="s">
        <v>419</v>
      </c>
      <c r="H25" s="244" t="s">
        <v>494</v>
      </c>
      <c r="I25" s="43" t="s">
        <v>589</v>
      </c>
      <c r="J25" s="43"/>
      <c r="K25" s="193"/>
      <c r="L25" s="193"/>
      <c r="M25" s="307"/>
      <c r="N25" s="265"/>
    </row>
    <row r="26" spans="3:14" x14ac:dyDescent="0.2">
      <c r="C26" s="18">
        <v>23</v>
      </c>
      <c r="D26" s="69" t="s">
        <v>319</v>
      </c>
      <c r="E26" s="243" t="s">
        <v>91</v>
      </c>
      <c r="F26" s="243" t="s">
        <v>207</v>
      </c>
      <c r="G26" s="243" t="s">
        <v>419</v>
      </c>
      <c r="H26" s="244" t="s">
        <v>374</v>
      </c>
      <c r="I26" s="43" t="s">
        <v>586</v>
      </c>
      <c r="J26" s="43"/>
      <c r="K26" s="193"/>
      <c r="L26" s="193"/>
      <c r="M26" s="307"/>
      <c r="N26" s="265"/>
    </row>
    <row r="27" spans="3:14" x14ac:dyDescent="0.2">
      <c r="C27" s="18">
        <v>23</v>
      </c>
      <c r="D27" s="69" t="s">
        <v>319</v>
      </c>
      <c r="E27" s="243" t="s">
        <v>91</v>
      </c>
      <c r="F27" s="243" t="s">
        <v>219</v>
      </c>
      <c r="G27" s="243" t="s">
        <v>419</v>
      </c>
      <c r="H27" s="244" t="s">
        <v>374</v>
      </c>
      <c r="I27" s="43" t="s">
        <v>586</v>
      </c>
      <c r="J27" s="43"/>
      <c r="K27" s="193"/>
      <c r="L27" s="193"/>
      <c r="M27" s="307"/>
      <c r="N27" s="265"/>
    </row>
    <row r="28" spans="3:14" x14ac:dyDescent="0.2">
      <c r="C28" s="18">
        <v>23</v>
      </c>
      <c r="D28" s="69" t="s">
        <v>319</v>
      </c>
      <c r="E28" s="243" t="s">
        <v>91</v>
      </c>
      <c r="F28" s="243" t="s">
        <v>208</v>
      </c>
      <c r="G28" s="243" t="s">
        <v>419</v>
      </c>
      <c r="H28" s="244" t="s">
        <v>374</v>
      </c>
      <c r="I28" s="43" t="s">
        <v>586</v>
      </c>
      <c r="J28" s="43"/>
      <c r="K28" s="193"/>
      <c r="L28" s="193"/>
      <c r="M28" s="307"/>
      <c r="N28" s="265"/>
    </row>
    <row r="29" spans="3:14" x14ac:dyDescent="0.2">
      <c r="C29" s="18">
        <v>23</v>
      </c>
      <c r="D29" s="69" t="s">
        <v>319</v>
      </c>
      <c r="E29" s="243" t="s">
        <v>91</v>
      </c>
      <c r="F29" s="243" t="s">
        <v>209</v>
      </c>
      <c r="G29" s="243" t="s">
        <v>419</v>
      </c>
      <c r="H29" s="244" t="s">
        <v>374</v>
      </c>
      <c r="I29" s="43" t="s">
        <v>586</v>
      </c>
      <c r="J29" s="43"/>
      <c r="K29" s="193"/>
      <c r="L29" s="193"/>
      <c r="M29" s="307"/>
      <c r="N29" s="265"/>
    </row>
    <row r="30" spans="3:14" x14ac:dyDescent="0.2">
      <c r="C30" s="18">
        <v>23</v>
      </c>
      <c r="D30" s="69" t="s">
        <v>319</v>
      </c>
      <c r="E30" s="243" t="s">
        <v>91</v>
      </c>
      <c r="F30" s="243" t="s">
        <v>210</v>
      </c>
      <c r="G30" s="243" t="s">
        <v>419</v>
      </c>
      <c r="H30" s="244" t="s">
        <v>374</v>
      </c>
      <c r="I30" s="43" t="s">
        <v>586</v>
      </c>
      <c r="J30" s="43"/>
      <c r="K30" s="193"/>
      <c r="L30" s="193"/>
      <c r="M30" s="307"/>
      <c r="N30" s="265"/>
    </row>
    <row r="31" spans="3:14" x14ac:dyDescent="0.2">
      <c r="C31" s="18">
        <v>23</v>
      </c>
      <c r="D31" s="69" t="s">
        <v>319</v>
      </c>
      <c r="E31" s="243" t="s">
        <v>175</v>
      </c>
      <c r="F31" s="243" t="s">
        <v>207</v>
      </c>
      <c r="G31" s="243" t="s">
        <v>419</v>
      </c>
      <c r="H31" s="244" t="s">
        <v>374</v>
      </c>
      <c r="I31" s="43" t="s">
        <v>591</v>
      </c>
      <c r="J31" s="43"/>
      <c r="K31" s="193"/>
      <c r="L31" s="193"/>
      <c r="M31" s="307"/>
      <c r="N31" s="265"/>
    </row>
    <row r="32" spans="3:14" x14ac:dyDescent="0.2">
      <c r="C32" s="18">
        <v>23</v>
      </c>
      <c r="D32" s="69" t="s">
        <v>319</v>
      </c>
      <c r="E32" s="243" t="s">
        <v>175</v>
      </c>
      <c r="F32" s="243" t="s">
        <v>219</v>
      </c>
      <c r="G32" s="243" t="s">
        <v>419</v>
      </c>
      <c r="H32" s="244" t="s">
        <v>374</v>
      </c>
      <c r="I32" s="43" t="s">
        <v>591</v>
      </c>
      <c r="J32" s="43"/>
      <c r="K32" s="193"/>
      <c r="L32" s="193"/>
      <c r="M32" s="307"/>
      <c r="N32" s="265"/>
    </row>
    <row r="33" spans="3:14" x14ac:dyDescent="0.2">
      <c r="C33" s="18">
        <v>23</v>
      </c>
      <c r="D33" s="69" t="s">
        <v>319</v>
      </c>
      <c r="E33" s="243" t="s">
        <v>175</v>
      </c>
      <c r="F33" s="243" t="s">
        <v>208</v>
      </c>
      <c r="G33" s="243" t="s">
        <v>419</v>
      </c>
      <c r="H33" s="244" t="s">
        <v>374</v>
      </c>
      <c r="I33" s="43" t="s">
        <v>591</v>
      </c>
      <c r="J33" s="43"/>
      <c r="K33" s="193"/>
      <c r="L33" s="193"/>
      <c r="M33" s="307"/>
      <c r="N33" s="265"/>
    </row>
    <row r="34" spans="3:14" x14ac:dyDescent="0.2">
      <c r="C34" s="18">
        <v>23</v>
      </c>
      <c r="D34" s="69" t="s">
        <v>319</v>
      </c>
      <c r="E34" s="243" t="s">
        <v>175</v>
      </c>
      <c r="F34" s="243" t="s">
        <v>209</v>
      </c>
      <c r="G34" s="243" t="s">
        <v>419</v>
      </c>
      <c r="H34" s="244" t="s">
        <v>374</v>
      </c>
      <c r="I34" s="43" t="s">
        <v>591</v>
      </c>
      <c r="J34" s="43"/>
      <c r="K34" s="193"/>
      <c r="L34" s="193"/>
      <c r="M34" s="307"/>
      <c r="N34" s="265"/>
    </row>
    <row r="35" spans="3:14" x14ac:dyDescent="0.2">
      <c r="C35" s="18">
        <v>23</v>
      </c>
      <c r="D35" s="69" t="s">
        <v>319</v>
      </c>
      <c r="E35" s="243" t="s">
        <v>175</v>
      </c>
      <c r="F35" s="243" t="s">
        <v>210</v>
      </c>
      <c r="G35" s="243" t="s">
        <v>419</v>
      </c>
      <c r="H35" s="244" t="s">
        <v>374</v>
      </c>
      <c r="I35" s="43" t="s">
        <v>591</v>
      </c>
      <c r="J35" s="43"/>
      <c r="K35" s="193"/>
      <c r="L35" s="193"/>
      <c r="M35" s="307"/>
      <c r="N35" s="265"/>
    </row>
    <row r="36" spans="3:14" x14ac:dyDescent="0.2">
      <c r="C36" s="18">
        <v>23</v>
      </c>
      <c r="D36" s="69" t="s">
        <v>319</v>
      </c>
      <c r="E36" s="243" t="s">
        <v>103</v>
      </c>
      <c r="F36" s="243" t="s">
        <v>207</v>
      </c>
      <c r="G36" s="243" t="s">
        <v>419</v>
      </c>
      <c r="H36" s="244" t="s">
        <v>374</v>
      </c>
      <c r="I36" s="43" t="s">
        <v>586</v>
      </c>
      <c r="J36" s="43"/>
      <c r="K36" s="193"/>
      <c r="L36" s="193"/>
      <c r="M36" s="307"/>
      <c r="N36" s="265"/>
    </row>
    <row r="37" spans="3:14" x14ac:dyDescent="0.2">
      <c r="C37" s="18">
        <v>23</v>
      </c>
      <c r="D37" s="69" t="s">
        <v>319</v>
      </c>
      <c r="E37" s="243" t="s">
        <v>103</v>
      </c>
      <c r="F37" s="243" t="s">
        <v>219</v>
      </c>
      <c r="G37" s="243" t="s">
        <v>419</v>
      </c>
      <c r="H37" s="244" t="s">
        <v>374</v>
      </c>
      <c r="I37" s="43" t="s">
        <v>586</v>
      </c>
      <c r="J37" s="43"/>
      <c r="K37" s="193"/>
      <c r="L37" s="193"/>
      <c r="M37" s="307"/>
      <c r="N37" s="265"/>
    </row>
    <row r="38" spans="3:14" x14ac:dyDescent="0.2">
      <c r="C38" s="18">
        <v>23</v>
      </c>
      <c r="D38" s="69" t="s">
        <v>319</v>
      </c>
      <c r="E38" s="243" t="s">
        <v>103</v>
      </c>
      <c r="F38" s="243" t="s">
        <v>208</v>
      </c>
      <c r="G38" s="243" t="s">
        <v>419</v>
      </c>
      <c r="H38" s="244" t="s">
        <v>374</v>
      </c>
      <c r="I38" s="43" t="s">
        <v>586</v>
      </c>
      <c r="J38" s="43"/>
      <c r="K38" s="193"/>
      <c r="L38" s="193"/>
      <c r="M38" s="307"/>
      <c r="N38" s="265"/>
    </row>
    <row r="39" spans="3:14" x14ac:dyDescent="0.2">
      <c r="C39" s="18">
        <v>23</v>
      </c>
      <c r="D39" s="69" t="s">
        <v>319</v>
      </c>
      <c r="E39" s="243" t="s">
        <v>103</v>
      </c>
      <c r="F39" s="243" t="s">
        <v>209</v>
      </c>
      <c r="G39" s="243" t="s">
        <v>419</v>
      </c>
      <c r="H39" s="244" t="s">
        <v>374</v>
      </c>
      <c r="I39" s="43" t="s">
        <v>586</v>
      </c>
      <c r="J39" s="43"/>
      <c r="K39" s="193"/>
      <c r="L39" s="193"/>
      <c r="M39" s="307"/>
      <c r="N39" s="265"/>
    </row>
    <row r="40" spans="3:14" x14ac:dyDescent="0.2">
      <c r="C40" s="18">
        <v>23</v>
      </c>
      <c r="D40" s="69" t="s">
        <v>319</v>
      </c>
      <c r="E40" s="243" t="s">
        <v>103</v>
      </c>
      <c r="F40" s="243" t="s">
        <v>210</v>
      </c>
      <c r="G40" s="243" t="s">
        <v>419</v>
      </c>
      <c r="H40" s="244" t="s">
        <v>374</v>
      </c>
      <c r="I40" s="43" t="s">
        <v>586</v>
      </c>
      <c r="J40" s="43"/>
      <c r="K40" s="193"/>
      <c r="L40" s="193"/>
      <c r="M40" s="307"/>
      <c r="N40" s="265"/>
    </row>
    <row r="41" spans="3:14" x14ac:dyDescent="0.2">
      <c r="C41" s="18">
        <v>23</v>
      </c>
      <c r="D41" s="69" t="s">
        <v>319</v>
      </c>
      <c r="E41" s="243" t="s">
        <v>597</v>
      </c>
      <c r="F41" s="243" t="s">
        <v>207</v>
      </c>
      <c r="G41" s="243" t="s">
        <v>419</v>
      </c>
      <c r="H41" s="244" t="s">
        <v>374</v>
      </c>
      <c r="I41" s="43" t="s">
        <v>592</v>
      </c>
      <c r="J41" s="43"/>
      <c r="K41" s="193"/>
      <c r="L41" s="193"/>
      <c r="M41" s="307"/>
      <c r="N41" s="265"/>
    </row>
    <row r="42" spans="3:14" x14ac:dyDescent="0.2">
      <c r="C42" s="18">
        <v>23</v>
      </c>
      <c r="D42" s="69" t="s">
        <v>319</v>
      </c>
      <c r="E42" s="243" t="s">
        <v>597</v>
      </c>
      <c r="F42" s="243" t="s">
        <v>219</v>
      </c>
      <c r="G42" s="243" t="s">
        <v>419</v>
      </c>
      <c r="H42" s="244" t="s">
        <v>374</v>
      </c>
      <c r="I42" s="43" t="s">
        <v>592</v>
      </c>
      <c r="J42" s="43"/>
      <c r="K42" s="193"/>
      <c r="L42" s="193"/>
      <c r="M42" s="307"/>
      <c r="N42" s="265"/>
    </row>
    <row r="43" spans="3:14" x14ac:dyDescent="0.2">
      <c r="C43" s="18">
        <v>23</v>
      </c>
      <c r="D43" s="69" t="s">
        <v>319</v>
      </c>
      <c r="E43" s="243" t="s">
        <v>597</v>
      </c>
      <c r="F43" s="243" t="s">
        <v>208</v>
      </c>
      <c r="G43" s="243" t="s">
        <v>419</v>
      </c>
      <c r="H43" s="244" t="s">
        <v>374</v>
      </c>
      <c r="I43" s="43" t="s">
        <v>592</v>
      </c>
      <c r="J43" s="43"/>
      <c r="K43" s="193"/>
      <c r="L43" s="193"/>
      <c r="M43" s="307"/>
      <c r="N43" s="265"/>
    </row>
    <row r="44" spans="3:14" x14ac:dyDescent="0.2">
      <c r="C44" s="18">
        <v>23</v>
      </c>
      <c r="D44" s="69" t="s">
        <v>319</v>
      </c>
      <c r="E44" s="243" t="s">
        <v>597</v>
      </c>
      <c r="F44" s="243" t="s">
        <v>209</v>
      </c>
      <c r="G44" s="243" t="s">
        <v>419</v>
      </c>
      <c r="H44" s="244" t="s">
        <v>374</v>
      </c>
      <c r="I44" s="43" t="s">
        <v>592</v>
      </c>
      <c r="J44" s="43"/>
      <c r="K44" s="193"/>
      <c r="L44" s="193"/>
      <c r="M44" s="307"/>
      <c r="N44" s="265"/>
    </row>
    <row r="45" spans="3:14" x14ac:dyDescent="0.2">
      <c r="C45" s="18">
        <v>23</v>
      </c>
      <c r="D45" s="69" t="s">
        <v>319</v>
      </c>
      <c r="E45" s="243" t="s">
        <v>597</v>
      </c>
      <c r="F45" s="243" t="s">
        <v>210</v>
      </c>
      <c r="G45" s="243" t="s">
        <v>419</v>
      </c>
      <c r="H45" s="244" t="s">
        <v>374</v>
      </c>
      <c r="I45" s="43" t="s">
        <v>592</v>
      </c>
      <c r="J45" s="43"/>
      <c r="K45" s="193"/>
      <c r="L45" s="193"/>
      <c r="M45" s="307"/>
      <c r="N45" s="265"/>
    </row>
    <row r="46" spans="3:14" x14ac:dyDescent="0.2">
      <c r="C46" s="18">
        <v>23</v>
      </c>
      <c r="D46" s="69" t="s">
        <v>319</v>
      </c>
      <c r="E46" s="243" t="s">
        <v>105</v>
      </c>
      <c r="F46" s="243" t="s">
        <v>207</v>
      </c>
      <c r="G46" s="243" t="s">
        <v>419</v>
      </c>
      <c r="H46" s="244" t="s">
        <v>374</v>
      </c>
      <c r="I46" s="43" t="s">
        <v>591</v>
      </c>
      <c r="J46" s="43"/>
      <c r="K46" s="193"/>
      <c r="L46" s="193"/>
      <c r="M46" s="307"/>
      <c r="N46" s="265"/>
    </row>
    <row r="47" spans="3:14" x14ac:dyDescent="0.2">
      <c r="C47" s="18">
        <v>23</v>
      </c>
      <c r="D47" s="69" t="s">
        <v>319</v>
      </c>
      <c r="E47" s="243" t="s">
        <v>105</v>
      </c>
      <c r="F47" s="243" t="s">
        <v>219</v>
      </c>
      <c r="G47" s="243" t="s">
        <v>419</v>
      </c>
      <c r="H47" s="244" t="s">
        <v>374</v>
      </c>
      <c r="I47" s="43" t="s">
        <v>591</v>
      </c>
      <c r="J47" s="43"/>
      <c r="K47" s="193"/>
      <c r="L47" s="193"/>
      <c r="M47" s="307"/>
      <c r="N47" s="265"/>
    </row>
    <row r="48" spans="3:14" x14ac:dyDescent="0.2">
      <c r="C48" s="18">
        <v>23</v>
      </c>
      <c r="D48" s="69" t="s">
        <v>319</v>
      </c>
      <c r="E48" s="243" t="s">
        <v>105</v>
      </c>
      <c r="F48" s="243" t="s">
        <v>208</v>
      </c>
      <c r="G48" s="243" t="s">
        <v>419</v>
      </c>
      <c r="H48" s="244" t="s">
        <v>374</v>
      </c>
      <c r="I48" s="43" t="s">
        <v>591</v>
      </c>
      <c r="J48" s="43"/>
      <c r="K48" s="193"/>
      <c r="L48" s="193"/>
      <c r="M48" s="307"/>
      <c r="N48" s="265"/>
    </row>
    <row r="49" spans="3:14" x14ac:dyDescent="0.2">
      <c r="C49" s="18">
        <v>23</v>
      </c>
      <c r="D49" s="69" t="s">
        <v>319</v>
      </c>
      <c r="E49" s="243" t="s">
        <v>105</v>
      </c>
      <c r="F49" s="243" t="s">
        <v>209</v>
      </c>
      <c r="G49" s="243" t="s">
        <v>419</v>
      </c>
      <c r="H49" s="244" t="s">
        <v>374</v>
      </c>
      <c r="I49" s="43" t="s">
        <v>591</v>
      </c>
      <c r="J49" s="43"/>
      <c r="K49" s="193"/>
      <c r="L49" s="193"/>
      <c r="M49" s="307"/>
      <c r="N49" s="265"/>
    </row>
    <row r="50" spans="3:14" x14ac:dyDescent="0.2">
      <c r="C50" s="18">
        <v>23</v>
      </c>
      <c r="D50" s="69" t="s">
        <v>319</v>
      </c>
      <c r="E50" s="243" t="s">
        <v>105</v>
      </c>
      <c r="F50" s="243" t="s">
        <v>210</v>
      </c>
      <c r="G50" s="243" t="s">
        <v>419</v>
      </c>
      <c r="H50" s="244" t="s">
        <v>374</v>
      </c>
      <c r="I50" s="43" t="s">
        <v>591</v>
      </c>
      <c r="J50" s="43"/>
      <c r="K50" s="193"/>
      <c r="L50" s="193"/>
      <c r="M50" s="307"/>
      <c r="N50" s="265"/>
    </row>
    <row r="51" spans="3:14" x14ac:dyDescent="0.2">
      <c r="C51" s="69">
        <v>23</v>
      </c>
      <c r="D51" s="195" t="s">
        <v>293</v>
      </c>
      <c r="E51" s="243" t="s">
        <v>27</v>
      </c>
      <c r="F51" s="243" t="s">
        <v>219</v>
      </c>
      <c r="G51" s="243" t="s">
        <v>418</v>
      </c>
      <c r="H51" s="244" t="s">
        <v>365</v>
      </c>
      <c r="I51" s="43" t="s">
        <v>591</v>
      </c>
      <c r="J51" s="43"/>
      <c r="K51" s="193"/>
      <c r="L51" s="193"/>
      <c r="M51" s="307"/>
      <c r="N51" s="265"/>
    </row>
    <row r="52" spans="3:14" x14ac:dyDescent="0.2">
      <c r="C52" s="69">
        <v>23</v>
      </c>
      <c r="D52" s="69" t="s">
        <v>293</v>
      </c>
      <c r="E52" s="243" t="s">
        <v>101</v>
      </c>
      <c r="F52" s="243" t="s">
        <v>207</v>
      </c>
      <c r="G52" s="243" t="s">
        <v>419</v>
      </c>
      <c r="H52" s="244" t="s">
        <v>374</v>
      </c>
      <c r="I52" s="43" t="s">
        <v>592</v>
      </c>
      <c r="J52" s="43"/>
      <c r="K52" s="193"/>
      <c r="L52" s="193"/>
      <c r="M52" s="307"/>
      <c r="N52" s="265"/>
    </row>
    <row r="53" spans="3:14" x14ac:dyDescent="0.2">
      <c r="C53" s="69">
        <v>23</v>
      </c>
      <c r="D53" s="69" t="s">
        <v>293</v>
      </c>
      <c r="E53" s="243" t="s">
        <v>101</v>
      </c>
      <c r="F53" s="243" t="s">
        <v>219</v>
      </c>
      <c r="G53" s="243" t="s">
        <v>419</v>
      </c>
      <c r="H53" s="244" t="s">
        <v>374</v>
      </c>
      <c r="I53" s="43" t="s">
        <v>592</v>
      </c>
      <c r="J53" s="43"/>
      <c r="K53" s="193"/>
      <c r="L53" s="193"/>
      <c r="M53" s="307"/>
      <c r="N53" s="265"/>
    </row>
    <row r="54" spans="3:14" x14ac:dyDescent="0.2">
      <c r="C54" s="69">
        <v>23</v>
      </c>
      <c r="D54" s="69" t="s">
        <v>293</v>
      </c>
      <c r="E54" s="243" t="s">
        <v>101</v>
      </c>
      <c r="F54" s="243" t="s">
        <v>208</v>
      </c>
      <c r="G54" s="243" t="s">
        <v>419</v>
      </c>
      <c r="H54" s="244" t="s">
        <v>374</v>
      </c>
      <c r="I54" s="43" t="s">
        <v>592</v>
      </c>
      <c r="J54" s="43"/>
      <c r="K54" s="193"/>
      <c r="L54" s="193"/>
      <c r="M54" s="307"/>
      <c r="N54" s="265"/>
    </row>
    <row r="55" spans="3:14" x14ac:dyDescent="0.2">
      <c r="C55" s="69">
        <v>23</v>
      </c>
      <c r="D55" s="69" t="s">
        <v>293</v>
      </c>
      <c r="E55" s="243" t="s">
        <v>101</v>
      </c>
      <c r="F55" s="243" t="s">
        <v>209</v>
      </c>
      <c r="G55" s="243" t="s">
        <v>419</v>
      </c>
      <c r="H55" s="244" t="s">
        <v>374</v>
      </c>
      <c r="I55" s="43" t="s">
        <v>592</v>
      </c>
      <c r="J55" s="43"/>
      <c r="K55" s="193"/>
      <c r="L55" s="193"/>
      <c r="M55" s="307"/>
      <c r="N55" s="265"/>
    </row>
    <row r="56" spans="3:14" x14ac:dyDescent="0.2">
      <c r="C56" s="69">
        <v>23</v>
      </c>
      <c r="D56" s="69" t="s">
        <v>293</v>
      </c>
      <c r="E56" s="243" t="s">
        <v>101</v>
      </c>
      <c r="F56" s="243" t="s">
        <v>210</v>
      </c>
      <c r="G56" s="243" t="s">
        <v>419</v>
      </c>
      <c r="H56" s="244" t="s">
        <v>374</v>
      </c>
      <c r="I56" s="43" t="s">
        <v>592</v>
      </c>
      <c r="J56" s="43"/>
      <c r="K56" s="193"/>
      <c r="L56" s="193"/>
      <c r="M56" s="307"/>
      <c r="N56" s="265"/>
    </row>
    <row r="57" spans="3:14" x14ac:dyDescent="0.2">
      <c r="C57" s="69">
        <v>23</v>
      </c>
      <c r="D57" s="69" t="s">
        <v>293</v>
      </c>
      <c r="E57" s="243" t="s">
        <v>33</v>
      </c>
      <c r="F57" s="243" t="s">
        <v>207</v>
      </c>
      <c r="G57" s="243" t="s">
        <v>419</v>
      </c>
      <c r="H57" s="244" t="s">
        <v>374</v>
      </c>
      <c r="I57" s="43" t="s">
        <v>589</v>
      </c>
      <c r="J57" s="43"/>
      <c r="K57" s="193"/>
      <c r="L57" s="193"/>
      <c r="M57" s="307"/>
      <c r="N57" s="265"/>
    </row>
    <row r="58" spans="3:14" x14ac:dyDescent="0.2">
      <c r="C58" s="69">
        <v>23</v>
      </c>
      <c r="D58" s="69" t="s">
        <v>293</v>
      </c>
      <c r="E58" s="243" t="s">
        <v>33</v>
      </c>
      <c r="F58" s="243" t="s">
        <v>219</v>
      </c>
      <c r="G58" s="243" t="s">
        <v>419</v>
      </c>
      <c r="H58" s="244" t="s">
        <v>374</v>
      </c>
      <c r="I58" s="43" t="s">
        <v>589</v>
      </c>
      <c r="J58" s="43"/>
      <c r="K58" s="193"/>
      <c r="L58" s="193"/>
      <c r="M58" s="307"/>
      <c r="N58" s="265"/>
    </row>
    <row r="59" spans="3:14" x14ac:dyDescent="0.2">
      <c r="C59" s="69">
        <v>23</v>
      </c>
      <c r="D59" s="69" t="s">
        <v>293</v>
      </c>
      <c r="E59" s="243" t="s">
        <v>33</v>
      </c>
      <c r="F59" s="243" t="s">
        <v>208</v>
      </c>
      <c r="G59" s="243" t="s">
        <v>419</v>
      </c>
      <c r="H59" s="244" t="s">
        <v>374</v>
      </c>
      <c r="I59" s="43" t="s">
        <v>589</v>
      </c>
      <c r="J59" s="43"/>
      <c r="K59" s="193"/>
      <c r="L59" s="193"/>
      <c r="M59" s="307"/>
      <c r="N59" s="265"/>
    </row>
    <row r="60" spans="3:14" x14ac:dyDescent="0.2">
      <c r="C60" s="69">
        <v>23</v>
      </c>
      <c r="D60" s="69" t="s">
        <v>293</v>
      </c>
      <c r="E60" s="243" t="s">
        <v>33</v>
      </c>
      <c r="F60" s="243" t="s">
        <v>209</v>
      </c>
      <c r="G60" s="243" t="s">
        <v>419</v>
      </c>
      <c r="H60" s="244" t="s">
        <v>374</v>
      </c>
      <c r="I60" s="43" t="s">
        <v>589</v>
      </c>
      <c r="J60" s="43"/>
      <c r="K60" s="193"/>
      <c r="L60" s="193"/>
      <c r="M60" s="307"/>
      <c r="N60" s="265"/>
    </row>
    <row r="61" spans="3:14" x14ac:dyDescent="0.2">
      <c r="C61" s="69">
        <v>23</v>
      </c>
      <c r="D61" s="69" t="s">
        <v>293</v>
      </c>
      <c r="E61" s="243" t="s">
        <v>33</v>
      </c>
      <c r="F61" s="243" t="s">
        <v>210</v>
      </c>
      <c r="G61" s="243" t="s">
        <v>419</v>
      </c>
      <c r="H61" s="244" t="s">
        <v>374</v>
      </c>
      <c r="I61" s="43" t="s">
        <v>589</v>
      </c>
      <c r="J61" s="43"/>
      <c r="K61" s="193"/>
      <c r="L61" s="193"/>
      <c r="M61" s="307"/>
      <c r="N61" s="265"/>
    </row>
    <row r="62" spans="3:14" x14ac:dyDescent="0.2">
      <c r="C62" s="18">
        <v>23</v>
      </c>
      <c r="D62" s="69" t="s">
        <v>295</v>
      </c>
      <c r="E62" s="243" t="s">
        <v>173</v>
      </c>
      <c r="F62" s="243" t="s">
        <v>207</v>
      </c>
      <c r="G62" s="243" t="s">
        <v>419</v>
      </c>
      <c r="H62" s="244" t="s">
        <v>289</v>
      </c>
      <c r="I62" s="43" t="s">
        <v>590</v>
      </c>
      <c r="J62" s="43"/>
      <c r="K62" s="193"/>
      <c r="L62" s="193"/>
      <c r="M62" s="307"/>
      <c r="N62" s="265"/>
    </row>
    <row r="63" spans="3:14" x14ac:dyDescent="0.2">
      <c r="C63" s="18">
        <v>23</v>
      </c>
      <c r="D63" s="69" t="s">
        <v>295</v>
      </c>
      <c r="E63" s="243" t="s">
        <v>173</v>
      </c>
      <c r="F63" s="243" t="s">
        <v>219</v>
      </c>
      <c r="G63" s="243" t="s">
        <v>419</v>
      </c>
      <c r="H63" s="244" t="s">
        <v>289</v>
      </c>
      <c r="I63" s="43" t="s">
        <v>590</v>
      </c>
      <c r="J63" s="43"/>
      <c r="K63" s="193"/>
      <c r="L63" s="193"/>
      <c r="M63" s="307"/>
      <c r="N63" s="265"/>
    </row>
    <row r="64" spans="3:14" x14ac:dyDescent="0.2">
      <c r="C64" s="18">
        <v>23</v>
      </c>
      <c r="D64" s="69" t="s">
        <v>295</v>
      </c>
      <c r="E64" s="243" t="s">
        <v>173</v>
      </c>
      <c r="F64" s="243" t="s">
        <v>208</v>
      </c>
      <c r="G64" s="243" t="s">
        <v>419</v>
      </c>
      <c r="H64" s="244" t="s">
        <v>289</v>
      </c>
      <c r="I64" s="43" t="s">
        <v>590</v>
      </c>
      <c r="J64" s="43"/>
      <c r="K64" s="193"/>
      <c r="L64" s="193"/>
      <c r="M64" s="307"/>
      <c r="N64" s="265"/>
    </row>
    <row r="65" spans="3:14" x14ac:dyDescent="0.2">
      <c r="C65" s="18">
        <v>23</v>
      </c>
      <c r="D65" s="69" t="s">
        <v>295</v>
      </c>
      <c r="E65" s="243" t="s">
        <v>173</v>
      </c>
      <c r="F65" s="243" t="s">
        <v>209</v>
      </c>
      <c r="G65" s="243" t="s">
        <v>419</v>
      </c>
      <c r="H65" s="244" t="s">
        <v>289</v>
      </c>
      <c r="I65" s="43" t="s">
        <v>590</v>
      </c>
      <c r="J65" s="43"/>
      <c r="K65" s="193"/>
      <c r="L65" s="193"/>
      <c r="M65" s="307"/>
      <c r="N65" s="265"/>
    </row>
    <row r="66" spans="3:14" x14ac:dyDescent="0.2">
      <c r="C66" s="18">
        <v>23</v>
      </c>
      <c r="D66" s="69" t="s">
        <v>295</v>
      </c>
      <c r="E66" s="243" t="s">
        <v>173</v>
      </c>
      <c r="F66" s="243" t="s">
        <v>210</v>
      </c>
      <c r="G66" s="243" t="s">
        <v>419</v>
      </c>
      <c r="H66" s="244" t="s">
        <v>289</v>
      </c>
      <c r="I66" s="43" t="s">
        <v>590</v>
      </c>
      <c r="J66" s="43"/>
      <c r="K66" s="193"/>
      <c r="L66" s="193"/>
      <c r="M66" s="307"/>
      <c r="N66" s="265"/>
    </row>
    <row r="67" spans="3:14" x14ac:dyDescent="0.2">
      <c r="C67" s="18">
        <v>23</v>
      </c>
      <c r="D67" s="69" t="s">
        <v>295</v>
      </c>
      <c r="E67" s="243" t="s">
        <v>565</v>
      </c>
      <c r="F67" s="243" t="s">
        <v>219</v>
      </c>
      <c r="G67" s="243" t="s">
        <v>419</v>
      </c>
      <c r="H67" s="246" t="s">
        <v>289</v>
      </c>
      <c r="I67" s="43" t="s">
        <v>588</v>
      </c>
      <c r="J67" s="43"/>
      <c r="K67" s="193"/>
      <c r="L67" s="193"/>
      <c r="M67" s="307"/>
      <c r="N67" s="265"/>
    </row>
    <row r="68" spans="3:14" x14ac:dyDescent="0.2">
      <c r="C68" s="18">
        <v>23</v>
      </c>
      <c r="D68" s="69" t="s">
        <v>295</v>
      </c>
      <c r="E68" s="243" t="s">
        <v>565</v>
      </c>
      <c r="F68" s="243" t="s">
        <v>209</v>
      </c>
      <c r="G68" s="243" t="s">
        <v>419</v>
      </c>
      <c r="H68" s="244" t="s">
        <v>289</v>
      </c>
      <c r="I68" s="43" t="s">
        <v>588</v>
      </c>
      <c r="J68" s="43"/>
      <c r="K68" s="193"/>
      <c r="L68" s="193"/>
      <c r="M68" s="307"/>
      <c r="N68" s="265"/>
    </row>
    <row r="69" spans="3:14" x14ac:dyDescent="0.2">
      <c r="C69" s="18">
        <v>23</v>
      </c>
      <c r="D69" s="69" t="s">
        <v>295</v>
      </c>
      <c r="E69" s="243" t="s">
        <v>565</v>
      </c>
      <c r="F69" s="243" t="s">
        <v>210</v>
      </c>
      <c r="G69" s="243" t="s">
        <v>419</v>
      </c>
      <c r="H69" s="244" t="s">
        <v>289</v>
      </c>
      <c r="I69" s="43" t="s">
        <v>588</v>
      </c>
      <c r="J69" s="43"/>
      <c r="K69" s="193"/>
      <c r="L69" s="193"/>
      <c r="M69" s="307"/>
      <c r="N69" s="265"/>
    </row>
    <row r="70" spans="3:14" x14ac:dyDescent="0.2">
      <c r="C70" s="18">
        <v>23</v>
      </c>
      <c r="D70" s="69" t="s">
        <v>295</v>
      </c>
      <c r="E70" s="243" t="s">
        <v>179</v>
      </c>
      <c r="F70" s="243" t="s">
        <v>207</v>
      </c>
      <c r="G70" s="243" t="s">
        <v>419</v>
      </c>
      <c r="H70" s="246" t="s">
        <v>289</v>
      </c>
      <c r="I70" s="43" t="s">
        <v>588</v>
      </c>
      <c r="J70" s="43"/>
      <c r="K70" s="193"/>
      <c r="L70" s="193"/>
      <c r="M70" s="307"/>
      <c r="N70" s="265"/>
    </row>
    <row r="71" spans="3:14" x14ac:dyDescent="0.2">
      <c r="C71" s="18">
        <v>23</v>
      </c>
      <c r="D71" s="69" t="s">
        <v>295</v>
      </c>
      <c r="E71" s="243" t="s">
        <v>179</v>
      </c>
      <c r="F71" s="243" t="s">
        <v>208</v>
      </c>
      <c r="G71" s="243" t="s">
        <v>419</v>
      </c>
      <c r="H71" s="246" t="s">
        <v>289</v>
      </c>
      <c r="I71" s="43" t="s">
        <v>588</v>
      </c>
      <c r="J71" s="43"/>
      <c r="K71" s="193"/>
      <c r="L71" s="193"/>
      <c r="M71" s="307"/>
      <c r="N71" s="265"/>
    </row>
    <row r="72" spans="3:14" x14ac:dyDescent="0.2">
      <c r="C72" s="69">
        <v>23</v>
      </c>
      <c r="D72" s="69" t="s">
        <v>295</v>
      </c>
      <c r="E72" s="243" t="s">
        <v>288</v>
      </c>
      <c r="F72" s="243" t="s">
        <v>207</v>
      </c>
      <c r="G72" s="243" t="s">
        <v>419</v>
      </c>
      <c r="H72" s="244" t="s">
        <v>289</v>
      </c>
      <c r="I72" s="43" t="s">
        <v>590</v>
      </c>
      <c r="J72" s="43"/>
      <c r="K72" s="193"/>
      <c r="L72" s="193"/>
      <c r="M72" s="307"/>
      <c r="N72" s="265"/>
    </row>
    <row r="73" spans="3:14" x14ac:dyDescent="0.2">
      <c r="C73" s="69">
        <v>23</v>
      </c>
      <c r="D73" s="69" t="s">
        <v>295</v>
      </c>
      <c r="E73" s="243" t="s">
        <v>288</v>
      </c>
      <c r="F73" s="243" t="s">
        <v>219</v>
      </c>
      <c r="G73" s="243" t="s">
        <v>419</v>
      </c>
      <c r="H73" s="244" t="s">
        <v>289</v>
      </c>
      <c r="I73" s="43" t="s">
        <v>590</v>
      </c>
      <c r="J73" s="43"/>
      <c r="K73" s="193"/>
      <c r="L73" s="193"/>
      <c r="M73" s="307"/>
      <c r="N73" s="265"/>
    </row>
    <row r="74" spans="3:14" x14ac:dyDescent="0.2">
      <c r="C74" s="69">
        <v>23</v>
      </c>
      <c r="D74" s="69" t="s">
        <v>295</v>
      </c>
      <c r="E74" s="243" t="s">
        <v>288</v>
      </c>
      <c r="F74" s="243" t="s">
        <v>208</v>
      </c>
      <c r="G74" s="243" t="s">
        <v>419</v>
      </c>
      <c r="H74" s="244" t="s">
        <v>289</v>
      </c>
      <c r="I74" s="43" t="s">
        <v>590</v>
      </c>
      <c r="J74" s="43"/>
      <c r="K74" s="193"/>
      <c r="L74" s="193"/>
      <c r="M74" s="307"/>
      <c r="N74" s="265"/>
    </row>
    <row r="75" spans="3:14" x14ac:dyDescent="0.2">
      <c r="C75" s="69">
        <v>23</v>
      </c>
      <c r="D75" s="69" t="s">
        <v>295</v>
      </c>
      <c r="E75" s="243" t="s">
        <v>288</v>
      </c>
      <c r="F75" s="243" t="s">
        <v>209</v>
      </c>
      <c r="G75" s="243" t="s">
        <v>419</v>
      </c>
      <c r="H75" s="244" t="s">
        <v>289</v>
      </c>
      <c r="I75" s="43" t="s">
        <v>590</v>
      </c>
      <c r="J75" s="43"/>
      <c r="K75" s="193"/>
      <c r="L75" s="193"/>
      <c r="M75" s="307"/>
      <c r="N75" s="265"/>
    </row>
    <row r="76" spans="3:14" x14ac:dyDescent="0.2">
      <c r="C76" s="69">
        <v>23</v>
      </c>
      <c r="D76" s="69" t="s">
        <v>295</v>
      </c>
      <c r="E76" s="243" t="s">
        <v>288</v>
      </c>
      <c r="F76" s="243" t="s">
        <v>210</v>
      </c>
      <c r="G76" s="243" t="s">
        <v>419</v>
      </c>
      <c r="H76" s="244" t="s">
        <v>289</v>
      </c>
      <c r="I76" s="43" t="s">
        <v>590</v>
      </c>
      <c r="J76" s="43"/>
      <c r="K76" s="193"/>
      <c r="L76" s="193"/>
      <c r="M76" s="307"/>
      <c r="N76" s="265"/>
    </row>
    <row r="77" spans="3:14" x14ac:dyDescent="0.2">
      <c r="C77" s="18">
        <v>23</v>
      </c>
      <c r="D77" s="69" t="s">
        <v>295</v>
      </c>
      <c r="E77" s="243" t="s">
        <v>108</v>
      </c>
      <c r="F77" s="243" t="s">
        <v>207</v>
      </c>
      <c r="G77" s="243" t="s">
        <v>419</v>
      </c>
      <c r="H77" s="244" t="s">
        <v>351</v>
      </c>
      <c r="I77" s="43" t="s">
        <v>596</v>
      </c>
      <c r="J77" s="43"/>
      <c r="K77" s="193"/>
      <c r="L77" s="193"/>
      <c r="M77" s="307"/>
      <c r="N77" s="265"/>
    </row>
    <row r="78" spans="3:14" x14ac:dyDescent="0.2">
      <c r="C78" s="18">
        <v>23</v>
      </c>
      <c r="D78" s="69" t="s">
        <v>295</v>
      </c>
      <c r="E78" s="243" t="s">
        <v>108</v>
      </c>
      <c r="F78" s="243" t="s">
        <v>219</v>
      </c>
      <c r="G78" s="243" t="s">
        <v>419</v>
      </c>
      <c r="H78" s="244" t="s">
        <v>351</v>
      </c>
      <c r="I78" s="43" t="s">
        <v>596</v>
      </c>
      <c r="J78" s="43"/>
      <c r="K78" s="193"/>
      <c r="L78" s="193"/>
      <c r="M78" s="307"/>
      <c r="N78" s="265"/>
    </row>
    <row r="79" spans="3:14" x14ac:dyDescent="0.2">
      <c r="C79" s="18">
        <v>23</v>
      </c>
      <c r="D79" s="69" t="s">
        <v>295</v>
      </c>
      <c r="E79" s="243" t="s">
        <v>108</v>
      </c>
      <c r="F79" s="243" t="s">
        <v>208</v>
      </c>
      <c r="G79" s="243" t="s">
        <v>419</v>
      </c>
      <c r="H79" s="244" t="s">
        <v>351</v>
      </c>
      <c r="I79" s="43" t="s">
        <v>596</v>
      </c>
      <c r="J79" s="43"/>
      <c r="K79" s="193"/>
      <c r="L79" s="193"/>
      <c r="M79" s="307"/>
      <c r="N79" s="265"/>
    </row>
    <row r="80" spans="3:14" x14ac:dyDescent="0.2">
      <c r="C80" s="18">
        <v>23</v>
      </c>
      <c r="D80" s="69" t="s">
        <v>295</v>
      </c>
      <c r="E80" s="243" t="s">
        <v>108</v>
      </c>
      <c r="F80" s="243" t="s">
        <v>209</v>
      </c>
      <c r="G80" s="243" t="s">
        <v>419</v>
      </c>
      <c r="H80" s="244" t="s">
        <v>351</v>
      </c>
      <c r="I80" s="43" t="s">
        <v>596</v>
      </c>
      <c r="J80" s="43"/>
      <c r="K80" s="193"/>
      <c r="L80" s="193"/>
      <c r="M80" s="307"/>
      <c r="N80" s="265"/>
    </row>
    <row r="81" spans="3:14" x14ac:dyDescent="0.2">
      <c r="C81" s="18">
        <v>23</v>
      </c>
      <c r="D81" s="69" t="s">
        <v>295</v>
      </c>
      <c r="E81" s="243" t="s">
        <v>108</v>
      </c>
      <c r="F81" s="243" t="s">
        <v>210</v>
      </c>
      <c r="G81" s="243" t="s">
        <v>419</v>
      </c>
      <c r="H81" s="244" t="s">
        <v>351</v>
      </c>
      <c r="I81" s="43" t="s">
        <v>596</v>
      </c>
      <c r="J81" s="43"/>
      <c r="K81" s="193"/>
      <c r="L81" s="193"/>
      <c r="M81" s="307"/>
      <c r="N81" s="265"/>
    </row>
    <row r="82" spans="3:14" x14ac:dyDescent="0.2">
      <c r="C82" s="69">
        <v>23</v>
      </c>
      <c r="D82" s="69" t="s">
        <v>294</v>
      </c>
      <c r="E82" s="243" t="s">
        <v>29</v>
      </c>
      <c r="F82" s="243" t="s">
        <v>207</v>
      </c>
      <c r="G82" s="243" t="s">
        <v>419</v>
      </c>
      <c r="H82" s="244" t="s">
        <v>351</v>
      </c>
      <c r="I82" s="43" t="s">
        <v>587</v>
      </c>
      <c r="J82" s="43"/>
      <c r="K82" s="193"/>
      <c r="L82" s="193"/>
      <c r="M82" s="307"/>
      <c r="N82" s="265"/>
    </row>
    <row r="83" spans="3:14" x14ac:dyDescent="0.2">
      <c r="C83" s="69">
        <v>23</v>
      </c>
      <c r="D83" s="69" t="s">
        <v>294</v>
      </c>
      <c r="E83" s="243" t="s">
        <v>29</v>
      </c>
      <c r="F83" s="243" t="s">
        <v>219</v>
      </c>
      <c r="G83" s="243" t="s">
        <v>419</v>
      </c>
      <c r="H83" s="244" t="s">
        <v>351</v>
      </c>
      <c r="I83" s="43" t="s">
        <v>587</v>
      </c>
      <c r="J83" s="43"/>
      <c r="K83" s="193"/>
      <c r="L83" s="193"/>
      <c r="M83" s="307"/>
      <c r="N83" s="265"/>
    </row>
    <row r="84" spans="3:14" x14ac:dyDescent="0.2">
      <c r="C84" s="69">
        <v>23</v>
      </c>
      <c r="D84" s="69" t="s">
        <v>294</v>
      </c>
      <c r="E84" s="243" t="s">
        <v>29</v>
      </c>
      <c r="F84" s="243" t="s">
        <v>208</v>
      </c>
      <c r="G84" s="243" t="s">
        <v>419</v>
      </c>
      <c r="H84" s="244" t="s">
        <v>351</v>
      </c>
      <c r="I84" s="43" t="s">
        <v>587</v>
      </c>
      <c r="J84" s="43"/>
      <c r="K84" s="193"/>
      <c r="L84" s="193"/>
      <c r="M84" s="307"/>
      <c r="N84" s="265"/>
    </row>
    <row r="85" spans="3:14" x14ac:dyDescent="0.2">
      <c r="C85" s="69">
        <v>23</v>
      </c>
      <c r="D85" s="69" t="s">
        <v>294</v>
      </c>
      <c r="E85" s="243" t="s">
        <v>29</v>
      </c>
      <c r="F85" s="243" t="s">
        <v>209</v>
      </c>
      <c r="G85" s="243" t="s">
        <v>419</v>
      </c>
      <c r="H85" s="244" t="s">
        <v>351</v>
      </c>
      <c r="I85" s="43" t="s">
        <v>587</v>
      </c>
      <c r="J85" s="43"/>
      <c r="K85" s="193"/>
      <c r="L85" s="193"/>
      <c r="M85" s="307"/>
      <c r="N85" s="265"/>
    </row>
    <row r="86" spans="3:14" x14ac:dyDescent="0.2">
      <c r="C86" s="69">
        <v>23</v>
      </c>
      <c r="D86" s="69" t="s">
        <v>294</v>
      </c>
      <c r="E86" s="243" t="s">
        <v>29</v>
      </c>
      <c r="F86" s="243" t="s">
        <v>210</v>
      </c>
      <c r="G86" s="243" t="s">
        <v>419</v>
      </c>
      <c r="H86" s="244" t="s">
        <v>351</v>
      </c>
      <c r="I86" s="43" t="s">
        <v>587</v>
      </c>
      <c r="J86" s="43"/>
      <c r="K86" s="193"/>
      <c r="L86" s="193"/>
      <c r="M86" s="307"/>
      <c r="N86" s="265"/>
    </row>
    <row r="87" spans="3:14" x14ac:dyDescent="0.2">
      <c r="C87" s="18">
        <v>23</v>
      </c>
      <c r="D87" s="18" t="s">
        <v>305</v>
      </c>
      <c r="E87" s="243" t="s">
        <v>96</v>
      </c>
      <c r="F87" s="243" t="s">
        <v>207</v>
      </c>
      <c r="G87" s="243" t="s">
        <v>419</v>
      </c>
      <c r="H87" s="244" t="s">
        <v>289</v>
      </c>
      <c r="I87" s="43" t="s">
        <v>596</v>
      </c>
      <c r="J87" s="43"/>
      <c r="K87" s="193"/>
      <c r="L87" s="193"/>
      <c r="M87" s="307"/>
      <c r="N87" s="265"/>
    </row>
    <row r="88" spans="3:14" x14ac:dyDescent="0.2">
      <c r="C88" s="18">
        <v>23</v>
      </c>
      <c r="D88" s="18" t="s">
        <v>305</v>
      </c>
      <c r="E88" s="243" t="s">
        <v>96</v>
      </c>
      <c r="F88" s="243" t="s">
        <v>219</v>
      </c>
      <c r="G88" s="243" t="s">
        <v>419</v>
      </c>
      <c r="H88" s="244" t="s">
        <v>289</v>
      </c>
      <c r="I88" s="43" t="s">
        <v>596</v>
      </c>
      <c r="J88" s="43"/>
      <c r="K88" s="193"/>
      <c r="L88" s="193"/>
      <c r="M88" s="307"/>
      <c r="N88" s="265"/>
    </row>
    <row r="89" spans="3:14" x14ac:dyDescent="0.2">
      <c r="C89" s="18">
        <v>23</v>
      </c>
      <c r="D89" s="18" t="s">
        <v>305</v>
      </c>
      <c r="E89" s="243" t="s">
        <v>96</v>
      </c>
      <c r="F89" s="243" t="s">
        <v>208</v>
      </c>
      <c r="G89" s="243" t="s">
        <v>419</v>
      </c>
      <c r="H89" s="246" t="s">
        <v>289</v>
      </c>
      <c r="I89" s="43" t="s">
        <v>596</v>
      </c>
      <c r="J89" s="43"/>
      <c r="K89" s="193"/>
      <c r="L89" s="193"/>
      <c r="M89" s="307"/>
      <c r="N89" s="265"/>
    </row>
    <row r="90" spans="3:14" x14ac:dyDescent="0.2">
      <c r="C90" s="18">
        <v>23</v>
      </c>
      <c r="D90" s="18" t="s">
        <v>305</v>
      </c>
      <c r="E90" s="243" t="s">
        <v>96</v>
      </c>
      <c r="F90" s="243" t="s">
        <v>209</v>
      </c>
      <c r="G90" s="243" t="s">
        <v>419</v>
      </c>
      <c r="H90" s="244" t="s">
        <v>289</v>
      </c>
      <c r="I90" s="43" t="s">
        <v>596</v>
      </c>
      <c r="J90" s="43"/>
      <c r="K90" s="193"/>
      <c r="L90" s="193"/>
      <c r="M90" s="307"/>
      <c r="N90" s="265"/>
    </row>
    <row r="91" spans="3:14" x14ac:dyDescent="0.2">
      <c r="C91" s="18">
        <v>23</v>
      </c>
      <c r="D91" s="18" t="s">
        <v>305</v>
      </c>
      <c r="E91" s="243" t="s">
        <v>96</v>
      </c>
      <c r="F91" s="243" t="s">
        <v>210</v>
      </c>
      <c r="G91" s="243" t="s">
        <v>419</v>
      </c>
      <c r="H91" s="244" t="s">
        <v>289</v>
      </c>
      <c r="I91" s="43" t="s">
        <v>596</v>
      </c>
      <c r="J91" s="43"/>
      <c r="K91" s="193"/>
      <c r="L91" s="193"/>
      <c r="M91" s="307"/>
      <c r="N91" s="265"/>
    </row>
    <row r="92" spans="3:14" x14ac:dyDescent="0.2">
      <c r="C92" s="18">
        <v>23</v>
      </c>
      <c r="D92" s="69" t="s">
        <v>305</v>
      </c>
      <c r="E92" s="243" t="s">
        <v>186</v>
      </c>
      <c r="F92" s="243" t="s">
        <v>207</v>
      </c>
      <c r="G92" s="243" t="s">
        <v>419</v>
      </c>
      <c r="H92" s="246"/>
      <c r="I92" s="43" t="s">
        <v>588</v>
      </c>
      <c r="J92" s="43"/>
      <c r="K92" s="193"/>
      <c r="L92" s="193"/>
      <c r="M92" s="307"/>
      <c r="N92" s="265"/>
    </row>
    <row r="93" spans="3:14" x14ac:dyDescent="0.2">
      <c r="C93" s="18">
        <v>23</v>
      </c>
      <c r="D93" s="69" t="s">
        <v>305</v>
      </c>
      <c r="E93" s="243" t="s">
        <v>186</v>
      </c>
      <c r="F93" s="243" t="s">
        <v>219</v>
      </c>
      <c r="G93" s="243" t="s">
        <v>419</v>
      </c>
      <c r="H93" s="244" t="s">
        <v>289</v>
      </c>
      <c r="I93" s="43" t="s">
        <v>588</v>
      </c>
      <c r="J93" s="43"/>
      <c r="K93" s="193"/>
      <c r="L93" s="193"/>
      <c r="M93" s="307"/>
      <c r="N93" s="265"/>
    </row>
    <row r="94" spans="3:14" x14ac:dyDescent="0.2">
      <c r="C94" s="18">
        <v>23</v>
      </c>
      <c r="D94" s="69" t="s">
        <v>305</v>
      </c>
      <c r="E94" s="243" t="s">
        <v>186</v>
      </c>
      <c r="F94" s="243" t="s">
        <v>208</v>
      </c>
      <c r="G94" s="243" t="s">
        <v>419</v>
      </c>
      <c r="H94" s="246"/>
      <c r="I94" s="43" t="s">
        <v>588</v>
      </c>
      <c r="J94" s="43"/>
      <c r="K94" s="193"/>
      <c r="L94" s="193"/>
      <c r="M94" s="307"/>
      <c r="N94" s="265"/>
    </row>
    <row r="95" spans="3:14" x14ac:dyDescent="0.2">
      <c r="C95" s="18">
        <v>23</v>
      </c>
      <c r="D95" s="69" t="s">
        <v>305</v>
      </c>
      <c r="E95" s="243" t="s">
        <v>186</v>
      </c>
      <c r="F95" s="243" t="s">
        <v>209</v>
      </c>
      <c r="G95" s="243" t="s">
        <v>419</v>
      </c>
      <c r="H95" s="244" t="s">
        <v>289</v>
      </c>
      <c r="I95" s="43" t="s">
        <v>588</v>
      </c>
      <c r="J95" s="43"/>
      <c r="K95" s="193"/>
      <c r="L95" s="193"/>
      <c r="M95" s="307"/>
      <c r="N95" s="265"/>
    </row>
    <row r="96" spans="3:14" x14ac:dyDescent="0.2">
      <c r="C96" s="18">
        <v>23</v>
      </c>
      <c r="D96" s="69" t="s">
        <v>305</v>
      </c>
      <c r="E96" s="243" t="s">
        <v>186</v>
      </c>
      <c r="F96" s="243" t="s">
        <v>210</v>
      </c>
      <c r="G96" s="243" t="s">
        <v>419</v>
      </c>
      <c r="H96" s="244" t="s">
        <v>497</v>
      </c>
      <c r="I96" s="43" t="s">
        <v>588</v>
      </c>
      <c r="J96" s="43"/>
      <c r="K96" s="193"/>
      <c r="L96" s="193"/>
      <c r="M96" s="307"/>
      <c r="N96" s="265"/>
    </row>
    <row r="97" spans="3:14" x14ac:dyDescent="0.2">
      <c r="C97" s="69">
        <v>23</v>
      </c>
      <c r="D97" s="69" t="s">
        <v>355</v>
      </c>
      <c r="E97" s="243" t="s">
        <v>32</v>
      </c>
      <c r="F97" s="243" t="s">
        <v>207</v>
      </c>
      <c r="G97" s="243" t="s">
        <v>419</v>
      </c>
      <c r="H97" s="244" t="s">
        <v>351</v>
      </c>
      <c r="I97" s="43" t="s">
        <v>596</v>
      </c>
      <c r="J97" s="43"/>
      <c r="K97" s="193"/>
      <c r="L97" s="193"/>
      <c r="M97" s="307"/>
      <c r="N97" s="265"/>
    </row>
    <row r="98" spans="3:14" x14ac:dyDescent="0.2">
      <c r="C98" s="69">
        <v>23</v>
      </c>
      <c r="D98" s="69" t="s">
        <v>355</v>
      </c>
      <c r="E98" s="243" t="s">
        <v>32</v>
      </c>
      <c r="F98" s="243" t="s">
        <v>219</v>
      </c>
      <c r="G98" s="243" t="s">
        <v>419</v>
      </c>
      <c r="H98" s="244" t="s">
        <v>351</v>
      </c>
      <c r="I98" s="43" t="s">
        <v>596</v>
      </c>
      <c r="J98" s="43"/>
      <c r="K98" s="193"/>
      <c r="L98" s="193"/>
      <c r="M98" s="307"/>
      <c r="N98" s="265"/>
    </row>
    <row r="99" spans="3:14" x14ac:dyDescent="0.2">
      <c r="C99" s="69">
        <v>23</v>
      </c>
      <c r="D99" s="69" t="s">
        <v>355</v>
      </c>
      <c r="E99" s="243" t="s">
        <v>32</v>
      </c>
      <c r="F99" s="243" t="s">
        <v>208</v>
      </c>
      <c r="G99" s="243" t="s">
        <v>419</v>
      </c>
      <c r="H99" s="244" t="s">
        <v>351</v>
      </c>
      <c r="I99" s="43" t="s">
        <v>596</v>
      </c>
      <c r="J99" s="43"/>
      <c r="K99" s="193"/>
      <c r="L99" s="193"/>
      <c r="M99" s="307"/>
      <c r="N99" s="265"/>
    </row>
    <row r="100" spans="3:14" x14ac:dyDescent="0.2">
      <c r="C100" s="69">
        <v>23</v>
      </c>
      <c r="D100" s="69" t="s">
        <v>355</v>
      </c>
      <c r="E100" s="243" t="s">
        <v>32</v>
      </c>
      <c r="F100" s="243" t="s">
        <v>209</v>
      </c>
      <c r="G100" s="243" t="s">
        <v>419</v>
      </c>
      <c r="H100" s="244" t="s">
        <v>351</v>
      </c>
      <c r="I100" s="43" t="s">
        <v>596</v>
      </c>
      <c r="J100" s="43"/>
      <c r="K100" s="193"/>
      <c r="L100" s="193"/>
      <c r="M100" s="307"/>
      <c r="N100" s="265"/>
    </row>
    <row r="101" spans="3:14" x14ac:dyDescent="0.2">
      <c r="C101" s="69">
        <v>23</v>
      </c>
      <c r="D101" s="69" t="s">
        <v>355</v>
      </c>
      <c r="E101" s="243" t="s">
        <v>32</v>
      </c>
      <c r="F101" s="243" t="s">
        <v>210</v>
      </c>
      <c r="G101" s="243" t="s">
        <v>419</v>
      </c>
      <c r="H101" s="244" t="s">
        <v>351</v>
      </c>
      <c r="I101" s="43" t="s">
        <v>596</v>
      </c>
      <c r="J101" s="43"/>
      <c r="K101" s="193"/>
      <c r="L101" s="193"/>
      <c r="M101" s="307"/>
      <c r="N101" s="265"/>
    </row>
    <row r="102" spans="3:14" x14ac:dyDescent="0.2">
      <c r="C102" s="18">
        <v>24</v>
      </c>
      <c r="D102" s="69" t="s">
        <v>297</v>
      </c>
      <c r="E102" s="243" t="s">
        <v>114</v>
      </c>
      <c r="F102" s="243" t="s">
        <v>207</v>
      </c>
      <c r="G102" s="243" t="s">
        <v>419</v>
      </c>
      <c r="H102" s="244" t="s">
        <v>594</v>
      </c>
      <c r="I102" s="43" t="s">
        <v>585</v>
      </c>
      <c r="J102" s="43"/>
      <c r="K102" s="193"/>
      <c r="L102" s="193"/>
      <c r="M102" s="307"/>
      <c r="N102" s="266"/>
    </row>
    <row r="103" spans="3:14" x14ac:dyDescent="0.2">
      <c r="C103" s="18">
        <v>24</v>
      </c>
      <c r="D103" s="69" t="s">
        <v>297</v>
      </c>
      <c r="E103" s="243" t="s">
        <v>114</v>
      </c>
      <c r="F103" s="243" t="s">
        <v>219</v>
      </c>
      <c r="G103" s="243" t="s">
        <v>419</v>
      </c>
      <c r="H103" s="244" t="s">
        <v>594</v>
      </c>
      <c r="I103" s="43" t="s">
        <v>585</v>
      </c>
      <c r="J103" s="43"/>
      <c r="K103" s="193"/>
      <c r="L103" s="193"/>
      <c r="M103" s="307"/>
      <c r="N103" s="265"/>
    </row>
    <row r="104" spans="3:14" x14ac:dyDescent="0.2">
      <c r="C104" s="18">
        <v>24</v>
      </c>
      <c r="D104" s="69" t="s">
        <v>297</v>
      </c>
      <c r="E104" s="243" t="s">
        <v>114</v>
      </c>
      <c r="F104" s="243" t="s">
        <v>208</v>
      </c>
      <c r="G104" s="243" t="s">
        <v>419</v>
      </c>
      <c r="H104" s="244" t="s">
        <v>594</v>
      </c>
      <c r="I104" s="43" t="s">
        <v>585</v>
      </c>
      <c r="J104" s="43"/>
      <c r="K104" s="193"/>
      <c r="L104" s="193"/>
      <c r="M104" s="307"/>
      <c r="N104" s="266"/>
    </row>
    <row r="105" spans="3:14" x14ac:dyDescent="0.2">
      <c r="C105" s="18">
        <v>24</v>
      </c>
      <c r="D105" s="69" t="s">
        <v>297</v>
      </c>
      <c r="E105" s="243" t="s">
        <v>114</v>
      </c>
      <c r="F105" s="243" t="s">
        <v>209</v>
      </c>
      <c r="G105" s="243" t="s">
        <v>419</v>
      </c>
      <c r="H105" s="244" t="s">
        <v>594</v>
      </c>
      <c r="I105" s="43" t="s">
        <v>585</v>
      </c>
      <c r="J105" s="43"/>
      <c r="K105" s="193"/>
      <c r="L105" s="193"/>
      <c r="M105" s="307"/>
      <c r="N105" s="265"/>
    </row>
    <row r="106" spans="3:14" x14ac:dyDescent="0.2">
      <c r="C106" s="18">
        <v>24</v>
      </c>
      <c r="D106" s="69" t="s">
        <v>297</v>
      </c>
      <c r="E106" s="243" t="s">
        <v>114</v>
      </c>
      <c r="F106" s="243" t="s">
        <v>210</v>
      </c>
      <c r="G106" s="243" t="s">
        <v>419</v>
      </c>
      <c r="H106" s="244" t="s">
        <v>594</v>
      </c>
      <c r="I106" s="43" t="s">
        <v>585</v>
      </c>
      <c r="J106" s="43"/>
      <c r="K106" s="193"/>
      <c r="L106" s="193"/>
      <c r="M106" s="307"/>
      <c r="N106" s="266"/>
    </row>
    <row r="107" spans="3:14" x14ac:dyDescent="0.2">
      <c r="C107" s="18">
        <v>24</v>
      </c>
      <c r="D107" s="69" t="s">
        <v>297</v>
      </c>
      <c r="E107" s="243" t="s">
        <v>115</v>
      </c>
      <c r="F107" s="243" t="s">
        <v>207</v>
      </c>
      <c r="G107" s="243" t="s">
        <v>419</v>
      </c>
      <c r="H107" s="246" t="s">
        <v>594</v>
      </c>
      <c r="I107" s="43" t="s">
        <v>585</v>
      </c>
      <c r="J107" s="43"/>
      <c r="K107" s="193"/>
      <c r="L107" s="193"/>
      <c r="M107" s="307"/>
      <c r="N107" s="266"/>
    </row>
    <row r="108" spans="3:14" x14ac:dyDescent="0.2">
      <c r="C108" s="18">
        <v>24</v>
      </c>
      <c r="D108" s="69" t="s">
        <v>297</v>
      </c>
      <c r="E108" s="243" t="s">
        <v>115</v>
      </c>
      <c r="F108" s="243" t="s">
        <v>219</v>
      </c>
      <c r="G108" s="243" t="s">
        <v>419</v>
      </c>
      <c r="H108" s="246" t="s">
        <v>594</v>
      </c>
      <c r="I108" s="43" t="s">
        <v>585</v>
      </c>
      <c r="J108" s="43"/>
      <c r="K108" s="193"/>
      <c r="L108" s="193"/>
      <c r="M108" s="307"/>
      <c r="N108" s="266"/>
    </row>
    <row r="109" spans="3:14" x14ac:dyDescent="0.2">
      <c r="C109" s="18">
        <v>24</v>
      </c>
      <c r="D109" s="69" t="s">
        <v>297</v>
      </c>
      <c r="E109" s="243" t="s">
        <v>115</v>
      </c>
      <c r="F109" s="243" t="s">
        <v>208</v>
      </c>
      <c r="G109" s="243" t="s">
        <v>419</v>
      </c>
      <c r="H109" s="246" t="s">
        <v>594</v>
      </c>
      <c r="I109" s="43" t="s">
        <v>585</v>
      </c>
      <c r="J109" s="43"/>
      <c r="K109" s="193"/>
      <c r="L109" s="193"/>
      <c r="M109" s="307"/>
      <c r="N109" s="266"/>
    </row>
    <row r="110" spans="3:14" x14ac:dyDescent="0.2">
      <c r="C110" s="18">
        <v>24</v>
      </c>
      <c r="D110" s="69" t="s">
        <v>297</v>
      </c>
      <c r="E110" s="243" t="s">
        <v>115</v>
      </c>
      <c r="F110" s="243" t="s">
        <v>209</v>
      </c>
      <c r="G110" s="243" t="s">
        <v>419</v>
      </c>
      <c r="H110" s="244" t="s">
        <v>594</v>
      </c>
      <c r="I110" s="43" t="s">
        <v>585</v>
      </c>
      <c r="J110" s="43"/>
      <c r="K110" s="193"/>
      <c r="L110" s="193"/>
      <c r="M110" s="307"/>
      <c r="N110" s="308"/>
    </row>
    <row r="111" spans="3:14" x14ac:dyDescent="0.2">
      <c r="C111" s="18">
        <v>24</v>
      </c>
      <c r="D111" s="69" t="s">
        <v>297</v>
      </c>
      <c r="E111" s="243" t="s">
        <v>115</v>
      </c>
      <c r="F111" s="243" t="s">
        <v>210</v>
      </c>
      <c r="G111" s="243" t="s">
        <v>419</v>
      </c>
      <c r="H111" s="244" t="s">
        <v>594</v>
      </c>
      <c r="I111" s="43" t="s">
        <v>585</v>
      </c>
      <c r="J111" s="43"/>
      <c r="K111" s="193"/>
      <c r="L111" s="193"/>
      <c r="M111" s="307"/>
      <c r="N111" s="266"/>
    </row>
    <row r="112" spans="3:14" x14ac:dyDescent="0.2">
      <c r="C112" s="69">
        <v>24</v>
      </c>
      <c r="D112" s="69" t="s">
        <v>297</v>
      </c>
      <c r="E112" s="243" t="s">
        <v>35</v>
      </c>
      <c r="F112" s="243" t="s">
        <v>207</v>
      </c>
      <c r="G112" s="243" t="s">
        <v>419</v>
      </c>
      <c r="H112" s="244" t="s">
        <v>497</v>
      </c>
      <c r="I112" s="43" t="s">
        <v>596</v>
      </c>
      <c r="J112" s="43"/>
      <c r="K112" s="193"/>
      <c r="L112" s="193"/>
      <c r="M112" s="307"/>
      <c r="N112" s="265"/>
    </row>
    <row r="113" spans="3:14" x14ac:dyDescent="0.2">
      <c r="C113" s="69">
        <v>24</v>
      </c>
      <c r="D113" s="69" t="s">
        <v>297</v>
      </c>
      <c r="E113" s="243" t="s">
        <v>35</v>
      </c>
      <c r="F113" s="243" t="s">
        <v>219</v>
      </c>
      <c r="G113" s="243" t="s">
        <v>419</v>
      </c>
      <c r="H113" s="244" t="s">
        <v>497</v>
      </c>
      <c r="I113" s="43" t="s">
        <v>596</v>
      </c>
      <c r="J113" s="43"/>
      <c r="K113" s="193"/>
      <c r="L113" s="193"/>
      <c r="M113" s="307"/>
      <c r="N113" s="265"/>
    </row>
    <row r="114" spans="3:14" x14ac:dyDescent="0.2">
      <c r="C114" s="69">
        <v>24</v>
      </c>
      <c r="D114" s="69" t="s">
        <v>297</v>
      </c>
      <c r="E114" s="243" t="s">
        <v>35</v>
      </c>
      <c r="F114" s="243" t="s">
        <v>208</v>
      </c>
      <c r="G114" s="243" t="s">
        <v>419</v>
      </c>
      <c r="H114" s="244" t="s">
        <v>497</v>
      </c>
      <c r="I114" s="43" t="s">
        <v>596</v>
      </c>
      <c r="J114" s="43"/>
      <c r="K114" s="193"/>
      <c r="L114" s="193"/>
      <c r="M114" s="307"/>
      <c r="N114" s="265"/>
    </row>
    <row r="115" spans="3:14" x14ac:dyDescent="0.2">
      <c r="C115" s="69">
        <v>24</v>
      </c>
      <c r="D115" s="69" t="s">
        <v>297</v>
      </c>
      <c r="E115" s="243" t="s">
        <v>35</v>
      </c>
      <c r="F115" s="243" t="s">
        <v>209</v>
      </c>
      <c r="G115" s="243" t="s">
        <v>419</v>
      </c>
      <c r="H115" s="244" t="s">
        <v>497</v>
      </c>
      <c r="I115" s="43" t="s">
        <v>596</v>
      </c>
      <c r="J115" s="43"/>
      <c r="K115" s="193"/>
      <c r="L115" s="193"/>
      <c r="M115" s="307"/>
      <c r="N115" s="265"/>
    </row>
    <row r="116" spans="3:14" x14ac:dyDescent="0.2">
      <c r="C116" s="69">
        <v>24</v>
      </c>
      <c r="D116" s="69" t="s">
        <v>297</v>
      </c>
      <c r="E116" s="243" t="s">
        <v>35</v>
      </c>
      <c r="F116" s="243" t="s">
        <v>210</v>
      </c>
      <c r="G116" s="243" t="s">
        <v>419</v>
      </c>
      <c r="H116" s="244" t="s">
        <v>497</v>
      </c>
      <c r="I116" s="43" t="s">
        <v>596</v>
      </c>
      <c r="J116" s="43"/>
      <c r="K116" s="193"/>
      <c r="L116" s="193"/>
      <c r="M116" s="307"/>
      <c r="N116" s="265"/>
    </row>
    <row r="117" spans="3:14" x14ac:dyDescent="0.2">
      <c r="C117" s="69">
        <v>24</v>
      </c>
      <c r="D117" s="69" t="s">
        <v>297</v>
      </c>
      <c r="E117" s="243" t="s">
        <v>119</v>
      </c>
      <c r="F117" s="243" t="s">
        <v>207</v>
      </c>
      <c r="G117" s="243" t="s">
        <v>419</v>
      </c>
      <c r="H117" s="244" t="s">
        <v>497</v>
      </c>
      <c r="I117" s="43" t="s">
        <v>585</v>
      </c>
      <c r="J117" s="43"/>
      <c r="K117" s="193"/>
      <c r="L117" s="193"/>
      <c r="M117" s="307"/>
      <c r="N117" s="265"/>
    </row>
    <row r="118" spans="3:14" x14ac:dyDescent="0.2">
      <c r="C118" s="69">
        <v>24</v>
      </c>
      <c r="D118" s="69" t="s">
        <v>297</v>
      </c>
      <c r="E118" s="243" t="s">
        <v>119</v>
      </c>
      <c r="F118" s="243" t="s">
        <v>219</v>
      </c>
      <c r="G118" s="243" t="s">
        <v>419</v>
      </c>
      <c r="H118" s="244" t="s">
        <v>497</v>
      </c>
      <c r="I118" s="43" t="s">
        <v>585</v>
      </c>
      <c r="J118" s="43"/>
      <c r="K118" s="193"/>
      <c r="L118" s="193"/>
      <c r="M118" s="307"/>
      <c r="N118" s="265"/>
    </row>
    <row r="119" spans="3:14" x14ac:dyDescent="0.2">
      <c r="C119" s="69">
        <v>24</v>
      </c>
      <c r="D119" s="69" t="s">
        <v>297</v>
      </c>
      <c r="E119" s="243" t="s">
        <v>119</v>
      </c>
      <c r="F119" s="243" t="s">
        <v>208</v>
      </c>
      <c r="G119" s="243" t="s">
        <v>419</v>
      </c>
      <c r="H119" s="244" t="s">
        <v>497</v>
      </c>
      <c r="I119" s="43" t="s">
        <v>585</v>
      </c>
      <c r="J119" s="43"/>
      <c r="K119" s="193"/>
      <c r="L119" s="193"/>
      <c r="M119" s="307"/>
      <c r="N119" s="265"/>
    </row>
    <row r="120" spans="3:14" x14ac:dyDescent="0.2">
      <c r="C120" s="69">
        <v>24</v>
      </c>
      <c r="D120" s="69" t="s">
        <v>297</v>
      </c>
      <c r="E120" s="243" t="s">
        <v>119</v>
      </c>
      <c r="F120" s="243" t="s">
        <v>209</v>
      </c>
      <c r="G120" s="243" t="s">
        <v>419</v>
      </c>
      <c r="H120" s="244" t="s">
        <v>497</v>
      </c>
      <c r="I120" s="43" t="s">
        <v>585</v>
      </c>
      <c r="J120" s="43"/>
      <c r="K120" s="193"/>
      <c r="L120" s="193"/>
      <c r="M120" s="307"/>
      <c r="N120" s="265"/>
    </row>
    <row r="121" spans="3:14" x14ac:dyDescent="0.2">
      <c r="C121" s="69">
        <v>24</v>
      </c>
      <c r="D121" s="69" t="s">
        <v>297</v>
      </c>
      <c r="E121" s="243" t="s">
        <v>119</v>
      </c>
      <c r="F121" s="243" t="s">
        <v>210</v>
      </c>
      <c r="G121" s="243" t="s">
        <v>419</v>
      </c>
      <c r="H121" s="244" t="s">
        <v>497</v>
      </c>
      <c r="I121" s="43" t="s">
        <v>585</v>
      </c>
      <c r="J121" s="43"/>
      <c r="K121" s="193"/>
      <c r="L121" s="193"/>
      <c r="M121" s="307"/>
      <c r="N121" s="265"/>
    </row>
    <row r="122" spans="3:14" x14ac:dyDescent="0.2">
      <c r="C122" s="69">
        <v>24</v>
      </c>
      <c r="D122" s="69" t="s">
        <v>297</v>
      </c>
      <c r="E122" s="243" t="s">
        <v>41</v>
      </c>
      <c r="F122" s="243" t="s">
        <v>207</v>
      </c>
      <c r="G122" s="243" t="s">
        <v>419</v>
      </c>
      <c r="H122" s="244" t="s">
        <v>497</v>
      </c>
      <c r="I122" s="43" t="s">
        <v>596</v>
      </c>
      <c r="J122" s="43"/>
      <c r="K122" s="193"/>
      <c r="L122" s="193"/>
      <c r="M122" s="307"/>
      <c r="N122" s="265"/>
    </row>
    <row r="123" spans="3:14" x14ac:dyDescent="0.2">
      <c r="C123" s="69">
        <v>24</v>
      </c>
      <c r="D123" s="69" t="s">
        <v>297</v>
      </c>
      <c r="E123" s="243" t="s">
        <v>41</v>
      </c>
      <c r="F123" s="243" t="s">
        <v>219</v>
      </c>
      <c r="G123" s="243" t="s">
        <v>419</v>
      </c>
      <c r="H123" s="244" t="s">
        <v>497</v>
      </c>
      <c r="I123" s="43" t="s">
        <v>596</v>
      </c>
      <c r="J123" s="43"/>
      <c r="K123" s="193"/>
      <c r="L123" s="193"/>
      <c r="M123" s="307"/>
      <c r="N123" s="265"/>
    </row>
    <row r="124" spans="3:14" x14ac:dyDescent="0.2">
      <c r="C124" s="69">
        <v>24</v>
      </c>
      <c r="D124" s="69" t="s">
        <v>297</v>
      </c>
      <c r="E124" s="243" t="s">
        <v>41</v>
      </c>
      <c r="F124" s="243" t="s">
        <v>208</v>
      </c>
      <c r="G124" s="243" t="s">
        <v>419</v>
      </c>
      <c r="H124" s="244" t="s">
        <v>497</v>
      </c>
      <c r="I124" s="43" t="s">
        <v>596</v>
      </c>
      <c r="J124" s="43"/>
      <c r="K124" s="193"/>
      <c r="L124" s="193"/>
      <c r="M124" s="307"/>
      <c r="N124" s="265"/>
    </row>
    <row r="125" spans="3:14" x14ac:dyDescent="0.2">
      <c r="C125" s="69">
        <v>24</v>
      </c>
      <c r="D125" s="69" t="s">
        <v>297</v>
      </c>
      <c r="E125" s="243" t="s">
        <v>41</v>
      </c>
      <c r="F125" s="243" t="s">
        <v>209</v>
      </c>
      <c r="G125" s="243" t="s">
        <v>419</v>
      </c>
      <c r="H125" s="244" t="s">
        <v>497</v>
      </c>
      <c r="I125" s="43" t="s">
        <v>596</v>
      </c>
      <c r="J125" s="43"/>
      <c r="K125" s="193"/>
      <c r="L125" s="193"/>
      <c r="M125" s="307"/>
      <c r="N125" s="265"/>
    </row>
    <row r="126" spans="3:14" x14ac:dyDescent="0.2">
      <c r="C126" s="69">
        <v>24</v>
      </c>
      <c r="D126" s="69" t="s">
        <v>297</v>
      </c>
      <c r="E126" s="243" t="s">
        <v>41</v>
      </c>
      <c r="F126" s="243" t="s">
        <v>210</v>
      </c>
      <c r="G126" s="243" t="s">
        <v>419</v>
      </c>
      <c r="H126" s="244" t="s">
        <v>497</v>
      </c>
      <c r="I126" s="43" t="s">
        <v>596</v>
      </c>
      <c r="J126" s="43"/>
      <c r="K126" s="193"/>
      <c r="L126" s="193"/>
      <c r="M126" s="307"/>
      <c r="N126" s="265"/>
    </row>
    <row r="127" spans="3:14" x14ac:dyDescent="0.2">
      <c r="C127" s="69">
        <v>24</v>
      </c>
      <c r="D127" s="69" t="s">
        <v>297</v>
      </c>
      <c r="E127" s="243" t="s">
        <v>42</v>
      </c>
      <c r="F127" s="243" t="s">
        <v>207</v>
      </c>
      <c r="G127" s="243" t="s">
        <v>419</v>
      </c>
      <c r="H127" s="244" t="s">
        <v>497</v>
      </c>
      <c r="I127" s="43" t="s">
        <v>585</v>
      </c>
      <c r="J127" s="43"/>
      <c r="K127" s="193"/>
      <c r="L127" s="193"/>
      <c r="M127" s="307"/>
      <c r="N127" s="265"/>
    </row>
    <row r="128" spans="3:14" x14ac:dyDescent="0.2">
      <c r="C128" s="69">
        <v>24</v>
      </c>
      <c r="D128" s="69" t="s">
        <v>297</v>
      </c>
      <c r="E128" s="243" t="s">
        <v>42</v>
      </c>
      <c r="F128" s="243" t="s">
        <v>219</v>
      </c>
      <c r="G128" s="243" t="s">
        <v>419</v>
      </c>
      <c r="H128" s="244" t="s">
        <v>497</v>
      </c>
      <c r="I128" s="43" t="s">
        <v>585</v>
      </c>
      <c r="J128" s="43"/>
      <c r="K128" s="193"/>
      <c r="L128" s="193"/>
      <c r="M128" s="307"/>
      <c r="N128" s="265"/>
    </row>
    <row r="129" spans="3:14" x14ac:dyDescent="0.2">
      <c r="C129" s="69">
        <v>24</v>
      </c>
      <c r="D129" s="69" t="s">
        <v>297</v>
      </c>
      <c r="E129" s="243" t="s">
        <v>42</v>
      </c>
      <c r="F129" s="243" t="s">
        <v>208</v>
      </c>
      <c r="G129" s="243" t="s">
        <v>419</v>
      </c>
      <c r="H129" s="244" t="s">
        <v>497</v>
      </c>
      <c r="I129" s="43" t="s">
        <v>585</v>
      </c>
      <c r="J129" s="43"/>
      <c r="K129" s="193"/>
      <c r="L129" s="193"/>
      <c r="M129" s="307"/>
      <c r="N129" s="265"/>
    </row>
    <row r="130" spans="3:14" x14ac:dyDescent="0.2">
      <c r="C130" s="69">
        <v>24</v>
      </c>
      <c r="D130" s="69" t="s">
        <v>297</v>
      </c>
      <c r="E130" s="243" t="s">
        <v>42</v>
      </c>
      <c r="F130" s="243" t="s">
        <v>209</v>
      </c>
      <c r="G130" s="243" t="s">
        <v>419</v>
      </c>
      <c r="H130" s="244" t="s">
        <v>497</v>
      </c>
      <c r="I130" s="43" t="s">
        <v>585</v>
      </c>
      <c r="J130" s="43"/>
      <c r="K130" s="193"/>
      <c r="L130" s="193"/>
      <c r="M130" s="307"/>
      <c r="N130" s="265"/>
    </row>
    <row r="131" spans="3:14" x14ac:dyDescent="0.2">
      <c r="C131" s="69">
        <v>24</v>
      </c>
      <c r="D131" s="69" t="s">
        <v>297</v>
      </c>
      <c r="E131" s="243" t="s">
        <v>42</v>
      </c>
      <c r="F131" s="243" t="s">
        <v>210</v>
      </c>
      <c r="G131" s="243" t="s">
        <v>419</v>
      </c>
      <c r="H131" s="244" t="s">
        <v>497</v>
      </c>
      <c r="I131" s="43" t="s">
        <v>585</v>
      </c>
      <c r="J131" s="43"/>
      <c r="K131" s="193"/>
      <c r="L131" s="193"/>
      <c r="M131" s="307"/>
      <c r="N131" s="265"/>
    </row>
    <row r="132" spans="3:14" x14ac:dyDescent="0.2">
      <c r="C132" s="18">
        <v>24</v>
      </c>
      <c r="D132" s="69" t="s">
        <v>297</v>
      </c>
      <c r="E132" s="243" t="s">
        <v>132</v>
      </c>
      <c r="F132" s="243" t="s">
        <v>207</v>
      </c>
      <c r="G132" s="243" t="s">
        <v>419</v>
      </c>
      <c r="H132" s="244" t="s">
        <v>497</v>
      </c>
      <c r="I132" s="43" t="s">
        <v>588</v>
      </c>
      <c r="J132" s="43"/>
      <c r="K132" s="193"/>
      <c r="L132" s="193"/>
      <c r="M132" s="307"/>
      <c r="N132" s="268"/>
    </row>
    <row r="133" spans="3:14" x14ac:dyDescent="0.2">
      <c r="C133" s="18">
        <v>24</v>
      </c>
      <c r="D133" s="69" t="s">
        <v>297</v>
      </c>
      <c r="E133" s="243" t="s">
        <v>132</v>
      </c>
      <c r="F133" s="243" t="s">
        <v>219</v>
      </c>
      <c r="G133" s="243" t="s">
        <v>419</v>
      </c>
      <c r="H133" s="244" t="s">
        <v>497</v>
      </c>
      <c r="I133" s="43" t="s">
        <v>588</v>
      </c>
      <c r="J133" s="43"/>
      <c r="K133" s="193"/>
      <c r="L133" s="193"/>
      <c r="M133" s="307"/>
      <c r="N133" s="265"/>
    </row>
    <row r="134" spans="3:14" x14ac:dyDescent="0.2">
      <c r="C134" s="18">
        <v>24</v>
      </c>
      <c r="D134" s="69" t="s">
        <v>297</v>
      </c>
      <c r="E134" s="243" t="s">
        <v>132</v>
      </c>
      <c r="F134" s="243" t="s">
        <v>208</v>
      </c>
      <c r="G134" s="243" t="s">
        <v>419</v>
      </c>
      <c r="H134" s="244" t="s">
        <v>497</v>
      </c>
      <c r="I134" s="43" t="s">
        <v>588</v>
      </c>
      <c r="J134" s="43"/>
      <c r="K134" s="193"/>
      <c r="L134" s="193"/>
      <c r="M134" s="307"/>
      <c r="N134" s="268"/>
    </row>
    <row r="135" spans="3:14" x14ac:dyDescent="0.2">
      <c r="C135" s="18">
        <v>24</v>
      </c>
      <c r="D135" s="69" t="s">
        <v>297</v>
      </c>
      <c r="E135" s="243" t="s">
        <v>132</v>
      </c>
      <c r="F135" s="243" t="s">
        <v>209</v>
      </c>
      <c r="G135" s="243" t="s">
        <v>419</v>
      </c>
      <c r="H135" s="244" t="s">
        <v>497</v>
      </c>
      <c r="I135" s="43" t="s">
        <v>588</v>
      </c>
      <c r="J135" s="43"/>
      <c r="K135" s="193"/>
      <c r="L135" s="193"/>
      <c r="M135" s="307"/>
      <c r="N135" s="265"/>
    </row>
    <row r="136" spans="3:14" x14ac:dyDescent="0.2">
      <c r="C136" s="18">
        <v>24</v>
      </c>
      <c r="D136" s="69" t="s">
        <v>297</v>
      </c>
      <c r="E136" s="243" t="s">
        <v>132</v>
      </c>
      <c r="F136" s="243" t="s">
        <v>210</v>
      </c>
      <c r="G136" s="243" t="s">
        <v>419</v>
      </c>
      <c r="H136" s="244" t="s">
        <v>497</v>
      </c>
      <c r="I136" s="43" t="s">
        <v>588</v>
      </c>
      <c r="J136" s="43"/>
      <c r="K136" s="193"/>
      <c r="L136" s="193"/>
      <c r="M136" s="307"/>
      <c r="N136" s="265"/>
    </row>
    <row r="137" spans="3:14" x14ac:dyDescent="0.2">
      <c r="C137" s="18">
        <v>24</v>
      </c>
      <c r="D137" s="69" t="s">
        <v>297</v>
      </c>
      <c r="E137" s="243" t="s">
        <v>134</v>
      </c>
      <c r="F137" s="243" t="s">
        <v>207</v>
      </c>
      <c r="G137" s="243" t="s">
        <v>419</v>
      </c>
      <c r="H137" s="246" t="s">
        <v>594</v>
      </c>
      <c r="I137" s="43" t="s">
        <v>585</v>
      </c>
      <c r="J137" s="43"/>
      <c r="K137" s="193"/>
      <c r="L137" s="193"/>
      <c r="M137" s="307"/>
      <c r="N137" s="266"/>
    </row>
    <row r="138" spans="3:14" x14ac:dyDescent="0.2">
      <c r="C138" s="18">
        <v>24</v>
      </c>
      <c r="D138" s="69" t="s">
        <v>297</v>
      </c>
      <c r="E138" s="243" t="s">
        <v>134</v>
      </c>
      <c r="F138" s="243" t="s">
        <v>219</v>
      </c>
      <c r="G138" s="243" t="s">
        <v>419</v>
      </c>
      <c r="H138" s="246" t="s">
        <v>594</v>
      </c>
      <c r="I138" s="43" t="s">
        <v>585</v>
      </c>
      <c r="J138" s="43"/>
      <c r="K138" s="193"/>
      <c r="L138" s="193"/>
      <c r="M138" s="307"/>
      <c r="N138" s="266"/>
    </row>
    <row r="139" spans="3:14" x14ac:dyDescent="0.2">
      <c r="C139" s="18">
        <v>24</v>
      </c>
      <c r="D139" s="69" t="s">
        <v>297</v>
      </c>
      <c r="E139" s="243" t="s">
        <v>134</v>
      </c>
      <c r="F139" s="243" t="s">
        <v>208</v>
      </c>
      <c r="G139" s="243" t="s">
        <v>419</v>
      </c>
      <c r="H139" s="246" t="s">
        <v>594</v>
      </c>
      <c r="I139" s="43" t="s">
        <v>585</v>
      </c>
      <c r="J139" s="43"/>
      <c r="K139" s="193"/>
      <c r="L139" s="193"/>
      <c r="M139" s="307"/>
      <c r="N139" s="266"/>
    </row>
    <row r="140" spans="3:14" x14ac:dyDescent="0.2">
      <c r="C140" s="18">
        <v>24</v>
      </c>
      <c r="D140" s="69" t="s">
        <v>297</v>
      </c>
      <c r="E140" s="243" t="s">
        <v>134</v>
      </c>
      <c r="F140" s="243" t="s">
        <v>209</v>
      </c>
      <c r="G140" s="243" t="s">
        <v>419</v>
      </c>
      <c r="H140" s="246" t="s">
        <v>594</v>
      </c>
      <c r="I140" s="43" t="s">
        <v>585</v>
      </c>
      <c r="J140" s="43"/>
      <c r="K140" s="193"/>
      <c r="L140" s="193"/>
      <c r="M140" s="307"/>
      <c r="N140" s="265"/>
    </row>
    <row r="141" spans="3:14" x14ac:dyDescent="0.2">
      <c r="C141" s="18">
        <v>24</v>
      </c>
      <c r="D141" s="69" t="s">
        <v>297</v>
      </c>
      <c r="E141" s="243" t="s">
        <v>134</v>
      </c>
      <c r="F141" s="243" t="s">
        <v>210</v>
      </c>
      <c r="G141" s="243" t="s">
        <v>419</v>
      </c>
      <c r="H141" s="244" t="s">
        <v>594</v>
      </c>
      <c r="I141" s="43" t="s">
        <v>585</v>
      </c>
      <c r="J141" s="43"/>
      <c r="K141" s="193"/>
      <c r="L141" s="193"/>
      <c r="M141" s="307"/>
      <c r="N141" s="266"/>
    </row>
    <row r="142" spans="3:14" x14ac:dyDescent="0.2">
      <c r="C142" s="18">
        <v>24</v>
      </c>
      <c r="D142" s="69" t="s">
        <v>296</v>
      </c>
      <c r="E142" s="243" t="s">
        <v>38</v>
      </c>
      <c r="F142" s="243" t="s">
        <v>207</v>
      </c>
      <c r="G142" s="243" t="s">
        <v>419</v>
      </c>
      <c r="H142" s="244" t="s">
        <v>497</v>
      </c>
      <c r="I142" s="43" t="s">
        <v>588</v>
      </c>
      <c r="J142" s="43"/>
      <c r="K142" s="193"/>
      <c r="L142" s="193"/>
      <c r="M142" s="307"/>
      <c r="N142" s="311"/>
    </row>
    <row r="143" spans="3:14" x14ac:dyDescent="0.2">
      <c r="C143" s="18">
        <v>24</v>
      </c>
      <c r="D143" s="69" t="s">
        <v>296</v>
      </c>
      <c r="E143" s="243" t="s">
        <v>38</v>
      </c>
      <c r="F143" s="243" t="s">
        <v>219</v>
      </c>
      <c r="G143" s="243" t="s">
        <v>419</v>
      </c>
      <c r="H143" s="244" t="s">
        <v>497</v>
      </c>
      <c r="I143" s="43" t="s">
        <v>588</v>
      </c>
      <c r="J143" s="43"/>
      <c r="K143" s="193"/>
      <c r="L143" s="193"/>
      <c r="M143" s="307"/>
      <c r="N143" s="265"/>
    </row>
    <row r="144" spans="3:14" x14ac:dyDescent="0.2">
      <c r="C144" s="18">
        <v>24</v>
      </c>
      <c r="D144" s="69" t="s">
        <v>296</v>
      </c>
      <c r="E144" s="243" t="s">
        <v>38</v>
      </c>
      <c r="F144" s="243" t="s">
        <v>208</v>
      </c>
      <c r="G144" s="243" t="s">
        <v>419</v>
      </c>
      <c r="H144" s="244" t="s">
        <v>497</v>
      </c>
      <c r="I144" s="43" t="s">
        <v>588</v>
      </c>
      <c r="J144" s="43"/>
      <c r="K144" s="193"/>
      <c r="L144" s="193"/>
      <c r="M144" s="307"/>
      <c r="N144" s="266"/>
    </row>
    <row r="145" spans="3:14" x14ac:dyDescent="0.2">
      <c r="C145" s="18">
        <v>24</v>
      </c>
      <c r="D145" s="69" t="s">
        <v>296</v>
      </c>
      <c r="E145" s="243" t="s">
        <v>38</v>
      </c>
      <c r="F145" s="243" t="s">
        <v>209</v>
      </c>
      <c r="G145" s="243" t="s">
        <v>419</v>
      </c>
      <c r="H145" s="244" t="s">
        <v>497</v>
      </c>
      <c r="I145" s="43" t="s">
        <v>588</v>
      </c>
      <c r="J145" s="43"/>
      <c r="K145" s="193"/>
      <c r="L145" s="193"/>
      <c r="M145" s="307"/>
      <c r="N145" s="266"/>
    </row>
    <row r="146" spans="3:14" x14ac:dyDescent="0.2">
      <c r="C146" s="18">
        <v>24</v>
      </c>
      <c r="D146" s="69" t="s">
        <v>296</v>
      </c>
      <c r="E146" s="243" t="s">
        <v>38</v>
      </c>
      <c r="F146" s="243" t="s">
        <v>210</v>
      </c>
      <c r="G146" s="243" t="s">
        <v>419</v>
      </c>
      <c r="H146" s="244" t="s">
        <v>497</v>
      </c>
      <c r="I146" s="43" t="s">
        <v>588</v>
      </c>
      <c r="J146" s="43"/>
      <c r="K146" s="193"/>
      <c r="L146" s="193"/>
      <c r="M146" s="307"/>
      <c r="N146" s="308"/>
    </row>
    <row r="147" spans="3:14" x14ac:dyDescent="0.2">
      <c r="C147" s="18">
        <v>24</v>
      </c>
      <c r="D147" s="69" t="s">
        <v>296</v>
      </c>
      <c r="E147" s="243" t="s">
        <v>191</v>
      </c>
      <c r="F147" s="243" t="s">
        <v>207</v>
      </c>
      <c r="G147" s="243" t="s">
        <v>419</v>
      </c>
      <c r="H147" s="244" t="s">
        <v>497</v>
      </c>
      <c r="I147" s="43" t="s">
        <v>588</v>
      </c>
      <c r="J147" s="43"/>
      <c r="K147" s="193"/>
      <c r="L147" s="193"/>
      <c r="M147" s="307"/>
      <c r="N147" s="266"/>
    </row>
    <row r="148" spans="3:14" x14ac:dyDescent="0.2">
      <c r="C148" s="18">
        <v>24</v>
      </c>
      <c r="D148" s="69" t="s">
        <v>296</v>
      </c>
      <c r="E148" s="243" t="s">
        <v>191</v>
      </c>
      <c r="F148" s="243" t="s">
        <v>219</v>
      </c>
      <c r="G148" s="243" t="s">
        <v>419</v>
      </c>
      <c r="H148" s="244" t="s">
        <v>497</v>
      </c>
      <c r="I148" s="43" t="s">
        <v>588</v>
      </c>
      <c r="J148" s="43"/>
      <c r="K148" s="193"/>
      <c r="L148" s="193"/>
      <c r="M148" s="307"/>
      <c r="N148" s="266"/>
    </row>
    <row r="149" spans="3:14" x14ac:dyDescent="0.2">
      <c r="C149" s="18">
        <v>24</v>
      </c>
      <c r="D149" s="69" t="s">
        <v>296</v>
      </c>
      <c r="E149" s="243" t="s">
        <v>191</v>
      </c>
      <c r="F149" s="243" t="s">
        <v>208</v>
      </c>
      <c r="G149" s="243" t="s">
        <v>419</v>
      </c>
      <c r="H149" s="244" t="s">
        <v>497</v>
      </c>
      <c r="I149" s="43" t="s">
        <v>588</v>
      </c>
      <c r="J149" s="43"/>
      <c r="K149" s="193"/>
      <c r="L149" s="193"/>
      <c r="M149" s="307"/>
      <c r="N149" s="266"/>
    </row>
    <row r="150" spans="3:14" x14ac:dyDescent="0.2">
      <c r="C150" s="18">
        <v>24</v>
      </c>
      <c r="D150" s="69" t="s">
        <v>296</v>
      </c>
      <c r="E150" s="243" t="s">
        <v>191</v>
      </c>
      <c r="F150" s="243" t="s">
        <v>209</v>
      </c>
      <c r="G150" s="243" t="s">
        <v>419</v>
      </c>
      <c r="H150" s="244" t="s">
        <v>497</v>
      </c>
      <c r="I150" s="43" t="s">
        <v>588</v>
      </c>
      <c r="J150" s="43"/>
      <c r="K150" s="193"/>
      <c r="L150" s="193"/>
      <c r="M150" s="307"/>
      <c r="N150" s="265"/>
    </row>
    <row r="151" spans="3:14" x14ac:dyDescent="0.2">
      <c r="C151" s="18">
        <v>24</v>
      </c>
      <c r="D151" s="69" t="s">
        <v>296</v>
      </c>
      <c r="E151" s="243" t="s">
        <v>191</v>
      </c>
      <c r="F151" s="243" t="s">
        <v>210</v>
      </c>
      <c r="G151" s="243" t="s">
        <v>419</v>
      </c>
      <c r="H151" s="244" t="s">
        <v>497</v>
      </c>
      <c r="I151" s="43" t="s">
        <v>588</v>
      </c>
      <c r="J151" s="43"/>
      <c r="K151" s="193"/>
      <c r="L151" s="193"/>
      <c r="M151" s="307"/>
      <c r="N151" s="266"/>
    </row>
    <row r="152" spans="3:14" x14ac:dyDescent="0.2">
      <c r="C152" s="18">
        <v>24</v>
      </c>
      <c r="D152" s="69" t="s">
        <v>296</v>
      </c>
      <c r="E152" s="243" t="s">
        <v>120</v>
      </c>
      <c r="F152" s="243" t="s">
        <v>207</v>
      </c>
      <c r="G152" s="243" t="s">
        <v>419</v>
      </c>
      <c r="H152" s="244" t="s">
        <v>497</v>
      </c>
      <c r="I152" s="43" t="s">
        <v>588</v>
      </c>
      <c r="J152" s="43"/>
      <c r="K152" s="193"/>
      <c r="L152" s="193"/>
      <c r="M152" s="307"/>
      <c r="N152" s="266"/>
    </row>
    <row r="153" spans="3:14" x14ac:dyDescent="0.2">
      <c r="C153" s="18">
        <v>24</v>
      </c>
      <c r="D153" s="69" t="s">
        <v>296</v>
      </c>
      <c r="E153" s="243" t="s">
        <v>120</v>
      </c>
      <c r="F153" s="243" t="s">
        <v>219</v>
      </c>
      <c r="G153" s="243" t="s">
        <v>419</v>
      </c>
      <c r="H153" s="244" t="s">
        <v>497</v>
      </c>
      <c r="I153" s="43" t="s">
        <v>588</v>
      </c>
      <c r="J153" s="43"/>
      <c r="K153" s="193"/>
      <c r="L153" s="193"/>
      <c r="M153" s="307"/>
      <c r="N153" s="308"/>
    </row>
    <row r="154" spans="3:14" x14ac:dyDescent="0.2">
      <c r="C154" s="18">
        <v>24</v>
      </c>
      <c r="D154" s="69" t="s">
        <v>296</v>
      </c>
      <c r="E154" s="243" t="s">
        <v>120</v>
      </c>
      <c r="F154" s="243" t="s">
        <v>208</v>
      </c>
      <c r="G154" s="243" t="s">
        <v>419</v>
      </c>
      <c r="H154" s="244" t="s">
        <v>497</v>
      </c>
      <c r="I154" s="43" t="s">
        <v>588</v>
      </c>
      <c r="J154" s="43"/>
      <c r="K154" s="193"/>
      <c r="L154" s="193"/>
      <c r="M154" s="307"/>
      <c r="N154" s="266"/>
    </row>
    <row r="155" spans="3:14" x14ac:dyDescent="0.2">
      <c r="C155" s="18">
        <v>24</v>
      </c>
      <c r="D155" s="69" t="s">
        <v>296</v>
      </c>
      <c r="E155" s="243" t="s">
        <v>120</v>
      </c>
      <c r="F155" s="243" t="s">
        <v>209</v>
      </c>
      <c r="G155" s="243" t="s">
        <v>419</v>
      </c>
      <c r="H155" s="244" t="s">
        <v>497</v>
      </c>
      <c r="I155" s="43" t="s">
        <v>588</v>
      </c>
      <c r="J155" s="43"/>
      <c r="K155" s="193"/>
      <c r="L155" s="193"/>
      <c r="M155" s="307"/>
      <c r="N155" s="265"/>
    </row>
    <row r="156" spans="3:14" x14ac:dyDescent="0.2">
      <c r="C156" s="18">
        <v>24</v>
      </c>
      <c r="D156" s="69" t="s">
        <v>296</v>
      </c>
      <c r="E156" s="243" t="s">
        <v>120</v>
      </c>
      <c r="F156" s="243" t="s">
        <v>210</v>
      </c>
      <c r="G156" s="243" t="s">
        <v>419</v>
      </c>
      <c r="H156" s="244" t="s">
        <v>497</v>
      </c>
      <c r="I156" s="43" t="s">
        <v>588</v>
      </c>
      <c r="J156" s="43"/>
      <c r="K156" s="193"/>
      <c r="L156" s="193"/>
      <c r="M156" s="307"/>
      <c r="N156" s="266"/>
    </row>
    <row r="157" spans="3:14" x14ac:dyDescent="0.2">
      <c r="C157" s="18">
        <v>24</v>
      </c>
      <c r="D157" s="69" t="s">
        <v>296</v>
      </c>
      <c r="E157" s="243" t="s">
        <v>243</v>
      </c>
      <c r="F157" s="243" t="s">
        <v>207</v>
      </c>
      <c r="G157" s="243" t="s">
        <v>419</v>
      </c>
      <c r="H157" s="244" t="s">
        <v>497</v>
      </c>
      <c r="I157" s="43" t="s">
        <v>589</v>
      </c>
      <c r="J157" s="43"/>
      <c r="K157" s="193"/>
      <c r="L157" s="193"/>
      <c r="M157" s="307"/>
      <c r="N157" s="265"/>
    </row>
    <row r="158" spans="3:14" x14ac:dyDescent="0.2">
      <c r="C158" s="18">
        <v>24</v>
      </c>
      <c r="D158" s="69" t="s">
        <v>296</v>
      </c>
      <c r="E158" s="243" t="s">
        <v>243</v>
      </c>
      <c r="F158" s="243" t="s">
        <v>219</v>
      </c>
      <c r="G158" s="243" t="s">
        <v>419</v>
      </c>
      <c r="H158" s="244" t="s">
        <v>497</v>
      </c>
      <c r="I158" s="43" t="s">
        <v>589</v>
      </c>
      <c r="J158" s="43"/>
      <c r="K158" s="193"/>
      <c r="L158" s="193"/>
      <c r="M158" s="307"/>
      <c r="N158" s="265"/>
    </row>
    <row r="159" spans="3:14" x14ac:dyDescent="0.2">
      <c r="C159" s="18">
        <v>24</v>
      </c>
      <c r="D159" s="69" t="s">
        <v>296</v>
      </c>
      <c r="E159" s="243" t="s">
        <v>243</v>
      </c>
      <c r="F159" s="243" t="s">
        <v>208</v>
      </c>
      <c r="G159" s="243" t="s">
        <v>419</v>
      </c>
      <c r="H159" s="244" t="s">
        <v>497</v>
      </c>
      <c r="I159" s="43" t="s">
        <v>589</v>
      </c>
      <c r="J159" s="43"/>
      <c r="K159" s="193"/>
      <c r="L159" s="193"/>
      <c r="M159" s="307"/>
      <c r="N159" s="266"/>
    </row>
    <row r="160" spans="3:14" x14ac:dyDescent="0.2">
      <c r="C160" s="18">
        <v>24</v>
      </c>
      <c r="D160" s="69" t="s">
        <v>296</v>
      </c>
      <c r="E160" s="243" t="s">
        <v>243</v>
      </c>
      <c r="F160" s="243" t="s">
        <v>209</v>
      </c>
      <c r="G160" s="243" t="s">
        <v>419</v>
      </c>
      <c r="H160" s="244" t="s">
        <v>497</v>
      </c>
      <c r="I160" s="43" t="s">
        <v>589</v>
      </c>
      <c r="J160" s="43"/>
      <c r="K160" s="193"/>
      <c r="L160" s="193"/>
      <c r="M160" s="307"/>
      <c r="N160" s="265"/>
    </row>
    <row r="161" spans="3:14" x14ac:dyDescent="0.2">
      <c r="C161" s="18">
        <v>24</v>
      </c>
      <c r="D161" s="69" t="s">
        <v>296</v>
      </c>
      <c r="E161" s="243" t="s">
        <v>243</v>
      </c>
      <c r="F161" s="243" t="s">
        <v>210</v>
      </c>
      <c r="G161" s="243" t="s">
        <v>419</v>
      </c>
      <c r="H161" s="244" t="s">
        <v>497</v>
      </c>
      <c r="I161" s="43" t="s">
        <v>589</v>
      </c>
      <c r="J161" s="43"/>
      <c r="K161" s="193"/>
      <c r="L161" s="193"/>
      <c r="M161" s="307"/>
      <c r="N161" s="266"/>
    </row>
    <row r="162" spans="3:14" x14ac:dyDescent="0.2">
      <c r="C162" s="18">
        <v>24</v>
      </c>
      <c r="D162" s="69" t="s">
        <v>296</v>
      </c>
      <c r="E162" s="243" t="s">
        <v>40</v>
      </c>
      <c r="F162" s="243" t="s">
        <v>207</v>
      </c>
      <c r="G162" s="243" t="s">
        <v>419</v>
      </c>
      <c r="H162" s="244" t="s">
        <v>497</v>
      </c>
      <c r="I162" s="43" t="s">
        <v>592</v>
      </c>
      <c r="J162" s="43"/>
      <c r="K162" s="193"/>
      <c r="L162" s="193"/>
      <c r="M162" s="307"/>
      <c r="N162" s="265"/>
    </row>
    <row r="163" spans="3:14" x14ac:dyDescent="0.2">
      <c r="C163" s="18">
        <v>24</v>
      </c>
      <c r="D163" s="69" t="s">
        <v>296</v>
      </c>
      <c r="E163" s="243" t="s">
        <v>40</v>
      </c>
      <c r="F163" s="243" t="s">
        <v>219</v>
      </c>
      <c r="G163" s="243" t="s">
        <v>419</v>
      </c>
      <c r="H163" s="244" t="s">
        <v>497</v>
      </c>
      <c r="I163" s="43" t="s">
        <v>592</v>
      </c>
      <c r="J163" s="43"/>
      <c r="K163" s="193"/>
      <c r="L163" s="193"/>
      <c r="M163" s="307"/>
      <c r="N163" s="265"/>
    </row>
    <row r="164" spans="3:14" x14ac:dyDescent="0.2">
      <c r="C164" s="18">
        <v>24</v>
      </c>
      <c r="D164" s="69" t="s">
        <v>296</v>
      </c>
      <c r="E164" s="243" t="s">
        <v>40</v>
      </c>
      <c r="F164" s="243" t="s">
        <v>208</v>
      </c>
      <c r="G164" s="243" t="s">
        <v>419</v>
      </c>
      <c r="H164" s="244" t="s">
        <v>497</v>
      </c>
      <c r="I164" s="43" t="s">
        <v>592</v>
      </c>
      <c r="J164" s="43"/>
      <c r="K164" s="193"/>
      <c r="L164" s="193"/>
      <c r="M164" s="307"/>
      <c r="N164" s="266"/>
    </row>
    <row r="165" spans="3:14" x14ac:dyDescent="0.2">
      <c r="C165" s="18">
        <v>24</v>
      </c>
      <c r="D165" s="69" t="s">
        <v>296</v>
      </c>
      <c r="E165" s="243" t="s">
        <v>40</v>
      </c>
      <c r="F165" s="243" t="s">
        <v>209</v>
      </c>
      <c r="G165" s="243" t="s">
        <v>419</v>
      </c>
      <c r="H165" s="244" t="s">
        <v>497</v>
      </c>
      <c r="I165" s="43" t="s">
        <v>592</v>
      </c>
      <c r="J165" s="43"/>
      <c r="K165" s="193"/>
      <c r="L165" s="193"/>
      <c r="M165" s="307"/>
      <c r="N165" s="265"/>
    </row>
    <row r="166" spans="3:14" x14ac:dyDescent="0.2">
      <c r="C166" s="18">
        <v>24</v>
      </c>
      <c r="D166" s="69" t="s">
        <v>296</v>
      </c>
      <c r="E166" s="243" t="s">
        <v>40</v>
      </c>
      <c r="F166" s="243" t="s">
        <v>210</v>
      </c>
      <c r="G166" s="243" t="s">
        <v>419</v>
      </c>
      <c r="H166" s="244" t="s">
        <v>497</v>
      </c>
      <c r="I166" s="43" t="s">
        <v>592</v>
      </c>
      <c r="J166" s="43"/>
      <c r="K166" s="193"/>
      <c r="L166" s="193"/>
      <c r="M166" s="307"/>
      <c r="N166" s="265"/>
    </row>
    <row r="167" spans="3:14" x14ac:dyDescent="0.2">
      <c r="C167" s="18">
        <v>24</v>
      </c>
      <c r="D167" s="69" t="s">
        <v>296</v>
      </c>
      <c r="E167" s="243" t="s">
        <v>327</v>
      </c>
      <c r="F167" s="243" t="s">
        <v>207</v>
      </c>
      <c r="G167" s="243" t="s">
        <v>419</v>
      </c>
      <c r="H167" s="244" t="s">
        <v>497</v>
      </c>
      <c r="I167" s="43" t="s">
        <v>588</v>
      </c>
      <c r="J167" s="43"/>
      <c r="K167" s="193"/>
      <c r="L167" s="193"/>
      <c r="M167" s="307"/>
      <c r="N167" s="266"/>
    </row>
    <row r="168" spans="3:14" x14ac:dyDescent="0.2">
      <c r="C168" s="18">
        <v>24</v>
      </c>
      <c r="D168" s="69" t="s">
        <v>296</v>
      </c>
      <c r="E168" s="243" t="s">
        <v>327</v>
      </c>
      <c r="F168" s="243" t="s">
        <v>219</v>
      </c>
      <c r="G168" s="243" t="s">
        <v>419</v>
      </c>
      <c r="H168" s="244" t="s">
        <v>497</v>
      </c>
      <c r="I168" s="43" t="s">
        <v>588</v>
      </c>
      <c r="J168" s="43"/>
      <c r="K168" s="193"/>
      <c r="L168" s="193"/>
      <c r="M168" s="307"/>
      <c r="N168" s="266"/>
    </row>
    <row r="169" spans="3:14" x14ac:dyDescent="0.2">
      <c r="C169" s="18">
        <v>24</v>
      </c>
      <c r="D169" s="69" t="s">
        <v>296</v>
      </c>
      <c r="E169" s="243" t="s">
        <v>327</v>
      </c>
      <c r="F169" s="243" t="s">
        <v>208</v>
      </c>
      <c r="G169" s="243" t="s">
        <v>419</v>
      </c>
      <c r="H169" s="244" t="s">
        <v>497</v>
      </c>
      <c r="I169" s="43" t="s">
        <v>588</v>
      </c>
      <c r="J169" s="43"/>
      <c r="K169" s="193"/>
      <c r="L169" s="193"/>
      <c r="M169" s="307"/>
      <c r="N169" s="266"/>
    </row>
    <row r="170" spans="3:14" x14ac:dyDescent="0.2">
      <c r="C170" s="18">
        <v>24</v>
      </c>
      <c r="D170" s="69" t="s">
        <v>296</v>
      </c>
      <c r="E170" s="243" t="s">
        <v>327</v>
      </c>
      <c r="F170" s="243" t="s">
        <v>209</v>
      </c>
      <c r="G170" s="243" t="s">
        <v>419</v>
      </c>
      <c r="H170" s="244" t="s">
        <v>497</v>
      </c>
      <c r="I170" s="43" t="s">
        <v>588</v>
      </c>
      <c r="J170" s="43"/>
      <c r="K170" s="193"/>
      <c r="L170" s="193"/>
      <c r="M170" s="307"/>
      <c r="N170" s="308"/>
    </row>
    <row r="171" spans="3:14" x14ac:dyDescent="0.2">
      <c r="C171" s="18">
        <v>24</v>
      </c>
      <c r="D171" s="69" t="s">
        <v>296</v>
      </c>
      <c r="E171" s="243" t="s">
        <v>327</v>
      </c>
      <c r="F171" s="243" t="s">
        <v>210</v>
      </c>
      <c r="G171" s="243" t="s">
        <v>419</v>
      </c>
      <c r="H171" s="244" t="s">
        <v>497</v>
      </c>
      <c r="I171" s="43" t="s">
        <v>588</v>
      </c>
      <c r="J171" s="43"/>
      <c r="K171" s="193"/>
      <c r="L171" s="193"/>
      <c r="M171" s="307"/>
      <c r="N171" s="266"/>
    </row>
    <row r="172" spans="3:14" x14ac:dyDescent="0.2">
      <c r="C172" s="18">
        <v>24</v>
      </c>
      <c r="D172" s="69" t="s">
        <v>296</v>
      </c>
      <c r="E172" s="243" t="s">
        <v>548</v>
      </c>
      <c r="F172" s="243" t="s">
        <v>207</v>
      </c>
      <c r="G172" s="243" t="s">
        <v>419</v>
      </c>
      <c r="H172" s="244" t="s">
        <v>497</v>
      </c>
      <c r="I172" s="43" t="s">
        <v>590</v>
      </c>
      <c r="J172" s="43"/>
      <c r="K172" s="193"/>
      <c r="L172" s="193"/>
      <c r="M172" s="307"/>
      <c r="N172" s="354"/>
    </row>
    <row r="173" spans="3:14" x14ac:dyDescent="0.2">
      <c r="C173" s="351">
        <v>24</v>
      </c>
      <c r="D173" s="69" t="s">
        <v>296</v>
      </c>
      <c r="E173" s="243" t="s">
        <v>548</v>
      </c>
      <c r="F173" s="243" t="s">
        <v>219</v>
      </c>
      <c r="G173" s="243" t="s">
        <v>419</v>
      </c>
      <c r="H173" s="244" t="s">
        <v>497</v>
      </c>
      <c r="I173" s="43" t="s">
        <v>590</v>
      </c>
      <c r="J173" s="43"/>
      <c r="K173" s="193"/>
      <c r="L173" s="193"/>
      <c r="M173" s="307"/>
      <c r="N173" s="354"/>
    </row>
    <row r="174" spans="3:14" x14ac:dyDescent="0.2">
      <c r="C174" s="351">
        <v>24</v>
      </c>
      <c r="D174" s="69" t="s">
        <v>296</v>
      </c>
      <c r="E174" s="19" t="s">
        <v>548</v>
      </c>
      <c r="F174" s="243" t="s">
        <v>208</v>
      </c>
      <c r="G174" s="243" t="s">
        <v>419</v>
      </c>
      <c r="H174" s="294"/>
      <c r="I174" s="43" t="s">
        <v>590</v>
      </c>
      <c r="J174" s="43"/>
      <c r="K174" s="193"/>
      <c r="L174" s="193"/>
      <c r="M174" s="307"/>
      <c r="N174" s="354"/>
    </row>
    <row r="175" spans="3:14" x14ac:dyDescent="0.2">
      <c r="C175" s="393">
        <v>24</v>
      </c>
      <c r="D175" s="69" t="s">
        <v>296</v>
      </c>
      <c r="E175" s="243" t="s">
        <v>548</v>
      </c>
      <c r="F175" s="243" t="s">
        <v>209</v>
      </c>
      <c r="G175" s="243" t="s">
        <v>419</v>
      </c>
      <c r="H175" s="244" t="s">
        <v>497</v>
      </c>
      <c r="I175" s="43" t="s">
        <v>590</v>
      </c>
      <c r="J175" s="43"/>
      <c r="K175" s="193"/>
      <c r="L175" s="193"/>
      <c r="M175" s="307"/>
      <c r="N175" s="354"/>
    </row>
    <row r="176" spans="3:14" x14ac:dyDescent="0.2">
      <c r="C176" s="18">
        <v>24</v>
      </c>
      <c r="D176" s="69" t="s">
        <v>296</v>
      </c>
      <c r="E176" s="243" t="s">
        <v>548</v>
      </c>
      <c r="F176" s="243" t="s">
        <v>210</v>
      </c>
      <c r="G176" s="243" t="s">
        <v>419</v>
      </c>
      <c r="H176" s="243" t="s">
        <v>497</v>
      </c>
      <c r="I176" s="43" t="s">
        <v>590</v>
      </c>
      <c r="J176" s="43"/>
      <c r="K176" s="193"/>
      <c r="L176" s="193"/>
      <c r="M176" s="307"/>
      <c r="N176" s="354"/>
    </row>
    <row r="177" spans="3:14" x14ac:dyDescent="0.2">
      <c r="C177" s="18">
        <v>24</v>
      </c>
      <c r="D177" s="69" t="s">
        <v>296</v>
      </c>
      <c r="E177" s="243" t="s">
        <v>329</v>
      </c>
      <c r="F177" s="243" t="s">
        <v>207</v>
      </c>
      <c r="G177" s="243" t="s">
        <v>419</v>
      </c>
      <c r="H177" s="244" t="s">
        <v>497</v>
      </c>
      <c r="I177" s="43" t="s">
        <v>588</v>
      </c>
      <c r="J177" s="43"/>
      <c r="K177" s="193"/>
      <c r="L177" s="193"/>
      <c r="M177" s="307"/>
      <c r="N177" s="266"/>
    </row>
    <row r="178" spans="3:14" x14ac:dyDescent="0.2">
      <c r="C178" s="18">
        <v>24</v>
      </c>
      <c r="D178" s="69" t="s">
        <v>296</v>
      </c>
      <c r="E178" s="243" t="s">
        <v>329</v>
      </c>
      <c r="F178" s="243" t="s">
        <v>219</v>
      </c>
      <c r="G178" s="243" t="s">
        <v>419</v>
      </c>
      <c r="H178" s="244" t="s">
        <v>497</v>
      </c>
      <c r="I178" s="43" t="s">
        <v>588</v>
      </c>
      <c r="J178" s="43"/>
      <c r="K178" s="193"/>
      <c r="L178" s="193"/>
      <c r="M178" s="307"/>
      <c r="N178" s="266"/>
    </row>
    <row r="179" spans="3:14" x14ac:dyDescent="0.2">
      <c r="C179" s="18">
        <v>24</v>
      </c>
      <c r="D179" s="69" t="s">
        <v>296</v>
      </c>
      <c r="E179" s="243" t="s">
        <v>329</v>
      </c>
      <c r="F179" s="243" t="s">
        <v>208</v>
      </c>
      <c r="G179" s="243" t="s">
        <v>419</v>
      </c>
      <c r="H179" s="244" t="s">
        <v>497</v>
      </c>
      <c r="I179" s="43" t="s">
        <v>588</v>
      </c>
      <c r="J179" s="43"/>
      <c r="K179" s="193"/>
      <c r="L179" s="193"/>
      <c r="M179" s="307"/>
      <c r="N179" s="266"/>
    </row>
    <row r="180" spans="3:14" x14ac:dyDescent="0.2">
      <c r="C180" s="18">
        <v>24</v>
      </c>
      <c r="D180" s="69" t="s">
        <v>296</v>
      </c>
      <c r="E180" s="243" t="s">
        <v>329</v>
      </c>
      <c r="F180" s="243" t="s">
        <v>209</v>
      </c>
      <c r="G180" s="243" t="s">
        <v>419</v>
      </c>
      <c r="H180" s="244" t="s">
        <v>497</v>
      </c>
      <c r="I180" s="43" t="s">
        <v>588</v>
      </c>
      <c r="J180" s="43"/>
      <c r="K180" s="193"/>
      <c r="L180" s="193"/>
      <c r="M180" s="307"/>
      <c r="N180" s="308"/>
    </row>
    <row r="181" spans="3:14" x14ac:dyDescent="0.2">
      <c r="C181" s="18">
        <v>24</v>
      </c>
      <c r="D181" s="69" t="s">
        <v>296</v>
      </c>
      <c r="E181" s="243" t="s">
        <v>329</v>
      </c>
      <c r="F181" s="243" t="s">
        <v>210</v>
      </c>
      <c r="G181" s="243" t="s">
        <v>419</v>
      </c>
      <c r="H181" s="244" t="s">
        <v>497</v>
      </c>
      <c r="I181" s="43" t="s">
        <v>588</v>
      </c>
      <c r="J181" s="43"/>
      <c r="K181" s="193"/>
      <c r="L181" s="193"/>
      <c r="M181" s="307"/>
      <c r="N181" s="266"/>
    </row>
    <row r="182" spans="3:14" x14ac:dyDescent="0.2">
      <c r="C182" s="18">
        <v>24</v>
      </c>
      <c r="D182" s="69" t="s">
        <v>296</v>
      </c>
      <c r="E182" s="243" t="s">
        <v>129</v>
      </c>
      <c r="F182" s="243" t="s">
        <v>207</v>
      </c>
      <c r="G182" s="243" t="s">
        <v>419</v>
      </c>
      <c r="H182" s="244" t="s">
        <v>497</v>
      </c>
      <c r="I182" s="43" t="s">
        <v>588</v>
      </c>
      <c r="J182" s="43"/>
      <c r="K182" s="193"/>
      <c r="L182" s="193"/>
      <c r="M182" s="307"/>
      <c r="N182" s="266"/>
    </row>
    <row r="183" spans="3:14" x14ac:dyDescent="0.2">
      <c r="C183" s="18">
        <v>24</v>
      </c>
      <c r="D183" s="69" t="s">
        <v>296</v>
      </c>
      <c r="E183" s="243" t="s">
        <v>129</v>
      </c>
      <c r="F183" s="243" t="s">
        <v>219</v>
      </c>
      <c r="G183" s="243" t="s">
        <v>419</v>
      </c>
      <c r="H183" s="244" t="s">
        <v>497</v>
      </c>
      <c r="I183" s="43" t="s">
        <v>588</v>
      </c>
      <c r="J183" s="43"/>
      <c r="K183" s="193"/>
      <c r="L183" s="193"/>
      <c r="M183" s="307"/>
      <c r="N183" s="266"/>
    </row>
    <row r="184" spans="3:14" x14ac:dyDescent="0.2">
      <c r="C184" s="18">
        <v>24</v>
      </c>
      <c r="D184" s="69" t="s">
        <v>296</v>
      </c>
      <c r="E184" s="243" t="s">
        <v>129</v>
      </c>
      <c r="F184" s="243" t="s">
        <v>208</v>
      </c>
      <c r="G184" s="243" t="s">
        <v>419</v>
      </c>
      <c r="H184" s="244" t="s">
        <v>497</v>
      </c>
      <c r="I184" s="43" t="s">
        <v>588</v>
      </c>
      <c r="J184" s="43"/>
      <c r="K184" s="193"/>
      <c r="L184" s="193"/>
      <c r="M184" s="307"/>
      <c r="N184" s="266"/>
    </row>
    <row r="185" spans="3:14" x14ac:dyDescent="0.2">
      <c r="C185" s="18">
        <v>24</v>
      </c>
      <c r="D185" s="69" t="s">
        <v>296</v>
      </c>
      <c r="E185" s="243" t="s">
        <v>129</v>
      </c>
      <c r="F185" s="243" t="s">
        <v>209</v>
      </c>
      <c r="G185" s="243" t="s">
        <v>419</v>
      </c>
      <c r="H185" s="244" t="s">
        <v>497</v>
      </c>
      <c r="I185" s="43" t="s">
        <v>588</v>
      </c>
      <c r="J185" s="43"/>
      <c r="K185" s="193"/>
      <c r="L185" s="193"/>
      <c r="M185" s="307"/>
      <c r="N185" s="265"/>
    </row>
    <row r="186" spans="3:14" x14ac:dyDescent="0.2">
      <c r="C186" s="18">
        <v>24</v>
      </c>
      <c r="D186" s="69" t="s">
        <v>296</v>
      </c>
      <c r="E186" s="243" t="s">
        <v>129</v>
      </c>
      <c r="F186" s="243" t="s">
        <v>210</v>
      </c>
      <c r="G186" s="243" t="s">
        <v>419</v>
      </c>
      <c r="H186" s="244" t="s">
        <v>497</v>
      </c>
      <c r="I186" s="43" t="s">
        <v>588</v>
      </c>
      <c r="J186" s="43"/>
      <c r="K186" s="193"/>
      <c r="L186" s="193"/>
      <c r="M186" s="307"/>
      <c r="N186" s="266"/>
    </row>
    <row r="187" spans="3:14" x14ac:dyDescent="0.2">
      <c r="C187" s="69">
        <v>24</v>
      </c>
      <c r="D187" s="69" t="s">
        <v>296</v>
      </c>
      <c r="E187" s="243" t="s">
        <v>43</v>
      </c>
      <c r="F187" s="243" t="s">
        <v>207</v>
      </c>
      <c r="G187" s="243" t="s">
        <v>419</v>
      </c>
      <c r="H187" s="244" t="s">
        <v>497</v>
      </c>
      <c r="I187" s="43" t="s">
        <v>590</v>
      </c>
      <c r="J187" s="43"/>
      <c r="K187" s="193"/>
      <c r="L187" s="193"/>
      <c r="M187" s="307"/>
      <c r="N187" s="265"/>
    </row>
    <row r="188" spans="3:14" x14ac:dyDescent="0.2">
      <c r="C188" s="69">
        <v>24</v>
      </c>
      <c r="D188" s="69" t="s">
        <v>296</v>
      </c>
      <c r="E188" s="243" t="s">
        <v>43</v>
      </c>
      <c r="F188" s="243" t="s">
        <v>219</v>
      </c>
      <c r="G188" s="243" t="s">
        <v>419</v>
      </c>
      <c r="H188" s="244" t="s">
        <v>497</v>
      </c>
      <c r="I188" s="43" t="s">
        <v>590</v>
      </c>
      <c r="J188" s="43"/>
      <c r="K188" s="193"/>
      <c r="L188" s="193"/>
      <c r="M188" s="307"/>
      <c r="N188" s="265"/>
    </row>
    <row r="189" spans="3:14" x14ac:dyDescent="0.2">
      <c r="C189" s="69">
        <v>24</v>
      </c>
      <c r="D189" s="69" t="s">
        <v>296</v>
      </c>
      <c r="E189" s="243" t="s">
        <v>43</v>
      </c>
      <c r="F189" s="243" t="s">
        <v>208</v>
      </c>
      <c r="G189" s="243" t="s">
        <v>419</v>
      </c>
      <c r="H189" s="244" t="s">
        <v>497</v>
      </c>
      <c r="I189" s="43" t="s">
        <v>590</v>
      </c>
      <c r="J189" s="43"/>
      <c r="K189" s="193"/>
      <c r="L189" s="193"/>
      <c r="M189" s="307"/>
      <c r="N189" s="265"/>
    </row>
    <row r="190" spans="3:14" x14ac:dyDescent="0.2">
      <c r="C190" s="69">
        <v>24</v>
      </c>
      <c r="D190" s="69" t="s">
        <v>296</v>
      </c>
      <c r="E190" s="243" t="s">
        <v>43</v>
      </c>
      <c r="F190" s="243" t="s">
        <v>209</v>
      </c>
      <c r="G190" s="243" t="s">
        <v>419</v>
      </c>
      <c r="H190" s="244" t="s">
        <v>497</v>
      </c>
      <c r="I190" s="43" t="s">
        <v>590</v>
      </c>
      <c r="J190" s="43"/>
      <c r="K190" s="193"/>
      <c r="L190" s="193"/>
      <c r="M190" s="307"/>
      <c r="N190" s="265"/>
    </row>
    <row r="191" spans="3:14" x14ac:dyDescent="0.2">
      <c r="C191" s="69">
        <v>24</v>
      </c>
      <c r="D191" s="69" t="s">
        <v>296</v>
      </c>
      <c r="E191" s="243" t="s">
        <v>43</v>
      </c>
      <c r="F191" s="243" t="s">
        <v>210</v>
      </c>
      <c r="G191" s="243" t="s">
        <v>419</v>
      </c>
      <c r="H191" s="244" t="s">
        <v>497</v>
      </c>
      <c r="I191" s="43" t="s">
        <v>590</v>
      </c>
      <c r="J191" s="43"/>
      <c r="K191" s="193"/>
      <c r="L191" s="193"/>
      <c r="M191" s="307"/>
      <c r="N191" s="265"/>
    </row>
    <row r="192" spans="3:14" x14ac:dyDescent="0.2">
      <c r="C192" s="18">
        <v>25</v>
      </c>
      <c r="D192" s="69" t="s">
        <v>300</v>
      </c>
      <c r="E192" s="243" t="s">
        <v>135</v>
      </c>
      <c r="F192" s="243" t="s">
        <v>207</v>
      </c>
      <c r="G192" s="243" t="s">
        <v>419</v>
      </c>
      <c r="H192" s="244" t="s">
        <v>528</v>
      </c>
      <c r="I192" s="43" t="s">
        <v>588</v>
      </c>
      <c r="J192" s="43"/>
      <c r="K192" s="193"/>
      <c r="L192" s="193"/>
      <c r="M192" s="307"/>
      <c r="N192" s="265"/>
    </row>
    <row r="193" spans="3:14" x14ac:dyDescent="0.2">
      <c r="C193" s="18">
        <v>25</v>
      </c>
      <c r="D193" s="69" t="s">
        <v>300</v>
      </c>
      <c r="E193" s="243" t="s">
        <v>135</v>
      </c>
      <c r="F193" s="243" t="s">
        <v>219</v>
      </c>
      <c r="G193" s="243" t="s">
        <v>419</v>
      </c>
      <c r="H193" s="244" t="s">
        <v>528</v>
      </c>
      <c r="I193" s="43" t="s">
        <v>590</v>
      </c>
      <c r="J193" s="43"/>
      <c r="K193" s="193"/>
      <c r="L193" s="193"/>
      <c r="M193" s="307"/>
      <c r="N193" s="265"/>
    </row>
    <row r="194" spans="3:14" x14ac:dyDescent="0.2">
      <c r="C194" s="18">
        <v>25</v>
      </c>
      <c r="D194" s="69" t="s">
        <v>300</v>
      </c>
      <c r="E194" s="243" t="s">
        <v>135</v>
      </c>
      <c r="F194" s="243" t="s">
        <v>208</v>
      </c>
      <c r="G194" s="243" t="s">
        <v>419</v>
      </c>
      <c r="H194" s="244" t="s">
        <v>528</v>
      </c>
      <c r="I194" s="43" t="s">
        <v>588</v>
      </c>
      <c r="J194" s="43"/>
      <c r="K194" s="193"/>
      <c r="L194" s="193"/>
      <c r="M194" s="307"/>
      <c r="N194" s="265"/>
    </row>
    <row r="195" spans="3:14" x14ac:dyDescent="0.2">
      <c r="C195" s="18">
        <v>25</v>
      </c>
      <c r="D195" s="69" t="s">
        <v>300</v>
      </c>
      <c r="E195" s="243" t="s">
        <v>135</v>
      </c>
      <c r="F195" s="243" t="s">
        <v>209</v>
      </c>
      <c r="G195" s="243" t="s">
        <v>419</v>
      </c>
      <c r="H195" s="244" t="s">
        <v>528</v>
      </c>
      <c r="I195" s="43" t="s">
        <v>590</v>
      </c>
      <c r="J195" s="43"/>
      <c r="K195" s="193"/>
      <c r="L195" s="193"/>
      <c r="M195" s="307"/>
      <c r="N195" s="265"/>
    </row>
    <row r="196" spans="3:14" x14ac:dyDescent="0.2">
      <c r="C196" s="18">
        <v>25</v>
      </c>
      <c r="D196" s="69" t="s">
        <v>300</v>
      </c>
      <c r="E196" s="243" t="s">
        <v>135</v>
      </c>
      <c r="F196" s="243" t="s">
        <v>210</v>
      </c>
      <c r="G196" s="243" t="s">
        <v>419</v>
      </c>
      <c r="H196" s="244" t="s">
        <v>528</v>
      </c>
      <c r="I196" s="43" t="s">
        <v>588</v>
      </c>
      <c r="J196" s="43"/>
      <c r="K196" s="193"/>
      <c r="L196" s="193"/>
      <c r="M196" s="307"/>
      <c r="N196" s="265"/>
    </row>
    <row r="197" spans="3:14" x14ac:dyDescent="0.2">
      <c r="C197" s="18">
        <v>25</v>
      </c>
      <c r="D197" s="69" t="s">
        <v>300</v>
      </c>
      <c r="E197" s="243" t="s">
        <v>137</v>
      </c>
      <c r="F197" s="243" t="s">
        <v>207</v>
      </c>
      <c r="G197" s="243" t="s">
        <v>419</v>
      </c>
      <c r="H197" s="244" t="s">
        <v>528</v>
      </c>
      <c r="I197" s="43" t="s">
        <v>596</v>
      </c>
      <c r="J197" s="43"/>
      <c r="K197" s="193"/>
      <c r="L197" s="193"/>
      <c r="M197" s="307"/>
      <c r="N197" s="266"/>
    </row>
    <row r="198" spans="3:14" x14ac:dyDescent="0.2">
      <c r="C198" s="18">
        <v>25</v>
      </c>
      <c r="D198" s="69" t="s">
        <v>300</v>
      </c>
      <c r="E198" s="243" t="s">
        <v>137</v>
      </c>
      <c r="F198" s="243" t="s">
        <v>219</v>
      </c>
      <c r="G198" s="243" t="s">
        <v>419</v>
      </c>
      <c r="H198" s="244" t="s">
        <v>528</v>
      </c>
      <c r="I198" s="43" t="s">
        <v>596</v>
      </c>
      <c r="J198" s="43"/>
      <c r="K198" s="193"/>
      <c r="L198" s="193"/>
      <c r="M198" s="307"/>
      <c r="N198" s="265"/>
    </row>
    <row r="199" spans="3:14" x14ac:dyDescent="0.2">
      <c r="C199" s="18">
        <v>25</v>
      </c>
      <c r="D199" s="69" t="s">
        <v>300</v>
      </c>
      <c r="E199" s="243" t="s">
        <v>137</v>
      </c>
      <c r="F199" s="243" t="s">
        <v>208</v>
      </c>
      <c r="G199" s="243" t="s">
        <v>419</v>
      </c>
      <c r="H199" s="244" t="s">
        <v>528</v>
      </c>
      <c r="I199" s="43" t="s">
        <v>596</v>
      </c>
      <c r="J199" s="43"/>
      <c r="K199" s="193"/>
      <c r="L199" s="193"/>
      <c r="M199" s="307"/>
      <c r="N199" s="266"/>
    </row>
    <row r="200" spans="3:14" x14ac:dyDescent="0.2">
      <c r="C200" s="18">
        <v>25</v>
      </c>
      <c r="D200" s="69" t="s">
        <v>300</v>
      </c>
      <c r="E200" s="243" t="s">
        <v>137</v>
      </c>
      <c r="F200" s="243" t="s">
        <v>209</v>
      </c>
      <c r="G200" s="243" t="s">
        <v>419</v>
      </c>
      <c r="H200" s="244" t="s">
        <v>528</v>
      </c>
      <c r="I200" s="43" t="s">
        <v>596</v>
      </c>
      <c r="J200" s="43"/>
      <c r="K200" s="193"/>
      <c r="L200" s="193"/>
      <c r="M200" s="307"/>
      <c r="N200" s="265"/>
    </row>
    <row r="201" spans="3:14" x14ac:dyDescent="0.2">
      <c r="C201" s="18">
        <v>25</v>
      </c>
      <c r="D201" s="69" t="s">
        <v>300</v>
      </c>
      <c r="E201" s="243" t="s">
        <v>137</v>
      </c>
      <c r="F201" s="243" t="s">
        <v>210</v>
      </c>
      <c r="G201" s="243" t="s">
        <v>419</v>
      </c>
      <c r="H201" s="244" t="s">
        <v>528</v>
      </c>
      <c r="I201" s="43" t="s">
        <v>596</v>
      </c>
      <c r="J201" s="43"/>
      <c r="K201" s="193"/>
      <c r="L201" s="193"/>
      <c r="M201" s="307"/>
      <c r="N201" s="266"/>
    </row>
    <row r="202" spans="3:14" x14ac:dyDescent="0.2">
      <c r="C202" s="18">
        <v>25</v>
      </c>
      <c r="D202" s="69" t="s">
        <v>300</v>
      </c>
      <c r="E202" s="243" t="s">
        <v>138</v>
      </c>
      <c r="F202" s="243" t="s">
        <v>207</v>
      </c>
      <c r="G202" s="243" t="s">
        <v>419</v>
      </c>
      <c r="H202" s="244" t="s">
        <v>496</v>
      </c>
      <c r="I202" s="43" t="s">
        <v>587</v>
      </c>
      <c r="J202" s="43"/>
      <c r="K202" s="193"/>
      <c r="L202" s="193"/>
      <c r="M202" s="307"/>
      <c r="N202" s="265"/>
    </row>
    <row r="203" spans="3:14" x14ac:dyDescent="0.2">
      <c r="C203" s="18">
        <v>25</v>
      </c>
      <c r="D203" s="69" t="s">
        <v>300</v>
      </c>
      <c r="E203" s="243" t="s">
        <v>138</v>
      </c>
      <c r="F203" s="243" t="s">
        <v>219</v>
      </c>
      <c r="G203" s="243" t="s">
        <v>419</v>
      </c>
      <c r="H203" s="244" t="s">
        <v>496</v>
      </c>
      <c r="I203" s="43" t="s">
        <v>589</v>
      </c>
      <c r="J203" s="43"/>
      <c r="K203" s="193"/>
      <c r="L203" s="193"/>
      <c r="M203" s="307"/>
      <c r="N203" s="265"/>
    </row>
    <row r="204" spans="3:14" x14ac:dyDescent="0.2">
      <c r="C204" s="18">
        <v>25</v>
      </c>
      <c r="D204" s="69" t="s">
        <v>300</v>
      </c>
      <c r="E204" s="243" t="s">
        <v>138</v>
      </c>
      <c r="F204" s="243" t="s">
        <v>208</v>
      </c>
      <c r="G204" s="243" t="s">
        <v>419</v>
      </c>
      <c r="H204" s="244" t="s">
        <v>496</v>
      </c>
      <c r="I204" s="43" t="s">
        <v>587</v>
      </c>
      <c r="J204" s="43"/>
      <c r="K204" s="193"/>
      <c r="L204" s="193"/>
      <c r="M204" s="307"/>
      <c r="N204" s="265"/>
    </row>
    <row r="205" spans="3:14" x14ac:dyDescent="0.2">
      <c r="C205" s="18">
        <v>25</v>
      </c>
      <c r="D205" s="69" t="s">
        <v>300</v>
      </c>
      <c r="E205" s="243" t="s">
        <v>138</v>
      </c>
      <c r="F205" s="243" t="s">
        <v>209</v>
      </c>
      <c r="G205" s="243" t="s">
        <v>419</v>
      </c>
      <c r="H205" s="244" t="s">
        <v>496</v>
      </c>
      <c r="I205" s="43" t="s">
        <v>589</v>
      </c>
      <c r="J205" s="43"/>
      <c r="K205" s="193"/>
      <c r="L205" s="193"/>
      <c r="M205" s="307"/>
      <c r="N205" s="265"/>
    </row>
    <row r="206" spans="3:14" x14ac:dyDescent="0.2">
      <c r="C206" s="18">
        <v>25</v>
      </c>
      <c r="D206" s="69" t="s">
        <v>300</v>
      </c>
      <c r="E206" s="243" t="s">
        <v>138</v>
      </c>
      <c r="F206" s="243" t="s">
        <v>210</v>
      </c>
      <c r="G206" s="243" t="s">
        <v>419</v>
      </c>
      <c r="H206" s="244" t="s">
        <v>496</v>
      </c>
      <c r="I206" s="43" t="s">
        <v>589</v>
      </c>
      <c r="J206" s="43"/>
      <c r="K206" s="193"/>
      <c r="L206" s="193"/>
      <c r="M206" s="307"/>
      <c r="N206" s="265"/>
    </row>
    <row r="207" spans="3:14" x14ac:dyDescent="0.2">
      <c r="C207" s="18">
        <v>25</v>
      </c>
      <c r="D207" s="69" t="s">
        <v>300</v>
      </c>
      <c r="E207" s="243" t="s">
        <v>139</v>
      </c>
      <c r="F207" s="243" t="s">
        <v>207</v>
      </c>
      <c r="G207" s="243" t="s">
        <v>419</v>
      </c>
      <c r="H207" s="352" t="s">
        <v>528</v>
      </c>
      <c r="I207" s="43" t="s">
        <v>591</v>
      </c>
      <c r="J207" s="43"/>
      <c r="K207" s="193"/>
      <c r="L207" s="193"/>
      <c r="M207" s="307"/>
      <c r="N207" s="265"/>
    </row>
    <row r="208" spans="3:14" x14ac:dyDescent="0.2">
      <c r="C208" s="18">
        <v>25</v>
      </c>
      <c r="D208" s="69" t="s">
        <v>300</v>
      </c>
      <c r="E208" s="243" t="s">
        <v>139</v>
      </c>
      <c r="F208" s="243" t="s">
        <v>219</v>
      </c>
      <c r="G208" s="243" t="s">
        <v>419</v>
      </c>
      <c r="H208" s="244" t="s">
        <v>528</v>
      </c>
      <c r="I208" s="43" t="s">
        <v>591</v>
      </c>
      <c r="J208" s="43"/>
      <c r="K208" s="193"/>
      <c r="L208" s="193"/>
      <c r="M208" s="307"/>
      <c r="N208" s="265"/>
    </row>
    <row r="209" spans="3:14" x14ac:dyDescent="0.2">
      <c r="C209" s="18">
        <v>25</v>
      </c>
      <c r="D209" s="69" t="s">
        <v>300</v>
      </c>
      <c r="E209" s="243" t="s">
        <v>139</v>
      </c>
      <c r="F209" s="243" t="s">
        <v>208</v>
      </c>
      <c r="G209" s="243" t="s">
        <v>419</v>
      </c>
      <c r="H209" s="244" t="s">
        <v>528</v>
      </c>
      <c r="I209" s="43" t="s">
        <v>591</v>
      </c>
      <c r="J209" s="43"/>
      <c r="K209" s="193"/>
      <c r="L209" s="193"/>
      <c r="M209" s="307"/>
      <c r="N209" s="266"/>
    </row>
    <row r="210" spans="3:14" x14ac:dyDescent="0.2">
      <c r="C210" s="18">
        <v>25</v>
      </c>
      <c r="D210" s="69" t="s">
        <v>300</v>
      </c>
      <c r="E210" s="243" t="s">
        <v>139</v>
      </c>
      <c r="F210" s="243" t="s">
        <v>209</v>
      </c>
      <c r="G210" s="243" t="s">
        <v>419</v>
      </c>
      <c r="H210" s="244" t="s">
        <v>528</v>
      </c>
      <c r="I210" s="43" t="s">
        <v>591</v>
      </c>
      <c r="J210" s="43"/>
      <c r="K210" s="193"/>
      <c r="L210" s="193"/>
      <c r="M210" s="307"/>
      <c r="N210" s="265"/>
    </row>
    <row r="211" spans="3:14" x14ac:dyDescent="0.2">
      <c r="C211" s="18">
        <v>25</v>
      </c>
      <c r="D211" s="69" t="s">
        <v>300</v>
      </c>
      <c r="E211" s="243" t="s">
        <v>139</v>
      </c>
      <c r="F211" s="243" t="s">
        <v>210</v>
      </c>
      <c r="G211" s="243" t="s">
        <v>419</v>
      </c>
      <c r="H211" s="244" t="s">
        <v>528</v>
      </c>
      <c r="I211" s="43" t="s">
        <v>591</v>
      </c>
      <c r="J211" s="43"/>
      <c r="K211" s="193"/>
      <c r="L211" s="193"/>
      <c r="M211" s="307"/>
      <c r="N211" s="265"/>
    </row>
    <row r="212" spans="3:14" x14ac:dyDescent="0.2">
      <c r="C212" s="18">
        <v>25</v>
      </c>
      <c r="D212" s="69" t="s">
        <v>300</v>
      </c>
      <c r="E212" s="243" t="s">
        <v>148</v>
      </c>
      <c r="F212" s="243" t="s">
        <v>207</v>
      </c>
      <c r="G212" s="243" t="s">
        <v>419</v>
      </c>
      <c r="H212" s="244" t="s">
        <v>528</v>
      </c>
      <c r="I212" s="43" t="s">
        <v>588</v>
      </c>
      <c r="J212" s="43"/>
      <c r="K212" s="193"/>
      <c r="L212" s="193"/>
      <c r="M212" s="307"/>
      <c r="N212" s="265"/>
    </row>
    <row r="213" spans="3:14" x14ac:dyDescent="0.2">
      <c r="C213" s="18">
        <v>25</v>
      </c>
      <c r="D213" s="69" t="s">
        <v>300</v>
      </c>
      <c r="E213" s="243" t="s">
        <v>148</v>
      </c>
      <c r="F213" s="243" t="s">
        <v>219</v>
      </c>
      <c r="G213" s="243" t="s">
        <v>419</v>
      </c>
      <c r="H213" s="244" t="s">
        <v>528</v>
      </c>
      <c r="I213" s="43" t="s">
        <v>588</v>
      </c>
      <c r="J213" s="43"/>
      <c r="K213" s="193"/>
      <c r="L213" s="193"/>
      <c r="M213" s="307"/>
      <c r="N213" s="265"/>
    </row>
    <row r="214" spans="3:14" x14ac:dyDescent="0.2">
      <c r="C214" s="18">
        <v>25</v>
      </c>
      <c r="D214" s="69" t="s">
        <v>300</v>
      </c>
      <c r="E214" s="243" t="s">
        <v>148</v>
      </c>
      <c r="F214" s="243" t="s">
        <v>209</v>
      </c>
      <c r="G214" s="243" t="s">
        <v>419</v>
      </c>
      <c r="H214" s="244" t="s">
        <v>528</v>
      </c>
      <c r="I214" s="43" t="s">
        <v>588</v>
      </c>
      <c r="J214" s="43"/>
      <c r="K214" s="193"/>
      <c r="L214" s="193"/>
      <c r="M214" s="307"/>
      <c r="N214" s="265"/>
    </row>
    <row r="215" spans="3:14" x14ac:dyDescent="0.2">
      <c r="C215" s="18">
        <v>25</v>
      </c>
      <c r="D215" s="69" t="s">
        <v>300</v>
      </c>
      <c r="E215" s="243" t="s">
        <v>148</v>
      </c>
      <c r="F215" s="243" t="s">
        <v>210</v>
      </c>
      <c r="G215" s="243" t="s">
        <v>419</v>
      </c>
      <c r="H215" s="244" t="s">
        <v>528</v>
      </c>
      <c r="I215" s="43" t="s">
        <v>588</v>
      </c>
      <c r="J215" s="43"/>
      <c r="K215" s="193"/>
      <c r="L215" s="193"/>
      <c r="M215" s="307"/>
      <c r="N215" s="265"/>
    </row>
    <row r="216" spans="3:14" x14ac:dyDescent="0.2">
      <c r="C216" s="18">
        <v>25</v>
      </c>
      <c r="D216" s="69" t="s">
        <v>300</v>
      </c>
      <c r="E216" s="243" t="s">
        <v>55</v>
      </c>
      <c r="F216" s="243" t="s">
        <v>207</v>
      </c>
      <c r="G216" s="243" t="s">
        <v>419</v>
      </c>
      <c r="H216" s="244" t="s">
        <v>528</v>
      </c>
      <c r="I216" s="43" t="s">
        <v>588</v>
      </c>
      <c r="J216" s="43"/>
      <c r="K216" s="193"/>
      <c r="L216" s="193"/>
      <c r="M216" s="307"/>
      <c r="N216" s="265"/>
    </row>
    <row r="217" spans="3:14" x14ac:dyDescent="0.2">
      <c r="C217" s="18">
        <v>25</v>
      </c>
      <c r="D217" s="69" t="s">
        <v>300</v>
      </c>
      <c r="E217" s="243" t="s">
        <v>55</v>
      </c>
      <c r="F217" s="243" t="s">
        <v>219</v>
      </c>
      <c r="G217" s="243" t="s">
        <v>419</v>
      </c>
      <c r="H217" s="244" t="s">
        <v>528</v>
      </c>
      <c r="I217" s="43" t="s">
        <v>590</v>
      </c>
      <c r="J217" s="43"/>
      <c r="K217" s="193"/>
      <c r="L217" s="193"/>
      <c r="M217" s="307"/>
      <c r="N217" s="265"/>
    </row>
    <row r="218" spans="3:14" x14ac:dyDescent="0.2">
      <c r="C218" s="18">
        <v>25</v>
      </c>
      <c r="D218" s="69" t="s">
        <v>300</v>
      </c>
      <c r="E218" s="243" t="s">
        <v>55</v>
      </c>
      <c r="F218" s="243" t="s">
        <v>208</v>
      </c>
      <c r="G218" s="243" t="s">
        <v>419</v>
      </c>
      <c r="H218" s="244" t="s">
        <v>528</v>
      </c>
      <c r="I218" s="43" t="s">
        <v>588</v>
      </c>
      <c r="J218" s="43"/>
      <c r="K218" s="193"/>
      <c r="L218" s="193"/>
      <c r="M218" s="307"/>
      <c r="N218" s="265"/>
    </row>
    <row r="219" spans="3:14" x14ac:dyDescent="0.2">
      <c r="C219" s="18">
        <v>25</v>
      </c>
      <c r="D219" s="69" t="s">
        <v>300</v>
      </c>
      <c r="E219" s="243" t="s">
        <v>55</v>
      </c>
      <c r="F219" s="243" t="s">
        <v>209</v>
      </c>
      <c r="G219" s="243" t="s">
        <v>419</v>
      </c>
      <c r="H219" s="244" t="s">
        <v>528</v>
      </c>
      <c r="I219" s="43" t="s">
        <v>588</v>
      </c>
      <c r="J219" s="43"/>
      <c r="K219" s="193"/>
      <c r="L219" s="193"/>
      <c r="M219" s="307"/>
      <c r="N219" s="265"/>
    </row>
    <row r="220" spans="3:14" x14ac:dyDescent="0.2">
      <c r="C220" s="18">
        <v>25</v>
      </c>
      <c r="D220" s="69" t="s">
        <v>300</v>
      </c>
      <c r="E220" s="243" t="s">
        <v>55</v>
      </c>
      <c r="F220" s="243" t="s">
        <v>210</v>
      </c>
      <c r="G220" s="243" t="s">
        <v>419</v>
      </c>
      <c r="H220" s="244" t="s">
        <v>528</v>
      </c>
      <c r="I220" s="43" t="s">
        <v>588</v>
      </c>
      <c r="J220" s="43"/>
      <c r="K220" s="193"/>
      <c r="L220" s="193"/>
      <c r="M220" s="307"/>
      <c r="N220" s="265"/>
    </row>
    <row r="221" spans="3:14" x14ac:dyDescent="0.2">
      <c r="C221" s="69">
        <v>25</v>
      </c>
      <c r="D221" s="196" t="s">
        <v>299</v>
      </c>
      <c r="E221" s="243" t="s">
        <v>44</v>
      </c>
      <c r="F221" s="243" t="s">
        <v>207</v>
      </c>
      <c r="G221" s="243" t="s">
        <v>419</v>
      </c>
      <c r="H221" s="244" t="s">
        <v>452</v>
      </c>
      <c r="I221" s="43" t="s">
        <v>585</v>
      </c>
      <c r="J221" s="43"/>
      <c r="K221" s="193"/>
      <c r="L221" s="193"/>
      <c r="M221" s="307"/>
      <c r="N221" s="265"/>
    </row>
    <row r="222" spans="3:14" x14ac:dyDescent="0.2">
      <c r="C222" s="69">
        <v>25</v>
      </c>
      <c r="D222" s="196" t="s">
        <v>299</v>
      </c>
      <c r="E222" s="243" t="s">
        <v>44</v>
      </c>
      <c r="F222" s="243" t="s">
        <v>219</v>
      </c>
      <c r="G222" s="243" t="s">
        <v>419</v>
      </c>
      <c r="H222" s="244" t="s">
        <v>452</v>
      </c>
      <c r="I222" s="43" t="s">
        <v>585</v>
      </c>
      <c r="J222" s="43"/>
      <c r="K222" s="193"/>
      <c r="L222" s="193"/>
      <c r="M222" s="307"/>
      <c r="N222" s="265"/>
    </row>
    <row r="223" spans="3:14" x14ac:dyDescent="0.2">
      <c r="C223" s="69">
        <v>25</v>
      </c>
      <c r="D223" s="196" t="s">
        <v>299</v>
      </c>
      <c r="E223" s="243" t="s">
        <v>44</v>
      </c>
      <c r="F223" s="243" t="s">
        <v>208</v>
      </c>
      <c r="G223" s="243" t="s">
        <v>419</v>
      </c>
      <c r="H223" s="244" t="s">
        <v>452</v>
      </c>
      <c r="I223" s="43" t="s">
        <v>585</v>
      </c>
      <c r="J223" s="43"/>
      <c r="K223" s="193"/>
      <c r="L223" s="193"/>
      <c r="M223" s="307"/>
      <c r="N223" s="265"/>
    </row>
    <row r="224" spans="3:14" x14ac:dyDescent="0.2">
      <c r="C224" s="69">
        <v>25</v>
      </c>
      <c r="D224" s="196" t="s">
        <v>299</v>
      </c>
      <c r="E224" s="243" t="s">
        <v>44</v>
      </c>
      <c r="F224" s="243" t="s">
        <v>209</v>
      </c>
      <c r="G224" s="243" t="s">
        <v>419</v>
      </c>
      <c r="H224" s="244" t="s">
        <v>452</v>
      </c>
      <c r="I224" s="43" t="s">
        <v>585</v>
      </c>
      <c r="J224" s="43"/>
      <c r="K224" s="193"/>
      <c r="L224" s="193"/>
      <c r="M224" s="307"/>
      <c r="N224" s="265"/>
    </row>
    <row r="225" spans="3:14" x14ac:dyDescent="0.2">
      <c r="C225" s="69">
        <v>25</v>
      </c>
      <c r="D225" s="196" t="s">
        <v>299</v>
      </c>
      <c r="E225" s="243" t="s">
        <v>44</v>
      </c>
      <c r="F225" s="243" t="s">
        <v>210</v>
      </c>
      <c r="G225" s="243" t="s">
        <v>419</v>
      </c>
      <c r="H225" s="244" t="s">
        <v>452</v>
      </c>
      <c r="I225" s="43" t="s">
        <v>585</v>
      </c>
      <c r="J225" s="43"/>
      <c r="K225" s="193"/>
      <c r="L225" s="193"/>
      <c r="M225" s="307"/>
      <c r="N225" s="265"/>
    </row>
    <row r="226" spans="3:14" x14ac:dyDescent="0.2">
      <c r="C226" s="69">
        <v>25</v>
      </c>
      <c r="D226" s="69" t="s">
        <v>299</v>
      </c>
      <c r="E226" s="243" t="s">
        <v>45</v>
      </c>
      <c r="F226" s="243" t="s">
        <v>207</v>
      </c>
      <c r="G226" s="243" t="s">
        <v>419</v>
      </c>
      <c r="H226" s="244" t="s">
        <v>452</v>
      </c>
      <c r="I226" s="43" t="s">
        <v>596</v>
      </c>
      <c r="J226" s="43"/>
      <c r="K226" s="193"/>
      <c r="L226" s="193"/>
      <c r="M226" s="307"/>
      <c r="N226" s="265"/>
    </row>
    <row r="227" spans="3:14" x14ac:dyDescent="0.2">
      <c r="C227" s="69">
        <v>25</v>
      </c>
      <c r="D227" s="69" t="s">
        <v>299</v>
      </c>
      <c r="E227" s="243" t="s">
        <v>45</v>
      </c>
      <c r="F227" s="243" t="s">
        <v>219</v>
      </c>
      <c r="G227" s="243" t="s">
        <v>419</v>
      </c>
      <c r="H227" s="244" t="s">
        <v>452</v>
      </c>
      <c r="I227" s="43" t="s">
        <v>596</v>
      </c>
      <c r="J227" s="43"/>
      <c r="K227" s="193"/>
      <c r="L227" s="193"/>
      <c r="M227" s="307"/>
      <c r="N227" s="265"/>
    </row>
    <row r="228" spans="3:14" x14ac:dyDescent="0.2">
      <c r="C228" s="69">
        <v>25</v>
      </c>
      <c r="D228" s="69" t="s">
        <v>299</v>
      </c>
      <c r="E228" s="243" t="s">
        <v>45</v>
      </c>
      <c r="F228" s="243" t="s">
        <v>208</v>
      </c>
      <c r="G228" s="243" t="s">
        <v>419</v>
      </c>
      <c r="H228" s="244" t="s">
        <v>452</v>
      </c>
      <c r="I228" s="43" t="s">
        <v>596</v>
      </c>
      <c r="J228" s="43"/>
      <c r="K228" s="193"/>
      <c r="L228" s="193"/>
      <c r="M228" s="307"/>
      <c r="N228" s="265"/>
    </row>
    <row r="229" spans="3:14" x14ac:dyDescent="0.2">
      <c r="C229" s="69">
        <v>25</v>
      </c>
      <c r="D229" s="69" t="s">
        <v>299</v>
      </c>
      <c r="E229" s="243" t="s">
        <v>45</v>
      </c>
      <c r="F229" s="243" t="s">
        <v>209</v>
      </c>
      <c r="G229" s="243" t="s">
        <v>419</v>
      </c>
      <c r="H229" s="244" t="s">
        <v>452</v>
      </c>
      <c r="I229" s="43" t="s">
        <v>596</v>
      </c>
      <c r="J229" s="43"/>
      <c r="K229" s="193"/>
      <c r="L229" s="193"/>
      <c r="M229" s="307"/>
      <c r="N229" s="265"/>
    </row>
    <row r="230" spans="3:14" x14ac:dyDescent="0.2">
      <c r="C230" s="69">
        <v>25</v>
      </c>
      <c r="D230" s="69" t="s">
        <v>299</v>
      </c>
      <c r="E230" s="243" t="s">
        <v>45</v>
      </c>
      <c r="F230" s="243" t="s">
        <v>210</v>
      </c>
      <c r="G230" s="243" t="s">
        <v>419</v>
      </c>
      <c r="H230" s="244" t="s">
        <v>452</v>
      </c>
      <c r="I230" s="43" t="s">
        <v>596</v>
      </c>
      <c r="J230" s="43"/>
      <c r="K230" s="193"/>
      <c r="L230" s="193"/>
      <c r="M230" s="307"/>
      <c r="N230" s="265"/>
    </row>
    <row r="231" spans="3:14" x14ac:dyDescent="0.2">
      <c r="C231" s="69">
        <v>25</v>
      </c>
      <c r="D231" s="69" t="s">
        <v>299</v>
      </c>
      <c r="E231" s="243" t="s">
        <v>46</v>
      </c>
      <c r="F231" s="243" t="s">
        <v>207</v>
      </c>
      <c r="G231" s="243" t="s">
        <v>419</v>
      </c>
      <c r="H231" s="244" t="s">
        <v>593</v>
      </c>
      <c r="I231" s="43" t="s">
        <v>596</v>
      </c>
      <c r="J231" s="43"/>
      <c r="K231" s="193"/>
      <c r="L231" s="193"/>
      <c r="M231" s="307"/>
      <c r="N231" s="265"/>
    </row>
    <row r="232" spans="3:14" x14ac:dyDescent="0.2">
      <c r="C232" s="69">
        <v>25</v>
      </c>
      <c r="D232" s="69" t="s">
        <v>299</v>
      </c>
      <c r="E232" s="243" t="s">
        <v>46</v>
      </c>
      <c r="F232" s="243" t="s">
        <v>219</v>
      </c>
      <c r="G232" s="243" t="s">
        <v>419</v>
      </c>
      <c r="H232" s="244" t="s">
        <v>593</v>
      </c>
      <c r="I232" s="43" t="s">
        <v>596</v>
      </c>
      <c r="J232" s="43"/>
      <c r="K232" s="193"/>
      <c r="L232" s="193"/>
      <c r="M232" s="307"/>
      <c r="N232" s="265"/>
    </row>
    <row r="233" spans="3:14" x14ac:dyDescent="0.2">
      <c r="C233" s="69">
        <v>25</v>
      </c>
      <c r="D233" s="69" t="s">
        <v>299</v>
      </c>
      <c r="E233" s="243" t="s">
        <v>46</v>
      </c>
      <c r="F233" s="243" t="s">
        <v>208</v>
      </c>
      <c r="G233" s="243" t="s">
        <v>419</v>
      </c>
      <c r="H233" s="244" t="s">
        <v>593</v>
      </c>
      <c r="I233" s="43" t="s">
        <v>596</v>
      </c>
      <c r="J233" s="43"/>
      <c r="K233" s="193"/>
      <c r="L233" s="193"/>
      <c r="M233" s="307"/>
      <c r="N233" s="265"/>
    </row>
    <row r="234" spans="3:14" x14ac:dyDescent="0.2">
      <c r="C234" s="69">
        <v>25</v>
      </c>
      <c r="D234" s="69" t="s">
        <v>299</v>
      </c>
      <c r="E234" s="243" t="s">
        <v>46</v>
      </c>
      <c r="F234" s="243" t="s">
        <v>209</v>
      </c>
      <c r="G234" s="243" t="s">
        <v>419</v>
      </c>
      <c r="H234" s="244" t="s">
        <v>593</v>
      </c>
      <c r="I234" s="43" t="s">
        <v>596</v>
      </c>
      <c r="J234" s="43"/>
      <c r="K234" s="193"/>
      <c r="L234" s="193"/>
      <c r="M234" s="307"/>
      <c r="N234" s="265"/>
    </row>
    <row r="235" spans="3:14" x14ac:dyDescent="0.2">
      <c r="C235" s="69">
        <v>25</v>
      </c>
      <c r="D235" s="69" t="s">
        <v>299</v>
      </c>
      <c r="E235" s="243" t="s">
        <v>46</v>
      </c>
      <c r="F235" s="243" t="s">
        <v>210</v>
      </c>
      <c r="G235" s="243" t="s">
        <v>419</v>
      </c>
      <c r="H235" s="244" t="s">
        <v>593</v>
      </c>
      <c r="I235" s="43" t="s">
        <v>596</v>
      </c>
      <c r="J235" s="43"/>
      <c r="K235" s="193"/>
      <c r="L235" s="193"/>
      <c r="M235" s="307"/>
      <c r="N235" s="265"/>
    </row>
    <row r="236" spans="3:14" x14ac:dyDescent="0.2">
      <c r="C236" s="18">
        <v>25</v>
      </c>
      <c r="D236" s="69" t="s">
        <v>299</v>
      </c>
      <c r="E236" s="243" t="s">
        <v>47</v>
      </c>
      <c r="F236" s="243" t="s">
        <v>207</v>
      </c>
      <c r="G236" s="243" t="s">
        <v>419</v>
      </c>
      <c r="H236" s="244" t="s">
        <v>452</v>
      </c>
      <c r="I236" s="43" t="s">
        <v>586</v>
      </c>
      <c r="J236" s="43"/>
      <c r="K236" s="193"/>
      <c r="L236" s="193"/>
      <c r="M236" s="307"/>
      <c r="N236" s="311"/>
    </row>
    <row r="237" spans="3:14" x14ac:dyDescent="0.2">
      <c r="C237" s="18">
        <v>25</v>
      </c>
      <c r="D237" s="69" t="s">
        <v>299</v>
      </c>
      <c r="E237" s="243" t="s">
        <v>47</v>
      </c>
      <c r="F237" s="243" t="s">
        <v>219</v>
      </c>
      <c r="G237" s="243" t="s">
        <v>419</v>
      </c>
      <c r="H237" s="244" t="s">
        <v>452</v>
      </c>
      <c r="I237" s="43" t="s">
        <v>586</v>
      </c>
      <c r="J237" s="43"/>
      <c r="K237" s="193"/>
      <c r="L237" s="193"/>
      <c r="M237" s="307"/>
      <c r="N237" s="265"/>
    </row>
    <row r="238" spans="3:14" x14ac:dyDescent="0.2">
      <c r="C238" s="18">
        <v>25</v>
      </c>
      <c r="D238" s="69" t="s">
        <v>299</v>
      </c>
      <c r="E238" s="243" t="s">
        <v>47</v>
      </c>
      <c r="F238" s="243" t="s">
        <v>208</v>
      </c>
      <c r="G238" s="243" t="s">
        <v>419</v>
      </c>
      <c r="H238" s="244" t="s">
        <v>452</v>
      </c>
      <c r="I238" s="43" t="s">
        <v>586</v>
      </c>
      <c r="J238" s="43"/>
      <c r="K238" s="193"/>
      <c r="L238" s="193"/>
      <c r="M238" s="307"/>
      <c r="N238" s="266"/>
    </row>
    <row r="239" spans="3:14" x14ac:dyDescent="0.2">
      <c r="C239" s="18">
        <v>25</v>
      </c>
      <c r="D239" s="69" t="s">
        <v>299</v>
      </c>
      <c r="E239" s="243" t="s">
        <v>47</v>
      </c>
      <c r="F239" s="243" t="s">
        <v>209</v>
      </c>
      <c r="G239" s="243" t="s">
        <v>419</v>
      </c>
      <c r="H239" s="244" t="s">
        <v>452</v>
      </c>
      <c r="I239" s="43" t="s">
        <v>586</v>
      </c>
      <c r="J239" s="43"/>
      <c r="K239" s="193"/>
      <c r="L239" s="193"/>
      <c r="M239" s="307"/>
      <c r="N239" s="308"/>
    </row>
    <row r="240" spans="3:14" x14ac:dyDescent="0.2">
      <c r="C240" s="18">
        <v>25</v>
      </c>
      <c r="D240" s="69" t="s">
        <v>299</v>
      </c>
      <c r="E240" s="243" t="s">
        <v>47</v>
      </c>
      <c r="F240" s="243" t="s">
        <v>210</v>
      </c>
      <c r="G240" s="243" t="s">
        <v>419</v>
      </c>
      <c r="H240" s="244" t="s">
        <v>595</v>
      </c>
      <c r="I240" s="43" t="s">
        <v>586</v>
      </c>
      <c r="J240" s="43"/>
      <c r="K240" s="193"/>
      <c r="L240" s="193"/>
      <c r="M240" s="307"/>
      <c r="N240" s="265"/>
    </row>
    <row r="241" spans="3:14" x14ac:dyDescent="0.2">
      <c r="C241" s="69">
        <v>25</v>
      </c>
      <c r="D241" s="196" t="s">
        <v>299</v>
      </c>
      <c r="E241" s="243" t="s">
        <v>48</v>
      </c>
      <c r="F241" s="243" t="s">
        <v>207</v>
      </c>
      <c r="G241" s="243" t="s">
        <v>419</v>
      </c>
      <c r="H241" s="244" t="s">
        <v>495</v>
      </c>
      <c r="I241" s="43" t="s">
        <v>590</v>
      </c>
      <c r="J241" s="43"/>
      <c r="K241" s="193"/>
      <c r="L241" s="193"/>
      <c r="M241" s="307"/>
      <c r="N241" s="265"/>
    </row>
    <row r="242" spans="3:14" x14ac:dyDescent="0.2">
      <c r="C242" s="69">
        <v>25</v>
      </c>
      <c r="D242" s="196" t="s">
        <v>299</v>
      </c>
      <c r="E242" s="243" t="s">
        <v>48</v>
      </c>
      <c r="F242" s="243" t="s">
        <v>219</v>
      </c>
      <c r="G242" s="243" t="s">
        <v>419</v>
      </c>
      <c r="H242" s="244" t="s">
        <v>495</v>
      </c>
      <c r="I242" s="43" t="s">
        <v>590</v>
      </c>
      <c r="J242" s="43"/>
      <c r="K242" s="193"/>
      <c r="L242" s="193"/>
      <c r="M242" s="307"/>
      <c r="N242" s="265"/>
    </row>
    <row r="243" spans="3:14" x14ac:dyDescent="0.2">
      <c r="C243" s="69">
        <v>25</v>
      </c>
      <c r="D243" s="196" t="s">
        <v>299</v>
      </c>
      <c r="E243" s="243" t="s">
        <v>48</v>
      </c>
      <c r="F243" s="243" t="s">
        <v>208</v>
      </c>
      <c r="G243" s="243" t="s">
        <v>419</v>
      </c>
      <c r="H243" s="244" t="s">
        <v>495</v>
      </c>
      <c r="I243" s="43" t="s">
        <v>590</v>
      </c>
      <c r="J243" s="43"/>
      <c r="K243" s="193"/>
      <c r="L243" s="193"/>
      <c r="M243" s="307"/>
      <c r="N243" s="265"/>
    </row>
    <row r="244" spans="3:14" x14ac:dyDescent="0.2">
      <c r="C244" s="69">
        <v>25</v>
      </c>
      <c r="D244" s="196" t="s">
        <v>299</v>
      </c>
      <c r="E244" s="243" t="s">
        <v>48</v>
      </c>
      <c r="F244" s="243" t="s">
        <v>209</v>
      </c>
      <c r="G244" s="243" t="s">
        <v>419</v>
      </c>
      <c r="H244" s="244" t="s">
        <v>495</v>
      </c>
      <c r="I244" s="43" t="s">
        <v>590</v>
      </c>
      <c r="J244" s="43"/>
      <c r="K244" s="193"/>
      <c r="L244" s="193"/>
      <c r="M244" s="307"/>
      <c r="N244" s="265"/>
    </row>
    <row r="245" spans="3:14" x14ac:dyDescent="0.2">
      <c r="C245" s="69">
        <v>25</v>
      </c>
      <c r="D245" s="196" t="s">
        <v>299</v>
      </c>
      <c r="E245" s="243" t="s">
        <v>48</v>
      </c>
      <c r="F245" s="243" t="s">
        <v>210</v>
      </c>
      <c r="G245" s="243" t="s">
        <v>419</v>
      </c>
      <c r="H245" s="244" t="s">
        <v>495</v>
      </c>
      <c r="I245" s="43" t="s">
        <v>590</v>
      </c>
      <c r="J245" s="43"/>
      <c r="K245" s="193"/>
      <c r="L245" s="193"/>
      <c r="M245" s="307"/>
      <c r="N245" s="265"/>
    </row>
    <row r="246" spans="3:14" x14ac:dyDescent="0.2">
      <c r="C246" s="18">
        <v>25</v>
      </c>
      <c r="D246" s="69" t="s">
        <v>299</v>
      </c>
      <c r="E246" s="243" t="s">
        <v>49</v>
      </c>
      <c r="F246" s="243" t="s">
        <v>207</v>
      </c>
      <c r="G246" s="243" t="s">
        <v>419</v>
      </c>
      <c r="H246" s="352" t="s">
        <v>452</v>
      </c>
      <c r="I246" s="43" t="s">
        <v>584</v>
      </c>
      <c r="J246" s="43"/>
      <c r="K246" s="193"/>
      <c r="L246" s="193"/>
      <c r="M246" s="307"/>
      <c r="N246" s="353"/>
    </row>
    <row r="247" spans="3:14" x14ac:dyDescent="0.2">
      <c r="C247" s="18">
        <v>25</v>
      </c>
      <c r="D247" s="69" t="s">
        <v>299</v>
      </c>
      <c r="E247" s="243" t="s">
        <v>49</v>
      </c>
      <c r="F247" s="243" t="s">
        <v>219</v>
      </c>
      <c r="G247" s="243" t="s">
        <v>419</v>
      </c>
      <c r="H247" s="352" t="s">
        <v>452</v>
      </c>
      <c r="I247" s="43" t="s">
        <v>584</v>
      </c>
      <c r="J247" s="43"/>
      <c r="K247" s="193"/>
      <c r="L247" s="193"/>
      <c r="M247" s="307"/>
      <c r="N247" s="353"/>
    </row>
    <row r="248" spans="3:14" x14ac:dyDescent="0.2">
      <c r="C248" s="18">
        <v>25</v>
      </c>
      <c r="D248" s="69" t="s">
        <v>299</v>
      </c>
      <c r="E248" s="243" t="s">
        <v>49</v>
      </c>
      <c r="F248" s="243" t="s">
        <v>208</v>
      </c>
      <c r="G248" s="243" t="s">
        <v>419</v>
      </c>
      <c r="H248" s="352" t="s">
        <v>452</v>
      </c>
      <c r="I248" s="43" t="s">
        <v>584</v>
      </c>
      <c r="J248" s="43"/>
      <c r="K248" s="193"/>
      <c r="L248" s="193"/>
      <c r="M248" s="307"/>
      <c r="N248" s="354"/>
    </row>
    <row r="249" spans="3:14" x14ac:dyDescent="0.2">
      <c r="C249" s="18">
        <v>25</v>
      </c>
      <c r="D249" s="69" t="s">
        <v>299</v>
      </c>
      <c r="E249" s="243" t="s">
        <v>49</v>
      </c>
      <c r="F249" s="243" t="s">
        <v>209</v>
      </c>
      <c r="G249" s="243" t="s">
        <v>419</v>
      </c>
      <c r="H249" s="352" t="s">
        <v>452</v>
      </c>
      <c r="I249" s="43" t="s">
        <v>584</v>
      </c>
      <c r="J249" s="43"/>
      <c r="K249" s="193"/>
      <c r="L249" s="193"/>
      <c r="M249" s="307"/>
      <c r="N249" s="353"/>
    </row>
    <row r="250" spans="3:14" x14ac:dyDescent="0.2">
      <c r="C250" s="18">
        <v>25</v>
      </c>
      <c r="D250" s="69" t="s">
        <v>299</v>
      </c>
      <c r="E250" s="243" t="s">
        <v>49</v>
      </c>
      <c r="F250" s="243" t="s">
        <v>210</v>
      </c>
      <c r="G250" s="243" t="s">
        <v>419</v>
      </c>
      <c r="H250" s="244" t="s">
        <v>595</v>
      </c>
      <c r="I250" s="43" t="s">
        <v>584</v>
      </c>
      <c r="J250" s="43"/>
      <c r="K250" s="193"/>
      <c r="L250" s="193"/>
      <c r="M250" s="307"/>
      <c r="N250" s="353"/>
    </row>
    <row r="251" spans="3:14" x14ac:dyDescent="0.2">
      <c r="C251" s="18">
        <v>25</v>
      </c>
      <c r="D251" s="69" t="s">
        <v>299</v>
      </c>
      <c r="E251" s="243" t="s">
        <v>50</v>
      </c>
      <c r="F251" s="243" t="s">
        <v>207</v>
      </c>
      <c r="G251" s="243" t="s">
        <v>419</v>
      </c>
      <c r="H251" s="244" t="s">
        <v>452</v>
      </c>
      <c r="I251" s="43" t="s">
        <v>586</v>
      </c>
      <c r="J251" s="43"/>
      <c r="K251" s="193"/>
      <c r="L251" s="193"/>
      <c r="M251" s="307"/>
      <c r="N251" s="265"/>
    </row>
    <row r="252" spans="3:14" x14ac:dyDescent="0.2">
      <c r="C252" s="18">
        <v>25</v>
      </c>
      <c r="D252" s="69" t="s">
        <v>299</v>
      </c>
      <c r="E252" s="243" t="s">
        <v>50</v>
      </c>
      <c r="F252" s="243" t="s">
        <v>219</v>
      </c>
      <c r="G252" s="243" t="s">
        <v>419</v>
      </c>
      <c r="H252" s="244" t="s">
        <v>452</v>
      </c>
      <c r="I252" s="43" t="s">
        <v>586</v>
      </c>
      <c r="J252" s="43"/>
      <c r="K252" s="193"/>
      <c r="L252" s="193"/>
      <c r="M252" s="307"/>
      <c r="N252" s="265"/>
    </row>
    <row r="253" spans="3:14" x14ac:dyDescent="0.2">
      <c r="C253" s="18">
        <v>25</v>
      </c>
      <c r="D253" s="69" t="s">
        <v>299</v>
      </c>
      <c r="E253" s="243" t="s">
        <v>50</v>
      </c>
      <c r="F253" s="243" t="s">
        <v>208</v>
      </c>
      <c r="G253" s="243" t="s">
        <v>419</v>
      </c>
      <c r="H253" s="244" t="s">
        <v>452</v>
      </c>
      <c r="I253" s="43" t="s">
        <v>586</v>
      </c>
      <c r="J253" s="43"/>
      <c r="K253" s="193"/>
      <c r="L253" s="193"/>
      <c r="M253" s="307"/>
      <c r="N253" s="265"/>
    </row>
    <row r="254" spans="3:14" x14ac:dyDescent="0.2">
      <c r="C254" s="18">
        <v>25</v>
      </c>
      <c r="D254" s="69" t="s">
        <v>299</v>
      </c>
      <c r="E254" s="243" t="s">
        <v>50</v>
      </c>
      <c r="F254" s="243" t="s">
        <v>209</v>
      </c>
      <c r="G254" s="243" t="s">
        <v>419</v>
      </c>
      <c r="H254" s="244" t="s">
        <v>452</v>
      </c>
      <c r="I254" s="43" t="s">
        <v>586</v>
      </c>
      <c r="J254" s="43"/>
      <c r="K254" s="193"/>
      <c r="L254" s="193"/>
      <c r="M254" s="307"/>
      <c r="N254" s="311"/>
    </row>
    <row r="255" spans="3:14" x14ac:dyDescent="0.2">
      <c r="C255" s="18">
        <v>25</v>
      </c>
      <c r="D255" s="69" t="s">
        <v>299</v>
      </c>
      <c r="E255" s="243" t="s">
        <v>50</v>
      </c>
      <c r="F255" s="243" t="s">
        <v>210</v>
      </c>
      <c r="G255" s="243" t="s">
        <v>419</v>
      </c>
      <c r="H255" s="244" t="s">
        <v>595</v>
      </c>
      <c r="I255" s="43" t="s">
        <v>586</v>
      </c>
      <c r="J255" s="43"/>
      <c r="K255" s="193"/>
      <c r="L255" s="193"/>
      <c r="M255" s="307"/>
      <c r="N255" s="265"/>
    </row>
    <row r="256" spans="3:14" x14ac:dyDescent="0.2">
      <c r="C256" s="69">
        <v>25</v>
      </c>
      <c r="D256" s="69" t="s">
        <v>299</v>
      </c>
      <c r="E256" s="243" t="s">
        <v>52</v>
      </c>
      <c r="F256" s="243" t="s">
        <v>207</v>
      </c>
      <c r="G256" s="243" t="s">
        <v>419</v>
      </c>
      <c r="H256" s="244" t="s">
        <v>495</v>
      </c>
      <c r="I256" s="43" t="s">
        <v>590</v>
      </c>
      <c r="J256" s="43"/>
      <c r="K256" s="193"/>
      <c r="L256" s="193"/>
      <c r="M256" s="307"/>
      <c r="N256" s="265"/>
    </row>
    <row r="257" spans="3:14" x14ac:dyDescent="0.2">
      <c r="C257" s="69">
        <v>25</v>
      </c>
      <c r="D257" s="69" t="s">
        <v>299</v>
      </c>
      <c r="E257" s="243" t="s">
        <v>52</v>
      </c>
      <c r="F257" s="243" t="s">
        <v>219</v>
      </c>
      <c r="G257" s="243" t="s">
        <v>419</v>
      </c>
      <c r="H257" s="244" t="s">
        <v>495</v>
      </c>
      <c r="I257" s="43" t="s">
        <v>590</v>
      </c>
      <c r="J257" s="43"/>
      <c r="K257" s="193"/>
      <c r="L257" s="193"/>
      <c r="M257" s="307"/>
      <c r="N257" s="265"/>
    </row>
    <row r="258" spans="3:14" x14ac:dyDescent="0.2">
      <c r="C258" s="69">
        <v>25</v>
      </c>
      <c r="D258" s="69" t="s">
        <v>299</v>
      </c>
      <c r="E258" s="243" t="s">
        <v>52</v>
      </c>
      <c r="F258" s="243" t="s">
        <v>208</v>
      </c>
      <c r="G258" s="243" t="s">
        <v>419</v>
      </c>
      <c r="H258" s="244" t="s">
        <v>495</v>
      </c>
      <c r="I258" s="43" t="s">
        <v>588</v>
      </c>
      <c r="J258" s="43"/>
      <c r="K258" s="193"/>
      <c r="L258" s="193"/>
      <c r="M258" s="307"/>
      <c r="N258" s="265"/>
    </row>
    <row r="259" spans="3:14" x14ac:dyDescent="0.2">
      <c r="C259" s="69">
        <v>25</v>
      </c>
      <c r="D259" s="69" t="s">
        <v>299</v>
      </c>
      <c r="E259" s="243" t="s">
        <v>52</v>
      </c>
      <c r="F259" s="243" t="s">
        <v>209</v>
      </c>
      <c r="G259" s="243" t="s">
        <v>419</v>
      </c>
      <c r="H259" s="244" t="s">
        <v>495</v>
      </c>
      <c r="I259" s="43" t="s">
        <v>590</v>
      </c>
      <c r="J259" s="43"/>
      <c r="K259" s="193"/>
      <c r="L259" s="193"/>
      <c r="M259" s="307"/>
      <c r="N259" s="265"/>
    </row>
    <row r="260" spans="3:14" x14ac:dyDescent="0.2">
      <c r="C260" s="69">
        <v>25</v>
      </c>
      <c r="D260" s="69" t="s">
        <v>299</v>
      </c>
      <c r="E260" s="243" t="s">
        <v>52</v>
      </c>
      <c r="F260" s="243" t="s">
        <v>210</v>
      </c>
      <c r="G260" s="243" t="s">
        <v>419</v>
      </c>
      <c r="H260" s="244" t="s">
        <v>495</v>
      </c>
      <c r="I260" s="43" t="s">
        <v>590</v>
      </c>
      <c r="J260" s="43"/>
      <c r="K260" s="193"/>
      <c r="L260" s="193"/>
      <c r="M260" s="307"/>
      <c r="N260" s="265"/>
    </row>
    <row r="261" spans="3:14" x14ac:dyDescent="0.2">
      <c r="C261" s="69">
        <v>25</v>
      </c>
      <c r="D261" s="69" t="s">
        <v>299</v>
      </c>
      <c r="E261" s="243" t="s">
        <v>54</v>
      </c>
      <c r="F261" s="243" t="s">
        <v>207</v>
      </c>
      <c r="G261" s="243" t="s">
        <v>419</v>
      </c>
      <c r="H261" s="244" t="s">
        <v>452</v>
      </c>
      <c r="I261" s="43" t="s">
        <v>584</v>
      </c>
      <c r="J261" s="43"/>
      <c r="K261" s="193"/>
      <c r="L261" s="193"/>
      <c r="M261" s="307"/>
      <c r="N261" s="265"/>
    </row>
    <row r="262" spans="3:14" x14ac:dyDescent="0.2">
      <c r="C262" s="69">
        <v>25</v>
      </c>
      <c r="D262" s="69" t="s">
        <v>299</v>
      </c>
      <c r="E262" s="243" t="s">
        <v>54</v>
      </c>
      <c r="F262" s="243" t="s">
        <v>219</v>
      </c>
      <c r="G262" s="243" t="s">
        <v>419</v>
      </c>
      <c r="H262" s="244" t="s">
        <v>452</v>
      </c>
      <c r="I262" s="43" t="s">
        <v>584</v>
      </c>
      <c r="J262" s="43"/>
      <c r="K262" s="193"/>
      <c r="L262" s="193"/>
      <c r="M262" s="307"/>
      <c r="N262" s="265"/>
    </row>
    <row r="263" spans="3:14" x14ac:dyDescent="0.2">
      <c r="C263" s="69">
        <v>25</v>
      </c>
      <c r="D263" s="69" t="s">
        <v>299</v>
      </c>
      <c r="E263" s="243" t="s">
        <v>54</v>
      </c>
      <c r="F263" s="243" t="s">
        <v>208</v>
      </c>
      <c r="G263" s="243" t="s">
        <v>419</v>
      </c>
      <c r="H263" s="244" t="s">
        <v>452</v>
      </c>
      <c r="I263" s="43" t="s">
        <v>584</v>
      </c>
      <c r="J263" s="43"/>
      <c r="K263" s="193"/>
      <c r="L263" s="193"/>
      <c r="M263" s="307"/>
      <c r="N263" s="265"/>
    </row>
    <row r="264" spans="3:14" x14ac:dyDescent="0.2">
      <c r="C264" s="69">
        <v>25</v>
      </c>
      <c r="D264" s="69" t="s">
        <v>299</v>
      </c>
      <c r="E264" s="243" t="s">
        <v>54</v>
      </c>
      <c r="F264" s="243" t="s">
        <v>209</v>
      </c>
      <c r="G264" s="243" t="s">
        <v>419</v>
      </c>
      <c r="H264" s="244" t="s">
        <v>452</v>
      </c>
      <c r="I264" s="43" t="s">
        <v>584</v>
      </c>
      <c r="J264" s="43"/>
      <c r="K264" s="193"/>
      <c r="L264" s="193"/>
      <c r="M264" s="307"/>
      <c r="N264" s="265"/>
    </row>
    <row r="265" spans="3:14" x14ac:dyDescent="0.2">
      <c r="C265" s="69">
        <v>25</v>
      </c>
      <c r="D265" s="69" t="s">
        <v>299</v>
      </c>
      <c r="E265" s="243" t="s">
        <v>54</v>
      </c>
      <c r="F265" s="243" t="s">
        <v>210</v>
      </c>
      <c r="G265" s="243" t="s">
        <v>419</v>
      </c>
      <c r="H265" s="244" t="s">
        <v>452</v>
      </c>
      <c r="I265" s="43" t="s">
        <v>584</v>
      </c>
      <c r="J265" s="43"/>
      <c r="K265" s="193"/>
      <c r="L265" s="193"/>
      <c r="M265" s="307"/>
      <c r="N265" s="265"/>
    </row>
    <row r="266" spans="3:14" x14ac:dyDescent="0.2">
      <c r="C266" s="69">
        <v>26</v>
      </c>
      <c r="D266" s="69" t="s">
        <v>301</v>
      </c>
      <c r="E266" s="243" t="s">
        <v>57</v>
      </c>
      <c r="F266" s="243" t="s">
        <v>210</v>
      </c>
      <c r="G266" s="243" t="s">
        <v>419</v>
      </c>
      <c r="H266" s="244" t="s">
        <v>292</v>
      </c>
      <c r="I266" s="43" t="s">
        <v>590</v>
      </c>
      <c r="J266" s="43"/>
      <c r="K266" s="193"/>
      <c r="L266" s="193"/>
      <c r="M266" s="307"/>
      <c r="N266" s="265"/>
    </row>
    <row r="267" spans="3:14" x14ac:dyDescent="0.2">
      <c r="C267" s="69">
        <v>26</v>
      </c>
      <c r="D267" s="69" t="s">
        <v>301</v>
      </c>
      <c r="E267" s="243" t="s">
        <v>57</v>
      </c>
      <c r="F267" s="243" t="s">
        <v>209</v>
      </c>
      <c r="G267" s="243" t="s">
        <v>419</v>
      </c>
      <c r="H267" s="244" t="s">
        <v>292</v>
      </c>
      <c r="I267" s="43" t="s">
        <v>590</v>
      </c>
      <c r="J267" s="43"/>
      <c r="K267" s="193"/>
      <c r="L267" s="193"/>
      <c r="M267" s="307"/>
      <c r="N267" s="265"/>
    </row>
    <row r="268" spans="3:14" x14ac:dyDescent="0.2">
      <c r="C268" s="69">
        <v>26</v>
      </c>
      <c r="D268" s="69" t="s">
        <v>301</v>
      </c>
      <c r="E268" s="243" t="s">
        <v>57</v>
      </c>
      <c r="F268" s="243" t="s">
        <v>219</v>
      </c>
      <c r="G268" s="243" t="s">
        <v>419</v>
      </c>
      <c r="H268" s="244" t="s">
        <v>292</v>
      </c>
      <c r="I268" s="43" t="s">
        <v>590</v>
      </c>
      <c r="J268" s="43"/>
      <c r="K268" s="193"/>
      <c r="L268" s="193"/>
      <c r="M268" s="307"/>
      <c r="N268" s="265"/>
    </row>
    <row r="269" spans="3:14" x14ac:dyDescent="0.2">
      <c r="C269" s="69">
        <v>26</v>
      </c>
      <c r="D269" s="69" t="s">
        <v>301</v>
      </c>
      <c r="E269" s="243" t="s">
        <v>57</v>
      </c>
      <c r="F269" s="243" t="s">
        <v>208</v>
      </c>
      <c r="G269" s="243" t="s">
        <v>419</v>
      </c>
      <c r="H269" s="244" t="s">
        <v>292</v>
      </c>
      <c r="I269" s="43" t="s">
        <v>590</v>
      </c>
      <c r="J269" s="43"/>
      <c r="K269" s="193"/>
      <c r="L269" s="193"/>
      <c r="M269" s="307"/>
      <c r="N269" s="265"/>
    </row>
    <row r="270" spans="3:14" x14ac:dyDescent="0.2">
      <c r="C270" s="69">
        <v>26</v>
      </c>
      <c r="D270" s="69" t="s">
        <v>301</v>
      </c>
      <c r="E270" s="243" t="s">
        <v>57</v>
      </c>
      <c r="F270" s="243" t="s">
        <v>207</v>
      </c>
      <c r="G270" s="243" t="s">
        <v>419</v>
      </c>
      <c r="H270" s="244" t="s">
        <v>292</v>
      </c>
      <c r="I270" s="43" t="s">
        <v>590</v>
      </c>
      <c r="J270" s="43"/>
      <c r="K270" s="193"/>
      <c r="L270" s="193"/>
      <c r="M270" s="307"/>
      <c r="N270" s="265"/>
    </row>
    <row r="271" spans="3:14" x14ac:dyDescent="0.2">
      <c r="C271" s="18">
        <v>26</v>
      </c>
      <c r="D271" s="69" t="s">
        <v>301</v>
      </c>
      <c r="E271" s="243" t="s">
        <v>59</v>
      </c>
      <c r="F271" s="243" t="s">
        <v>210</v>
      </c>
      <c r="G271" s="243" t="s">
        <v>419</v>
      </c>
      <c r="H271" s="244" t="s">
        <v>460</v>
      </c>
      <c r="I271" s="43" t="s">
        <v>585</v>
      </c>
      <c r="J271" s="43"/>
      <c r="K271" s="193"/>
      <c r="L271" s="193"/>
      <c r="M271" s="307"/>
      <c r="N271" s="308"/>
    </row>
    <row r="272" spans="3:14" x14ac:dyDescent="0.2">
      <c r="C272" s="18">
        <v>26</v>
      </c>
      <c r="D272" s="69" t="s">
        <v>301</v>
      </c>
      <c r="E272" s="243" t="s">
        <v>59</v>
      </c>
      <c r="F272" s="243" t="s">
        <v>209</v>
      </c>
      <c r="G272" s="243" t="s">
        <v>419</v>
      </c>
      <c r="H272" s="244" t="s">
        <v>460</v>
      </c>
      <c r="I272" s="43" t="s">
        <v>585</v>
      </c>
      <c r="J272" s="43"/>
      <c r="K272" s="193"/>
      <c r="L272" s="193"/>
      <c r="M272" s="307"/>
      <c r="N272" s="265"/>
    </row>
    <row r="273" spans="3:14" x14ac:dyDescent="0.2">
      <c r="C273" s="18">
        <v>26</v>
      </c>
      <c r="D273" s="69" t="s">
        <v>301</v>
      </c>
      <c r="E273" s="243" t="s">
        <v>59</v>
      </c>
      <c r="F273" s="243" t="s">
        <v>219</v>
      </c>
      <c r="G273" s="243" t="s">
        <v>419</v>
      </c>
      <c r="H273" s="244" t="s">
        <v>460</v>
      </c>
      <c r="I273" s="43" t="s">
        <v>585</v>
      </c>
      <c r="J273" s="43"/>
      <c r="K273" s="193"/>
      <c r="L273" s="193"/>
      <c r="M273" s="307"/>
      <c r="N273" s="265"/>
    </row>
    <row r="274" spans="3:14" x14ac:dyDescent="0.2">
      <c r="C274" s="18">
        <v>26</v>
      </c>
      <c r="D274" s="69" t="s">
        <v>301</v>
      </c>
      <c r="E274" s="243" t="s">
        <v>59</v>
      </c>
      <c r="F274" s="243" t="s">
        <v>208</v>
      </c>
      <c r="G274" s="243" t="s">
        <v>419</v>
      </c>
      <c r="H274" s="244" t="s">
        <v>460</v>
      </c>
      <c r="I274" s="43" t="s">
        <v>585</v>
      </c>
      <c r="J274" s="43"/>
      <c r="K274" s="193"/>
      <c r="L274" s="193"/>
      <c r="M274" s="307"/>
      <c r="N274" s="266"/>
    </row>
    <row r="275" spans="3:14" x14ac:dyDescent="0.2">
      <c r="C275" s="18">
        <v>26</v>
      </c>
      <c r="D275" s="69" t="s">
        <v>301</v>
      </c>
      <c r="E275" s="243" t="s">
        <v>59</v>
      </c>
      <c r="F275" s="243" t="s">
        <v>207</v>
      </c>
      <c r="G275" s="243" t="s">
        <v>419</v>
      </c>
      <c r="H275" s="244" t="s">
        <v>460</v>
      </c>
      <c r="I275" s="43" t="s">
        <v>585</v>
      </c>
      <c r="J275" s="43"/>
      <c r="K275" s="193"/>
      <c r="L275" s="193"/>
      <c r="M275" s="307"/>
      <c r="N275" s="266"/>
    </row>
    <row r="276" spans="3:14" x14ac:dyDescent="0.2">
      <c r="C276" s="18">
        <v>26</v>
      </c>
      <c r="D276" s="69" t="s">
        <v>301</v>
      </c>
      <c r="E276" s="243" t="s">
        <v>60</v>
      </c>
      <c r="F276" s="243" t="s">
        <v>210</v>
      </c>
      <c r="G276" s="243" t="s">
        <v>419</v>
      </c>
      <c r="H276" s="246" t="s">
        <v>460</v>
      </c>
      <c r="I276" s="43" t="s">
        <v>585</v>
      </c>
      <c r="J276" s="43"/>
      <c r="K276" s="193"/>
      <c r="L276" s="193"/>
      <c r="M276" s="307"/>
      <c r="N276" s="265"/>
    </row>
    <row r="277" spans="3:14" x14ac:dyDescent="0.2">
      <c r="C277" s="18">
        <v>26</v>
      </c>
      <c r="D277" s="69" t="s">
        <v>301</v>
      </c>
      <c r="E277" s="243" t="s">
        <v>60</v>
      </c>
      <c r="F277" s="243" t="s">
        <v>209</v>
      </c>
      <c r="G277" s="243" t="s">
        <v>419</v>
      </c>
      <c r="H277" s="246" t="s">
        <v>460</v>
      </c>
      <c r="I277" s="43" t="s">
        <v>585</v>
      </c>
      <c r="J277" s="43"/>
      <c r="K277" s="193"/>
      <c r="L277" s="193"/>
      <c r="M277" s="307"/>
      <c r="N277" s="265"/>
    </row>
    <row r="278" spans="3:14" x14ac:dyDescent="0.2">
      <c r="C278" s="18">
        <v>26</v>
      </c>
      <c r="D278" s="69" t="s">
        <v>301</v>
      </c>
      <c r="E278" s="243" t="s">
        <v>60</v>
      </c>
      <c r="F278" s="243" t="s">
        <v>219</v>
      </c>
      <c r="G278" s="243" t="s">
        <v>419</v>
      </c>
      <c r="H278" s="246" t="s">
        <v>460</v>
      </c>
      <c r="I278" s="43" t="s">
        <v>585</v>
      </c>
      <c r="J278" s="43"/>
      <c r="K278" s="193"/>
      <c r="L278" s="193"/>
      <c r="M278" s="307"/>
      <c r="N278" s="265"/>
    </row>
    <row r="279" spans="3:14" x14ac:dyDescent="0.2">
      <c r="C279" s="18">
        <v>26</v>
      </c>
      <c r="D279" s="69" t="s">
        <v>301</v>
      </c>
      <c r="E279" s="243" t="s">
        <v>60</v>
      </c>
      <c r="F279" s="243" t="s">
        <v>208</v>
      </c>
      <c r="G279" s="243" t="s">
        <v>419</v>
      </c>
      <c r="H279" s="246" t="s">
        <v>460</v>
      </c>
      <c r="I279" s="43" t="s">
        <v>585</v>
      </c>
      <c r="J279" s="43"/>
      <c r="K279" s="193"/>
      <c r="L279" s="193"/>
      <c r="M279" s="307"/>
      <c r="N279" s="266"/>
    </row>
    <row r="280" spans="3:14" x14ac:dyDescent="0.2">
      <c r="C280" s="18">
        <v>26</v>
      </c>
      <c r="D280" s="69" t="s">
        <v>301</v>
      </c>
      <c r="E280" s="243" t="s">
        <v>60</v>
      </c>
      <c r="F280" s="243" t="s">
        <v>207</v>
      </c>
      <c r="G280" s="243" t="s">
        <v>419</v>
      </c>
      <c r="H280" s="244" t="s">
        <v>460</v>
      </c>
      <c r="I280" s="43" t="s">
        <v>585</v>
      </c>
      <c r="J280" s="43"/>
      <c r="K280" s="193"/>
      <c r="L280" s="193"/>
      <c r="M280" s="307"/>
      <c r="N280" s="266"/>
    </row>
    <row r="281" spans="3:14" x14ac:dyDescent="0.2">
      <c r="C281" s="69">
        <v>26</v>
      </c>
      <c r="D281" s="69" t="s">
        <v>301</v>
      </c>
      <c r="E281" s="243" t="s">
        <v>62</v>
      </c>
      <c r="F281" s="243" t="s">
        <v>210</v>
      </c>
      <c r="G281" s="243" t="s">
        <v>419</v>
      </c>
      <c r="H281" s="244" t="s">
        <v>292</v>
      </c>
      <c r="I281" s="43" t="s">
        <v>590</v>
      </c>
      <c r="J281" s="43"/>
      <c r="K281" s="193"/>
      <c r="L281" s="193"/>
      <c r="M281" s="307"/>
      <c r="N281" s="265"/>
    </row>
    <row r="282" spans="3:14" x14ac:dyDescent="0.2">
      <c r="C282" s="69">
        <v>26</v>
      </c>
      <c r="D282" s="69" t="s">
        <v>301</v>
      </c>
      <c r="E282" s="243" t="s">
        <v>62</v>
      </c>
      <c r="F282" s="243" t="s">
        <v>209</v>
      </c>
      <c r="G282" s="243" t="s">
        <v>419</v>
      </c>
      <c r="H282" s="244" t="s">
        <v>292</v>
      </c>
      <c r="I282" s="43" t="s">
        <v>590</v>
      </c>
      <c r="J282" s="43"/>
      <c r="K282" s="193"/>
      <c r="L282" s="193"/>
      <c r="M282" s="307"/>
      <c r="N282" s="265"/>
    </row>
    <row r="283" spans="3:14" x14ac:dyDescent="0.2">
      <c r="C283" s="69">
        <v>26</v>
      </c>
      <c r="D283" s="69" t="s">
        <v>301</v>
      </c>
      <c r="E283" s="243" t="s">
        <v>62</v>
      </c>
      <c r="F283" s="243" t="s">
        <v>219</v>
      </c>
      <c r="G283" s="243" t="s">
        <v>419</v>
      </c>
      <c r="H283" s="244" t="s">
        <v>292</v>
      </c>
      <c r="I283" s="43" t="s">
        <v>590</v>
      </c>
      <c r="J283" s="43"/>
      <c r="K283" s="193"/>
      <c r="L283" s="193"/>
      <c r="M283" s="307"/>
      <c r="N283" s="265"/>
    </row>
    <row r="284" spans="3:14" x14ac:dyDescent="0.2">
      <c r="C284" s="69">
        <v>26</v>
      </c>
      <c r="D284" s="69" t="s">
        <v>301</v>
      </c>
      <c r="E284" s="243" t="s">
        <v>62</v>
      </c>
      <c r="F284" s="243" t="s">
        <v>208</v>
      </c>
      <c r="G284" s="243" t="s">
        <v>419</v>
      </c>
      <c r="H284" s="244" t="s">
        <v>292</v>
      </c>
      <c r="I284" s="43" t="s">
        <v>590</v>
      </c>
      <c r="J284" s="43"/>
      <c r="K284" s="193"/>
      <c r="L284" s="193"/>
      <c r="M284" s="307"/>
      <c r="N284" s="265"/>
    </row>
    <row r="285" spans="3:14" x14ac:dyDescent="0.2">
      <c r="C285" s="69">
        <v>26</v>
      </c>
      <c r="D285" s="69" t="s">
        <v>301</v>
      </c>
      <c r="E285" s="243" t="s">
        <v>62</v>
      </c>
      <c r="F285" s="243" t="s">
        <v>207</v>
      </c>
      <c r="G285" s="243" t="s">
        <v>419</v>
      </c>
      <c r="H285" s="244" t="s">
        <v>292</v>
      </c>
      <c r="I285" s="43" t="s">
        <v>590</v>
      </c>
      <c r="J285" s="43"/>
      <c r="K285" s="193"/>
      <c r="L285" s="193"/>
      <c r="M285" s="307"/>
      <c r="N285" s="265"/>
    </row>
    <row r="286" spans="3:14" x14ac:dyDescent="0.2">
      <c r="C286" s="18">
        <v>26</v>
      </c>
      <c r="D286" s="69" t="s">
        <v>301</v>
      </c>
      <c r="E286" s="243" t="s">
        <v>64</v>
      </c>
      <c r="F286" s="243" t="s">
        <v>210</v>
      </c>
      <c r="G286" s="243" t="s">
        <v>419</v>
      </c>
      <c r="H286" s="244" t="s">
        <v>460</v>
      </c>
      <c r="I286" s="43" t="s">
        <v>585</v>
      </c>
      <c r="J286" s="43"/>
      <c r="K286" s="193"/>
      <c r="L286" s="193"/>
      <c r="M286" s="307"/>
      <c r="N286" s="265"/>
    </row>
    <row r="287" spans="3:14" x14ac:dyDescent="0.2">
      <c r="C287" s="18">
        <v>26</v>
      </c>
      <c r="D287" s="69" t="s">
        <v>301</v>
      </c>
      <c r="E287" s="243" t="s">
        <v>64</v>
      </c>
      <c r="F287" s="243" t="s">
        <v>209</v>
      </c>
      <c r="G287" s="243" t="s">
        <v>419</v>
      </c>
      <c r="H287" s="244" t="s">
        <v>460</v>
      </c>
      <c r="I287" s="43" t="s">
        <v>585</v>
      </c>
      <c r="J287" s="43"/>
      <c r="K287" s="193"/>
      <c r="L287" s="193"/>
      <c r="M287" s="307"/>
      <c r="N287" s="265"/>
    </row>
    <row r="288" spans="3:14" x14ac:dyDescent="0.2">
      <c r="C288" s="18">
        <v>26</v>
      </c>
      <c r="D288" s="69" t="s">
        <v>301</v>
      </c>
      <c r="E288" s="243" t="s">
        <v>64</v>
      </c>
      <c r="F288" s="243" t="s">
        <v>219</v>
      </c>
      <c r="G288" s="243" t="s">
        <v>419</v>
      </c>
      <c r="H288" s="244" t="s">
        <v>460</v>
      </c>
      <c r="I288" s="43" t="s">
        <v>585</v>
      </c>
      <c r="J288" s="43"/>
      <c r="K288" s="193"/>
      <c r="L288" s="193"/>
      <c r="M288" s="307"/>
      <c r="N288" s="265"/>
    </row>
    <row r="289" spans="3:14" x14ac:dyDescent="0.2">
      <c r="C289" s="18">
        <v>26</v>
      </c>
      <c r="D289" s="69" t="s">
        <v>301</v>
      </c>
      <c r="E289" s="243" t="s">
        <v>64</v>
      </c>
      <c r="F289" s="243" t="s">
        <v>208</v>
      </c>
      <c r="G289" s="243" t="s">
        <v>419</v>
      </c>
      <c r="H289" s="244" t="s">
        <v>460</v>
      </c>
      <c r="I289" s="43" t="s">
        <v>585</v>
      </c>
      <c r="J289" s="43"/>
      <c r="K289" s="193"/>
      <c r="L289" s="193"/>
      <c r="M289" s="307"/>
      <c r="N289" s="265"/>
    </row>
    <row r="290" spans="3:14" x14ac:dyDescent="0.2">
      <c r="C290" s="18">
        <v>26</v>
      </c>
      <c r="D290" s="69" t="s">
        <v>301</v>
      </c>
      <c r="E290" s="243" t="s">
        <v>64</v>
      </c>
      <c r="F290" s="243" t="s">
        <v>207</v>
      </c>
      <c r="G290" s="243" t="s">
        <v>419</v>
      </c>
      <c r="H290" s="244" t="s">
        <v>460</v>
      </c>
      <c r="I290" s="43" t="s">
        <v>585</v>
      </c>
      <c r="J290" s="43"/>
      <c r="K290" s="193"/>
      <c r="L290" s="193"/>
      <c r="M290" s="307"/>
      <c r="N290" s="265"/>
    </row>
    <row r="291" spans="3:14" x14ac:dyDescent="0.2">
      <c r="C291" s="69">
        <v>26</v>
      </c>
      <c r="D291" s="69" t="s">
        <v>301</v>
      </c>
      <c r="E291" s="243" t="s">
        <v>205</v>
      </c>
      <c r="F291" s="243" t="s">
        <v>210</v>
      </c>
      <c r="G291" s="243" t="s">
        <v>419</v>
      </c>
      <c r="H291" s="244" t="s">
        <v>292</v>
      </c>
      <c r="I291" s="43" t="s">
        <v>590</v>
      </c>
      <c r="J291" s="43"/>
      <c r="K291" s="193"/>
      <c r="L291" s="193"/>
      <c r="M291" s="307"/>
      <c r="N291" s="265"/>
    </row>
    <row r="292" spans="3:14" x14ac:dyDescent="0.2">
      <c r="C292" s="69">
        <v>26</v>
      </c>
      <c r="D292" s="69" t="s">
        <v>301</v>
      </c>
      <c r="E292" s="243" t="s">
        <v>205</v>
      </c>
      <c r="F292" s="243" t="s">
        <v>209</v>
      </c>
      <c r="G292" s="243" t="s">
        <v>419</v>
      </c>
      <c r="H292" s="244" t="s">
        <v>292</v>
      </c>
      <c r="I292" s="43" t="s">
        <v>590</v>
      </c>
      <c r="J292" s="43"/>
      <c r="K292" s="193"/>
      <c r="L292" s="193"/>
      <c r="M292" s="307"/>
      <c r="N292" s="265"/>
    </row>
    <row r="293" spans="3:14" x14ac:dyDescent="0.2">
      <c r="C293" s="69">
        <v>26</v>
      </c>
      <c r="D293" s="69" t="s">
        <v>301</v>
      </c>
      <c r="E293" s="243" t="s">
        <v>205</v>
      </c>
      <c r="F293" s="243" t="s">
        <v>219</v>
      </c>
      <c r="G293" s="243" t="s">
        <v>419</v>
      </c>
      <c r="H293" s="244" t="s">
        <v>292</v>
      </c>
      <c r="I293" s="43" t="s">
        <v>590</v>
      </c>
      <c r="J293" s="43"/>
      <c r="K293" s="193"/>
      <c r="L293" s="193"/>
      <c r="M293" s="307"/>
      <c r="N293" s="265"/>
    </row>
    <row r="294" spans="3:14" x14ac:dyDescent="0.2">
      <c r="C294" s="69">
        <v>26</v>
      </c>
      <c r="D294" s="69" t="s">
        <v>301</v>
      </c>
      <c r="E294" s="243" t="s">
        <v>205</v>
      </c>
      <c r="F294" s="243" t="s">
        <v>208</v>
      </c>
      <c r="G294" s="243" t="s">
        <v>419</v>
      </c>
      <c r="H294" s="244" t="s">
        <v>292</v>
      </c>
      <c r="I294" s="43" t="s">
        <v>590</v>
      </c>
      <c r="J294" s="43"/>
      <c r="K294" s="193"/>
      <c r="L294" s="193"/>
      <c r="M294" s="307"/>
      <c r="N294" s="265"/>
    </row>
    <row r="295" spans="3:14" x14ac:dyDescent="0.2">
      <c r="C295" s="69">
        <v>26</v>
      </c>
      <c r="D295" s="69" t="s">
        <v>301</v>
      </c>
      <c r="E295" s="243" t="s">
        <v>205</v>
      </c>
      <c r="F295" s="243" t="s">
        <v>207</v>
      </c>
      <c r="G295" s="243" t="s">
        <v>419</v>
      </c>
      <c r="H295" s="244" t="s">
        <v>292</v>
      </c>
      <c r="I295" s="43" t="s">
        <v>590</v>
      </c>
      <c r="J295" s="43"/>
      <c r="K295" s="193"/>
      <c r="L295" s="193"/>
      <c r="M295" s="307"/>
      <c r="N295" s="265"/>
    </row>
    <row r="296" spans="3:14" x14ac:dyDescent="0.2">
      <c r="C296" s="18">
        <v>26</v>
      </c>
      <c r="D296" s="69" t="s">
        <v>301</v>
      </c>
      <c r="E296" s="243" t="s">
        <v>66</v>
      </c>
      <c r="F296" s="243" t="s">
        <v>210</v>
      </c>
      <c r="G296" s="243" t="s">
        <v>419</v>
      </c>
      <c r="H296" s="244" t="s">
        <v>292</v>
      </c>
      <c r="I296" s="43" t="s">
        <v>587</v>
      </c>
      <c r="J296" s="43"/>
      <c r="K296" s="193"/>
      <c r="L296" s="193"/>
      <c r="M296" s="307"/>
      <c r="N296" s="265"/>
    </row>
    <row r="297" spans="3:14" x14ac:dyDescent="0.2">
      <c r="C297" s="18">
        <v>26</v>
      </c>
      <c r="D297" s="69" t="s">
        <v>301</v>
      </c>
      <c r="E297" s="243" t="s">
        <v>66</v>
      </c>
      <c r="F297" s="243" t="s">
        <v>209</v>
      </c>
      <c r="G297" s="243" t="s">
        <v>419</v>
      </c>
      <c r="H297" s="244" t="s">
        <v>292</v>
      </c>
      <c r="I297" s="43" t="s">
        <v>587</v>
      </c>
      <c r="J297" s="43"/>
      <c r="K297" s="193"/>
      <c r="L297" s="193"/>
      <c r="M297" s="307"/>
      <c r="N297" s="265"/>
    </row>
    <row r="298" spans="3:14" x14ac:dyDescent="0.2">
      <c r="C298" s="18">
        <v>26</v>
      </c>
      <c r="D298" s="69" t="s">
        <v>301</v>
      </c>
      <c r="E298" s="243" t="s">
        <v>66</v>
      </c>
      <c r="F298" s="243" t="s">
        <v>219</v>
      </c>
      <c r="G298" s="243" t="s">
        <v>419</v>
      </c>
      <c r="H298" s="244" t="s">
        <v>292</v>
      </c>
      <c r="I298" s="43" t="s">
        <v>587</v>
      </c>
      <c r="J298" s="43"/>
      <c r="K298" s="193"/>
      <c r="L298" s="193"/>
      <c r="M298" s="307"/>
      <c r="N298" s="265"/>
    </row>
    <row r="299" spans="3:14" x14ac:dyDescent="0.2">
      <c r="C299" s="18">
        <v>26</v>
      </c>
      <c r="D299" s="69" t="s">
        <v>301</v>
      </c>
      <c r="E299" s="243" t="s">
        <v>66</v>
      </c>
      <c r="F299" s="243" t="s">
        <v>208</v>
      </c>
      <c r="G299" s="243" t="s">
        <v>419</v>
      </c>
      <c r="H299" s="244" t="s">
        <v>292</v>
      </c>
      <c r="I299" s="43" t="s">
        <v>587</v>
      </c>
      <c r="J299" s="43"/>
      <c r="K299" s="193"/>
      <c r="L299" s="193"/>
      <c r="M299" s="307"/>
      <c r="N299" s="265"/>
    </row>
    <row r="300" spans="3:14" x14ac:dyDescent="0.2">
      <c r="C300" s="18">
        <v>26</v>
      </c>
      <c r="D300" s="69" t="s">
        <v>301</v>
      </c>
      <c r="E300" s="243" t="s">
        <v>66</v>
      </c>
      <c r="F300" s="243" t="s">
        <v>207</v>
      </c>
      <c r="G300" s="243" t="s">
        <v>419</v>
      </c>
      <c r="H300" s="244" t="s">
        <v>292</v>
      </c>
      <c r="I300" s="43" t="s">
        <v>587</v>
      </c>
      <c r="J300" s="43"/>
      <c r="K300" s="193"/>
      <c r="L300" s="193"/>
      <c r="M300" s="307"/>
      <c r="N300" s="265"/>
    </row>
    <row r="301" spans="3:14" x14ac:dyDescent="0.2">
      <c r="C301" s="18">
        <v>27</v>
      </c>
      <c r="D301" s="69" t="s">
        <v>302</v>
      </c>
      <c r="E301" s="243" t="s">
        <v>68</v>
      </c>
      <c r="F301" s="243" t="s">
        <v>210</v>
      </c>
      <c r="G301" s="243" t="s">
        <v>419</v>
      </c>
      <c r="H301" s="244" t="s">
        <v>496</v>
      </c>
      <c r="I301" s="43" t="s">
        <v>590</v>
      </c>
      <c r="J301" s="43"/>
      <c r="K301" s="193"/>
      <c r="L301" s="193"/>
      <c r="M301" s="307"/>
      <c r="N301" s="265"/>
    </row>
    <row r="302" spans="3:14" x14ac:dyDescent="0.2">
      <c r="C302" s="18">
        <v>27</v>
      </c>
      <c r="D302" s="69" t="s">
        <v>302</v>
      </c>
      <c r="E302" s="243" t="s">
        <v>68</v>
      </c>
      <c r="F302" s="243" t="s">
        <v>209</v>
      </c>
      <c r="G302" s="243" t="s">
        <v>419</v>
      </c>
      <c r="H302" s="244" t="s">
        <v>496</v>
      </c>
      <c r="I302" s="43" t="s">
        <v>590</v>
      </c>
      <c r="J302" s="43"/>
      <c r="K302" s="193"/>
      <c r="L302" s="193"/>
      <c r="M302" s="307"/>
      <c r="N302" s="265"/>
    </row>
    <row r="303" spans="3:14" x14ac:dyDescent="0.2">
      <c r="C303" s="18">
        <v>27</v>
      </c>
      <c r="D303" s="69" t="s">
        <v>302</v>
      </c>
      <c r="E303" s="243" t="s">
        <v>68</v>
      </c>
      <c r="F303" s="243" t="s">
        <v>219</v>
      </c>
      <c r="G303" s="243" t="s">
        <v>419</v>
      </c>
      <c r="H303" s="244" t="s">
        <v>496</v>
      </c>
      <c r="I303" s="43" t="s">
        <v>590</v>
      </c>
      <c r="J303" s="43"/>
      <c r="K303" s="193"/>
      <c r="L303" s="193"/>
      <c r="M303" s="307"/>
      <c r="N303" s="265"/>
    </row>
    <row r="304" spans="3:14" x14ac:dyDescent="0.2">
      <c r="C304" s="18">
        <v>27</v>
      </c>
      <c r="D304" s="69" t="s">
        <v>302</v>
      </c>
      <c r="E304" s="243" t="s">
        <v>68</v>
      </c>
      <c r="F304" s="243" t="s">
        <v>208</v>
      </c>
      <c r="G304" s="243" t="s">
        <v>419</v>
      </c>
      <c r="H304" s="244" t="s">
        <v>496</v>
      </c>
      <c r="I304" s="43" t="s">
        <v>590</v>
      </c>
      <c r="J304" s="43"/>
      <c r="K304" s="193"/>
      <c r="L304" s="193"/>
      <c r="M304" s="307"/>
      <c r="N304" s="265"/>
    </row>
    <row r="305" spans="3:14" x14ac:dyDescent="0.2">
      <c r="C305" s="18">
        <v>27</v>
      </c>
      <c r="D305" s="69" t="s">
        <v>302</v>
      </c>
      <c r="E305" s="243" t="s">
        <v>68</v>
      </c>
      <c r="F305" s="243" t="s">
        <v>207</v>
      </c>
      <c r="G305" s="243" t="s">
        <v>419</v>
      </c>
      <c r="H305" s="244" t="s">
        <v>496</v>
      </c>
      <c r="I305" s="43" t="s">
        <v>590</v>
      </c>
      <c r="J305" s="43"/>
      <c r="K305" s="193"/>
      <c r="L305" s="193"/>
      <c r="M305" s="307"/>
      <c r="N305" s="265"/>
    </row>
    <row r="306" spans="3:14" x14ac:dyDescent="0.2">
      <c r="C306" s="69">
        <v>27</v>
      </c>
      <c r="D306" s="69" t="s">
        <v>302</v>
      </c>
      <c r="E306" s="243" t="s">
        <v>70</v>
      </c>
      <c r="F306" s="243" t="s">
        <v>210</v>
      </c>
      <c r="G306" s="243" t="s">
        <v>419</v>
      </c>
      <c r="H306" s="244" t="s">
        <v>496</v>
      </c>
      <c r="I306" s="43" t="s">
        <v>583</v>
      </c>
      <c r="J306" s="43"/>
      <c r="K306" s="193"/>
      <c r="L306" s="193"/>
      <c r="M306" s="307"/>
      <c r="N306" s="265"/>
    </row>
    <row r="307" spans="3:14" x14ac:dyDescent="0.2">
      <c r="C307" s="69">
        <v>27</v>
      </c>
      <c r="D307" s="69" t="s">
        <v>302</v>
      </c>
      <c r="E307" s="243" t="s">
        <v>70</v>
      </c>
      <c r="F307" s="243" t="s">
        <v>209</v>
      </c>
      <c r="G307" s="243" t="s">
        <v>419</v>
      </c>
      <c r="H307" s="244" t="s">
        <v>496</v>
      </c>
      <c r="I307" s="43" t="s">
        <v>583</v>
      </c>
      <c r="J307" s="43"/>
      <c r="K307" s="193"/>
      <c r="L307" s="193"/>
      <c r="M307" s="307"/>
      <c r="N307" s="265"/>
    </row>
    <row r="308" spans="3:14" x14ac:dyDescent="0.2">
      <c r="C308" s="69">
        <v>27</v>
      </c>
      <c r="D308" s="69" t="s">
        <v>302</v>
      </c>
      <c r="E308" s="243" t="s">
        <v>70</v>
      </c>
      <c r="F308" s="243" t="s">
        <v>219</v>
      </c>
      <c r="G308" s="243" t="s">
        <v>419</v>
      </c>
      <c r="H308" s="244" t="s">
        <v>496</v>
      </c>
      <c r="I308" s="43" t="s">
        <v>583</v>
      </c>
      <c r="J308" s="43"/>
      <c r="K308" s="193"/>
      <c r="L308" s="193"/>
      <c r="M308" s="307"/>
      <c r="N308" s="265"/>
    </row>
    <row r="309" spans="3:14" x14ac:dyDescent="0.2">
      <c r="C309" s="69">
        <v>27</v>
      </c>
      <c r="D309" s="69" t="s">
        <v>302</v>
      </c>
      <c r="E309" s="243" t="s">
        <v>70</v>
      </c>
      <c r="F309" s="243" t="s">
        <v>208</v>
      </c>
      <c r="G309" s="243" t="s">
        <v>419</v>
      </c>
      <c r="H309" s="244" t="s">
        <v>496</v>
      </c>
      <c r="I309" s="43" t="s">
        <v>583</v>
      </c>
      <c r="J309" s="43"/>
      <c r="K309" s="193"/>
      <c r="L309" s="193"/>
      <c r="M309" s="307"/>
      <c r="N309" s="265"/>
    </row>
    <row r="310" spans="3:14" x14ac:dyDescent="0.2">
      <c r="C310" s="69">
        <v>27</v>
      </c>
      <c r="D310" s="69" t="s">
        <v>302</v>
      </c>
      <c r="E310" s="243" t="s">
        <v>70</v>
      </c>
      <c r="F310" s="243" t="s">
        <v>207</v>
      </c>
      <c r="G310" s="243" t="s">
        <v>419</v>
      </c>
      <c r="H310" s="244" t="s">
        <v>496</v>
      </c>
      <c r="I310" s="43" t="s">
        <v>583</v>
      </c>
      <c r="J310" s="43"/>
      <c r="K310" s="193"/>
      <c r="L310" s="193"/>
      <c r="M310" s="307"/>
      <c r="N310" s="265"/>
    </row>
  </sheetData>
  <autoFilter ref="C5:N310" xr:uid="{00000000-0009-0000-0000-000003000000}"/>
  <sortState xmlns:xlrd2="http://schemas.microsoft.com/office/spreadsheetml/2017/richdata2" ref="C6:N310">
    <sortCondition ref="C6:C310"/>
    <sortCondition ref="D6:D310"/>
    <sortCondition ref="E6:E310"/>
  </sortState>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09A5E-5322-4645-BA44-AB8CB0D85C72}">
  <dimension ref="A2:W33"/>
  <sheetViews>
    <sheetView workbookViewId="0">
      <pane ySplit="5" topLeftCell="A6" activePane="bottomLeft" state="frozen"/>
      <selection pane="bottomLeft" activeCell="A6" sqref="A6"/>
    </sheetView>
  </sheetViews>
  <sheetFormatPr defaultColWidth="9.140625" defaultRowHeight="15" x14ac:dyDescent="0.25"/>
  <cols>
    <col min="1" max="1" width="9.7109375" style="514" bestFit="1" customWidth="1"/>
    <col min="2" max="3" width="7.42578125" style="515" customWidth="1"/>
    <col min="4" max="4" width="3.140625" style="515" customWidth="1"/>
    <col min="5" max="6" width="7.42578125" style="515" customWidth="1"/>
    <col min="7" max="7" width="2.42578125" style="515" customWidth="1"/>
    <col min="8" max="10" width="7.42578125" style="515" customWidth="1"/>
    <col min="11" max="11" width="1.5703125" style="515" customWidth="1"/>
    <col min="12" max="18" width="7.42578125" style="515" customWidth="1"/>
    <col min="19" max="19" width="2.85546875" style="515" customWidth="1"/>
    <col min="20" max="22" width="7.42578125" style="515" customWidth="1"/>
    <col min="23" max="23" width="52.42578125" style="514" customWidth="1"/>
    <col min="24" max="16384" width="9.140625" style="514"/>
  </cols>
  <sheetData>
    <row r="2" spans="1:23" x14ac:dyDescent="0.25">
      <c r="A2" s="547" t="s">
        <v>693</v>
      </c>
    </row>
    <row r="4" spans="1:23" x14ac:dyDescent="0.25">
      <c r="A4" s="541"/>
      <c r="B4" s="546" t="s">
        <v>573</v>
      </c>
      <c r="C4" s="546"/>
      <c r="D4" s="536"/>
      <c r="E4" s="545" t="s">
        <v>682</v>
      </c>
      <c r="F4" s="545"/>
      <c r="G4" s="536"/>
      <c r="H4" s="544" t="s">
        <v>574</v>
      </c>
      <c r="I4" s="544"/>
      <c r="J4" s="544"/>
      <c r="K4" s="536"/>
      <c r="L4" s="543" t="s">
        <v>575</v>
      </c>
      <c r="M4" s="543"/>
      <c r="N4" s="543"/>
      <c r="O4" s="543"/>
      <c r="P4" s="543"/>
      <c r="Q4" s="543"/>
      <c r="R4" s="543"/>
      <c r="S4" s="536"/>
      <c r="T4" s="542" t="s">
        <v>576</v>
      </c>
      <c r="U4" s="542"/>
      <c r="V4" s="542"/>
      <c r="W4" s="541"/>
    </row>
    <row r="5" spans="1:23" x14ac:dyDescent="0.25">
      <c r="A5" s="541"/>
      <c r="B5" s="540" t="s">
        <v>577</v>
      </c>
      <c r="C5" s="540" t="s">
        <v>578</v>
      </c>
      <c r="D5" s="536"/>
      <c r="E5" s="539" t="s">
        <v>577</v>
      </c>
      <c r="F5" s="539" t="s">
        <v>578</v>
      </c>
      <c r="G5" s="536"/>
      <c r="H5" s="538" t="s">
        <v>244</v>
      </c>
      <c r="I5" s="538" t="s">
        <v>577</v>
      </c>
      <c r="J5" s="538" t="s">
        <v>578</v>
      </c>
      <c r="K5" s="536"/>
      <c r="L5" s="537" t="s">
        <v>244</v>
      </c>
      <c r="M5" s="537" t="s">
        <v>579</v>
      </c>
      <c r="N5" s="537" t="s">
        <v>580</v>
      </c>
      <c r="O5" s="537" t="s">
        <v>245</v>
      </c>
      <c r="P5" s="537" t="s">
        <v>577</v>
      </c>
      <c r="Q5" s="537" t="s">
        <v>578</v>
      </c>
      <c r="R5" s="537" t="s">
        <v>581</v>
      </c>
      <c r="S5" s="536"/>
      <c r="T5" s="535" t="s">
        <v>577</v>
      </c>
      <c r="U5" s="535" t="s">
        <v>578</v>
      </c>
      <c r="V5" s="535" t="s">
        <v>681</v>
      </c>
      <c r="W5" s="534" t="s">
        <v>561</v>
      </c>
    </row>
    <row r="6" spans="1:23" x14ac:dyDescent="0.25">
      <c r="A6" s="533">
        <v>44828</v>
      </c>
      <c r="B6" s="540"/>
      <c r="C6" s="540"/>
      <c r="D6" s="536"/>
      <c r="E6" s="539"/>
      <c r="F6" s="539"/>
      <c r="G6" s="536"/>
      <c r="H6" s="538"/>
      <c r="I6" s="538"/>
      <c r="J6" s="538"/>
      <c r="K6" s="536"/>
      <c r="L6" s="537"/>
      <c r="M6" s="537"/>
      <c r="N6" s="537"/>
      <c r="O6" s="537"/>
      <c r="P6" s="537"/>
      <c r="Q6" s="537"/>
      <c r="R6" s="537"/>
      <c r="S6" s="536"/>
      <c r="T6" s="535"/>
      <c r="U6" s="535"/>
      <c r="V6" s="535"/>
      <c r="W6" s="534"/>
    </row>
    <row r="7" spans="1:23" x14ac:dyDescent="0.25">
      <c r="A7" s="533">
        <v>44830</v>
      </c>
      <c r="B7" s="540"/>
      <c r="C7" s="540"/>
      <c r="D7" s="536"/>
      <c r="E7" s="539"/>
      <c r="F7" s="539"/>
      <c r="G7" s="536"/>
      <c r="H7" s="538"/>
      <c r="I7" s="538"/>
      <c r="J7" s="538"/>
      <c r="K7" s="536"/>
      <c r="L7" s="537"/>
      <c r="M7" s="537"/>
      <c r="N7" s="537"/>
      <c r="O7" s="537"/>
      <c r="P7" s="537"/>
      <c r="Q7" s="537"/>
      <c r="R7" s="537"/>
      <c r="S7" s="536"/>
      <c r="T7" s="535"/>
      <c r="U7" s="535"/>
      <c r="V7" s="535"/>
      <c r="W7" s="534"/>
    </row>
    <row r="8" spans="1:23" x14ac:dyDescent="0.25">
      <c r="A8" s="533">
        <v>44832</v>
      </c>
      <c r="B8" s="540"/>
      <c r="C8" s="540"/>
      <c r="D8" s="536"/>
      <c r="E8" s="539"/>
      <c r="F8" s="539"/>
      <c r="G8" s="536"/>
      <c r="H8" s="538"/>
      <c r="I8" s="538"/>
      <c r="J8" s="538"/>
      <c r="K8" s="536"/>
      <c r="L8" s="537"/>
      <c r="M8" s="537"/>
      <c r="N8" s="537"/>
      <c r="O8" s="537"/>
      <c r="P8" s="537"/>
      <c r="Q8" s="537"/>
      <c r="R8" s="537"/>
      <c r="S8" s="536"/>
      <c r="T8" s="535"/>
      <c r="U8" s="535"/>
      <c r="V8" s="535"/>
      <c r="W8" s="534"/>
    </row>
    <row r="9" spans="1:23" x14ac:dyDescent="0.25">
      <c r="A9" s="533">
        <v>44834</v>
      </c>
      <c r="B9" s="540"/>
      <c r="C9" s="540"/>
      <c r="D9" s="536"/>
      <c r="E9" s="539"/>
      <c r="F9" s="539"/>
      <c r="G9" s="536"/>
      <c r="H9" s="538"/>
      <c r="I9" s="538"/>
      <c r="J9" s="538"/>
      <c r="K9" s="536"/>
      <c r="L9" s="537"/>
      <c r="M9" s="537"/>
      <c r="N9" s="537"/>
      <c r="O9" s="537"/>
      <c r="P9" s="537"/>
      <c r="Q9" s="537"/>
      <c r="R9" s="537"/>
      <c r="S9" s="536"/>
      <c r="T9" s="535"/>
      <c r="U9" s="535"/>
      <c r="V9" s="535"/>
      <c r="W9" s="534"/>
    </row>
    <row r="10" spans="1:23" x14ac:dyDescent="0.25">
      <c r="A10" s="533">
        <v>44836</v>
      </c>
      <c r="B10" s="540"/>
      <c r="C10" s="540"/>
      <c r="D10" s="536"/>
      <c r="E10" s="539"/>
      <c r="F10" s="539"/>
      <c r="G10" s="536"/>
      <c r="H10" s="538"/>
      <c r="I10" s="538"/>
      <c r="J10" s="538"/>
      <c r="K10" s="536"/>
      <c r="L10" s="537"/>
      <c r="M10" s="537"/>
      <c r="N10" s="537"/>
      <c r="O10" s="537"/>
      <c r="P10" s="537"/>
      <c r="Q10" s="537"/>
      <c r="R10" s="537"/>
      <c r="S10" s="536"/>
      <c r="T10" s="535"/>
      <c r="U10" s="535"/>
      <c r="V10" s="535"/>
      <c r="W10" s="534"/>
    </row>
    <row r="11" spans="1:23" x14ac:dyDescent="0.25">
      <c r="A11" s="533">
        <v>44837</v>
      </c>
      <c r="B11" s="540"/>
      <c r="C11" s="540"/>
      <c r="D11" s="536"/>
      <c r="E11" s="539"/>
      <c r="F11" s="539"/>
      <c r="G11" s="536"/>
      <c r="H11" s="538"/>
      <c r="I11" s="538"/>
      <c r="J11" s="538"/>
      <c r="K11" s="536"/>
      <c r="L11" s="537"/>
      <c r="M11" s="537"/>
      <c r="N11" s="537"/>
      <c r="O11" s="537"/>
      <c r="P11" s="537"/>
      <c r="Q11" s="537"/>
      <c r="R11" s="537"/>
      <c r="S11" s="536"/>
      <c r="T11" s="535"/>
      <c r="U11" s="535"/>
      <c r="V11" s="535"/>
      <c r="W11" s="534"/>
    </row>
    <row r="12" spans="1:23" x14ac:dyDescent="0.25">
      <c r="A12" s="533">
        <v>44838</v>
      </c>
      <c r="B12" s="540"/>
      <c r="C12" s="540"/>
      <c r="D12" s="536"/>
      <c r="E12" s="539"/>
      <c r="F12" s="539"/>
      <c r="G12" s="536"/>
      <c r="H12" s="538"/>
      <c r="I12" s="538"/>
      <c r="J12" s="538"/>
      <c r="K12" s="536"/>
      <c r="L12" s="537"/>
      <c r="M12" s="537"/>
      <c r="N12" s="537"/>
      <c r="O12" s="537"/>
      <c r="P12" s="537"/>
      <c r="Q12" s="537"/>
      <c r="R12" s="537"/>
      <c r="S12" s="536"/>
      <c r="T12" s="535"/>
      <c r="U12" s="535"/>
      <c r="V12" s="535"/>
      <c r="W12" s="534"/>
    </row>
    <row r="13" spans="1:23" x14ac:dyDescent="0.25">
      <c r="A13" s="533">
        <v>44839</v>
      </c>
      <c r="B13" s="540"/>
      <c r="C13" s="540"/>
      <c r="D13" s="536"/>
      <c r="E13" s="539"/>
      <c r="F13" s="539"/>
      <c r="G13" s="536"/>
      <c r="H13" s="538"/>
      <c r="I13" s="538"/>
      <c r="J13" s="538"/>
      <c r="K13" s="536"/>
      <c r="L13" s="537"/>
      <c r="M13" s="537"/>
      <c r="N13" s="537"/>
      <c r="O13" s="537"/>
      <c r="P13" s="537"/>
      <c r="Q13" s="537"/>
      <c r="R13" s="537"/>
      <c r="S13" s="536"/>
      <c r="T13" s="535"/>
      <c r="U13" s="535"/>
      <c r="V13" s="535"/>
      <c r="W13" s="534"/>
    </row>
    <row r="14" spans="1:23" x14ac:dyDescent="0.25">
      <c r="A14" s="533">
        <v>44840</v>
      </c>
      <c r="B14" s="540"/>
      <c r="C14" s="540"/>
      <c r="D14" s="536"/>
      <c r="E14" s="539"/>
      <c r="F14" s="539"/>
      <c r="G14" s="536"/>
      <c r="H14" s="538"/>
      <c r="I14" s="538"/>
      <c r="J14" s="538"/>
      <c r="K14" s="536"/>
      <c r="L14" s="537"/>
      <c r="M14" s="537"/>
      <c r="N14" s="537"/>
      <c r="O14" s="537"/>
      <c r="P14" s="537"/>
      <c r="Q14" s="537"/>
      <c r="R14" s="537"/>
      <c r="S14" s="536"/>
      <c r="T14" s="535"/>
      <c r="U14" s="535"/>
      <c r="V14" s="535"/>
      <c r="W14" s="534"/>
    </row>
    <row r="15" spans="1:23" ht="15.75" x14ac:dyDescent="0.25">
      <c r="A15" s="533">
        <v>44841</v>
      </c>
      <c r="B15" s="532"/>
      <c r="C15" s="531"/>
      <c r="D15" s="530"/>
      <c r="E15" s="529"/>
      <c r="F15" s="529"/>
      <c r="H15" s="528"/>
      <c r="I15" s="528"/>
      <c r="J15" s="528"/>
      <c r="L15" s="527"/>
      <c r="M15" s="527"/>
      <c r="N15" s="527"/>
      <c r="O15" s="527"/>
      <c r="P15" s="527"/>
      <c r="Q15" s="527"/>
      <c r="R15" s="527"/>
      <c r="T15" s="526"/>
      <c r="U15" s="526"/>
      <c r="V15" s="526"/>
      <c r="W15" s="517"/>
    </row>
    <row r="16" spans="1:23" ht="15.75" x14ac:dyDescent="0.25">
      <c r="A16" s="533">
        <v>44842</v>
      </c>
      <c r="B16" s="532"/>
      <c r="C16" s="531"/>
      <c r="D16" s="530"/>
      <c r="E16" s="529"/>
      <c r="F16" s="529"/>
      <c r="H16" s="528"/>
      <c r="I16" s="528"/>
      <c r="J16" s="528"/>
      <c r="L16" s="527"/>
      <c r="M16" s="527"/>
      <c r="N16" s="527"/>
      <c r="O16" s="527"/>
      <c r="P16" s="527"/>
      <c r="Q16" s="527"/>
      <c r="R16" s="527"/>
      <c r="T16" s="526"/>
      <c r="U16" s="526"/>
      <c r="V16" s="526"/>
      <c r="W16" s="517"/>
    </row>
    <row r="17" spans="1:23" ht="15.75" x14ac:dyDescent="0.25">
      <c r="A17" s="533">
        <v>44844</v>
      </c>
      <c r="B17" s="532"/>
      <c r="C17" s="531"/>
      <c r="D17" s="530"/>
      <c r="E17" s="529"/>
      <c r="F17" s="529"/>
      <c r="H17" s="528"/>
      <c r="I17" s="528"/>
      <c r="J17" s="528"/>
      <c r="L17" s="527"/>
      <c r="M17" s="527"/>
      <c r="N17" s="527"/>
      <c r="O17" s="527"/>
      <c r="P17" s="527"/>
      <c r="Q17" s="527"/>
      <c r="R17" s="527"/>
      <c r="T17" s="526"/>
      <c r="U17" s="526"/>
      <c r="V17" s="526"/>
      <c r="W17" s="517"/>
    </row>
    <row r="18" spans="1:23" ht="15.75" x14ac:dyDescent="0.25">
      <c r="A18" s="533"/>
      <c r="B18" s="532"/>
      <c r="C18" s="531"/>
      <c r="D18" s="530"/>
      <c r="E18" s="529"/>
      <c r="F18" s="529"/>
      <c r="H18" s="528"/>
      <c r="I18" s="528"/>
      <c r="J18" s="528"/>
      <c r="L18" s="527"/>
      <c r="M18" s="527"/>
      <c r="N18" s="527"/>
      <c r="O18" s="527"/>
      <c r="P18" s="527"/>
      <c r="Q18" s="527"/>
      <c r="R18" s="527"/>
      <c r="T18" s="526"/>
      <c r="U18" s="526"/>
      <c r="V18" s="526"/>
      <c r="W18" s="517"/>
    </row>
    <row r="19" spans="1:23" ht="15.75" x14ac:dyDescent="0.25">
      <c r="A19" s="533"/>
      <c r="B19" s="532"/>
      <c r="C19" s="531"/>
      <c r="D19" s="530"/>
      <c r="E19" s="529"/>
      <c r="F19" s="529"/>
      <c r="H19" s="528"/>
      <c r="I19" s="528"/>
      <c r="J19" s="528"/>
      <c r="L19" s="527"/>
      <c r="M19" s="527"/>
      <c r="N19" s="527"/>
      <c r="O19" s="527"/>
      <c r="P19" s="527"/>
      <c r="Q19" s="527"/>
      <c r="R19" s="527"/>
      <c r="T19" s="526"/>
      <c r="U19" s="526"/>
      <c r="V19" s="526"/>
      <c r="W19" s="517"/>
    </row>
    <row r="20" spans="1:23" ht="15.75" x14ac:dyDescent="0.25">
      <c r="A20" s="533"/>
      <c r="B20" s="532"/>
      <c r="C20" s="531"/>
      <c r="D20" s="530"/>
      <c r="E20" s="529"/>
      <c r="F20" s="529"/>
      <c r="H20" s="528"/>
      <c r="I20" s="528"/>
      <c r="J20" s="528"/>
      <c r="L20" s="527"/>
      <c r="M20" s="527"/>
      <c r="N20" s="527"/>
      <c r="O20" s="527"/>
      <c r="P20" s="527"/>
      <c r="Q20" s="527"/>
      <c r="R20" s="527"/>
      <c r="T20" s="526"/>
      <c r="U20" s="526"/>
      <c r="V20" s="526"/>
      <c r="W20" s="517"/>
    </row>
    <row r="21" spans="1:23" ht="15.75" x14ac:dyDescent="0.25">
      <c r="A21" s="533"/>
      <c r="B21" s="532"/>
      <c r="C21" s="531"/>
      <c r="D21" s="530"/>
      <c r="E21" s="529"/>
      <c r="F21" s="529"/>
      <c r="H21" s="528"/>
      <c r="I21" s="528"/>
      <c r="J21" s="528"/>
      <c r="L21" s="527"/>
      <c r="M21" s="527"/>
      <c r="N21" s="527"/>
      <c r="O21" s="527"/>
      <c r="P21" s="527"/>
      <c r="Q21" s="527"/>
      <c r="R21" s="527"/>
      <c r="T21" s="526"/>
      <c r="U21" s="526"/>
      <c r="V21" s="526"/>
      <c r="W21" s="517"/>
    </row>
    <row r="22" spans="1:23" ht="15.75" x14ac:dyDescent="0.25">
      <c r="A22" s="533"/>
      <c r="B22" s="532"/>
      <c r="C22" s="531"/>
      <c r="D22" s="530"/>
      <c r="E22" s="529"/>
      <c r="F22" s="529"/>
      <c r="H22" s="528"/>
      <c r="I22" s="528"/>
      <c r="J22" s="528"/>
      <c r="L22" s="527"/>
      <c r="M22" s="527"/>
      <c r="N22" s="527"/>
      <c r="O22" s="527"/>
      <c r="P22" s="527"/>
      <c r="Q22" s="527"/>
      <c r="R22" s="527"/>
      <c r="T22" s="526"/>
      <c r="U22" s="526"/>
      <c r="V22" s="526"/>
      <c r="W22" s="517"/>
    </row>
    <row r="23" spans="1:23" ht="15.75" x14ac:dyDescent="0.25">
      <c r="A23" s="533"/>
      <c r="B23" s="532"/>
      <c r="C23" s="531"/>
      <c r="D23" s="530"/>
      <c r="E23" s="529"/>
      <c r="F23" s="529"/>
      <c r="H23" s="528"/>
      <c r="I23" s="528"/>
      <c r="J23" s="528"/>
      <c r="L23" s="527"/>
      <c r="M23" s="527"/>
      <c r="N23" s="527"/>
      <c r="O23" s="527"/>
      <c r="P23" s="527"/>
      <c r="Q23" s="527"/>
      <c r="R23" s="527"/>
      <c r="T23" s="526"/>
      <c r="U23" s="526"/>
      <c r="V23" s="526"/>
      <c r="W23" s="517"/>
    </row>
    <row r="24" spans="1:23" ht="15.75" x14ac:dyDescent="0.25">
      <c r="A24" s="533"/>
      <c r="B24" s="532"/>
      <c r="C24" s="531"/>
      <c r="D24" s="530"/>
      <c r="E24" s="529"/>
      <c r="F24" s="529"/>
      <c r="H24" s="528"/>
      <c r="I24" s="528"/>
      <c r="J24" s="528"/>
      <c r="L24" s="527"/>
      <c r="M24" s="527"/>
      <c r="N24" s="527"/>
      <c r="O24" s="527"/>
      <c r="P24" s="527"/>
      <c r="Q24" s="527"/>
      <c r="R24" s="527"/>
      <c r="T24" s="526"/>
      <c r="U24" s="526"/>
      <c r="V24" s="526"/>
      <c r="W24" s="517"/>
    </row>
    <row r="25" spans="1:23" ht="15.75" x14ac:dyDescent="0.25">
      <c r="A25" s="533"/>
      <c r="B25" s="532"/>
      <c r="C25" s="531"/>
      <c r="D25" s="530"/>
      <c r="E25" s="529"/>
      <c r="F25" s="529"/>
      <c r="H25" s="528"/>
      <c r="I25" s="528"/>
      <c r="J25" s="528"/>
      <c r="L25" s="527"/>
      <c r="M25" s="527"/>
      <c r="N25" s="527"/>
      <c r="O25" s="527"/>
      <c r="P25" s="527"/>
      <c r="Q25" s="527"/>
      <c r="R25" s="527"/>
      <c r="T25" s="526"/>
      <c r="U25" s="526"/>
      <c r="V25" s="526"/>
      <c r="W25" s="517"/>
    </row>
    <row r="26" spans="1:23" ht="15.75" x14ac:dyDescent="0.25">
      <c r="A26" s="533"/>
      <c r="B26" s="532"/>
      <c r="C26" s="531"/>
      <c r="D26" s="530"/>
      <c r="E26" s="529"/>
      <c r="F26" s="529"/>
      <c r="H26" s="528"/>
      <c r="I26" s="528"/>
      <c r="J26" s="528"/>
      <c r="L26" s="527"/>
      <c r="M26" s="527"/>
      <c r="N26" s="527"/>
      <c r="O26" s="527"/>
      <c r="P26" s="527"/>
      <c r="Q26" s="527"/>
      <c r="R26" s="527"/>
      <c r="T26" s="526"/>
      <c r="U26" s="526"/>
      <c r="V26" s="526"/>
      <c r="W26" s="517"/>
    </row>
    <row r="27" spans="1:23" ht="15.75" x14ac:dyDescent="0.25">
      <c r="A27" s="533"/>
      <c r="B27" s="532"/>
      <c r="C27" s="531"/>
      <c r="D27" s="530"/>
      <c r="E27" s="529"/>
      <c r="F27" s="529"/>
      <c r="H27" s="528"/>
      <c r="I27" s="528"/>
      <c r="J27" s="528"/>
      <c r="L27" s="527"/>
      <c r="M27" s="527"/>
      <c r="N27" s="527"/>
      <c r="O27" s="527"/>
      <c r="P27" s="527"/>
      <c r="Q27" s="527"/>
      <c r="R27" s="527"/>
      <c r="T27" s="526"/>
      <c r="U27" s="526"/>
      <c r="V27" s="526"/>
      <c r="W27" s="517"/>
    </row>
    <row r="28" spans="1:23" ht="16.5" thickBot="1" x14ac:dyDescent="0.3">
      <c r="B28" s="525">
        <f>SUM(B6:B27)</f>
        <v>0</v>
      </c>
      <c r="C28" s="524">
        <f>SUM(C6:C27)</f>
        <v>0</v>
      </c>
      <c r="D28" s="523" t="s">
        <v>680</v>
      </c>
      <c r="E28" s="522">
        <f>SUM(E6:E27)</f>
        <v>0</v>
      </c>
      <c r="F28" s="522">
        <f>SUM(F6:F27)</f>
        <v>0</v>
      </c>
      <c r="G28" s="519" t="s">
        <v>680</v>
      </c>
      <c r="H28" s="521">
        <f>SUM(H6:H27)</f>
        <v>0</v>
      </c>
      <c r="I28" s="521">
        <f>SUM(I6:I27)</f>
        <v>0</v>
      </c>
      <c r="J28" s="521">
        <f>SUM(J6:J27)</f>
        <v>0</v>
      </c>
      <c r="K28" s="519" t="s">
        <v>680</v>
      </c>
      <c r="L28" s="520">
        <f t="shared" ref="L28:R28" si="0">SUM(L6:L27)</f>
        <v>0</v>
      </c>
      <c r="M28" s="520">
        <f t="shared" si="0"/>
        <v>0</v>
      </c>
      <c r="N28" s="520">
        <f t="shared" si="0"/>
        <v>0</v>
      </c>
      <c r="O28" s="520">
        <f t="shared" si="0"/>
        <v>0</v>
      </c>
      <c r="P28" s="520">
        <f t="shared" si="0"/>
        <v>0</v>
      </c>
      <c r="Q28" s="520">
        <f t="shared" si="0"/>
        <v>0</v>
      </c>
      <c r="R28" s="520">
        <f t="shared" si="0"/>
        <v>0</v>
      </c>
      <c r="S28" s="519" t="s">
        <v>680</v>
      </c>
      <c r="T28" s="518">
        <f>SUM(T6:T27)</f>
        <v>0</v>
      </c>
      <c r="U28" s="518">
        <f>SUM(U6:U27)</f>
        <v>0</v>
      </c>
      <c r="V28" s="518">
        <f>SUM(V6:V27)</f>
        <v>0</v>
      </c>
      <c r="W28" s="517"/>
    </row>
    <row r="29" spans="1:23" ht="15.75" thickTop="1" x14ac:dyDescent="0.25"/>
    <row r="33" spans="2:12" x14ac:dyDescent="0.25">
      <c r="B33" s="516"/>
      <c r="L33" s="516"/>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5:P53"/>
  <sheetViews>
    <sheetView workbookViewId="0">
      <selection activeCell="O16" sqref="O16"/>
    </sheetView>
  </sheetViews>
  <sheetFormatPr defaultRowHeight="12.75" x14ac:dyDescent="0.2"/>
  <cols>
    <col min="5" max="5" width="12.7109375" bestFit="1" customWidth="1"/>
    <col min="6" max="8" width="12.7109375" customWidth="1"/>
    <col min="9" max="9" width="15" bestFit="1" customWidth="1"/>
    <col min="10" max="10" width="10.42578125" bestFit="1" customWidth="1"/>
    <col min="11" max="11" width="11" customWidth="1"/>
    <col min="13" max="13" width="16.7109375" bestFit="1" customWidth="1"/>
  </cols>
  <sheetData>
    <row r="5" spans="2:16" ht="13.5" thickBot="1" x14ac:dyDescent="0.25">
      <c r="O5" s="130" t="s">
        <v>322</v>
      </c>
    </row>
    <row r="6" spans="2:16" ht="39" thickTop="1" x14ac:dyDescent="0.2">
      <c r="B6" s="23" t="s">
        <v>255</v>
      </c>
      <c r="C6" s="116" t="s">
        <v>224</v>
      </c>
      <c r="D6" s="51" t="s">
        <v>206</v>
      </c>
      <c r="E6" s="116" t="s">
        <v>256</v>
      </c>
      <c r="F6" s="116" t="s">
        <v>312</v>
      </c>
      <c r="G6" s="116" t="s">
        <v>313</v>
      </c>
      <c r="H6" s="116" t="s">
        <v>314</v>
      </c>
      <c r="I6" s="52" t="s">
        <v>315</v>
      </c>
      <c r="J6" s="116" t="s">
        <v>257</v>
      </c>
      <c r="K6" s="51" t="s">
        <v>258</v>
      </c>
      <c r="L6" s="116" t="s">
        <v>259</v>
      </c>
      <c r="M6" s="51" t="s">
        <v>260</v>
      </c>
      <c r="O6" s="129" t="s">
        <v>321</v>
      </c>
      <c r="P6" s="129"/>
    </row>
    <row r="7" spans="2:16" x14ac:dyDescent="0.2">
      <c r="B7" s="17" t="s">
        <v>226</v>
      </c>
      <c r="C7" s="17" t="s">
        <v>226</v>
      </c>
      <c r="D7" t="s">
        <v>219</v>
      </c>
      <c r="E7" s="38">
        <v>220000</v>
      </c>
      <c r="F7" s="38">
        <f t="shared" ref="F7:F12" si="0">E7/O7</f>
        <v>74.198988195615513</v>
      </c>
      <c r="G7" s="38"/>
      <c r="H7" s="38"/>
      <c r="I7" s="38"/>
      <c r="J7" s="100">
        <f t="shared" ref="J7:J18" si="1">I7/E7</f>
        <v>0</v>
      </c>
      <c r="K7" s="38">
        <v>6000</v>
      </c>
      <c r="L7" s="93"/>
      <c r="M7" s="109"/>
      <c r="O7">
        <v>2965</v>
      </c>
    </row>
    <row r="8" spans="2:16" x14ac:dyDescent="0.2">
      <c r="B8" s="17" t="s">
        <v>226</v>
      </c>
      <c r="C8" s="17" t="s">
        <v>226</v>
      </c>
      <c r="D8" t="s">
        <v>209</v>
      </c>
      <c r="E8" s="38">
        <v>3600000</v>
      </c>
      <c r="F8" s="38">
        <f t="shared" si="0"/>
        <v>1544.4015444015445</v>
      </c>
      <c r="G8" s="38"/>
      <c r="H8" s="38"/>
      <c r="I8" s="38"/>
      <c r="J8" s="100">
        <f t="shared" si="1"/>
        <v>0</v>
      </c>
      <c r="K8" s="38">
        <v>55000</v>
      </c>
      <c r="L8" s="93"/>
      <c r="M8" s="109"/>
      <c r="O8">
        <v>2331</v>
      </c>
    </row>
    <row r="9" spans="2:16" x14ac:dyDescent="0.2">
      <c r="B9" s="17" t="s">
        <v>226</v>
      </c>
      <c r="C9" s="17" t="s">
        <v>226</v>
      </c>
      <c r="D9" t="s">
        <v>210</v>
      </c>
      <c r="E9" s="38">
        <v>3200000</v>
      </c>
      <c r="F9" s="330" t="s">
        <v>493</v>
      </c>
      <c r="G9" s="38"/>
      <c r="H9" s="38"/>
      <c r="I9" s="38">
        <f>H9*O9</f>
        <v>0</v>
      </c>
      <c r="J9" s="100">
        <f t="shared" si="1"/>
        <v>0</v>
      </c>
      <c r="K9" s="38">
        <v>17000</v>
      </c>
      <c r="L9" s="93"/>
      <c r="M9" s="109"/>
      <c r="O9" s="12">
        <v>4802</v>
      </c>
    </row>
    <row r="10" spans="2:16" x14ac:dyDescent="0.2">
      <c r="B10" s="17" t="s">
        <v>226</v>
      </c>
      <c r="C10" s="17" t="s">
        <v>261</v>
      </c>
      <c r="D10" t="s">
        <v>210</v>
      </c>
      <c r="E10" s="38">
        <v>230000</v>
      </c>
      <c r="F10" s="38">
        <f t="shared" si="0"/>
        <v>48.370136698212406</v>
      </c>
      <c r="G10" s="38"/>
      <c r="H10" s="38"/>
      <c r="I10" s="38"/>
      <c r="J10" s="100">
        <f t="shared" si="1"/>
        <v>0</v>
      </c>
      <c r="K10" s="38">
        <v>5000</v>
      </c>
      <c r="L10" s="93"/>
      <c r="M10" s="109"/>
      <c r="O10" s="12">
        <v>4755</v>
      </c>
    </row>
    <row r="11" spans="2:16" x14ac:dyDescent="0.2">
      <c r="B11" s="107" t="s">
        <v>226</v>
      </c>
      <c r="C11" s="107" t="s">
        <v>228</v>
      </c>
      <c r="D11" t="s">
        <v>209</v>
      </c>
      <c r="E11" s="38">
        <v>550000</v>
      </c>
      <c r="F11" s="38">
        <f t="shared" si="0"/>
        <v>249.65955515206537</v>
      </c>
      <c r="G11" s="38"/>
      <c r="H11" s="38"/>
      <c r="I11" s="38"/>
      <c r="J11" s="100">
        <f t="shared" si="1"/>
        <v>0</v>
      </c>
      <c r="K11" s="38">
        <v>15000</v>
      </c>
      <c r="L11" s="93"/>
      <c r="M11" s="109"/>
      <c r="O11">
        <v>2203</v>
      </c>
    </row>
    <row r="12" spans="2:16" x14ac:dyDescent="0.2">
      <c r="B12" s="17" t="s">
        <v>226</v>
      </c>
      <c r="C12" s="17" t="s">
        <v>262</v>
      </c>
      <c r="D12" t="s">
        <v>210</v>
      </c>
      <c r="E12" s="38">
        <v>550000</v>
      </c>
      <c r="F12" s="38">
        <f t="shared" si="0"/>
        <v>130.95238095238096</v>
      </c>
      <c r="G12" s="38"/>
      <c r="H12" s="38"/>
      <c r="I12" s="38"/>
      <c r="J12" s="100">
        <f t="shared" si="1"/>
        <v>0</v>
      </c>
      <c r="K12" s="38">
        <v>7500</v>
      </c>
      <c r="L12" s="93"/>
      <c r="M12" s="109"/>
      <c r="N12" s="17"/>
      <c r="O12">
        <f>$O$19</f>
        <v>4200</v>
      </c>
    </row>
    <row r="13" spans="2:16" x14ac:dyDescent="0.2">
      <c r="B13" s="17" t="s">
        <v>226</v>
      </c>
      <c r="C13" s="17" t="s">
        <v>229</v>
      </c>
      <c r="D13" t="s">
        <v>209</v>
      </c>
      <c r="E13" s="38">
        <v>550000</v>
      </c>
      <c r="F13" s="38">
        <f>E13/4200</f>
        <v>130.95238095238096</v>
      </c>
      <c r="G13" s="38"/>
      <c r="H13" s="38"/>
      <c r="I13" s="38"/>
      <c r="J13" s="100">
        <f t="shared" si="1"/>
        <v>0</v>
      </c>
      <c r="K13" s="38">
        <v>10000</v>
      </c>
      <c r="L13" s="93"/>
      <c r="M13" s="109"/>
      <c r="O13">
        <v>2082</v>
      </c>
    </row>
    <row r="14" spans="2:16" x14ac:dyDescent="0.2">
      <c r="B14" s="17" t="s">
        <v>226</v>
      </c>
      <c r="C14" s="17" t="s">
        <v>229</v>
      </c>
      <c r="D14" t="s">
        <v>210</v>
      </c>
      <c r="E14" s="38">
        <v>0</v>
      </c>
      <c r="F14" s="38">
        <f>E14/4200</f>
        <v>0</v>
      </c>
      <c r="G14" s="38"/>
      <c r="H14" s="38"/>
      <c r="I14" s="38"/>
      <c r="J14" s="100" t="e">
        <f t="shared" si="1"/>
        <v>#DIV/0!</v>
      </c>
      <c r="K14" s="38">
        <v>500</v>
      </c>
      <c r="L14" s="93"/>
      <c r="M14" s="109"/>
      <c r="O14" s="12">
        <v>3637</v>
      </c>
    </row>
    <row r="15" spans="2:16" x14ac:dyDescent="0.2">
      <c r="B15" s="17" t="s">
        <v>226</v>
      </c>
      <c r="C15" s="17" t="s">
        <v>227</v>
      </c>
      <c r="D15" t="s">
        <v>209</v>
      </c>
      <c r="E15" s="38">
        <v>1200000</v>
      </c>
      <c r="F15" s="38">
        <f>E15/O15</f>
        <v>516.12903225806451</v>
      </c>
      <c r="G15" s="38"/>
      <c r="H15" s="38"/>
      <c r="I15" s="38"/>
      <c r="J15" s="100">
        <f t="shared" si="1"/>
        <v>0</v>
      </c>
      <c r="K15" s="38">
        <v>20000</v>
      </c>
      <c r="L15" s="93"/>
      <c r="M15" s="109"/>
      <c r="O15">
        <v>2325</v>
      </c>
    </row>
    <row r="16" spans="2:16" x14ac:dyDescent="0.2">
      <c r="B16" s="17" t="s">
        <v>226</v>
      </c>
      <c r="C16" s="17" t="s">
        <v>227</v>
      </c>
      <c r="D16" t="s">
        <v>210</v>
      </c>
      <c r="E16" s="38">
        <v>0</v>
      </c>
      <c r="F16" s="38">
        <f>E16/4200</f>
        <v>0</v>
      </c>
      <c r="G16" s="38"/>
      <c r="H16" s="38"/>
      <c r="I16" s="38"/>
      <c r="J16" s="100" t="e">
        <f t="shared" si="1"/>
        <v>#DIV/0!</v>
      </c>
      <c r="K16" s="38">
        <v>1000</v>
      </c>
      <c r="L16" s="93"/>
      <c r="M16" s="109"/>
      <c r="O16" s="12">
        <v>4622</v>
      </c>
    </row>
    <row r="17" spans="1:15" x14ac:dyDescent="0.2">
      <c r="B17" s="17" t="s">
        <v>263</v>
      </c>
      <c r="C17" s="17" t="s">
        <v>263</v>
      </c>
      <c r="D17" s="17" t="s">
        <v>210</v>
      </c>
      <c r="E17" s="38">
        <v>7100000</v>
      </c>
      <c r="F17" s="38">
        <f>E17/O17</f>
        <v>1793.3821672139429</v>
      </c>
      <c r="G17" s="38"/>
      <c r="H17" s="38"/>
      <c r="I17" s="38"/>
      <c r="J17" s="100">
        <f t="shared" si="1"/>
        <v>0</v>
      </c>
      <c r="K17" s="38">
        <v>34000</v>
      </c>
      <c r="L17" s="93"/>
      <c r="O17" s="12">
        <v>3959</v>
      </c>
    </row>
    <row r="18" spans="1:15" x14ac:dyDescent="0.2">
      <c r="B18" s="17" t="s">
        <v>263</v>
      </c>
      <c r="C18" s="17" t="s">
        <v>263</v>
      </c>
      <c r="D18" s="17" t="s">
        <v>219</v>
      </c>
      <c r="E18" s="38">
        <v>220000</v>
      </c>
      <c r="F18" s="38">
        <f t="shared" ref="F18:F24" si="2">E18/O18</f>
        <v>82.181546507284267</v>
      </c>
      <c r="G18" s="38"/>
      <c r="H18" s="38"/>
      <c r="I18" s="38"/>
      <c r="J18" s="100">
        <f t="shared" si="1"/>
        <v>0</v>
      </c>
      <c r="K18" s="38">
        <v>40000</v>
      </c>
      <c r="L18" s="93"/>
      <c r="O18">
        <v>2677</v>
      </c>
    </row>
    <row r="19" spans="1:15" x14ac:dyDescent="0.2">
      <c r="B19" s="17" t="s">
        <v>263</v>
      </c>
      <c r="C19" s="17" t="s">
        <v>264</v>
      </c>
      <c r="D19" s="17" t="s">
        <v>210</v>
      </c>
      <c r="E19" s="38">
        <v>200000</v>
      </c>
      <c r="F19" s="38">
        <f t="shared" si="2"/>
        <v>47.61904761904762</v>
      </c>
      <c r="G19" s="38"/>
      <c r="H19" s="38"/>
      <c r="I19" s="38"/>
      <c r="J19" s="100">
        <f t="shared" ref="J19:J25" si="3">I19/E19</f>
        <v>0</v>
      </c>
      <c r="K19" s="38">
        <v>1000</v>
      </c>
      <c r="L19" s="93"/>
      <c r="M19" s="109"/>
      <c r="O19">
        <v>4200</v>
      </c>
    </row>
    <row r="20" spans="1:15" x14ac:dyDescent="0.2">
      <c r="A20" t="s">
        <v>527</v>
      </c>
      <c r="B20" s="17" t="s">
        <v>265</v>
      </c>
      <c r="C20" s="17" t="s">
        <v>264</v>
      </c>
      <c r="D20" s="17" t="s">
        <v>210</v>
      </c>
      <c r="E20" s="38">
        <v>10000</v>
      </c>
      <c r="F20" s="38">
        <f t="shared" si="2"/>
        <v>2.3809523809523809</v>
      </c>
      <c r="G20" s="38"/>
      <c r="H20" s="38"/>
      <c r="I20" s="38"/>
      <c r="J20" s="100">
        <f t="shared" si="3"/>
        <v>0</v>
      </c>
      <c r="K20" s="38">
        <v>1000</v>
      </c>
      <c r="L20" s="93"/>
      <c r="M20" s="109"/>
      <c r="O20">
        <v>4200</v>
      </c>
    </row>
    <row r="21" spans="1:15" x14ac:dyDescent="0.2">
      <c r="B21" s="17" t="s">
        <v>265</v>
      </c>
      <c r="C21" s="17" t="s">
        <v>265</v>
      </c>
      <c r="D21" t="s">
        <v>219</v>
      </c>
      <c r="E21" s="38">
        <v>400000</v>
      </c>
      <c r="F21" s="38">
        <f t="shared" si="2"/>
        <v>136.84570646595964</v>
      </c>
      <c r="G21" s="38"/>
      <c r="H21" s="38"/>
      <c r="J21" s="100">
        <f t="shared" si="3"/>
        <v>0</v>
      </c>
      <c r="K21" s="38">
        <v>10000</v>
      </c>
      <c r="L21" s="93"/>
      <c r="O21">
        <v>2923</v>
      </c>
    </row>
    <row r="22" spans="1:15" x14ac:dyDescent="0.2">
      <c r="B22" s="17" t="s">
        <v>265</v>
      </c>
      <c r="C22" s="17" t="s">
        <v>265</v>
      </c>
      <c r="D22" t="s">
        <v>209</v>
      </c>
      <c r="E22" s="38">
        <v>35000000</v>
      </c>
      <c r="F22" s="38">
        <f t="shared" si="2"/>
        <v>15659.955257270694</v>
      </c>
      <c r="G22" s="38"/>
      <c r="H22" s="38"/>
      <c r="I22" s="38">
        <f>H22*O22</f>
        <v>0</v>
      </c>
      <c r="J22" s="100">
        <f t="shared" si="3"/>
        <v>0</v>
      </c>
      <c r="K22" s="38">
        <v>250000</v>
      </c>
      <c r="L22" s="93"/>
      <c r="M22" s="109"/>
      <c r="O22">
        <v>2235</v>
      </c>
    </row>
    <row r="23" spans="1:15" x14ac:dyDescent="0.2">
      <c r="B23" s="17" t="s">
        <v>265</v>
      </c>
      <c r="C23" s="17" t="s">
        <v>265</v>
      </c>
      <c r="D23" t="s">
        <v>210</v>
      </c>
      <c r="E23" s="38">
        <v>4800000</v>
      </c>
      <c r="F23" s="38">
        <f t="shared" si="2"/>
        <v>1181.6838995568685</v>
      </c>
      <c r="G23" s="38"/>
      <c r="H23" s="38"/>
      <c r="I23" s="38">
        <f>H23*O23</f>
        <v>0</v>
      </c>
      <c r="J23" s="100">
        <f t="shared" si="3"/>
        <v>0</v>
      </c>
      <c r="K23" s="38">
        <v>20000</v>
      </c>
      <c r="L23" s="93"/>
      <c r="M23" s="109"/>
      <c r="O23" s="12">
        <v>4062</v>
      </c>
    </row>
    <row r="24" spans="1:15" x14ac:dyDescent="0.2">
      <c r="B24" s="17" t="s">
        <v>265</v>
      </c>
      <c r="C24" s="17" t="s">
        <v>266</v>
      </c>
      <c r="D24" s="17" t="s">
        <v>210</v>
      </c>
      <c r="E24" s="38">
        <v>550000</v>
      </c>
      <c r="F24" s="38">
        <f t="shared" si="2"/>
        <v>132.72200772200773</v>
      </c>
      <c r="G24" s="38"/>
      <c r="H24" s="38"/>
      <c r="I24" s="38">
        <f>H24*O24</f>
        <v>0</v>
      </c>
      <c r="J24" s="100">
        <f t="shared" si="3"/>
        <v>0</v>
      </c>
      <c r="K24" s="38">
        <v>5000</v>
      </c>
      <c r="L24" s="93"/>
      <c r="M24" s="109"/>
      <c r="O24" s="12">
        <v>4144</v>
      </c>
    </row>
    <row r="25" spans="1:15" x14ac:dyDescent="0.2">
      <c r="B25" s="17" t="s">
        <v>307</v>
      </c>
      <c r="C25" s="17" t="s">
        <v>306</v>
      </c>
      <c r="D25" s="17" t="s">
        <v>210</v>
      </c>
      <c r="E25" s="24">
        <v>510000</v>
      </c>
      <c r="F25" s="38">
        <f>E25/O25</f>
        <v>143.29867940432706</v>
      </c>
      <c r="G25" s="38"/>
      <c r="H25" s="38"/>
      <c r="I25" s="115">
        <f>H25*O25</f>
        <v>0</v>
      </c>
      <c r="J25" s="100">
        <f t="shared" si="3"/>
        <v>0</v>
      </c>
      <c r="K25" s="38">
        <v>3500</v>
      </c>
      <c r="L25" s="24"/>
      <c r="M25" s="109"/>
      <c r="O25">
        <v>3559</v>
      </c>
    </row>
    <row r="26" spans="1:15" x14ac:dyDescent="0.2">
      <c r="F26" s="131"/>
      <c r="G26" s="131"/>
    </row>
    <row r="27" spans="1:15" x14ac:dyDescent="0.2">
      <c r="B27" s="17" t="s">
        <v>268</v>
      </c>
    </row>
    <row r="28" spans="1:15" x14ac:dyDescent="0.2">
      <c r="C28" s="17" t="s">
        <v>282</v>
      </c>
      <c r="D28" s="17" t="s">
        <v>281</v>
      </c>
      <c r="E28" s="17" t="s">
        <v>283</v>
      </c>
      <c r="F28" s="17" t="s">
        <v>316</v>
      </c>
      <c r="G28" s="38"/>
      <c r="H28" s="38"/>
      <c r="I28" s="38">
        <f>H28*4200</f>
        <v>0</v>
      </c>
    </row>
    <row r="29" spans="1:15" x14ac:dyDescent="0.2">
      <c r="B29" s="98" t="s">
        <v>266</v>
      </c>
      <c r="C29" s="93"/>
      <c r="D29">
        <v>643</v>
      </c>
      <c r="E29" s="100">
        <f>C29/D29</f>
        <v>0</v>
      </c>
      <c r="F29" s="17"/>
      <c r="G29" s="17"/>
      <c r="H29" s="17"/>
    </row>
    <row r="30" spans="1:15" x14ac:dyDescent="0.2">
      <c r="B30" s="98" t="s">
        <v>264</v>
      </c>
      <c r="C30" s="93"/>
      <c r="D30">
        <v>1189</v>
      </c>
      <c r="E30" s="100">
        <f t="shared" ref="E30:E44" si="4">C30/D30</f>
        <v>0</v>
      </c>
      <c r="F30" s="17"/>
      <c r="G30" s="17"/>
      <c r="H30" s="17"/>
      <c r="I30" s="17"/>
    </row>
    <row r="31" spans="1:15" x14ac:dyDescent="0.2">
      <c r="B31" s="17" t="s">
        <v>269</v>
      </c>
      <c r="C31" s="93"/>
      <c r="D31">
        <v>638</v>
      </c>
      <c r="E31" s="100">
        <f t="shared" si="4"/>
        <v>0</v>
      </c>
      <c r="F31" s="17"/>
      <c r="G31" s="17"/>
      <c r="H31" s="17"/>
    </row>
    <row r="32" spans="1:15" x14ac:dyDescent="0.2">
      <c r="B32" s="17" t="s">
        <v>270</v>
      </c>
      <c r="C32" s="93"/>
      <c r="D32">
        <v>1121</v>
      </c>
      <c r="E32" s="100">
        <f t="shared" si="4"/>
        <v>0</v>
      </c>
      <c r="F32" s="17"/>
      <c r="G32" s="17"/>
      <c r="H32" s="17"/>
    </row>
    <row r="33" spans="2:8" x14ac:dyDescent="0.2">
      <c r="B33" s="17" t="s">
        <v>284</v>
      </c>
      <c r="C33" s="93"/>
      <c r="D33">
        <v>857</v>
      </c>
      <c r="E33" s="100">
        <f t="shared" si="4"/>
        <v>0</v>
      </c>
      <c r="F33" s="17"/>
      <c r="G33" s="17"/>
      <c r="H33" s="17"/>
    </row>
    <row r="34" spans="2:8" x14ac:dyDescent="0.2">
      <c r="B34" s="17" t="s">
        <v>271</v>
      </c>
      <c r="C34" s="93"/>
      <c r="D34">
        <v>415</v>
      </c>
      <c r="E34" s="100">
        <f t="shared" si="4"/>
        <v>0</v>
      </c>
      <c r="F34" s="17"/>
      <c r="G34" s="17"/>
      <c r="H34" s="17"/>
    </row>
    <row r="35" spans="2:8" x14ac:dyDescent="0.2">
      <c r="B35" s="98" t="s">
        <v>272</v>
      </c>
      <c r="C35" s="93"/>
      <c r="D35">
        <v>405</v>
      </c>
      <c r="E35" s="100">
        <f t="shared" si="4"/>
        <v>0</v>
      </c>
      <c r="F35" s="17"/>
      <c r="G35" s="17"/>
      <c r="H35" s="17"/>
    </row>
    <row r="36" spans="2:8" x14ac:dyDescent="0.2">
      <c r="B36" s="98" t="s">
        <v>261</v>
      </c>
      <c r="C36" s="93"/>
      <c r="D36">
        <v>1459</v>
      </c>
      <c r="E36" s="100">
        <f t="shared" si="4"/>
        <v>0</v>
      </c>
      <c r="F36" s="17"/>
      <c r="G36" s="17"/>
      <c r="H36" s="17"/>
    </row>
    <row r="37" spans="2:8" x14ac:dyDescent="0.2">
      <c r="B37" s="17" t="s">
        <v>273</v>
      </c>
      <c r="C37" s="93"/>
      <c r="D37">
        <v>512</v>
      </c>
      <c r="E37" s="100">
        <f t="shared" si="4"/>
        <v>0</v>
      </c>
      <c r="F37" s="17"/>
      <c r="G37" s="17"/>
      <c r="H37" s="17"/>
    </row>
    <row r="38" spans="2:8" x14ac:dyDescent="0.2">
      <c r="B38" s="17" t="s">
        <v>274</v>
      </c>
      <c r="C38" s="93"/>
      <c r="D38">
        <v>681</v>
      </c>
      <c r="E38" s="100">
        <f t="shared" si="4"/>
        <v>0</v>
      </c>
      <c r="F38" s="17"/>
      <c r="G38" s="17"/>
      <c r="H38" s="17"/>
    </row>
    <row r="39" spans="2:8" x14ac:dyDescent="0.2">
      <c r="B39" s="17" t="s">
        <v>275</v>
      </c>
      <c r="C39" s="93"/>
      <c r="D39">
        <v>1188</v>
      </c>
      <c r="E39" s="100">
        <f t="shared" si="4"/>
        <v>0</v>
      </c>
      <c r="F39" s="17"/>
      <c r="G39" s="17"/>
      <c r="H39" s="17"/>
    </row>
    <row r="40" spans="2:8" x14ac:dyDescent="0.2">
      <c r="B40" s="17" t="s">
        <v>276</v>
      </c>
      <c r="C40" s="93"/>
      <c r="D40">
        <v>741</v>
      </c>
      <c r="E40" s="100">
        <f t="shared" si="4"/>
        <v>0</v>
      </c>
      <c r="F40" s="17"/>
      <c r="G40" s="17"/>
      <c r="H40" s="17"/>
    </row>
    <row r="41" spans="2:8" x14ac:dyDescent="0.2">
      <c r="B41" s="17" t="s">
        <v>277</v>
      </c>
      <c r="C41" s="93"/>
      <c r="D41">
        <v>796</v>
      </c>
      <c r="E41" s="100">
        <f t="shared" si="4"/>
        <v>0</v>
      </c>
      <c r="F41" s="17"/>
      <c r="G41" s="17"/>
      <c r="H41" s="17"/>
    </row>
    <row r="42" spans="2:8" x14ac:dyDescent="0.2">
      <c r="B42" s="17" t="s">
        <v>278</v>
      </c>
      <c r="C42" s="93"/>
      <c r="D42">
        <v>690</v>
      </c>
      <c r="E42" s="100">
        <f t="shared" si="4"/>
        <v>0</v>
      </c>
      <c r="F42" s="17"/>
      <c r="G42" s="17"/>
      <c r="H42" s="17"/>
    </row>
    <row r="43" spans="2:8" x14ac:dyDescent="0.2">
      <c r="B43" s="98" t="s">
        <v>279</v>
      </c>
      <c r="C43" s="93"/>
      <c r="D43">
        <v>1191</v>
      </c>
      <c r="E43" s="100">
        <f t="shared" si="4"/>
        <v>0</v>
      </c>
      <c r="F43" s="17"/>
      <c r="G43" s="17"/>
      <c r="H43" s="17"/>
    </row>
    <row r="44" spans="2:8" x14ac:dyDescent="0.2">
      <c r="B44" s="17" t="s">
        <v>280</v>
      </c>
      <c r="C44" s="93"/>
      <c r="D44">
        <v>560</v>
      </c>
      <c r="E44" s="100">
        <f t="shared" si="4"/>
        <v>0</v>
      </c>
      <c r="F44" s="17"/>
      <c r="G44" s="17"/>
      <c r="H44" s="17"/>
    </row>
    <row r="47" spans="2:8" x14ac:dyDescent="0.2">
      <c r="D47" s="56" t="s">
        <v>225</v>
      </c>
      <c r="E47" s="126" t="s">
        <v>317</v>
      </c>
      <c r="F47" s="127" t="s">
        <v>318</v>
      </c>
    </row>
    <row r="48" spans="2:8" x14ac:dyDescent="0.2">
      <c r="B48" s="17" t="s">
        <v>261</v>
      </c>
      <c r="C48" s="17" t="s">
        <v>210</v>
      </c>
      <c r="D48" s="39">
        <v>5000</v>
      </c>
      <c r="E48" s="122"/>
      <c r="F48" s="100">
        <f>E48/D48</f>
        <v>0</v>
      </c>
    </row>
    <row r="49" spans="2:6" x14ac:dyDescent="0.2">
      <c r="B49" s="17" t="s">
        <v>226</v>
      </c>
      <c r="C49" s="17" t="s">
        <v>210</v>
      </c>
      <c r="D49" s="39">
        <v>17000</v>
      </c>
      <c r="E49" s="122"/>
      <c r="F49" s="100">
        <f>E49/D49</f>
        <v>0</v>
      </c>
    </row>
    <row r="50" spans="2:6" x14ac:dyDescent="0.2">
      <c r="B50" s="17" t="s">
        <v>262</v>
      </c>
      <c r="C50" s="17" t="s">
        <v>210</v>
      </c>
      <c r="D50" s="39">
        <v>7500</v>
      </c>
      <c r="E50" s="39"/>
      <c r="F50" s="100"/>
    </row>
    <row r="51" spans="2:6" x14ac:dyDescent="0.2">
      <c r="B51" s="17" t="s">
        <v>228</v>
      </c>
      <c r="C51" s="17" t="s">
        <v>209</v>
      </c>
      <c r="D51" s="39">
        <v>15000</v>
      </c>
      <c r="E51" s="122"/>
      <c r="F51" s="100">
        <f>E51/D51</f>
        <v>0</v>
      </c>
    </row>
    <row r="52" spans="2:6" x14ac:dyDescent="0.2">
      <c r="B52" s="17" t="s">
        <v>226</v>
      </c>
      <c r="C52" s="17" t="s">
        <v>209</v>
      </c>
      <c r="D52" s="39">
        <v>55000</v>
      </c>
      <c r="E52" s="124"/>
      <c r="F52" s="100">
        <f>E52/D52</f>
        <v>0</v>
      </c>
    </row>
    <row r="53" spans="2:6" x14ac:dyDescent="0.2">
      <c r="B53" s="17" t="s">
        <v>226</v>
      </c>
      <c r="C53" s="17" t="s">
        <v>219</v>
      </c>
      <c r="D53" s="39">
        <v>6000</v>
      </c>
      <c r="E53" s="124"/>
      <c r="F53" s="100">
        <f>E53/D53</f>
        <v>0</v>
      </c>
    </row>
  </sheetData>
  <conditionalFormatting sqref="E29:E44 J25">
    <cfRule type="cellIs" dxfId="14" priority="14" stopIfTrue="1" operator="between">
      <formula>0.25</formula>
      <formula>0.5</formula>
    </cfRule>
    <cfRule type="cellIs" dxfId="13" priority="15" stopIfTrue="1" operator="between">
      <formula>0</formula>
      <formula>0.25</formula>
    </cfRule>
  </conditionalFormatting>
  <conditionalFormatting sqref="E29:E44 J25">
    <cfRule type="cellIs" dxfId="12" priority="13" stopIfTrue="1" operator="between">
      <formula>0.5</formula>
      <formula>0.75</formula>
    </cfRule>
  </conditionalFormatting>
  <conditionalFormatting sqref="E29:E44 J25">
    <cfRule type="cellIs" dxfId="11" priority="11" stopIfTrue="1" operator="greaterThan">
      <formula>1.25</formula>
    </cfRule>
    <cfRule type="cellIs" dxfId="10" priority="12" stopIfTrue="1" operator="between">
      <formula>0.75</formula>
      <formula>1.25</formula>
    </cfRule>
  </conditionalFormatting>
  <conditionalFormatting sqref="F48:F53">
    <cfRule type="cellIs" dxfId="9" priority="1" stopIfTrue="1" operator="greaterThan">
      <formula>1.25</formula>
    </cfRule>
    <cfRule type="cellIs" dxfId="8" priority="2" stopIfTrue="1" operator="between">
      <formula>0.75</formula>
      <formula>1.25</formula>
    </cfRule>
  </conditionalFormatting>
  <conditionalFormatting sqref="J7:J12 J15 J17:J24">
    <cfRule type="cellIs" dxfId="7" priority="9" stopIfTrue="1" operator="between">
      <formula>0.25</formula>
      <formula>0.5</formula>
    </cfRule>
    <cfRule type="cellIs" dxfId="6" priority="10" stopIfTrue="1" operator="between">
      <formula>0</formula>
      <formula>0.25</formula>
    </cfRule>
  </conditionalFormatting>
  <conditionalFormatting sqref="J7:J12 J15 J17:J24">
    <cfRule type="cellIs" dxfId="5" priority="8" stopIfTrue="1" operator="between">
      <formula>0.5</formula>
      <formula>0.75</formula>
    </cfRule>
  </conditionalFormatting>
  <conditionalFormatting sqref="J7:J12 J15 J17:J24">
    <cfRule type="cellIs" dxfId="4" priority="6" stopIfTrue="1" operator="greaterThan">
      <formula>1.25</formula>
    </cfRule>
    <cfRule type="cellIs" dxfId="3" priority="7" stopIfTrue="1" operator="between">
      <formula>0.75</formula>
      <formula>1.25</formula>
    </cfRule>
  </conditionalFormatting>
  <conditionalFormatting sqref="F48:F53">
    <cfRule type="cellIs" dxfId="2" priority="4" stopIfTrue="1" operator="between">
      <formula>0.25</formula>
      <formula>0.5</formula>
    </cfRule>
    <cfRule type="cellIs" dxfId="1" priority="5" stopIfTrue="1" operator="between">
      <formula>0</formula>
      <formula>0.25</formula>
    </cfRule>
  </conditionalFormatting>
  <conditionalFormatting sqref="F48:F53">
    <cfRule type="cellIs" dxfId="0" priority="3" operator="between">
      <formula>0.5</formula>
      <formula>0.75</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dimension ref="A1:E10594"/>
  <sheetViews>
    <sheetView topLeftCell="A10422" workbookViewId="0">
      <selection activeCell="A10432" sqref="A10432"/>
    </sheetView>
  </sheetViews>
  <sheetFormatPr defaultRowHeight="12.75" x14ac:dyDescent="0.2"/>
  <cols>
    <col min="1" max="1" width="10.28515625" bestFit="1" customWidth="1"/>
  </cols>
  <sheetData>
    <row r="1" spans="1:5" x14ac:dyDescent="0.2">
      <c r="A1" s="110" t="s">
        <v>240</v>
      </c>
      <c r="B1" s="110" t="s">
        <v>241</v>
      </c>
      <c r="C1" s="111"/>
      <c r="D1" s="111"/>
      <c r="E1" s="111"/>
    </row>
    <row r="2" spans="1:5" x14ac:dyDescent="0.2">
      <c r="A2" s="113">
        <v>34700</v>
      </c>
      <c r="B2" s="111">
        <f t="shared" ref="B2:B65" si="0">VLOOKUP(WEEKNUM(A2),$D$3:$E$58,2)</f>
        <v>11</v>
      </c>
      <c r="C2" s="111"/>
      <c r="D2" s="114" t="s">
        <v>222</v>
      </c>
      <c r="E2" s="114"/>
    </row>
    <row r="3" spans="1:5" x14ac:dyDescent="0.2">
      <c r="A3" s="113">
        <v>34701</v>
      </c>
      <c r="B3" s="111">
        <f t="shared" si="0"/>
        <v>11</v>
      </c>
      <c r="C3" s="111"/>
      <c r="D3" s="114">
        <v>1</v>
      </c>
      <c r="E3" s="114">
        <v>11</v>
      </c>
    </row>
    <row r="4" spans="1:5" x14ac:dyDescent="0.2">
      <c r="A4" s="113">
        <v>34702</v>
      </c>
      <c r="B4" s="111">
        <f t="shared" si="0"/>
        <v>11</v>
      </c>
      <c r="C4" s="111"/>
      <c r="D4" s="114">
        <v>2</v>
      </c>
      <c r="E4" s="114">
        <v>12</v>
      </c>
    </row>
    <row r="5" spans="1:5" x14ac:dyDescent="0.2">
      <c r="A5" s="113">
        <v>34703</v>
      </c>
      <c r="B5" s="111">
        <f t="shared" si="0"/>
        <v>11</v>
      </c>
      <c r="C5" s="111"/>
      <c r="D5" s="114">
        <v>3</v>
      </c>
      <c r="E5" s="114">
        <v>13</v>
      </c>
    </row>
    <row r="6" spans="1:5" x14ac:dyDescent="0.2">
      <c r="A6" s="113">
        <v>34704</v>
      </c>
      <c r="B6" s="111">
        <f t="shared" si="0"/>
        <v>11</v>
      </c>
      <c r="C6" s="111"/>
      <c r="D6" s="114">
        <v>4</v>
      </c>
      <c r="E6" s="114">
        <v>14</v>
      </c>
    </row>
    <row r="7" spans="1:5" x14ac:dyDescent="0.2">
      <c r="A7" s="113">
        <v>34705</v>
      </c>
      <c r="B7" s="111">
        <f t="shared" si="0"/>
        <v>11</v>
      </c>
      <c r="C7" s="111"/>
      <c r="D7" s="114">
        <v>5</v>
      </c>
      <c r="E7" s="114">
        <v>15</v>
      </c>
    </row>
    <row r="8" spans="1:5" x14ac:dyDescent="0.2">
      <c r="A8" s="113">
        <v>34706</v>
      </c>
      <c r="B8" s="111">
        <f>VLOOKUP(WEEKNUM(A8),$D$3:$E$58,2)</f>
        <v>11</v>
      </c>
      <c r="C8" s="111"/>
      <c r="D8" s="114">
        <v>6</v>
      </c>
      <c r="E8" s="114">
        <v>21</v>
      </c>
    </row>
    <row r="9" spans="1:5" x14ac:dyDescent="0.2">
      <c r="A9" s="113">
        <v>34707</v>
      </c>
      <c r="B9" s="111">
        <f t="shared" si="0"/>
        <v>12</v>
      </c>
      <c r="C9" s="111"/>
      <c r="D9" s="114">
        <v>7</v>
      </c>
      <c r="E9" s="114">
        <v>22</v>
      </c>
    </row>
    <row r="10" spans="1:5" x14ac:dyDescent="0.2">
      <c r="A10" s="113">
        <v>34708</v>
      </c>
      <c r="B10" s="111">
        <f t="shared" si="0"/>
        <v>12</v>
      </c>
      <c r="C10" s="111"/>
      <c r="D10" s="114">
        <v>8</v>
      </c>
      <c r="E10" s="114">
        <v>23</v>
      </c>
    </row>
    <row r="11" spans="1:5" x14ac:dyDescent="0.2">
      <c r="A11" s="113">
        <v>34709</v>
      </c>
      <c r="B11" s="111">
        <f t="shared" si="0"/>
        <v>12</v>
      </c>
      <c r="C11" s="111"/>
      <c r="D11" s="114">
        <v>9</v>
      </c>
      <c r="E11" s="114">
        <v>24</v>
      </c>
    </row>
    <row r="12" spans="1:5" x14ac:dyDescent="0.2">
      <c r="A12" s="113">
        <v>34710</v>
      </c>
      <c r="B12" s="111">
        <f t="shared" si="0"/>
        <v>12</v>
      </c>
      <c r="C12" s="111"/>
      <c r="D12" s="114">
        <v>10</v>
      </c>
      <c r="E12" s="114">
        <v>31</v>
      </c>
    </row>
    <row r="13" spans="1:5" x14ac:dyDescent="0.2">
      <c r="A13" s="113">
        <v>34711</v>
      </c>
      <c r="B13" s="111">
        <f t="shared" si="0"/>
        <v>12</v>
      </c>
      <c r="C13" s="111"/>
      <c r="D13" s="114">
        <v>11</v>
      </c>
      <c r="E13" s="114">
        <v>32</v>
      </c>
    </row>
    <row r="14" spans="1:5" x14ac:dyDescent="0.2">
      <c r="A14" s="113">
        <v>34712</v>
      </c>
      <c r="B14" s="111">
        <f t="shared" si="0"/>
        <v>12</v>
      </c>
      <c r="C14" s="111"/>
      <c r="D14" s="114">
        <v>12</v>
      </c>
      <c r="E14" s="114">
        <v>33</v>
      </c>
    </row>
    <row r="15" spans="1:5" x14ac:dyDescent="0.2">
      <c r="A15" s="113">
        <v>34713</v>
      </c>
      <c r="B15" s="111">
        <f t="shared" si="0"/>
        <v>12</v>
      </c>
      <c r="C15" s="111"/>
      <c r="D15" s="114">
        <v>13</v>
      </c>
      <c r="E15" s="114">
        <v>34</v>
      </c>
    </row>
    <row r="16" spans="1:5" x14ac:dyDescent="0.2">
      <c r="A16" s="113">
        <v>34714</v>
      </c>
      <c r="B16" s="111">
        <f t="shared" si="0"/>
        <v>13</v>
      </c>
      <c r="C16" s="111"/>
      <c r="D16" s="114">
        <v>14</v>
      </c>
      <c r="E16" s="114">
        <v>41</v>
      </c>
    </row>
    <row r="17" spans="1:5" x14ac:dyDescent="0.2">
      <c r="A17" s="113">
        <v>34715</v>
      </c>
      <c r="B17" s="111">
        <f t="shared" si="0"/>
        <v>13</v>
      </c>
      <c r="C17" s="111"/>
      <c r="D17" s="114">
        <v>15</v>
      </c>
      <c r="E17" s="114">
        <v>42</v>
      </c>
    </row>
    <row r="18" spans="1:5" x14ac:dyDescent="0.2">
      <c r="A18" s="113">
        <v>34716</v>
      </c>
      <c r="B18" s="111">
        <f t="shared" si="0"/>
        <v>13</v>
      </c>
      <c r="C18" s="111"/>
      <c r="D18" s="114">
        <v>16</v>
      </c>
      <c r="E18" s="114">
        <v>43</v>
      </c>
    </row>
    <row r="19" spans="1:5" x14ac:dyDescent="0.2">
      <c r="A19" s="113">
        <v>34717</v>
      </c>
      <c r="B19" s="111">
        <f t="shared" si="0"/>
        <v>13</v>
      </c>
      <c r="C19" s="111"/>
      <c r="D19" s="114">
        <v>17</v>
      </c>
      <c r="E19" s="114">
        <v>44</v>
      </c>
    </row>
    <row r="20" spans="1:5" x14ac:dyDescent="0.2">
      <c r="A20" s="113">
        <v>34718</v>
      </c>
      <c r="B20" s="111">
        <f t="shared" si="0"/>
        <v>13</v>
      </c>
      <c r="C20" s="111"/>
      <c r="D20" s="114">
        <v>18</v>
      </c>
      <c r="E20" s="114">
        <v>45</v>
      </c>
    </row>
    <row r="21" spans="1:5" x14ac:dyDescent="0.2">
      <c r="A21" s="113">
        <v>34719</v>
      </c>
      <c r="B21" s="111">
        <f t="shared" si="0"/>
        <v>13</v>
      </c>
      <c r="C21" s="111"/>
      <c r="D21" s="114">
        <v>19</v>
      </c>
      <c r="E21" s="114">
        <v>51</v>
      </c>
    </row>
    <row r="22" spans="1:5" x14ac:dyDescent="0.2">
      <c r="A22" s="113">
        <v>34720</v>
      </c>
      <c r="B22" s="111">
        <f t="shared" si="0"/>
        <v>13</v>
      </c>
      <c r="C22" s="111"/>
      <c r="D22" s="114">
        <v>20</v>
      </c>
      <c r="E22" s="114">
        <v>52</v>
      </c>
    </row>
    <row r="23" spans="1:5" x14ac:dyDescent="0.2">
      <c r="A23" s="113">
        <v>34721</v>
      </c>
      <c r="B23" s="111">
        <f t="shared" si="0"/>
        <v>14</v>
      </c>
      <c r="C23" s="111"/>
      <c r="D23" s="114">
        <v>21</v>
      </c>
      <c r="E23" s="114">
        <v>53</v>
      </c>
    </row>
    <row r="24" spans="1:5" x14ac:dyDescent="0.2">
      <c r="A24" s="113">
        <v>34722</v>
      </c>
      <c r="B24" s="111">
        <f t="shared" si="0"/>
        <v>14</v>
      </c>
      <c r="C24" s="111"/>
      <c r="D24" s="114">
        <v>22</v>
      </c>
      <c r="E24" s="114">
        <v>54</v>
      </c>
    </row>
    <row r="25" spans="1:5" x14ac:dyDescent="0.2">
      <c r="A25" s="113">
        <v>34723</v>
      </c>
      <c r="B25" s="111">
        <f t="shared" si="0"/>
        <v>14</v>
      </c>
      <c r="C25" s="111"/>
      <c r="D25" s="114">
        <v>23</v>
      </c>
      <c r="E25" s="114">
        <v>61</v>
      </c>
    </row>
    <row r="26" spans="1:5" x14ac:dyDescent="0.2">
      <c r="A26" s="113">
        <v>34724</v>
      </c>
      <c r="B26" s="111">
        <f t="shared" si="0"/>
        <v>14</v>
      </c>
      <c r="C26" s="111"/>
      <c r="D26" s="114">
        <v>24</v>
      </c>
      <c r="E26" s="114">
        <v>62</v>
      </c>
    </row>
    <row r="27" spans="1:5" x14ac:dyDescent="0.2">
      <c r="A27" s="113">
        <v>34725</v>
      </c>
      <c r="B27" s="111">
        <f t="shared" si="0"/>
        <v>14</v>
      </c>
      <c r="C27" s="111"/>
      <c r="D27" s="114">
        <v>25</v>
      </c>
      <c r="E27" s="114">
        <v>63</v>
      </c>
    </row>
    <row r="28" spans="1:5" x14ac:dyDescent="0.2">
      <c r="A28" s="113">
        <v>34726</v>
      </c>
      <c r="B28" s="111">
        <f t="shared" si="0"/>
        <v>14</v>
      </c>
      <c r="C28" s="111"/>
      <c r="D28" s="114">
        <v>26</v>
      </c>
      <c r="E28" s="114">
        <v>64</v>
      </c>
    </row>
    <row r="29" spans="1:5" x14ac:dyDescent="0.2">
      <c r="A29" s="113">
        <v>34727</v>
      </c>
      <c r="B29" s="111">
        <f t="shared" si="0"/>
        <v>14</v>
      </c>
      <c r="C29" s="111"/>
      <c r="D29" s="114">
        <v>27</v>
      </c>
      <c r="E29" s="114">
        <v>71</v>
      </c>
    </row>
    <row r="30" spans="1:5" x14ac:dyDescent="0.2">
      <c r="A30" s="113">
        <v>34728</v>
      </c>
      <c r="B30" s="111">
        <f t="shared" si="0"/>
        <v>15</v>
      </c>
      <c r="C30" s="111"/>
      <c r="D30" s="114">
        <v>28</v>
      </c>
      <c r="E30" s="114">
        <v>72</v>
      </c>
    </row>
    <row r="31" spans="1:5" x14ac:dyDescent="0.2">
      <c r="A31" s="113">
        <v>34729</v>
      </c>
      <c r="B31" s="111">
        <f t="shared" si="0"/>
        <v>15</v>
      </c>
      <c r="C31" s="111"/>
      <c r="D31" s="114">
        <v>29</v>
      </c>
      <c r="E31" s="114">
        <v>73</v>
      </c>
    </row>
    <row r="32" spans="1:5" x14ac:dyDescent="0.2">
      <c r="A32" s="113">
        <v>34730</v>
      </c>
      <c r="B32" s="111">
        <f t="shared" si="0"/>
        <v>15</v>
      </c>
      <c r="C32" s="111"/>
      <c r="D32" s="114">
        <v>30</v>
      </c>
      <c r="E32" s="114">
        <v>74</v>
      </c>
    </row>
    <row r="33" spans="1:5" x14ac:dyDescent="0.2">
      <c r="A33" s="113">
        <v>34731</v>
      </c>
      <c r="B33" s="111">
        <f t="shared" si="0"/>
        <v>15</v>
      </c>
      <c r="C33" s="111"/>
      <c r="D33" s="114">
        <v>31</v>
      </c>
      <c r="E33" s="114">
        <v>75</v>
      </c>
    </row>
    <row r="34" spans="1:5" x14ac:dyDescent="0.2">
      <c r="A34" s="113">
        <v>34732</v>
      </c>
      <c r="B34" s="111">
        <f t="shared" si="0"/>
        <v>15</v>
      </c>
      <c r="C34" s="111"/>
      <c r="D34" s="114">
        <v>32</v>
      </c>
      <c r="E34" s="114">
        <v>81</v>
      </c>
    </row>
    <row r="35" spans="1:5" x14ac:dyDescent="0.2">
      <c r="A35" s="113">
        <v>34733</v>
      </c>
      <c r="B35" s="111">
        <f t="shared" si="0"/>
        <v>15</v>
      </c>
      <c r="C35" s="111"/>
      <c r="D35" s="114">
        <v>33</v>
      </c>
      <c r="E35" s="114">
        <v>82</v>
      </c>
    </row>
    <row r="36" spans="1:5" x14ac:dyDescent="0.2">
      <c r="A36" s="113">
        <v>34734</v>
      </c>
      <c r="B36" s="111">
        <f t="shared" si="0"/>
        <v>15</v>
      </c>
      <c r="C36" s="111"/>
      <c r="D36" s="114">
        <v>34</v>
      </c>
      <c r="E36" s="114">
        <v>83</v>
      </c>
    </row>
    <row r="37" spans="1:5" x14ac:dyDescent="0.2">
      <c r="A37" s="113">
        <v>34735</v>
      </c>
      <c r="B37" s="111">
        <f t="shared" si="0"/>
        <v>21</v>
      </c>
      <c r="C37" s="111"/>
      <c r="D37" s="114">
        <v>35</v>
      </c>
      <c r="E37" s="114">
        <v>84</v>
      </c>
    </row>
    <row r="38" spans="1:5" x14ac:dyDescent="0.2">
      <c r="A38" s="113">
        <v>34736</v>
      </c>
      <c r="B38" s="111">
        <f t="shared" si="0"/>
        <v>21</v>
      </c>
      <c r="C38" s="111"/>
      <c r="D38" s="114">
        <v>36</v>
      </c>
      <c r="E38" s="114">
        <v>91</v>
      </c>
    </row>
    <row r="39" spans="1:5" x14ac:dyDescent="0.2">
      <c r="A39" s="113">
        <v>34737</v>
      </c>
      <c r="B39" s="111">
        <f t="shared" si="0"/>
        <v>21</v>
      </c>
      <c r="C39" s="111"/>
      <c r="D39" s="114">
        <v>37</v>
      </c>
      <c r="E39" s="114">
        <v>92</v>
      </c>
    </row>
    <row r="40" spans="1:5" x14ac:dyDescent="0.2">
      <c r="A40" s="113">
        <v>34738</v>
      </c>
      <c r="B40" s="111">
        <f t="shared" si="0"/>
        <v>21</v>
      </c>
      <c r="C40" s="111"/>
      <c r="D40" s="114">
        <v>38</v>
      </c>
      <c r="E40" s="114">
        <v>93</v>
      </c>
    </row>
    <row r="41" spans="1:5" x14ac:dyDescent="0.2">
      <c r="A41" s="113">
        <v>34739</v>
      </c>
      <c r="B41" s="111">
        <f t="shared" si="0"/>
        <v>21</v>
      </c>
      <c r="C41" s="111"/>
      <c r="D41" s="114">
        <v>39</v>
      </c>
      <c r="E41" s="114">
        <v>94</v>
      </c>
    </row>
    <row r="42" spans="1:5" x14ac:dyDescent="0.2">
      <c r="A42" s="113">
        <v>34740</v>
      </c>
      <c r="B42" s="111">
        <f t="shared" si="0"/>
        <v>21</v>
      </c>
      <c r="C42" s="111"/>
      <c r="D42" s="114">
        <v>40</v>
      </c>
      <c r="E42" s="114">
        <v>101</v>
      </c>
    </row>
    <row r="43" spans="1:5" x14ac:dyDescent="0.2">
      <c r="A43" s="113">
        <v>34741</v>
      </c>
      <c r="B43" s="111">
        <f t="shared" si="0"/>
        <v>21</v>
      </c>
      <c r="C43" s="111"/>
      <c r="D43" s="114">
        <v>41</v>
      </c>
      <c r="E43" s="114">
        <v>102</v>
      </c>
    </row>
    <row r="44" spans="1:5" x14ac:dyDescent="0.2">
      <c r="A44" s="113">
        <v>34742</v>
      </c>
      <c r="B44" s="111">
        <f t="shared" si="0"/>
        <v>22</v>
      </c>
      <c r="C44" s="111"/>
      <c r="D44" s="114">
        <v>42</v>
      </c>
      <c r="E44" s="114">
        <v>103</v>
      </c>
    </row>
    <row r="45" spans="1:5" x14ac:dyDescent="0.2">
      <c r="A45" s="113">
        <v>34743</v>
      </c>
      <c r="B45" s="111">
        <f t="shared" si="0"/>
        <v>22</v>
      </c>
      <c r="C45" s="111"/>
      <c r="D45" s="114">
        <v>43</v>
      </c>
      <c r="E45" s="114">
        <v>104</v>
      </c>
    </row>
    <row r="46" spans="1:5" x14ac:dyDescent="0.2">
      <c r="A46" s="113">
        <v>34744</v>
      </c>
      <c r="B46" s="111">
        <f t="shared" si="0"/>
        <v>22</v>
      </c>
      <c r="C46" s="111"/>
      <c r="D46" s="114">
        <v>44</v>
      </c>
      <c r="E46" s="114">
        <v>105</v>
      </c>
    </row>
    <row r="47" spans="1:5" x14ac:dyDescent="0.2">
      <c r="A47" s="113">
        <v>34745</v>
      </c>
      <c r="B47" s="111">
        <f t="shared" si="0"/>
        <v>22</v>
      </c>
      <c r="C47" s="111"/>
      <c r="D47" s="114">
        <v>45</v>
      </c>
      <c r="E47" s="114">
        <v>111</v>
      </c>
    </row>
    <row r="48" spans="1:5" x14ac:dyDescent="0.2">
      <c r="A48" s="113">
        <v>34746</v>
      </c>
      <c r="B48" s="111">
        <f t="shared" si="0"/>
        <v>22</v>
      </c>
      <c r="C48" s="111"/>
      <c r="D48" s="114">
        <v>46</v>
      </c>
      <c r="E48" s="114">
        <v>112</v>
      </c>
    </row>
    <row r="49" spans="1:5" x14ac:dyDescent="0.2">
      <c r="A49" s="113">
        <v>34747</v>
      </c>
      <c r="B49" s="111">
        <f t="shared" si="0"/>
        <v>22</v>
      </c>
      <c r="C49" s="111"/>
      <c r="D49" s="114">
        <v>47</v>
      </c>
      <c r="E49" s="114">
        <v>113</v>
      </c>
    </row>
    <row r="50" spans="1:5" x14ac:dyDescent="0.2">
      <c r="A50" s="113">
        <v>34748</v>
      </c>
      <c r="B50" s="111">
        <f t="shared" si="0"/>
        <v>22</v>
      </c>
      <c r="C50" s="111"/>
      <c r="D50" s="114">
        <v>48</v>
      </c>
      <c r="E50" s="114">
        <v>114</v>
      </c>
    </row>
    <row r="51" spans="1:5" x14ac:dyDescent="0.2">
      <c r="A51" s="113">
        <v>34749</v>
      </c>
      <c r="B51" s="111">
        <f t="shared" si="0"/>
        <v>23</v>
      </c>
      <c r="C51" s="111"/>
      <c r="D51" s="114">
        <v>49</v>
      </c>
      <c r="E51" s="114">
        <v>115</v>
      </c>
    </row>
    <row r="52" spans="1:5" x14ac:dyDescent="0.2">
      <c r="A52" s="113">
        <v>34750</v>
      </c>
      <c r="B52" s="111">
        <f t="shared" si="0"/>
        <v>23</v>
      </c>
      <c r="C52" s="111"/>
      <c r="D52" s="114">
        <v>50</v>
      </c>
      <c r="E52" s="114">
        <v>121</v>
      </c>
    </row>
    <row r="53" spans="1:5" x14ac:dyDescent="0.2">
      <c r="A53" s="113">
        <v>34751</v>
      </c>
      <c r="B53" s="111">
        <f t="shared" si="0"/>
        <v>23</v>
      </c>
      <c r="C53" s="111"/>
      <c r="D53" s="114">
        <v>51</v>
      </c>
      <c r="E53" s="114">
        <v>122</v>
      </c>
    </row>
    <row r="54" spans="1:5" x14ac:dyDescent="0.2">
      <c r="A54" s="113">
        <v>34752</v>
      </c>
      <c r="B54" s="111">
        <f t="shared" si="0"/>
        <v>23</v>
      </c>
      <c r="C54" s="111"/>
      <c r="D54" s="114">
        <v>52</v>
      </c>
      <c r="E54" s="114">
        <v>123</v>
      </c>
    </row>
    <row r="55" spans="1:5" x14ac:dyDescent="0.2">
      <c r="A55" s="113">
        <v>34753</v>
      </c>
      <c r="B55" s="111">
        <f t="shared" si="0"/>
        <v>23</v>
      </c>
      <c r="C55" s="111"/>
      <c r="D55" s="114">
        <v>53</v>
      </c>
      <c r="E55" s="114">
        <v>124</v>
      </c>
    </row>
    <row r="56" spans="1:5" x14ac:dyDescent="0.2">
      <c r="A56" s="113">
        <v>34754</v>
      </c>
      <c r="B56" s="111">
        <f t="shared" si="0"/>
        <v>23</v>
      </c>
      <c r="C56" s="111"/>
      <c r="D56" s="114">
        <v>54</v>
      </c>
      <c r="E56" s="114">
        <v>125</v>
      </c>
    </row>
    <row r="57" spans="1:5" x14ac:dyDescent="0.2">
      <c r="A57" s="113">
        <v>34755</v>
      </c>
      <c r="B57" s="111">
        <f t="shared" si="0"/>
        <v>23</v>
      </c>
      <c r="C57" s="111"/>
      <c r="D57" s="114">
        <v>55</v>
      </c>
      <c r="E57" s="114"/>
    </row>
    <row r="58" spans="1:5" x14ac:dyDescent="0.2">
      <c r="A58" s="113">
        <v>34756</v>
      </c>
      <c r="B58" s="111">
        <f t="shared" si="0"/>
        <v>24</v>
      </c>
      <c r="C58" s="111"/>
      <c r="D58" s="114">
        <v>56</v>
      </c>
      <c r="E58" s="114"/>
    </row>
    <row r="59" spans="1:5" x14ac:dyDescent="0.2">
      <c r="A59" s="113">
        <v>34757</v>
      </c>
      <c r="B59" s="111">
        <f t="shared" si="0"/>
        <v>24</v>
      </c>
      <c r="C59" s="111"/>
      <c r="D59" s="111"/>
      <c r="E59" s="111"/>
    </row>
    <row r="60" spans="1:5" x14ac:dyDescent="0.2">
      <c r="A60" s="113">
        <v>34758</v>
      </c>
      <c r="B60" s="111">
        <f t="shared" si="0"/>
        <v>24</v>
      </c>
      <c r="C60" s="111"/>
      <c r="D60" s="111"/>
      <c r="E60" s="111"/>
    </row>
    <row r="61" spans="1:5" x14ac:dyDescent="0.2">
      <c r="A61" s="113">
        <v>34759</v>
      </c>
      <c r="B61" s="111">
        <f t="shared" si="0"/>
        <v>24</v>
      </c>
      <c r="C61" s="111"/>
      <c r="D61" s="111"/>
      <c r="E61" s="111"/>
    </row>
    <row r="62" spans="1:5" x14ac:dyDescent="0.2">
      <c r="A62" s="113">
        <v>34760</v>
      </c>
      <c r="B62" s="111">
        <f t="shared" si="0"/>
        <v>24</v>
      </c>
      <c r="C62" s="111"/>
      <c r="D62" s="111"/>
      <c r="E62" s="111"/>
    </row>
    <row r="63" spans="1:5" x14ac:dyDescent="0.2">
      <c r="A63" s="113">
        <v>34761</v>
      </c>
      <c r="B63" s="111">
        <f t="shared" si="0"/>
        <v>24</v>
      </c>
      <c r="C63" s="111"/>
      <c r="D63" s="111"/>
      <c r="E63" s="111"/>
    </row>
    <row r="64" spans="1:5" x14ac:dyDescent="0.2">
      <c r="A64" s="113">
        <v>34762</v>
      </c>
      <c r="B64" s="111">
        <f t="shared" si="0"/>
        <v>24</v>
      </c>
      <c r="C64" s="111"/>
      <c r="D64" s="111"/>
      <c r="E64" s="111"/>
    </row>
    <row r="65" spans="1:5" x14ac:dyDescent="0.2">
      <c r="A65" s="113">
        <v>34763</v>
      </c>
      <c r="B65" s="111">
        <f t="shared" si="0"/>
        <v>31</v>
      </c>
      <c r="C65" s="111"/>
      <c r="D65" s="111"/>
      <c r="E65" s="111"/>
    </row>
    <row r="66" spans="1:5" x14ac:dyDescent="0.2">
      <c r="A66" s="113">
        <v>34764</v>
      </c>
      <c r="B66" s="111">
        <f t="shared" ref="B66:B129" si="1">VLOOKUP(WEEKNUM(A66),$D$3:$E$58,2)</f>
        <v>31</v>
      </c>
      <c r="C66" s="111"/>
      <c r="D66" s="111"/>
      <c r="E66" s="111"/>
    </row>
    <row r="67" spans="1:5" x14ac:dyDescent="0.2">
      <c r="A67" s="113">
        <v>34765</v>
      </c>
      <c r="B67" s="111">
        <f t="shared" si="1"/>
        <v>31</v>
      </c>
      <c r="C67" s="111"/>
      <c r="D67" s="111"/>
      <c r="E67" s="111"/>
    </row>
    <row r="68" spans="1:5" x14ac:dyDescent="0.2">
      <c r="A68" s="113">
        <v>34766</v>
      </c>
      <c r="B68" s="111">
        <f t="shared" si="1"/>
        <v>31</v>
      </c>
      <c r="C68" s="111"/>
      <c r="D68" s="111"/>
      <c r="E68" s="111"/>
    </row>
    <row r="69" spans="1:5" x14ac:dyDescent="0.2">
      <c r="A69" s="113">
        <v>34767</v>
      </c>
      <c r="B69" s="111">
        <f t="shared" si="1"/>
        <v>31</v>
      </c>
      <c r="C69" s="111"/>
      <c r="D69" s="111"/>
      <c r="E69" s="111"/>
    </row>
    <row r="70" spans="1:5" x14ac:dyDescent="0.2">
      <c r="A70" s="113">
        <v>34768</v>
      </c>
      <c r="B70" s="111">
        <f t="shared" si="1"/>
        <v>31</v>
      </c>
      <c r="C70" s="111"/>
      <c r="D70" s="111"/>
      <c r="E70" s="111"/>
    </row>
    <row r="71" spans="1:5" x14ac:dyDescent="0.2">
      <c r="A71" s="113">
        <v>34769</v>
      </c>
      <c r="B71" s="111">
        <f t="shared" si="1"/>
        <v>31</v>
      </c>
      <c r="C71" s="111"/>
      <c r="D71" s="111"/>
      <c r="E71" s="111"/>
    </row>
    <row r="72" spans="1:5" x14ac:dyDescent="0.2">
      <c r="A72" s="113">
        <v>34770</v>
      </c>
      <c r="B72" s="111">
        <f t="shared" si="1"/>
        <v>32</v>
      </c>
      <c r="C72" s="111"/>
      <c r="D72" s="111"/>
      <c r="E72" s="111"/>
    </row>
    <row r="73" spans="1:5" x14ac:dyDescent="0.2">
      <c r="A73" s="113">
        <v>34771</v>
      </c>
      <c r="B73" s="111">
        <f t="shared" si="1"/>
        <v>32</v>
      </c>
      <c r="C73" s="111"/>
      <c r="D73" s="111"/>
      <c r="E73" s="111"/>
    </row>
    <row r="74" spans="1:5" x14ac:dyDescent="0.2">
      <c r="A74" s="113">
        <v>34772</v>
      </c>
      <c r="B74" s="111">
        <f t="shared" si="1"/>
        <v>32</v>
      </c>
      <c r="C74" s="111"/>
      <c r="D74" s="111"/>
      <c r="E74" s="111"/>
    </row>
    <row r="75" spans="1:5" x14ac:dyDescent="0.2">
      <c r="A75" s="113">
        <v>34773</v>
      </c>
      <c r="B75" s="111">
        <f t="shared" si="1"/>
        <v>32</v>
      </c>
      <c r="C75" s="111"/>
      <c r="D75" s="111"/>
      <c r="E75" s="111"/>
    </row>
    <row r="76" spans="1:5" x14ac:dyDescent="0.2">
      <c r="A76" s="113">
        <v>34774</v>
      </c>
      <c r="B76" s="111">
        <f t="shared" si="1"/>
        <v>32</v>
      </c>
      <c r="C76" s="111"/>
      <c r="D76" s="111"/>
      <c r="E76" s="111"/>
    </row>
    <row r="77" spans="1:5" x14ac:dyDescent="0.2">
      <c r="A77" s="113">
        <v>34775</v>
      </c>
      <c r="B77" s="111">
        <f t="shared" si="1"/>
        <v>32</v>
      </c>
      <c r="C77" s="111"/>
      <c r="D77" s="111"/>
      <c r="E77" s="111"/>
    </row>
    <row r="78" spans="1:5" x14ac:dyDescent="0.2">
      <c r="A78" s="113">
        <v>34776</v>
      </c>
      <c r="B78" s="111">
        <f t="shared" si="1"/>
        <v>32</v>
      </c>
      <c r="C78" s="111"/>
      <c r="D78" s="111"/>
      <c r="E78" s="111"/>
    </row>
    <row r="79" spans="1:5" x14ac:dyDescent="0.2">
      <c r="A79" s="113">
        <v>34777</v>
      </c>
      <c r="B79" s="111">
        <f t="shared" si="1"/>
        <v>33</v>
      </c>
      <c r="C79" s="111"/>
      <c r="D79" s="111"/>
      <c r="E79" s="111"/>
    </row>
    <row r="80" spans="1:5" x14ac:dyDescent="0.2">
      <c r="A80" s="113">
        <v>34778</v>
      </c>
      <c r="B80" s="111">
        <f t="shared" si="1"/>
        <v>33</v>
      </c>
      <c r="C80" s="111"/>
      <c r="D80" s="111"/>
      <c r="E80" s="111"/>
    </row>
    <row r="81" spans="1:5" x14ac:dyDescent="0.2">
      <c r="A81" s="113">
        <v>34779</v>
      </c>
      <c r="B81" s="111">
        <f t="shared" si="1"/>
        <v>33</v>
      </c>
      <c r="C81" s="111"/>
      <c r="D81" s="111"/>
      <c r="E81" s="111"/>
    </row>
    <row r="82" spans="1:5" x14ac:dyDescent="0.2">
      <c r="A82" s="113">
        <v>34780</v>
      </c>
      <c r="B82" s="111">
        <f t="shared" si="1"/>
        <v>33</v>
      </c>
      <c r="C82" s="111"/>
      <c r="D82" s="111"/>
      <c r="E82" s="111"/>
    </row>
    <row r="83" spans="1:5" x14ac:dyDescent="0.2">
      <c r="A83" s="113">
        <v>34781</v>
      </c>
      <c r="B83" s="111">
        <f t="shared" si="1"/>
        <v>33</v>
      </c>
      <c r="C83" s="111"/>
      <c r="D83" s="111"/>
      <c r="E83" s="111"/>
    </row>
    <row r="84" spans="1:5" x14ac:dyDescent="0.2">
      <c r="A84" s="113">
        <v>34782</v>
      </c>
      <c r="B84" s="111">
        <f t="shared" si="1"/>
        <v>33</v>
      </c>
      <c r="C84" s="111"/>
      <c r="D84" s="111"/>
      <c r="E84" s="111"/>
    </row>
    <row r="85" spans="1:5" x14ac:dyDescent="0.2">
      <c r="A85" s="113">
        <v>34783</v>
      </c>
      <c r="B85" s="111">
        <f t="shared" si="1"/>
        <v>33</v>
      </c>
      <c r="C85" s="111"/>
      <c r="D85" s="111"/>
      <c r="E85" s="111"/>
    </row>
    <row r="86" spans="1:5" x14ac:dyDescent="0.2">
      <c r="A86" s="113">
        <v>34784</v>
      </c>
      <c r="B86" s="111">
        <f t="shared" si="1"/>
        <v>34</v>
      </c>
      <c r="C86" s="111"/>
      <c r="D86" s="111"/>
      <c r="E86" s="111"/>
    </row>
    <row r="87" spans="1:5" x14ac:dyDescent="0.2">
      <c r="A87" s="113">
        <v>34785</v>
      </c>
      <c r="B87" s="111">
        <f t="shared" si="1"/>
        <v>34</v>
      </c>
      <c r="C87" s="111"/>
      <c r="D87" s="111"/>
      <c r="E87" s="111"/>
    </row>
    <row r="88" spans="1:5" x14ac:dyDescent="0.2">
      <c r="A88" s="113">
        <v>34786</v>
      </c>
      <c r="B88" s="111">
        <f t="shared" si="1"/>
        <v>34</v>
      </c>
      <c r="C88" s="111"/>
      <c r="D88" s="111"/>
      <c r="E88" s="111"/>
    </row>
    <row r="89" spans="1:5" x14ac:dyDescent="0.2">
      <c r="A89" s="113">
        <v>34787</v>
      </c>
      <c r="B89" s="111">
        <f t="shared" si="1"/>
        <v>34</v>
      </c>
      <c r="C89" s="111"/>
      <c r="D89" s="111"/>
      <c r="E89" s="111"/>
    </row>
    <row r="90" spans="1:5" x14ac:dyDescent="0.2">
      <c r="A90" s="113">
        <v>34788</v>
      </c>
      <c r="B90" s="111">
        <f t="shared" si="1"/>
        <v>34</v>
      </c>
      <c r="C90" s="111"/>
      <c r="D90" s="111"/>
      <c r="E90" s="111"/>
    </row>
    <row r="91" spans="1:5" x14ac:dyDescent="0.2">
      <c r="A91" s="113">
        <v>34789</v>
      </c>
      <c r="B91" s="111">
        <f t="shared" si="1"/>
        <v>34</v>
      </c>
      <c r="C91" s="111"/>
      <c r="D91" s="111"/>
      <c r="E91" s="111"/>
    </row>
    <row r="92" spans="1:5" x14ac:dyDescent="0.2">
      <c r="A92" s="113">
        <v>34790</v>
      </c>
      <c r="B92" s="111">
        <f t="shared" si="1"/>
        <v>34</v>
      </c>
      <c r="C92" s="111"/>
      <c r="D92" s="111"/>
      <c r="E92" s="111"/>
    </row>
    <row r="93" spans="1:5" x14ac:dyDescent="0.2">
      <c r="A93" s="113">
        <v>34791</v>
      </c>
      <c r="B93" s="111">
        <f t="shared" si="1"/>
        <v>41</v>
      </c>
      <c r="C93" s="111"/>
      <c r="D93" s="111"/>
      <c r="E93" s="111"/>
    </row>
    <row r="94" spans="1:5" x14ac:dyDescent="0.2">
      <c r="A94" s="113">
        <v>34792</v>
      </c>
      <c r="B94" s="111">
        <f t="shared" si="1"/>
        <v>41</v>
      </c>
      <c r="C94" s="111"/>
      <c r="D94" s="111"/>
      <c r="E94" s="111"/>
    </row>
    <row r="95" spans="1:5" x14ac:dyDescent="0.2">
      <c r="A95" s="113">
        <v>34793</v>
      </c>
      <c r="B95" s="111">
        <f t="shared" si="1"/>
        <v>41</v>
      </c>
      <c r="C95" s="111"/>
      <c r="D95" s="111"/>
      <c r="E95" s="111"/>
    </row>
    <row r="96" spans="1:5" x14ac:dyDescent="0.2">
      <c r="A96" s="113">
        <v>34794</v>
      </c>
      <c r="B96" s="111">
        <f t="shared" si="1"/>
        <v>41</v>
      </c>
      <c r="C96" s="111"/>
      <c r="D96" s="111"/>
      <c r="E96" s="111"/>
    </row>
    <row r="97" spans="1:5" x14ac:dyDescent="0.2">
      <c r="A97" s="113">
        <v>34795</v>
      </c>
      <c r="B97" s="111">
        <f t="shared" si="1"/>
        <v>41</v>
      </c>
      <c r="C97" s="111"/>
      <c r="D97" s="111"/>
      <c r="E97" s="111"/>
    </row>
    <row r="98" spans="1:5" x14ac:dyDescent="0.2">
      <c r="A98" s="113">
        <v>34796</v>
      </c>
      <c r="B98" s="111">
        <f t="shared" si="1"/>
        <v>41</v>
      </c>
      <c r="C98" s="111"/>
      <c r="D98" s="111"/>
      <c r="E98" s="111"/>
    </row>
    <row r="99" spans="1:5" x14ac:dyDescent="0.2">
      <c r="A99" s="113">
        <v>34797</v>
      </c>
      <c r="B99" s="111">
        <f t="shared" si="1"/>
        <v>41</v>
      </c>
      <c r="C99" s="111"/>
      <c r="D99" s="111"/>
      <c r="E99" s="111"/>
    </row>
    <row r="100" spans="1:5" x14ac:dyDescent="0.2">
      <c r="A100" s="113">
        <v>34798</v>
      </c>
      <c r="B100" s="111">
        <f t="shared" si="1"/>
        <v>42</v>
      </c>
      <c r="C100" s="111"/>
      <c r="D100" s="111"/>
      <c r="E100" s="111"/>
    </row>
    <row r="101" spans="1:5" x14ac:dyDescent="0.2">
      <c r="A101" s="113">
        <v>34799</v>
      </c>
      <c r="B101" s="111">
        <f t="shared" si="1"/>
        <v>42</v>
      </c>
      <c r="C101" s="111"/>
      <c r="D101" s="111"/>
      <c r="E101" s="111"/>
    </row>
    <row r="102" spans="1:5" x14ac:dyDescent="0.2">
      <c r="A102" s="113">
        <v>34800</v>
      </c>
      <c r="B102" s="111">
        <f t="shared" si="1"/>
        <v>42</v>
      </c>
      <c r="C102" s="111"/>
      <c r="D102" s="111"/>
      <c r="E102" s="111"/>
    </row>
    <row r="103" spans="1:5" x14ac:dyDescent="0.2">
      <c r="A103" s="113">
        <v>34801</v>
      </c>
      <c r="B103" s="111">
        <f t="shared" si="1"/>
        <v>42</v>
      </c>
      <c r="C103" s="111"/>
      <c r="D103" s="111"/>
      <c r="E103" s="111"/>
    </row>
    <row r="104" spans="1:5" x14ac:dyDescent="0.2">
      <c r="A104" s="113">
        <v>34802</v>
      </c>
      <c r="B104" s="111">
        <f t="shared" si="1"/>
        <v>42</v>
      </c>
      <c r="C104" s="111"/>
      <c r="D104" s="111"/>
      <c r="E104" s="111"/>
    </row>
    <row r="105" spans="1:5" x14ac:dyDescent="0.2">
      <c r="A105" s="113">
        <v>34803</v>
      </c>
      <c r="B105" s="111">
        <f t="shared" si="1"/>
        <v>42</v>
      </c>
      <c r="C105" s="111"/>
      <c r="D105" s="111"/>
      <c r="E105" s="111"/>
    </row>
    <row r="106" spans="1:5" x14ac:dyDescent="0.2">
      <c r="A106" s="113">
        <v>34804</v>
      </c>
      <c r="B106" s="111">
        <f t="shared" si="1"/>
        <v>42</v>
      </c>
      <c r="C106" s="111"/>
      <c r="D106" s="111"/>
      <c r="E106" s="111"/>
    </row>
    <row r="107" spans="1:5" x14ac:dyDescent="0.2">
      <c r="A107" s="113">
        <v>34805</v>
      </c>
      <c r="B107" s="111">
        <f t="shared" si="1"/>
        <v>43</v>
      </c>
      <c r="C107" s="111"/>
      <c r="D107" s="111"/>
      <c r="E107" s="111"/>
    </row>
    <row r="108" spans="1:5" x14ac:dyDescent="0.2">
      <c r="A108" s="113">
        <v>34806</v>
      </c>
      <c r="B108" s="111">
        <f t="shared" si="1"/>
        <v>43</v>
      </c>
      <c r="C108" s="111"/>
      <c r="D108" s="111"/>
      <c r="E108" s="111"/>
    </row>
    <row r="109" spans="1:5" x14ac:dyDescent="0.2">
      <c r="A109" s="113">
        <v>34807</v>
      </c>
      <c r="B109" s="111">
        <f t="shared" si="1"/>
        <v>43</v>
      </c>
      <c r="C109" s="111"/>
      <c r="D109" s="111"/>
      <c r="E109" s="111"/>
    </row>
    <row r="110" spans="1:5" x14ac:dyDescent="0.2">
      <c r="A110" s="113">
        <v>34808</v>
      </c>
      <c r="B110" s="111">
        <f t="shared" si="1"/>
        <v>43</v>
      </c>
      <c r="C110" s="111"/>
      <c r="D110" s="111"/>
      <c r="E110" s="111"/>
    </row>
    <row r="111" spans="1:5" x14ac:dyDescent="0.2">
      <c r="A111" s="113">
        <v>34809</v>
      </c>
      <c r="B111" s="111">
        <f t="shared" si="1"/>
        <v>43</v>
      </c>
      <c r="C111" s="111"/>
      <c r="D111" s="111"/>
      <c r="E111" s="111"/>
    </row>
    <row r="112" spans="1:5" x14ac:dyDescent="0.2">
      <c r="A112" s="113">
        <v>34810</v>
      </c>
      <c r="B112" s="111">
        <f t="shared" si="1"/>
        <v>43</v>
      </c>
      <c r="C112" s="111"/>
      <c r="D112" s="111"/>
      <c r="E112" s="111"/>
    </row>
    <row r="113" spans="1:5" x14ac:dyDescent="0.2">
      <c r="A113" s="113">
        <v>34811</v>
      </c>
      <c r="B113" s="111">
        <f t="shared" si="1"/>
        <v>43</v>
      </c>
      <c r="C113" s="111"/>
      <c r="D113" s="111"/>
      <c r="E113" s="111"/>
    </row>
    <row r="114" spans="1:5" x14ac:dyDescent="0.2">
      <c r="A114" s="113">
        <v>34812</v>
      </c>
      <c r="B114" s="111">
        <f t="shared" si="1"/>
        <v>44</v>
      </c>
      <c r="C114" s="111"/>
      <c r="D114" s="111"/>
      <c r="E114" s="111"/>
    </row>
    <row r="115" spans="1:5" x14ac:dyDescent="0.2">
      <c r="A115" s="113">
        <v>34813</v>
      </c>
      <c r="B115" s="111">
        <f t="shared" si="1"/>
        <v>44</v>
      </c>
      <c r="C115" s="111"/>
      <c r="D115" s="111"/>
      <c r="E115" s="111"/>
    </row>
    <row r="116" spans="1:5" x14ac:dyDescent="0.2">
      <c r="A116" s="113">
        <v>34814</v>
      </c>
      <c r="B116" s="111">
        <f t="shared" si="1"/>
        <v>44</v>
      </c>
      <c r="C116" s="111"/>
      <c r="D116" s="111"/>
      <c r="E116" s="111"/>
    </row>
    <row r="117" spans="1:5" x14ac:dyDescent="0.2">
      <c r="A117" s="113">
        <v>34815</v>
      </c>
      <c r="B117" s="111">
        <f t="shared" si="1"/>
        <v>44</v>
      </c>
      <c r="C117" s="111"/>
      <c r="D117" s="111"/>
      <c r="E117" s="111"/>
    </row>
    <row r="118" spans="1:5" x14ac:dyDescent="0.2">
      <c r="A118" s="113">
        <v>34816</v>
      </c>
      <c r="B118" s="111">
        <f t="shared" si="1"/>
        <v>44</v>
      </c>
      <c r="C118" s="111"/>
      <c r="D118" s="111"/>
      <c r="E118" s="111"/>
    </row>
    <row r="119" spans="1:5" x14ac:dyDescent="0.2">
      <c r="A119" s="113">
        <v>34817</v>
      </c>
      <c r="B119" s="111">
        <f t="shared" si="1"/>
        <v>44</v>
      </c>
      <c r="C119" s="111"/>
      <c r="D119" s="111"/>
      <c r="E119" s="111"/>
    </row>
    <row r="120" spans="1:5" x14ac:dyDescent="0.2">
      <c r="A120" s="113">
        <v>34818</v>
      </c>
      <c r="B120" s="111">
        <f t="shared" si="1"/>
        <v>44</v>
      </c>
      <c r="C120" s="111"/>
      <c r="D120" s="111"/>
      <c r="E120" s="111"/>
    </row>
    <row r="121" spans="1:5" x14ac:dyDescent="0.2">
      <c r="A121" s="113">
        <v>34819</v>
      </c>
      <c r="B121" s="111">
        <f t="shared" si="1"/>
        <v>45</v>
      </c>
      <c r="C121" s="111"/>
      <c r="D121" s="111"/>
      <c r="E121" s="111"/>
    </row>
    <row r="122" spans="1:5" x14ac:dyDescent="0.2">
      <c r="A122" s="113">
        <v>34820</v>
      </c>
      <c r="B122" s="111">
        <f t="shared" si="1"/>
        <v>45</v>
      </c>
      <c r="C122" s="111"/>
      <c r="D122" s="111"/>
      <c r="E122" s="111"/>
    </row>
    <row r="123" spans="1:5" x14ac:dyDescent="0.2">
      <c r="A123" s="113">
        <v>34821</v>
      </c>
      <c r="B123" s="111">
        <f t="shared" si="1"/>
        <v>45</v>
      </c>
      <c r="C123" s="111"/>
      <c r="D123" s="111"/>
      <c r="E123" s="111"/>
    </row>
    <row r="124" spans="1:5" x14ac:dyDescent="0.2">
      <c r="A124" s="113">
        <v>34822</v>
      </c>
      <c r="B124" s="111">
        <f t="shared" si="1"/>
        <v>45</v>
      </c>
      <c r="C124" s="111"/>
      <c r="D124" s="111"/>
      <c r="E124" s="111"/>
    </row>
    <row r="125" spans="1:5" x14ac:dyDescent="0.2">
      <c r="A125" s="113">
        <v>34823</v>
      </c>
      <c r="B125" s="111">
        <f t="shared" si="1"/>
        <v>45</v>
      </c>
      <c r="C125" s="111"/>
      <c r="D125" s="111"/>
      <c r="E125" s="111"/>
    </row>
    <row r="126" spans="1:5" x14ac:dyDescent="0.2">
      <c r="A126" s="113">
        <v>34824</v>
      </c>
      <c r="B126" s="111">
        <f t="shared" si="1"/>
        <v>45</v>
      </c>
      <c r="C126" s="111"/>
      <c r="D126" s="111"/>
      <c r="E126" s="111"/>
    </row>
    <row r="127" spans="1:5" x14ac:dyDescent="0.2">
      <c r="A127" s="113">
        <v>34825</v>
      </c>
      <c r="B127" s="111">
        <f t="shared" si="1"/>
        <v>45</v>
      </c>
      <c r="C127" s="111"/>
      <c r="D127" s="111"/>
      <c r="E127" s="111"/>
    </row>
    <row r="128" spans="1:5" x14ac:dyDescent="0.2">
      <c r="A128" s="113">
        <v>34826</v>
      </c>
      <c r="B128" s="111">
        <f t="shared" si="1"/>
        <v>51</v>
      </c>
      <c r="C128" s="111"/>
      <c r="D128" s="111"/>
      <c r="E128" s="111"/>
    </row>
    <row r="129" spans="1:5" x14ac:dyDescent="0.2">
      <c r="A129" s="113">
        <v>34827</v>
      </c>
      <c r="B129" s="111">
        <f t="shared" si="1"/>
        <v>51</v>
      </c>
      <c r="C129" s="111"/>
      <c r="D129" s="111"/>
      <c r="E129" s="111"/>
    </row>
    <row r="130" spans="1:5" x14ac:dyDescent="0.2">
      <c r="A130" s="113">
        <v>34828</v>
      </c>
      <c r="B130" s="111">
        <f t="shared" ref="B130:B193" si="2">VLOOKUP(WEEKNUM(A130),$D$3:$E$58,2)</f>
        <v>51</v>
      </c>
      <c r="C130" s="111"/>
      <c r="D130" s="111"/>
      <c r="E130" s="111"/>
    </row>
    <row r="131" spans="1:5" x14ac:dyDescent="0.2">
      <c r="A131" s="113">
        <v>34829</v>
      </c>
      <c r="B131" s="111">
        <f t="shared" si="2"/>
        <v>51</v>
      </c>
      <c r="C131" s="111"/>
      <c r="D131" s="111"/>
      <c r="E131" s="111"/>
    </row>
    <row r="132" spans="1:5" x14ac:dyDescent="0.2">
      <c r="A132" s="113">
        <v>34830</v>
      </c>
      <c r="B132" s="111">
        <f t="shared" si="2"/>
        <v>51</v>
      </c>
      <c r="C132" s="111"/>
      <c r="D132" s="111"/>
      <c r="E132" s="111"/>
    </row>
    <row r="133" spans="1:5" x14ac:dyDescent="0.2">
      <c r="A133" s="113">
        <v>34831</v>
      </c>
      <c r="B133" s="111">
        <f t="shared" si="2"/>
        <v>51</v>
      </c>
      <c r="C133" s="111"/>
      <c r="D133" s="111"/>
      <c r="E133" s="111"/>
    </row>
    <row r="134" spans="1:5" x14ac:dyDescent="0.2">
      <c r="A134" s="113">
        <v>34832</v>
      </c>
      <c r="B134" s="111">
        <f t="shared" si="2"/>
        <v>51</v>
      </c>
      <c r="C134" s="111"/>
      <c r="D134" s="111"/>
      <c r="E134" s="111"/>
    </row>
    <row r="135" spans="1:5" x14ac:dyDescent="0.2">
      <c r="A135" s="113">
        <v>34833</v>
      </c>
      <c r="B135" s="111">
        <f t="shared" si="2"/>
        <v>52</v>
      </c>
      <c r="C135" s="111"/>
      <c r="D135" s="111"/>
      <c r="E135" s="111"/>
    </row>
    <row r="136" spans="1:5" x14ac:dyDescent="0.2">
      <c r="A136" s="113">
        <v>34834</v>
      </c>
      <c r="B136" s="111">
        <f t="shared" si="2"/>
        <v>52</v>
      </c>
      <c r="C136" s="111"/>
      <c r="D136" s="111"/>
      <c r="E136" s="111"/>
    </row>
    <row r="137" spans="1:5" x14ac:dyDescent="0.2">
      <c r="A137" s="113">
        <v>34835</v>
      </c>
      <c r="B137" s="111">
        <f t="shared" si="2"/>
        <v>52</v>
      </c>
      <c r="C137" s="111"/>
      <c r="D137" s="111"/>
      <c r="E137" s="111"/>
    </row>
    <row r="138" spans="1:5" x14ac:dyDescent="0.2">
      <c r="A138" s="113">
        <v>34836</v>
      </c>
      <c r="B138" s="111">
        <f t="shared" si="2"/>
        <v>52</v>
      </c>
      <c r="C138" s="111"/>
      <c r="D138" s="111"/>
      <c r="E138" s="111"/>
    </row>
    <row r="139" spans="1:5" x14ac:dyDescent="0.2">
      <c r="A139" s="113">
        <v>34837</v>
      </c>
      <c r="B139" s="111">
        <f t="shared" si="2"/>
        <v>52</v>
      </c>
      <c r="C139" s="111"/>
      <c r="D139" s="111"/>
      <c r="E139" s="111"/>
    </row>
    <row r="140" spans="1:5" x14ac:dyDescent="0.2">
      <c r="A140" s="113">
        <v>34838</v>
      </c>
      <c r="B140" s="111">
        <f t="shared" si="2"/>
        <v>52</v>
      </c>
      <c r="C140" s="111"/>
      <c r="D140" s="111"/>
      <c r="E140" s="111"/>
    </row>
    <row r="141" spans="1:5" x14ac:dyDescent="0.2">
      <c r="A141" s="113">
        <v>34839</v>
      </c>
      <c r="B141" s="111">
        <f t="shared" si="2"/>
        <v>52</v>
      </c>
      <c r="C141" s="111"/>
      <c r="D141" s="111"/>
      <c r="E141" s="111"/>
    </row>
    <row r="142" spans="1:5" x14ac:dyDescent="0.2">
      <c r="A142" s="113">
        <v>34840</v>
      </c>
      <c r="B142" s="111">
        <f t="shared" si="2"/>
        <v>53</v>
      </c>
      <c r="C142" s="111"/>
      <c r="D142" s="111"/>
      <c r="E142" s="111"/>
    </row>
    <row r="143" spans="1:5" x14ac:dyDescent="0.2">
      <c r="A143" s="113">
        <v>34841</v>
      </c>
      <c r="B143" s="111">
        <f t="shared" si="2"/>
        <v>53</v>
      </c>
      <c r="C143" s="111"/>
      <c r="D143" s="111"/>
      <c r="E143" s="111"/>
    </row>
    <row r="144" spans="1:5" x14ac:dyDescent="0.2">
      <c r="A144" s="113">
        <v>34842</v>
      </c>
      <c r="B144" s="111">
        <f t="shared" si="2"/>
        <v>53</v>
      </c>
      <c r="C144" s="111"/>
      <c r="D144" s="111"/>
      <c r="E144" s="111"/>
    </row>
    <row r="145" spans="1:5" x14ac:dyDescent="0.2">
      <c r="A145" s="113">
        <v>34843</v>
      </c>
      <c r="B145" s="111">
        <f t="shared" si="2"/>
        <v>53</v>
      </c>
      <c r="C145" s="111"/>
      <c r="D145" s="111"/>
      <c r="E145" s="111"/>
    </row>
    <row r="146" spans="1:5" x14ac:dyDescent="0.2">
      <c r="A146" s="113">
        <v>34844</v>
      </c>
      <c r="B146" s="111">
        <f t="shared" si="2"/>
        <v>53</v>
      </c>
      <c r="C146" s="111"/>
      <c r="D146" s="111"/>
      <c r="E146" s="111"/>
    </row>
    <row r="147" spans="1:5" x14ac:dyDescent="0.2">
      <c r="A147" s="113">
        <v>34845</v>
      </c>
      <c r="B147" s="111">
        <f t="shared" si="2"/>
        <v>53</v>
      </c>
      <c r="C147" s="111"/>
      <c r="D147" s="111"/>
      <c r="E147" s="111"/>
    </row>
    <row r="148" spans="1:5" x14ac:dyDescent="0.2">
      <c r="A148" s="113">
        <v>34846</v>
      </c>
      <c r="B148" s="111">
        <f t="shared" si="2"/>
        <v>53</v>
      </c>
      <c r="C148" s="111"/>
      <c r="D148" s="111"/>
      <c r="E148" s="111"/>
    </row>
    <row r="149" spans="1:5" x14ac:dyDescent="0.2">
      <c r="A149" s="113">
        <v>34847</v>
      </c>
      <c r="B149" s="111">
        <f t="shared" si="2"/>
        <v>54</v>
      </c>
      <c r="C149" s="111"/>
      <c r="D149" s="111"/>
      <c r="E149" s="111"/>
    </row>
    <row r="150" spans="1:5" x14ac:dyDescent="0.2">
      <c r="A150" s="113">
        <v>34848</v>
      </c>
      <c r="B150" s="111">
        <f t="shared" si="2"/>
        <v>54</v>
      </c>
      <c r="C150" s="111"/>
      <c r="D150" s="111"/>
      <c r="E150" s="111"/>
    </row>
    <row r="151" spans="1:5" x14ac:dyDescent="0.2">
      <c r="A151" s="113">
        <v>34849</v>
      </c>
      <c r="B151" s="111">
        <f t="shared" si="2"/>
        <v>54</v>
      </c>
      <c r="C151" s="111"/>
      <c r="D151" s="111"/>
      <c r="E151" s="111"/>
    </row>
    <row r="152" spans="1:5" x14ac:dyDescent="0.2">
      <c r="A152" s="113">
        <v>34850</v>
      </c>
      <c r="B152" s="111">
        <f t="shared" si="2"/>
        <v>54</v>
      </c>
      <c r="C152" s="111"/>
      <c r="D152" s="111"/>
      <c r="E152" s="111"/>
    </row>
    <row r="153" spans="1:5" x14ac:dyDescent="0.2">
      <c r="A153" s="113">
        <v>34851</v>
      </c>
      <c r="B153" s="111">
        <f t="shared" si="2"/>
        <v>54</v>
      </c>
      <c r="C153" s="111"/>
      <c r="D153" s="111"/>
      <c r="E153" s="111"/>
    </row>
    <row r="154" spans="1:5" x14ac:dyDescent="0.2">
      <c r="A154" s="113">
        <v>34852</v>
      </c>
      <c r="B154" s="111">
        <f t="shared" si="2"/>
        <v>54</v>
      </c>
      <c r="C154" s="111"/>
      <c r="D154" s="111"/>
      <c r="E154" s="111"/>
    </row>
    <row r="155" spans="1:5" x14ac:dyDescent="0.2">
      <c r="A155" s="113">
        <v>34853</v>
      </c>
      <c r="B155" s="111">
        <f t="shared" si="2"/>
        <v>54</v>
      </c>
      <c r="C155" s="111"/>
      <c r="D155" s="111"/>
      <c r="E155" s="111"/>
    </row>
    <row r="156" spans="1:5" x14ac:dyDescent="0.2">
      <c r="A156" s="113">
        <v>34854</v>
      </c>
      <c r="B156" s="111">
        <f t="shared" si="2"/>
        <v>61</v>
      </c>
      <c r="C156" s="111"/>
      <c r="D156" s="111"/>
      <c r="E156" s="111"/>
    </row>
    <row r="157" spans="1:5" x14ac:dyDescent="0.2">
      <c r="A157" s="113">
        <v>34855</v>
      </c>
      <c r="B157" s="111">
        <f t="shared" si="2"/>
        <v>61</v>
      </c>
      <c r="C157" s="111"/>
      <c r="D157" s="111"/>
      <c r="E157" s="111"/>
    </row>
    <row r="158" spans="1:5" x14ac:dyDescent="0.2">
      <c r="A158" s="113">
        <v>34856</v>
      </c>
      <c r="B158" s="111">
        <f t="shared" si="2"/>
        <v>61</v>
      </c>
      <c r="C158" s="111"/>
      <c r="D158" s="111"/>
      <c r="E158" s="111"/>
    </row>
    <row r="159" spans="1:5" x14ac:dyDescent="0.2">
      <c r="A159" s="113">
        <v>34857</v>
      </c>
      <c r="B159" s="111">
        <f t="shared" si="2"/>
        <v>61</v>
      </c>
      <c r="C159" s="111"/>
      <c r="D159" s="111"/>
      <c r="E159" s="111"/>
    </row>
    <row r="160" spans="1:5" x14ac:dyDescent="0.2">
      <c r="A160" s="113">
        <v>34858</v>
      </c>
      <c r="B160" s="111">
        <f t="shared" si="2"/>
        <v>61</v>
      </c>
      <c r="C160" s="111"/>
      <c r="D160" s="111"/>
      <c r="E160" s="111"/>
    </row>
    <row r="161" spans="1:5" x14ac:dyDescent="0.2">
      <c r="A161" s="113">
        <v>34859</v>
      </c>
      <c r="B161" s="111">
        <f t="shared" si="2"/>
        <v>61</v>
      </c>
      <c r="C161" s="111"/>
      <c r="D161" s="111"/>
      <c r="E161" s="111"/>
    </row>
    <row r="162" spans="1:5" x14ac:dyDescent="0.2">
      <c r="A162" s="113">
        <v>34860</v>
      </c>
      <c r="B162" s="111">
        <f t="shared" si="2"/>
        <v>61</v>
      </c>
      <c r="C162" s="111"/>
      <c r="D162" s="111"/>
      <c r="E162" s="111"/>
    </row>
    <row r="163" spans="1:5" x14ac:dyDescent="0.2">
      <c r="A163" s="113">
        <v>34861</v>
      </c>
      <c r="B163" s="111">
        <f t="shared" si="2"/>
        <v>62</v>
      </c>
      <c r="C163" s="111"/>
      <c r="D163" s="111"/>
      <c r="E163" s="111"/>
    </row>
    <row r="164" spans="1:5" x14ac:dyDescent="0.2">
      <c r="A164" s="113">
        <v>34862</v>
      </c>
      <c r="B164" s="111">
        <f t="shared" si="2"/>
        <v>62</v>
      </c>
      <c r="C164" s="111"/>
      <c r="D164" s="111"/>
      <c r="E164" s="111"/>
    </row>
    <row r="165" spans="1:5" x14ac:dyDescent="0.2">
      <c r="A165" s="113">
        <v>34863</v>
      </c>
      <c r="B165" s="111">
        <f t="shared" si="2"/>
        <v>62</v>
      </c>
      <c r="C165" s="111"/>
      <c r="D165" s="111"/>
      <c r="E165" s="111"/>
    </row>
    <row r="166" spans="1:5" x14ac:dyDescent="0.2">
      <c r="A166" s="113">
        <v>34864</v>
      </c>
      <c r="B166" s="111">
        <f t="shared" si="2"/>
        <v>62</v>
      </c>
      <c r="C166" s="111"/>
      <c r="D166" s="111"/>
      <c r="E166" s="111"/>
    </row>
    <row r="167" spans="1:5" x14ac:dyDescent="0.2">
      <c r="A167" s="113">
        <v>34865</v>
      </c>
      <c r="B167" s="111">
        <f t="shared" si="2"/>
        <v>62</v>
      </c>
      <c r="C167" s="111"/>
      <c r="D167" s="111"/>
      <c r="E167" s="111"/>
    </row>
    <row r="168" spans="1:5" x14ac:dyDescent="0.2">
      <c r="A168" s="113">
        <v>34866</v>
      </c>
      <c r="B168" s="111">
        <f t="shared" si="2"/>
        <v>62</v>
      </c>
      <c r="C168" s="111"/>
      <c r="D168" s="111"/>
      <c r="E168" s="111"/>
    </row>
    <row r="169" spans="1:5" x14ac:dyDescent="0.2">
      <c r="A169" s="113">
        <v>34867</v>
      </c>
      <c r="B169" s="111">
        <f t="shared" si="2"/>
        <v>62</v>
      </c>
      <c r="C169" s="111"/>
      <c r="D169" s="111"/>
      <c r="E169" s="111"/>
    </row>
    <row r="170" spans="1:5" x14ac:dyDescent="0.2">
      <c r="A170" s="113">
        <v>34868</v>
      </c>
      <c r="B170" s="111">
        <f t="shared" si="2"/>
        <v>63</v>
      </c>
      <c r="C170" s="111"/>
      <c r="D170" s="111"/>
      <c r="E170" s="111"/>
    </row>
    <row r="171" spans="1:5" x14ac:dyDescent="0.2">
      <c r="A171" s="113">
        <v>34869</v>
      </c>
      <c r="B171" s="111">
        <f t="shared" si="2"/>
        <v>63</v>
      </c>
      <c r="C171" s="111"/>
      <c r="D171" s="111"/>
      <c r="E171" s="111"/>
    </row>
    <row r="172" spans="1:5" x14ac:dyDescent="0.2">
      <c r="A172" s="113">
        <v>34870</v>
      </c>
      <c r="B172" s="111">
        <f t="shared" si="2"/>
        <v>63</v>
      </c>
      <c r="C172" s="111"/>
      <c r="D172" s="111"/>
      <c r="E172" s="111"/>
    </row>
    <row r="173" spans="1:5" x14ac:dyDescent="0.2">
      <c r="A173" s="113">
        <v>34871</v>
      </c>
      <c r="B173" s="111">
        <f t="shared" si="2"/>
        <v>63</v>
      </c>
      <c r="C173" s="111"/>
      <c r="D173" s="111"/>
      <c r="E173" s="111"/>
    </row>
    <row r="174" spans="1:5" x14ac:dyDescent="0.2">
      <c r="A174" s="113">
        <v>34872</v>
      </c>
      <c r="B174" s="111">
        <f t="shared" si="2"/>
        <v>63</v>
      </c>
      <c r="C174" s="111"/>
      <c r="D174" s="111"/>
      <c r="E174" s="111"/>
    </row>
    <row r="175" spans="1:5" x14ac:dyDescent="0.2">
      <c r="A175" s="113">
        <v>34873</v>
      </c>
      <c r="B175" s="111">
        <f t="shared" si="2"/>
        <v>63</v>
      </c>
      <c r="C175" s="111"/>
      <c r="D175" s="111"/>
      <c r="E175" s="111"/>
    </row>
    <row r="176" spans="1:5" x14ac:dyDescent="0.2">
      <c r="A176" s="113">
        <v>34874</v>
      </c>
      <c r="B176" s="111">
        <f t="shared" si="2"/>
        <v>63</v>
      </c>
      <c r="C176" s="111"/>
      <c r="D176" s="111"/>
      <c r="E176" s="111"/>
    </row>
    <row r="177" spans="1:5" x14ac:dyDescent="0.2">
      <c r="A177" s="113">
        <v>34875</v>
      </c>
      <c r="B177" s="111">
        <f t="shared" si="2"/>
        <v>64</v>
      </c>
      <c r="C177" s="111"/>
      <c r="D177" s="111"/>
      <c r="E177" s="111"/>
    </row>
    <row r="178" spans="1:5" x14ac:dyDescent="0.2">
      <c r="A178" s="113">
        <v>34876</v>
      </c>
      <c r="B178" s="111">
        <f t="shared" si="2"/>
        <v>64</v>
      </c>
      <c r="C178" s="111"/>
      <c r="D178" s="111"/>
      <c r="E178" s="111"/>
    </row>
    <row r="179" spans="1:5" x14ac:dyDescent="0.2">
      <c r="A179" s="113">
        <v>34877</v>
      </c>
      <c r="B179" s="111">
        <f t="shared" si="2"/>
        <v>64</v>
      </c>
      <c r="C179" s="111"/>
      <c r="D179" s="111"/>
      <c r="E179" s="111"/>
    </row>
    <row r="180" spans="1:5" x14ac:dyDescent="0.2">
      <c r="A180" s="113">
        <v>34878</v>
      </c>
      <c r="B180" s="111">
        <f t="shared" si="2"/>
        <v>64</v>
      </c>
      <c r="C180" s="111"/>
      <c r="D180" s="111"/>
      <c r="E180" s="111"/>
    </row>
    <row r="181" spans="1:5" x14ac:dyDescent="0.2">
      <c r="A181" s="113">
        <v>34879</v>
      </c>
      <c r="B181" s="111">
        <f t="shared" si="2"/>
        <v>64</v>
      </c>
      <c r="C181" s="111"/>
      <c r="D181" s="111"/>
      <c r="E181" s="111"/>
    </row>
    <row r="182" spans="1:5" x14ac:dyDescent="0.2">
      <c r="A182" s="113">
        <v>34880</v>
      </c>
      <c r="B182" s="111">
        <f t="shared" si="2"/>
        <v>64</v>
      </c>
      <c r="C182" s="111"/>
      <c r="D182" s="111"/>
      <c r="E182" s="111"/>
    </row>
    <row r="183" spans="1:5" x14ac:dyDescent="0.2">
      <c r="A183" s="113">
        <v>34881</v>
      </c>
      <c r="B183" s="111">
        <f t="shared" si="2"/>
        <v>64</v>
      </c>
      <c r="C183" s="111"/>
      <c r="D183" s="111"/>
      <c r="E183" s="111"/>
    </row>
    <row r="184" spans="1:5" x14ac:dyDescent="0.2">
      <c r="A184" s="113">
        <v>34882</v>
      </c>
      <c r="B184" s="111">
        <f t="shared" si="2"/>
        <v>71</v>
      </c>
      <c r="C184" s="111"/>
      <c r="D184" s="111"/>
      <c r="E184" s="111"/>
    </row>
    <row r="185" spans="1:5" x14ac:dyDescent="0.2">
      <c r="A185" s="113">
        <v>34883</v>
      </c>
      <c r="B185" s="111">
        <f t="shared" si="2"/>
        <v>71</v>
      </c>
      <c r="C185" s="111"/>
      <c r="D185" s="111"/>
      <c r="E185" s="111"/>
    </row>
    <row r="186" spans="1:5" x14ac:dyDescent="0.2">
      <c r="A186" s="113">
        <v>34884</v>
      </c>
      <c r="B186" s="111">
        <f t="shared" si="2"/>
        <v>71</v>
      </c>
      <c r="C186" s="111"/>
      <c r="D186" s="111"/>
      <c r="E186" s="111"/>
    </row>
    <row r="187" spans="1:5" x14ac:dyDescent="0.2">
      <c r="A187" s="113">
        <v>34885</v>
      </c>
      <c r="B187" s="111">
        <f t="shared" si="2"/>
        <v>71</v>
      </c>
      <c r="C187" s="111"/>
      <c r="D187" s="111"/>
      <c r="E187" s="111"/>
    </row>
    <row r="188" spans="1:5" x14ac:dyDescent="0.2">
      <c r="A188" s="113">
        <v>34886</v>
      </c>
      <c r="B188" s="111">
        <f t="shared" si="2"/>
        <v>71</v>
      </c>
      <c r="C188" s="111"/>
      <c r="D188" s="111"/>
      <c r="E188" s="111"/>
    </row>
    <row r="189" spans="1:5" x14ac:dyDescent="0.2">
      <c r="A189" s="113">
        <v>34887</v>
      </c>
      <c r="B189" s="111">
        <f t="shared" si="2"/>
        <v>71</v>
      </c>
      <c r="C189" s="111"/>
      <c r="D189" s="111"/>
      <c r="E189" s="111"/>
    </row>
    <row r="190" spans="1:5" x14ac:dyDescent="0.2">
      <c r="A190" s="113">
        <v>34888</v>
      </c>
      <c r="B190" s="111">
        <f t="shared" si="2"/>
        <v>71</v>
      </c>
      <c r="C190" s="111"/>
      <c r="D190" s="111"/>
      <c r="E190" s="111"/>
    </row>
    <row r="191" spans="1:5" x14ac:dyDescent="0.2">
      <c r="A191" s="113">
        <v>34889</v>
      </c>
      <c r="B191" s="111">
        <f t="shared" si="2"/>
        <v>72</v>
      </c>
      <c r="C191" s="111"/>
      <c r="D191" s="111"/>
      <c r="E191" s="111"/>
    </row>
    <row r="192" spans="1:5" x14ac:dyDescent="0.2">
      <c r="A192" s="113">
        <v>34890</v>
      </c>
      <c r="B192" s="111">
        <f t="shared" si="2"/>
        <v>72</v>
      </c>
      <c r="C192" s="111"/>
      <c r="D192" s="111"/>
      <c r="E192" s="111"/>
    </row>
    <row r="193" spans="1:5" x14ac:dyDescent="0.2">
      <c r="A193" s="113">
        <v>34891</v>
      </c>
      <c r="B193" s="111">
        <f t="shared" si="2"/>
        <v>72</v>
      </c>
      <c r="C193" s="111"/>
      <c r="D193" s="111"/>
      <c r="E193" s="111"/>
    </row>
    <row r="194" spans="1:5" x14ac:dyDescent="0.2">
      <c r="A194" s="113">
        <v>34892</v>
      </c>
      <c r="B194" s="111">
        <f t="shared" ref="B194:B257" si="3">VLOOKUP(WEEKNUM(A194),$D$3:$E$58,2)</f>
        <v>72</v>
      </c>
      <c r="C194" s="111"/>
      <c r="D194" s="111"/>
      <c r="E194" s="111"/>
    </row>
    <row r="195" spans="1:5" x14ac:dyDescent="0.2">
      <c r="A195" s="113">
        <v>34893</v>
      </c>
      <c r="B195" s="111">
        <f t="shared" si="3"/>
        <v>72</v>
      </c>
      <c r="C195" s="111"/>
      <c r="D195" s="111"/>
      <c r="E195" s="111"/>
    </row>
    <row r="196" spans="1:5" x14ac:dyDescent="0.2">
      <c r="A196" s="113">
        <v>34894</v>
      </c>
      <c r="B196" s="111">
        <f t="shared" si="3"/>
        <v>72</v>
      </c>
      <c r="C196" s="111"/>
      <c r="D196" s="111"/>
      <c r="E196" s="111"/>
    </row>
    <row r="197" spans="1:5" x14ac:dyDescent="0.2">
      <c r="A197" s="113">
        <v>34895</v>
      </c>
      <c r="B197" s="111">
        <f t="shared" si="3"/>
        <v>72</v>
      </c>
      <c r="C197" s="111"/>
      <c r="D197" s="111"/>
      <c r="E197" s="111"/>
    </row>
    <row r="198" spans="1:5" x14ac:dyDescent="0.2">
      <c r="A198" s="113">
        <v>34896</v>
      </c>
      <c r="B198" s="111">
        <f t="shared" si="3"/>
        <v>73</v>
      </c>
      <c r="C198" s="111"/>
      <c r="D198" s="111"/>
      <c r="E198" s="111"/>
    </row>
    <row r="199" spans="1:5" x14ac:dyDescent="0.2">
      <c r="A199" s="113">
        <v>34897</v>
      </c>
      <c r="B199" s="111">
        <f t="shared" si="3"/>
        <v>73</v>
      </c>
      <c r="C199" s="111"/>
      <c r="D199" s="111"/>
      <c r="E199" s="111"/>
    </row>
    <row r="200" spans="1:5" x14ac:dyDescent="0.2">
      <c r="A200" s="113">
        <v>34898</v>
      </c>
      <c r="B200" s="111">
        <f t="shared" si="3"/>
        <v>73</v>
      </c>
      <c r="C200" s="111"/>
      <c r="D200" s="111"/>
      <c r="E200" s="111"/>
    </row>
    <row r="201" spans="1:5" x14ac:dyDescent="0.2">
      <c r="A201" s="113">
        <v>34899</v>
      </c>
      <c r="B201" s="111">
        <f t="shared" si="3"/>
        <v>73</v>
      </c>
      <c r="C201" s="111"/>
      <c r="D201" s="111"/>
      <c r="E201" s="111"/>
    </row>
    <row r="202" spans="1:5" x14ac:dyDescent="0.2">
      <c r="A202" s="113">
        <v>34900</v>
      </c>
      <c r="B202" s="111">
        <f t="shared" si="3"/>
        <v>73</v>
      </c>
      <c r="C202" s="111"/>
      <c r="D202" s="111"/>
      <c r="E202" s="111"/>
    </row>
    <row r="203" spans="1:5" x14ac:dyDescent="0.2">
      <c r="A203" s="113">
        <v>34901</v>
      </c>
      <c r="B203" s="111">
        <f t="shared" si="3"/>
        <v>73</v>
      </c>
      <c r="C203" s="111"/>
      <c r="D203" s="111"/>
      <c r="E203" s="111"/>
    </row>
    <row r="204" spans="1:5" x14ac:dyDescent="0.2">
      <c r="A204" s="113">
        <v>34902</v>
      </c>
      <c r="B204" s="111">
        <f t="shared" si="3"/>
        <v>73</v>
      </c>
      <c r="C204" s="111"/>
      <c r="D204" s="111"/>
      <c r="E204" s="111"/>
    </row>
    <row r="205" spans="1:5" x14ac:dyDescent="0.2">
      <c r="A205" s="113">
        <v>34903</v>
      </c>
      <c r="B205" s="111">
        <f t="shared" si="3"/>
        <v>74</v>
      </c>
      <c r="C205" s="111"/>
      <c r="D205" s="111"/>
      <c r="E205" s="111"/>
    </row>
    <row r="206" spans="1:5" x14ac:dyDescent="0.2">
      <c r="A206" s="113">
        <v>34904</v>
      </c>
      <c r="B206" s="111">
        <f t="shared" si="3"/>
        <v>74</v>
      </c>
      <c r="C206" s="111"/>
      <c r="D206" s="111"/>
      <c r="E206" s="111"/>
    </row>
    <row r="207" spans="1:5" x14ac:dyDescent="0.2">
      <c r="A207" s="113">
        <v>34905</v>
      </c>
      <c r="B207" s="111">
        <f t="shared" si="3"/>
        <v>74</v>
      </c>
      <c r="C207" s="111"/>
      <c r="D207" s="111"/>
      <c r="E207" s="111"/>
    </row>
    <row r="208" spans="1:5" x14ac:dyDescent="0.2">
      <c r="A208" s="113">
        <v>34906</v>
      </c>
      <c r="B208" s="111">
        <f t="shared" si="3"/>
        <v>74</v>
      </c>
      <c r="C208" s="111"/>
      <c r="D208" s="111"/>
      <c r="E208" s="111"/>
    </row>
    <row r="209" spans="1:5" x14ac:dyDescent="0.2">
      <c r="A209" s="113">
        <v>34907</v>
      </c>
      <c r="B209" s="111">
        <f t="shared" si="3"/>
        <v>74</v>
      </c>
      <c r="C209" s="111"/>
      <c r="D209" s="111"/>
      <c r="E209" s="111"/>
    </row>
    <row r="210" spans="1:5" x14ac:dyDescent="0.2">
      <c r="A210" s="113">
        <v>34908</v>
      </c>
      <c r="B210" s="111">
        <f t="shared" si="3"/>
        <v>74</v>
      </c>
      <c r="C210" s="111"/>
      <c r="D210" s="111"/>
      <c r="E210" s="111"/>
    </row>
    <row r="211" spans="1:5" x14ac:dyDescent="0.2">
      <c r="A211" s="113">
        <v>34909</v>
      </c>
      <c r="B211" s="111">
        <f t="shared" si="3"/>
        <v>74</v>
      </c>
      <c r="C211" s="111"/>
      <c r="D211" s="111"/>
      <c r="E211" s="111"/>
    </row>
    <row r="212" spans="1:5" x14ac:dyDescent="0.2">
      <c r="A212" s="113">
        <v>34910</v>
      </c>
      <c r="B212" s="111">
        <f t="shared" si="3"/>
        <v>75</v>
      </c>
      <c r="C212" s="111"/>
      <c r="D212" s="111"/>
      <c r="E212" s="111"/>
    </row>
    <row r="213" spans="1:5" x14ac:dyDescent="0.2">
      <c r="A213" s="113">
        <v>34911</v>
      </c>
      <c r="B213" s="111">
        <f t="shared" si="3"/>
        <v>75</v>
      </c>
      <c r="C213" s="111"/>
      <c r="D213" s="111"/>
      <c r="E213" s="111"/>
    </row>
    <row r="214" spans="1:5" x14ac:dyDescent="0.2">
      <c r="A214" s="113">
        <v>34912</v>
      </c>
      <c r="B214" s="111">
        <f t="shared" si="3"/>
        <v>75</v>
      </c>
      <c r="C214" s="111"/>
      <c r="D214" s="111"/>
      <c r="E214" s="111"/>
    </row>
    <row r="215" spans="1:5" x14ac:dyDescent="0.2">
      <c r="A215" s="113">
        <v>34913</v>
      </c>
      <c r="B215" s="111">
        <f t="shared" si="3"/>
        <v>75</v>
      </c>
      <c r="C215" s="111"/>
      <c r="D215" s="111"/>
      <c r="E215" s="111"/>
    </row>
    <row r="216" spans="1:5" x14ac:dyDescent="0.2">
      <c r="A216" s="113">
        <v>34914</v>
      </c>
      <c r="B216" s="111">
        <f t="shared" si="3"/>
        <v>75</v>
      </c>
      <c r="C216" s="111"/>
      <c r="D216" s="111"/>
      <c r="E216" s="111"/>
    </row>
    <row r="217" spans="1:5" x14ac:dyDescent="0.2">
      <c r="A217" s="113">
        <v>34915</v>
      </c>
      <c r="B217" s="111">
        <f t="shared" si="3"/>
        <v>75</v>
      </c>
      <c r="C217" s="111"/>
      <c r="D217" s="111"/>
      <c r="E217" s="111"/>
    </row>
    <row r="218" spans="1:5" x14ac:dyDescent="0.2">
      <c r="A218" s="113">
        <v>34916</v>
      </c>
      <c r="B218" s="111">
        <f t="shared" si="3"/>
        <v>75</v>
      </c>
      <c r="C218" s="111"/>
      <c r="D218" s="111"/>
      <c r="E218" s="111"/>
    </row>
    <row r="219" spans="1:5" x14ac:dyDescent="0.2">
      <c r="A219" s="113">
        <v>34917</v>
      </c>
      <c r="B219" s="111">
        <f t="shared" si="3"/>
        <v>81</v>
      </c>
      <c r="C219" s="111"/>
      <c r="D219" s="111"/>
      <c r="E219" s="111"/>
    </row>
    <row r="220" spans="1:5" x14ac:dyDescent="0.2">
      <c r="A220" s="113">
        <v>34918</v>
      </c>
      <c r="B220" s="111">
        <f t="shared" si="3"/>
        <v>81</v>
      </c>
      <c r="C220" s="111"/>
      <c r="D220" s="111"/>
      <c r="E220" s="111"/>
    </row>
    <row r="221" spans="1:5" x14ac:dyDescent="0.2">
      <c r="A221" s="113">
        <v>34919</v>
      </c>
      <c r="B221" s="111">
        <f t="shared" si="3"/>
        <v>81</v>
      </c>
      <c r="C221" s="111"/>
      <c r="D221" s="111"/>
      <c r="E221" s="111"/>
    </row>
    <row r="222" spans="1:5" x14ac:dyDescent="0.2">
      <c r="A222" s="113">
        <v>34920</v>
      </c>
      <c r="B222" s="111">
        <f t="shared" si="3"/>
        <v>81</v>
      </c>
      <c r="C222" s="111"/>
      <c r="D222" s="111"/>
      <c r="E222" s="111"/>
    </row>
    <row r="223" spans="1:5" x14ac:dyDescent="0.2">
      <c r="A223" s="113">
        <v>34921</v>
      </c>
      <c r="B223" s="111">
        <f t="shared" si="3"/>
        <v>81</v>
      </c>
      <c r="C223" s="111"/>
      <c r="D223" s="111"/>
      <c r="E223" s="111"/>
    </row>
    <row r="224" spans="1:5" x14ac:dyDescent="0.2">
      <c r="A224" s="113">
        <v>34922</v>
      </c>
      <c r="B224" s="111">
        <f t="shared" si="3"/>
        <v>81</v>
      </c>
      <c r="C224" s="111"/>
      <c r="D224" s="111"/>
      <c r="E224" s="111"/>
    </row>
    <row r="225" spans="1:5" x14ac:dyDescent="0.2">
      <c r="A225" s="113">
        <v>34923</v>
      </c>
      <c r="B225" s="111">
        <f t="shared" si="3"/>
        <v>81</v>
      </c>
      <c r="C225" s="111"/>
      <c r="D225" s="111"/>
      <c r="E225" s="111"/>
    </row>
    <row r="226" spans="1:5" x14ac:dyDescent="0.2">
      <c r="A226" s="113">
        <v>34924</v>
      </c>
      <c r="B226" s="111">
        <f t="shared" si="3"/>
        <v>82</v>
      </c>
      <c r="C226" s="111"/>
      <c r="D226" s="111"/>
      <c r="E226" s="111"/>
    </row>
    <row r="227" spans="1:5" x14ac:dyDescent="0.2">
      <c r="A227" s="113">
        <v>34925</v>
      </c>
      <c r="B227" s="111">
        <f t="shared" si="3"/>
        <v>82</v>
      </c>
      <c r="C227" s="111"/>
      <c r="D227" s="111"/>
      <c r="E227" s="111"/>
    </row>
    <row r="228" spans="1:5" x14ac:dyDescent="0.2">
      <c r="A228" s="113">
        <v>34926</v>
      </c>
      <c r="B228" s="111">
        <f t="shared" si="3"/>
        <v>82</v>
      </c>
      <c r="C228" s="111"/>
      <c r="D228" s="111"/>
      <c r="E228" s="111"/>
    </row>
    <row r="229" spans="1:5" x14ac:dyDescent="0.2">
      <c r="A229" s="113">
        <v>34927</v>
      </c>
      <c r="B229" s="111">
        <f t="shared" si="3"/>
        <v>82</v>
      </c>
      <c r="C229" s="111"/>
      <c r="D229" s="111"/>
      <c r="E229" s="111"/>
    </row>
    <row r="230" spans="1:5" x14ac:dyDescent="0.2">
      <c r="A230" s="113">
        <v>34928</v>
      </c>
      <c r="B230" s="111">
        <f t="shared" si="3"/>
        <v>82</v>
      </c>
      <c r="C230" s="111"/>
      <c r="D230" s="111"/>
      <c r="E230" s="111"/>
    </row>
    <row r="231" spans="1:5" x14ac:dyDescent="0.2">
      <c r="A231" s="113">
        <v>34929</v>
      </c>
      <c r="B231" s="111">
        <f t="shared" si="3"/>
        <v>82</v>
      </c>
      <c r="C231" s="111"/>
      <c r="D231" s="111"/>
      <c r="E231" s="111"/>
    </row>
    <row r="232" spans="1:5" x14ac:dyDescent="0.2">
      <c r="A232" s="113">
        <v>34930</v>
      </c>
      <c r="B232" s="111">
        <f t="shared" si="3"/>
        <v>82</v>
      </c>
      <c r="C232" s="111"/>
      <c r="D232" s="111"/>
      <c r="E232" s="111"/>
    </row>
    <row r="233" spans="1:5" x14ac:dyDescent="0.2">
      <c r="A233" s="113">
        <v>34931</v>
      </c>
      <c r="B233" s="111">
        <f t="shared" si="3"/>
        <v>83</v>
      </c>
      <c r="C233" s="111"/>
      <c r="D233" s="111"/>
      <c r="E233" s="111"/>
    </row>
    <row r="234" spans="1:5" x14ac:dyDescent="0.2">
      <c r="A234" s="113">
        <v>34932</v>
      </c>
      <c r="B234" s="111">
        <f t="shared" si="3"/>
        <v>83</v>
      </c>
      <c r="C234" s="111"/>
      <c r="D234" s="111"/>
      <c r="E234" s="111"/>
    </row>
    <row r="235" spans="1:5" x14ac:dyDescent="0.2">
      <c r="A235" s="113">
        <v>34933</v>
      </c>
      <c r="B235" s="111">
        <f t="shared" si="3"/>
        <v>83</v>
      </c>
      <c r="C235" s="111"/>
      <c r="D235" s="111"/>
      <c r="E235" s="111"/>
    </row>
    <row r="236" spans="1:5" x14ac:dyDescent="0.2">
      <c r="A236" s="113">
        <v>34934</v>
      </c>
      <c r="B236" s="111">
        <f t="shared" si="3"/>
        <v>83</v>
      </c>
      <c r="C236" s="111"/>
      <c r="D236" s="111"/>
      <c r="E236" s="111"/>
    </row>
    <row r="237" spans="1:5" x14ac:dyDescent="0.2">
      <c r="A237" s="113">
        <v>34935</v>
      </c>
      <c r="B237" s="111">
        <f t="shared" si="3"/>
        <v>83</v>
      </c>
      <c r="C237" s="111"/>
      <c r="D237" s="111"/>
      <c r="E237" s="111"/>
    </row>
    <row r="238" spans="1:5" x14ac:dyDescent="0.2">
      <c r="A238" s="113">
        <v>34936</v>
      </c>
      <c r="B238" s="111">
        <f t="shared" si="3"/>
        <v>83</v>
      </c>
      <c r="C238" s="111"/>
      <c r="D238" s="111"/>
      <c r="E238" s="111"/>
    </row>
    <row r="239" spans="1:5" x14ac:dyDescent="0.2">
      <c r="A239" s="113">
        <v>34937</v>
      </c>
      <c r="B239" s="111">
        <f t="shared" si="3"/>
        <v>83</v>
      </c>
      <c r="C239" s="111"/>
      <c r="D239" s="111"/>
      <c r="E239" s="111"/>
    </row>
    <row r="240" spans="1:5" x14ac:dyDescent="0.2">
      <c r="A240" s="113">
        <v>34938</v>
      </c>
      <c r="B240" s="111">
        <f t="shared" si="3"/>
        <v>84</v>
      </c>
      <c r="C240" s="111"/>
      <c r="D240" s="111"/>
      <c r="E240" s="111"/>
    </row>
    <row r="241" spans="1:5" x14ac:dyDescent="0.2">
      <c r="A241" s="113">
        <v>34939</v>
      </c>
      <c r="B241" s="111">
        <f t="shared" si="3"/>
        <v>84</v>
      </c>
      <c r="C241" s="111"/>
      <c r="D241" s="111"/>
      <c r="E241" s="111"/>
    </row>
    <row r="242" spans="1:5" x14ac:dyDescent="0.2">
      <c r="A242" s="113">
        <v>34940</v>
      </c>
      <c r="B242" s="111">
        <f t="shared" si="3"/>
        <v>84</v>
      </c>
      <c r="C242" s="111"/>
      <c r="D242" s="111"/>
      <c r="E242" s="111"/>
    </row>
    <row r="243" spans="1:5" x14ac:dyDescent="0.2">
      <c r="A243" s="113">
        <v>34941</v>
      </c>
      <c r="B243" s="111">
        <f t="shared" si="3"/>
        <v>84</v>
      </c>
      <c r="C243" s="111"/>
      <c r="D243" s="111"/>
      <c r="E243" s="111"/>
    </row>
    <row r="244" spans="1:5" x14ac:dyDescent="0.2">
      <c r="A244" s="113">
        <v>34942</v>
      </c>
      <c r="B244" s="111">
        <f t="shared" si="3"/>
        <v>84</v>
      </c>
      <c r="C244" s="111"/>
      <c r="D244" s="111"/>
      <c r="E244" s="111"/>
    </row>
    <row r="245" spans="1:5" x14ac:dyDescent="0.2">
      <c r="A245" s="113">
        <v>34943</v>
      </c>
      <c r="B245" s="111">
        <f t="shared" si="3"/>
        <v>84</v>
      </c>
      <c r="C245" s="111"/>
      <c r="D245" s="111"/>
      <c r="E245" s="111"/>
    </row>
    <row r="246" spans="1:5" x14ac:dyDescent="0.2">
      <c r="A246" s="113">
        <v>34944</v>
      </c>
      <c r="B246" s="111">
        <f t="shared" si="3"/>
        <v>84</v>
      </c>
      <c r="C246" s="111"/>
      <c r="D246" s="111"/>
      <c r="E246" s="111"/>
    </row>
    <row r="247" spans="1:5" x14ac:dyDescent="0.2">
      <c r="A247" s="113">
        <v>34945</v>
      </c>
      <c r="B247" s="111">
        <f t="shared" si="3"/>
        <v>91</v>
      </c>
      <c r="C247" s="111"/>
      <c r="D247" s="111"/>
      <c r="E247" s="111"/>
    </row>
    <row r="248" spans="1:5" x14ac:dyDescent="0.2">
      <c r="A248" s="113">
        <v>34946</v>
      </c>
      <c r="B248" s="111">
        <f t="shared" si="3"/>
        <v>91</v>
      </c>
      <c r="C248" s="111"/>
      <c r="D248" s="111"/>
      <c r="E248" s="111"/>
    </row>
    <row r="249" spans="1:5" x14ac:dyDescent="0.2">
      <c r="A249" s="113">
        <v>34947</v>
      </c>
      <c r="B249" s="111">
        <f t="shared" si="3"/>
        <v>91</v>
      </c>
      <c r="C249" s="111"/>
      <c r="D249" s="111"/>
      <c r="E249" s="111"/>
    </row>
    <row r="250" spans="1:5" x14ac:dyDescent="0.2">
      <c r="A250" s="113">
        <v>34948</v>
      </c>
      <c r="B250" s="111">
        <f t="shared" si="3"/>
        <v>91</v>
      </c>
      <c r="C250" s="111"/>
      <c r="D250" s="111"/>
      <c r="E250" s="111"/>
    </row>
    <row r="251" spans="1:5" x14ac:dyDescent="0.2">
      <c r="A251" s="113">
        <v>34949</v>
      </c>
      <c r="B251" s="111">
        <f t="shared" si="3"/>
        <v>91</v>
      </c>
      <c r="C251" s="111"/>
      <c r="D251" s="111"/>
      <c r="E251" s="111"/>
    </row>
    <row r="252" spans="1:5" x14ac:dyDescent="0.2">
      <c r="A252" s="113">
        <v>34950</v>
      </c>
      <c r="B252" s="111">
        <f t="shared" si="3"/>
        <v>91</v>
      </c>
      <c r="C252" s="111"/>
      <c r="D252" s="111"/>
      <c r="E252" s="111"/>
    </row>
    <row r="253" spans="1:5" x14ac:dyDescent="0.2">
      <c r="A253" s="113">
        <v>34951</v>
      </c>
      <c r="B253" s="111">
        <f t="shared" si="3"/>
        <v>91</v>
      </c>
      <c r="C253" s="111"/>
      <c r="D253" s="111"/>
      <c r="E253" s="111"/>
    </row>
    <row r="254" spans="1:5" x14ac:dyDescent="0.2">
      <c r="A254" s="113">
        <v>34952</v>
      </c>
      <c r="B254" s="111">
        <f t="shared" si="3"/>
        <v>92</v>
      </c>
      <c r="C254" s="111"/>
      <c r="D254" s="111"/>
      <c r="E254" s="111"/>
    </row>
    <row r="255" spans="1:5" x14ac:dyDescent="0.2">
      <c r="A255" s="113">
        <v>34953</v>
      </c>
      <c r="B255" s="111">
        <f t="shared" si="3"/>
        <v>92</v>
      </c>
      <c r="C255" s="111"/>
      <c r="D255" s="111"/>
      <c r="E255" s="111"/>
    </row>
    <row r="256" spans="1:5" x14ac:dyDescent="0.2">
      <c r="A256" s="113">
        <v>34954</v>
      </c>
      <c r="B256" s="111">
        <f t="shared" si="3"/>
        <v>92</v>
      </c>
      <c r="C256" s="111"/>
      <c r="D256" s="111"/>
      <c r="E256" s="111"/>
    </row>
    <row r="257" spans="1:5" x14ac:dyDescent="0.2">
      <c r="A257" s="113">
        <v>34955</v>
      </c>
      <c r="B257" s="111">
        <f t="shared" si="3"/>
        <v>92</v>
      </c>
      <c r="C257" s="111"/>
      <c r="D257" s="111"/>
      <c r="E257" s="111"/>
    </row>
    <row r="258" spans="1:5" x14ac:dyDescent="0.2">
      <c r="A258" s="113">
        <v>34956</v>
      </c>
      <c r="B258" s="111">
        <f t="shared" ref="B258:B321" si="4">VLOOKUP(WEEKNUM(A258),$D$3:$E$58,2)</f>
        <v>92</v>
      </c>
      <c r="C258" s="111"/>
      <c r="D258" s="111"/>
      <c r="E258" s="111"/>
    </row>
    <row r="259" spans="1:5" x14ac:dyDescent="0.2">
      <c r="A259" s="113">
        <v>34957</v>
      </c>
      <c r="B259" s="111">
        <f t="shared" si="4"/>
        <v>92</v>
      </c>
      <c r="C259" s="111"/>
      <c r="D259" s="111"/>
      <c r="E259" s="111"/>
    </row>
    <row r="260" spans="1:5" x14ac:dyDescent="0.2">
      <c r="A260" s="113">
        <v>34958</v>
      </c>
      <c r="B260" s="111">
        <f t="shared" si="4"/>
        <v>92</v>
      </c>
      <c r="C260" s="111"/>
      <c r="D260" s="111"/>
      <c r="E260" s="111"/>
    </row>
    <row r="261" spans="1:5" x14ac:dyDescent="0.2">
      <c r="A261" s="113">
        <v>34959</v>
      </c>
      <c r="B261" s="111">
        <f t="shared" si="4"/>
        <v>93</v>
      </c>
      <c r="C261" s="111"/>
      <c r="D261" s="111"/>
      <c r="E261" s="111"/>
    </row>
    <row r="262" spans="1:5" x14ac:dyDescent="0.2">
      <c r="A262" s="113">
        <v>34960</v>
      </c>
      <c r="B262" s="111">
        <f t="shared" si="4"/>
        <v>93</v>
      </c>
      <c r="C262" s="111"/>
      <c r="D262" s="111"/>
      <c r="E262" s="111"/>
    </row>
    <row r="263" spans="1:5" x14ac:dyDescent="0.2">
      <c r="A263" s="113">
        <v>34961</v>
      </c>
      <c r="B263" s="111">
        <f t="shared" si="4"/>
        <v>93</v>
      </c>
      <c r="C263" s="111"/>
      <c r="D263" s="111"/>
      <c r="E263" s="111"/>
    </row>
    <row r="264" spans="1:5" x14ac:dyDescent="0.2">
      <c r="A264" s="113">
        <v>34962</v>
      </c>
      <c r="B264" s="111">
        <f t="shared" si="4"/>
        <v>93</v>
      </c>
      <c r="C264" s="111"/>
      <c r="D264" s="111"/>
      <c r="E264" s="111"/>
    </row>
    <row r="265" spans="1:5" x14ac:dyDescent="0.2">
      <c r="A265" s="113">
        <v>34963</v>
      </c>
      <c r="B265" s="111">
        <f t="shared" si="4"/>
        <v>93</v>
      </c>
      <c r="C265" s="111"/>
      <c r="D265" s="111"/>
      <c r="E265" s="111"/>
    </row>
    <row r="266" spans="1:5" x14ac:dyDescent="0.2">
      <c r="A266" s="113">
        <v>34964</v>
      </c>
      <c r="B266" s="111">
        <f t="shared" si="4"/>
        <v>93</v>
      </c>
      <c r="C266" s="111"/>
      <c r="D266" s="111"/>
      <c r="E266" s="111"/>
    </row>
    <row r="267" spans="1:5" x14ac:dyDescent="0.2">
      <c r="A267" s="113">
        <v>34965</v>
      </c>
      <c r="B267" s="111">
        <f t="shared" si="4"/>
        <v>93</v>
      </c>
      <c r="C267" s="111"/>
      <c r="D267" s="111"/>
      <c r="E267" s="111"/>
    </row>
    <row r="268" spans="1:5" x14ac:dyDescent="0.2">
      <c r="A268" s="113">
        <v>34966</v>
      </c>
      <c r="B268" s="111">
        <f t="shared" si="4"/>
        <v>94</v>
      </c>
      <c r="C268" s="111"/>
      <c r="D268" s="111"/>
      <c r="E268" s="111"/>
    </row>
    <row r="269" spans="1:5" x14ac:dyDescent="0.2">
      <c r="A269" s="113">
        <v>34967</v>
      </c>
      <c r="B269" s="111">
        <f t="shared" si="4"/>
        <v>94</v>
      </c>
      <c r="C269" s="111"/>
      <c r="D269" s="111"/>
      <c r="E269" s="111"/>
    </row>
    <row r="270" spans="1:5" x14ac:dyDescent="0.2">
      <c r="A270" s="113">
        <v>34968</v>
      </c>
      <c r="B270" s="111">
        <f t="shared" si="4"/>
        <v>94</v>
      </c>
      <c r="C270" s="111"/>
      <c r="D270" s="111"/>
      <c r="E270" s="111"/>
    </row>
    <row r="271" spans="1:5" x14ac:dyDescent="0.2">
      <c r="A271" s="113">
        <v>34969</v>
      </c>
      <c r="B271" s="111">
        <f t="shared" si="4"/>
        <v>94</v>
      </c>
      <c r="C271" s="111"/>
      <c r="D271" s="111"/>
      <c r="E271" s="111"/>
    </row>
    <row r="272" spans="1:5" x14ac:dyDescent="0.2">
      <c r="A272" s="113">
        <v>34970</v>
      </c>
      <c r="B272" s="111">
        <f t="shared" si="4"/>
        <v>94</v>
      </c>
      <c r="C272" s="111"/>
      <c r="D272" s="111"/>
      <c r="E272" s="111"/>
    </row>
    <row r="273" spans="1:5" x14ac:dyDescent="0.2">
      <c r="A273" s="113">
        <v>34971</v>
      </c>
      <c r="B273" s="111">
        <f t="shared" si="4"/>
        <v>94</v>
      </c>
      <c r="C273" s="111"/>
      <c r="D273" s="111"/>
      <c r="E273" s="111"/>
    </row>
    <row r="274" spans="1:5" x14ac:dyDescent="0.2">
      <c r="A274" s="113">
        <v>34972</v>
      </c>
      <c r="B274" s="111">
        <f t="shared" si="4"/>
        <v>94</v>
      </c>
      <c r="C274" s="111"/>
      <c r="D274" s="111"/>
      <c r="E274" s="111"/>
    </row>
    <row r="275" spans="1:5" x14ac:dyDescent="0.2">
      <c r="A275" s="113">
        <v>34973</v>
      </c>
      <c r="B275" s="111">
        <f t="shared" si="4"/>
        <v>101</v>
      </c>
      <c r="C275" s="111"/>
      <c r="D275" s="111"/>
      <c r="E275" s="111"/>
    </row>
    <row r="276" spans="1:5" x14ac:dyDescent="0.2">
      <c r="A276" s="113">
        <v>34974</v>
      </c>
      <c r="B276" s="111">
        <f t="shared" si="4"/>
        <v>101</v>
      </c>
      <c r="C276" s="111"/>
      <c r="D276" s="111"/>
      <c r="E276" s="111"/>
    </row>
    <row r="277" spans="1:5" x14ac:dyDescent="0.2">
      <c r="A277" s="113">
        <v>34975</v>
      </c>
      <c r="B277" s="111">
        <f t="shared" si="4"/>
        <v>101</v>
      </c>
      <c r="C277" s="111"/>
      <c r="D277" s="111"/>
      <c r="E277" s="111"/>
    </row>
    <row r="278" spans="1:5" x14ac:dyDescent="0.2">
      <c r="A278" s="113">
        <v>34976</v>
      </c>
      <c r="B278" s="111">
        <f t="shared" si="4"/>
        <v>101</v>
      </c>
      <c r="C278" s="111"/>
      <c r="D278" s="111"/>
      <c r="E278" s="111"/>
    </row>
    <row r="279" spans="1:5" x14ac:dyDescent="0.2">
      <c r="A279" s="113">
        <v>34977</v>
      </c>
      <c r="B279" s="111">
        <f t="shared" si="4"/>
        <v>101</v>
      </c>
      <c r="C279" s="111"/>
      <c r="D279" s="111"/>
      <c r="E279" s="111"/>
    </row>
    <row r="280" spans="1:5" x14ac:dyDescent="0.2">
      <c r="A280" s="113">
        <v>34978</v>
      </c>
      <c r="B280" s="111">
        <f t="shared" si="4"/>
        <v>101</v>
      </c>
      <c r="C280" s="111"/>
      <c r="D280" s="111"/>
      <c r="E280" s="111"/>
    </row>
    <row r="281" spans="1:5" x14ac:dyDescent="0.2">
      <c r="A281" s="113">
        <v>34979</v>
      </c>
      <c r="B281" s="111">
        <f t="shared" si="4"/>
        <v>101</v>
      </c>
      <c r="C281" s="111"/>
      <c r="D281" s="111"/>
      <c r="E281" s="111"/>
    </row>
    <row r="282" spans="1:5" x14ac:dyDescent="0.2">
      <c r="A282" s="113">
        <v>34980</v>
      </c>
      <c r="B282" s="111">
        <f t="shared" si="4"/>
        <v>102</v>
      </c>
      <c r="C282" s="111"/>
      <c r="D282" s="111"/>
      <c r="E282" s="111"/>
    </row>
    <row r="283" spans="1:5" x14ac:dyDescent="0.2">
      <c r="A283" s="113">
        <v>34981</v>
      </c>
      <c r="B283" s="111">
        <f t="shared" si="4"/>
        <v>102</v>
      </c>
      <c r="C283" s="111"/>
      <c r="D283" s="111"/>
      <c r="E283" s="111"/>
    </row>
    <row r="284" spans="1:5" x14ac:dyDescent="0.2">
      <c r="A284" s="113">
        <v>34982</v>
      </c>
      <c r="B284" s="111">
        <f t="shared" si="4"/>
        <v>102</v>
      </c>
      <c r="C284" s="111"/>
      <c r="D284" s="111"/>
      <c r="E284" s="111"/>
    </row>
    <row r="285" spans="1:5" x14ac:dyDescent="0.2">
      <c r="A285" s="113">
        <v>34983</v>
      </c>
      <c r="B285" s="111">
        <f t="shared" si="4"/>
        <v>102</v>
      </c>
      <c r="C285" s="111"/>
      <c r="D285" s="111"/>
      <c r="E285" s="111"/>
    </row>
    <row r="286" spans="1:5" x14ac:dyDescent="0.2">
      <c r="A286" s="113">
        <v>34984</v>
      </c>
      <c r="B286" s="111">
        <f t="shared" si="4"/>
        <v>102</v>
      </c>
      <c r="C286" s="111"/>
      <c r="D286" s="111"/>
      <c r="E286" s="111"/>
    </row>
    <row r="287" spans="1:5" x14ac:dyDescent="0.2">
      <c r="A287" s="113">
        <v>34985</v>
      </c>
      <c r="B287" s="111">
        <f t="shared" si="4"/>
        <v>102</v>
      </c>
      <c r="C287" s="111"/>
      <c r="D287" s="111"/>
      <c r="E287" s="111"/>
    </row>
    <row r="288" spans="1:5" x14ac:dyDescent="0.2">
      <c r="A288" s="113">
        <v>34986</v>
      </c>
      <c r="B288" s="111">
        <f t="shared" si="4"/>
        <v>102</v>
      </c>
      <c r="C288" s="111"/>
      <c r="D288" s="111"/>
      <c r="E288" s="111"/>
    </row>
    <row r="289" spans="1:5" x14ac:dyDescent="0.2">
      <c r="A289" s="113">
        <v>34987</v>
      </c>
      <c r="B289" s="111">
        <f t="shared" si="4"/>
        <v>103</v>
      </c>
      <c r="C289" s="111"/>
      <c r="D289" s="111"/>
      <c r="E289" s="111"/>
    </row>
    <row r="290" spans="1:5" x14ac:dyDescent="0.2">
      <c r="A290" s="113">
        <v>34988</v>
      </c>
      <c r="B290" s="111">
        <f t="shared" si="4"/>
        <v>103</v>
      </c>
      <c r="C290" s="111"/>
      <c r="D290" s="111"/>
      <c r="E290" s="111"/>
    </row>
    <row r="291" spans="1:5" x14ac:dyDescent="0.2">
      <c r="A291" s="113">
        <v>34989</v>
      </c>
      <c r="B291" s="111">
        <f t="shared" si="4"/>
        <v>103</v>
      </c>
      <c r="C291" s="111"/>
      <c r="D291" s="111"/>
      <c r="E291" s="111"/>
    </row>
    <row r="292" spans="1:5" x14ac:dyDescent="0.2">
      <c r="A292" s="113">
        <v>34990</v>
      </c>
      <c r="B292" s="111">
        <f t="shared" si="4"/>
        <v>103</v>
      </c>
      <c r="C292" s="111"/>
      <c r="D292" s="111"/>
      <c r="E292" s="111"/>
    </row>
    <row r="293" spans="1:5" x14ac:dyDescent="0.2">
      <c r="A293" s="113">
        <v>34991</v>
      </c>
      <c r="B293" s="111">
        <f t="shared" si="4"/>
        <v>103</v>
      </c>
      <c r="C293" s="111"/>
      <c r="D293" s="111"/>
      <c r="E293" s="111"/>
    </row>
    <row r="294" spans="1:5" x14ac:dyDescent="0.2">
      <c r="A294" s="113">
        <v>34992</v>
      </c>
      <c r="B294" s="111">
        <f t="shared" si="4"/>
        <v>103</v>
      </c>
      <c r="C294" s="111"/>
      <c r="D294" s="111"/>
      <c r="E294" s="111"/>
    </row>
    <row r="295" spans="1:5" x14ac:dyDescent="0.2">
      <c r="A295" s="113">
        <v>34993</v>
      </c>
      <c r="B295" s="111">
        <f t="shared" si="4"/>
        <v>103</v>
      </c>
      <c r="C295" s="111"/>
      <c r="D295" s="111"/>
      <c r="E295" s="111"/>
    </row>
    <row r="296" spans="1:5" x14ac:dyDescent="0.2">
      <c r="A296" s="113">
        <v>34994</v>
      </c>
      <c r="B296" s="111">
        <f t="shared" si="4"/>
        <v>104</v>
      </c>
      <c r="C296" s="111"/>
      <c r="D296" s="111"/>
      <c r="E296" s="111"/>
    </row>
    <row r="297" spans="1:5" x14ac:dyDescent="0.2">
      <c r="A297" s="113">
        <v>34995</v>
      </c>
      <c r="B297" s="111">
        <f t="shared" si="4"/>
        <v>104</v>
      </c>
      <c r="C297" s="111"/>
      <c r="D297" s="111"/>
      <c r="E297" s="111"/>
    </row>
    <row r="298" spans="1:5" x14ac:dyDescent="0.2">
      <c r="A298" s="113">
        <v>34996</v>
      </c>
      <c r="B298" s="111">
        <f t="shared" si="4"/>
        <v>104</v>
      </c>
      <c r="C298" s="111"/>
      <c r="D298" s="111"/>
      <c r="E298" s="111"/>
    </row>
    <row r="299" spans="1:5" x14ac:dyDescent="0.2">
      <c r="A299" s="113">
        <v>34997</v>
      </c>
      <c r="B299" s="111">
        <f t="shared" si="4"/>
        <v>104</v>
      </c>
      <c r="C299" s="111"/>
      <c r="D299" s="111"/>
      <c r="E299" s="111"/>
    </row>
    <row r="300" spans="1:5" x14ac:dyDescent="0.2">
      <c r="A300" s="113">
        <v>34998</v>
      </c>
      <c r="B300" s="111">
        <f t="shared" si="4"/>
        <v>104</v>
      </c>
      <c r="C300" s="111"/>
      <c r="D300" s="111"/>
      <c r="E300" s="111"/>
    </row>
    <row r="301" spans="1:5" x14ac:dyDescent="0.2">
      <c r="A301" s="113">
        <v>34999</v>
      </c>
      <c r="B301" s="111">
        <f t="shared" si="4"/>
        <v>104</v>
      </c>
      <c r="C301" s="111"/>
      <c r="D301" s="111"/>
      <c r="E301" s="111"/>
    </row>
    <row r="302" spans="1:5" x14ac:dyDescent="0.2">
      <c r="A302" s="113">
        <v>35000</v>
      </c>
      <c r="B302" s="111">
        <f t="shared" si="4"/>
        <v>104</v>
      </c>
      <c r="C302" s="111"/>
      <c r="D302" s="111"/>
      <c r="E302" s="111"/>
    </row>
    <row r="303" spans="1:5" x14ac:dyDescent="0.2">
      <c r="A303" s="113">
        <v>35001</v>
      </c>
      <c r="B303" s="111">
        <f t="shared" si="4"/>
        <v>105</v>
      </c>
      <c r="C303" s="111"/>
      <c r="D303" s="111"/>
      <c r="E303" s="111"/>
    </row>
    <row r="304" spans="1:5" x14ac:dyDescent="0.2">
      <c r="A304" s="113">
        <v>35002</v>
      </c>
      <c r="B304" s="111">
        <f t="shared" si="4"/>
        <v>105</v>
      </c>
      <c r="C304" s="111"/>
      <c r="D304" s="111"/>
      <c r="E304" s="111"/>
    </row>
    <row r="305" spans="1:5" x14ac:dyDescent="0.2">
      <c r="A305" s="113">
        <v>35003</v>
      </c>
      <c r="B305" s="111">
        <f t="shared" si="4"/>
        <v>105</v>
      </c>
      <c r="C305" s="111"/>
      <c r="D305" s="111"/>
      <c r="E305" s="111"/>
    </row>
    <row r="306" spans="1:5" x14ac:dyDescent="0.2">
      <c r="A306" s="113">
        <v>35004</v>
      </c>
      <c r="B306" s="111">
        <f t="shared" si="4"/>
        <v>105</v>
      </c>
      <c r="C306" s="111"/>
      <c r="D306" s="111"/>
      <c r="E306" s="111"/>
    </row>
    <row r="307" spans="1:5" x14ac:dyDescent="0.2">
      <c r="A307" s="113">
        <v>35005</v>
      </c>
      <c r="B307" s="111">
        <f t="shared" si="4"/>
        <v>105</v>
      </c>
      <c r="C307" s="111"/>
      <c r="D307" s="111"/>
      <c r="E307" s="111"/>
    </row>
    <row r="308" spans="1:5" x14ac:dyDescent="0.2">
      <c r="A308" s="113">
        <v>35006</v>
      </c>
      <c r="B308" s="111">
        <f t="shared" si="4"/>
        <v>105</v>
      </c>
      <c r="C308" s="111"/>
      <c r="D308" s="111"/>
      <c r="E308" s="111"/>
    </row>
    <row r="309" spans="1:5" x14ac:dyDescent="0.2">
      <c r="A309" s="113">
        <v>35007</v>
      </c>
      <c r="B309" s="111">
        <f t="shared" si="4"/>
        <v>105</v>
      </c>
      <c r="C309" s="111"/>
      <c r="D309" s="111"/>
      <c r="E309" s="111"/>
    </row>
    <row r="310" spans="1:5" x14ac:dyDescent="0.2">
      <c r="A310" s="113">
        <v>35008</v>
      </c>
      <c r="B310" s="111">
        <f t="shared" si="4"/>
        <v>111</v>
      </c>
      <c r="C310" s="111"/>
      <c r="D310" s="111"/>
      <c r="E310" s="111"/>
    </row>
    <row r="311" spans="1:5" x14ac:dyDescent="0.2">
      <c r="A311" s="113">
        <v>35009</v>
      </c>
      <c r="B311" s="111">
        <f t="shared" si="4"/>
        <v>111</v>
      </c>
      <c r="C311" s="111"/>
      <c r="D311" s="111"/>
      <c r="E311" s="111"/>
    </row>
    <row r="312" spans="1:5" x14ac:dyDescent="0.2">
      <c r="A312" s="113">
        <v>35010</v>
      </c>
      <c r="B312" s="111">
        <f t="shared" si="4"/>
        <v>111</v>
      </c>
      <c r="C312" s="111"/>
      <c r="D312" s="111"/>
      <c r="E312" s="111"/>
    </row>
    <row r="313" spans="1:5" x14ac:dyDescent="0.2">
      <c r="A313" s="113">
        <v>35011</v>
      </c>
      <c r="B313" s="111">
        <f t="shared" si="4"/>
        <v>111</v>
      </c>
      <c r="C313" s="111"/>
      <c r="D313" s="111"/>
      <c r="E313" s="111"/>
    </row>
    <row r="314" spans="1:5" x14ac:dyDescent="0.2">
      <c r="A314" s="113">
        <v>35012</v>
      </c>
      <c r="B314" s="111">
        <f t="shared" si="4"/>
        <v>111</v>
      </c>
      <c r="C314" s="111"/>
      <c r="D314" s="111"/>
      <c r="E314" s="111"/>
    </row>
    <row r="315" spans="1:5" x14ac:dyDescent="0.2">
      <c r="A315" s="113">
        <v>35013</v>
      </c>
      <c r="B315" s="111">
        <f t="shared" si="4"/>
        <v>111</v>
      </c>
      <c r="C315" s="111"/>
      <c r="D315" s="111"/>
      <c r="E315" s="111"/>
    </row>
    <row r="316" spans="1:5" x14ac:dyDescent="0.2">
      <c r="A316" s="113">
        <v>35014</v>
      </c>
      <c r="B316" s="111">
        <f t="shared" si="4"/>
        <v>111</v>
      </c>
      <c r="C316" s="111"/>
      <c r="D316" s="111"/>
      <c r="E316" s="111"/>
    </row>
    <row r="317" spans="1:5" x14ac:dyDescent="0.2">
      <c r="A317" s="113">
        <v>35015</v>
      </c>
      <c r="B317" s="111">
        <f t="shared" si="4"/>
        <v>112</v>
      </c>
      <c r="C317" s="111"/>
      <c r="D317" s="111"/>
      <c r="E317" s="111"/>
    </row>
    <row r="318" spans="1:5" x14ac:dyDescent="0.2">
      <c r="A318" s="113">
        <v>35016</v>
      </c>
      <c r="B318" s="111">
        <f t="shared" si="4"/>
        <v>112</v>
      </c>
      <c r="C318" s="111"/>
      <c r="D318" s="111"/>
      <c r="E318" s="111"/>
    </row>
    <row r="319" spans="1:5" x14ac:dyDescent="0.2">
      <c r="A319" s="113">
        <v>35017</v>
      </c>
      <c r="B319" s="111">
        <f t="shared" si="4"/>
        <v>112</v>
      </c>
      <c r="C319" s="111"/>
      <c r="D319" s="111"/>
      <c r="E319" s="111"/>
    </row>
    <row r="320" spans="1:5" x14ac:dyDescent="0.2">
      <c r="A320" s="113">
        <v>35018</v>
      </c>
      <c r="B320" s="111">
        <f t="shared" si="4"/>
        <v>112</v>
      </c>
      <c r="C320" s="111"/>
      <c r="D320" s="111"/>
      <c r="E320" s="111"/>
    </row>
    <row r="321" spans="1:5" x14ac:dyDescent="0.2">
      <c r="A321" s="113">
        <v>35019</v>
      </c>
      <c r="B321" s="111">
        <f t="shared" si="4"/>
        <v>112</v>
      </c>
      <c r="C321" s="111"/>
      <c r="D321" s="111"/>
      <c r="E321" s="111"/>
    </row>
    <row r="322" spans="1:5" x14ac:dyDescent="0.2">
      <c r="A322" s="113">
        <v>35020</v>
      </c>
      <c r="B322" s="111">
        <f t="shared" ref="B322:B385" si="5">VLOOKUP(WEEKNUM(A322),$D$3:$E$58,2)</f>
        <v>112</v>
      </c>
      <c r="C322" s="111"/>
      <c r="D322" s="111"/>
      <c r="E322" s="111"/>
    </row>
    <row r="323" spans="1:5" x14ac:dyDescent="0.2">
      <c r="A323" s="113">
        <v>35021</v>
      </c>
      <c r="B323" s="111">
        <f t="shared" si="5"/>
        <v>112</v>
      </c>
      <c r="C323" s="111"/>
      <c r="D323" s="111"/>
      <c r="E323" s="111"/>
    </row>
    <row r="324" spans="1:5" x14ac:dyDescent="0.2">
      <c r="A324" s="113">
        <v>35022</v>
      </c>
      <c r="B324" s="111">
        <f t="shared" si="5"/>
        <v>113</v>
      </c>
      <c r="C324" s="111"/>
      <c r="D324" s="111"/>
      <c r="E324" s="111"/>
    </row>
    <row r="325" spans="1:5" x14ac:dyDescent="0.2">
      <c r="A325" s="113">
        <v>35023</v>
      </c>
      <c r="B325" s="111">
        <f t="shared" si="5"/>
        <v>113</v>
      </c>
      <c r="C325" s="111"/>
      <c r="D325" s="111"/>
      <c r="E325" s="111"/>
    </row>
    <row r="326" spans="1:5" x14ac:dyDescent="0.2">
      <c r="A326" s="113">
        <v>35024</v>
      </c>
      <c r="B326" s="111">
        <f t="shared" si="5"/>
        <v>113</v>
      </c>
      <c r="C326" s="111"/>
      <c r="D326" s="111"/>
      <c r="E326" s="111"/>
    </row>
    <row r="327" spans="1:5" x14ac:dyDescent="0.2">
      <c r="A327" s="113">
        <v>35025</v>
      </c>
      <c r="B327" s="111">
        <f t="shared" si="5"/>
        <v>113</v>
      </c>
      <c r="C327" s="111"/>
      <c r="D327" s="111"/>
      <c r="E327" s="111"/>
    </row>
    <row r="328" spans="1:5" x14ac:dyDescent="0.2">
      <c r="A328" s="113">
        <v>35026</v>
      </c>
      <c r="B328" s="111">
        <f t="shared" si="5"/>
        <v>113</v>
      </c>
      <c r="C328" s="111"/>
      <c r="D328" s="111"/>
      <c r="E328" s="111"/>
    </row>
    <row r="329" spans="1:5" x14ac:dyDescent="0.2">
      <c r="A329" s="113">
        <v>35027</v>
      </c>
      <c r="B329" s="111">
        <f t="shared" si="5"/>
        <v>113</v>
      </c>
      <c r="C329" s="111"/>
      <c r="D329" s="111"/>
      <c r="E329" s="111"/>
    </row>
    <row r="330" spans="1:5" x14ac:dyDescent="0.2">
      <c r="A330" s="113">
        <v>35028</v>
      </c>
      <c r="B330" s="111">
        <f t="shared" si="5"/>
        <v>113</v>
      </c>
      <c r="C330" s="111"/>
      <c r="D330" s="111"/>
      <c r="E330" s="111"/>
    </row>
    <row r="331" spans="1:5" x14ac:dyDescent="0.2">
      <c r="A331" s="113">
        <v>35029</v>
      </c>
      <c r="B331" s="111">
        <f t="shared" si="5"/>
        <v>114</v>
      </c>
      <c r="C331" s="111"/>
      <c r="D331" s="111"/>
      <c r="E331" s="111"/>
    </row>
    <row r="332" spans="1:5" x14ac:dyDescent="0.2">
      <c r="A332" s="113">
        <v>35030</v>
      </c>
      <c r="B332" s="111">
        <f t="shared" si="5"/>
        <v>114</v>
      </c>
      <c r="C332" s="111"/>
      <c r="D332" s="111"/>
      <c r="E332" s="111"/>
    </row>
    <row r="333" spans="1:5" x14ac:dyDescent="0.2">
      <c r="A333" s="113">
        <v>35031</v>
      </c>
      <c r="B333" s="111">
        <f t="shared" si="5"/>
        <v>114</v>
      </c>
      <c r="C333" s="111"/>
      <c r="D333" s="111"/>
      <c r="E333" s="111"/>
    </row>
    <row r="334" spans="1:5" x14ac:dyDescent="0.2">
      <c r="A334" s="113">
        <v>35032</v>
      </c>
      <c r="B334" s="111">
        <f t="shared" si="5"/>
        <v>114</v>
      </c>
      <c r="C334" s="111"/>
      <c r="D334" s="111"/>
      <c r="E334" s="111"/>
    </row>
    <row r="335" spans="1:5" x14ac:dyDescent="0.2">
      <c r="A335" s="113">
        <v>35033</v>
      </c>
      <c r="B335" s="111">
        <f t="shared" si="5"/>
        <v>114</v>
      </c>
      <c r="C335" s="111"/>
      <c r="D335" s="111"/>
      <c r="E335" s="111"/>
    </row>
    <row r="336" spans="1:5" x14ac:dyDescent="0.2">
      <c r="A336" s="113">
        <v>35034</v>
      </c>
      <c r="B336" s="111">
        <f t="shared" si="5"/>
        <v>114</v>
      </c>
      <c r="C336" s="111"/>
      <c r="D336" s="111"/>
      <c r="E336" s="111"/>
    </row>
    <row r="337" spans="1:5" x14ac:dyDescent="0.2">
      <c r="A337" s="113">
        <v>35035</v>
      </c>
      <c r="B337" s="111">
        <f t="shared" si="5"/>
        <v>114</v>
      </c>
      <c r="C337" s="111"/>
      <c r="D337" s="111"/>
      <c r="E337" s="111"/>
    </row>
    <row r="338" spans="1:5" x14ac:dyDescent="0.2">
      <c r="A338" s="113">
        <v>35036</v>
      </c>
      <c r="B338" s="111">
        <f t="shared" si="5"/>
        <v>115</v>
      </c>
      <c r="C338" s="111"/>
      <c r="D338" s="111"/>
      <c r="E338" s="111"/>
    </row>
    <row r="339" spans="1:5" x14ac:dyDescent="0.2">
      <c r="A339" s="113">
        <v>35037</v>
      </c>
      <c r="B339" s="111">
        <f t="shared" si="5"/>
        <v>115</v>
      </c>
      <c r="C339" s="111"/>
      <c r="D339" s="111"/>
      <c r="E339" s="111"/>
    </row>
    <row r="340" spans="1:5" x14ac:dyDescent="0.2">
      <c r="A340" s="113">
        <v>35038</v>
      </c>
      <c r="B340" s="111">
        <f t="shared" si="5"/>
        <v>115</v>
      </c>
      <c r="C340" s="111"/>
      <c r="D340" s="111"/>
      <c r="E340" s="111"/>
    </row>
    <row r="341" spans="1:5" x14ac:dyDescent="0.2">
      <c r="A341" s="113">
        <v>35039</v>
      </c>
      <c r="B341" s="111">
        <f t="shared" si="5"/>
        <v>115</v>
      </c>
      <c r="C341" s="111"/>
      <c r="D341" s="111"/>
      <c r="E341" s="111"/>
    </row>
    <row r="342" spans="1:5" x14ac:dyDescent="0.2">
      <c r="A342" s="113">
        <v>35040</v>
      </c>
      <c r="B342" s="111">
        <f t="shared" si="5"/>
        <v>115</v>
      </c>
      <c r="C342" s="111"/>
      <c r="D342" s="111"/>
      <c r="E342" s="111"/>
    </row>
    <row r="343" spans="1:5" x14ac:dyDescent="0.2">
      <c r="A343" s="113">
        <v>35041</v>
      </c>
      <c r="B343" s="111">
        <f t="shared" si="5"/>
        <v>115</v>
      </c>
      <c r="C343" s="111"/>
      <c r="D343" s="111"/>
      <c r="E343" s="111"/>
    </row>
    <row r="344" spans="1:5" x14ac:dyDescent="0.2">
      <c r="A344" s="113">
        <v>35042</v>
      </c>
      <c r="B344" s="111">
        <f t="shared" si="5"/>
        <v>115</v>
      </c>
      <c r="C344" s="111"/>
      <c r="D344" s="111"/>
      <c r="E344" s="111"/>
    </row>
    <row r="345" spans="1:5" x14ac:dyDescent="0.2">
      <c r="A345" s="113">
        <v>35043</v>
      </c>
      <c r="B345" s="111">
        <f t="shared" si="5"/>
        <v>121</v>
      </c>
      <c r="C345" s="111"/>
      <c r="D345" s="111"/>
      <c r="E345" s="111"/>
    </row>
    <row r="346" spans="1:5" x14ac:dyDescent="0.2">
      <c r="A346" s="113">
        <v>35044</v>
      </c>
      <c r="B346" s="111">
        <f t="shared" si="5"/>
        <v>121</v>
      </c>
      <c r="C346" s="111"/>
      <c r="D346" s="111"/>
      <c r="E346" s="111"/>
    </row>
    <row r="347" spans="1:5" x14ac:dyDescent="0.2">
      <c r="A347" s="113">
        <v>35045</v>
      </c>
      <c r="B347" s="111">
        <f t="shared" si="5"/>
        <v>121</v>
      </c>
      <c r="C347" s="111"/>
      <c r="D347" s="111"/>
      <c r="E347" s="111"/>
    </row>
    <row r="348" spans="1:5" x14ac:dyDescent="0.2">
      <c r="A348" s="113">
        <v>35046</v>
      </c>
      <c r="B348" s="111">
        <f t="shared" si="5"/>
        <v>121</v>
      </c>
      <c r="C348" s="111"/>
      <c r="D348" s="111"/>
      <c r="E348" s="111"/>
    </row>
    <row r="349" spans="1:5" x14ac:dyDescent="0.2">
      <c r="A349" s="113">
        <v>35047</v>
      </c>
      <c r="B349" s="111">
        <f t="shared" si="5"/>
        <v>121</v>
      </c>
      <c r="C349" s="111"/>
      <c r="D349" s="111"/>
      <c r="E349" s="111"/>
    </row>
    <row r="350" spans="1:5" x14ac:dyDescent="0.2">
      <c r="A350" s="113">
        <v>35048</v>
      </c>
      <c r="B350" s="111">
        <f t="shared" si="5"/>
        <v>121</v>
      </c>
      <c r="C350" s="111"/>
      <c r="D350" s="111"/>
      <c r="E350" s="111"/>
    </row>
    <row r="351" spans="1:5" x14ac:dyDescent="0.2">
      <c r="A351" s="113">
        <v>35049</v>
      </c>
      <c r="B351" s="111">
        <f t="shared" si="5"/>
        <v>121</v>
      </c>
      <c r="C351" s="111"/>
      <c r="D351" s="111"/>
      <c r="E351" s="111"/>
    </row>
    <row r="352" spans="1:5" x14ac:dyDescent="0.2">
      <c r="A352" s="113">
        <v>35050</v>
      </c>
      <c r="B352" s="111">
        <f t="shared" si="5"/>
        <v>122</v>
      </c>
      <c r="C352" s="111"/>
      <c r="D352" s="111"/>
      <c r="E352" s="111"/>
    </row>
    <row r="353" spans="1:5" x14ac:dyDescent="0.2">
      <c r="A353" s="113">
        <v>35051</v>
      </c>
      <c r="B353" s="111">
        <f t="shared" si="5"/>
        <v>122</v>
      </c>
      <c r="C353" s="111"/>
      <c r="D353" s="111"/>
      <c r="E353" s="111"/>
    </row>
    <row r="354" spans="1:5" x14ac:dyDescent="0.2">
      <c r="A354" s="113">
        <v>35052</v>
      </c>
      <c r="B354" s="111">
        <f t="shared" si="5"/>
        <v>122</v>
      </c>
      <c r="C354" s="111"/>
      <c r="D354" s="111"/>
      <c r="E354" s="111"/>
    </row>
    <row r="355" spans="1:5" x14ac:dyDescent="0.2">
      <c r="A355" s="113">
        <v>35053</v>
      </c>
      <c r="B355" s="111">
        <f t="shared" si="5"/>
        <v>122</v>
      </c>
      <c r="C355" s="111"/>
      <c r="D355" s="111"/>
      <c r="E355" s="111"/>
    </row>
    <row r="356" spans="1:5" x14ac:dyDescent="0.2">
      <c r="A356" s="113">
        <v>35054</v>
      </c>
      <c r="B356" s="111">
        <f t="shared" si="5"/>
        <v>122</v>
      </c>
      <c r="C356" s="111"/>
      <c r="D356" s="111"/>
      <c r="E356" s="111"/>
    </row>
    <row r="357" spans="1:5" x14ac:dyDescent="0.2">
      <c r="A357" s="113">
        <v>35055</v>
      </c>
      <c r="B357" s="111">
        <f t="shared" si="5"/>
        <v>122</v>
      </c>
      <c r="C357" s="111"/>
      <c r="D357" s="111"/>
      <c r="E357" s="111"/>
    </row>
    <row r="358" spans="1:5" x14ac:dyDescent="0.2">
      <c r="A358" s="113">
        <v>35056</v>
      </c>
      <c r="B358" s="111">
        <f t="shared" si="5"/>
        <v>122</v>
      </c>
      <c r="C358" s="111"/>
      <c r="D358" s="111"/>
      <c r="E358" s="111"/>
    </row>
    <row r="359" spans="1:5" x14ac:dyDescent="0.2">
      <c r="A359" s="113">
        <v>35057</v>
      </c>
      <c r="B359" s="111">
        <f t="shared" si="5"/>
        <v>123</v>
      </c>
      <c r="C359" s="111"/>
      <c r="D359" s="111"/>
      <c r="E359" s="111"/>
    </row>
    <row r="360" spans="1:5" x14ac:dyDescent="0.2">
      <c r="A360" s="113">
        <v>35058</v>
      </c>
      <c r="B360" s="111">
        <f t="shared" si="5"/>
        <v>123</v>
      </c>
      <c r="C360" s="111"/>
      <c r="D360" s="111"/>
      <c r="E360" s="111"/>
    </row>
    <row r="361" spans="1:5" x14ac:dyDescent="0.2">
      <c r="A361" s="113">
        <v>35059</v>
      </c>
      <c r="B361" s="111">
        <f t="shared" si="5"/>
        <v>123</v>
      </c>
      <c r="C361" s="111"/>
      <c r="D361" s="111"/>
      <c r="E361" s="111"/>
    </row>
    <row r="362" spans="1:5" x14ac:dyDescent="0.2">
      <c r="A362" s="113">
        <v>35060</v>
      </c>
      <c r="B362" s="111">
        <f t="shared" si="5"/>
        <v>123</v>
      </c>
      <c r="C362" s="111"/>
      <c r="D362" s="111"/>
      <c r="E362" s="111"/>
    </row>
    <row r="363" spans="1:5" x14ac:dyDescent="0.2">
      <c r="A363" s="113">
        <v>35061</v>
      </c>
      <c r="B363" s="111">
        <f t="shared" si="5"/>
        <v>123</v>
      </c>
      <c r="C363" s="111"/>
      <c r="D363" s="111"/>
      <c r="E363" s="111"/>
    </row>
    <row r="364" spans="1:5" x14ac:dyDescent="0.2">
      <c r="A364" s="113">
        <v>35062</v>
      </c>
      <c r="B364" s="111">
        <f t="shared" si="5"/>
        <v>123</v>
      </c>
      <c r="C364" s="111"/>
      <c r="D364" s="111"/>
      <c r="E364" s="111"/>
    </row>
    <row r="365" spans="1:5" x14ac:dyDescent="0.2">
      <c r="A365" s="113">
        <v>35063</v>
      </c>
      <c r="B365" s="111">
        <f t="shared" si="5"/>
        <v>123</v>
      </c>
      <c r="C365" s="111"/>
      <c r="D365" s="111"/>
      <c r="E365" s="111"/>
    </row>
    <row r="366" spans="1:5" x14ac:dyDescent="0.2">
      <c r="A366" s="113">
        <v>35064</v>
      </c>
      <c r="B366" s="111">
        <f t="shared" si="5"/>
        <v>124</v>
      </c>
      <c r="C366" s="111"/>
      <c r="D366" s="111"/>
      <c r="E366" s="111"/>
    </row>
    <row r="367" spans="1:5" x14ac:dyDescent="0.2">
      <c r="A367" s="113">
        <v>35065</v>
      </c>
      <c r="B367" s="111">
        <f t="shared" si="5"/>
        <v>11</v>
      </c>
      <c r="C367" s="111"/>
      <c r="D367" s="111"/>
      <c r="E367" s="111"/>
    </row>
    <row r="368" spans="1:5" x14ac:dyDescent="0.2">
      <c r="A368" s="113">
        <v>35066</v>
      </c>
      <c r="B368" s="111">
        <f t="shared" si="5"/>
        <v>11</v>
      </c>
      <c r="C368" s="111"/>
      <c r="D368" s="111"/>
      <c r="E368" s="111"/>
    </row>
    <row r="369" spans="1:5" x14ac:dyDescent="0.2">
      <c r="A369" s="113">
        <v>35067</v>
      </c>
      <c r="B369" s="111">
        <f t="shared" si="5"/>
        <v>11</v>
      </c>
      <c r="C369" s="111"/>
      <c r="D369" s="111"/>
      <c r="E369" s="111"/>
    </row>
    <row r="370" spans="1:5" x14ac:dyDescent="0.2">
      <c r="A370" s="113">
        <v>35068</v>
      </c>
      <c r="B370" s="111">
        <f t="shared" si="5"/>
        <v>11</v>
      </c>
      <c r="C370" s="111"/>
      <c r="D370" s="111"/>
      <c r="E370" s="111"/>
    </row>
    <row r="371" spans="1:5" x14ac:dyDescent="0.2">
      <c r="A371" s="113">
        <v>35069</v>
      </c>
      <c r="B371" s="111">
        <f t="shared" si="5"/>
        <v>11</v>
      </c>
      <c r="C371" s="111"/>
      <c r="D371" s="111"/>
      <c r="E371" s="111"/>
    </row>
    <row r="372" spans="1:5" x14ac:dyDescent="0.2">
      <c r="A372" s="113">
        <v>35070</v>
      </c>
      <c r="B372" s="111">
        <f t="shared" si="5"/>
        <v>11</v>
      </c>
      <c r="C372" s="111"/>
      <c r="D372" s="111"/>
      <c r="E372" s="111"/>
    </row>
    <row r="373" spans="1:5" x14ac:dyDescent="0.2">
      <c r="A373" s="113">
        <v>35071</v>
      </c>
      <c r="B373" s="111">
        <f t="shared" si="5"/>
        <v>12</v>
      </c>
      <c r="C373" s="111"/>
      <c r="D373" s="111"/>
      <c r="E373" s="111"/>
    </row>
    <row r="374" spans="1:5" x14ac:dyDescent="0.2">
      <c r="A374" s="113">
        <v>35072</v>
      </c>
      <c r="B374" s="111">
        <f t="shared" si="5"/>
        <v>12</v>
      </c>
      <c r="C374" s="111"/>
      <c r="D374" s="111"/>
      <c r="E374" s="111"/>
    </row>
    <row r="375" spans="1:5" x14ac:dyDescent="0.2">
      <c r="A375" s="113">
        <v>35073</v>
      </c>
      <c r="B375" s="111">
        <f t="shared" si="5"/>
        <v>12</v>
      </c>
      <c r="C375" s="111"/>
      <c r="D375" s="111"/>
      <c r="E375" s="111"/>
    </row>
    <row r="376" spans="1:5" x14ac:dyDescent="0.2">
      <c r="A376" s="113">
        <v>35074</v>
      </c>
      <c r="B376" s="111">
        <f t="shared" si="5"/>
        <v>12</v>
      </c>
      <c r="C376" s="111"/>
      <c r="D376" s="111"/>
      <c r="E376" s="111"/>
    </row>
    <row r="377" spans="1:5" x14ac:dyDescent="0.2">
      <c r="A377" s="113">
        <v>35075</v>
      </c>
      <c r="B377" s="111">
        <f t="shared" si="5"/>
        <v>12</v>
      </c>
      <c r="C377" s="111"/>
      <c r="D377" s="111"/>
      <c r="E377" s="111"/>
    </row>
    <row r="378" spans="1:5" x14ac:dyDescent="0.2">
      <c r="A378" s="113">
        <v>35076</v>
      </c>
      <c r="B378" s="111">
        <f t="shared" si="5"/>
        <v>12</v>
      </c>
      <c r="C378" s="111"/>
      <c r="D378" s="111"/>
      <c r="E378" s="111"/>
    </row>
    <row r="379" spans="1:5" x14ac:dyDescent="0.2">
      <c r="A379" s="113">
        <v>35077</v>
      </c>
      <c r="B379" s="111">
        <f t="shared" si="5"/>
        <v>12</v>
      </c>
      <c r="C379" s="111"/>
      <c r="D379" s="111"/>
      <c r="E379" s="111"/>
    </row>
    <row r="380" spans="1:5" x14ac:dyDescent="0.2">
      <c r="A380" s="113">
        <v>35078</v>
      </c>
      <c r="B380" s="111">
        <f t="shared" si="5"/>
        <v>13</v>
      </c>
      <c r="C380" s="111"/>
      <c r="D380" s="111"/>
      <c r="E380" s="111"/>
    </row>
    <row r="381" spans="1:5" x14ac:dyDescent="0.2">
      <c r="A381" s="113">
        <v>35079</v>
      </c>
      <c r="B381" s="111">
        <f t="shared" si="5"/>
        <v>13</v>
      </c>
      <c r="C381" s="111"/>
      <c r="D381" s="111"/>
      <c r="E381" s="111"/>
    </row>
    <row r="382" spans="1:5" x14ac:dyDescent="0.2">
      <c r="A382" s="113">
        <v>35080</v>
      </c>
      <c r="B382" s="111">
        <f t="shared" si="5"/>
        <v>13</v>
      </c>
      <c r="C382" s="111"/>
      <c r="D382" s="111"/>
      <c r="E382" s="111"/>
    </row>
    <row r="383" spans="1:5" x14ac:dyDescent="0.2">
      <c r="A383" s="113">
        <v>35081</v>
      </c>
      <c r="B383" s="111">
        <f t="shared" si="5"/>
        <v>13</v>
      </c>
      <c r="C383" s="111"/>
      <c r="D383" s="111"/>
      <c r="E383" s="111"/>
    </row>
    <row r="384" spans="1:5" x14ac:dyDescent="0.2">
      <c r="A384" s="113">
        <v>35082</v>
      </c>
      <c r="B384" s="111">
        <f t="shared" si="5"/>
        <v>13</v>
      </c>
      <c r="C384" s="111"/>
      <c r="D384" s="111"/>
      <c r="E384" s="111"/>
    </row>
    <row r="385" spans="1:5" x14ac:dyDescent="0.2">
      <c r="A385" s="113">
        <v>35083</v>
      </c>
      <c r="B385" s="111">
        <f t="shared" si="5"/>
        <v>13</v>
      </c>
      <c r="C385" s="111"/>
      <c r="D385" s="111"/>
      <c r="E385" s="111"/>
    </row>
    <row r="386" spans="1:5" x14ac:dyDescent="0.2">
      <c r="A386" s="113">
        <v>35084</v>
      </c>
      <c r="B386" s="111">
        <f t="shared" ref="B386:B449" si="6">VLOOKUP(WEEKNUM(A386),$D$3:$E$58,2)</f>
        <v>13</v>
      </c>
      <c r="C386" s="111"/>
      <c r="D386" s="111"/>
      <c r="E386" s="111"/>
    </row>
    <row r="387" spans="1:5" x14ac:dyDescent="0.2">
      <c r="A387" s="113">
        <v>35085</v>
      </c>
      <c r="B387" s="111">
        <f t="shared" si="6"/>
        <v>14</v>
      </c>
      <c r="C387" s="111"/>
      <c r="D387" s="111"/>
      <c r="E387" s="111"/>
    </row>
    <row r="388" spans="1:5" x14ac:dyDescent="0.2">
      <c r="A388" s="113">
        <v>35086</v>
      </c>
      <c r="B388" s="111">
        <f t="shared" si="6"/>
        <v>14</v>
      </c>
      <c r="C388" s="111"/>
      <c r="D388" s="111"/>
      <c r="E388" s="111"/>
    </row>
    <row r="389" spans="1:5" x14ac:dyDescent="0.2">
      <c r="A389" s="113">
        <v>35087</v>
      </c>
      <c r="B389" s="111">
        <f t="shared" si="6"/>
        <v>14</v>
      </c>
      <c r="C389" s="111"/>
      <c r="D389" s="111"/>
      <c r="E389" s="111"/>
    </row>
    <row r="390" spans="1:5" x14ac:dyDescent="0.2">
      <c r="A390" s="113">
        <v>35088</v>
      </c>
      <c r="B390" s="111">
        <f t="shared" si="6"/>
        <v>14</v>
      </c>
      <c r="C390" s="111"/>
      <c r="D390" s="111"/>
      <c r="E390" s="111"/>
    </row>
    <row r="391" spans="1:5" x14ac:dyDescent="0.2">
      <c r="A391" s="113">
        <v>35089</v>
      </c>
      <c r="B391" s="111">
        <f t="shared" si="6"/>
        <v>14</v>
      </c>
      <c r="C391" s="111"/>
      <c r="D391" s="111"/>
      <c r="E391" s="111"/>
    </row>
    <row r="392" spans="1:5" x14ac:dyDescent="0.2">
      <c r="A392" s="113">
        <v>35090</v>
      </c>
      <c r="B392" s="111">
        <f t="shared" si="6"/>
        <v>14</v>
      </c>
      <c r="C392" s="111"/>
      <c r="D392" s="111"/>
      <c r="E392" s="111"/>
    </row>
    <row r="393" spans="1:5" x14ac:dyDescent="0.2">
      <c r="A393" s="113">
        <v>35091</v>
      </c>
      <c r="B393" s="111">
        <f t="shared" si="6"/>
        <v>14</v>
      </c>
      <c r="C393" s="111"/>
      <c r="D393" s="111"/>
      <c r="E393" s="111"/>
    </row>
    <row r="394" spans="1:5" x14ac:dyDescent="0.2">
      <c r="A394" s="113">
        <v>35092</v>
      </c>
      <c r="B394" s="111">
        <f t="shared" si="6"/>
        <v>15</v>
      </c>
      <c r="C394" s="111"/>
      <c r="D394" s="111"/>
      <c r="E394" s="111"/>
    </row>
    <row r="395" spans="1:5" x14ac:dyDescent="0.2">
      <c r="A395" s="113">
        <v>35093</v>
      </c>
      <c r="B395" s="111">
        <f t="shared" si="6"/>
        <v>15</v>
      </c>
      <c r="C395" s="111"/>
      <c r="D395" s="111"/>
      <c r="E395" s="111"/>
    </row>
    <row r="396" spans="1:5" x14ac:dyDescent="0.2">
      <c r="A396" s="113">
        <v>35094</v>
      </c>
      <c r="B396" s="111">
        <f t="shared" si="6"/>
        <v>15</v>
      </c>
      <c r="C396" s="111"/>
      <c r="D396" s="111"/>
      <c r="E396" s="111"/>
    </row>
    <row r="397" spans="1:5" x14ac:dyDescent="0.2">
      <c r="A397" s="113">
        <v>35095</v>
      </c>
      <c r="B397" s="111">
        <f t="shared" si="6"/>
        <v>15</v>
      </c>
      <c r="C397" s="111"/>
      <c r="D397" s="111"/>
      <c r="E397" s="111"/>
    </row>
    <row r="398" spans="1:5" x14ac:dyDescent="0.2">
      <c r="A398" s="113">
        <v>35096</v>
      </c>
      <c r="B398" s="111">
        <f t="shared" si="6"/>
        <v>15</v>
      </c>
      <c r="C398" s="111"/>
      <c r="D398" s="111"/>
      <c r="E398" s="111"/>
    </row>
    <row r="399" spans="1:5" x14ac:dyDescent="0.2">
      <c r="A399" s="113">
        <v>35097</v>
      </c>
      <c r="B399" s="111">
        <f t="shared" si="6"/>
        <v>15</v>
      </c>
      <c r="C399" s="111"/>
      <c r="D399" s="111"/>
      <c r="E399" s="111"/>
    </row>
    <row r="400" spans="1:5" x14ac:dyDescent="0.2">
      <c r="A400" s="113">
        <v>35098</v>
      </c>
      <c r="B400" s="111">
        <f t="shared" si="6"/>
        <v>15</v>
      </c>
      <c r="C400" s="111"/>
      <c r="D400" s="111"/>
      <c r="E400" s="111"/>
    </row>
    <row r="401" spans="1:5" x14ac:dyDescent="0.2">
      <c r="A401" s="113">
        <v>35099</v>
      </c>
      <c r="B401" s="111">
        <f t="shared" si="6"/>
        <v>21</v>
      </c>
      <c r="C401" s="111"/>
      <c r="D401" s="111"/>
      <c r="E401" s="111"/>
    </row>
    <row r="402" spans="1:5" x14ac:dyDescent="0.2">
      <c r="A402" s="113">
        <v>35100</v>
      </c>
      <c r="B402" s="111">
        <f t="shared" si="6"/>
        <v>21</v>
      </c>
      <c r="C402" s="111"/>
      <c r="D402" s="111"/>
      <c r="E402" s="111"/>
    </row>
    <row r="403" spans="1:5" x14ac:dyDescent="0.2">
      <c r="A403" s="113">
        <v>35101</v>
      </c>
      <c r="B403" s="111">
        <f t="shared" si="6"/>
        <v>21</v>
      </c>
      <c r="C403" s="111"/>
      <c r="D403" s="111"/>
      <c r="E403" s="111"/>
    </row>
    <row r="404" spans="1:5" x14ac:dyDescent="0.2">
      <c r="A404" s="113">
        <v>35102</v>
      </c>
      <c r="B404" s="111">
        <f t="shared" si="6"/>
        <v>21</v>
      </c>
      <c r="C404" s="111"/>
      <c r="D404" s="111"/>
      <c r="E404" s="111"/>
    </row>
    <row r="405" spans="1:5" x14ac:dyDescent="0.2">
      <c r="A405" s="113">
        <v>35103</v>
      </c>
      <c r="B405" s="111">
        <f t="shared" si="6"/>
        <v>21</v>
      </c>
      <c r="C405" s="111"/>
      <c r="D405" s="111"/>
      <c r="E405" s="111"/>
    </row>
    <row r="406" spans="1:5" x14ac:dyDescent="0.2">
      <c r="A406" s="113">
        <v>35104</v>
      </c>
      <c r="B406" s="111">
        <f t="shared" si="6"/>
        <v>21</v>
      </c>
      <c r="C406" s="111"/>
      <c r="D406" s="111"/>
      <c r="E406" s="111"/>
    </row>
    <row r="407" spans="1:5" x14ac:dyDescent="0.2">
      <c r="A407" s="113">
        <v>35105</v>
      </c>
      <c r="B407" s="111">
        <f t="shared" si="6"/>
        <v>21</v>
      </c>
      <c r="C407" s="111"/>
      <c r="D407" s="111"/>
      <c r="E407" s="111"/>
    </row>
    <row r="408" spans="1:5" x14ac:dyDescent="0.2">
      <c r="A408" s="113">
        <v>35106</v>
      </c>
      <c r="B408" s="111">
        <f t="shared" si="6"/>
        <v>22</v>
      </c>
      <c r="C408" s="111"/>
      <c r="D408" s="111"/>
      <c r="E408" s="111"/>
    </row>
    <row r="409" spans="1:5" x14ac:dyDescent="0.2">
      <c r="A409" s="113">
        <v>35107</v>
      </c>
      <c r="B409" s="111">
        <f t="shared" si="6"/>
        <v>22</v>
      </c>
      <c r="C409" s="111"/>
      <c r="D409" s="111"/>
      <c r="E409" s="111"/>
    </row>
    <row r="410" spans="1:5" x14ac:dyDescent="0.2">
      <c r="A410" s="113">
        <v>35108</v>
      </c>
      <c r="B410" s="111">
        <f t="shared" si="6"/>
        <v>22</v>
      </c>
      <c r="C410" s="111"/>
      <c r="D410" s="111"/>
      <c r="E410" s="111"/>
    </row>
    <row r="411" spans="1:5" x14ac:dyDescent="0.2">
      <c r="A411" s="113">
        <v>35109</v>
      </c>
      <c r="B411" s="111">
        <f t="shared" si="6"/>
        <v>22</v>
      </c>
      <c r="C411" s="111"/>
      <c r="D411" s="111"/>
      <c r="E411" s="111"/>
    </row>
    <row r="412" spans="1:5" x14ac:dyDescent="0.2">
      <c r="A412" s="113">
        <v>35110</v>
      </c>
      <c r="B412" s="111">
        <f t="shared" si="6"/>
        <v>22</v>
      </c>
      <c r="C412" s="111"/>
      <c r="D412" s="111"/>
      <c r="E412" s="111"/>
    </row>
    <row r="413" spans="1:5" x14ac:dyDescent="0.2">
      <c r="A413" s="113">
        <v>35111</v>
      </c>
      <c r="B413" s="111">
        <f t="shared" si="6"/>
        <v>22</v>
      </c>
      <c r="C413" s="111"/>
      <c r="D413" s="111"/>
      <c r="E413" s="111"/>
    </row>
    <row r="414" spans="1:5" x14ac:dyDescent="0.2">
      <c r="A414" s="113">
        <v>35112</v>
      </c>
      <c r="B414" s="111">
        <f t="shared" si="6"/>
        <v>22</v>
      </c>
      <c r="C414" s="111"/>
      <c r="D414" s="111"/>
      <c r="E414" s="111"/>
    </row>
    <row r="415" spans="1:5" x14ac:dyDescent="0.2">
      <c r="A415" s="113">
        <v>35113</v>
      </c>
      <c r="B415" s="111">
        <f t="shared" si="6"/>
        <v>23</v>
      </c>
      <c r="C415" s="111"/>
      <c r="D415" s="111"/>
      <c r="E415" s="111"/>
    </row>
    <row r="416" spans="1:5" x14ac:dyDescent="0.2">
      <c r="A416" s="113">
        <v>35114</v>
      </c>
      <c r="B416" s="111">
        <f t="shared" si="6"/>
        <v>23</v>
      </c>
      <c r="C416" s="111"/>
      <c r="D416" s="111"/>
      <c r="E416" s="111"/>
    </row>
    <row r="417" spans="1:5" x14ac:dyDescent="0.2">
      <c r="A417" s="113">
        <v>35115</v>
      </c>
      <c r="B417" s="111">
        <f t="shared" si="6"/>
        <v>23</v>
      </c>
      <c r="C417" s="111"/>
      <c r="D417" s="111"/>
      <c r="E417" s="111"/>
    </row>
    <row r="418" spans="1:5" x14ac:dyDescent="0.2">
      <c r="A418" s="113">
        <v>35116</v>
      </c>
      <c r="B418" s="111">
        <f t="shared" si="6"/>
        <v>23</v>
      </c>
      <c r="C418" s="111"/>
      <c r="D418" s="111"/>
      <c r="E418" s="111"/>
    </row>
    <row r="419" spans="1:5" x14ac:dyDescent="0.2">
      <c r="A419" s="113">
        <v>35117</v>
      </c>
      <c r="B419" s="111">
        <f t="shared" si="6"/>
        <v>23</v>
      </c>
      <c r="C419" s="111"/>
      <c r="D419" s="111"/>
      <c r="E419" s="111"/>
    </row>
    <row r="420" spans="1:5" x14ac:dyDescent="0.2">
      <c r="A420" s="113">
        <v>35118</v>
      </c>
      <c r="B420" s="111">
        <f t="shared" si="6"/>
        <v>23</v>
      </c>
      <c r="C420" s="111"/>
      <c r="D420" s="111"/>
      <c r="E420" s="111"/>
    </row>
    <row r="421" spans="1:5" x14ac:dyDescent="0.2">
      <c r="A421" s="113">
        <v>35119</v>
      </c>
      <c r="B421" s="111">
        <f t="shared" si="6"/>
        <v>23</v>
      </c>
      <c r="C421" s="111"/>
      <c r="D421" s="111"/>
      <c r="E421" s="111"/>
    </row>
    <row r="422" spans="1:5" x14ac:dyDescent="0.2">
      <c r="A422" s="113">
        <v>35120</v>
      </c>
      <c r="B422" s="111">
        <f t="shared" si="6"/>
        <v>24</v>
      </c>
      <c r="C422" s="111"/>
      <c r="D422" s="111"/>
      <c r="E422" s="111"/>
    </row>
    <row r="423" spans="1:5" x14ac:dyDescent="0.2">
      <c r="A423" s="113">
        <v>35121</v>
      </c>
      <c r="B423" s="111">
        <f t="shared" si="6"/>
        <v>24</v>
      </c>
      <c r="C423" s="111"/>
      <c r="D423" s="111"/>
      <c r="E423" s="111"/>
    </row>
    <row r="424" spans="1:5" x14ac:dyDescent="0.2">
      <c r="A424" s="113">
        <v>35122</v>
      </c>
      <c r="B424" s="111">
        <f t="shared" si="6"/>
        <v>24</v>
      </c>
      <c r="C424" s="111"/>
      <c r="D424" s="111"/>
      <c r="E424" s="111"/>
    </row>
    <row r="425" spans="1:5" x14ac:dyDescent="0.2">
      <c r="A425" s="113">
        <v>35123</v>
      </c>
      <c r="B425" s="111">
        <f t="shared" si="6"/>
        <v>24</v>
      </c>
      <c r="C425" s="111"/>
      <c r="D425" s="111"/>
      <c r="E425" s="111"/>
    </row>
    <row r="426" spans="1:5" x14ac:dyDescent="0.2">
      <c r="A426" s="113">
        <v>35124</v>
      </c>
      <c r="B426" s="111">
        <f t="shared" si="6"/>
        <v>24</v>
      </c>
      <c r="C426" s="111"/>
      <c r="D426" s="111"/>
      <c r="E426" s="111"/>
    </row>
    <row r="427" spans="1:5" x14ac:dyDescent="0.2">
      <c r="A427" s="113">
        <v>35125</v>
      </c>
      <c r="B427" s="111">
        <f t="shared" si="6"/>
        <v>24</v>
      </c>
      <c r="C427" s="111"/>
      <c r="D427" s="111"/>
      <c r="E427" s="111"/>
    </row>
    <row r="428" spans="1:5" x14ac:dyDescent="0.2">
      <c r="A428" s="113">
        <v>35126</v>
      </c>
      <c r="B428" s="111">
        <f t="shared" si="6"/>
        <v>24</v>
      </c>
      <c r="C428" s="111"/>
      <c r="D428" s="111"/>
      <c r="E428" s="111"/>
    </row>
    <row r="429" spans="1:5" x14ac:dyDescent="0.2">
      <c r="A429" s="113">
        <v>35127</v>
      </c>
      <c r="B429" s="111">
        <f t="shared" si="6"/>
        <v>31</v>
      </c>
      <c r="C429" s="111"/>
      <c r="D429" s="111"/>
      <c r="E429" s="111"/>
    </row>
    <row r="430" spans="1:5" x14ac:dyDescent="0.2">
      <c r="A430" s="113">
        <v>35128</v>
      </c>
      <c r="B430" s="111">
        <f t="shared" si="6"/>
        <v>31</v>
      </c>
      <c r="C430" s="111"/>
      <c r="D430" s="111"/>
      <c r="E430" s="111"/>
    </row>
    <row r="431" spans="1:5" x14ac:dyDescent="0.2">
      <c r="A431" s="113">
        <v>35129</v>
      </c>
      <c r="B431" s="111">
        <f t="shared" si="6"/>
        <v>31</v>
      </c>
      <c r="C431" s="111"/>
      <c r="D431" s="111"/>
      <c r="E431" s="111"/>
    </row>
    <row r="432" spans="1:5" x14ac:dyDescent="0.2">
      <c r="A432" s="113">
        <v>35130</v>
      </c>
      <c r="B432" s="111">
        <f t="shared" si="6"/>
        <v>31</v>
      </c>
      <c r="C432" s="111"/>
      <c r="D432" s="111"/>
      <c r="E432" s="111"/>
    </row>
    <row r="433" spans="1:5" x14ac:dyDescent="0.2">
      <c r="A433" s="113">
        <v>35131</v>
      </c>
      <c r="B433" s="111">
        <f t="shared" si="6"/>
        <v>31</v>
      </c>
      <c r="C433" s="111"/>
      <c r="D433" s="111"/>
      <c r="E433" s="111"/>
    </row>
    <row r="434" spans="1:5" x14ac:dyDescent="0.2">
      <c r="A434" s="113">
        <v>35132</v>
      </c>
      <c r="B434" s="111">
        <f t="shared" si="6"/>
        <v>31</v>
      </c>
      <c r="C434" s="111"/>
      <c r="D434" s="111"/>
      <c r="E434" s="111"/>
    </row>
    <row r="435" spans="1:5" x14ac:dyDescent="0.2">
      <c r="A435" s="113">
        <v>35133</v>
      </c>
      <c r="B435" s="111">
        <f t="shared" si="6"/>
        <v>31</v>
      </c>
      <c r="C435" s="111"/>
      <c r="D435" s="111"/>
      <c r="E435" s="111"/>
    </row>
    <row r="436" spans="1:5" x14ac:dyDescent="0.2">
      <c r="A436" s="113">
        <v>35134</v>
      </c>
      <c r="B436" s="111">
        <f t="shared" si="6"/>
        <v>32</v>
      </c>
      <c r="C436" s="111"/>
      <c r="D436" s="111"/>
      <c r="E436" s="111"/>
    </row>
    <row r="437" spans="1:5" x14ac:dyDescent="0.2">
      <c r="A437" s="113">
        <v>35135</v>
      </c>
      <c r="B437" s="111">
        <f t="shared" si="6"/>
        <v>32</v>
      </c>
      <c r="C437" s="111"/>
      <c r="D437" s="111"/>
      <c r="E437" s="111"/>
    </row>
    <row r="438" spans="1:5" x14ac:dyDescent="0.2">
      <c r="A438" s="113">
        <v>35136</v>
      </c>
      <c r="B438" s="111">
        <f t="shared" si="6"/>
        <v>32</v>
      </c>
      <c r="C438" s="111"/>
      <c r="D438" s="111"/>
      <c r="E438" s="111"/>
    </row>
    <row r="439" spans="1:5" x14ac:dyDescent="0.2">
      <c r="A439" s="113">
        <v>35137</v>
      </c>
      <c r="B439" s="111">
        <f t="shared" si="6"/>
        <v>32</v>
      </c>
      <c r="C439" s="111"/>
      <c r="D439" s="111"/>
      <c r="E439" s="111"/>
    </row>
    <row r="440" spans="1:5" x14ac:dyDescent="0.2">
      <c r="A440" s="113">
        <v>35138</v>
      </c>
      <c r="B440" s="111">
        <f t="shared" si="6"/>
        <v>32</v>
      </c>
      <c r="C440" s="111"/>
      <c r="D440" s="111"/>
      <c r="E440" s="111"/>
    </row>
    <row r="441" spans="1:5" x14ac:dyDescent="0.2">
      <c r="A441" s="113">
        <v>35139</v>
      </c>
      <c r="B441" s="111">
        <f t="shared" si="6"/>
        <v>32</v>
      </c>
      <c r="C441" s="111"/>
      <c r="D441" s="111"/>
      <c r="E441" s="111"/>
    </row>
    <row r="442" spans="1:5" x14ac:dyDescent="0.2">
      <c r="A442" s="113">
        <v>35140</v>
      </c>
      <c r="B442" s="111">
        <f t="shared" si="6"/>
        <v>32</v>
      </c>
      <c r="C442" s="111"/>
      <c r="D442" s="111"/>
      <c r="E442" s="111"/>
    </row>
    <row r="443" spans="1:5" x14ac:dyDescent="0.2">
      <c r="A443" s="113">
        <v>35141</v>
      </c>
      <c r="B443" s="111">
        <f t="shared" si="6"/>
        <v>33</v>
      </c>
      <c r="C443" s="111"/>
      <c r="D443" s="111"/>
      <c r="E443" s="111"/>
    </row>
    <row r="444" spans="1:5" x14ac:dyDescent="0.2">
      <c r="A444" s="113">
        <v>35142</v>
      </c>
      <c r="B444" s="111">
        <f t="shared" si="6"/>
        <v>33</v>
      </c>
      <c r="C444" s="111"/>
      <c r="D444" s="111"/>
      <c r="E444" s="111"/>
    </row>
    <row r="445" spans="1:5" x14ac:dyDescent="0.2">
      <c r="A445" s="113">
        <v>35143</v>
      </c>
      <c r="B445" s="111">
        <f t="shared" si="6"/>
        <v>33</v>
      </c>
      <c r="C445" s="111"/>
      <c r="D445" s="111"/>
      <c r="E445" s="111"/>
    </row>
    <row r="446" spans="1:5" x14ac:dyDescent="0.2">
      <c r="A446" s="113">
        <v>35144</v>
      </c>
      <c r="B446" s="111">
        <f t="shared" si="6"/>
        <v>33</v>
      </c>
      <c r="C446" s="111"/>
      <c r="D446" s="111"/>
      <c r="E446" s="111"/>
    </row>
    <row r="447" spans="1:5" x14ac:dyDescent="0.2">
      <c r="A447" s="113">
        <v>35145</v>
      </c>
      <c r="B447" s="111">
        <f t="shared" si="6"/>
        <v>33</v>
      </c>
      <c r="C447" s="111"/>
      <c r="D447" s="111"/>
      <c r="E447" s="111"/>
    </row>
    <row r="448" spans="1:5" x14ac:dyDescent="0.2">
      <c r="A448" s="113">
        <v>35146</v>
      </c>
      <c r="B448" s="111">
        <f t="shared" si="6"/>
        <v>33</v>
      </c>
      <c r="C448" s="111"/>
      <c r="D448" s="111"/>
      <c r="E448" s="111"/>
    </row>
    <row r="449" spans="1:5" x14ac:dyDescent="0.2">
      <c r="A449" s="113">
        <v>35147</v>
      </c>
      <c r="B449" s="111">
        <f t="shared" si="6"/>
        <v>33</v>
      </c>
      <c r="C449" s="111"/>
      <c r="D449" s="111"/>
      <c r="E449" s="111"/>
    </row>
    <row r="450" spans="1:5" x14ac:dyDescent="0.2">
      <c r="A450" s="113">
        <v>35148</v>
      </c>
      <c r="B450" s="111">
        <f t="shared" ref="B450:B513" si="7">VLOOKUP(WEEKNUM(A450),$D$3:$E$58,2)</f>
        <v>34</v>
      </c>
      <c r="C450" s="111"/>
      <c r="D450" s="111"/>
      <c r="E450" s="111"/>
    </row>
    <row r="451" spans="1:5" x14ac:dyDescent="0.2">
      <c r="A451" s="113">
        <v>35149</v>
      </c>
      <c r="B451" s="111">
        <f t="shared" si="7"/>
        <v>34</v>
      </c>
      <c r="C451" s="111"/>
      <c r="D451" s="111"/>
      <c r="E451" s="111"/>
    </row>
    <row r="452" spans="1:5" x14ac:dyDescent="0.2">
      <c r="A452" s="113">
        <v>35150</v>
      </c>
      <c r="B452" s="111">
        <f t="shared" si="7"/>
        <v>34</v>
      </c>
      <c r="C452" s="111"/>
      <c r="D452" s="111"/>
      <c r="E452" s="111"/>
    </row>
    <row r="453" spans="1:5" x14ac:dyDescent="0.2">
      <c r="A453" s="113">
        <v>35151</v>
      </c>
      <c r="B453" s="111">
        <f t="shared" si="7"/>
        <v>34</v>
      </c>
      <c r="C453" s="111"/>
      <c r="D453" s="111"/>
      <c r="E453" s="111"/>
    </row>
    <row r="454" spans="1:5" x14ac:dyDescent="0.2">
      <c r="A454" s="113">
        <v>35152</v>
      </c>
      <c r="B454" s="111">
        <f t="shared" si="7"/>
        <v>34</v>
      </c>
      <c r="C454" s="111"/>
      <c r="D454" s="111"/>
      <c r="E454" s="111"/>
    </row>
    <row r="455" spans="1:5" x14ac:dyDescent="0.2">
      <c r="A455" s="113">
        <v>35153</v>
      </c>
      <c r="B455" s="111">
        <f t="shared" si="7"/>
        <v>34</v>
      </c>
      <c r="C455" s="111"/>
      <c r="D455" s="111"/>
      <c r="E455" s="111"/>
    </row>
    <row r="456" spans="1:5" x14ac:dyDescent="0.2">
      <c r="A456" s="113">
        <v>35154</v>
      </c>
      <c r="B456" s="111">
        <f t="shared" si="7"/>
        <v>34</v>
      </c>
      <c r="C456" s="111"/>
      <c r="D456" s="111"/>
      <c r="E456" s="111"/>
    </row>
    <row r="457" spans="1:5" x14ac:dyDescent="0.2">
      <c r="A457" s="113">
        <v>35155</v>
      </c>
      <c r="B457" s="111">
        <f t="shared" si="7"/>
        <v>41</v>
      </c>
      <c r="C457" s="111"/>
      <c r="D457" s="111"/>
      <c r="E457" s="111"/>
    </row>
    <row r="458" spans="1:5" x14ac:dyDescent="0.2">
      <c r="A458" s="113">
        <v>35156</v>
      </c>
      <c r="B458" s="111">
        <f t="shared" si="7"/>
        <v>41</v>
      </c>
      <c r="C458" s="111"/>
      <c r="D458" s="111"/>
      <c r="E458" s="111"/>
    </row>
    <row r="459" spans="1:5" x14ac:dyDescent="0.2">
      <c r="A459" s="113">
        <v>35157</v>
      </c>
      <c r="B459" s="111">
        <f t="shared" si="7"/>
        <v>41</v>
      </c>
      <c r="C459" s="111"/>
      <c r="D459" s="111"/>
      <c r="E459" s="111"/>
    </row>
    <row r="460" spans="1:5" x14ac:dyDescent="0.2">
      <c r="A460" s="113">
        <v>35158</v>
      </c>
      <c r="B460" s="111">
        <f t="shared" si="7"/>
        <v>41</v>
      </c>
      <c r="C460" s="111"/>
      <c r="D460" s="111"/>
      <c r="E460" s="111"/>
    </row>
    <row r="461" spans="1:5" x14ac:dyDescent="0.2">
      <c r="A461" s="113">
        <v>35159</v>
      </c>
      <c r="B461" s="111">
        <f t="shared" si="7"/>
        <v>41</v>
      </c>
      <c r="C461" s="111"/>
      <c r="D461" s="111"/>
      <c r="E461" s="111"/>
    </row>
    <row r="462" spans="1:5" x14ac:dyDescent="0.2">
      <c r="A462" s="113">
        <v>35160</v>
      </c>
      <c r="B462" s="111">
        <f t="shared" si="7"/>
        <v>41</v>
      </c>
      <c r="C462" s="111"/>
      <c r="D462" s="111"/>
      <c r="E462" s="111"/>
    </row>
    <row r="463" spans="1:5" x14ac:dyDescent="0.2">
      <c r="A463" s="113">
        <v>35161</v>
      </c>
      <c r="B463" s="111">
        <f t="shared" si="7"/>
        <v>41</v>
      </c>
      <c r="C463" s="111"/>
      <c r="D463" s="111"/>
      <c r="E463" s="111"/>
    </row>
    <row r="464" spans="1:5" x14ac:dyDescent="0.2">
      <c r="A464" s="113">
        <v>35162</v>
      </c>
      <c r="B464" s="111">
        <f t="shared" si="7"/>
        <v>42</v>
      </c>
      <c r="C464" s="111"/>
      <c r="D464" s="111"/>
      <c r="E464" s="111"/>
    </row>
    <row r="465" spans="1:5" x14ac:dyDescent="0.2">
      <c r="A465" s="113">
        <v>35163</v>
      </c>
      <c r="B465" s="111">
        <f t="shared" si="7"/>
        <v>42</v>
      </c>
      <c r="C465" s="111"/>
      <c r="D465" s="111"/>
      <c r="E465" s="111"/>
    </row>
    <row r="466" spans="1:5" x14ac:dyDescent="0.2">
      <c r="A466" s="113">
        <v>35164</v>
      </c>
      <c r="B466" s="111">
        <f t="shared" si="7"/>
        <v>42</v>
      </c>
      <c r="C466" s="111"/>
      <c r="D466" s="111"/>
      <c r="E466" s="111"/>
    </row>
    <row r="467" spans="1:5" x14ac:dyDescent="0.2">
      <c r="A467" s="113">
        <v>35165</v>
      </c>
      <c r="B467" s="111">
        <f t="shared" si="7"/>
        <v>42</v>
      </c>
      <c r="C467" s="111"/>
      <c r="D467" s="111"/>
      <c r="E467" s="111"/>
    </row>
    <row r="468" spans="1:5" x14ac:dyDescent="0.2">
      <c r="A468" s="113">
        <v>35166</v>
      </c>
      <c r="B468" s="111">
        <f t="shared" si="7"/>
        <v>42</v>
      </c>
      <c r="C468" s="111"/>
      <c r="D468" s="111"/>
      <c r="E468" s="111"/>
    </row>
    <row r="469" spans="1:5" x14ac:dyDescent="0.2">
      <c r="A469" s="113">
        <v>35167</v>
      </c>
      <c r="B469" s="111">
        <f t="shared" si="7"/>
        <v>42</v>
      </c>
      <c r="C469" s="111"/>
      <c r="D469" s="111"/>
      <c r="E469" s="111"/>
    </row>
    <row r="470" spans="1:5" x14ac:dyDescent="0.2">
      <c r="A470" s="113">
        <v>35168</v>
      </c>
      <c r="B470" s="111">
        <f t="shared" si="7"/>
        <v>42</v>
      </c>
      <c r="C470" s="111"/>
      <c r="D470" s="111"/>
      <c r="E470" s="111"/>
    </row>
    <row r="471" spans="1:5" x14ac:dyDescent="0.2">
      <c r="A471" s="113">
        <v>35169</v>
      </c>
      <c r="B471" s="111">
        <f t="shared" si="7"/>
        <v>43</v>
      </c>
      <c r="C471" s="111"/>
      <c r="D471" s="111"/>
      <c r="E471" s="111"/>
    </row>
    <row r="472" spans="1:5" x14ac:dyDescent="0.2">
      <c r="A472" s="113">
        <v>35170</v>
      </c>
      <c r="B472" s="111">
        <f t="shared" si="7"/>
        <v>43</v>
      </c>
      <c r="C472" s="111"/>
      <c r="D472" s="111"/>
      <c r="E472" s="111"/>
    </row>
    <row r="473" spans="1:5" x14ac:dyDescent="0.2">
      <c r="A473" s="113">
        <v>35171</v>
      </c>
      <c r="B473" s="111">
        <f t="shared" si="7"/>
        <v>43</v>
      </c>
      <c r="C473" s="111"/>
      <c r="D473" s="111"/>
      <c r="E473" s="111"/>
    </row>
    <row r="474" spans="1:5" x14ac:dyDescent="0.2">
      <c r="A474" s="113">
        <v>35172</v>
      </c>
      <c r="B474" s="111">
        <f t="shared" si="7"/>
        <v>43</v>
      </c>
      <c r="C474" s="111"/>
      <c r="D474" s="111"/>
      <c r="E474" s="111"/>
    </row>
    <row r="475" spans="1:5" x14ac:dyDescent="0.2">
      <c r="A475" s="113">
        <v>35173</v>
      </c>
      <c r="B475" s="111">
        <f t="shared" si="7"/>
        <v>43</v>
      </c>
      <c r="C475" s="111"/>
      <c r="D475" s="111"/>
      <c r="E475" s="111"/>
    </row>
    <row r="476" spans="1:5" x14ac:dyDescent="0.2">
      <c r="A476" s="113">
        <v>35174</v>
      </c>
      <c r="B476" s="111">
        <f t="shared" si="7"/>
        <v>43</v>
      </c>
      <c r="C476" s="111"/>
      <c r="D476" s="111"/>
      <c r="E476" s="111"/>
    </row>
    <row r="477" spans="1:5" x14ac:dyDescent="0.2">
      <c r="A477" s="113">
        <v>35175</v>
      </c>
      <c r="B477" s="111">
        <f t="shared" si="7"/>
        <v>43</v>
      </c>
      <c r="C477" s="111"/>
      <c r="D477" s="111"/>
      <c r="E477" s="111"/>
    </row>
    <row r="478" spans="1:5" x14ac:dyDescent="0.2">
      <c r="A478" s="113">
        <v>35176</v>
      </c>
      <c r="B478" s="111">
        <f t="shared" si="7"/>
        <v>44</v>
      </c>
      <c r="C478" s="111"/>
      <c r="D478" s="111"/>
      <c r="E478" s="111"/>
    </row>
    <row r="479" spans="1:5" x14ac:dyDescent="0.2">
      <c r="A479" s="113">
        <v>35177</v>
      </c>
      <c r="B479" s="111">
        <f t="shared" si="7"/>
        <v>44</v>
      </c>
      <c r="C479" s="111"/>
      <c r="D479" s="111"/>
      <c r="E479" s="111"/>
    </row>
    <row r="480" spans="1:5" x14ac:dyDescent="0.2">
      <c r="A480" s="113">
        <v>35178</v>
      </c>
      <c r="B480" s="111">
        <f t="shared" si="7"/>
        <v>44</v>
      </c>
      <c r="C480" s="111"/>
      <c r="D480" s="111"/>
      <c r="E480" s="111"/>
    </row>
    <row r="481" spans="1:5" x14ac:dyDescent="0.2">
      <c r="A481" s="113">
        <v>35179</v>
      </c>
      <c r="B481" s="111">
        <f t="shared" si="7"/>
        <v>44</v>
      </c>
      <c r="C481" s="111"/>
      <c r="D481" s="111"/>
      <c r="E481" s="111"/>
    </row>
    <row r="482" spans="1:5" x14ac:dyDescent="0.2">
      <c r="A482" s="113">
        <v>35180</v>
      </c>
      <c r="B482" s="111">
        <f t="shared" si="7"/>
        <v>44</v>
      </c>
      <c r="C482" s="111"/>
      <c r="D482" s="111"/>
      <c r="E482" s="111"/>
    </row>
    <row r="483" spans="1:5" x14ac:dyDescent="0.2">
      <c r="A483" s="113">
        <v>35181</v>
      </c>
      <c r="B483" s="111">
        <f t="shared" si="7"/>
        <v>44</v>
      </c>
      <c r="C483" s="111"/>
      <c r="D483" s="111"/>
      <c r="E483" s="111"/>
    </row>
    <row r="484" spans="1:5" x14ac:dyDescent="0.2">
      <c r="A484" s="113">
        <v>35182</v>
      </c>
      <c r="B484" s="111">
        <f t="shared" si="7"/>
        <v>44</v>
      </c>
      <c r="C484" s="111"/>
      <c r="D484" s="111"/>
      <c r="E484" s="111"/>
    </row>
    <row r="485" spans="1:5" x14ac:dyDescent="0.2">
      <c r="A485" s="113">
        <v>35183</v>
      </c>
      <c r="B485" s="111">
        <f t="shared" si="7"/>
        <v>45</v>
      </c>
      <c r="C485" s="111"/>
      <c r="D485" s="111"/>
      <c r="E485" s="111"/>
    </row>
    <row r="486" spans="1:5" x14ac:dyDescent="0.2">
      <c r="A486" s="113">
        <v>35184</v>
      </c>
      <c r="B486" s="111">
        <f t="shared" si="7"/>
        <v>45</v>
      </c>
      <c r="C486" s="111"/>
      <c r="D486" s="111"/>
      <c r="E486" s="111"/>
    </row>
    <row r="487" spans="1:5" x14ac:dyDescent="0.2">
      <c r="A487" s="113">
        <v>35185</v>
      </c>
      <c r="B487" s="111">
        <f t="shared" si="7"/>
        <v>45</v>
      </c>
      <c r="C487" s="111"/>
      <c r="D487" s="111"/>
      <c r="E487" s="111"/>
    </row>
    <row r="488" spans="1:5" x14ac:dyDescent="0.2">
      <c r="A488" s="113">
        <v>35186</v>
      </c>
      <c r="B488" s="111">
        <f t="shared" si="7"/>
        <v>45</v>
      </c>
      <c r="C488" s="111"/>
      <c r="D488" s="111"/>
      <c r="E488" s="111"/>
    </row>
    <row r="489" spans="1:5" x14ac:dyDescent="0.2">
      <c r="A489" s="113">
        <v>35187</v>
      </c>
      <c r="B489" s="111">
        <f t="shared" si="7"/>
        <v>45</v>
      </c>
      <c r="C489" s="111"/>
      <c r="D489" s="111"/>
      <c r="E489" s="111"/>
    </row>
    <row r="490" spans="1:5" x14ac:dyDescent="0.2">
      <c r="A490" s="113">
        <v>35188</v>
      </c>
      <c r="B490" s="111">
        <f t="shared" si="7"/>
        <v>45</v>
      </c>
      <c r="C490" s="111"/>
      <c r="D490" s="111"/>
      <c r="E490" s="111"/>
    </row>
    <row r="491" spans="1:5" x14ac:dyDescent="0.2">
      <c r="A491" s="113">
        <v>35189</v>
      </c>
      <c r="B491" s="111">
        <f t="shared" si="7"/>
        <v>45</v>
      </c>
      <c r="C491" s="111"/>
      <c r="D491" s="111"/>
      <c r="E491" s="111"/>
    </row>
    <row r="492" spans="1:5" x14ac:dyDescent="0.2">
      <c r="A492" s="113">
        <v>35190</v>
      </c>
      <c r="B492" s="111">
        <f t="shared" si="7"/>
        <v>51</v>
      </c>
      <c r="C492" s="111"/>
      <c r="D492" s="111"/>
      <c r="E492" s="111"/>
    </row>
    <row r="493" spans="1:5" x14ac:dyDescent="0.2">
      <c r="A493" s="113">
        <v>35191</v>
      </c>
      <c r="B493" s="111">
        <f t="shared" si="7"/>
        <v>51</v>
      </c>
      <c r="C493" s="111"/>
      <c r="D493" s="111"/>
      <c r="E493" s="111"/>
    </row>
    <row r="494" spans="1:5" x14ac:dyDescent="0.2">
      <c r="A494" s="113">
        <v>35192</v>
      </c>
      <c r="B494" s="111">
        <f t="shared" si="7"/>
        <v>51</v>
      </c>
      <c r="C494" s="111"/>
      <c r="D494" s="111"/>
      <c r="E494" s="111"/>
    </row>
    <row r="495" spans="1:5" x14ac:dyDescent="0.2">
      <c r="A495" s="113">
        <v>35193</v>
      </c>
      <c r="B495" s="111">
        <f t="shared" si="7"/>
        <v>51</v>
      </c>
      <c r="C495" s="111"/>
      <c r="D495" s="111"/>
      <c r="E495" s="111"/>
    </row>
    <row r="496" spans="1:5" x14ac:dyDescent="0.2">
      <c r="A496" s="113">
        <v>35194</v>
      </c>
      <c r="B496" s="111">
        <f t="shared" si="7"/>
        <v>51</v>
      </c>
      <c r="C496" s="111"/>
      <c r="D496" s="111"/>
      <c r="E496" s="111"/>
    </row>
    <row r="497" spans="1:5" x14ac:dyDescent="0.2">
      <c r="A497" s="113">
        <v>35195</v>
      </c>
      <c r="B497" s="111">
        <f t="shared" si="7"/>
        <v>51</v>
      </c>
      <c r="C497" s="111"/>
      <c r="D497" s="111"/>
      <c r="E497" s="111"/>
    </row>
    <row r="498" spans="1:5" x14ac:dyDescent="0.2">
      <c r="A498" s="113">
        <v>35196</v>
      </c>
      <c r="B498" s="111">
        <f t="shared" si="7"/>
        <v>51</v>
      </c>
      <c r="C498" s="111"/>
      <c r="D498" s="111"/>
      <c r="E498" s="111"/>
    </row>
    <row r="499" spans="1:5" x14ac:dyDescent="0.2">
      <c r="A499" s="113">
        <v>35197</v>
      </c>
      <c r="B499" s="111">
        <f t="shared" si="7"/>
        <v>52</v>
      </c>
      <c r="C499" s="111"/>
      <c r="D499" s="111"/>
      <c r="E499" s="111"/>
    </row>
    <row r="500" spans="1:5" x14ac:dyDescent="0.2">
      <c r="A500" s="113">
        <v>35198</v>
      </c>
      <c r="B500" s="111">
        <f t="shared" si="7"/>
        <v>52</v>
      </c>
      <c r="C500" s="111"/>
      <c r="D500" s="111"/>
      <c r="E500" s="111"/>
    </row>
    <row r="501" spans="1:5" x14ac:dyDescent="0.2">
      <c r="A501" s="113">
        <v>35199</v>
      </c>
      <c r="B501" s="111">
        <f t="shared" si="7"/>
        <v>52</v>
      </c>
      <c r="C501" s="111"/>
      <c r="D501" s="111"/>
      <c r="E501" s="111"/>
    </row>
    <row r="502" spans="1:5" x14ac:dyDescent="0.2">
      <c r="A502" s="113">
        <v>35200</v>
      </c>
      <c r="B502" s="111">
        <f t="shared" si="7"/>
        <v>52</v>
      </c>
      <c r="C502" s="111"/>
      <c r="D502" s="111"/>
      <c r="E502" s="111"/>
    </row>
    <row r="503" spans="1:5" x14ac:dyDescent="0.2">
      <c r="A503" s="113">
        <v>35201</v>
      </c>
      <c r="B503" s="111">
        <f t="shared" si="7"/>
        <v>52</v>
      </c>
      <c r="C503" s="111"/>
      <c r="D503" s="111"/>
      <c r="E503" s="111"/>
    </row>
    <row r="504" spans="1:5" x14ac:dyDescent="0.2">
      <c r="A504" s="113">
        <v>35202</v>
      </c>
      <c r="B504" s="111">
        <f t="shared" si="7"/>
        <v>52</v>
      </c>
      <c r="C504" s="111"/>
      <c r="D504" s="111"/>
      <c r="E504" s="111"/>
    </row>
    <row r="505" spans="1:5" x14ac:dyDescent="0.2">
      <c r="A505" s="113">
        <v>35203</v>
      </c>
      <c r="B505" s="111">
        <f t="shared" si="7"/>
        <v>52</v>
      </c>
      <c r="C505" s="111"/>
      <c r="D505" s="111"/>
      <c r="E505" s="111"/>
    </row>
    <row r="506" spans="1:5" x14ac:dyDescent="0.2">
      <c r="A506" s="113">
        <v>35204</v>
      </c>
      <c r="B506" s="111">
        <f t="shared" si="7"/>
        <v>53</v>
      </c>
      <c r="C506" s="111"/>
      <c r="D506" s="111"/>
      <c r="E506" s="111"/>
    </row>
    <row r="507" spans="1:5" x14ac:dyDescent="0.2">
      <c r="A507" s="113">
        <v>35205</v>
      </c>
      <c r="B507" s="111">
        <f t="shared" si="7"/>
        <v>53</v>
      </c>
      <c r="C507" s="111"/>
      <c r="D507" s="111"/>
      <c r="E507" s="111"/>
    </row>
    <row r="508" spans="1:5" x14ac:dyDescent="0.2">
      <c r="A508" s="113">
        <v>35206</v>
      </c>
      <c r="B508" s="111">
        <f t="shared" si="7"/>
        <v>53</v>
      </c>
      <c r="C508" s="111"/>
      <c r="D508" s="111"/>
      <c r="E508" s="111"/>
    </row>
    <row r="509" spans="1:5" x14ac:dyDescent="0.2">
      <c r="A509" s="113">
        <v>35207</v>
      </c>
      <c r="B509" s="111">
        <f t="shared" si="7"/>
        <v>53</v>
      </c>
      <c r="C509" s="111"/>
      <c r="D509" s="111"/>
      <c r="E509" s="111"/>
    </row>
    <row r="510" spans="1:5" x14ac:dyDescent="0.2">
      <c r="A510" s="113">
        <v>35208</v>
      </c>
      <c r="B510" s="111">
        <f t="shared" si="7"/>
        <v>53</v>
      </c>
      <c r="C510" s="111"/>
      <c r="D510" s="111"/>
      <c r="E510" s="111"/>
    </row>
    <row r="511" spans="1:5" x14ac:dyDescent="0.2">
      <c r="A511" s="113">
        <v>35209</v>
      </c>
      <c r="B511" s="111">
        <f t="shared" si="7"/>
        <v>53</v>
      </c>
      <c r="C511" s="111"/>
      <c r="D511" s="111"/>
      <c r="E511" s="111"/>
    </row>
    <row r="512" spans="1:5" x14ac:dyDescent="0.2">
      <c r="A512" s="113">
        <v>35210</v>
      </c>
      <c r="B512" s="111">
        <f t="shared" si="7"/>
        <v>53</v>
      </c>
      <c r="C512" s="111"/>
      <c r="D512" s="111"/>
      <c r="E512" s="111"/>
    </row>
    <row r="513" spans="1:5" x14ac:dyDescent="0.2">
      <c r="A513" s="113">
        <v>35211</v>
      </c>
      <c r="B513" s="111">
        <f t="shared" si="7"/>
        <v>54</v>
      </c>
      <c r="C513" s="111"/>
      <c r="D513" s="111"/>
      <c r="E513" s="111"/>
    </row>
    <row r="514" spans="1:5" x14ac:dyDescent="0.2">
      <c r="A514" s="113">
        <v>35212</v>
      </c>
      <c r="B514" s="111">
        <f t="shared" ref="B514:B577" si="8">VLOOKUP(WEEKNUM(A514),$D$3:$E$58,2)</f>
        <v>54</v>
      </c>
      <c r="C514" s="111"/>
      <c r="D514" s="111"/>
      <c r="E514" s="111"/>
    </row>
    <row r="515" spans="1:5" x14ac:dyDescent="0.2">
      <c r="A515" s="113">
        <v>35213</v>
      </c>
      <c r="B515" s="111">
        <f t="shared" si="8"/>
        <v>54</v>
      </c>
      <c r="C515" s="111"/>
      <c r="D515" s="111"/>
      <c r="E515" s="111"/>
    </row>
    <row r="516" spans="1:5" x14ac:dyDescent="0.2">
      <c r="A516" s="113">
        <v>35214</v>
      </c>
      <c r="B516" s="111">
        <f t="shared" si="8"/>
        <v>54</v>
      </c>
      <c r="C516" s="111"/>
      <c r="D516" s="111"/>
      <c r="E516" s="111"/>
    </row>
    <row r="517" spans="1:5" x14ac:dyDescent="0.2">
      <c r="A517" s="113">
        <v>35215</v>
      </c>
      <c r="B517" s="111">
        <f t="shared" si="8"/>
        <v>54</v>
      </c>
      <c r="C517" s="111"/>
      <c r="D517" s="111"/>
      <c r="E517" s="111"/>
    </row>
    <row r="518" spans="1:5" x14ac:dyDescent="0.2">
      <c r="A518" s="113">
        <v>35216</v>
      </c>
      <c r="B518" s="111">
        <f t="shared" si="8"/>
        <v>54</v>
      </c>
      <c r="C518" s="111"/>
      <c r="D518" s="111"/>
      <c r="E518" s="111"/>
    </row>
    <row r="519" spans="1:5" x14ac:dyDescent="0.2">
      <c r="A519" s="113">
        <v>35217</v>
      </c>
      <c r="B519" s="111">
        <f t="shared" si="8"/>
        <v>54</v>
      </c>
      <c r="C519" s="111"/>
      <c r="D519" s="111"/>
      <c r="E519" s="111"/>
    </row>
    <row r="520" spans="1:5" x14ac:dyDescent="0.2">
      <c r="A520" s="113">
        <v>35218</v>
      </c>
      <c r="B520" s="111">
        <f t="shared" si="8"/>
        <v>61</v>
      </c>
      <c r="C520" s="111"/>
      <c r="D520" s="111"/>
      <c r="E520" s="111"/>
    </row>
    <row r="521" spans="1:5" x14ac:dyDescent="0.2">
      <c r="A521" s="113">
        <v>35219</v>
      </c>
      <c r="B521" s="111">
        <f t="shared" si="8"/>
        <v>61</v>
      </c>
      <c r="C521" s="111"/>
      <c r="D521" s="111"/>
      <c r="E521" s="111"/>
    </row>
    <row r="522" spans="1:5" x14ac:dyDescent="0.2">
      <c r="A522" s="113">
        <v>35220</v>
      </c>
      <c r="B522" s="111">
        <f t="shared" si="8"/>
        <v>61</v>
      </c>
      <c r="C522" s="111"/>
      <c r="D522" s="111"/>
      <c r="E522" s="111"/>
    </row>
    <row r="523" spans="1:5" x14ac:dyDescent="0.2">
      <c r="A523" s="113">
        <v>35221</v>
      </c>
      <c r="B523" s="111">
        <f t="shared" si="8"/>
        <v>61</v>
      </c>
      <c r="C523" s="111"/>
      <c r="D523" s="111"/>
      <c r="E523" s="111"/>
    </row>
    <row r="524" spans="1:5" x14ac:dyDescent="0.2">
      <c r="A524" s="113">
        <v>35222</v>
      </c>
      <c r="B524" s="111">
        <f t="shared" si="8"/>
        <v>61</v>
      </c>
      <c r="C524" s="111"/>
      <c r="D524" s="111"/>
      <c r="E524" s="111"/>
    </row>
    <row r="525" spans="1:5" x14ac:dyDescent="0.2">
      <c r="A525" s="113">
        <v>35223</v>
      </c>
      <c r="B525" s="111">
        <f t="shared" si="8"/>
        <v>61</v>
      </c>
      <c r="C525" s="111"/>
      <c r="D525" s="111"/>
      <c r="E525" s="111"/>
    </row>
    <row r="526" spans="1:5" x14ac:dyDescent="0.2">
      <c r="A526" s="113">
        <v>35224</v>
      </c>
      <c r="B526" s="111">
        <f t="shared" si="8"/>
        <v>61</v>
      </c>
      <c r="C526" s="111"/>
      <c r="D526" s="111"/>
      <c r="E526" s="111"/>
    </row>
    <row r="527" spans="1:5" x14ac:dyDescent="0.2">
      <c r="A527" s="113">
        <v>35225</v>
      </c>
      <c r="B527" s="111">
        <f t="shared" si="8"/>
        <v>62</v>
      </c>
      <c r="C527" s="111"/>
      <c r="D527" s="111"/>
      <c r="E527" s="111"/>
    </row>
    <row r="528" spans="1:5" x14ac:dyDescent="0.2">
      <c r="A528" s="113">
        <v>35226</v>
      </c>
      <c r="B528" s="111">
        <f t="shared" si="8"/>
        <v>62</v>
      </c>
      <c r="C528" s="111"/>
      <c r="D528" s="111"/>
      <c r="E528" s="111"/>
    </row>
    <row r="529" spans="1:5" x14ac:dyDescent="0.2">
      <c r="A529" s="113">
        <v>35227</v>
      </c>
      <c r="B529" s="111">
        <f t="shared" si="8"/>
        <v>62</v>
      </c>
      <c r="C529" s="111"/>
      <c r="D529" s="111"/>
      <c r="E529" s="111"/>
    </row>
    <row r="530" spans="1:5" x14ac:dyDescent="0.2">
      <c r="A530" s="113">
        <v>35228</v>
      </c>
      <c r="B530" s="111">
        <f t="shared" si="8"/>
        <v>62</v>
      </c>
      <c r="C530" s="111"/>
      <c r="D530" s="111"/>
      <c r="E530" s="111"/>
    </row>
    <row r="531" spans="1:5" x14ac:dyDescent="0.2">
      <c r="A531" s="113">
        <v>35229</v>
      </c>
      <c r="B531" s="111">
        <f t="shared" si="8"/>
        <v>62</v>
      </c>
      <c r="C531" s="111"/>
      <c r="D531" s="111"/>
      <c r="E531" s="111"/>
    </row>
    <row r="532" spans="1:5" x14ac:dyDescent="0.2">
      <c r="A532" s="113">
        <v>35230</v>
      </c>
      <c r="B532" s="111">
        <f t="shared" si="8"/>
        <v>62</v>
      </c>
      <c r="C532" s="111"/>
      <c r="D532" s="111"/>
      <c r="E532" s="111"/>
    </row>
    <row r="533" spans="1:5" x14ac:dyDescent="0.2">
      <c r="A533" s="113">
        <v>35231</v>
      </c>
      <c r="B533" s="111">
        <f t="shared" si="8"/>
        <v>62</v>
      </c>
      <c r="C533" s="111"/>
      <c r="D533" s="111"/>
      <c r="E533" s="111"/>
    </row>
    <row r="534" spans="1:5" x14ac:dyDescent="0.2">
      <c r="A534" s="113">
        <v>35232</v>
      </c>
      <c r="B534" s="111">
        <f t="shared" si="8"/>
        <v>63</v>
      </c>
      <c r="C534" s="111"/>
      <c r="D534" s="111"/>
      <c r="E534" s="111"/>
    </row>
    <row r="535" spans="1:5" x14ac:dyDescent="0.2">
      <c r="A535" s="113">
        <v>35233</v>
      </c>
      <c r="B535" s="111">
        <f t="shared" si="8"/>
        <v>63</v>
      </c>
      <c r="C535" s="111"/>
      <c r="D535" s="111"/>
      <c r="E535" s="111"/>
    </row>
    <row r="536" spans="1:5" x14ac:dyDescent="0.2">
      <c r="A536" s="113">
        <v>35234</v>
      </c>
      <c r="B536" s="111">
        <f t="shared" si="8"/>
        <v>63</v>
      </c>
      <c r="C536" s="111"/>
      <c r="D536" s="111"/>
      <c r="E536" s="111"/>
    </row>
    <row r="537" spans="1:5" x14ac:dyDescent="0.2">
      <c r="A537" s="113">
        <v>35235</v>
      </c>
      <c r="B537" s="111">
        <f t="shared" si="8"/>
        <v>63</v>
      </c>
      <c r="C537" s="111"/>
      <c r="D537" s="111"/>
      <c r="E537" s="111"/>
    </row>
    <row r="538" spans="1:5" x14ac:dyDescent="0.2">
      <c r="A538" s="113">
        <v>35236</v>
      </c>
      <c r="B538" s="111">
        <f t="shared" si="8"/>
        <v>63</v>
      </c>
      <c r="C538" s="111"/>
      <c r="D538" s="111"/>
      <c r="E538" s="111"/>
    </row>
    <row r="539" spans="1:5" x14ac:dyDescent="0.2">
      <c r="A539" s="113">
        <v>35237</v>
      </c>
      <c r="B539" s="111">
        <f t="shared" si="8"/>
        <v>63</v>
      </c>
      <c r="C539" s="111"/>
      <c r="D539" s="111"/>
      <c r="E539" s="111"/>
    </row>
    <row r="540" spans="1:5" x14ac:dyDescent="0.2">
      <c r="A540" s="113">
        <v>35238</v>
      </c>
      <c r="B540" s="111">
        <f t="shared" si="8"/>
        <v>63</v>
      </c>
      <c r="C540" s="111"/>
      <c r="D540" s="111"/>
      <c r="E540" s="111"/>
    </row>
    <row r="541" spans="1:5" x14ac:dyDescent="0.2">
      <c r="A541" s="113">
        <v>35239</v>
      </c>
      <c r="B541" s="111">
        <f t="shared" si="8"/>
        <v>64</v>
      </c>
      <c r="C541" s="111"/>
      <c r="D541" s="111"/>
      <c r="E541" s="111"/>
    </row>
    <row r="542" spans="1:5" x14ac:dyDescent="0.2">
      <c r="A542" s="113">
        <v>35240</v>
      </c>
      <c r="B542" s="111">
        <f t="shared" si="8"/>
        <v>64</v>
      </c>
      <c r="C542" s="111"/>
      <c r="D542" s="111"/>
      <c r="E542" s="111"/>
    </row>
    <row r="543" spans="1:5" x14ac:dyDescent="0.2">
      <c r="A543" s="113">
        <v>35241</v>
      </c>
      <c r="B543" s="111">
        <f t="shared" si="8"/>
        <v>64</v>
      </c>
      <c r="C543" s="111"/>
      <c r="D543" s="111"/>
      <c r="E543" s="111"/>
    </row>
    <row r="544" spans="1:5" x14ac:dyDescent="0.2">
      <c r="A544" s="113">
        <v>35242</v>
      </c>
      <c r="B544" s="111">
        <f t="shared" si="8"/>
        <v>64</v>
      </c>
      <c r="C544" s="111"/>
      <c r="D544" s="111"/>
      <c r="E544" s="111"/>
    </row>
    <row r="545" spans="1:5" x14ac:dyDescent="0.2">
      <c r="A545" s="113">
        <v>35243</v>
      </c>
      <c r="B545" s="111">
        <f t="shared" si="8"/>
        <v>64</v>
      </c>
      <c r="C545" s="111"/>
      <c r="D545" s="111"/>
      <c r="E545" s="111"/>
    </row>
    <row r="546" spans="1:5" x14ac:dyDescent="0.2">
      <c r="A546" s="113">
        <v>35244</v>
      </c>
      <c r="B546" s="111">
        <f t="shared" si="8"/>
        <v>64</v>
      </c>
      <c r="C546" s="111"/>
      <c r="D546" s="111"/>
      <c r="E546" s="111"/>
    </row>
    <row r="547" spans="1:5" x14ac:dyDescent="0.2">
      <c r="A547" s="113">
        <v>35245</v>
      </c>
      <c r="B547" s="111">
        <f t="shared" si="8"/>
        <v>64</v>
      </c>
      <c r="C547" s="111"/>
      <c r="D547" s="111"/>
      <c r="E547" s="111"/>
    </row>
    <row r="548" spans="1:5" x14ac:dyDescent="0.2">
      <c r="A548" s="113">
        <v>35246</v>
      </c>
      <c r="B548" s="111">
        <f t="shared" si="8"/>
        <v>71</v>
      </c>
      <c r="C548" s="111"/>
      <c r="D548" s="111"/>
      <c r="E548" s="111"/>
    </row>
    <row r="549" spans="1:5" x14ac:dyDescent="0.2">
      <c r="A549" s="113">
        <v>35247</v>
      </c>
      <c r="B549" s="111">
        <f t="shared" si="8"/>
        <v>71</v>
      </c>
      <c r="C549" s="111"/>
      <c r="D549" s="111"/>
      <c r="E549" s="111"/>
    </row>
    <row r="550" spans="1:5" x14ac:dyDescent="0.2">
      <c r="A550" s="113">
        <v>35248</v>
      </c>
      <c r="B550" s="111">
        <f t="shared" si="8"/>
        <v>71</v>
      </c>
      <c r="C550" s="111"/>
      <c r="D550" s="111"/>
      <c r="E550" s="111"/>
    </row>
    <row r="551" spans="1:5" x14ac:dyDescent="0.2">
      <c r="A551" s="113">
        <v>35249</v>
      </c>
      <c r="B551" s="111">
        <f t="shared" si="8"/>
        <v>71</v>
      </c>
      <c r="C551" s="111"/>
      <c r="D551" s="111"/>
      <c r="E551" s="111"/>
    </row>
    <row r="552" spans="1:5" x14ac:dyDescent="0.2">
      <c r="A552" s="113">
        <v>35250</v>
      </c>
      <c r="B552" s="111">
        <f t="shared" si="8"/>
        <v>71</v>
      </c>
      <c r="C552" s="111"/>
      <c r="D552" s="111"/>
      <c r="E552" s="111"/>
    </row>
    <row r="553" spans="1:5" x14ac:dyDescent="0.2">
      <c r="A553" s="113">
        <v>35251</v>
      </c>
      <c r="B553" s="111">
        <f t="shared" si="8"/>
        <v>71</v>
      </c>
      <c r="C553" s="111"/>
      <c r="D553" s="111"/>
      <c r="E553" s="111"/>
    </row>
    <row r="554" spans="1:5" x14ac:dyDescent="0.2">
      <c r="A554" s="113">
        <v>35252</v>
      </c>
      <c r="B554" s="111">
        <f t="shared" si="8"/>
        <v>71</v>
      </c>
      <c r="C554" s="111"/>
      <c r="D554" s="111"/>
      <c r="E554" s="111"/>
    </row>
    <row r="555" spans="1:5" x14ac:dyDescent="0.2">
      <c r="A555" s="113">
        <v>35253</v>
      </c>
      <c r="B555" s="111">
        <f t="shared" si="8"/>
        <v>72</v>
      </c>
      <c r="C555" s="111"/>
      <c r="D555" s="111"/>
      <c r="E555" s="111"/>
    </row>
    <row r="556" spans="1:5" x14ac:dyDescent="0.2">
      <c r="A556" s="113">
        <v>35254</v>
      </c>
      <c r="B556" s="111">
        <f t="shared" si="8"/>
        <v>72</v>
      </c>
      <c r="C556" s="111"/>
      <c r="D556" s="111"/>
      <c r="E556" s="111"/>
    </row>
    <row r="557" spans="1:5" x14ac:dyDescent="0.2">
      <c r="A557" s="113">
        <v>35255</v>
      </c>
      <c r="B557" s="111">
        <f t="shared" si="8"/>
        <v>72</v>
      </c>
      <c r="C557" s="111"/>
      <c r="D557" s="111"/>
      <c r="E557" s="111"/>
    </row>
    <row r="558" spans="1:5" x14ac:dyDescent="0.2">
      <c r="A558" s="113">
        <v>35256</v>
      </c>
      <c r="B558" s="111">
        <f t="shared" si="8"/>
        <v>72</v>
      </c>
      <c r="C558" s="111"/>
      <c r="D558" s="111"/>
      <c r="E558" s="111"/>
    </row>
    <row r="559" spans="1:5" x14ac:dyDescent="0.2">
      <c r="A559" s="113">
        <v>35257</v>
      </c>
      <c r="B559" s="111">
        <f t="shared" si="8"/>
        <v>72</v>
      </c>
      <c r="C559" s="111"/>
      <c r="D559" s="111"/>
      <c r="E559" s="111"/>
    </row>
    <row r="560" spans="1:5" x14ac:dyDescent="0.2">
      <c r="A560" s="113">
        <v>35258</v>
      </c>
      <c r="B560" s="111">
        <f t="shared" si="8"/>
        <v>72</v>
      </c>
      <c r="C560" s="111"/>
      <c r="D560" s="111"/>
      <c r="E560" s="111"/>
    </row>
    <row r="561" spans="1:5" x14ac:dyDescent="0.2">
      <c r="A561" s="113">
        <v>35259</v>
      </c>
      <c r="B561" s="111">
        <f t="shared" si="8"/>
        <v>72</v>
      </c>
      <c r="C561" s="111"/>
      <c r="D561" s="111"/>
      <c r="E561" s="111"/>
    </row>
    <row r="562" spans="1:5" x14ac:dyDescent="0.2">
      <c r="A562" s="113">
        <v>35260</v>
      </c>
      <c r="B562" s="111">
        <f t="shared" si="8"/>
        <v>73</v>
      </c>
      <c r="C562" s="111"/>
      <c r="D562" s="111"/>
      <c r="E562" s="111"/>
    </row>
    <row r="563" spans="1:5" x14ac:dyDescent="0.2">
      <c r="A563" s="113">
        <v>35261</v>
      </c>
      <c r="B563" s="111">
        <f t="shared" si="8"/>
        <v>73</v>
      </c>
      <c r="C563" s="111"/>
      <c r="D563" s="111"/>
      <c r="E563" s="111"/>
    </row>
    <row r="564" spans="1:5" x14ac:dyDescent="0.2">
      <c r="A564" s="113">
        <v>35262</v>
      </c>
      <c r="B564" s="111">
        <f t="shared" si="8"/>
        <v>73</v>
      </c>
      <c r="C564" s="111"/>
      <c r="D564" s="111"/>
      <c r="E564" s="111"/>
    </row>
    <row r="565" spans="1:5" x14ac:dyDescent="0.2">
      <c r="A565" s="113">
        <v>35263</v>
      </c>
      <c r="B565" s="111">
        <f t="shared" si="8"/>
        <v>73</v>
      </c>
      <c r="C565" s="111"/>
      <c r="D565" s="111"/>
      <c r="E565" s="111"/>
    </row>
    <row r="566" spans="1:5" x14ac:dyDescent="0.2">
      <c r="A566" s="113">
        <v>35264</v>
      </c>
      <c r="B566" s="111">
        <f t="shared" si="8"/>
        <v>73</v>
      </c>
      <c r="C566" s="111"/>
      <c r="D566" s="111"/>
      <c r="E566" s="111"/>
    </row>
    <row r="567" spans="1:5" x14ac:dyDescent="0.2">
      <c r="A567" s="113">
        <v>35265</v>
      </c>
      <c r="B567" s="111">
        <f t="shared" si="8"/>
        <v>73</v>
      </c>
      <c r="C567" s="111"/>
      <c r="D567" s="111"/>
      <c r="E567" s="111"/>
    </row>
    <row r="568" spans="1:5" x14ac:dyDescent="0.2">
      <c r="A568" s="113">
        <v>35266</v>
      </c>
      <c r="B568" s="111">
        <f t="shared" si="8"/>
        <v>73</v>
      </c>
      <c r="C568" s="111"/>
      <c r="D568" s="111"/>
      <c r="E568" s="111"/>
    </row>
    <row r="569" spans="1:5" x14ac:dyDescent="0.2">
      <c r="A569" s="113">
        <v>35267</v>
      </c>
      <c r="B569" s="111">
        <f t="shared" si="8"/>
        <v>74</v>
      </c>
      <c r="C569" s="111"/>
      <c r="D569" s="111"/>
      <c r="E569" s="111"/>
    </row>
    <row r="570" spans="1:5" x14ac:dyDescent="0.2">
      <c r="A570" s="113">
        <v>35268</v>
      </c>
      <c r="B570" s="111">
        <f t="shared" si="8"/>
        <v>74</v>
      </c>
      <c r="C570" s="111"/>
      <c r="D570" s="111"/>
      <c r="E570" s="111"/>
    </row>
    <row r="571" spans="1:5" x14ac:dyDescent="0.2">
      <c r="A571" s="113">
        <v>35269</v>
      </c>
      <c r="B571" s="111">
        <f t="shared" si="8"/>
        <v>74</v>
      </c>
      <c r="C571" s="111"/>
      <c r="D571" s="111"/>
      <c r="E571" s="111"/>
    </row>
    <row r="572" spans="1:5" x14ac:dyDescent="0.2">
      <c r="A572" s="113">
        <v>35270</v>
      </c>
      <c r="B572" s="111">
        <f t="shared" si="8"/>
        <v>74</v>
      </c>
      <c r="C572" s="111"/>
      <c r="D572" s="111"/>
      <c r="E572" s="111"/>
    </row>
    <row r="573" spans="1:5" x14ac:dyDescent="0.2">
      <c r="A573" s="113">
        <v>35271</v>
      </c>
      <c r="B573" s="111">
        <f t="shared" si="8"/>
        <v>74</v>
      </c>
      <c r="C573" s="111"/>
      <c r="D573" s="111"/>
      <c r="E573" s="111"/>
    </row>
    <row r="574" spans="1:5" x14ac:dyDescent="0.2">
      <c r="A574" s="113">
        <v>35272</v>
      </c>
      <c r="B574" s="111">
        <f t="shared" si="8"/>
        <v>74</v>
      </c>
      <c r="C574" s="111"/>
      <c r="D574" s="111"/>
      <c r="E574" s="111"/>
    </row>
    <row r="575" spans="1:5" x14ac:dyDescent="0.2">
      <c r="A575" s="113">
        <v>35273</v>
      </c>
      <c r="B575" s="111">
        <f t="shared" si="8"/>
        <v>74</v>
      </c>
      <c r="C575" s="111"/>
      <c r="D575" s="111"/>
      <c r="E575" s="111"/>
    </row>
    <row r="576" spans="1:5" x14ac:dyDescent="0.2">
      <c r="A576" s="113">
        <v>35274</v>
      </c>
      <c r="B576" s="111">
        <f t="shared" si="8"/>
        <v>75</v>
      </c>
      <c r="C576" s="111"/>
      <c r="D576" s="111"/>
      <c r="E576" s="111"/>
    </row>
    <row r="577" spans="1:5" x14ac:dyDescent="0.2">
      <c r="A577" s="113">
        <v>35275</v>
      </c>
      <c r="B577" s="111">
        <f t="shared" si="8"/>
        <v>75</v>
      </c>
      <c r="C577" s="111"/>
      <c r="D577" s="111"/>
      <c r="E577" s="111"/>
    </row>
    <row r="578" spans="1:5" x14ac:dyDescent="0.2">
      <c r="A578" s="113">
        <v>35276</v>
      </c>
      <c r="B578" s="111">
        <f t="shared" ref="B578:B641" si="9">VLOOKUP(WEEKNUM(A578),$D$3:$E$58,2)</f>
        <v>75</v>
      </c>
      <c r="C578" s="111"/>
      <c r="D578" s="111"/>
      <c r="E578" s="111"/>
    </row>
    <row r="579" spans="1:5" x14ac:dyDescent="0.2">
      <c r="A579" s="113">
        <v>35277</v>
      </c>
      <c r="B579" s="111">
        <f t="shared" si="9"/>
        <v>75</v>
      </c>
      <c r="C579" s="111"/>
      <c r="D579" s="111"/>
      <c r="E579" s="111"/>
    </row>
    <row r="580" spans="1:5" x14ac:dyDescent="0.2">
      <c r="A580" s="113">
        <v>35278</v>
      </c>
      <c r="B580" s="111">
        <f t="shared" si="9"/>
        <v>75</v>
      </c>
      <c r="C580" s="111"/>
      <c r="D580" s="111"/>
      <c r="E580" s="111"/>
    </row>
    <row r="581" spans="1:5" x14ac:dyDescent="0.2">
      <c r="A581" s="113">
        <v>35279</v>
      </c>
      <c r="B581" s="111">
        <f t="shared" si="9"/>
        <v>75</v>
      </c>
      <c r="C581" s="111"/>
      <c r="D581" s="111"/>
      <c r="E581" s="111"/>
    </row>
    <row r="582" spans="1:5" x14ac:dyDescent="0.2">
      <c r="A582" s="113">
        <v>35280</v>
      </c>
      <c r="B582" s="111">
        <f t="shared" si="9"/>
        <v>75</v>
      </c>
      <c r="C582" s="111"/>
      <c r="D582" s="111"/>
      <c r="E582" s="111"/>
    </row>
    <row r="583" spans="1:5" x14ac:dyDescent="0.2">
      <c r="A583" s="113">
        <v>35281</v>
      </c>
      <c r="B583" s="111">
        <f t="shared" si="9"/>
        <v>81</v>
      </c>
      <c r="C583" s="111"/>
      <c r="D583" s="111"/>
      <c r="E583" s="111"/>
    </row>
    <row r="584" spans="1:5" x14ac:dyDescent="0.2">
      <c r="A584" s="113">
        <v>35282</v>
      </c>
      <c r="B584" s="111">
        <f t="shared" si="9"/>
        <v>81</v>
      </c>
      <c r="C584" s="111"/>
      <c r="D584" s="111"/>
      <c r="E584" s="111"/>
    </row>
    <row r="585" spans="1:5" x14ac:dyDescent="0.2">
      <c r="A585" s="113">
        <v>35283</v>
      </c>
      <c r="B585" s="111">
        <f t="shared" si="9"/>
        <v>81</v>
      </c>
      <c r="C585" s="111"/>
      <c r="D585" s="111"/>
      <c r="E585" s="111"/>
    </row>
    <row r="586" spans="1:5" x14ac:dyDescent="0.2">
      <c r="A586" s="113">
        <v>35284</v>
      </c>
      <c r="B586" s="111">
        <f t="shared" si="9"/>
        <v>81</v>
      </c>
      <c r="C586" s="111"/>
      <c r="D586" s="111"/>
      <c r="E586" s="111"/>
    </row>
    <row r="587" spans="1:5" x14ac:dyDescent="0.2">
      <c r="A587" s="113">
        <v>35285</v>
      </c>
      <c r="B587" s="111">
        <f t="shared" si="9"/>
        <v>81</v>
      </c>
      <c r="C587" s="111"/>
      <c r="D587" s="111"/>
      <c r="E587" s="111"/>
    </row>
    <row r="588" spans="1:5" x14ac:dyDescent="0.2">
      <c r="A588" s="113">
        <v>35286</v>
      </c>
      <c r="B588" s="111">
        <f t="shared" si="9"/>
        <v>81</v>
      </c>
      <c r="C588" s="111"/>
      <c r="D588" s="111"/>
      <c r="E588" s="111"/>
    </row>
    <row r="589" spans="1:5" x14ac:dyDescent="0.2">
      <c r="A589" s="113">
        <v>35287</v>
      </c>
      <c r="B589" s="111">
        <f t="shared" si="9"/>
        <v>81</v>
      </c>
      <c r="C589" s="111"/>
      <c r="D589" s="111"/>
      <c r="E589" s="111"/>
    </row>
    <row r="590" spans="1:5" x14ac:dyDescent="0.2">
      <c r="A590" s="113">
        <v>35288</v>
      </c>
      <c r="B590" s="111">
        <f t="shared" si="9"/>
        <v>82</v>
      </c>
      <c r="C590" s="111"/>
      <c r="D590" s="111"/>
      <c r="E590" s="111"/>
    </row>
    <row r="591" spans="1:5" x14ac:dyDescent="0.2">
      <c r="A591" s="113">
        <v>35289</v>
      </c>
      <c r="B591" s="111">
        <f t="shared" si="9"/>
        <v>82</v>
      </c>
      <c r="C591" s="111"/>
      <c r="D591" s="111"/>
      <c r="E591" s="111"/>
    </row>
    <row r="592" spans="1:5" x14ac:dyDescent="0.2">
      <c r="A592" s="113">
        <v>35290</v>
      </c>
      <c r="B592" s="111">
        <f t="shared" si="9"/>
        <v>82</v>
      </c>
      <c r="C592" s="111"/>
      <c r="D592" s="111"/>
      <c r="E592" s="111"/>
    </row>
    <row r="593" spans="1:5" x14ac:dyDescent="0.2">
      <c r="A593" s="113">
        <v>35291</v>
      </c>
      <c r="B593" s="111">
        <f t="shared" si="9"/>
        <v>82</v>
      </c>
      <c r="C593" s="111"/>
      <c r="D593" s="111"/>
      <c r="E593" s="111"/>
    </row>
    <row r="594" spans="1:5" x14ac:dyDescent="0.2">
      <c r="A594" s="113">
        <v>35292</v>
      </c>
      <c r="B594" s="111">
        <f t="shared" si="9"/>
        <v>82</v>
      </c>
      <c r="C594" s="111"/>
      <c r="D594" s="111"/>
      <c r="E594" s="111"/>
    </row>
    <row r="595" spans="1:5" x14ac:dyDescent="0.2">
      <c r="A595" s="113">
        <v>35293</v>
      </c>
      <c r="B595" s="111">
        <f t="shared" si="9"/>
        <v>82</v>
      </c>
      <c r="C595" s="111"/>
      <c r="D595" s="111"/>
      <c r="E595" s="111"/>
    </row>
    <row r="596" spans="1:5" x14ac:dyDescent="0.2">
      <c r="A596" s="113">
        <v>35294</v>
      </c>
      <c r="B596" s="111">
        <f t="shared" si="9"/>
        <v>82</v>
      </c>
      <c r="C596" s="111"/>
      <c r="D596" s="111"/>
      <c r="E596" s="111"/>
    </row>
    <row r="597" spans="1:5" x14ac:dyDescent="0.2">
      <c r="A597" s="113">
        <v>35295</v>
      </c>
      <c r="B597" s="111">
        <f t="shared" si="9"/>
        <v>83</v>
      </c>
      <c r="C597" s="111"/>
      <c r="D597" s="111"/>
      <c r="E597" s="111"/>
    </row>
    <row r="598" spans="1:5" x14ac:dyDescent="0.2">
      <c r="A598" s="113">
        <v>35296</v>
      </c>
      <c r="B598" s="111">
        <f t="shared" si="9"/>
        <v>83</v>
      </c>
      <c r="C598" s="111"/>
      <c r="D598" s="111"/>
      <c r="E598" s="111"/>
    </row>
    <row r="599" spans="1:5" x14ac:dyDescent="0.2">
      <c r="A599" s="113">
        <v>35297</v>
      </c>
      <c r="B599" s="111">
        <f t="shared" si="9"/>
        <v>83</v>
      </c>
      <c r="C599" s="111"/>
      <c r="D599" s="111"/>
      <c r="E599" s="111"/>
    </row>
    <row r="600" spans="1:5" x14ac:dyDescent="0.2">
      <c r="A600" s="113">
        <v>35298</v>
      </c>
      <c r="B600" s="111">
        <f t="shared" si="9"/>
        <v>83</v>
      </c>
      <c r="C600" s="111"/>
      <c r="D600" s="111"/>
      <c r="E600" s="111"/>
    </row>
    <row r="601" spans="1:5" x14ac:dyDescent="0.2">
      <c r="A601" s="113">
        <v>35299</v>
      </c>
      <c r="B601" s="111">
        <f t="shared" si="9"/>
        <v>83</v>
      </c>
      <c r="C601" s="111"/>
      <c r="D601" s="111"/>
      <c r="E601" s="111"/>
    </row>
    <row r="602" spans="1:5" x14ac:dyDescent="0.2">
      <c r="A602" s="113">
        <v>35300</v>
      </c>
      <c r="B602" s="111">
        <f t="shared" si="9"/>
        <v>83</v>
      </c>
      <c r="C602" s="111"/>
      <c r="D602" s="111"/>
      <c r="E602" s="111"/>
    </row>
    <row r="603" spans="1:5" x14ac:dyDescent="0.2">
      <c r="A603" s="113">
        <v>35301</v>
      </c>
      <c r="B603" s="111">
        <f t="shared" si="9"/>
        <v>83</v>
      </c>
      <c r="C603" s="111"/>
      <c r="D603" s="111"/>
      <c r="E603" s="111"/>
    </row>
    <row r="604" spans="1:5" x14ac:dyDescent="0.2">
      <c r="A604" s="113">
        <v>35302</v>
      </c>
      <c r="B604" s="111">
        <f t="shared" si="9"/>
        <v>84</v>
      </c>
      <c r="C604" s="111"/>
      <c r="D604" s="111"/>
      <c r="E604" s="111"/>
    </row>
    <row r="605" spans="1:5" x14ac:dyDescent="0.2">
      <c r="A605" s="113">
        <v>35303</v>
      </c>
      <c r="B605" s="111">
        <f t="shared" si="9"/>
        <v>84</v>
      </c>
      <c r="C605" s="111"/>
      <c r="D605" s="111"/>
      <c r="E605" s="111"/>
    </row>
    <row r="606" spans="1:5" x14ac:dyDescent="0.2">
      <c r="A606" s="113">
        <v>35304</v>
      </c>
      <c r="B606" s="111">
        <f t="shared" si="9"/>
        <v>84</v>
      </c>
      <c r="C606" s="111"/>
      <c r="D606" s="111"/>
      <c r="E606" s="111"/>
    </row>
    <row r="607" spans="1:5" x14ac:dyDescent="0.2">
      <c r="A607" s="113">
        <v>35305</v>
      </c>
      <c r="B607" s="111">
        <f t="shared" si="9"/>
        <v>84</v>
      </c>
      <c r="C607" s="111"/>
      <c r="D607" s="111"/>
      <c r="E607" s="111"/>
    </row>
    <row r="608" spans="1:5" x14ac:dyDescent="0.2">
      <c r="A608" s="113">
        <v>35306</v>
      </c>
      <c r="B608" s="111">
        <f t="shared" si="9"/>
        <v>84</v>
      </c>
      <c r="C608" s="111"/>
      <c r="D608" s="111"/>
      <c r="E608" s="111"/>
    </row>
    <row r="609" spans="1:5" x14ac:dyDescent="0.2">
      <c r="A609" s="113">
        <v>35307</v>
      </c>
      <c r="B609" s="111">
        <f t="shared" si="9"/>
        <v>84</v>
      </c>
      <c r="C609" s="111"/>
      <c r="D609" s="111"/>
      <c r="E609" s="111"/>
    </row>
    <row r="610" spans="1:5" x14ac:dyDescent="0.2">
      <c r="A610" s="113">
        <v>35308</v>
      </c>
      <c r="B610" s="111">
        <f t="shared" si="9"/>
        <v>84</v>
      </c>
      <c r="C610" s="111"/>
      <c r="D610" s="111"/>
      <c r="E610" s="111"/>
    </row>
    <row r="611" spans="1:5" x14ac:dyDescent="0.2">
      <c r="A611" s="113">
        <v>35309</v>
      </c>
      <c r="B611" s="111">
        <f t="shared" si="9"/>
        <v>91</v>
      </c>
      <c r="C611" s="111"/>
      <c r="D611" s="111"/>
      <c r="E611" s="111"/>
    </row>
    <row r="612" spans="1:5" x14ac:dyDescent="0.2">
      <c r="A612" s="113">
        <v>35310</v>
      </c>
      <c r="B612" s="111">
        <f t="shared" si="9"/>
        <v>91</v>
      </c>
      <c r="C612" s="111"/>
      <c r="D612" s="111"/>
      <c r="E612" s="111"/>
    </row>
    <row r="613" spans="1:5" x14ac:dyDescent="0.2">
      <c r="A613" s="113">
        <v>35311</v>
      </c>
      <c r="B613" s="111">
        <f t="shared" si="9"/>
        <v>91</v>
      </c>
      <c r="C613" s="111"/>
      <c r="D613" s="111"/>
      <c r="E613" s="111"/>
    </row>
    <row r="614" spans="1:5" x14ac:dyDescent="0.2">
      <c r="A614" s="113">
        <v>35312</v>
      </c>
      <c r="B614" s="111">
        <f t="shared" si="9"/>
        <v>91</v>
      </c>
      <c r="C614" s="111"/>
      <c r="D614" s="111"/>
      <c r="E614" s="111"/>
    </row>
    <row r="615" spans="1:5" x14ac:dyDescent="0.2">
      <c r="A615" s="113">
        <v>35313</v>
      </c>
      <c r="B615" s="111">
        <f t="shared" si="9"/>
        <v>91</v>
      </c>
      <c r="C615" s="111"/>
      <c r="D615" s="111"/>
      <c r="E615" s="111"/>
    </row>
    <row r="616" spans="1:5" x14ac:dyDescent="0.2">
      <c r="A616" s="113">
        <v>35314</v>
      </c>
      <c r="B616" s="111">
        <f t="shared" si="9"/>
        <v>91</v>
      </c>
      <c r="C616" s="111"/>
      <c r="D616" s="111"/>
      <c r="E616" s="111"/>
    </row>
    <row r="617" spans="1:5" x14ac:dyDescent="0.2">
      <c r="A617" s="113">
        <v>35315</v>
      </c>
      <c r="B617" s="111">
        <f t="shared" si="9"/>
        <v>91</v>
      </c>
      <c r="C617" s="111"/>
      <c r="D617" s="111"/>
      <c r="E617" s="111"/>
    </row>
    <row r="618" spans="1:5" x14ac:dyDescent="0.2">
      <c r="A618" s="113">
        <v>35316</v>
      </c>
      <c r="B618" s="111">
        <f t="shared" si="9"/>
        <v>92</v>
      </c>
      <c r="C618" s="111"/>
      <c r="D618" s="111"/>
      <c r="E618" s="111"/>
    </row>
    <row r="619" spans="1:5" x14ac:dyDescent="0.2">
      <c r="A619" s="113">
        <v>35317</v>
      </c>
      <c r="B619" s="111">
        <f t="shared" si="9"/>
        <v>92</v>
      </c>
      <c r="C619" s="111"/>
      <c r="D619" s="111"/>
      <c r="E619" s="111"/>
    </row>
    <row r="620" spans="1:5" x14ac:dyDescent="0.2">
      <c r="A620" s="113">
        <v>35318</v>
      </c>
      <c r="B620" s="111">
        <f t="shared" si="9"/>
        <v>92</v>
      </c>
      <c r="C620" s="111"/>
      <c r="D620" s="111"/>
      <c r="E620" s="111"/>
    </row>
    <row r="621" spans="1:5" x14ac:dyDescent="0.2">
      <c r="A621" s="113">
        <v>35319</v>
      </c>
      <c r="B621" s="111">
        <f t="shared" si="9"/>
        <v>92</v>
      </c>
      <c r="C621" s="111"/>
      <c r="D621" s="111"/>
      <c r="E621" s="111"/>
    </row>
    <row r="622" spans="1:5" x14ac:dyDescent="0.2">
      <c r="A622" s="113">
        <v>35320</v>
      </c>
      <c r="B622" s="111">
        <f t="shared" si="9"/>
        <v>92</v>
      </c>
      <c r="C622" s="111"/>
      <c r="D622" s="111"/>
      <c r="E622" s="111"/>
    </row>
    <row r="623" spans="1:5" x14ac:dyDescent="0.2">
      <c r="A623" s="113">
        <v>35321</v>
      </c>
      <c r="B623" s="111">
        <f t="shared" si="9"/>
        <v>92</v>
      </c>
      <c r="C623" s="111"/>
      <c r="D623" s="111"/>
      <c r="E623" s="111"/>
    </row>
    <row r="624" spans="1:5" x14ac:dyDescent="0.2">
      <c r="A624" s="113">
        <v>35322</v>
      </c>
      <c r="B624" s="111">
        <f t="shared" si="9"/>
        <v>92</v>
      </c>
      <c r="C624" s="111"/>
      <c r="D624" s="111"/>
      <c r="E624" s="111"/>
    </row>
    <row r="625" spans="1:5" x14ac:dyDescent="0.2">
      <c r="A625" s="113">
        <v>35323</v>
      </c>
      <c r="B625" s="111">
        <f t="shared" si="9"/>
        <v>93</v>
      </c>
      <c r="C625" s="111"/>
      <c r="D625" s="111"/>
      <c r="E625" s="111"/>
    </row>
    <row r="626" spans="1:5" x14ac:dyDescent="0.2">
      <c r="A626" s="113">
        <v>35324</v>
      </c>
      <c r="B626" s="111">
        <f t="shared" si="9"/>
        <v>93</v>
      </c>
      <c r="C626" s="111"/>
      <c r="D626" s="111"/>
      <c r="E626" s="111"/>
    </row>
    <row r="627" spans="1:5" x14ac:dyDescent="0.2">
      <c r="A627" s="113">
        <v>35325</v>
      </c>
      <c r="B627" s="111">
        <f t="shared" si="9"/>
        <v>93</v>
      </c>
      <c r="C627" s="111"/>
      <c r="D627" s="111"/>
      <c r="E627" s="111"/>
    </row>
    <row r="628" spans="1:5" x14ac:dyDescent="0.2">
      <c r="A628" s="113">
        <v>35326</v>
      </c>
      <c r="B628" s="111">
        <f t="shared" si="9"/>
        <v>93</v>
      </c>
      <c r="C628" s="111"/>
      <c r="D628" s="111"/>
      <c r="E628" s="111"/>
    </row>
    <row r="629" spans="1:5" x14ac:dyDescent="0.2">
      <c r="A629" s="113">
        <v>35327</v>
      </c>
      <c r="B629" s="111">
        <f t="shared" si="9"/>
        <v>93</v>
      </c>
      <c r="C629" s="111"/>
      <c r="D629" s="111"/>
      <c r="E629" s="111"/>
    </row>
    <row r="630" spans="1:5" x14ac:dyDescent="0.2">
      <c r="A630" s="113">
        <v>35328</v>
      </c>
      <c r="B630" s="111">
        <f t="shared" si="9"/>
        <v>93</v>
      </c>
      <c r="C630" s="111"/>
      <c r="D630" s="111"/>
      <c r="E630" s="111"/>
    </row>
    <row r="631" spans="1:5" x14ac:dyDescent="0.2">
      <c r="A631" s="113">
        <v>35329</v>
      </c>
      <c r="B631" s="111">
        <f t="shared" si="9"/>
        <v>93</v>
      </c>
      <c r="C631" s="111"/>
      <c r="D631" s="111"/>
      <c r="E631" s="111"/>
    </row>
    <row r="632" spans="1:5" x14ac:dyDescent="0.2">
      <c r="A632" s="113">
        <v>35330</v>
      </c>
      <c r="B632" s="111">
        <f t="shared" si="9"/>
        <v>94</v>
      </c>
      <c r="C632" s="111"/>
      <c r="D632" s="111"/>
      <c r="E632" s="111"/>
    </row>
    <row r="633" spans="1:5" x14ac:dyDescent="0.2">
      <c r="A633" s="113">
        <v>35331</v>
      </c>
      <c r="B633" s="111">
        <f t="shared" si="9"/>
        <v>94</v>
      </c>
      <c r="C633" s="111"/>
      <c r="D633" s="111"/>
      <c r="E633" s="111"/>
    </row>
    <row r="634" spans="1:5" x14ac:dyDescent="0.2">
      <c r="A634" s="113">
        <v>35332</v>
      </c>
      <c r="B634" s="111">
        <f t="shared" si="9"/>
        <v>94</v>
      </c>
      <c r="C634" s="111"/>
      <c r="D634" s="111"/>
      <c r="E634" s="111"/>
    </row>
    <row r="635" spans="1:5" x14ac:dyDescent="0.2">
      <c r="A635" s="113">
        <v>35333</v>
      </c>
      <c r="B635" s="111">
        <f t="shared" si="9"/>
        <v>94</v>
      </c>
      <c r="C635" s="111"/>
      <c r="D635" s="111"/>
      <c r="E635" s="111"/>
    </row>
    <row r="636" spans="1:5" x14ac:dyDescent="0.2">
      <c r="A636" s="113">
        <v>35334</v>
      </c>
      <c r="B636" s="111">
        <f t="shared" si="9"/>
        <v>94</v>
      </c>
      <c r="C636" s="111"/>
      <c r="D636" s="111"/>
      <c r="E636" s="111"/>
    </row>
    <row r="637" spans="1:5" x14ac:dyDescent="0.2">
      <c r="A637" s="113">
        <v>35335</v>
      </c>
      <c r="B637" s="111">
        <f t="shared" si="9"/>
        <v>94</v>
      </c>
      <c r="C637" s="111"/>
      <c r="D637" s="111"/>
      <c r="E637" s="111"/>
    </row>
    <row r="638" spans="1:5" x14ac:dyDescent="0.2">
      <c r="A638" s="113">
        <v>35336</v>
      </c>
      <c r="B638" s="111">
        <f t="shared" si="9"/>
        <v>94</v>
      </c>
      <c r="C638" s="111"/>
      <c r="D638" s="111"/>
      <c r="E638" s="111"/>
    </row>
    <row r="639" spans="1:5" x14ac:dyDescent="0.2">
      <c r="A639" s="113">
        <v>35337</v>
      </c>
      <c r="B639" s="111">
        <f t="shared" si="9"/>
        <v>101</v>
      </c>
      <c r="C639" s="111"/>
      <c r="D639" s="111"/>
      <c r="E639" s="111"/>
    </row>
    <row r="640" spans="1:5" x14ac:dyDescent="0.2">
      <c r="A640" s="113">
        <v>35338</v>
      </c>
      <c r="B640" s="111">
        <f t="shared" si="9"/>
        <v>101</v>
      </c>
      <c r="C640" s="111"/>
      <c r="D640" s="111"/>
      <c r="E640" s="111"/>
    </row>
    <row r="641" spans="1:5" x14ac:dyDescent="0.2">
      <c r="A641" s="113">
        <v>35339</v>
      </c>
      <c r="B641" s="111">
        <f t="shared" si="9"/>
        <v>101</v>
      </c>
      <c r="C641" s="111"/>
      <c r="D641" s="111"/>
      <c r="E641" s="111"/>
    </row>
    <row r="642" spans="1:5" x14ac:dyDescent="0.2">
      <c r="A642" s="113">
        <v>35340</v>
      </c>
      <c r="B642" s="111">
        <f t="shared" ref="B642:B705" si="10">VLOOKUP(WEEKNUM(A642),$D$3:$E$58,2)</f>
        <v>101</v>
      </c>
      <c r="C642" s="111"/>
      <c r="D642" s="111"/>
      <c r="E642" s="111"/>
    </row>
    <row r="643" spans="1:5" x14ac:dyDescent="0.2">
      <c r="A643" s="113">
        <v>35341</v>
      </c>
      <c r="B643" s="111">
        <f t="shared" si="10"/>
        <v>101</v>
      </c>
      <c r="C643" s="111"/>
      <c r="D643" s="111"/>
      <c r="E643" s="111"/>
    </row>
    <row r="644" spans="1:5" x14ac:dyDescent="0.2">
      <c r="A644" s="113">
        <v>35342</v>
      </c>
      <c r="B644" s="111">
        <f t="shared" si="10"/>
        <v>101</v>
      </c>
      <c r="C644" s="111"/>
      <c r="D644" s="111"/>
      <c r="E644" s="111"/>
    </row>
    <row r="645" spans="1:5" x14ac:dyDescent="0.2">
      <c r="A645" s="113">
        <v>35343</v>
      </c>
      <c r="B645" s="111">
        <f t="shared" si="10"/>
        <v>101</v>
      </c>
      <c r="C645" s="111"/>
      <c r="D645" s="111"/>
      <c r="E645" s="111"/>
    </row>
    <row r="646" spans="1:5" x14ac:dyDescent="0.2">
      <c r="A646" s="113">
        <v>35344</v>
      </c>
      <c r="B646" s="111">
        <f t="shared" si="10"/>
        <v>102</v>
      </c>
      <c r="C646" s="111"/>
      <c r="D646" s="111"/>
      <c r="E646" s="111"/>
    </row>
    <row r="647" spans="1:5" x14ac:dyDescent="0.2">
      <c r="A647" s="113">
        <v>35345</v>
      </c>
      <c r="B647" s="111">
        <f t="shared" si="10"/>
        <v>102</v>
      </c>
      <c r="C647" s="111"/>
      <c r="D647" s="111"/>
      <c r="E647" s="111"/>
    </row>
    <row r="648" spans="1:5" x14ac:dyDescent="0.2">
      <c r="A648" s="113">
        <v>35346</v>
      </c>
      <c r="B648" s="111">
        <f t="shared" si="10"/>
        <v>102</v>
      </c>
      <c r="C648" s="111"/>
      <c r="D648" s="111"/>
      <c r="E648" s="111"/>
    </row>
    <row r="649" spans="1:5" x14ac:dyDescent="0.2">
      <c r="A649" s="113">
        <v>35347</v>
      </c>
      <c r="B649" s="111">
        <f t="shared" si="10"/>
        <v>102</v>
      </c>
      <c r="C649" s="111"/>
      <c r="D649" s="111"/>
      <c r="E649" s="111"/>
    </row>
    <row r="650" spans="1:5" x14ac:dyDescent="0.2">
      <c r="A650" s="113">
        <v>35348</v>
      </c>
      <c r="B650" s="111">
        <f t="shared" si="10"/>
        <v>102</v>
      </c>
      <c r="C650" s="111"/>
      <c r="D650" s="111"/>
      <c r="E650" s="111"/>
    </row>
    <row r="651" spans="1:5" x14ac:dyDescent="0.2">
      <c r="A651" s="113">
        <v>35349</v>
      </c>
      <c r="B651" s="111">
        <f t="shared" si="10"/>
        <v>102</v>
      </c>
      <c r="C651" s="111"/>
      <c r="D651" s="111"/>
      <c r="E651" s="111"/>
    </row>
    <row r="652" spans="1:5" x14ac:dyDescent="0.2">
      <c r="A652" s="113">
        <v>35350</v>
      </c>
      <c r="B652" s="111">
        <f t="shared" si="10"/>
        <v>102</v>
      </c>
      <c r="C652" s="111"/>
      <c r="D652" s="111"/>
      <c r="E652" s="111"/>
    </row>
    <row r="653" spans="1:5" x14ac:dyDescent="0.2">
      <c r="A653" s="113">
        <v>35351</v>
      </c>
      <c r="B653" s="111">
        <f t="shared" si="10"/>
        <v>103</v>
      </c>
      <c r="C653" s="111"/>
      <c r="D653" s="111"/>
      <c r="E653" s="111"/>
    </row>
    <row r="654" spans="1:5" x14ac:dyDescent="0.2">
      <c r="A654" s="113">
        <v>35352</v>
      </c>
      <c r="B654" s="111">
        <f t="shared" si="10"/>
        <v>103</v>
      </c>
      <c r="C654" s="111"/>
      <c r="D654" s="111"/>
      <c r="E654" s="111"/>
    </row>
    <row r="655" spans="1:5" x14ac:dyDescent="0.2">
      <c r="A655" s="113">
        <v>35353</v>
      </c>
      <c r="B655" s="111">
        <f t="shared" si="10"/>
        <v>103</v>
      </c>
      <c r="C655" s="111"/>
      <c r="D655" s="111"/>
      <c r="E655" s="111"/>
    </row>
    <row r="656" spans="1:5" x14ac:dyDescent="0.2">
      <c r="A656" s="113">
        <v>35354</v>
      </c>
      <c r="B656" s="111">
        <f t="shared" si="10"/>
        <v>103</v>
      </c>
      <c r="C656" s="111"/>
      <c r="D656" s="111"/>
      <c r="E656" s="111"/>
    </row>
    <row r="657" spans="1:5" x14ac:dyDescent="0.2">
      <c r="A657" s="113">
        <v>35355</v>
      </c>
      <c r="B657" s="111">
        <f t="shared" si="10"/>
        <v>103</v>
      </c>
      <c r="C657" s="111"/>
      <c r="D657" s="111"/>
      <c r="E657" s="111"/>
    </row>
    <row r="658" spans="1:5" x14ac:dyDescent="0.2">
      <c r="A658" s="113">
        <v>35356</v>
      </c>
      <c r="B658" s="111">
        <f t="shared" si="10"/>
        <v>103</v>
      </c>
      <c r="C658" s="111"/>
      <c r="D658" s="111"/>
      <c r="E658" s="111"/>
    </row>
    <row r="659" spans="1:5" x14ac:dyDescent="0.2">
      <c r="A659" s="113">
        <v>35357</v>
      </c>
      <c r="B659" s="111">
        <f t="shared" si="10"/>
        <v>103</v>
      </c>
      <c r="C659" s="111"/>
      <c r="D659" s="111"/>
      <c r="E659" s="111"/>
    </row>
    <row r="660" spans="1:5" x14ac:dyDescent="0.2">
      <c r="A660" s="113">
        <v>35358</v>
      </c>
      <c r="B660" s="111">
        <f t="shared" si="10"/>
        <v>104</v>
      </c>
      <c r="C660" s="111"/>
      <c r="D660" s="111"/>
      <c r="E660" s="111"/>
    </row>
    <row r="661" spans="1:5" x14ac:dyDescent="0.2">
      <c r="A661" s="113">
        <v>35359</v>
      </c>
      <c r="B661" s="111">
        <f t="shared" si="10"/>
        <v>104</v>
      </c>
      <c r="C661" s="111"/>
      <c r="D661" s="111"/>
      <c r="E661" s="111"/>
    </row>
    <row r="662" spans="1:5" x14ac:dyDescent="0.2">
      <c r="A662" s="113">
        <v>35360</v>
      </c>
      <c r="B662" s="111">
        <f t="shared" si="10"/>
        <v>104</v>
      </c>
      <c r="C662" s="111"/>
      <c r="D662" s="111"/>
      <c r="E662" s="111"/>
    </row>
    <row r="663" spans="1:5" x14ac:dyDescent="0.2">
      <c r="A663" s="113">
        <v>35361</v>
      </c>
      <c r="B663" s="111">
        <f t="shared" si="10"/>
        <v>104</v>
      </c>
      <c r="C663" s="111"/>
      <c r="D663" s="111"/>
      <c r="E663" s="111"/>
    </row>
    <row r="664" spans="1:5" x14ac:dyDescent="0.2">
      <c r="A664" s="113">
        <v>35362</v>
      </c>
      <c r="B664" s="111">
        <f t="shared" si="10"/>
        <v>104</v>
      </c>
      <c r="C664" s="111"/>
      <c r="D664" s="111"/>
      <c r="E664" s="111"/>
    </row>
    <row r="665" spans="1:5" x14ac:dyDescent="0.2">
      <c r="A665" s="113">
        <v>35363</v>
      </c>
      <c r="B665" s="111">
        <f t="shared" si="10"/>
        <v>104</v>
      </c>
      <c r="C665" s="111"/>
      <c r="D665" s="111"/>
      <c r="E665" s="111"/>
    </row>
    <row r="666" spans="1:5" x14ac:dyDescent="0.2">
      <c r="A666" s="113">
        <v>35364</v>
      </c>
      <c r="B666" s="111">
        <f t="shared" si="10"/>
        <v>104</v>
      </c>
      <c r="C666" s="111"/>
      <c r="D666" s="111"/>
      <c r="E666" s="111"/>
    </row>
    <row r="667" spans="1:5" x14ac:dyDescent="0.2">
      <c r="A667" s="113">
        <v>35365</v>
      </c>
      <c r="B667" s="111">
        <f t="shared" si="10"/>
        <v>105</v>
      </c>
      <c r="C667" s="111"/>
      <c r="D667" s="111"/>
      <c r="E667" s="111"/>
    </row>
    <row r="668" spans="1:5" x14ac:dyDescent="0.2">
      <c r="A668" s="113">
        <v>35366</v>
      </c>
      <c r="B668" s="111">
        <f t="shared" si="10"/>
        <v>105</v>
      </c>
      <c r="C668" s="111"/>
      <c r="D668" s="111"/>
      <c r="E668" s="111"/>
    </row>
    <row r="669" spans="1:5" x14ac:dyDescent="0.2">
      <c r="A669" s="113">
        <v>35367</v>
      </c>
      <c r="B669" s="111">
        <f t="shared" si="10"/>
        <v>105</v>
      </c>
      <c r="C669" s="111"/>
      <c r="D669" s="111"/>
      <c r="E669" s="111"/>
    </row>
    <row r="670" spans="1:5" x14ac:dyDescent="0.2">
      <c r="A670" s="113">
        <v>35368</v>
      </c>
      <c r="B670" s="111">
        <f t="shared" si="10"/>
        <v>105</v>
      </c>
      <c r="C670" s="111"/>
      <c r="D670" s="111"/>
      <c r="E670" s="111"/>
    </row>
    <row r="671" spans="1:5" x14ac:dyDescent="0.2">
      <c r="A671" s="113">
        <v>35369</v>
      </c>
      <c r="B671" s="111">
        <f t="shared" si="10"/>
        <v>105</v>
      </c>
      <c r="C671" s="111"/>
      <c r="D671" s="111"/>
      <c r="E671" s="111"/>
    </row>
    <row r="672" spans="1:5" x14ac:dyDescent="0.2">
      <c r="A672" s="113">
        <v>35370</v>
      </c>
      <c r="B672" s="111">
        <f t="shared" si="10"/>
        <v>105</v>
      </c>
      <c r="C672" s="111"/>
      <c r="D672" s="111"/>
      <c r="E672" s="111"/>
    </row>
    <row r="673" spans="1:5" x14ac:dyDescent="0.2">
      <c r="A673" s="113">
        <v>35371</v>
      </c>
      <c r="B673" s="111">
        <f t="shared" si="10"/>
        <v>105</v>
      </c>
      <c r="C673" s="111"/>
      <c r="D673" s="111"/>
      <c r="E673" s="111"/>
    </row>
    <row r="674" spans="1:5" x14ac:dyDescent="0.2">
      <c r="A674" s="113">
        <v>35372</v>
      </c>
      <c r="B674" s="111">
        <f t="shared" si="10"/>
        <v>111</v>
      </c>
      <c r="C674" s="111"/>
      <c r="D674" s="111"/>
      <c r="E674" s="111"/>
    </row>
    <row r="675" spans="1:5" x14ac:dyDescent="0.2">
      <c r="A675" s="113">
        <v>35373</v>
      </c>
      <c r="B675" s="111">
        <f t="shared" si="10"/>
        <v>111</v>
      </c>
      <c r="C675" s="111"/>
      <c r="D675" s="111"/>
      <c r="E675" s="111"/>
    </row>
    <row r="676" spans="1:5" x14ac:dyDescent="0.2">
      <c r="A676" s="113">
        <v>35374</v>
      </c>
      <c r="B676" s="111">
        <f t="shared" si="10"/>
        <v>111</v>
      </c>
      <c r="C676" s="111"/>
      <c r="D676" s="111"/>
      <c r="E676" s="111"/>
    </row>
    <row r="677" spans="1:5" x14ac:dyDescent="0.2">
      <c r="A677" s="113">
        <v>35375</v>
      </c>
      <c r="B677" s="111">
        <f t="shared" si="10"/>
        <v>111</v>
      </c>
      <c r="C677" s="111"/>
      <c r="D677" s="111"/>
      <c r="E677" s="111"/>
    </row>
    <row r="678" spans="1:5" x14ac:dyDescent="0.2">
      <c r="A678" s="113">
        <v>35376</v>
      </c>
      <c r="B678" s="111">
        <f t="shared" si="10"/>
        <v>111</v>
      </c>
      <c r="C678" s="111"/>
      <c r="D678" s="111"/>
      <c r="E678" s="111"/>
    </row>
    <row r="679" spans="1:5" x14ac:dyDescent="0.2">
      <c r="A679" s="113">
        <v>35377</v>
      </c>
      <c r="B679" s="111">
        <f t="shared" si="10"/>
        <v>111</v>
      </c>
      <c r="C679" s="111"/>
      <c r="D679" s="111"/>
      <c r="E679" s="111"/>
    </row>
    <row r="680" spans="1:5" x14ac:dyDescent="0.2">
      <c r="A680" s="113">
        <v>35378</v>
      </c>
      <c r="B680" s="111">
        <f t="shared" si="10"/>
        <v>111</v>
      </c>
      <c r="C680" s="111"/>
      <c r="D680" s="111"/>
      <c r="E680" s="111"/>
    </row>
    <row r="681" spans="1:5" x14ac:dyDescent="0.2">
      <c r="A681" s="113">
        <v>35379</v>
      </c>
      <c r="B681" s="111">
        <f t="shared" si="10"/>
        <v>112</v>
      </c>
      <c r="C681" s="111"/>
      <c r="D681" s="111"/>
      <c r="E681" s="111"/>
    </row>
    <row r="682" spans="1:5" x14ac:dyDescent="0.2">
      <c r="A682" s="113">
        <v>35380</v>
      </c>
      <c r="B682" s="111">
        <f t="shared" si="10"/>
        <v>112</v>
      </c>
      <c r="C682" s="111"/>
      <c r="D682" s="111"/>
      <c r="E682" s="111"/>
    </row>
    <row r="683" spans="1:5" x14ac:dyDescent="0.2">
      <c r="A683" s="113">
        <v>35381</v>
      </c>
      <c r="B683" s="111">
        <f t="shared" si="10"/>
        <v>112</v>
      </c>
      <c r="C683" s="111"/>
      <c r="D683" s="111"/>
      <c r="E683" s="111"/>
    </row>
    <row r="684" spans="1:5" x14ac:dyDescent="0.2">
      <c r="A684" s="113">
        <v>35382</v>
      </c>
      <c r="B684" s="111">
        <f t="shared" si="10"/>
        <v>112</v>
      </c>
      <c r="C684" s="111"/>
      <c r="D684" s="111"/>
      <c r="E684" s="111"/>
    </row>
    <row r="685" spans="1:5" x14ac:dyDescent="0.2">
      <c r="A685" s="113">
        <v>35383</v>
      </c>
      <c r="B685" s="111">
        <f t="shared" si="10"/>
        <v>112</v>
      </c>
      <c r="C685" s="111"/>
      <c r="D685" s="111"/>
      <c r="E685" s="111"/>
    </row>
    <row r="686" spans="1:5" x14ac:dyDescent="0.2">
      <c r="A686" s="113">
        <v>35384</v>
      </c>
      <c r="B686" s="111">
        <f t="shared" si="10"/>
        <v>112</v>
      </c>
      <c r="C686" s="111"/>
      <c r="D686" s="111"/>
      <c r="E686" s="111"/>
    </row>
    <row r="687" spans="1:5" x14ac:dyDescent="0.2">
      <c r="A687" s="113">
        <v>35385</v>
      </c>
      <c r="B687" s="111">
        <f t="shared" si="10"/>
        <v>112</v>
      </c>
      <c r="C687" s="111"/>
      <c r="D687" s="111"/>
      <c r="E687" s="111"/>
    </row>
    <row r="688" spans="1:5" x14ac:dyDescent="0.2">
      <c r="A688" s="113">
        <v>35386</v>
      </c>
      <c r="B688" s="111">
        <f t="shared" si="10"/>
        <v>113</v>
      </c>
      <c r="C688" s="111"/>
      <c r="D688" s="111"/>
      <c r="E688" s="111"/>
    </row>
    <row r="689" spans="1:5" x14ac:dyDescent="0.2">
      <c r="A689" s="113">
        <v>35387</v>
      </c>
      <c r="B689" s="111">
        <f t="shared" si="10"/>
        <v>113</v>
      </c>
      <c r="C689" s="111"/>
      <c r="D689" s="111"/>
      <c r="E689" s="111"/>
    </row>
    <row r="690" spans="1:5" x14ac:dyDescent="0.2">
      <c r="A690" s="113">
        <v>35388</v>
      </c>
      <c r="B690" s="111">
        <f t="shared" si="10"/>
        <v>113</v>
      </c>
      <c r="C690" s="111"/>
      <c r="D690" s="111"/>
      <c r="E690" s="111"/>
    </row>
    <row r="691" spans="1:5" x14ac:dyDescent="0.2">
      <c r="A691" s="113">
        <v>35389</v>
      </c>
      <c r="B691" s="111">
        <f t="shared" si="10"/>
        <v>113</v>
      </c>
      <c r="C691" s="111"/>
      <c r="D691" s="111"/>
      <c r="E691" s="111"/>
    </row>
    <row r="692" spans="1:5" x14ac:dyDescent="0.2">
      <c r="A692" s="113">
        <v>35390</v>
      </c>
      <c r="B692" s="111">
        <f t="shared" si="10"/>
        <v>113</v>
      </c>
      <c r="C692" s="111"/>
      <c r="D692" s="111"/>
      <c r="E692" s="111"/>
    </row>
    <row r="693" spans="1:5" x14ac:dyDescent="0.2">
      <c r="A693" s="113">
        <v>35391</v>
      </c>
      <c r="B693" s="111">
        <f t="shared" si="10"/>
        <v>113</v>
      </c>
      <c r="C693" s="111"/>
      <c r="D693" s="111"/>
      <c r="E693" s="111"/>
    </row>
    <row r="694" spans="1:5" x14ac:dyDescent="0.2">
      <c r="A694" s="113">
        <v>35392</v>
      </c>
      <c r="B694" s="111">
        <f t="shared" si="10"/>
        <v>113</v>
      </c>
      <c r="C694" s="111"/>
      <c r="D694" s="111"/>
      <c r="E694" s="111"/>
    </row>
    <row r="695" spans="1:5" x14ac:dyDescent="0.2">
      <c r="A695" s="113">
        <v>35393</v>
      </c>
      <c r="B695" s="111">
        <f t="shared" si="10"/>
        <v>114</v>
      </c>
      <c r="C695" s="111"/>
      <c r="D695" s="111"/>
      <c r="E695" s="111"/>
    </row>
    <row r="696" spans="1:5" x14ac:dyDescent="0.2">
      <c r="A696" s="113">
        <v>35394</v>
      </c>
      <c r="B696" s="111">
        <f t="shared" si="10"/>
        <v>114</v>
      </c>
      <c r="C696" s="111"/>
      <c r="D696" s="111"/>
      <c r="E696" s="111"/>
    </row>
    <row r="697" spans="1:5" x14ac:dyDescent="0.2">
      <c r="A697" s="113">
        <v>35395</v>
      </c>
      <c r="B697" s="111">
        <f t="shared" si="10"/>
        <v>114</v>
      </c>
      <c r="C697" s="111"/>
      <c r="D697" s="111"/>
      <c r="E697" s="111"/>
    </row>
    <row r="698" spans="1:5" x14ac:dyDescent="0.2">
      <c r="A698" s="113">
        <v>35396</v>
      </c>
      <c r="B698" s="111">
        <f t="shared" si="10"/>
        <v>114</v>
      </c>
      <c r="C698" s="111"/>
      <c r="D698" s="111"/>
      <c r="E698" s="111"/>
    </row>
    <row r="699" spans="1:5" x14ac:dyDescent="0.2">
      <c r="A699" s="113">
        <v>35397</v>
      </c>
      <c r="B699" s="111">
        <f t="shared" si="10"/>
        <v>114</v>
      </c>
      <c r="C699" s="111"/>
      <c r="D699" s="111"/>
      <c r="E699" s="111"/>
    </row>
    <row r="700" spans="1:5" x14ac:dyDescent="0.2">
      <c r="A700" s="113">
        <v>35398</v>
      </c>
      <c r="B700" s="111">
        <f t="shared" si="10"/>
        <v>114</v>
      </c>
      <c r="C700" s="111"/>
      <c r="D700" s="111"/>
      <c r="E700" s="111"/>
    </row>
    <row r="701" spans="1:5" x14ac:dyDescent="0.2">
      <c r="A701" s="113">
        <v>35399</v>
      </c>
      <c r="B701" s="111">
        <f t="shared" si="10"/>
        <v>114</v>
      </c>
      <c r="C701" s="111"/>
      <c r="D701" s="111"/>
      <c r="E701" s="111"/>
    </row>
    <row r="702" spans="1:5" x14ac:dyDescent="0.2">
      <c r="A702" s="113">
        <v>35400</v>
      </c>
      <c r="B702" s="111">
        <f t="shared" si="10"/>
        <v>115</v>
      </c>
      <c r="C702" s="111"/>
      <c r="D702" s="111"/>
      <c r="E702" s="111"/>
    </row>
    <row r="703" spans="1:5" x14ac:dyDescent="0.2">
      <c r="A703" s="113">
        <v>35401</v>
      </c>
      <c r="B703" s="111">
        <f t="shared" si="10"/>
        <v>115</v>
      </c>
      <c r="C703" s="111"/>
      <c r="D703" s="111"/>
      <c r="E703" s="111"/>
    </row>
    <row r="704" spans="1:5" x14ac:dyDescent="0.2">
      <c r="A704" s="113">
        <v>35402</v>
      </c>
      <c r="B704" s="111">
        <f t="shared" si="10"/>
        <v>115</v>
      </c>
      <c r="C704" s="111"/>
      <c r="D704" s="111"/>
      <c r="E704" s="111"/>
    </row>
    <row r="705" spans="1:5" x14ac:dyDescent="0.2">
      <c r="A705" s="113">
        <v>35403</v>
      </c>
      <c r="B705" s="111">
        <f t="shared" si="10"/>
        <v>115</v>
      </c>
      <c r="C705" s="111"/>
      <c r="D705" s="111"/>
      <c r="E705" s="111"/>
    </row>
    <row r="706" spans="1:5" x14ac:dyDescent="0.2">
      <c r="A706" s="113">
        <v>35404</v>
      </c>
      <c r="B706" s="111">
        <f t="shared" ref="B706:B769" si="11">VLOOKUP(WEEKNUM(A706),$D$3:$E$58,2)</f>
        <v>115</v>
      </c>
      <c r="C706" s="111"/>
      <c r="D706" s="111"/>
      <c r="E706" s="111"/>
    </row>
    <row r="707" spans="1:5" x14ac:dyDescent="0.2">
      <c r="A707" s="113">
        <v>35405</v>
      </c>
      <c r="B707" s="111">
        <f t="shared" si="11"/>
        <v>115</v>
      </c>
      <c r="C707" s="111"/>
      <c r="D707" s="111"/>
      <c r="E707" s="111"/>
    </row>
    <row r="708" spans="1:5" x14ac:dyDescent="0.2">
      <c r="A708" s="113">
        <v>35406</v>
      </c>
      <c r="B708" s="111">
        <f t="shared" si="11"/>
        <v>115</v>
      </c>
      <c r="C708" s="111"/>
      <c r="D708" s="111"/>
      <c r="E708" s="111"/>
    </row>
    <row r="709" spans="1:5" x14ac:dyDescent="0.2">
      <c r="A709" s="113">
        <v>35407</v>
      </c>
      <c r="B709" s="111">
        <f t="shared" si="11"/>
        <v>121</v>
      </c>
      <c r="C709" s="111"/>
      <c r="D709" s="111"/>
      <c r="E709" s="111"/>
    </row>
    <row r="710" spans="1:5" x14ac:dyDescent="0.2">
      <c r="A710" s="113">
        <v>35408</v>
      </c>
      <c r="B710" s="111">
        <f t="shared" si="11"/>
        <v>121</v>
      </c>
      <c r="C710" s="111"/>
      <c r="D710" s="111"/>
      <c r="E710" s="111"/>
    </row>
    <row r="711" spans="1:5" x14ac:dyDescent="0.2">
      <c r="A711" s="113">
        <v>35409</v>
      </c>
      <c r="B711" s="111">
        <f t="shared" si="11"/>
        <v>121</v>
      </c>
      <c r="C711" s="111"/>
      <c r="D711" s="111"/>
      <c r="E711" s="111"/>
    </row>
    <row r="712" spans="1:5" x14ac:dyDescent="0.2">
      <c r="A712" s="113">
        <v>35410</v>
      </c>
      <c r="B712" s="111">
        <f t="shared" si="11"/>
        <v>121</v>
      </c>
      <c r="C712" s="111"/>
      <c r="D712" s="111"/>
      <c r="E712" s="111"/>
    </row>
    <row r="713" spans="1:5" x14ac:dyDescent="0.2">
      <c r="A713" s="113">
        <v>35411</v>
      </c>
      <c r="B713" s="111">
        <f t="shared" si="11"/>
        <v>121</v>
      </c>
      <c r="C713" s="111"/>
      <c r="D713" s="111"/>
      <c r="E713" s="111"/>
    </row>
    <row r="714" spans="1:5" x14ac:dyDescent="0.2">
      <c r="A714" s="113">
        <v>35412</v>
      </c>
      <c r="B714" s="111">
        <f t="shared" si="11"/>
        <v>121</v>
      </c>
      <c r="C714" s="111"/>
      <c r="D714" s="111"/>
      <c r="E714" s="111"/>
    </row>
    <row r="715" spans="1:5" x14ac:dyDescent="0.2">
      <c r="A715" s="113">
        <v>35413</v>
      </c>
      <c r="B715" s="111">
        <f t="shared" si="11"/>
        <v>121</v>
      </c>
      <c r="C715" s="111"/>
      <c r="D715" s="111"/>
      <c r="E715" s="111"/>
    </row>
    <row r="716" spans="1:5" x14ac:dyDescent="0.2">
      <c r="A716" s="113">
        <v>35414</v>
      </c>
      <c r="B716" s="111">
        <f t="shared" si="11"/>
        <v>122</v>
      </c>
      <c r="C716" s="111"/>
      <c r="D716" s="111"/>
      <c r="E716" s="111"/>
    </row>
    <row r="717" spans="1:5" x14ac:dyDescent="0.2">
      <c r="A717" s="113">
        <v>35415</v>
      </c>
      <c r="B717" s="111">
        <f t="shared" si="11"/>
        <v>122</v>
      </c>
      <c r="C717" s="111"/>
      <c r="D717" s="111"/>
      <c r="E717" s="111"/>
    </row>
    <row r="718" spans="1:5" x14ac:dyDescent="0.2">
      <c r="A718" s="113">
        <v>35416</v>
      </c>
      <c r="B718" s="111">
        <f t="shared" si="11"/>
        <v>122</v>
      </c>
      <c r="C718" s="111"/>
      <c r="D718" s="111"/>
      <c r="E718" s="111"/>
    </row>
    <row r="719" spans="1:5" x14ac:dyDescent="0.2">
      <c r="A719" s="113">
        <v>35417</v>
      </c>
      <c r="B719" s="111">
        <f t="shared" si="11"/>
        <v>122</v>
      </c>
      <c r="C719" s="111"/>
      <c r="D719" s="111"/>
      <c r="E719" s="111"/>
    </row>
    <row r="720" spans="1:5" x14ac:dyDescent="0.2">
      <c r="A720" s="113">
        <v>35418</v>
      </c>
      <c r="B720" s="111">
        <f t="shared" si="11"/>
        <v>122</v>
      </c>
      <c r="C720" s="111"/>
      <c r="D720" s="111"/>
      <c r="E720" s="111"/>
    </row>
    <row r="721" spans="1:5" x14ac:dyDescent="0.2">
      <c r="A721" s="113">
        <v>35419</v>
      </c>
      <c r="B721" s="111">
        <f t="shared" si="11"/>
        <v>122</v>
      </c>
      <c r="C721" s="111"/>
      <c r="D721" s="111"/>
      <c r="E721" s="111"/>
    </row>
    <row r="722" spans="1:5" x14ac:dyDescent="0.2">
      <c r="A722" s="113">
        <v>35420</v>
      </c>
      <c r="B722" s="111">
        <f t="shared" si="11"/>
        <v>122</v>
      </c>
      <c r="C722" s="111"/>
      <c r="D722" s="111"/>
      <c r="E722" s="111"/>
    </row>
    <row r="723" spans="1:5" x14ac:dyDescent="0.2">
      <c r="A723" s="113">
        <v>35421</v>
      </c>
      <c r="B723" s="111">
        <f t="shared" si="11"/>
        <v>123</v>
      </c>
      <c r="C723" s="111"/>
      <c r="D723" s="111"/>
      <c r="E723" s="111"/>
    </row>
    <row r="724" spans="1:5" x14ac:dyDescent="0.2">
      <c r="A724" s="113">
        <v>35422</v>
      </c>
      <c r="B724" s="111">
        <f t="shared" si="11"/>
        <v>123</v>
      </c>
      <c r="C724" s="111"/>
      <c r="D724" s="111"/>
      <c r="E724" s="111"/>
    </row>
    <row r="725" spans="1:5" x14ac:dyDescent="0.2">
      <c r="A725" s="113">
        <v>35423</v>
      </c>
      <c r="B725" s="111">
        <f t="shared" si="11"/>
        <v>123</v>
      </c>
      <c r="C725" s="111"/>
      <c r="D725" s="111"/>
      <c r="E725" s="111"/>
    </row>
    <row r="726" spans="1:5" x14ac:dyDescent="0.2">
      <c r="A726" s="113">
        <v>35424</v>
      </c>
      <c r="B726" s="111">
        <f t="shared" si="11"/>
        <v>123</v>
      </c>
      <c r="C726" s="111"/>
      <c r="D726" s="111"/>
      <c r="E726" s="111"/>
    </row>
    <row r="727" spans="1:5" x14ac:dyDescent="0.2">
      <c r="A727" s="113">
        <v>35425</v>
      </c>
      <c r="B727" s="111">
        <f t="shared" si="11"/>
        <v>123</v>
      </c>
      <c r="C727" s="111"/>
      <c r="D727" s="111"/>
      <c r="E727" s="111"/>
    </row>
    <row r="728" spans="1:5" x14ac:dyDescent="0.2">
      <c r="A728" s="113">
        <v>35426</v>
      </c>
      <c r="B728" s="111">
        <f t="shared" si="11"/>
        <v>123</v>
      </c>
      <c r="C728" s="111"/>
      <c r="D728" s="111"/>
      <c r="E728" s="111"/>
    </row>
    <row r="729" spans="1:5" x14ac:dyDescent="0.2">
      <c r="A729" s="113">
        <v>35427</v>
      </c>
      <c r="B729" s="111">
        <f t="shared" si="11"/>
        <v>123</v>
      </c>
      <c r="C729" s="111"/>
      <c r="D729" s="111"/>
      <c r="E729" s="111"/>
    </row>
    <row r="730" spans="1:5" x14ac:dyDescent="0.2">
      <c r="A730" s="113">
        <v>35428</v>
      </c>
      <c r="B730" s="111">
        <f t="shared" si="11"/>
        <v>124</v>
      </c>
      <c r="C730" s="111"/>
      <c r="D730" s="111"/>
      <c r="E730" s="111"/>
    </row>
    <row r="731" spans="1:5" x14ac:dyDescent="0.2">
      <c r="A731" s="113">
        <v>35429</v>
      </c>
      <c r="B731" s="111">
        <f t="shared" si="11"/>
        <v>124</v>
      </c>
      <c r="C731" s="111"/>
      <c r="D731" s="111"/>
      <c r="E731" s="111"/>
    </row>
    <row r="732" spans="1:5" x14ac:dyDescent="0.2">
      <c r="A732" s="113">
        <v>35430</v>
      </c>
      <c r="B732" s="111">
        <f t="shared" si="11"/>
        <v>124</v>
      </c>
      <c r="C732" s="111"/>
      <c r="D732" s="111"/>
      <c r="E732" s="111"/>
    </row>
    <row r="733" spans="1:5" x14ac:dyDescent="0.2">
      <c r="A733" s="113">
        <v>35431</v>
      </c>
      <c r="B733" s="111">
        <f t="shared" si="11"/>
        <v>11</v>
      </c>
      <c r="C733" s="111"/>
      <c r="D733" s="111"/>
      <c r="E733" s="111"/>
    </row>
    <row r="734" spans="1:5" x14ac:dyDescent="0.2">
      <c r="A734" s="113">
        <v>35432</v>
      </c>
      <c r="B734" s="111">
        <f t="shared" si="11"/>
        <v>11</v>
      </c>
      <c r="C734" s="111"/>
      <c r="D734" s="111"/>
      <c r="E734" s="111"/>
    </row>
    <row r="735" spans="1:5" x14ac:dyDescent="0.2">
      <c r="A735" s="113">
        <v>35433</v>
      </c>
      <c r="B735" s="111">
        <f t="shared" si="11"/>
        <v>11</v>
      </c>
      <c r="C735" s="111"/>
      <c r="D735" s="111"/>
      <c r="E735" s="111"/>
    </row>
    <row r="736" spans="1:5" x14ac:dyDescent="0.2">
      <c r="A736" s="113">
        <v>35434</v>
      </c>
      <c r="B736" s="111">
        <f t="shared" si="11"/>
        <v>11</v>
      </c>
      <c r="C736" s="111"/>
      <c r="D736" s="111"/>
      <c r="E736" s="111"/>
    </row>
    <row r="737" spans="1:5" x14ac:dyDescent="0.2">
      <c r="A737" s="113">
        <v>35435</v>
      </c>
      <c r="B737" s="111">
        <f t="shared" si="11"/>
        <v>12</v>
      </c>
      <c r="C737" s="111"/>
      <c r="D737" s="111"/>
      <c r="E737" s="111"/>
    </row>
    <row r="738" spans="1:5" x14ac:dyDescent="0.2">
      <c r="A738" s="113">
        <v>35436</v>
      </c>
      <c r="B738" s="111">
        <f t="shared" si="11"/>
        <v>12</v>
      </c>
      <c r="C738" s="111"/>
      <c r="D738" s="111"/>
      <c r="E738" s="111"/>
    </row>
    <row r="739" spans="1:5" x14ac:dyDescent="0.2">
      <c r="A739" s="113">
        <v>35437</v>
      </c>
      <c r="B739" s="111">
        <f t="shared" si="11"/>
        <v>12</v>
      </c>
      <c r="C739" s="111"/>
      <c r="D739" s="111"/>
      <c r="E739" s="111"/>
    </row>
    <row r="740" spans="1:5" x14ac:dyDescent="0.2">
      <c r="A740" s="113">
        <v>35438</v>
      </c>
      <c r="B740" s="111">
        <f t="shared" si="11"/>
        <v>12</v>
      </c>
      <c r="C740" s="111"/>
      <c r="D740" s="111"/>
      <c r="E740" s="111"/>
    </row>
    <row r="741" spans="1:5" x14ac:dyDescent="0.2">
      <c r="A741" s="113">
        <v>35439</v>
      </c>
      <c r="B741" s="111">
        <f t="shared" si="11"/>
        <v>12</v>
      </c>
      <c r="C741" s="111"/>
      <c r="D741" s="111"/>
      <c r="E741" s="111"/>
    </row>
    <row r="742" spans="1:5" x14ac:dyDescent="0.2">
      <c r="A742" s="113">
        <v>35440</v>
      </c>
      <c r="B742" s="111">
        <f t="shared" si="11"/>
        <v>12</v>
      </c>
      <c r="C742" s="111"/>
      <c r="D742" s="111"/>
      <c r="E742" s="111"/>
    </row>
    <row r="743" spans="1:5" x14ac:dyDescent="0.2">
      <c r="A743" s="113">
        <v>35441</v>
      </c>
      <c r="B743" s="111">
        <f t="shared" si="11"/>
        <v>12</v>
      </c>
      <c r="C743" s="111"/>
      <c r="D743" s="111"/>
      <c r="E743" s="111"/>
    </row>
    <row r="744" spans="1:5" x14ac:dyDescent="0.2">
      <c r="A744" s="113">
        <v>35442</v>
      </c>
      <c r="B744" s="111">
        <f t="shared" si="11"/>
        <v>13</v>
      </c>
      <c r="C744" s="111"/>
      <c r="D744" s="111"/>
      <c r="E744" s="111"/>
    </row>
    <row r="745" spans="1:5" x14ac:dyDescent="0.2">
      <c r="A745" s="113">
        <v>35443</v>
      </c>
      <c r="B745" s="111">
        <f t="shared" si="11"/>
        <v>13</v>
      </c>
      <c r="C745" s="111"/>
      <c r="D745" s="111"/>
      <c r="E745" s="111"/>
    </row>
    <row r="746" spans="1:5" x14ac:dyDescent="0.2">
      <c r="A746" s="113">
        <v>35444</v>
      </c>
      <c r="B746" s="111">
        <f t="shared" si="11"/>
        <v>13</v>
      </c>
      <c r="C746" s="111"/>
      <c r="D746" s="111"/>
      <c r="E746" s="111"/>
    </row>
    <row r="747" spans="1:5" x14ac:dyDescent="0.2">
      <c r="A747" s="113">
        <v>35445</v>
      </c>
      <c r="B747" s="111">
        <f t="shared" si="11"/>
        <v>13</v>
      </c>
      <c r="C747" s="111"/>
      <c r="D747" s="111"/>
      <c r="E747" s="111"/>
    </row>
    <row r="748" spans="1:5" x14ac:dyDescent="0.2">
      <c r="A748" s="113">
        <v>35446</v>
      </c>
      <c r="B748" s="111">
        <f t="shared" si="11"/>
        <v>13</v>
      </c>
      <c r="C748" s="111"/>
      <c r="D748" s="111"/>
      <c r="E748" s="111"/>
    </row>
    <row r="749" spans="1:5" x14ac:dyDescent="0.2">
      <c r="A749" s="113">
        <v>35447</v>
      </c>
      <c r="B749" s="111">
        <f t="shared" si="11"/>
        <v>13</v>
      </c>
      <c r="C749" s="111"/>
      <c r="D749" s="111"/>
      <c r="E749" s="111"/>
    </row>
    <row r="750" spans="1:5" x14ac:dyDescent="0.2">
      <c r="A750" s="113">
        <v>35448</v>
      </c>
      <c r="B750" s="111">
        <f t="shared" si="11"/>
        <v>13</v>
      </c>
      <c r="C750" s="111"/>
      <c r="D750" s="111"/>
      <c r="E750" s="111"/>
    </row>
    <row r="751" spans="1:5" x14ac:dyDescent="0.2">
      <c r="A751" s="113">
        <v>35449</v>
      </c>
      <c r="B751" s="111">
        <f t="shared" si="11"/>
        <v>14</v>
      </c>
      <c r="C751" s="111"/>
      <c r="D751" s="111"/>
      <c r="E751" s="111"/>
    </row>
    <row r="752" spans="1:5" x14ac:dyDescent="0.2">
      <c r="A752" s="113">
        <v>35450</v>
      </c>
      <c r="B752" s="111">
        <f t="shared" si="11"/>
        <v>14</v>
      </c>
      <c r="C752" s="111"/>
      <c r="D752" s="111"/>
      <c r="E752" s="111"/>
    </row>
    <row r="753" spans="1:5" x14ac:dyDescent="0.2">
      <c r="A753" s="113">
        <v>35451</v>
      </c>
      <c r="B753" s="111">
        <f t="shared" si="11"/>
        <v>14</v>
      </c>
      <c r="C753" s="111"/>
      <c r="D753" s="111"/>
      <c r="E753" s="111"/>
    </row>
    <row r="754" spans="1:5" x14ac:dyDescent="0.2">
      <c r="A754" s="113">
        <v>35452</v>
      </c>
      <c r="B754" s="111">
        <f t="shared" si="11"/>
        <v>14</v>
      </c>
      <c r="C754" s="111"/>
      <c r="D754" s="111"/>
      <c r="E754" s="111"/>
    </row>
    <row r="755" spans="1:5" x14ac:dyDescent="0.2">
      <c r="A755" s="113">
        <v>35453</v>
      </c>
      <c r="B755" s="111">
        <f t="shared" si="11"/>
        <v>14</v>
      </c>
      <c r="C755" s="111"/>
      <c r="D755" s="111"/>
      <c r="E755" s="111"/>
    </row>
    <row r="756" spans="1:5" x14ac:dyDescent="0.2">
      <c r="A756" s="113">
        <v>35454</v>
      </c>
      <c r="B756" s="111">
        <f t="shared" si="11"/>
        <v>14</v>
      </c>
      <c r="C756" s="111"/>
      <c r="D756" s="111"/>
      <c r="E756" s="111"/>
    </row>
    <row r="757" spans="1:5" x14ac:dyDescent="0.2">
      <c r="A757" s="113">
        <v>35455</v>
      </c>
      <c r="B757" s="111">
        <f t="shared" si="11"/>
        <v>14</v>
      </c>
      <c r="C757" s="111"/>
      <c r="D757" s="111"/>
      <c r="E757" s="111"/>
    </row>
    <row r="758" spans="1:5" x14ac:dyDescent="0.2">
      <c r="A758" s="113">
        <v>35456</v>
      </c>
      <c r="B758" s="111">
        <f t="shared" si="11"/>
        <v>15</v>
      </c>
      <c r="C758" s="111"/>
      <c r="D758" s="111"/>
      <c r="E758" s="111"/>
    </row>
    <row r="759" spans="1:5" x14ac:dyDescent="0.2">
      <c r="A759" s="113">
        <v>35457</v>
      </c>
      <c r="B759" s="111">
        <f t="shared" si="11"/>
        <v>15</v>
      </c>
      <c r="C759" s="111"/>
      <c r="D759" s="111"/>
      <c r="E759" s="111"/>
    </row>
    <row r="760" spans="1:5" x14ac:dyDescent="0.2">
      <c r="A760" s="113">
        <v>35458</v>
      </c>
      <c r="B760" s="111">
        <f t="shared" si="11"/>
        <v>15</v>
      </c>
      <c r="C760" s="111"/>
      <c r="D760" s="111"/>
      <c r="E760" s="111"/>
    </row>
    <row r="761" spans="1:5" x14ac:dyDescent="0.2">
      <c r="A761" s="113">
        <v>35459</v>
      </c>
      <c r="B761" s="111">
        <f t="shared" si="11"/>
        <v>15</v>
      </c>
      <c r="C761" s="111"/>
      <c r="D761" s="111"/>
      <c r="E761" s="111"/>
    </row>
    <row r="762" spans="1:5" x14ac:dyDescent="0.2">
      <c r="A762" s="113">
        <v>35460</v>
      </c>
      <c r="B762" s="111">
        <f t="shared" si="11"/>
        <v>15</v>
      </c>
      <c r="C762" s="111"/>
      <c r="D762" s="111"/>
      <c r="E762" s="111"/>
    </row>
    <row r="763" spans="1:5" x14ac:dyDescent="0.2">
      <c r="A763" s="113">
        <v>35461</v>
      </c>
      <c r="B763" s="111">
        <f t="shared" si="11"/>
        <v>15</v>
      </c>
      <c r="C763" s="111"/>
      <c r="D763" s="111"/>
      <c r="E763" s="111"/>
    </row>
    <row r="764" spans="1:5" x14ac:dyDescent="0.2">
      <c r="A764" s="113">
        <v>35462</v>
      </c>
      <c r="B764" s="111">
        <f t="shared" si="11"/>
        <v>15</v>
      </c>
      <c r="C764" s="111"/>
      <c r="D764" s="111"/>
      <c r="E764" s="111"/>
    </row>
    <row r="765" spans="1:5" x14ac:dyDescent="0.2">
      <c r="A765" s="113">
        <v>35463</v>
      </c>
      <c r="B765" s="111">
        <f t="shared" si="11"/>
        <v>21</v>
      </c>
      <c r="C765" s="111"/>
      <c r="D765" s="111"/>
      <c r="E765" s="111"/>
    </row>
    <row r="766" spans="1:5" x14ac:dyDescent="0.2">
      <c r="A766" s="113">
        <v>35464</v>
      </c>
      <c r="B766" s="111">
        <f t="shared" si="11"/>
        <v>21</v>
      </c>
      <c r="C766" s="111"/>
      <c r="D766" s="111"/>
      <c r="E766" s="111"/>
    </row>
    <row r="767" spans="1:5" x14ac:dyDescent="0.2">
      <c r="A767" s="113">
        <v>35465</v>
      </c>
      <c r="B767" s="111">
        <f t="shared" si="11"/>
        <v>21</v>
      </c>
      <c r="C767" s="111"/>
      <c r="D767" s="111"/>
      <c r="E767" s="111"/>
    </row>
    <row r="768" spans="1:5" x14ac:dyDescent="0.2">
      <c r="A768" s="113">
        <v>35466</v>
      </c>
      <c r="B768" s="111">
        <f t="shared" si="11"/>
        <v>21</v>
      </c>
      <c r="C768" s="111"/>
      <c r="D768" s="111"/>
      <c r="E768" s="111"/>
    </row>
    <row r="769" spans="1:5" x14ac:dyDescent="0.2">
      <c r="A769" s="113">
        <v>35467</v>
      </c>
      <c r="B769" s="111">
        <f t="shared" si="11"/>
        <v>21</v>
      </c>
      <c r="C769" s="111"/>
      <c r="D769" s="111"/>
      <c r="E769" s="111"/>
    </row>
    <row r="770" spans="1:5" x14ac:dyDescent="0.2">
      <c r="A770" s="113">
        <v>35468</v>
      </c>
      <c r="B770" s="111">
        <f t="shared" ref="B770:B833" si="12">VLOOKUP(WEEKNUM(A770),$D$3:$E$58,2)</f>
        <v>21</v>
      </c>
      <c r="C770" s="111"/>
      <c r="D770" s="111"/>
      <c r="E770" s="111"/>
    </row>
    <row r="771" spans="1:5" x14ac:dyDescent="0.2">
      <c r="A771" s="113">
        <v>35469</v>
      </c>
      <c r="B771" s="111">
        <f t="shared" si="12"/>
        <v>21</v>
      </c>
      <c r="C771" s="111"/>
      <c r="D771" s="111"/>
      <c r="E771" s="111"/>
    </row>
    <row r="772" spans="1:5" x14ac:dyDescent="0.2">
      <c r="A772" s="113">
        <v>35470</v>
      </c>
      <c r="B772" s="111">
        <f t="shared" si="12"/>
        <v>22</v>
      </c>
      <c r="C772" s="111"/>
      <c r="D772" s="111"/>
      <c r="E772" s="111"/>
    </row>
    <row r="773" spans="1:5" x14ac:dyDescent="0.2">
      <c r="A773" s="113">
        <v>35471</v>
      </c>
      <c r="B773" s="111">
        <f t="shared" si="12"/>
        <v>22</v>
      </c>
      <c r="C773" s="111"/>
      <c r="D773" s="111"/>
      <c r="E773" s="111"/>
    </row>
    <row r="774" spans="1:5" x14ac:dyDescent="0.2">
      <c r="A774" s="113">
        <v>35472</v>
      </c>
      <c r="B774" s="111">
        <f t="shared" si="12"/>
        <v>22</v>
      </c>
      <c r="C774" s="111"/>
      <c r="D774" s="111"/>
      <c r="E774" s="111"/>
    </row>
    <row r="775" spans="1:5" x14ac:dyDescent="0.2">
      <c r="A775" s="113">
        <v>35473</v>
      </c>
      <c r="B775" s="111">
        <f t="shared" si="12"/>
        <v>22</v>
      </c>
      <c r="C775" s="111"/>
      <c r="D775" s="111"/>
      <c r="E775" s="111"/>
    </row>
    <row r="776" spans="1:5" x14ac:dyDescent="0.2">
      <c r="A776" s="113">
        <v>35474</v>
      </c>
      <c r="B776" s="111">
        <f t="shared" si="12"/>
        <v>22</v>
      </c>
      <c r="C776" s="111"/>
      <c r="D776" s="111"/>
      <c r="E776" s="111"/>
    </row>
    <row r="777" spans="1:5" x14ac:dyDescent="0.2">
      <c r="A777" s="113">
        <v>35475</v>
      </c>
      <c r="B777" s="111">
        <f t="shared" si="12"/>
        <v>22</v>
      </c>
      <c r="C777" s="111"/>
      <c r="D777" s="111"/>
      <c r="E777" s="111"/>
    </row>
    <row r="778" spans="1:5" x14ac:dyDescent="0.2">
      <c r="A778" s="113">
        <v>35476</v>
      </c>
      <c r="B778" s="111">
        <f t="shared" si="12"/>
        <v>22</v>
      </c>
      <c r="C778" s="111"/>
      <c r="D778" s="111"/>
      <c r="E778" s="111"/>
    </row>
    <row r="779" spans="1:5" x14ac:dyDescent="0.2">
      <c r="A779" s="113">
        <v>35477</v>
      </c>
      <c r="B779" s="111">
        <f t="shared" si="12"/>
        <v>23</v>
      </c>
      <c r="C779" s="111"/>
      <c r="D779" s="111"/>
      <c r="E779" s="111"/>
    </row>
    <row r="780" spans="1:5" x14ac:dyDescent="0.2">
      <c r="A780" s="113">
        <v>35478</v>
      </c>
      <c r="B780" s="111">
        <f t="shared" si="12"/>
        <v>23</v>
      </c>
      <c r="C780" s="111"/>
      <c r="D780" s="111"/>
      <c r="E780" s="111"/>
    </row>
    <row r="781" spans="1:5" x14ac:dyDescent="0.2">
      <c r="A781" s="113">
        <v>35479</v>
      </c>
      <c r="B781" s="111">
        <f t="shared" si="12"/>
        <v>23</v>
      </c>
      <c r="C781" s="111"/>
      <c r="D781" s="111"/>
      <c r="E781" s="111"/>
    </row>
    <row r="782" spans="1:5" x14ac:dyDescent="0.2">
      <c r="A782" s="113">
        <v>35480</v>
      </c>
      <c r="B782" s="111">
        <f t="shared" si="12"/>
        <v>23</v>
      </c>
      <c r="C782" s="111"/>
      <c r="D782" s="111"/>
      <c r="E782" s="111"/>
    </row>
    <row r="783" spans="1:5" x14ac:dyDescent="0.2">
      <c r="A783" s="113">
        <v>35481</v>
      </c>
      <c r="B783" s="111">
        <f t="shared" si="12"/>
        <v>23</v>
      </c>
      <c r="C783" s="111"/>
      <c r="D783" s="111"/>
      <c r="E783" s="111"/>
    </row>
    <row r="784" spans="1:5" x14ac:dyDescent="0.2">
      <c r="A784" s="113">
        <v>35482</v>
      </c>
      <c r="B784" s="111">
        <f t="shared" si="12"/>
        <v>23</v>
      </c>
      <c r="C784" s="111"/>
      <c r="D784" s="111"/>
      <c r="E784" s="111"/>
    </row>
    <row r="785" spans="1:5" x14ac:dyDescent="0.2">
      <c r="A785" s="113">
        <v>35483</v>
      </c>
      <c r="B785" s="111">
        <f t="shared" si="12"/>
        <v>23</v>
      </c>
      <c r="C785" s="111"/>
      <c r="D785" s="111"/>
      <c r="E785" s="111"/>
    </row>
    <row r="786" spans="1:5" x14ac:dyDescent="0.2">
      <c r="A786" s="113">
        <v>35484</v>
      </c>
      <c r="B786" s="111">
        <f t="shared" si="12"/>
        <v>24</v>
      </c>
      <c r="C786" s="111"/>
      <c r="D786" s="111"/>
      <c r="E786" s="111"/>
    </row>
    <row r="787" spans="1:5" x14ac:dyDescent="0.2">
      <c r="A787" s="113">
        <v>35485</v>
      </c>
      <c r="B787" s="111">
        <f t="shared" si="12"/>
        <v>24</v>
      </c>
      <c r="C787" s="111"/>
      <c r="D787" s="111"/>
      <c r="E787" s="111"/>
    </row>
    <row r="788" spans="1:5" x14ac:dyDescent="0.2">
      <c r="A788" s="113">
        <v>35486</v>
      </c>
      <c r="B788" s="111">
        <f t="shared" si="12"/>
        <v>24</v>
      </c>
      <c r="C788" s="111"/>
      <c r="D788" s="111"/>
      <c r="E788" s="111"/>
    </row>
    <row r="789" spans="1:5" x14ac:dyDescent="0.2">
      <c r="A789" s="113">
        <v>35487</v>
      </c>
      <c r="B789" s="111">
        <f t="shared" si="12"/>
        <v>24</v>
      </c>
      <c r="C789" s="111"/>
      <c r="D789" s="111"/>
      <c r="E789" s="111"/>
    </row>
    <row r="790" spans="1:5" x14ac:dyDescent="0.2">
      <c r="A790" s="113">
        <v>35488</v>
      </c>
      <c r="B790" s="111">
        <f t="shared" si="12"/>
        <v>24</v>
      </c>
      <c r="C790" s="111"/>
      <c r="D790" s="111"/>
      <c r="E790" s="111"/>
    </row>
    <row r="791" spans="1:5" x14ac:dyDescent="0.2">
      <c r="A791" s="113">
        <v>35489</v>
      </c>
      <c r="B791" s="111">
        <f t="shared" si="12"/>
        <v>24</v>
      </c>
      <c r="C791" s="111"/>
      <c r="D791" s="111"/>
      <c r="E791" s="111"/>
    </row>
    <row r="792" spans="1:5" x14ac:dyDescent="0.2">
      <c r="A792" s="113">
        <v>35490</v>
      </c>
      <c r="B792" s="111">
        <f t="shared" si="12"/>
        <v>24</v>
      </c>
      <c r="C792" s="111"/>
      <c r="D792" s="111"/>
      <c r="E792" s="111"/>
    </row>
    <row r="793" spans="1:5" x14ac:dyDescent="0.2">
      <c r="A793" s="113">
        <v>35491</v>
      </c>
      <c r="B793" s="111">
        <f t="shared" si="12"/>
        <v>31</v>
      </c>
      <c r="C793" s="111"/>
      <c r="D793" s="111"/>
      <c r="E793" s="111"/>
    </row>
    <row r="794" spans="1:5" x14ac:dyDescent="0.2">
      <c r="A794" s="113">
        <v>35492</v>
      </c>
      <c r="B794" s="111">
        <f t="shared" si="12"/>
        <v>31</v>
      </c>
      <c r="C794" s="111"/>
      <c r="D794" s="111"/>
      <c r="E794" s="111"/>
    </row>
    <row r="795" spans="1:5" x14ac:dyDescent="0.2">
      <c r="A795" s="113">
        <v>35493</v>
      </c>
      <c r="B795" s="111">
        <f t="shared" si="12"/>
        <v>31</v>
      </c>
      <c r="C795" s="111"/>
      <c r="D795" s="111"/>
      <c r="E795" s="111"/>
    </row>
    <row r="796" spans="1:5" x14ac:dyDescent="0.2">
      <c r="A796" s="113">
        <v>35494</v>
      </c>
      <c r="B796" s="111">
        <f t="shared" si="12"/>
        <v>31</v>
      </c>
      <c r="C796" s="111"/>
      <c r="D796" s="111"/>
      <c r="E796" s="111"/>
    </row>
    <row r="797" spans="1:5" x14ac:dyDescent="0.2">
      <c r="A797" s="113">
        <v>35495</v>
      </c>
      <c r="B797" s="111">
        <f t="shared" si="12"/>
        <v>31</v>
      </c>
      <c r="C797" s="111"/>
      <c r="D797" s="111"/>
      <c r="E797" s="111"/>
    </row>
    <row r="798" spans="1:5" x14ac:dyDescent="0.2">
      <c r="A798" s="113">
        <v>35496</v>
      </c>
      <c r="B798" s="111">
        <f t="shared" si="12"/>
        <v>31</v>
      </c>
      <c r="C798" s="111"/>
      <c r="D798" s="111"/>
      <c r="E798" s="111"/>
    </row>
    <row r="799" spans="1:5" x14ac:dyDescent="0.2">
      <c r="A799" s="113">
        <v>35497</v>
      </c>
      <c r="B799" s="111">
        <f t="shared" si="12"/>
        <v>31</v>
      </c>
      <c r="C799" s="111"/>
      <c r="D799" s="111"/>
      <c r="E799" s="111"/>
    </row>
    <row r="800" spans="1:5" x14ac:dyDescent="0.2">
      <c r="A800" s="113">
        <v>35498</v>
      </c>
      <c r="B800" s="111">
        <f t="shared" si="12"/>
        <v>32</v>
      </c>
      <c r="C800" s="111"/>
      <c r="D800" s="111"/>
      <c r="E800" s="111"/>
    </row>
    <row r="801" spans="1:5" x14ac:dyDescent="0.2">
      <c r="A801" s="113">
        <v>35499</v>
      </c>
      <c r="B801" s="111">
        <f t="shared" si="12"/>
        <v>32</v>
      </c>
      <c r="C801" s="111"/>
      <c r="D801" s="111"/>
      <c r="E801" s="111"/>
    </row>
    <row r="802" spans="1:5" x14ac:dyDescent="0.2">
      <c r="A802" s="113">
        <v>35500</v>
      </c>
      <c r="B802" s="111">
        <f t="shared" si="12"/>
        <v>32</v>
      </c>
      <c r="C802" s="111"/>
      <c r="D802" s="111"/>
      <c r="E802" s="111"/>
    </row>
    <row r="803" spans="1:5" x14ac:dyDescent="0.2">
      <c r="A803" s="113">
        <v>35501</v>
      </c>
      <c r="B803" s="111">
        <f t="shared" si="12"/>
        <v>32</v>
      </c>
      <c r="C803" s="111"/>
      <c r="D803" s="111"/>
      <c r="E803" s="111"/>
    </row>
    <row r="804" spans="1:5" x14ac:dyDescent="0.2">
      <c r="A804" s="113">
        <v>35502</v>
      </c>
      <c r="B804" s="111">
        <f t="shared" si="12"/>
        <v>32</v>
      </c>
      <c r="C804" s="111"/>
      <c r="D804" s="111"/>
      <c r="E804" s="111"/>
    </row>
    <row r="805" spans="1:5" x14ac:dyDescent="0.2">
      <c r="A805" s="113">
        <v>35503</v>
      </c>
      <c r="B805" s="111">
        <f t="shared" si="12"/>
        <v>32</v>
      </c>
      <c r="C805" s="111"/>
      <c r="D805" s="111"/>
      <c r="E805" s="111"/>
    </row>
    <row r="806" spans="1:5" x14ac:dyDescent="0.2">
      <c r="A806" s="113">
        <v>35504</v>
      </c>
      <c r="B806" s="111">
        <f t="shared" si="12"/>
        <v>32</v>
      </c>
      <c r="C806" s="111"/>
      <c r="D806" s="111"/>
      <c r="E806" s="111"/>
    </row>
    <row r="807" spans="1:5" x14ac:dyDescent="0.2">
      <c r="A807" s="113">
        <v>35505</v>
      </c>
      <c r="B807" s="111">
        <f t="shared" si="12"/>
        <v>33</v>
      </c>
      <c r="C807" s="111"/>
      <c r="D807" s="111"/>
      <c r="E807" s="111"/>
    </row>
    <row r="808" spans="1:5" x14ac:dyDescent="0.2">
      <c r="A808" s="113">
        <v>35506</v>
      </c>
      <c r="B808" s="111">
        <f t="shared" si="12"/>
        <v>33</v>
      </c>
      <c r="C808" s="111"/>
      <c r="D808" s="111"/>
      <c r="E808" s="111"/>
    </row>
    <row r="809" spans="1:5" x14ac:dyDescent="0.2">
      <c r="A809" s="113">
        <v>35507</v>
      </c>
      <c r="B809" s="111">
        <f t="shared" si="12"/>
        <v>33</v>
      </c>
      <c r="C809" s="111"/>
      <c r="D809" s="111"/>
      <c r="E809" s="111"/>
    </row>
    <row r="810" spans="1:5" x14ac:dyDescent="0.2">
      <c r="A810" s="113">
        <v>35508</v>
      </c>
      <c r="B810" s="111">
        <f t="shared" si="12"/>
        <v>33</v>
      </c>
      <c r="C810" s="111"/>
      <c r="D810" s="111"/>
      <c r="E810" s="111"/>
    </row>
    <row r="811" spans="1:5" x14ac:dyDescent="0.2">
      <c r="A811" s="113">
        <v>35509</v>
      </c>
      <c r="B811" s="111">
        <f t="shared" si="12"/>
        <v>33</v>
      </c>
      <c r="C811" s="111"/>
      <c r="D811" s="111"/>
      <c r="E811" s="111"/>
    </row>
    <row r="812" spans="1:5" x14ac:dyDescent="0.2">
      <c r="A812" s="113">
        <v>35510</v>
      </c>
      <c r="B812" s="111">
        <f t="shared" si="12"/>
        <v>33</v>
      </c>
      <c r="C812" s="111"/>
      <c r="D812" s="111"/>
      <c r="E812" s="111"/>
    </row>
    <row r="813" spans="1:5" x14ac:dyDescent="0.2">
      <c r="A813" s="113">
        <v>35511</v>
      </c>
      <c r="B813" s="111">
        <f t="shared" si="12"/>
        <v>33</v>
      </c>
      <c r="C813" s="111"/>
      <c r="D813" s="111"/>
      <c r="E813" s="111"/>
    </row>
    <row r="814" spans="1:5" x14ac:dyDescent="0.2">
      <c r="A814" s="113">
        <v>35512</v>
      </c>
      <c r="B814" s="111">
        <f t="shared" si="12"/>
        <v>34</v>
      </c>
      <c r="C814" s="111"/>
      <c r="D814" s="111"/>
      <c r="E814" s="111"/>
    </row>
    <row r="815" spans="1:5" x14ac:dyDescent="0.2">
      <c r="A815" s="113">
        <v>35513</v>
      </c>
      <c r="B815" s="111">
        <f t="shared" si="12"/>
        <v>34</v>
      </c>
      <c r="C815" s="111"/>
      <c r="D815" s="111"/>
      <c r="E815" s="111"/>
    </row>
    <row r="816" spans="1:5" x14ac:dyDescent="0.2">
      <c r="A816" s="113">
        <v>35514</v>
      </c>
      <c r="B816" s="111">
        <f t="shared" si="12"/>
        <v>34</v>
      </c>
      <c r="C816" s="111"/>
      <c r="D816" s="111"/>
      <c r="E816" s="111"/>
    </row>
    <row r="817" spans="1:5" x14ac:dyDescent="0.2">
      <c r="A817" s="113">
        <v>35515</v>
      </c>
      <c r="B817" s="111">
        <f t="shared" si="12"/>
        <v>34</v>
      </c>
      <c r="C817" s="111"/>
      <c r="D817" s="111"/>
      <c r="E817" s="111"/>
    </row>
    <row r="818" spans="1:5" x14ac:dyDescent="0.2">
      <c r="A818" s="113">
        <v>35516</v>
      </c>
      <c r="B818" s="111">
        <f t="shared" si="12"/>
        <v>34</v>
      </c>
      <c r="C818" s="111"/>
      <c r="D818" s="111"/>
      <c r="E818" s="111"/>
    </row>
    <row r="819" spans="1:5" x14ac:dyDescent="0.2">
      <c r="A819" s="113">
        <v>35517</v>
      </c>
      <c r="B819" s="111">
        <f t="shared" si="12"/>
        <v>34</v>
      </c>
      <c r="C819" s="111"/>
      <c r="D819" s="111"/>
      <c r="E819" s="111"/>
    </row>
    <row r="820" spans="1:5" x14ac:dyDescent="0.2">
      <c r="A820" s="113">
        <v>35518</v>
      </c>
      <c r="B820" s="111">
        <f t="shared" si="12"/>
        <v>34</v>
      </c>
      <c r="C820" s="111"/>
      <c r="D820" s="111"/>
      <c r="E820" s="111"/>
    </row>
    <row r="821" spans="1:5" x14ac:dyDescent="0.2">
      <c r="A821" s="113">
        <v>35519</v>
      </c>
      <c r="B821" s="111">
        <f t="shared" si="12"/>
        <v>41</v>
      </c>
      <c r="C821" s="111"/>
      <c r="D821" s="111"/>
      <c r="E821" s="111"/>
    </row>
    <row r="822" spans="1:5" x14ac:dyDescent="0.2">
      <c r="A822" s="113">
        <v>35520</v>
      </c>
      <c r="B822" s="111">
        <f t="shared" si="12"/>
        <v>41</v>
      </c>
      <c r="C822" s="111"/>
      <c r="D822" s="111"/>
      <c r="E822" s="111"/>
    </row>
    <row r="823" spans="1:5" x14ac:dyDescent="0.2">
      <c r="A823" s="113">
        <v>35521</v>
      </c>
      <c r="B823" s="111">
        <f t="shared" si="12"/>
        <v>41</v>
      </c>
      <c r="C823" s="111"/>
      <c r="D823" s="111"/>
      <c r="E823" s="111"/>
    </row>
    <row r="824" spans="1:5" x14ac:dyDescent="0.2">
      <c r="A824" s="113">
        <v>35522</v>
      </c>
      <c r="B824" s="111">
        <f t="shared" si="12"/>
        <v>41</v>
      </c>
      <c r="C824" s="111"/>
      <c r="D824" s="111"/>
      <c r="E824" s="111"/>
    </row>
    <row r="825" spans="1:5" x14ac:dyDescent="0.2">
      <c r="A825" s="113">
        <v>35523</v>
      </c>
      <c r="B825" s="111">
        <f t="shared" si="12"/>
        <v>41</v>
      </c>
      <c r="C825" s="111"/>
      <c r="D825" s="111"/>
      <c r="E825" s="111"/>
    </row>
    <row r="826" spans="1:5" x14ac:dyDescent="0.2">
      <c r="A826" s="113">
        <v>35524</v>
      </c>
      <c r="B826" s="111">
        <f t="shared" si="12"/>
        <v>41</v>
      </c>
      <c r="C826" s="111"/>
      <c r="D826" s="111"/>
      <c r="E826" s="111"/>
    </row>
    <row r="827" spans="1:5" x14ac:dyDescent="0.2">
      <c r="A827" s="113">
        <v>35525</v>
      </c>
      <c r="B827" s="111">
        <f t="shared" si="12"/>
        <v>41</v>
      </c>
      <c r="C827" s="111"/>
      <c r="D827" s="111"/>
      <c r="E827" s="111"/>
    </row>
    <row r="828" spans="1:5" x14ac:dyDescent="0.2">
      <c r="A828" s="113">
        <v>35526</v>
      </c>
      <c r="B828" s="111">
        <f t="shared" si="12"/>
        <v>42</v>
      </c>
      <c r="C828" s="111"/>
      <c r="D828" s="111"/>
      <c r="E828" s="111"/>
    </row>
    <row r="829" spans="1:5" x14ac:dyDescent="0.2">
      <c r="A829" s="113">
        <v>35527</v>
      </c>
      <c r="B829" s="111">
        <f t="shared" si="12"/>
        <v>42</v>
      </c>
      <c r="C829" s="111"/>
      <c r="D829" s="111"/>
      <c r="E829" s="111"/>
    </row>
    <row r="830" spans="1:5" x14ac:dyDescent="0.2">
      <c r="A830" s="113">
        <v>35528</v>
      </c>
      <c r="B830" s="111">
        <f t="shared" si="12"/>
        <v>42</v>
      </c>
      <c r="C830" s="111"/>
      <c r="D830" s="111"/>
      <c r="E830" s="111"/>
    </row>
    <row r="831" spans="1:5" x14ac:dyDescent="0.2">
      <c r="A831" s="113">
        <v>35529</v>
      </c>
      <c r="B831" s="111">
        <f t="shared" si="12"/>
        <v>42</v>
      </c>
      <c r="C831" s="111"/>
      <c r="D831" s="111"/>
      <c r="E831" s="111"/>
    </row>
    <row r="832" spans="1:5" x14ac:dyDescent="0.2">
      <c r="A832" s="113">
        <v>35530</v>
      </c>
      <c r="B832" s="111">
        <f t="shared" si="12"/>
        <v>42</v>
      </c>
      <c r="C832" s="111"/>
      <c r="D832" s="111"/>
      <c r="E832" s="111"/>
    </row>
    <row r="833" spans="1:5" x14ac:dyDescent="0.2">
      <c r="A833" s="113">
        <v>35531</v>
      </c>
      <c r="B833" s="111">
        <f t="shared" si="12"/>
        <v>42</v>
      </c>
      <c r="C833" s="111"/>
      <c r="D833" s="111"/>
      <c r="E833" s="111"/>
    </row>
    <row r="834" spans="1:5" x14ac:dyDescent="0.2">
      <c r="A834" s="113">
        <v>35532</v>
      </c>
      <c r="B834" s="111">
        <f t="shared" ref="B834:B897" si="13">VLOOKUP(WEEKNUM(A834),$D$3:$E$58,2)</f>
        <v>42</v>
      </c>
      <c r="C834" s="111"/>
      <c r="D834" s="111"/>
      <c r="E834" s="111"/>
    </row>
    <row r="835" spans="1:5" x14ac:dyDescent="0.2">
      <c r="A835" s="113">
        <v>35533</v>
      </c>
      <c r="B835" s="111">
        <f t="shared" si="13"/>
        <v>43</v>
      </c>
      <c r="C835" s="111"/>
      <c r="D835" s="111"/>
      <c r="E835" s="111"/>
    </row>
    <row r="836" spans="1:5" x14ac:dyDescent="0.2">
      <c r="A836" s="113">
        <v>35534</v>
      </c>
      <c r="B836" s="111">
        <f t="shared" si="13"/>
        <v>43</v>
      </c>
      <c r="C836" s="111"/>
      <c r="D836" s="111"/>
      <c r="E836" s="111"/>
    </row>
    <row r="837" spans="1:5" x14ac:dyDescent="0.2">
      <c r="A837" s="113">
        <v>35535</v>
      </c>
      <c r="B837" s="111">
        <f t="shared" si="13"/>
        <v>43</v>
      </c>
      <c r="C837" s="111"/>
      <c r="D837" s="111"/>
      <c r="E837" s="111"/>
    </row>
    <row r="838" spans="1:5" x14ac:dyDescent="0.2">
      <c r="A838" s="113">
        <v>35536</v>
      </c>
      <c r="B838" s="111">
        <f t="shared" si="13"/>
        <v>43</v>
      </c>
      <c r="C838" s="111"/>
      <c r="D838" s="111"/>
      <c r="E838" s="111"/>
    </row>
    <row r="839" spans="1:5" x14ac:dyDescent="0.2">
      <c r="A839" s="113">
        <v>35537</v>
      </c>
      <c r="B839" s="111">
        <f t="shared" si="13"/>
        <v>43</v>
      </c>
      <c r="C839" s="111"/>
      <c r="D839" s="111"/>
      <c r="E839" s="111"/>
    </row>
    <row r="840" spans="1:5" x14ac:dyDescent="0.2">
      <c r="A840" s="113">
        <v>35538</v>
      </c>
      <c r="B840" s="111">
        <f t="shared" si="13"/>
        <v>43</v>
      </c>
      <c r="C840" s="111"/>
      <c r="D840" s="111"/>
      <c r="E840" s="111"/>
    </row>
    <row r="841" spans="1:5" x14ac:dyDescent="0.2">
      <c r="A841" s="113">
        <v>35539</v>
      </c>
      <c r="B841" s="111">
        <f t="shared" si="13"/>
        <v>43</v>
      </c>
      <c r="C841" s="111"/>
      <c r="D841" s="111"/>
      <c r="E841" s="111"/>
    </row>
    <row r="842" spans="1:5" x14ac:dyDescent="0.2">
      <c r="A842" s="113">
        <v>35540</v>
      </c>
      <c r="B842" s="111">
        <f t="shared" si="13"/>
        <v>44</v>
      </c>
      <c r="C842" s="111"/>
      <c r="D842" s="111"/>
      <c r="E842" s="111"/>
    </row>
    <row r="843" spans="1:5" x14ac:dyDescent="0.2">
      <c r="A843" s="113">
        <v>35541</v>
      </c>
      <c r="B843" s="111">
        <f t="shared" si="13"/>
        <v>44</v>
      </c>
      <c r="C843" s="111"/>
      <c r="D843" s="111"/>
      <c r="E843" s="111"/>
    </row>
    <row r="844" spans="1:5" x14ac:dyDescent="0.2">
      <c r="A844" s="113">
        <v>35542</v>
      </c>
      <c r="B844" s="111">
        <f t="shared" si="13"/>
        <v>44</v>
      </c>
      <c r="C844" s="111"/>
      <c r="D844" s="111"/>
      <c r="E844" s="111"/>
    </row>
    <row r="845" spans="1:5" x14ac:dyDescent="0.2">
      <c r="A845" s="113">
        <v>35543</v>
      </c>
      <c r="B845" s="111">
        <f t="shared" si="13"/>
        <v>44</v>
      </c>
      <c r="C845" s="111"/>
      <c r="D845" s="111"/>
      <c r="E845" s="111"/>
    </row>
    <row r="846" spans="1:5" x14ac:dyDescent="0.2">
      <c r="A846" s="113">
        <v>35544</v>
      </c>
      <c r="B846" s="111">
        <f t="shared" si="13"/>
        <v>44</v>
      </c>
      <c r="C846" s="111"/>
      <c r="D846" s="111"/>
      <c r="E846" s="111"/>
    </row>
    <row r="847" spans="1:5" x14ac:dyDescent="0.2">
      <c r="A847" s="113">
        <v>35545</v>
      </c>
      <c r="B847" s="111">
        <f t="shared" si="13"/>
        <v>44</v>
      </c>
      <c r="C847" s="111"/>
      <c r="D847" s="111"/>
      <c r="E847" s="111"/>
    </row>
    <row r="848" spans="1:5" x14ac:dyDescent="0.2">
      <c r="A848" s="113">
        <v>35546</v>
      </c>
      <c r="B848" s="111">
        <f t="shared" si="13"/>
        <v>44</v>
      </c>
      <c r="C848" s="111"/>
      <c r="D848" s="111"/>
      <c r="E848" s="111"/>
    </row>
    <row r="849" spans="1:5" x14ac:dyDescent="0.2">
      <c r="A849" s="113">
        <v>35547</v>
      </c>
      <c r="B849" s="111">
        <f t="shared" si="13"/>
        <v>45</v>
      </c>
      <c r="C849" s="111"/>
      <c r="D849" s="111"/>
      <c r="E849" s="111"/>
    </row>
    <row r="850" spans="1:5" x14ac:dyDescent="0.2">
      <c r="A850" s="113">
        <v>35548</v>
      </c>
      <c r="B850" s="111">
        <f t="shared" si="13"/>
        <v>45</v>
      </c>
      <c r="C850" s="111"/>
      <c r="D850" s="111"/>
      <c r="E850" s="111"/>
    </row>
    <row r="851" spans="1:5" x14ac:dyDescent="0.2">
      <c r="A851" s="113">
        <v>35549</v>
      </c>
      <c r="B851" s="111">
        <f t="shared" si="13"/>
        <v>45</v>
      </c>
      <c r="C851" s="111"/>
      <c r="D851" s="111"/>
      <c r="E851" s="111"/>
    </row>
    <row r="852" spans="1:5" x14ac:dyDescent="0.2">
      <c r="A852" s="113">
        <v>35550</v>
      </c>
      <c r="B852" s="111">
        <f t="shared" si="13"/>
        <v>45</v>
      </c>
      <c r="C852" s="111"/>
      <c r="D852" s="111"/>
      <c r="E852" s="111"/>
    </row>
    <row r="853" spans="1:5" x14ac:dyDescent="0.2">
      <c r="A853" s="113">
        <v>35551</v>
      </c>
      <c r="B853" s="111">
        <f t="shared" si="13"/>
        <v>45</v>
      </c>
      <c r="C853" s="111"/>
      <c r="D853" s="111"/>
      <c r="E853" s="111"/>
    </row>
    <row r="854" spans="1:5" x14ac:dyDescent="0.2">
      <c r="A854" s="113">
        <v>35552</v>
      </c>
      <c r="B854" s="111">
        <f t="shared" si="13"/>
        <v>45</v>
      </c>
      <c r="C854" s="111"/>
      <c r="D854" s="111"/>
      <c r="E854" s="111"/>
    </row>
    <row r="855" spans="1:5" x14ac:dyDescent="0.2">
      <c r="A855" s="113">
        <v>35553</v>
      </c>
      <c r="B855" s="111">
        <f t="shared" si="13"/>
        <v>45</v>
      </c>
      <c r="C855" s="111"/>
      <c r="D855" s="111"/>
      <c r="E855" s="111"/>
    </row>
    <row r="856" spans="1:5" x14ac:dyDescent="0.2">
      <c r="A856" s="113">
        <v>35554</v>
      </c>
      <c r="B856" s="111">
        <f t="shared" si="13"/>
        <v>51</v>
      </c>
      <c r="C856" s="111"/>
      <c r="D856" s="111"/>
      <c r="E856" s="111"/>
    </row>
    <row r="857" spans="1:5" x14ac:dyDescent="0.2">
      <c r="A857" s="113">
        <v>35555</v>
      </c>
      <c r="B857" s="111">
        <f t="shared" si="13"/>
        <v>51</v>
      </c>
      <c r="C857" s="111"/>
      <c r="D857" s="111"/>
      <c r="E857" s="111"/>
    </row>
    <row r="858" spans="1:5" x14ac:dyDescent="0.2">
      <c r="A858" s="113">
        <v>35556</v>
      </c>
      <c r="B858" s="111">
        <f t="shared" si="13"/>
        <v>51</v>
      </c>
      <c r="C858" s="111"/>
      <c r="D858" s="111"/>
      <c r="E858" s="111"/>
    </row>
    <row r="859" spans="1:5" x14ac:dyDescent="0.2">
      <c r="A859" s="113">
        <v>35557</v>
      </c>
      <c r="B859" s="111">
        <f t="shared" si="13"/>
        <v>51</v>
      </c>
      <c r="C859" s="111"/>
      <c r="D859" s="111"/>
      <c r="E859" s="111"/>
    </row>
    <row r="860" spans="1:5" x14ac:dyDescent="0.2">
      <c r="A860" s="113">
        <v>35558</v>
      </c>
      <c r="B860" s="111">
        <f t="shared" si="13"/>
        <v>51</v>
      </c>
      <c r="C860" s="111"/>
      <c r="D860" s="111"/>
      <c r="E860" s="111"/>
    </row>
    <row r="861" spans="1:5" x14ac:dyDescent="0.2">
      <c r="A861" s="113">
        <v>35559</v>
      </c>
      <c r="B861" s="111">
        <f t="shared" si="13"/>
        <v>51</v>
      </c>
      <c r="C861" s="111"/>
      <c r="D861" s="111"/>
      <c r="E861" s="111"/>
    </row>
    <row r="862" spans="1:5" x14ac:dyDescent="0.2">
      <c r="A862" s="113">
        <v>35560</v>
      </c>
      <c r="B862" s="111">
        <f t="shared" si="13"/>
        <v>51</v>
      </c>
      <c r="C862" s="111"/>
      <c r="D862" s="111"/>
      <c r="E862" s="111"/>
    </row>
    <row r="863" spans="1:5" x14ac:dyDescent="0.2">
      <c r="A863" s="113">
        <v>35561</v>
      </c>
      <c r="B863" s="111">
        <f t="shared" si="13"/>
        <v>52</v>
      </c>
      <c r="C863" s="111"/>
      <c r="D863" s="111"/>
      <c r="E863" s="111"/>
    </row>
    <row r="864" spans="1:5" x14ac:dyDescent="0.2">
      <c r="A864" s="113">
        <v>35562</v>
      </c>
      <c r="B864" s="111">
        <f t="shared" si="13"/>
        <v>52</v>
      </c>
      <c r="C864" s="111"/>
      <c r="D864" s="111"/>
      <c r="E864" s="111"/>
    </row>
    <row r="865" spans="1:5" x14ac:dyDescent="0.2">
      <c r="A865" s="113">
        <v>35563</v>
      </c>
      <c r="B865" s="111">
        <f t="shared" si="13"/>
        <v>52</v>
      </c>
      <c r="C865" s="111"/>
      <c r="D865" s="111"/>
      <c r="E865" s="111"/>
    </row>
    <row r="866" spans="1:5" x14ac:dyDescent="0.2">
      <c r="A866" s="113">
        <v>35564</v>
      </c>
      <c r="B866" s="111">
        <f t="shared" si="13"/>
        <v>52</v>
      </c>
      <c r="C866" s="111"/>
      <c r="D866" s="111"/>
      <c r="E866" s="111"/>
    </row>
    <row r="867" spans="1:5" x14ac:dyDescent="0.2">
      <c r="A867" s="113">
        <v>35565</v>
      </c>
      <c r="B867" s="111">
        <f t="shared" si="13"/>
        <v>52</v>
      </c>
      <c r="C867" s="111"/>
      <c r="D867" s="111"/>
      <c r="E867" s="111"/>
    </row>
    <row r="868" spans="1:5" x14ac:dyDescent="0.2">
      <c r="A868" s="113">
        <v>35566</v>
      </c>
      <c r="B868" s="111">
        <f t="shared" si="13"/>
        <v>52</v>
      </c>
      <c r="C868" s="111"/>
      <c r="D868" s="111"/>
      <c r="E868" s="111"/>
    </row>
    <row r="869" spans="1:5" x14ac:dyDescent="0.2">
      <c r="A869" s="113">
        <v>35567</v>
      </c>
      <c r="B869" s="111">
        <f t="shared" si="13"/>
        <v>52</v>
      </c>
      <c r="C869" s="111"/>
      <c r="D869" s="111"/>
      <c r="E869" s="111"/>
    </row>
    <row r="870" spans="1:5" x14ac:dyDescent="0.2">
      <c r="A870" s="113">
        <v>35568</v>
      </c>
      <c r="B870" s="111">
        <f t="shared" si="13"/>
        <v>53</v>
      </c>
      <c r="C870" s="111"/>
      <c r="D870" s="111"/>
      <c r="E870" s="111"/>
    </row>
    <row r="871" spans="1:5" x14ac:dyDescent="0.2">
      <c r="A871" s="113">
        <v>35569</v>
      </c>
      <c r="B871" s="111">
        <f t="shared" si="13"/>
        <v>53</v>
      </c>
      <c r="C871" s="111"/>
      <c r="D871" s="111"/>
      <c r="E871" s="111"/>
    </row>
    <row r="872" spans="1:5" x14ac:dyDescent="0.2">
      <c r="A872" s="113">
        <v>35570</v>
      </c>
      <c r="B872" s="111">
        <f t="shared" si="13"/>
        <v>53</v>
      </c>
      <c r="C872" s="111"/>
      <c r="D872" s="111"/>
      <c r="E872" s="111"/>
    </row>
    <row r="873" spans="1:5" x14ac:dyDescent="0.2">
      <c r="A873" s="113">
        <v>35571</v>
      </c>
      <c r="B873" s="111">
        <f t="shared" si="13"/>
        <v>53</v>
      </c>
      <c r="C873" s="111"/>
      <c r="D873" s="111"/>
      <c r="E873" s="111"/>
    </row>
    <row r="874" spans="1:5" x14ac:dyDescent="0.2">
      <c r="A874" s="113">
        <v>35572</v>
      </c>
      <c r="B874" s="111">
        <f t="shared" si="13"/>
        <v>53</v>
      </c>
      <c r="C874" s="111"/>
      <c r="D874" s="111"/>
      <c r="E874" s="111"/>
    </row>
    <row r="875" spans="1:5" x14ac:dyDescent="0.2">
      <c r="A875" s="113">
        <v>35573</v>
      </c>
      <c r="B875" s="111">
        <f t="shared" si="13"/>
        <v>53</v>
      </c>
      <c r="C875" s="111"/>
      <c r="D875" s="111"/>
      <c r="E875" s="111"/>
    </row>
    <row r="876" spans="1:5" x14ac:dyDescent="0.2">
      <c r="A876" s="113">
        <v>35574</v>
      </c>
      <c r="B876" s="111">
        <f t="shared" si="13"/>
        <v>53</v>
      </c>
      <c r="C876" s="111"/>
      <c r="D876" s="111"/>
      <c r="E876" s="111"/>
    </row>
    <row r="877" spans="1:5" x14ac:dyDescent="0.2">
      <c r="A877" s="113">
        <v>35575</v>
      </c>
      <c r="B877" s="111">
        <f t="shared" si="13"/>
        <v>54</v>
      </c>
      <c r="C877" s="111"/>
      <c r="D877" s="111"/>
      <c r="E877" s="111"/>
    </row>
    <row r="878" spans="1:5" x14ac:dyDescent="0.2">
      <c r="A878" s="113">
        <v>35576</v>
      </c>
      <c r="B878" s="111">
        <f t="shared" si="13"/>
        <v>54</v>
      </c>
      <c r="C878" s="111"/>
      <c r="D878" s="111"/>
      <c r="E878" s="111"/>
    </row>
    <row r="879" spans="1:5" x14ac:dyDescent="0.2">
      <c r="A879" s="113">
        <v>35577</v>
      </c>
      <c r="B879" s="111">
        <f t="shared" si="13"/>
        <v>54</v>
      </c>
      <c r="C879" s="111"/>
      <c r="D879" s="111"/>
      <c r="E879" s="111"/>
    </row>
    <row r="880" spans="1:5" x14ac:dyDescent="0.2">
      <c r="A880" s="113">
        <v>35578</v>
      </c>
      <c r="B880" s="111">
        <f t="shared" si="13"/>
        <v>54</v>
      </c>
      <c r="C880" s="111"/>
      <c r="D880" s="111"/>
      <c r="E880" s="111"/>
    </row>
    <row r="881" spans="1:5" x14ac:dyDescent="0.2">
      <c r="A881" s="113">
        <v>35579</v>
      </c>
      <c r="B881" s="111">
        <f t="shared" si="13"/>
        <v>54</v>
      </c>
      <c r="C881" s="111"/>
      <c r="D881" s="111"/>
      <c r="E881" s="111"/>
    </row>
    <row r="882" spans="1:5" x14ac:dyDescent="0.2">
      <c r="A882" s="113">
        <v>35580</v>
      </c>
      <c r="B882" s="111">
        <f t="shared" si="13"/>
        <v>54</v>
      </c>
      <c r="C882" s="111"/>
      <c r="D882" s="111"/>
      <c r="E882" s="111"/>
    </row>
    <row r="883" spans="1:5" x14ac:dyDescent="0.2">
      <c r="A883" s="113">
        <v>35581</v>
      </c>
      <c r="B883" s="111">
        <f t="shared" si="13"/>
        <v>54</v>
      </c>
      <c r="C883" s="111"/>
      <c r="D883" s="111"/>
      <c r="E883" s="111"/>
    </row>
    <row r="884" spans="1:5" x14ac:dyDescent="0.2">
      <c r="A884" s="113">
        <v>35582</v>
      </c>
      <c r="B884" s="111">
        <f t="shared" si="13"/>
        <v>61</v>
      </c>
      <c r="C884" s="111"/>
      <c r="D884" s="111"/>
      <c r="E884" s="111"/>
    </row>
    <row r="885" spans="1:5" x14ac:dyDescent="0.2">
      <c r="A885" s="113">
        <v>35583</v>
      </c>
      <c r="B885" s="111">
        <f t="shared" si="13"/>
        <v>61</v>
      </c>
      <c r="C885" s="111"/>
      <c r="D885" s="111"/>
      <c r="E885" s="111"/>
    </row>
    <row r="886" spans="1:5" x14ac:dyDescent="0.2">
      <c r="A886" s="113">
        <v>35584</v>
      </c>
      <c r="B886" s="111">
        <f t="shared" si="13"/>
        <v>61</v>
      </c>
      <c r="C886" s="111"/>
      <c r="D886" s="111"/>
      <c r="E886" s="111"/>
    </row>
    <row r="887" spans="1:5" x14ac:dyDescent="0.2">
      <c r="A887" s="113">
        <v>35585</v>
      </c>
      <c r="B887" s="111">
        <f t="shared" si="13"/>
        <v>61</v>
      </c>
      <c r="C887" s="111"/>
      <c r="D887" s="111"/>
      <c r="E887" s="111"/>
    </row>
    <row r="888" spans="1:5" x14ac:dyDescent="0.2">
      <c r="A888" s="113">
        <v>35586</v>
      </c>
      <c r="B888" s="111">
        <f t="shared" si="13"/>
        <v>61</v>
      </c>
      <c r="C888" s="111"/>
      <c r="D888" s="111"/>
      <c r="E888" s="111"/>
    </row>
    <row r="889" spans="1:5" x14ac:dyDescent="0.2">
      <c r="A889" s="113">
        <v>35587</v>
      </c>
      <c r="B889" s="111">
        <f t="shared" si="13"/>
        <v>61</v>
      </c>
      <c r="C889" s="111"/>
      <c r="D889" s="111"/>
      <c r="E889" s="111"/>
    </row>
    <row r="890" spans="1:5" x14ac:dyDescent="0.2">
      <c r="A890" s="113">
        <v>35588</v>
      </c>
      <c r="B890" s="111">
        <f t="shared" si="13"/>
        <v>61</v>
      </c>
      <c r="C890" s="111"/>
      <c r="D890" s="111"/>
      <c r="E890" s="111"/>
    </row>
    <row r="891" spans="1:5" x14ac:dyDescent="0.2">
      <c r="A891" s="113">
        <v>35589</v>
      </c>
      <c r="B891" s="111">
        <f t="shared" si="13"/>
        <v>62</v>
      </c>
      <c r="C891" s="111"/>
      <c r="D891" s="111"/>
      <c r="E891" s="111"/>
    </row>
    <row r="892" spans="1:5" x14ac:dyDescent="0.2">
      <c r="A892" s="113">
        <v>35590</v>
      </c>
      <c r="B892" s="111">
        <f t="shared" si="13"/>
        <v>62</v>
      </c>
      <c r="C892" s="111"/>
      <c r="D892" s="111"/>
      <c r="E892" s="111"/>
    </row>
    <row r="893" spans="1:5" x14ac:dyDescent="0.2">
      <c r="A893" s="113">
        <v>35591</v>
      </c>
      <c r="B893" s="111">
        <f t="shared" si="13"/>
        <v>62</v>
      </c>
      <c r="C893" s="111"/>
      <c r="D893" s="111"/>
      <c r="E893" s="111"/>
    </row>
    <row r="894" spans="1:5" x14ac:dyDescent="0.2">
      <c r="A894" s="113">
        <v>35592</v>
      </c>
      <c r="B894" s="111">
        <f t="shared" si="13"/>
        <v>62</v>
      </c>
      <c r="C894" s="111"/>
      <c r="D894" s="111"/>
      <c r="E894" s="111"/>
    </row>
    <row r="895" spans="1:5" x14ac:dyDescent="0.2">
      <c r="A895" s="113">
        <v>35593</v>
      </c>
      <c r="B895" s="111">
        <f t="shared" si="13"/>
        <v>62</v>
      </c>
      <c r="C895" s="111"/>
      <c r="D895" s="111"/>
      <c r="E895" s="111"/>
    </row>
    <row r="896" spans="1:5" x14ac:dyDescent="0.2">
      <c r="A896" s="113">
        <v>35594</v>
      </c>
      <c r="B896" s="111">
        <f t="shared" si="13"/>
        <v>62</v>
      </c>
      <c r="C896" s="111"/>
      <c r="D896" s="111"/>
      <c r="E896" s="111"/>
    </row>
    <row r="897" spans="1:5" x14ac:dyDescent="0.2">
      <c r="A897" s="113">
        <v>35595</v>
      </c>
      <c r="B897" s="111">
        <f t="shared" si="13"/>
        <v>62</v>
      </c>
      <c r="C897" s="111"/>
      <c r="D897" s="111"/>
      <c r="E897" s="111"/>
    </row>
    <row r="898" spans="1:5" x14ac:dyDescent="0.2">
      <c r="A898" s="113">
        <v>35596</v>
      </c>
      <c r="B898" s="111">
        <f t="shared" ref="B898:B961" si="14">VLOOKUP(WEEKNUM(A898),$D$3:$E$58,2)</f>
        <v>63</v>
      </c>
      <c r="C898" s="111"/>
      <c r="D898" s="111"/>
      <c r="E898" s="111"/>
    </row>
    <row r="899" spans="1:5" x14ac:dyDescent="0.2">
      <c r="A899" s="113">
        <v>35597</v>
      </c>
      <c r="B899" s="111">
        <f t="shared" si="14"/>
        <v>63</v>
      </c>
      <c r="C899" s="111"/>
      <c r="D899" s="111"/>
      <c r="E899" s="111"/>
    </row>
    <row r="900" spans="1:5" x14ac:dyDescent="0.2">
      <c r="A900" s="113">
        <v>35598</v>
      </c>
      <c r="B900" s="111">
        <f t="shared" si="14"/>
        <v>63</v>
      </c>
      <c r="C900" s="111"/>
      <c r="D900" s="111"/>
      <c r="E900" s="111"/>
    </row>
    <row r="901" spans="1:5" x14ac:dyDescent="0.2">
      <c r="A901" s="113">
        <v>35599</v>
      </c>
      <c r="B901" s="111">
        <f t="shared" si="14"/>
        <v>63</v>
      </c>
      <c r="C901" s="111"/>
      <c r="D901" s="111"/>
      <c r="E901" s="111"/>
    </row>
    <row r="902" spans="1:5" x14ac:dyDescent="0.2">
      <c r="A902" s="113">
        <v>35600</v>
      </c>
      <c r="B902" s="111">
        <f t="shared" si="14"/>
        <v>63</v>
      </c>
      <c r="C902" s="111"/>
      <c r="D902" s="111"/>
      <c r="E902" s="111"/>
    </row>
    <row r="903" spans="1:5" x14ac:dyDescent="0.2">
      <c r="A903" s="113">
        <v>35601</v>
      </c>
      <c r="B903" s="111">
        <f t="shared" si="14"/>
        <v>63</v>
      </c>
      <c r="C903" s="111"/>
      <c r="D903" s="111"/>
      <c r="E903" s="111"/>
    </row>
    <row r="904" spans="1:5" x14ac:dyDescent="0.2">
      <c r="A904" s="113">
        <v>35602</v>
      </c>
      <c r="B904" s="111">
        <f t="shared" si="14"/>
        <v>63</v>
      </c>
      <c r="C904" s="111"/>
      <c r="D904" s="111"/>
      <c r="E904" s="111"/>
    </row>
    <row r="905" spans="1:5" x14ac:dyDescent="0.2">
      <c r="A905" s="113">
        <v>35603</v>
      </c>
      <c r="B905" s="111">
        <f t="shared" si="14"/>
        <v>64</v>
      </c>
      <c r="C905" s="111"/>
      <c r="D905" s="111"/>
      <c r="E905" s="111"/>
    </row>
    <row r="906" spans="1:5" x14ac:dyDescent="0.2">
      <c r="A906" s="113">
        <v>35604</v>
      </c>
      <c r="B906" s="111">
        <f t="shared" si="14"/>
        <v>64</v>
      </c>
      <c r="C906" s="111"/>
      <c r="D906" s="111"/>
      <c r="E906" s="111"/>
    </row>
    <row r="907" spans="1:5" x14ac:dyDescent="0.2">
      <c r="A907" s="113">
        <v>35605</v>
      </c>
      <c r="B907" s="111">
        <f t="shared" si="14"/>
        <v>64</v>
      </c>
      <c r="C907" s="111"/>
      <c r="D907" s="111"/>
      <c r="E907" s="111"/>
    </row>
    <row r="908" spans="1:5" x14ac:dyDescent="0.2">
      <c r="A908" s="113">
        <v>35606</v>
      </c>
      <c r="B908" s="111">
        <f t="shared" si="14"/>
        <v>64</v>
      </c>
      <c r="C908" s="111"/>
      <c r="D908" s="111"/>
      <c r="E908" s="111"/>
    </row>
    <row r="909" spans="1:5" x14ac:dyDescent="0.2">
      <c r="A909" s="113">
        <v>35607</v>
      </c>
      <c r="B909" s="111">
        <f t="shared" si="14"/>
        <v>64</v>
      </c>
      <c r="C909" s="111"/>
      <c r="D909" s="111"/>
      <c r="E909" s="111"/>
    </row>
    <row r="910" spans="1:5" x14ac:dyDescent="0.2">
      <c r="A910" s="113">
        <v>35608</v>
      </c>
      <c r="B910" s="111">
        <f t="shared" si="14"/>
        <v>64</v>
      </c>
      <c r="C910" s="111"/>
      <c r="D910" s="111"/>
      <c r="E910" s="111"/>
    </row>
    <row r="911" spans="1:5" x14ac:dyDescent="0.2">
      <c r="A911" s="113">
        <v>35609</v>
      </c>
      <c r="B911" s="111">
        <f t="shared" si="14"/>
        <v>64</v>
      </c>
      <c r="C911" s="111"/>
      <c r="D911" s="111"/>
      <c r="E911" s="111"/>
    </row>
    <row r="912" spans="1:5" x14ac:dyDescent="0.2">
      <c r="A912" s="113">
        <v>35610</v>
      </c>
      <c r="B912" s="111">
        <f t="shared" si="14"/>
        <v>71</v>
      </c>
      <c r="C912" s="111"/>
      <c r="D912" s="111"/>
      <c r="E912" s="111"/>
    </row>
    <row r="913" spans="1:5" x14ac:dyDescent="0.2">
      <c r="A913" s="113">
        <v>35611</v>
      </c>
      <c r="B913" s="111">
        <f t="shared" si="14"/>
        <v>71</v>
      </c>
      <c r="C913" s="111"/>
      <c r="D913" s="111"/>
      <c r="E913" s="111"/>
    </row>
    <row r="914" spans="1:5" x14ac:dyDescent="0.2">
      <c r="A914" s="113">
        <v>35612</v>
      </c>
      <c r="B914" s="111">
        <f t="shared" si="14"/>
        <v>71</v>
      </c>
      <c r="C914" s="111"/>
      <c r="D914" s="111"/>
      <c r="E914" s="111"/>
    </row>
    <row r="915" spans="1:5" x14ac:dyDescent="0.2">
      <c r="A915" s="113">
        <v>35613</v>
      </c>
      <c r="B915" s="111">
        <f t="shared" si="14"/>
        <v>71</v>
      </c>
      <c r="C915" s="111"/>
      <c r="D915" s="111"/>
      <c r="E915" s="111"/>
    </row>
    <row r="916" spans="1:5" x14ac:dyDescent="0.2">
      <c r="A916" s="113">
        <v>35614</v>
      </c>
      <c r="B916" s="111">
        <f t="shared" si="14"/>
        <v>71</v>
      </c>
      <c r="C916" s="111"/>
      <c r="D916" s="111"/>
      <c r="E916" s="111"/>
    </row>
    <row r="917" spans="1:5" x14ac:dyDescent="0.2">
      <c r="A917" s="113">
        <v>35615</v>
      </c>
      <c r="B917" s="111">
        <f t="shared" si="14"/>
        <v>71</v>
      </c>
      <c r="C917" s="111"/>
      <c r="D917" s="111"/>
      <c r="E917" s="111"/>
    </row>
    <row r="918" spans="1:5" x14ac:dyDescent="0.2">
      <c r="A918" s="113">
        <v>35616</v>
      </c>
      <c r="B918" s="111">
        <f t="shared" si="14"/>
        <v>71</v>
      </c>
      <c r="C918" s="111"/>
      <c r="D918" s="111"/>
      <c r="E918" s="111"/>
    </row>
    <row r="919" spans="1:5" x14ac:dyDescent="0.2">
      <c r="A919" s="113">
        <v>35617</v>
      </c>
      <c r="B919" s="111">
        <f t="shared" si="14"/>
        <v>72</v>
      </c>
      <c r="C919" s="111"/>
      <c r="D919" s="111"/>
      <c r="E919" s="111"/>
    </row>
    <row r="920" spans="1:5" x14ac:dyDescent="0.2">
      <c r="A920" s="113">
        <v>35618</v>
      </c>
      <c r="B920" s="111">
        <f t="shared" si="14"/>
        <v>72</v>
      </c>
      <c r="C920" s="111"/>
      <c r="D920" s="111"/>
      <c r="E920" s="111"/>
    </row>
    <row r="921" spans="1:5" x14ac:dyDescent="0.2">
      <c r="A921" s="113">
        <v>35619</v>
      </c>
      <c r="B921" s="111">
        <f t="shared" si="14"/>
        <v>72</v>
      </c>
      <c r="C921" s="111"/>
      <c r="D921" s="111"/>
      <c r="E921" s="111"/>
    </row>
    <row r="922" spans="1:5" x14ac:dyDescent="0.2">
      <c r="A922" s="113">
        <v>35620</v>
      </c>
      <c r="B922" s="111">
        <f t="shared" si="14"/>
        <v>72</v>
      </c>
      <c r="C922" s="111"/>
      <c r="D922" s="111"/>
      <c r="E922" s="111"/>
    </row>
    <row r="923" spans="1:5" x14ac:dyDescent="0.2">
      <c r="A923" s="113">
        <v>35621</v>
      </c>
      <c r="B923" s="111">
        <f t="shared" si="14"/>
        <v>72</v>
      </c>
      <c r="C923" s="111"/>
      <c r="D923" s="111"/>
      <c r="E923" s="111"/>
    </row>
    <row r="924" spans="1:5" x14ac:dyDescent="0.2">
      <c r="A924" s="113">
        <v>35622</v>
      </c>
      <c r="B924" s="111">
        <f t="shared" si="14"/>
        <v>72</v>
      </c>
      <c r="C924" s="111"/>
      <c r="D924" s="111"/>
      <c r="E924" s="111"/>
    </row>
    <row r="925" spans="1:5" x14ac:dyDescent="0.2">
      <c r="A925" s="113">
        <v>35623</v>
      </c>
      <c r="B925" s="111">
        <f t="shared" si="14"/>
        <v>72</v>
      </c>
      <c r="C925" s="111"/>
      <c r="D925" s="111"/>
      <c r="E925" s="111"/>
    </row>
    <row r="926" spans="1:5" x14ac:dyDescent="0.2">
      <c r="A926" s="113">
        <v>35624</v>
      </c>
      <c r="B926" s="111">
        <f t="shared" si="14"/>
        <v>73</v>
      </c>
      <c r="C926" s="111"/>
      <c r="D926" s="111"/>
      <c r="E926" s="111"/>
    </row>
    <row r="927" spans="1:5" x14ac:dyDescent="0.2">
      <c r="A927" s="113">
        <v>35625</v>
      </c>
      <c r="B927" s="111">
        <f t="shared" si="14"/>
        <v>73</v>
      </c>
      <c r="C927" s="111"/>
      <c r="D927" s="111"/>
      <c r="E927" s="111"/>
    </row>
    <row r="928" spans="1:5" x14ac:dyDescent="0.2">
      <c r="A928" s="113">
        <v>35626</v>
      </c>
      <c r="B928" s="111">
        <f t="shared" si="14"/>
        <v>73</v>
      </c>
      <c r="C928" s="111"/>
      <c r="D928" s="111"/>
      <c r="E928" s="111"/>
    </row>
    <row r="929" spans="1:5" x14ac:dyDescent="0.2">
      <c r="A929" s="113">
        <v>35627</v>
      </c>
      <c r="B929" s="111">
        <f t="shared" si="14"/>
        <v>73</v>
      </c>
      <c r="C929" s="111"/>
      <c r="D929" s="111"/>
      <c r="E929" s="111"/>
    </row>
    <row r="930" spans="1:5" x14ac:dyDescent="0.2">
      <c r="A930" s="113">
        <v>35628</v>
      </c>
      <c r="B930" s="111">
        <f t="shared" si="14"/>
        <v>73</v>
      </c>
      <c r="C930" s="111"/>
      <c r="D930" s="111"/>
      <c r="E930" s="111"/>
    </row>
    <row r="931" spans="1:5" x14ac:dyDescent="0.2">
      <c r="A931" s="113">
        <v>35629</v>
      </c>
      <c r="B931" s="111">
        <f t="shared" si="14"/>
        <v>73</v>
      </c>
      <c r="C931" s="111"/>
      <c r="D931" s="111"/>
      <c r="E931" s="111"/>
    </row>
    <row r="932" spans="1:5" x14ac:dyDescent="0.2">
      <c r="A932" s="113">
        <v>35630</v>
      </c>
      <c r="B932" s="111">
        <f t="shared" si="14"/>
        <v>73</v>
      </c>
      <c r="C932" s="111"/>
      <c r="D932" s="111"/>
      <c r="E932" s="111"/>
    </row>
    <row r="933" spans="1:5" x14ac:dyDescent="0.2">
      <c r="A933" s="113">
        <v>35631</v>
      </c>
      <c r="B933" s="111">
        <f t="shared" si="14"/>
        <v>74</v>
      </c>
      <c r="C933" s="111"/>
      <c r="D933" s="111"/>
      <c r="E933" s="111"/>
    </row>
    <row r="934" spans="1:5" x14ac:dyDescent="0.2">
      <c r="A934" s="113">
        <v>35632</v>
      </c>
      <c r="B934" s="111">
        <f t="shared" si="14"/>
        <v>74</v>
      </c>
      <c r="C934" s="111"/>
      <c r="D934" s="111"/>
      <c r="E934" s="111"/>
    </row>
    <row r="935" spans="1:5" x14ac:dyDescent="0.2">
      <c r="A935" s="113">
        <v>35633</v>
      </c>
      <c r="B935" s="111">
        <f t="shared" si="14"/>
        <v>74</v>
      </c>
      <c r="C935" s="111"/>
      <c r="D935" s="111"/>
      <c r="E935" s="111"/>
    </row>
    <row r="936" spans="1:5" x14ac:dyDescent="0.2">
      <c r="A936" s="113">
        <v>35634</v>
      </c>
      <c r="B936" s="111">
        <f t="shared" si="14"/>
        <v>74</v>
      </c>
      <c r="C936" s="111"/>
      <c r="D936" s="111"/>
      <c r="E936" s="111"/>
    </row>
    <row r="937" spans="1:5" x14ac:dyDescent="0.2">
      <c r="A937" s="113">
        <v>35635</v>
      </c>
      <c r="B937" s="111">
        <f t="shared" si="14"/>
        <v>74</v>
      </c>
      <c r="C937" s="111"/>
      <c r="D937" s="111"/>
      <c r="E937" s="111"/>
    </row>
    <row r="938" spans="1:5" x14ac:dyDescent="0.2">
      <c r="A938" s="113">
        <v>35636</v>
      </c>
      <c r="B938" s="111">
        <f t="shared" si="14"/>
        <v>74</v>
      </c>
      <c r="C938" s="111"/>
      <c r="D938" s="111"/>
      <c r="E938" s="111"/>
    </row>
    <row r="939" spans="1:5" x14ac:dyDescent="0.2">
      <c r="A939" s="113">
        <v>35637</v>
      </c>
      <c r="B939" s="111">
        <f t="shared" si="14"/>
        <v>74</v>
      </c>
      <c r="C939" s="111"/>
      <c r="D939" s="111"/>
      <c r="E939" s="111"/>
    </row>
    <row r="940" spans="1:5" x14ac:dyDescent="0.2">
      <c r="A940" s="113">
        <v>35638</v>
      </c>
      <c r="B940" s="111">
        <f t="shared" si="14"/>
        <v>75</v>
      </c>
      <c r="C940" s="111"/>
      <c r="D940" s="111"/>
      <c r="E940" s="111"/>
    </row>
    <row r="941" spans="1:5" x14ac:dyDescent="0.2">
      <c r="A941" s="113">
        <v>35639</v>
      </c>
      <c r="B941" s="111">
        <f t="shared" si="14"/>
        <v>75</v>
      </c>
      <c r="C941" s="111"/>
      <c r="D941" s="111"/>
      <c r="E941" s="111"/>
    </row>
    <row r="942" spans="1:5" x14ac:dyDescent="0.2">
      <c r="A942" s="113">
        <v>35640</v>
      </c>
      <c r="B942" s="111">
        <f t="shared" si="14"/>
        <v>75</v>
      </c>
      <c r="C942" s="111"/>
      <c r="D942" s="111"/>
      <c r="E942" s="111"/>
    </row>
    <row r="943" spans="1:5" x14ac:dyDescent="0.2">
      <c r="A943" s="113">
        <v>35641</v>
      </c>
      <c r="B943" s="111">
        <f t="shared" si="14"/>
        <v>75</v>
      </c>
      <c r="C943" s="111"/>
      <c r="D943" s="111"/>
      <c r="E943" s="111"/>
    </row>
    <row r="944" spans="1:5" x14ac:dyDescent="0.2">
      <c r="A944" s="113">
        <v>35642</v>
      </c>
      <c r="B944" s="111">
        <f t="shared" si="14"/>
        <v>75</v>
      </c>
      <c r="C944" s="111"/>
      <c r="D944" s="111"/>
      <c r="E944" s="111"/>
    </row>
    <row r="945" spans="1:5" x14ac:dyDescent="0.2">
      <c r="A945" s="113">
        <v>35643</v>
      </c>
      <c r="B945" s="111">
        <f t="shared" si="14"/>
        <v>75</v>
      </c>
      <c r="C945" s="111"/>
      <c r="D945" s="111"/>
      <c r="E945" s="111"/>
    </row>
    <row r="946" spans="1:5" x14ac:dyDescent="0.2">
      <c r="A946" s="113">
        <v>35644</v>
      </c>
      <c r="B946" s="111">
        <f t="shared" si="14"/>
        <v>75</v>
      </c>
      <c r="C946" s="111"/>
      <c r="D946" s="111"/>
      <c r="E946" s="111"/>
    </row>
    <row r="947" spans="1:5" x14ac:dyDescent="0.2">
      <c r="A947" s="113">
        <v>35645</v>
      </c>
      <c r="B947" s="111">
        <f t="shared" si="14"/>
        <v>81</v>
      </c>
      <c r="C947" s="111"/>
      <c r="D947" s="111"/>
      <c r="E947" s="111"/>
    </row>
    <row r="948" spans="1:5" x14ac:dyDescent="0.2">
      <c r="A948" s="113">
        <v>35646</v>
      </c>
      <c r="B948" s="111">
        <f t="shared" si="14"/>
        <v>81</v>
      </c>
      <c r="C948" s="111"/>
      <c r="D948" s="111"/>
      <c r="E948" s="111"/>
    </row>
    <row r="949" spans="1:5" x14ac:dyDescent="0.2">
      <c r="A949" s="113">
        <v>35647</v>
      </c>
      <c r="B949" s="111">
        <f t="shared" si="14"/>
        <v>81</v>
      </c>
      <c r="C949" s="111"/>
      <c r="D949" s="111"/>
      <c r="E949" s="111"/>
    </row>
    <row r="950" spans="1:5" x14ac:dyDescent="0.2">
      <c r="A950" s="113">
        <v>35648</v>
      </c>
      <c r="B950" s="111">
        <f t="shared" si="14"/>
        <v>81</v>
      </c>
      <c r="C950" s="111"/>
      <c r="D950" s="111"/>
      <c r="E950" s="111"/>
    </row>
    <row r="951" spans="1:5" x14ac:dyDescent="0.2">
      <c r="A951" s="113">
        <v>35649</v>
      </c>
      <c r="B951" s="111">
        <f t="shared" si="14"/>
        <v>81</v>
      </c>
      <c r="C951" s="111"/>
      <c r="D951" s="111"/>
      <c r="E951" s="111"/>
    </row>
    <row r="952" spans="1:5" x14ac:dyDescent="0.2">
      <c r="A952" s="113">
        <v>35650</v>
      </c>
      <c r="B952" s="111">
        <f t="shared" si="14"/>
        <v>81</v>
      </c>
      <c r="C952" s="111"/>
      <c r="D952" s="111"/>
      <c r="E952" s="111"/>
    </row>
    <row r="953" spans="1:5" x14ac:dyDescent="0.2">
      <c r="A953" s="113">
        <v>35651</v>
      </c>
      <c r="B953" s="111">
        <f t="shared" si="14"/>
        <v>81</v>
      </c>
      <c r="C953" s="111"/>
      <c r="D953" s="111"/>
      <c r="E953" s="111"/>
    </row>
    <row r="954" spans="1:5" x14ac:dyDescent="0.2">
      <c r="A954" s="113">
        <v>35652</v>
      </c>
      <c r="B954" s="111">
        <f t="shared" si="14"/>
        <v>82</v>
      </c>
      <c r="C954" s="111"/>
      <c r="D954" s="111"/>
      <c r="E954" s="111"/>
    </row>
    <row r="955" spans="1:5" x14ac:dyDescent="0.2">
      <c r="A955" s="113">
        <v>35653</v>
      </c>
      <c r="B955" s="111">
        <f t="shared" si="14"/>
        <v>82</v>
      </c>
      <c r="C955" s="111"/>
      <c r="D955" s="111"/>
      <c r="E955" s="111"/>
    </row>
    <row r="956" spans="1:5" x14ac:dyDescent="0.2">
      <c r="A956" s="113">
        <v>35654</v>
      </c>
      <c r="B956" s="111">
        <f t="shared" si="14"/>
        <v>82</v>
      </c>
      <c r="C956" s="111"/>
      <c r="D956" s="111"/>
      <c r="E956" s="111"/>
    </row>
    <row r="957" spans="1:5" x14ac:dyDescent="0.2">
      <c r="A957" s="113">
        <v>35655</v>
      </c>
      <c r="B957" s="111">
        <f t="shared" si="14"/>
        <v>82</v>
      </c>
      <c r="C957" s="111"/>
      <c r="D957" s="111"/>
      <c r="E957" s="111"/>
    </row>
    <row r="958" spans="1:5" x14ac:dyDescent="0.2">
      <c r="A958" s="113">
        <v>35656</v>
      </c>
      <c r="B958" s="111">
        <f t="shared" si="14"/>
        <v>82</v>
      </c>
      <c r="C958" s="111"/>
      <c r="D958" s="111"/>
      <c r="E958" s="111"/>
    </row>
    <row r="959" spans="1:5" x14ac:dyDescent="0.2">
      <c r="A959" s="113">
        <v>35657</v>
      </c>
      <c r="B959" s="111">
        <f t="shared" si="14"/>
        <v>82</v>
      </c>
      <c r="C959" s="111"/>
      <c r="D959" s="111"/>
      <c r="E959" s="111"/>
    </row>
    <row r="960" spans="1:5" x14ac:dyDescent="0.2">
      <c r="A960" s="113">
        <v>35658</v>
      </c>
      <c r="B960" s="111">
        <f t="shared" si="14"/>
        <v>82</v>
      </c>
      <c r="C960" s="111"/>
      <c r="D960" s="111"/>
      <c r="E960" s="111"/>
    </row>
    <row r="961" spans="1:5" x14ac:dyDescent="0.2">
      <c r="A961" s="113">
        <v>35659</v>
      </c>
      <c r="B961" s="111">
        <f t="shared" si="14"/>
        <v>83</v>
      </c>
      <c r="C961" s="111"/>
      <c r="D961" s="111"/>
      <c r="E961" s="111"/>
    </row>
    <row r="962" spans="1:5" x14ac:dyDescent="0.2">
      <c r="A962" s="113">
        <v>35660</v>
      </c>
      <c r="B962" s="111">
        <f t="shared" ref="B962:B1025" si="15">VLOOKUP(WEEKNUM(A962),$D$3:$E$58,2)</f>
        <v>83</v>
      </c>
      <c r="C962" s="111"/>
      <c r="D962" s="111"/>
      <c r="E962" s="111"/>
    </row>
    <row r="963" spans="1:5" x14ac:dyDescent="0.2">
      <c r="A963" s="113">
        <v>35661</v>
      </c>
      <c r="B963" s="111">
        <f t="shared" si="15"/>
        <v>83</v>
      </c>
      <c r="C963" s="111"/>
      <c r="D963" s="111"/>
      <c r="E963" s="111"/>
    </row>
    <row r="964" spans="1:5" x14ac:dyDescent="0.2">
      <c r="A964" s="113">
        <v>35662</v>
      </c>
      <c r="B964" s="111">
        <f t="shared" si="15"/>
        <v>83</v>
      </c>
      <c r="C964" s="111"/>
      <c r="D964" s="111"/>
      <c r="E964" s="111"/>
    </row>
    <row r="965" spans="1:5" x14ac:dyDescent="0.2">
      <c r="A965" s="113">
        <v>35663</v>
      </c>
      <c r="B965" s="111">
        <f t="shared" si="15"/>
        <v>83</v>
      </c>
      <c r="C965" s="111"/>
      <c r="D965" s="111"/>
      <c r="E965" s="111"/>
    </row>
    <row r="966" spans="1:5" x14ac:dyDescent="0.2">
      <c r="A966" s="113">
        <v>35664</v>
      </c>
      <c r="B966" s="111">
        <f t="shared" si="15"/>
        <v>83</v>
      </c>
      <c r="C966" s="111"/>
      <c r="D966" s="111"/>
      <c r="E966" s="111"/>
    </row>
    <row r="967" spans="1:5" x14ac:dyDescent="0.2">
      <c r="A967" s="113">
        <v>35665</v>
      </c>
      <c r="B967" s="111">
        <f t="shared" si="15"/>
        <v>83</v>
      </c>
      <c r="C967" s="111"/>
      <c r="D967" s="111"/>
      <c r="E967" s="111"/>
    </row>
    <row r="968" spans="1:5" x14ac:dyDescent="0.2">
      <c r="A968" s="113">
        <v>35666</v>
      </c>
      <c r="B968" s="111">
        <f t="shared" si="15"/>
        <v>84</v>
      </c>
      <c r="C968" s="111"/>
      <c r="D968" s="111"/>
      <c r="E968" s="111"/>
    </row>
    <row r="969" spans="1:5" x14ac:dyDescent="0.2">
      <c r="A969" s="113">
        <v>35667</v>
      </c>
      <c r="B969" s="111">
        <f t="shared" si="15"/>
        <v>84</v>
      </c>
      <c r="C969" s="111"/>
      <c r="D969" s="111"/>
      <c r="E969" s="111"/>
    </row>
    <row r="970" spans="1:5" x14ac:dyDescent="0.2">
      <c r="A970" s="113">
        <v>35668</v>
      </c>
      <c r="B970" s="111">
        <f t="shared" si="15"/>
        <v>84</v>
      </c>
      <c r="C970" s="111"/>
      <c r="D970" s="111"/>
      <c r="E970" s="111"/>
    </row>
    <row r="971" spans="1:5" x14ac:dyDescent="0.2">
      <c r="A971" s="113">
        <v>35669</v>
      </c>
      <c r="B971" s="111">
        <f t="shared" si="15"/>
        <v>84</v>
      </c>
      <c r="C971" s="111"/>
      <c r="D971" s="111"/>
      <c r="E971" s="111"/>
    </row>
    <row r="972" spans="1:5" x14ac:dyDescent="0.2">
      <c r="A972" s="113">
        <v>35670</v>
      </c>
      <c r="B972" s="111">
        <f t="shared" si="15"/>
        <v>84</v>
      </c>
      <c r="C972" s="111"/>
      <c r="D972" s="111"/>
      <c r="E972" s="111"/>
    </row>
    <row r="973" spans="1:5" x14ac:dyDescent="0.2">
      <c r="A973" s="113">
        <v>35671</v>
      </c>
      <c r="B973" s="111">
        <f t="shared" si="15"/>
        <v>84</v>
      </c>
      <c r="C973" s="111"/>
      <c r="D973" s="111"/>
      <c r="E973" s="111"/>
    </row>
    <row r="974" spans="1:5" x14ac:dyDescent="0.2">
      <c r="A974" s="113">
        <v>35672</v>
      </c>
      <c r="B974" s="111">
        <f t="shared" si="15"/>
        <v>84</v>
      </c>
      <c r="C974" s="111"/>
      <c r="D974" s="111"/>
      <c r="E974" s="111"/>
    </row>
    <row r="975" spans="1:5" x14ac:dyDescent="0.2">
      <c r="A975" s="113">
        <v>35673</v>
      </c>
      <c r="B975" s="111">
        <f t="shared" si="15"/>
        <v>91</v>
      </c>
      <c r="C975" s="111"/>
      <c r="D975" s="111"/>
      <c r="E975" s="111"/>
    </row>
    <row r="976" spans="1:5" x14ac:dyDescent="0.2">
      <c r="A976" s="113">
        <v>35674</v>
      </c>
      <c r="B976" s="111">
        <f t="shared" si="15"/>
        <v>91</v>
      </c>
      <c r="C976" s="111"/>
      <c r="D976" s="111"/>
      <c r="E976" s="111"/>
    </row>
    <row r="977" spans="1:5" x14ac:dyDescent="0.2">
      <c r="A977" s="113">
        <v>35675</v>
      </c>
      <c r="B977" s="111">
        <f t="shared" si="15"/>
        <v>91</v>
      </c>
      <c r="C977" s="111"/>
      <c r="D977" s="111"/>
      <c r="E977" s="111"/>
    </row>
    <row r="978" spans="1:5" x14ac:dyDescent="0.2">
      <c r="A978" s="113">
        <v>35676</v>
      </c>
      <c r="B978" s="111">
        <f t="shared" si="15"/>
        <v>91</v>
      </c>
      <c r="C978" s="111"/>
      <c r="D978" s="111"/>
      <c r="E978" s="111"/>
    </row>
    <row r="979" spans="1:5" x14ac:dyDescent="0.2">
      <c r="A979" s="113">
        <v>35677</v>
      </c>
      <c r="B979" s="111">
        <f t="shared" si="15"/>
        <v>91</v>
      </c>
      <c r="C979" s="111"/>
      <c r="D979" s="111"/>
      <c r="E979" s="111"/>
    </row>
    <row r="980" spans="1:5" x14ac:dyDescent="0.2">
      <c r="A980" s="113">
        <v>35678</v>
      </c>
      <c r="B980" s="111">
        <f t="shared" si="15"/>
        <v>91</v>
      </c>
      <c r="C980" s="111"/>
      <c r="D980" s="111"/>
      <c r="E980" s="111"/>
    </row>
    <row r="981" spans="1:5" x14ac:dyDescent="0.2">
      <c r="A981" s="113">
        <v>35679</v>
      </c>
      <c r="B981" s="111">
        <f t="shared" si="15"/>
        <v>91</v>
      </c>
      <c r="C981" s="111"/>
      <c r="D981" s="111"/>
      <c r="E981" s="111"/>
    </row>
    <row r="982" spans="1:5" x14ac:dyDescent="0.2">
      <c r="A982" s="113">
        <v>35680</v>
      </c>
      <c r="B982" s="111">
        <f t="shared" si="15"/>
        <v>92</v>
      </c>
      <c r="C982" s="111"/>
      <c r="D982" s="111"/>
      <c r="E982" s="111"/>
    </row>
    <row r="983" spans="1:5" x14ac:dyDescent="0.2">
      <c r="A983" s="113">
        <v>35681</v>
      </c>
      <c r="B983" s="111">
        <f t="shared" si="15"/>
        <v>92</v>
      </c>
      <c r="C983" s="111"/>
      <c r="D983" s="111"/>
      <c r="E983" s="111"/>
    </row>
    <row r="984" spans="1:5" x14ac:dyDescent="0.2">
      <c r="A984" s="113">
        <v>35682</v>
      </c>
      <c r="B984" s="111">
        <f t="shared" si="15"/>
        <v>92</v>
      </c>
      <c r="C984" s="111"/>
      <c r="D984" s="111"/>
      <c r="E984" s="111"/>
    </row>
    <row r="985" spans="1:5" x14ac:dyDescent="0.2">
      <c r="A985" s="113">
        <v>35683</v>
      </c>
      <c r="B985" s="111">
        <f t="shared" si="15"/>
        <v>92</v>
      </c>
      <c r="C985" s="111"/>
      <c r="D985" s="111"/>
      <c r="E985" s="111"/>
    </row>
    <row r="986" spans="1:5" x14ac:dyDescent="0.2">
      <c r="A986" s="113">
        <v>35684</v>
      </c>
      <c r="B986" s="111">
        <f t="shared" si="15"/>
        <v>92</v>
      </c>
      <c r="C986" s="111"/>
      <c r="D986" s="111"/>
      <c r="E986" s="111"/>
    </row>
    <row r="987" spans="1:5" x14ac:dyDescent="0.2">
      <c r="A987" s="113">
        <v>35685</v>
      </c>
      <c r="B987" s="111">
        <f t="shared" si="15"/>
        <v>92</v>
      </c>
      <c r="C987" s="111"/>
      <c r="D987" s="111"/>
      <c r="E987" s="111"/>
    </row>
    <row r="988" spans="1:5" x14ac:dyDescent="0.2">
      <c r="A988" s="113">
        <v>35686</v>
      </c>
      <c r="B988" s="111">
        <f t="shared" si="15"/>
        <v>92</v>
      </c>
      <c r="C988" s="111"/>
      <c r="D988" s="111"/>
      <c r="E988" s="111"/>
    </row>
    <row r="989" spans="1:5" x14ac:dyDescent="0.2">
      <c r="A989" s="113">
        <v>35687</v>
      </c>
      <c r="B989" s="111">
        <f t="shared" si="15"/>
        <v>93</v>
      </c>
      <c r="C989" s="111"/>
      <c r="D989" s="111"/>
      <c r="E989" s="111"/>
    </row>
    <row r="990" spans="1:5" x14ac:dyDescent="0.2">
      <c r="A990" s="113">
        <v>35688</v>
      </c>
      <c r="B990" s="111">
        <f t="shared" si="15"/>
        <v>93</v>
      </c>
      <c r="C990" s="111"/>
      <c r="D990" s="111"/>
      <c r="E990" s="111"/>
    </row>
    <row r="991" spans="1:5" x14ac:dyDescent="0.2">
      <c r="A991" s="113">
        <v>35689</v>
      </c>
      <c r="B991" s="111">
        <f t="shared" si="15"/>
        <v>93</v>
      </c>
      <c r="C991" s="111"/>
      <c r="D991" s="111"/>
      <c r="E991" s="111"/>
    </row>
    <row r="992" spans="1:5" x14ac:dyDescent="0.2">
      <c r="A992" s="113">
        <v>35690</v>
      </c>
      <c r="B992" s="111">
        <f t="shared" si="15"/>
        <v>93</v>
      </c>
      <c r="C992" s="111"/>
      <c r="D992" s="111"/>
      <c r="E992" s="111"/>
    </row>
    <row r="993" spans="1:5" x14ac:dyDescent="0.2">
      <c r="A993" s="113">
        <v>35691</v>
      </c>
      <c r="B993" s="111">
        <f t="shared" si="15"/>
        <v>93</v>
      </c>
      <c r="C993" s="111"/>
      <c r="D993" s="111"/>
      <c r="E993" s="111"/>
    </row>
    <row r="994" spans="1:5" x14ac:dyDescent="0.2">
      <c r="A994" s="113">
        <v>35692</v>
      </c>
      <c r="B994" s="111">
        <f t="shared" si="15"/>
        <v>93</v>
      </c>
      <c r="C994" s="111"/>
      <c r="D994" s="111"/>
      <c r="E994" s="111"/>
    </row>
    <row r="995" spans="1:5" x14ac:dyDescent="0.2">
      <c r="A995" s="113">
        <v>35693</v>
      </c>
      <c r="B995" s="111">
        <f t="shared" si="15"/>
        <v>93</v>
      </c>
      <c r="C995" s="111"/>
      <c r="D995" s="111"/>
      <c r="E995" s="111"/>
    </row>
    <row r="996" spans="1:5" x14ac:dyDescent="0.2">
      <c r="A996" s="113">
        <v>35694</v>
      </c>
      <c r="B996" s="111">
        <f t="shared" si="15"/>
        <v>94</v>
      </c>
      <c r="C996" s="111"/>
      <c r="D996" s="111"/>
      <c r="E996" s="111"/>
    </row>
    <row r="997" spans="1:5" x14ac:dyDescent="0.2">
      <c r="A997" s="113">
        <v>35695</v>
      </c>
      <c r="B997" s="111">
        <f t="shared" si="15"/>
        <v>94</v>
      </c>
      <c r="C997" s="111"/>
      <c r="D997" s="111"/>
      <c r="E997" s="111"/>
    </row>
    <row r="998" spans="1:5" x14ac:dyDescent="0.2">
      <c r="A998" s="113">
        <v>35696</v>
      </c>
      <c r="B998" s="111">
        <f t="shared" si="15"/>
        <v>94</v>
      </c>
      <c r="C998" s="111"/>
      <c r="D998" s="111"/>
      <c r="E998" s="111"/>
    </row>
    <row r="999" spans="1:5" x14ac:dyDescent="0.2">
      <c r="A999" s="113">
        <v>35697</v>
      </c>
      <c r="B999" s="111">
        <f t="shared" si="15"/>
        <v>94</v>
      </c>
      <c r="C999" s="111"/>
      <c r="D999" s="111"/>
      <c r="E999" s="111"/>
    </row>
    <row r="1000" spans="1:5" x14ac:dyDescent="0.2">
      <c r="A1000" s="113">
        <v>35698</v>
      </c>
      <c r="B1000" s="111">
        <f t="shared" si="15"/>
        <v>94</v>
      </c>
      <c r="C1000" s="111"/>
      <c r="D1000" s="111"/>
      <c r="E1000" s="111"/>
    </row>
    <row r="1001" spans="1:5" x14ac:dyDescent="0.2">
      <c r="A1001" s="113">
        <v>35699</v>
      </c>
      <c r="B1001" s="111">
        <f t="shared" si="15"/>
        <v>94</v>
      </c>
      <c r="C1001" s="111"/>
      <c r="D1001" s="111"/>
      <c r="E1001" s="111"/>
    </row>
    <row r="1002" spans="1:5" x14ac:dyDescent="0.2">
      <c r="A1002" s="113">
        <v>35700</v>
      </c>
      <c r="B1002" s="111">
        <f t="shared" si="15"/>
        <v>94</v>
      </c>
      <c r="C1002" s="111"/>
      <c r="D1002" s="111"/>
      <c r="E1002" s="111"/>
    </row>
    <row r="1003" spans="1:5" x14ac:dyDescent="0.2">
      <c r="A1003" s="113">
        <v>35701</v>
      </c>
      <c r="B1003" s="111">
        <f t="shared" si="15"/>
        <v>101</v>
      </c>
      <c r="C1003" s="111"/>
      <c r="D1003" s="111"/>
      <c r="E1003" s="111"/>
    </row>
    <row r="1004" spans="1:5" x14ac:dyDescent="0.2">
      <c r="A1004" s="113">
        <v>35702</v>
      </c>
      <c r="B1004" s="111">
        <f t="shared" si="15"/>
        <v>101</v>
      </c>
      <c r="C1004" s="111"/>
      <c r="D1004" s="111"/>
      <c r="E1004" s="111"/>
    </row>
    <row r="1005" spans="1:5" x14ac:dyDescent="0.2">
      <c r="A1005" s="113">
        <v>35703</v>
      </c>
      <c r="B1005" s="111">
        <f t="shared" si="15"/>
        <v>101</v>
      </c>
      <c r="C1005" s="111"/>
      <c r="D1005" s="111"/>
      <c r="E1005" s="111"/>
    </row>
    <row r="1006" spans="1:5" x14ac:dyDescent="0.2">
      <c r="A1006" s="113">
        <v>35704</v>
      </c>
      <c r="B1006" s="111">
        <f t="shared" si="15"/>
        <v>101</v>
      </c>
      <c r="C1006" s="111"/>
      <c r="D1006" s="111"/>
      <c r="E1006" s="111"/>
    </row>
    <row r="1007" spans="1:5" x14ac:dyDescent="0.2">
      <c r="A1007" s="113">
        <v>35705</v>
      </c>
      <c r="B1007" s="111">
        <f t="shared" si="15"/>
        <v>101</v>
      </c>
      <c r="C1007" s="111"/>
      <c r="D1007" s="111"/>
      <c r="E1007" s="111"/>
    </row>
    <row r="1008" spans="1:5" x14ac:dyDescent="0.2">
      <c r="A1008" s="113">
        <v>35706</v>
      </c>
      <c r="B1008" s="111">
        <f t="shared" si="15"/>
        <v>101</v>
      </c>
      <c r="C1008" s="111"/>
      <c r="D1008" s="111"/>
      <c r="E1008" s="111"/>
    </row>
    <row r="1009" spans="1:5" x14ac:dyDescent="0.2">
      <c r="A1009" s="113">
        <v>35707</v>
      </c>
      <c r="B1009" s="111">
        <f t="shared" si="15"/>
        <v>101</v>
      </c>
      <c r="C1009" s="111"/>
      <c r="D1009" s="111"/>
      <c r="E1009" s="111"/>
    </row>
    <row r="1010" spans="1:5" x14ac:dyDescent="0.2">
      <c r="A1010" s="113">
        <v>35708</v>
      </c>
      <c r="B1010" s="111">
        <f t="shared" si="15"/>
        <v>102</v>
      </c>
      <c r="C1010" s="111"/>
      <c r="D1010" s="111"/>
      <c r="E1010" s="111"/>
    </row>
    <row r="1011" spans="1:5" x14ac:dyDescent="0.2">
      <c r="A1011" s="113">
        <v>35709</v>
      </c>
      <c r="B1011" s="111">
        <f t="shared" si="15"/>
        <v>102</v>
      </c>
      <c r="C1011" s="111"/>
      <c r="D1011" s="111"/>
      <c r="E1011" s="111"/>
    </row>
    <row r="1012" spans="1:5" x14ac:dyDescent="0.2">
      <c r="A1012" s="113">
        <v>35710</v>
      </c>
      <c r="B1012" s="111">
        <f t="shared" si="15"/>
        <v>102</v>
      </c>
      <c r="C1012" s="111"/>
      <c r="D1012" s="111"/>
      <c r="E1012" s="111"/>
    </row>
    <row r="1013" spans="1:5" x14ac:dyDescent="0.2">
      <c r="A1013" s="113">
        <v>35711</v>
      </c>
      <c r="B1013" s="111">
        <f t="shared" si="15"/>
        <v>102</v>
      </c>
      <c r="C1013" s="111"/>
      <c r="D1013" s="111"/>
      <c r="E1013" s="111"/>
    </row>
    <row r="1014" spans="1:5" x14ac:dyDescent="0.2">
      <c r="A1014" s="113">
        <v>35712</v>
      </c>
      <c r="B1014" s="111">
        <f t="shared" si="15"/>
        <v>102</v>
      </c>
      <c r="C1014" s="111"/>
      <c r="D1014" s="111"/>
      <c r="E1014" s="111"/>
    </row>
    <row r="1015" spans="1:5" x14ac:dyDescent="0.2">
      <c r="A1015" s="113">
        <v>35713</v>
      </c>
      <c r="B1015" s="111">
        <f t="shared" si="15"/>
        <v>102</v>
      </c>
      <c r="C1015" s="111"/>
      <c r="D1015" s="111"/>
      <c r="E1015" s="111"/>
    </row>
    <row r="1016" spans="1:5" x14ac:dyDescent="0.2">
      <c r="A1016" s="113">
        <v>35714</v>
      </c>
      <c r="B1016" s="111">
        <f t="shared" si="15"/>
        <v>102</v>
      </c>
      <c r="C1016" s="111"/>
      <c r="D1016" s="111"/>
      <c r="E1016" s="111"/>
    </row>
    <row r="1017" spans="1:5" x14ac:dyDescent="0.2">
      <c r="A1017" s="113">
        <v>35715</v>
      </c>
      <c r="B1017" s="111">
        <f t="shared" si="15"/>
        <v>103</v>
      </c>
      <c r="C1017" s="111"/>
      <c r="D1017" s="111"/>
      <c r="E1017" s="111"/>
    </row>
    <row r="1018" spans="1:5" x14ac:dyDescent="0.2">
      <c r="A1018" s="113">
        <v>35716</v>
      </c>
      <c r="B1018" s="111">
        <f t="shared" si="15"/>
        <v>103</v>
      </c>
      <c r="C1018" s="111"/>
      <c r="D1018" s="111"/>
      <c r="E1018" s="111"/>
    </row>
    <row r="1019" spans="1:5" x14ac:dyDescent="0.2">
      <c r="A1019" s="113">
        <v>35717</v>
      </c>
      <c r="B1019" s="111">
        <f t="shared" si="15"/>
        <v>103</v>
      </c>
      <c r="C1019" s="111"/>
      <c r="D1019" s="111"/>
      <c r="E1019" s="111"/>
    </row>
    <row r="1020" spans="1:5" x14ac:dyDescent="0.2">
      <c r="A1020" s="113">
        <v>35718</v>
      </c>
      <c r="B1020" s="111">
        <f t="shared" si="15"/>
        <v>103</v>
      </c>
      <c r="C1020" s="111"/>
      <c r="D1020" s="111"/>
      <c r="E1020" s="111"/>
    </row>
    <row r="1021" spans="1:5" x14ac:dyDescent="0.2">
      <c r="A1021" s="113">
        <v>35719</v>
      </c>
      <c r="B1021" s="111">
        <f t="shared" si="15"/>
        <v>103</v>
      </c>
      <c r="C1021" s="111"/>
      <c r="D1021" s="111"/>
      <c r="E1021" s="111"/>
    </row>
    <row r="1022" spans="1:5" x14ac:dyDescent="0.2">
      <c r="A1022" s="113">
        <v>35720</v>
      </c>
      <c r="B1022" s="111">
        <f t="shared" si="15"/>
        <v>103</v>
      </c>
      <c r="C1022" s="111"/>
      <c r="D1022" s="111"/>
      <c r="E1022" s="111"/>
    </row>
    <row r="1023" spans="1:5" x14ac:dyDescent="0.2">
      <c r="A1023" s="113">
        <v>35721</v>
      </c>
      <c r="B1023" s="111">
        <f t="shared" si="15"/>
        <v>103</v>
      </c>
      <c r="C1023" s="111"/>
      <c r="D1023" s="111"/>
      <c r="E1023" s="111"/>
    </row>
    <row r="1024" spans="1:5" x14ac:dyDescent="0.2">
      <c r="A1024" s="113">
        <v>35722</v>
      </c>
      <c r="B1024" s="111">
        <f t="shared" si="15"/>
        <v>104</v>
      </c>
      <c r="C1024" s="111"/>
      <c r="D1024" s="111"/>
      <c r="E1024" s="111"/>
    </row>
    <row r="1025" spans="1:5" x14ac:dyDescent="0.2">
      <c r="A1025" s="113">
        <v>35723</v>
      </c>
      <c r="B1025" s="111">
        <f t="shared" si="15"/>
        <v>104</v>
      </c>
      <c r="C1025" s="111"/>
      <c r="D1025" s="111"/>
      <c r="E1025" s="111"/>
    </row>
    <row r="1026" spans="1:5" x14ac:dyDescent="0.2">
      <c r="A1026" s="113">
        <v>35724</v>
      </c>
      <c r="B1026" s="111">
        <f t="shared" ref="B1026:B1089" si="16">VLOOKUP(WEEKNUM(A1026),$D$3:$E$58,2)</f>
        <v>104</v>
      </c>
      <c r="C1026" s="111"/>
      <c r="D1026" s="111"/>
      <c r="E1026" s="111"/>
    </row>
    <row r="1027" spans="1:5" x14ac:dyDescent="0.2">
      <c r="A1027" s="113">
        <v>35725</v>
      </c>
      <c r="B1027" s="111">
        <f t="shared" si="16"/>
        <v>104</v>
      </c>
      <c r="C1027" s="111"/>
      <c r="D1027" s="111"/>
      <c r="E1027" s="111"/>
    </row>
    <row r="1028" spans="1:5" x14ac:dyDescent="0.2">
      <c r="A1028" s="113">
        <v>35726</v>
      </c>
      <c r="B1028" s="111">
        <f t="shared" si="16"/>
        <v>104</v>
      </c>
      <c r="C1028" s="111"/>
      <c r="D1028" s="111"/>
      <c r="E1028" s="111"/>
    </row>
    <row r="1029" spans="1:5" x14ac:dyDescent="0.2">
      <c r="A1029" s="113">
        <v>35727</v>
      </c>
      <c r="B1029" s="111">
        <f t="shared" si="16"/>
        <v>104</v>
      </c>
      <c r="C1029" s="111"/>
      <c r="D1029" s="111"/>
      <c r="E1029" s="111"/>
    </row>
    <row r="1030" spans="1:5" x14ac:dyDescent="0.2">
      <c r="A1030" s="113">
        <v>35728</v>
      </c>
      <c r="B1030" s="111">
        <f t="shared" si="16"/>
        <v>104</v>
      </c>
      <c r="C1030" s="111"/>
      <c r="D1030" s="111"/>
      <c r="E1030" s="111"/>
    </row>
    <row r="1031" spans="1:5" x14ac:dyDescent="0.2">
      <c r="A1031" s="113">
        <v>35729</v>
      </c>
      <c r="B1031" s="111">
        <f t="shared" si="16"/>
        <v>105</v>
      </c>
      <c r="C1031" s="111"/>
      <c r="D1031" s="111"/>
      <c r="E1031" s="111"/>
    </row>
    <row r="1032" spans="1:5" x14ac:dyDescent="0.2">
      <c r="A1032" s="113">
        <v>35730</v>
      </c>
      <c r="B1032" s="111">
        <f t="shared" si="16"/>
        <v>105</v>
      </c>
      <c r="C1032" s="111"/>
      <c r="D1032" s="111"/>
      <c r="E1032" s="111"/>
    </row>
    <row r="1033" spans="1:5" x14ac:dyDescent="0.2">
      <c r="A1033" s="113">
        <v>35731</v>
      </c>
      <c r="B1033" s="111">
        <f t="shared" si="16"/>
        <v>105</v>
      </c>
      <c r="C1033" s="111"/>
      <c r="D1033" s="111"/>
      <c r="E1033" s="111"/>
    </row>
    <row r="1034" spans="1:5" x14ac:dyDescent="0.2">
      <c r="A1034" s="113">
        <v>35732</v>
      </c>
      <c r="B1034" s="111">
        <f t="shared" si="16"/>
        <v>105</v>
      </c>
      <c r="C1034" s="111"/>
      <c r="D1034" s="111"/>
      <c r="E1034" s="111"/>
    </row>
    <row r="1035" spans="1:5" x14ac:dyDescent="0.2">
      <c r="A1035" s="113">
        <v>35733</v>
      </c>
      <c r="B1035" s="111">
        <f t="shared" si="16"/>
        <v>105</v>
      </c>
      <c r="C1035" s="111"/>
      <c r="D1035" s="111"/>
      <c r="E1035" s="111"/>
    </row>
    <row r="1036" spans="1:5" x14ac:dyDescent="0.2">
      <c r="A1036" s="113">
        <v>35734</v>
      </c>
      <c r="B1036" s="111">
        <f t="shared" si="16"/>
        <v>105</v>
      </c>
      <c r="C1036" s="111"/>
      <c r="D1036" s="111"/>
      <c r="E1036" s="111"/>
    </row>
    <row r="1037" spans="1:5" x14ac:dyDescent="0.2">
      <c r="A1037" s="113">
        <v>35735</v>
      </c>
      <c r="B1037" s="111">
        <f t="shared" si="16"/>
        <v>105</v>
      </c>
      <c r="C1037" s="111"/>
      <c r="D1037" s="111"/>
      <c r="E1037" s="111"/>
    </row>
    <row r="1038" spans="1:5" x14ac:dyDescent="0.2">
      <c r="A1038" s="113">
        <v>35736</v>
      </c>
      <c r="B1038" s="111">
        <f t="shared" si="16"/>
        <v>111</v>
      </c>
      <c r="C1038" s="111"/>
      <c r="D1038" s="111"/>
      <c r="E1038" s="111"/>
    </row>
    <row r="1039" spans="1:5" x14ac:dyDescent="0.2">
      <c r="A1039" s="113">
        <v>35737</v>
      </c>
      <c r="B1039" s="111">
        <f t="shared" si="16"/>
        <v>111</v>
      </c>
      <c r="C1039" s="111"/>
      <c r="D1039" s="111"/>
      <c r="E1039" s="111"/>
    </row>
    <row r="1040" spans="1:5" x14ac:dyDescent="0.2">
      <c r="A1040" s="113">
        <v>35738</v>
      </c>
      <c r="B1040" s="111">
        <f t="shared" si="16"/>
        <v>111</v>
      </c>
      <c r="C1040" s="111"/>
      <c r="D1040" s="111"/>
      <c r="E1040" s="111"/>
    </row>
    <row r="1041" spans="1:5" x14ac:dyDescent="0.2">
      <c r="A1041" s="113">
        <v>35739</v>
      </c>
      <c r="B1041" s="111">
        <f t="shared" si="16"/>
        <v>111</v>
      </c>
      <c r="C1041" s="111"/>
      <c r="D1041" s="111"/>
      <c r="E1041" s="111"/>
    </row>
    <row r="1042" spans="1:5" x14ac:dyDescent="0.2">
      <c r="A1042" s="113">
        <v>35740</v>
      </c>
      <c r="B1042" s="111">
        <f t="shared" si="16"/>
        <v>111</v>
      </c>
      <c r="C1042" s="111"/>
      <c r="D1042" s="111"/>
      <c r="E1042" s="111"/>
    </row>
    <row r="1043" spans="1:5" x14ac:dyDescent="0.2">
      <c r="A1043" s="113">
        <v>35741</v>
      </c>
      <c r="B1043" s="111">
        <f t="shared" si="16"/>
        <v>111</v>
      </c>
      <c r="C1043" s="111"/>
      <c r="D1043" s="111"/>
      <c r="E1043" s="111"/>
    </row>
    <row r="1044" spans="1:5" x14ac:dyDescent="0.2">
      <c r="A1044" s="113">
        <v>35742</v>
      </c>
      <c r="B1044" s="111">
        <f t="shared" si="16"/>
        <v>111</v>
      </c>
      <c r="C1044" s="111"/>
      <c r="D1044" s="111"/>
      <c r="E1044" s="111"/>
    </row>
    <row r="1045" spans="1:5" x14ac:dyDescent="0.2">
      <c r="A1045" s="113">
        <v>35743</v>
      </c>
      <c r="B1045" s="111">
        <f t="shared" si="16"/>
        <v>112</v>
      </c>
      <c r="C1045" s="111"/>
      <c r="D1045" s="111"/>
      <c r="E1045" s="111"/>
    </row>
    <row r="1046" spans="1:5" x14ac:dyDescent="0.2">
      <c r="A1046" s="113">
        <v>35744</v>
      </c>
      <c r="B1046" s="111">
        <f t="shared" si="16"/>
        <v>112</v>
      </c>
      <c r="C1046" s="111"/>
      <c r="D1046" s="111"/>
      <c r="E1046" s="111"/>
    </row>
    <row r="1047" spans="1:5" x14ac:dyDescent="0.2">
      <c r="A1047" s="113">
        <v>35745</v>
      </c>
      <c r="B1047" s="111">
        <f t="shared" si="16"/>
        <v>112</v>
      </c>
      <c r="C1047" s="111"/>
      <c r="D1047" s="111"/>
      <c r="E1047" s="111"/>
    </row>
    <row r="1048" spans="1:5" x14ac:dyDescent="0.2">
      <c r="A1048" s="113">
        <v>35746</v>
      </c>
      <c r="B1048" s="111">
        <f t="shared" si="16"/>
        <v>112</v>
      </c>
      <c r="C1048" s="111"/>
      <c r="D1048" s="111"/>
      <c r="E1048" s="111"/>
    </row>
    <row r="1049" spans="1:5" x14ac:dyDescent="0.2">
      <c r="A1049" s="113">
        <v>35747</v>
      </c>
      <c r="B1049" s="111">
        <f t="shared" si="16"/>
        <v>112</v>
      </c>
      <c r="C1049" s="111"/>
      <c r="D1049" s="111"/>
      <c r="E1049" s="111"/>
    </row>
    <row r="1050" spans="1:5" x14ac:dyDescent="0.2">
      <c r="A1050" s="113">
        <v>35748</v>
      </c>
      <c r="B1050" s="111">
        <f t="shared" si="16"/>
        <v>112</v>
      </c>
      <c r="C1050" s="111"/>
      <c r="D1050" s="111"/>
      <c r="E1050" s="111"/>
    </row>
    <row r="1051" spans="1:5" x14ac:dyDescent="0.2">
      <c r="A1051" s="113">
        <v>35749</v>
      </c>
      <c r="B1051" s="111">
        <f t="shared" si="16"/>
        <v>112</v>
      </c>
      <c r="C1051" s="111"/>
      <c r="D1051" s="111"/>
      <c r="E1051" s="111"/>
    </row>
    <row r="1052" spans="1:5" x14ac:dyDescent="0.2">
      <c r="A1052" s="113">
        <v>35750</v>
      </c>
      <c r="B1052" s="111">
        <f t="shared" si="16"/>
        <v>113</v>
      </c>
      <c r="C1052" s="111"/>
      <c r="D1052" s="111"/>
      <c r="E1052" s="111"/>
    </row>
    <row r="1053" spans="1:5" x14ac:dyDescent="0.2">
      <c r="A1053" s="113">
        <v>35751</v>
      </c>
      <c r="B1053" s="111">
        <f t="shared" si="16"/>
        <v>113</v>
      </c>
      <c r="C1053" s="111"/>
      <c r="D1053" s="111"/>
      <c r="E1053" s="111"/>
    </row>
    <row r="1054" spans="1:5" x14ac:dyDescent="0.2">
      <c r="A1054" s="113">
        <v>35752</v>
      </c>
      <c r="B1054" s="111">
        <f t="shared" si="16"/>
        <v>113</v>
      </c>
      <c r="C1054" s="111"/>
      <c r="D1054" s="111"/>
      <c r="E1054" s="111"/>
    </row>
    <row r="1055" spans="1:5" x14ac:dyDescent="0.2">
      <c r="A1055" s="113">
        <v>35753</v>
      </c>
      <c r="B1055" s="111">
        <f t="shared" si="16"/>
        <v>113</v>
      </c>
      <c r="C1055" s="111"/>
      <c r="D1055" s="111"/>
      <c r="E1055" s="111"/>
    </row>
    <row r="1056" spans="1:5" x14ac:dyDescent="0.2">
      <c r="A1056" s="113">
        <v>35754</v>
      </c>
      <c r="B1056" s="111">
        <f t="shared" si="16"/>
        <v>113</v>
      </c>
      <c r="C1056" s="111"/>
      <c r="D1056" s="111"/>
      <c r="E1056" s="111"/>
    </row>
    <row r="1057" spans="1:5" x14ac:dyDescent="0.2">
      <c r="A1057" s="113">
        <v>35755</v>
      </c>
      <c r="B1057" s="111">
        <f t="shared" si="16"/>
        <v>113</v>
      </c>
      <c r="C1057" s="111"/>
      <c r="D1057" s="111"/>
      <c r="E1057" s="111"/>
    </row>
    <row r="1058" spans="1:5" x14ac:dyDescent="0.2">
      <c r="A1058" s="113">
        <v>35756</v>
      </c>
      <c r="B1058" s="111">
        <f t="shared" si="16"/>
        <v>113</v>
      </c>
      <c r="C1058" s="111"/>
      <c r="D1058" s="111"/>
      <c r="E1058" s="111"/>
    </row>
    <row r="1059" spans="1:5" x14ac:dyDescent="0.2">
      <c r="A1059" s="113">
        <v>35757</v>
      </c>
      <c r="B1059" s="111">
        <f t="shared" si="16"/>
        <v>114</v>
      </c>
      <c r="C1059" s="111"/>
      <c r="D1059" s="111"/>
      <c r="E1059" s="111"/>
    </row>
    <row r="1060" spans="1:5" x14ac:dyDescent="0.2">
      <c r="A1060" s="113">
        <v>35758</v>
      </c>
      <c r="B1060" s="111">
        <f t="shared" si="16"/>
        <v>114</v>
      </c>
      <c r="C1060" s="111"/>
      <c r="D1060" s="111"/>
      <c r="E1060" s="111"/>
    </row>
    <row r="1061" spans="1:5" x14ac:dyDescent="0.2">
      <c r="A1061" s="113">
        <v>35759</v>
      </c>
      <c r="B1061" s="111">
        <f t="shared" si="16"/>
        <v>114</v>
      </c>
      <c r="C1061" s="111"/>
      <c r="D1061" s="111"/>
      <c r="E1061" s="111"/>
    </row>
    <row r="1062" spans="1:5" x14ac:dyDescent="0.2">
      <c r="A1062" s="113">
        <v>35760</v>
      </c>
      <c r="B1062" s="111">
        <f t="shared" si="16"/>
        <v>114</v>
      </c>
      <c r="C1062" s="111"/>
      <c r="D1062" s="111"/>
      <c r="E1062" s="111"/>
    </row>
    <row r="1063" spans="1:5" x14ac:dyDescent="0.2">
      <c r="A1063" s="113">
        <v>35761</v>
      </c>
      <c r="B1063" s="111">
        <f t="shared" si="16"/>
        <v>114</v>
      </c>
      <c r="C1063" s="111"/>
      <c r="D1063" s="111"/>
      <c r="E1063" s="111"/>
    </row>
    <row r="1064" spans="1:5" x14ac:dyDescent="0.2">
      <c r="A1064" s="113">
        <v>35762</v>
      </c>
      <c r="B1064" s="111">
        <f t="shared" si="16"/>
        <v>114</v>
      </c>
      <c r="C1064" s="111"/>
      <c r="D1064" s="111"/>
      <c r="E1064" s="111"/>
    </row>
    <row r="1065" spans="1:5" x14ac:dyDescent="0.2">
      <c r="A1065" s="113">
        <v>35763</v>
      </c>
      <c r="B1065" s="111">
        <f t="shared" si="16"/>
        <v>114</v>
      </c>
      <c r="C1065" s="111"/>
      <c r="D1065" s="111"/>
      <c r="E1065" s="111"/>
    </row>
    <row r="1066" spans="1:5" x14ac:dyDescent="0.2">
      <c r="A1066" s="113">
        <v>35764</v>
      </c>
      <c r="B1066" s="111">
        <f t="shared" si="16"/>
        <v>115</v>
      </c>
      <c r="C1066" s="111"/>
      <c r="D1066" s="111"/>
      <c r="E1066" s="111"/>
    </row>
    <row r="1067" spans="1:5" x14ac:dyDescent="0.2">
      <c r="A1067" s="113">
        <v>35765</v>
      </c>
      <c r="B1067" s="111">
        <f t="shared" si="16"/>
        <v>115</v>
      </c>
      <c r="C1067" s="111"/>
      <c r="D1067" s="111"/>
      <c r="E1067" s="111"/>
    </row>
    <row r="1068" spans="1:5" x14ac:dyDescent="0.2">
      <c r="A1068" s="113">
        <v>35766</v>
      </c>
      <c r="B1068" s="111">
        <f t="shared" si="16"/>
        <v>115</v>
      </c>
      <c r="C1068" s="111"/>
      <c r="D1068" s="111"/>
      <c r="E1068" s="111"/>
    </row>
    <row r="1069" spans="1:5" x14ac:dyDescent="0.2">
      <c r="A1069" s="113">
        <v>35767</v>
      </c>
      <c r="B1069" s="111">
        <f t="shared" si="16"/>
        <v>115</v>
      </c>
      <c r="C1069" s="111"/>
      <c r="D1069" s="111"/>
      <c r="E1069" s="111"/>
    </row>
    <row r="1070" spans="1:5" x14ac:dyDescent="0.2">
      <c r="A1070" s="113">
        <v>35768</v>
      </c>
      <c r="B1070" s="111">
        <f t="shared" si="16"/>
        <v>115</v>
      </c>
      <c r="C1070" s="111"/>
      <c r="D1070" s="111"/>
      <c r="E1070" s="111"/>
    </row>
    <row r="1071" spans="1:5" x14ac:dyDescent="0.2">
      <c r="A1071" s="113">
        <v>35769</v>
      </c>
      <c r="B1071" s="111">
        <f t="shared" si="16"/>
        <v>115</v>
      </c>
      <c r="C1071" s="111"/>
      <c r="D1071" s="111"/>
      <c r="E1071" s="111"/>
    </row>
    <row r="1072" spans="1:5" x14ac:dyDescent="0.2">
      <c r="A1072" s="113">
        <v>35770</v>
      </c>
      <c r="B1072" s="111">
        <f t="shared" si="16"/>
        <v>115</v>
      </c>
      <c r="C1072" s="111"/>
      <c r="D1072" s="111"/>
      <c r="E1072" s="111"/>
    </row>
    <row r="1073" spans="1:5" x14ac:dyDescent="0.2">
      <c r="A1073" s="113">
        <v>35771</v>
      </c>
      <c r="B1073" s="111">
        <f t="shared" si="16"/>
        <v>121</v>
      </c>
      <c r="C1073" s="111"/>
      <c r="D1073" s="111"/>
      <c r="E1073" s="111"/>
    </row>
    <row r="1074" spans="1:5" x14ac:dyDescent="0.2">
      <c r="A1074" s="113">
        <v>35772</v>
      </c>
      <c r="B1074" s="111">
        <f t="shared" si="16"/>
        <v>121</v>
      </c>
      <c r="C1074" s="111"/>
      <c r="D1074" s="111"/>
      <c r="E1074" s="111"/>
    </row>
    <row r="1075" spans="1:5" x14ac:dyDescent="0.2">
      <c r="A1075" s="113">
        <v>35773</v>
      </c>
      <c r="B1075" s="111">
        <f t="shared" si="16"/>
        <v>121</v>
      </c>
      <c r="C1075" s="111"/>
      <c r="D1075" s="111"/>
      <c r="E1075" s="111"/>
    </row>
    <row r="1076" spans="1:5" x14ac:dyDescent="0.2">
      <c r="A1076" s="113">
        <v>35774</v>
      </c>
      <c r="B1076" s="111">
        <f t="shared" si="16"/>
        <v>121</v>
      </c>
      <c r="C1076" s="111"/>
      <c r="D1076" s="111"/>
      <c r="E1076" s="111"/>
    </row>
    <row r="1077" spans="1:5" x14ac:dyDescent="0.2">
      <c r="A1077" s="113">
        <v>35775</v>
      </c>
      <c r="B1077" s="111">
        <f t="shared" si="16"/>
        <v>121</v>
      </c>
      <c r="C1077" s="111"/>
      <c r="D1077" s="111"/>
      <c r="E1077" s="111"/>
    </row>
    <row r="1078" spans="1:5" x14ac:dyDescent="0.2">
      <c r="A1078" s="113">
        <v>35776</v>
      </c>
      <c r="B1078" s="111">
        <f t="shared" si="16"/>
        <v>121</v>
      </c>
      <c r="C1078" s="111"/>
      <c r="D1078" s="111"/>
      <c r="E1078" s="111"/>
    </row>
    <row r="1079" spans="1:5" x14ac:dyDescent="0.2">
      <c r="A1079" s="113">
        <v>35777</v>
      </c>
      <c r="B1079" s="111">
        <f t="shared" si="16"/>
        <v>121</v>
      </c>
      <c r="C1079" s="111"/>
      <c r="D1079" s="111"/>
      <c r="E1079" s="111"/>
    </row>
    <row r="1080" spans="1:5" x14ac:dyDescent="0.2">
      <c r="A1080" s="113">
        <v>35778</v>
      </c>
      <c r="B1080" s="111">
        <f t="shared" si="16"/>
        <v>122</v>
      </c>
      <c r="C1080" s="111"/>
      <c r="D1080" s="111"/>
      <c r="E1080" s="111"/>
    </row>
    <row r="1081" spans="1:5" x14ac:dyDescent="0.2">
      <c r="A1081" s="113">
        <v>35779</v>
      </c>
      <c r="B1081" s="111">
        <f t="shared" si="16"/>
        <v>122</v>
      </c>
      <c r="C1081" s="111"/>
      <c r="D1081" s="111"/>
      <c r="E1081" s="111"/>
    </row>
    <row r="1082" spans="1:5" x14ac:dyDescent="0.2">
      <c r="A1082" s="113">
        <v>35780</v>
      </c>
      <c r="B1082" s="111">
        <f t="shared" si="16"/>
        <v>122</v>
      </c>
      <c r="C1082" s="111"/>
      <c r="D1082" s="111"/>
      <c r="E1082" s="111"/>
    </row>
    <row r="1083" spans="1:5" x14ac:dyDescent="0.2">
      <c r="A1083" s="113">
        <v>35781</v>
      </c>
      <c r="B1083" s="111">
        <f t="shared" si="16"/>
        <v>122</v>
      </c>
      <c r="C1083" s="111"/>
      <c r="D1083" s="111"/>
      <c r="E1083" s="111"/>
    </row>
    <row r="1084" spans="1:5" x14ac:dyDescent="0.2">
      <c r="A1084" s="113">
        <v>35782</v>
      </c>
      <c r="B1084" s="111">
        <f t="shared" si="16"/>
        <v>122</v>
      </c>
      <c r="C1084" s="111"/>
      <c r="D1084" s="111"/>
      <c r="E1084" s="111"/>
    </row>
    <row r="1085" spans="1:5" x14ac:dyDescent="0.2">
      <c r="A1085" s="113">
        <v>35783</v>
      </c>
      <c r="B1085" s="111">
        <f t="shared" si="16"/>
        <v>122</v>
      </c>
      <c r="C1085" s="111"/>
      <c r="D1085" s="111"/>
      <c r="E1085" s="111"/>
    </row>
    <row r="1086" spans="1:5" x14ac:dyDescent="0.2">
      <c r="A1086" s="113">
        <v>35784</v>
      </c>
      <c r="B1086" s="111">
        <f t="shared" si="16"/>
        <v>122</v>
      </c>
      <c r="C1086" s="111"/>
      <c r="D1086" s="111"/>
      <c r="E1086" s="111"/>
    </row>
    <row r="1087" spans="1:5" x14ac:dyDescent="0.2">
      <c r="A1087" s="113">
        <v>35785</v>
      </c>
      <c r="B1087" s="111">
        <f t="shared" si="16"/>
        <v>123</v>
      </c>
      <c r="C1087" s="111"/>
      <c r="D1087" s="111"/>
      <c r="E1087" s="111"/>
    </row>
    <row r="1088" spans="1:5" x14ac:dyDescent="0.2">
      <c r="A1088" s="113">
        <v>35786</v>
      </c>
      <c r="B1088" s="111">
        <f t="shared" si="16"/>
        <v>123</v>
      </c>
      <c r="C1088" s="111"/>
      <c r="D1088" s="111"/>
      <c r="E1088" s="111"/>
    </row>
    <row r="1089" spans="1:5" x14ac:dyDescent="0.2">
      <c r="A1089" s="113">
        <v>35787</v>
      </c>
      <c r="B1089" s="111">
        <f t="shared" si="16"/>
        <v>123</v>
      </c>
      <c r="C1089" s="111"/>
      <c r="D1089" s="111"/>
      <c r="E1089" s="111"/>
    </row>
    <row r="1090" spans="1:5" x14ac:dyDescent="0.2">
      <c r="A1090" s="113">
        <v>35788</v>
      </c>
      <c r="B1090" s="111">
        <f t="shared" ref="B1090:B1153" si="17">VLOOKUP(WEEKNUM(A1090),$D$3:$E$58,2)</f>
        <v>123</v>
      </c>
      <c r="C1090" s="111"/>
      <c r="D1090" s="111"/>
      <c r="E1090" s="111"/>
    </row>
    <row r="1091" spans="1:5" x14ac:dyDescent="0.2">
      <c r="A1091" s="113">
        <v>35789</v>
      </c>
      <c r="B1091" s="111">
        <f t="shared" si="17"/>
        <v>123</v>
      </c>
      <c r="C1091" s="111"/>
      <c r="D1091" s="111"/>
      <c r="E1091" s="111"/>
    </row>
    <row r="1092" spans="1:5" x14ac:dyDescent="0.2">
      <c r="A1092" s="113">
        <v>35790</v>
      </c>
      <c r="B1092" s="111">
        <f t="shared" si="17"/>
        <v>123</v>
      </c>
      <c r="C1092" s="111"/>
      <c r="D1092" s="111"/>
      <c r="E1092" s="111"/>
    </row>
    <row r="1093" spans="1:5" x14ac:dyDescent="0.2">
      <c r="A1093" s="113">
        <v>35791</v>
      </c>
      <c r="B1093" s="111">
        <f t="shared" si="17"/>
        <v>123</v>
      </c>
      <c r="C1093" s="111"/>
      <c r="D1093" s="111"/>
      <c r="E1093" s="111"/>
    </row>
    <row r="1094" spans="1:5" x14ac:dyDescent="0.2">
      <c r="A1094" s="113">
        <v>35792</v>
      </c>
      <c r="B1094" s="111">
        <f t="shared" si="17"/>
        <v>124</v>
      </c>
      <c r="C1094" s="111"/>
      <c r="D1094" s="111"/>
      <c r="E1094" s="111"/>
    </row>
    <row r="1095" spans="1:5" x14ac:dyDescent="0.2">
      <c r="A1095" s="113">
        <v>35793</v>
      </c>
      <c r="B1095" s="111">
        <f t="shared" si="17"/>
        <v>124</v>
      </c>
      <c r="C1095" s="111"/>
      <c r="D1095" s="111"/>
      <c r="E1095" s="111"/>
    </row>
    <row r="1096" spans="1:5" x14ac:dyDescent="0.2">
      <c r="A1096" s="113">
        <v>35794</v>
      </c>
      <c r="B1096" s="111">
        <f t="shared" si="17"/>
        <v>124</v>
      </c>
      <c r="C1096" s="111"/>
      <c r="D1096" s="111"/>
      <c r="E1096" s="111"/>
    </row>
    <row r="1097" spans="1:5" x14ac:dyDescent="0.2">
      <c r="A1097" s="113">
        <v>35795</v>
      </c>
      <c r="B1097" s="111">
        <f t="shared" si="17"/>
        <v>124</v>
      </c>
      <c r="C1097" s="111"/>
      <c r="D1097" s="111"/>
      <c r="E1097" s="111"/>
    </row>
    <row r="1098" spans="1:5" x14ac:dyDescent="0.2">
      <c r="A1098" s="113">
        <v>35796</v>
      </c>
      <c r="B1098" s="111">
        <f t="shared" si="17"/>
        <v>11</v>
      </c>
      <c r="C1098" s="111"/>
      <c r="D1098" s="111"/>
      <c r="E1098" s="111"/>
    </row>
    <row r="1099" spans="1:5" x14ac:dyDescent="0.2">
      <c r="A1099" s="113">
        <v>35797</v>
      </c>
      <c r="B1099" s="111">
        <f t="shared" si="17"/>
        <v>11</v>
      </c>
      <c r="C1099" s="111"/>
      <c r="D1099" s="111"/>
      <c r="E1099" s="111"/>
    </row>
    <row r="1100" spans="1:5" x14ac:dyDescent="0.2">
      <c r="A1100" s="113">
        <v>35798</v>
      </c>
      <c r="B1100" s="111">
        <f t="shared" si="17"/>
        <v>11</v>
      </c>
      <c r="C1100" s="111"/>
      <c r="D1100" s="111"/>
      <c r="E1100" s="111"/>
    </row>
    <row r="1101" spans="1:5" x14ac:dyDescent="0.2">
      <c r="A1101" s="113">
        <v>35799</v>
      </c>
      <c r="B1101" s="111">
        <f t="shared" si="17"/>
        <v>12</v>
      </c>
      <c r="C1101" s="111"/>
      <c r="D1101" s="111"/>
      <c r="E1101" s="111"/>
    </row>
    <row r="1102" spans="1:5" x14ac:dyDescent="0.2">
      <c r="A1102" s="113">
        <v>35800</v>
      </c>
      <c r="B1102" s="111">
        <f t="shared" si="17"/>
        <v>12</v>
      </c>
      <c r="C1102" s="111"/>
      <c r="D1102" s="111"/>
      <c r="E1102" s="111"/>
    </row>
    <row r="1103" spans="1:5" x14ac:dyDescent="0.2">
      <c r="A1103" s="113">
        <v>35801</v>
      </c>
      <c r="B1103" s="111">
        <f t="shared" si="17"/>
        <v>12</v>
      </c>
      <c r="C1103" s="111"/>
      <c r="D1103" s="111"/>
      <c r="E1103" s="111"/>
    </row>
    <row r="1104" spans="1:5" x14ac:dyDescent="0.2">
      <c r="A1104" s="113">
        <v>35802</v>
      </c>
      <c r="B1104" s="111">
        <f t="shared" si="17"/>
        <v>12</v>
      </c>
      <c r="C1104" s="111"/>
      <c r="D1104" s="111"/>
      <c r="E1104" s="111"/>
    </row>
    <row r="1105" spans="1:5" x14ac:dyDescent="0.2">
      <c r="A1105" s="113">
        <v>35803</v>
      </c>
      <c r="B1105" s="111">
        <f t="shared" si="17"/>
        <v>12</v>
      </c>
      <c r="C1105" s="111"/>
      <c r="D1105" s="111"/>
      <c r="E1105" s="111"/>
    </row>
    <row r="1106" spans="1:5" x14ac:dyDescent="0.2">
      <c r="A1106" s="113">
        <v>35804</v>
      </c>
      <c r="B1106" s="111">
        <f t="shared" si="17"/>
        <v>12</v>
      </c>
      <c r="C1106" s="111"/>
      <c r="D1106" s="111"/>
      <c r="E1106" s="111"/>
    </row>
    <row r="1107" spans="1:5" x14ac:dyDescent="0.2">
      <c r="A1107" s="113">
        <v>35805</v>
      </c>
      <c r="B1107" s="111">
        <f t="shared" si="17"/>
        <v>12</v>
      </c>
      <c r="C1107" s="111"/>
      <c r="D1107" s="111"/>
      <c r="E1107" s="111"/>
    </row>
    <row r="1108" spans="1:5" x14ac:dyDescent="0.2">
      <c r="A1108" s="113">
        <v>35806</v>
      </c>
      <c r="B1108" s="111">
        <f t="shared" si="17"/>
        <v>13</v>
      </c>
      <c r="C1108" s="111"/>
      <c r="D1108" s="111"/>
      <c r="E1108" s="111"/>
    </row>
    <row r="1109" spans="1:5" x14ac:dyDescent="0.2">
      <c r="A1109" s="113">
        <v>35807</v>
      </c>
      <c r="B1109" s="111">
        <f t="shared" si="17"/>
        <v>13</v>
      </c>
      <c r="C1109" s="111"/>
      <c r="D1109" s="111"/>
      <c r="E1109" s="111"/>
    </row>
    <row r="1110" spans="1:5" x14ac:dyDescent="0.2">
      <c r="A1110" s="113">
        <v>35808</v>
      </c>
      <c r="B1110" s="111">
        <f t="shared" si="17"/>
        <v>13</v>
      </c>
      <c r="C1110" s="111"/>
      <c r="D1110" s="111"/>
      <c r="E1110" s="111"/>
    </row>
    <row r="1111" spans="1:5" x14ac:dyDescent="0.2">
      <c r="A1111" s="113">
        <v>35809</v>
      </c>
      <c r="B1111" s="111">
        <f t="shared" si="17"/>
        <v>13</v>
      </c>
      <c r="C1111" s="111"/>
      <c r="D1111" s="111"/>
      <c r="E1111" s="111"/>
    </row>
    <row r="1112" spans="1:5" x14ac:dyDescent="0.2">
      <c r="A1112" s="113">
        <v>35810</v>
      </c>
      <c r="B1112" s="111">
        <f t="shared" si="17"/>
        <v>13</v>
      </c>
      <c r="C1112" s="111"/>
      <c r="D1112" s="111"/>
      <c r="E1112" s="111"/>
    </row>
    <row r="1113" spans="1:5" x14ac:dyDescent="0.2">
      <c r="A1113" s="113">
        <v>35811</v>
      </c>
      <c r="B1113" s="111">
        <f t="shared" si="17"/>
        <v>13</v>
      </c>
      <c r="C1113" s="111"/>
      <c r="D1113" s="111"/>
      <c r="E1113" s="111"/>
    </row>
    <row r="1114" spans="1:5" x14ac:dyDescent="0.2">
      <c r="A1114" s="113">
        <v>35812</v>
      </c>
      <c r="B1114" s="111">
        <f t="shared" si="17"/>
        <v>13</v>
      </c>
      <c r="C1114" s="111"/>
      <c r="D1114" s="111"/>
      <c r="E1114" s="111"/>
    </row>
    <row r="1115" spans="1:5" x14ac:dyDescent="0.2">
      <c r="A1115" s="113">
        <v>35813</v>
      </c>
      <c r="B1115" s="111">
        <f t="shared" si="17"/>
        <v>14</v>
      </c>
      <c r="C1115" s="111"/>
      <c r="D1115" s="111"/>
      <c r="E1115" s="111"/>
    </row>
    <row r="1116" spans="1:5" x14ac:dyDescent="0.2">
      <c r="A1116" s="113">
        <v>35814</v>
      </c>
      <c r="B1116" s="111">
        <f t="shared" si="17"/>
        <v>14</v>
      </c>
      <c r="C1116" s="111"/>
      <c r="D1116" s="111"/>
      <c r="E1116" s="111"/>
    </row>
    <row r="1117" spans="1:5" x14ac:dyDescent="0.2">
      <c r="A1117" s="113">
        <v>35815</v>
      </c>
      <c r="B1117" s="111">
        <f t="shared" si="17"/>
        <v>14</v>
      </c>
      <c r="C1117" s="111"/>
      <c r="D1117" s="111"/>
      <c r="E1117" s="111"/>
    </row>
    <row r="1118" spans="1:5" x14ac:dyDescent="0.2">
      <c r="A1118" s="113">
        <v>35816</v>
      </c>
      <c r="B1118" s="111">
        <f t="shared" si="17"/>
        <v>14</v>
      </c>
      <c r="C1118" s="111"/>
      <c r="D1118" s="111"/>
      <c r="E1118" s="111"/>
    </row>
    <row r="1119" spans="1:5" x14ac:dyDescent="0.2">
      <c r="A1119" s="113">
        <v>35817</v>
      </c>
      <c r="B1119" s="111">
        <f t="shared" si="17"/>
        <v>14</v>
      </c>
      <c r="C1119" s="111"/>
      <c r="D1119" s="111"/>
      <c r="E1119" s="111"/>
    </row>
    <row r="1120" spans="1:5" x14ac:dyDescent="0.2">
      <c r="A1120" s="113">
        <v>35818</v>
      </c>
      <c r="B1120" s="111">
        <f t="shared" si="17"/>
        <v>14</v>
      </c>
      <c r="C1120" s="111"/>
      <c r="D1120" s="111"/>
      <c r="E1120" s="111"/>
    </row>
    <row r="1121" spans="1:5" x14ac:dyDescent="0.2">
      <c r="A1121" s="113">
        <v>35819</v>
      </c>
      <c r="B1121" s="111">
        <f t="shared" si="17"/>
        <v>14</v>
      </c>
      <c r="C1121" s="111"/>
      <c r="D1121" s="111"/>
      <c r="E1121" s="111"/>
    </row>
    <row r="1122" spans="1:5" x14ac:dyDescent="0.2">
      <c r="A1122" s="113">
        <v>35820</v>
      </c>
      <c r="B1122" s="111">
        <f t="shared" si="17"/>
        <v>15</v>
      </c>
      <c r="C1122" s="111"/>
      <c r="D1122" s="111"/>
      <c r="E1122" s="111"/>
    </row>
    <row r="1123" spans="1:5" x14ac:dyDescent="0.2">
      <c r="A1123" s="113">
        <v>35821</v>
      </c>
      <c r="B1123" s="111">
        <f t="shared" si="17"/>
        <v>15</v>
      </c>
      <c r="C1123" s="111"/>
      <c r="D1123" s="111"/>
      <c r="E1123" s="111"/>
    </row>
    <row r="1124" spans="1:5" x14ac:dyDescent="0.2">
      <c r="A1124" s="113">
        <v>35822</v>
      </c>
      <c r="B1124" s="111">
        <f t="shared" si="17"/>
        <v>15</v>
      </c>
      <c r="C1124" s="111"/>
      <c r="D1124" s="111"/>
      <c r="E1124" s="111"/>
    </row>
    <row r="1125" spans="1:5" x14ac:dyDescent="0.2">
      <c r="A1125" s="113">
        <v>35823</v>
      </c>
      <c r="B1125" s="111">
        <f t="shared" si="17"/>
        <v>15</v>
      </c>
      <c r="C1125" s="111"/>
      <c r="D1125" s="111"/>
      <c r="E1125" s="111"/>
    </row>
    <row r="1126" spans="1:5" x14ac:dyDescent="0.2">
      <c r="A1126" s="113">
        <v>35824</v>
      </c>
      <c r="B1126" s="111">
        <f t="shared" si="17"/>
        <v>15</v>
      </c>
      <c r="C1126" s="111"/>
      <c r="D1126" s="111"/>
      <c r="E1126" s="111"/>
    </row>
    <row r="1127" spans="1:5" x14ac:dyDescent="0.2">
      <c r="A1127" s="113">
        <v>35825</v>
      </c>
      <c r="B1127" s="111">
        <f t="shared" si="17"/>
        <v>15</v>
      </c>
      <c r="C1127" s="111"/>
      <c r="D1127" s="111"/>
      <c r="E1127" s="111"/>
    </row>
    <row r="1128" spans="1:5" x14ac:dyDescent="0.2">
      <c r="A1128" s="113">
        <v>35826</v>
      </c>
      <c r="B1128" s="111">
        <f t="shared" si="17"/>
        <v>15</v>
      </c>
      <c r="C1128" s="111"/>
      <c r="D1128" s="111"/>
      <c r="E1128" s="111"/>
    </row>
    <row r="1129" spans="1:5" x14ac:dyDescent="0.2">
      <c r="A1129" s="113">
        <v>35827</v>
      </c>
      <c r="B1129" s="111">
        <f t="shared" si="17"/>
        <v>21</v>
      </c>
      <c r="C1129" s="111"/>
      <c r="D1129" s="111"/>
      <c r="E1129" s="111"/>
    </row>
    <row r="1130" spans="1:5" x14ac:dyDescent="0.2">
      <c r="A1130" s="113">
        <v>35828</v>
      </c>
      <c r="B1130" s="111">
        <f t="shared" si="17"/>
        <v>21</v>
      </c>
      <c r="C1130" s="111"/>
      <c r="D1130" s="111"/>
      <c r="E1130" s="111"/>
    </row>
    <row r="1131" spans="1:5" x14ac:dyDescent="0.2">
      <c r="A1131" s="113">
        <v>35829</v>
      </c>
      <c r="B1131" s="111">
        <f t="shared" si="17"/>
        <v>21</v>
      </c>
      <c r="C1131" s="111"/>
      <c r="D1131" s="111"/>
      <c r="E1131" s="111"/>
    </row>
    <row r="1132" spans="1:5" x14ac:dyDescent="0.2">
      <c r="A1132" s="113">
        <v>35830</v>
      </c>
      <c r="B1132" s="111">
        <f t="shared" si="17"/>
        <v>21</v>
      </c>
      <c r="C1132" s="111"/>
      <c r="D1132" s="111"/>
      <c r="E1132" s="111"/>
    </row>
    <row r="1133" spans="1:5" x14ac:dyDescent="0.2">
      <c r="A1133" s="113">
        <v>35831</v>
      </c>
      <c r="B1133" s="111">
        <f t="shared" si="17"/>
        <v>21</v>
      </c>
      <c r="C1133" s="111"/>
      <c r="D1133" s="111"/>
      <c r="E1133" s="111"/>
    </row>
    <row r="1134" spans="1:5" x14ac:dyDescent="0.2">
      <c r="A1134" s="113">
        <v>35832</v>
      </c>
      <c r="B1134" s="111">
        <f t="shared" si="17"/>
        <v>21</v>
      </c>
      <c r="C1134" s="111"/>
      <c r="D1134" s="111"/>
      <c r="E1134" s="111"/>
    </row>
    <row r="1135" spans="1:5" x14ac:dyDescent="0.2">
      <c r="A1135" s="113">
        <v>35833</v>
      </c>
      <c r="B1135" s="111">
        <f t="shared" si="17"/>
        <v>21</v>
      </c>
      <c r="C1135" s="111"/>
      <c r="D1135" s="111"/>
      <c r="E1135" s="111"/>
    </row>
    <row r="1136" spans="1:5" x14ac:dyDescent="0.2">
      <c r="A1136" s="113">
        <v>35834</v>
      </c>
      <c r="B1136" s="111">
        <f t="shared" si="17"/>
        <v>22</v>
      </c>
      <c r="C1136" s="111"/>
      <c r="D1136" s="111"/>
      <c r="E1136" s="111"/>
    </row>
    <row r="1137" spans="1:5" x14ac:dyDescent="0.2">
      <c r="A1137" s="113">
        <v>35835</v>
      </c>
      <c r="B1137" s="111">
        <f t="shared" si="17"/>
        <v>22</v>
      </c>
      <c r="C1137" s="111"/>
      <c r="D1137" s="111"/>
      <c r="E1137" s="111"/>
    </row>
    <row r="1138" spans="1:5" x14ac:dyDescent="0.2">
      <c r="A1138" s="113">
        <v>35836</v>
      </c>
      <c r="B1138" s="111">
        <f t="shared" si="17"/>
        <v>22</v>
      </c>
      <c r="C1138" s="111"/>
      <c r="D1138" s="111"/>
      <c r="E1138" s="111"/>
    </row>
    <row r="1139" spans="1:5" x14ac:dyDescent="0.2">
      <c r="A1139" s="113">
        <v>35837</v>
      </c>
      <c r="B1139" s="111">
        <f t="shared" si="17"/>
        <v>22</v>
      </c>
      <c r="C1139" s="111"/>
      <c r="D1139" s="111"/>
      <c r="E1139" s="111"/>
    </row>
    <row r="1140" spans="1:5" x14ac:dyDescent="0.2">
      <c r="A1140" s="113">
        <v>35838</v>
      </c>
      <c r="B1140" s="111">
        <f t="shared" si="17"/>
        <v>22</v>
      </c>
      <c r="C1140" s="111"/>
      <c r="D1140" s="111"/>
      <c r="E1140" s="111"/>
    </row>
    <row r="1141" spans="1:5" x14ac:dyDescent="0.2">
      <c r="A1141" s="113">
        <v>35839</v>
      </c>
      <c r="B1141" s="111">
        <f t="shared" si="17"/>
        <v>22</v>
      </c>
      <c r="C1141" s="111"/>
      <c r="D1141" s="111"/>
      <c r="E1141" s="111"/>
    </row>
    <row r="1142" spans="1:5" x14ac:dyDescent="0.2">
      <c r="A1142" s="113">
        <v>35840</v>
      </c>
      <c r="B1142" s="111">
        <f t="shared" si="17"/>
        <v>22</v>
      </c>
      <c r="C1142" s="111"/>
      <c r="D1142" s="111"/>
      <c r="E1142" s="111"/>
    </row>
    <row r="1143" spans="1:5" x14ac:dyDescent="0.2">
      <c r="A1143" s="113">
        <v>35841</v>
      </c>
      <c r="B1143" s="111">
        <f t="shared" si="17"/>
        <v>23</v>
      </c>
      <c r="C1143" s="111"/>
      <c r="D1143" s="111"/>
      <c r="E1143" s="111"/>
    </row>
    <row r="1144" spans="1:5" x14ac:dyDescent="0.2">
      <c r="A1144" s="113">
        <v>35842</v>
      </c>
      <c r="B1144" s="111">
        <f t="shared" si="17"/>
        <v>23</v>
      </c>
      <c r="C1144" s="111"/>
      <c r="D1144" s="111"/>
      <c r="E1144" s="111"/>
    </row>
    <row r="1145" spans="1:5" x14ac:dyDescent="0.2">
      <c r="A1145" s="113">
        <v>35843</v>
      </c>
      <c r="B1145" s="111">
        <f t="shared" si="17"/>
        <v>23</v>
      </c>
      <c r="C1145" s="111"/>
      <c r="D1145" s="111"/>
      <c r="E1145" s="111"/>
    </row>
    <row r="1146" spans="1:5" x14ac:dyDescent="0.2">
      <c r="A1146" s="113">
        <v>35844</v>
      </c>
      <c r="B1146" s="111">
        <f t="shared" si="17"/>
        <v>23</v>
      </c>
      <c r="C1146" s="111"/>
      <c r="D1146" s="111"/>
      <c r="E1146" s="111"/>
    </row>
    <row r="1147" spans="1:5" x14ac:dyDescent="0.2">
      <c r="A1147" s="113">
        <v>35845</v>
      </c>
      <c r="B1147" s="111">
        <f t="shared" si="17"/>
        <v>23</v>
      </c>
      <c r="C1147" s="111"/>
      <c r="D1147" s="111"/>
      <c r="E1147" s="111"/>
    </row>
    <row r="1148" spans="1:5" x14ac:dyDescent="0.2">
      <c r="A1148" s="113">
        <v>35846</v>
      </c>
      <c r="B1148" s="111">
        <f t="shared" si="17"/>
        <v>23</v>
      </c>
      <c r="C1148" s="111"/>
      <c r="D1148" s="111"/>
      <c r="E1148" s="111"/>
    </row>
    <row r="1149" spans="1:5" x14ac:dyDescent="0.2">
      <c r="A1149" s="113">
        <v>35847</v>
      </c>
      <c r="B1149" s="111">
        <f t="shared" si="17"/>
        <v>23</v>
      </c>
      <c r="C1149" s="111"/>
      <c r="D1149" s="111"/>
      <c r="E1149" s="111"/>
    </row>
    <row r="1150" spans="1:5" x14ac:dyDescent="0.2">
      <c r="A1150" s="113">
        <v>35848</v>
      </c>
      <c r="B1150" s="111">
        <f t="shared" si="17"/>
        <v>24</v>
      </c>
      <c r="C1150" s="111"/>
      <c r="D1150" s="111"/>
      <c r="E1150" s="111"/>
    </row>
    <row r="1151" spans="1:5" x14ac:dyDescent="0.2">
      <c r="A1151" s="113">
        <v>35849</v>
      </c>
      <c r="B1151" s="111">
        <f t="shared" si="17"/>
        <v>24</v>
      </c>
      <c r="C1151" s="111"/>
      <c r="D1151" s="111"/>
      <c r="E1151" s="111"/>
    </row>
    <row r="1152" spans="1:5" x14ac:dyDescent="0.2">
      <c r="A1152" s="113">
        <v>35850</v>
      </c>
      <c r="B1152" s="111">
        <f t="shared" si="17"/>
        <v>24</v>
      </c>
      <c r="C1152" s="111"/>
      <c r="D1152" s="111"/>
      <c r="E1152" s="111"/>
    </row>
    <row r="1153" spans="1:5" x14ac:dyDescent="0.2">
      <c r="A1153" s="113">
        <v>35851</v>
      </c>
      <c r="B1153" s="111">
        <f t="shared" si="17"/>
        <v>24</v>
      </c>
      <c r="C1153" s="111"/>
      <c r="D1153" s="111"/>
      <c r="E1153" s="111"/>
    </row>
    <row r="1154" spans="1:5" x14ac:dyDescent="0.2">
      <c r="A1154" s="113">
        <v>35852</v>
      </c>
      <c r="B1154" s="111">
        <f t="shared" ref="B1154:B1217" si="18">VLOOKUP(WEEKNUM(A1154),$D$3:$E$58,2)</f>
        <v>24</v>
      </c>
      <c r="C1154" s="111"/>
      <c r="D1154" s="111"/>
      <c r="E1154" s="111"/>
    </row>
    <row r="1155" spans="1:5" x14ac:dyDescent="0.2">
      <c r="A1155" s="113">
        <v>35853</v>
      </c>
      <c r="B1155" s="111">
        <f t="shared" si="18"/>
        <v>24</v>
      </c>
      <c r="C1155" s="111"/>
      <c r="D1155" s="111"/>
      <c r="E1155" s="111"/>
    </row>
    <row r="1156" spans="1:5" x14ac:dyDescent="0.2">
      <c r="A1156" s="113">
        <v>35854</v>
      </c>
      <c r="B1156" s="111">
        <f t="shared" si="18"/>
        <v>24</v>
      </c>
      <c r="C1156" s="111"/>
      <c r="D1156" s="111"/>
      <c r="E1156" s="111"/>
    </row>
    <row r="1157" spans="1:5" x14ac:dyDescent="0.2">
      <c r="A1157" s="113">
        <v>35855</v>
      </c>
      <c r="B1157" s="111">
        <f t="shared" si="18"/>
        <v>31</v>
      </c>
      <c r="C1157" s="111"/>
      <c r="D1157" s="111"/>
      <c r="E1157" s="111"/>
    </row>
    <row r="1158" spans="1:5" x14ac:dyDescent="0.2">
      <c r="A1158" s="113">
        <v>35856</v>
      </c>
      <c r="B1158" s="111">
        <f t="shared" si="18"/>
        <v>31</v>
      </c>
      <c r="C1158" s="111"/>
      <c r="D1158" s="111"/>
      <c r="E1158" s="111"/>
    </row>
    <row r="1159" spans="1:5" x14ac:dyDescent="0.2">
      <c r="A1159" s="113">
        <v>35857</v>
      </c>
      <c r="B1159" s="111">
        <f t="shared" si="18"/>
        <v>31</v>
      </c>
      <c r="C1159" s="111"/>
      <c r="D1159" s="111"/>
      <c r="E1159" s="111"/>
    </row>
    <row r="1160" spans="1:5" x14ac:dyDescent="0.2">
      <c r="A1160" s="113">
        <v>35858</v>
      </c>
      <c r="B1160" s="111">
        <f t="shared" si="18"/>
        <v>31</v>
      </c>
      <c r="C1160" s="111"/>
      <c r="D1160" s="111"/>
      <c r="E1160" s="111"/>
    </row>
    <row r="1161" spans="1:5" x14ac:dyDescent="0.2">
      <c r="A1161" s="113">
        <v>35859</v>
      </c>
      <c r="B1161" s="111">
        <f t="shared" si="18"/>
        <v>31</v>
      </c>
      <c r="C1161" s="111"/>
      <c r="D1161" s="111"/>
      <c r="E1161" s="111"/>
    </row>
    <row r="1162" spans="1:5" x14ac:dyDescent="0.2">
      <c r="A1162" s="113">
        <v>35860</v>
      </c>
      <c r="B1162" s="111">
        <f t="shared" si="18"/>
        <v>31</v>
      </c>
      <c r="C1162" s="111"/>
      <c r="D1162" s="111"/>
      <c r="E1162" s="111"/>
    </row>
    <row r="1163" spans="1:5" x14ac:dyDescent="0.2">
      <c r="A1163" s="113">
        <v>35861</v>
      </c>
      <c r="B1163" s="111">
        <f t="shared" si="18"/>
        <v>31</v>
      </c>
      <c r="C1163" s="111"/>
      <c r="D1163" s="111"/>
      <c r="E1163" s="111"/>
    </row>
    <row r="1164" spans="1:5" x14ac:dyDescent="0.2">
      <c r="A1164" s="113">
        <v>35862</v>
      </c>
      <c r="B1164" s="111">
        <f t="shared" si="18"/>
        <v>32</v>
      </c>
      <c r="C1164" s="111"/>
      <c r="D1164" s="111"/>
      <c r="E1164" s="111"/>
    </row>
    <row r="1165" spans="1:5" x14ac:dyDescent="0.2">
      <c r="A1165" s="113">
        <v>35863</v>
      </c>
      <c r="B1165" s="111">
        <f t="shared" si="18"/>
        <v>32</v>
      </c>
      <c r="C1165" s="111"/>
      <c r="D1165" s="111"/>
      <c r="E1165" s="111"/>
    </row>
    <row r="1166" spans="1:5" x14ac:dyDescent="0.2">
      <c r="A1166" s="113">
        <v>35864</v>
      </c>
      <c r="B1166" s="111">
        <f t="shared" si="18"/>
        <v>32</v>
      </c>
      <c r="C1166" s="111"/>
      <c r="D1166" s="111"/>
      <c r="E1166" s="111"/>
    </row>
    <row r="1167" spans="1:5" x14ac:dyDescent="0.2">
      <c r="A1167" s="113">
        <v>35865</v>
      </c>
      <c r="B1167" s="111">
        <f t="shared" si="18"/>
        <v>32</v>
      </c>
      <c r="C1167" s="111"/>
      <c r="D1167" s="111"/>
      <c r="E1167" s="111"/>
    </row>
    <row r="1168" spans="1:5" x14ac:dyDescent="0.2">
      <c r="A1168" s="113">
        <v>35866</v>
      </c>
      <c r="B1168" s="111">
        <f t="shared" si="18"/>
        <v>32</v>
      </c>
      <c r="C1168" s="111"/>
      <c r="D1168" s="111"/>
      <c r="E1168" s="111"/>
    </row>
    <row r="1169" spans="1:5" x14ac:dyDescent="0.2">
      <c r="A1169" s="113">
        <v>35867</v>
      </c>
      <c r="B1169" s="111">
        <f t="shared" si="18"/>
        <v>32</v>
      </c>
      <c r="C1169" s="111"/>
      <c r="D1169" s="111"/>
      <c r="E1169" s="111"/>
    </row>
    <row r="1170" spans="1:5" x14ac:dyDescent="0.2">
      <c r="A1170" s="113">
        <v>35868</v>
      </c>
      <c r="B1170" s="111">
        <f t="shared" si="18"/>
        <v>32</v>
      </c>
      <c r="C1170" s="111"/>
      <c r="D1170" s="111"/>
      <c r="E1170" s="111"/>
    </row>
    <row r="1171" spans="1:5" x14ac:dyDescent="0.2">
      <c r="A1171" s="113">
        <v>35869</v>
      </c>
      <c r="B1171" s="111">
        <f t="shared" si="18"/>
        <v>33</v>
      </c>
      <c r="C1171" s="111"/>
      <c r="D1171" s="111"/>
      <c r="E1171" s="111"/>
    </row>
    <row r="1172" spans="1:5" x14ac:dyDescent="0.2">
      <c r="A1172" s="113">
        <v>35870</v>
      </c>
      <c r="B1172" s="111">
        <f t="shared" si="18"/>
        <v>33</v>
      </c>
      <c r="C1172" s="111"/>
      <c r="D1172" s="111"/>
      <c r="E1172" s="111"/>
    </row>
    <row r="1173" spans="1:5" x14ac:dyDescent="0.2">
      <c r="A1173" s="113">
        <v>35871</v>
      </c>
      <c r="B1173" s="111">
        <f t="shared" si="18"/>
        <v>33</v>
      </c>
      <c r="C1173" s="111"/>
      <c r="D1173" s="111"/>
      <c r="E1173" s="111"/>
    </row>
    <row r="1174" spans="1:5" x14ac:dyDescent="0.2">
      <c r="A1174" s="113">
        <v>35872</v>
      </c>
      <c r="B1174" s="111">
        <f t="shared" si="18"/>
        <v>33</v>
      </c>
      <c r="C1174" s="111"/>
      <c r="D1174" s="111"/>
      <c r="E1174" s="111"/>
    </row>
    <row r="1175" spans="1:5" x14ac:dyDescent="0.2">
      <c r="A1175" s="113">
        <v>35873</v>
      </c>
      <c r="B1175" s="111">
        <f t="shared" si="18"/>
        <v>33</v>
      </c>
      <c r="C1175" s="111"/>
      <c r="D1175" s="111"/>
      <c r="E1175" s="111"/>
    </row>
    <row r="1176" spans="1:5" x14ac:dyDescent="0.2">
      <c r="A1176" s="113">
        <v>35874</v>
      </c>
      <c r="B1176" s="111">
        <f t="shared" si="18"/>
        <v>33</v>
      </c>
      <c r="C1176" s="111"/>
      <c r="D1176" s="111"/>
      <c r="E1176" s="111"/>
    </row>
    <row r="1177" spans="1:5" x14ac:dyDescent="0.2">
      <c r="A1177" s="113">
        <v>35875</v>
      </c>
      <c r="B1177" s="111">
        <f t="shared" si="18"/>
        <v>33</v>
      </c>
      <c r="C1177" s="111"/>
      <c r="D1177" s="111"/>
      <c r="E1177" s="111"/>
    </row>
    <row r="1178" spans="1:5" x14ac:dyDescent="0.2">
      <c r="A1178" s="113">
        <v>35876</v>
      </c>
      <c r="B1178" s="111">
        <f t="shared" si="18"/>
        <v>34</v>
      </c>
      <c r="C1178" s="111"/>
      <c r="D1178" s="111"/>
      <c r="E1178" s="111"/>
    </row>
    <row r="1179" spans="1:5" x14ac:dyDescent="0.2">
      <c r="A1179" s="113">
        <v>35877</v>
      </c>
      <c r="B1179" s="111">
        <f t="shared" si="18"/>
        <v>34</v>
      </c>
      <c r="C1179" s="111"/>
      <c r="D1179" s="111"/>
      <c r="E1179" s="111"/>
    </row>
    <row r="1180" spans="1:5" x14ac:dyDescent="0.2">
      <c r="A1180" s="113">
        <v>35878</v>
      </c>
      <c r="B1180" s="111">
        <f t="shared" si="18"/>
        <v>34</v>
      </c>
      <c r="C1180" s="111"/>
      <c r="D1180" s="111"/>
      <c r="E1180" s="111"/>
    </row>
    <row r="1181" spans="1:5" x14ac:dyDescent="0.2">
      <c r="A1181" s="113">
        <v>35879</v>
      </c>
      <c r="B1181" s="111">
        <f t="shared" si="18"/>
        <v>34</v>
      </c>
      <c r="C1181" s="111"/>
      <c r="D1181" s="111"/>
      <c r="E1181" s="111"/>
    </row>
    <row r="1182" spans="1:5" x14ac:dyDescent="0.2">
      <c r="A1182" s="113">
        <v>35880</v>
      </c>
      <c r="B1182" s="111">
        <f t="shared" si="18"/>
        <v>34</v>
      </c>
      <c r="C1182" s="111"/>
      <c r="D1182" s="111"/>
      <c r="E1182" s="111"/>
    </row>
    <row r="1183" spans="1:5" x14ac:dyDescent="0.2">
      <c r="A1183" s="113">
        <v>35881</v>
      </c>
      <c r="B1183" s="111">
        <f t="shared" si="18"/>
        <v>34</v>
      </c>
      <c r="C1183" s="111"/>
      <c r="D1183" s="111"/>
      <c r="E1183" s="111"/>
    </row>
    <row r="1184" spans="1:5" x14ac:dyDescent="0.2">
      <c r="A1184" s="113">
        <v>35882</v>
      </c>
      <c r="B1184" s="111">
        <f t="shared" si="18"/>
        <v>34</v>
      </c>
      <c r="C1184" s="111"/>
      <c r="D1184" s="111"/>
      <c r="E1184" s="111"/>
    </row>
    <row r="1185" spans="1:5" x14ac:dyDescent="0.2">
      <c r="A1185" s="113">
        <v>35883</v>
      </c>
      <c r="B1185" s="111">
        <f t="shared" si="18"/>
        <v>41</v>
      </c>
      <c r="C1185" s="111"/>
      <c r="D1185" s="111"/>
      <c r="E1185" s="111"/>
    </row>
    <row r="1186" spans="1:5" x14ac:dyDescent="0.2">
      <c r="A1186" s="113">
        <v>35884</v>
      </c>
      <c r="B1186" s="111">
        <f t="shared" si="18"/>
        <v>41</v>
      </c>
      <c r="C1186" s="111"/>
      <c r="D1186" s="111"/>
      <c r="E1186" s="111"/>
    </row>
    <row r="1187" spans="1:5" x14ac:dyDescent="0.2">
      <c r="A1187" s="113">
        <v>35885</v>
      </c>
      <c r="B1187" s="111">
        <f t="shared" si="18"/>
        <v>41</v>
      </c>
      <c r="C1187" s="111"/>
      <c r="D1187" s="111"/>
      <c r="E1187" s="111"/>
    </row>
    <row r="1188" spans="1:5" x14ac:dyDescent="0.2">
      <c r="A1188" s="113">
        <v>35886</v>
      </c>
      <c r="B1188" s="111">
        <f t="shared" si="18"/>
        <v>41</v>
      </c>
      <c r="C1188" s="111"/>
      <c r="D1188" s="111"/>
      <c r="E1188" s="111"/>
    </row>
    <row r="1189" spans="1:5" x14ac:dyDescent="0.2">
      <c r="A1189" s="113">
        <v>35887</v>
      </c>
      <c r="B1189" s="111">
        <f t="shared" si="18"/>
        <v>41</v>
      </c>
      <c r="C1189" s="111"/>
      <c r="D1189" s="111"/>
      <c r="E1189" s="111"/>
    </row>
    <row r="1190" spans="1:5" x14ac:dyDescent="0.2">
      <c r="A1190" s="113">
        <v>35888</v>
      </c>
      <c r="B1190" s="111">
        <f t="shared" si="18"/>
        <v>41</v>
      </c>
      <c r="C1190" s="111"/>
      <c r="D1190" s="111"/>
      <c r="E1190" s="111"/>
    </row>
    <row r="1191" spans="1:5" x14ac:dyDescent="0.2">
      <c r="A1191" s="113">
        <v>35889</v>
      </c>
      <c r="B1191" s="111">
        <f t="shared" si="18"/>
        <v>41</v>
      </c>
      <c r="C1191" s="111"/>
      <c r="D1191" s="111"/>
      <c r="E1191" s="111"/>
    </row>
    <row r="1192" spans="1:5" x14ac:dyDescent="0.2">
      <c r="A1192" s="113">
        <v>35890</v>
      </c>
      <c r="B1192" s="111">
        <f t="shared" si="18"/>
        <v>42</v>
      </c>
      <c r="C1192" s="111"/>
      <c r="D1192" s="111"/>
      <c r="E1192" s="111"/>
    </row>
    <row r="1193" spans="1:5" x14ac:dyDescent="0.2">
      <c r="A1193" s="113">
        <v>35891</v>
      </c>
      <c r="B1193" s="111">
        <f t="shared" si="18"/>
        <v>42</v>
      </c>
      <c r="C1193" s="111"/>
      <c r="D1193" s="111"/>
      <c r="E1193" s="111"/>
    </row>
    <row r="1194" spans="1:5" x14ac:dyDescent="0.2">
      <c r="A1194" s="113">
        <v>35892</v>
      </c>
      <c r="B1194" s="111">
        <f t="shared" si="18"/>
        <v>42</v>
      </c>
      <c r="C1194" s="111"/>
      <c r="D1194" s="111"/>
      <c r="E1194" s="111"/>
    </row>
    <row r="1195" spans="1:5" x14ac:dyDescent="0.2">
      <c r="A1195" s="113">
        <v>35893</v>
      </c>
      <c r="B1195" s="111">
        <f t="shared" si="18"/>
        <v>42</v>
      </c>
      <c r="C1195" s="111"/>
      <c r="D1195" s="111"/>
      <c r="E1195" s="111"/>
    </row>
    <row r="1196" spans="1:5" x14ac:dyDescent="0.2">
      <c r="A1196" s="113">
        <v>35894</v>
      </c>
      <c r="B1196" s="111">
        <f t="shared" si="18"/>
        <v>42</v>
      </c>
      <c r="C1196" s="111"/>
      <c r="D1196" s="111"/>
      <c r="E1196" s="111"/>
    </row>
    <row r="1197" spans="1:5" x14ac:dyDescent="0.2">
      <c r="A1197" s="113">
        <v>35895</v>
      </c>
      <c r="B1197" s="111">
        <f t="shared" si="18"/>
        <v>42</v>
      </c>
      <c r="C1197" s="111"/>
      <c r="D1197" s="111"/>
      <c r="E1197" s="111"/>
    </row>
    <row r="1198" spans="1:5" x14ac:dyDescent="0.2">
      <c r="A1198" s="113">
        <v>35896</v>
      </c>
      <c r="B1198" s="111">
        <f t="shared" si="18"/>
        <v>42</v>
      </c>
      <c r="C1198" s="111"/>
      <c r="D1198" s="111"/>
      <c r="E1198" s="111"/>
    </row>
    <row r="1199" spans="1:5" x14ac:dyDescent="0.2">
      <c r="A1199" s="113">
        <v>35897</v>
      </c>
      <c r="B1199" s="111">
        <f t="shared" si="18"/>
        <v>43</v>
      </c>
      <c r="C1199" s="111"/>
      <c r="D1199" s="111"/>
      <c r="E1199" s="111"/>
    </row>
    <row r="1200" spans="1:5" x14ac:dyDescent="0.2">
      <c r="A1200" s="113">
        <v>35898</v>
      </c>
      <c r="B1200" s="111">
        <f t="shared" si="18"/>
        <v>43</v>
      </c>
      <c r="C1200" s="111"/>
      <c r="D1200" s="111"/>
      <c r="E1200" s="111"/>
    </row>
    <row r="1201" spans="1:5" x14ac:dyDescent="0.2">
      <c r="A1201" s="113">
        <v>35899</v>
      </c>
      <c r="B1201" s="111">
        <f t="shared" si="18"/>
        <v>43</v>
      </c>
      <c r="C1201" s="111"/>
      <c r="D1201" s="111"/>
      <c r="E1201" s="111"/>
    </row>
    <row r="1202" spans="1:5" x14ac:dyDescent="0.2">
      <c r="A1202" s="113">
        <v>35900</v>
      </c>
      <c r="B1202" s="111">
        <f t="shared" si="18"/>
        <v>43</v>
      </c>
      <c r="C1202" s="111"/>
      <c r="D1202" s="111"/>
      <c r="E1202" s="111"/>
    </row>
    <row r="1203" spans="1:5" x14ac:dyDescent="0.2">
      <c r="A1203" s="113">
        <v>35901</v>
      </c>
      <c r="B1203" s="111">
        <f t="shared" si="18"/>
        <v>43</v>
      </c>
      <c r="C1203" s="111"/>
      <c r="D1203" s="111"/>
      <c r="E1203" s="111"/>
    </row>
    <row r="1204" spans="1:5" x14ac:dyDescent="0.2">
      <c r="A1204" s="113">
        <v>35902</v>
      </c>
      <c r="B1204" s="111">
        <f t="shared" si="18"/>
        <v>43</v>
      </c>
      <c r="C1204" s="111"/>
      <c r="D1204" s="111"/>
      <c r="E1204" s="111"/>
    </row>
    <row r="1205" spans="1:5" x14ac:dyDescent="0.2">
      <c r="A1205" s="113">
        <v>35903</v>
      </c>
      <c r="B1205" s="111">
        <f t="shared" si="18"/>
        <v>43</v>
      </c>
      <c r="C1205" s="111"/>
      <c r="D1205" s="111"/>
      <c r="E1205" s="111"/>
    </row>
    <row r="1206" spans="1:5" x14ac:dyDescent="0.2">
      <c r="A1206" s="113">
        <v>35904</v>
      </c>
      <c r="B1206" s="111">
        <f t="shared" si="18"/>
        <v>44</v>
      </c>
      <c r="C1206" s="111"/>
      <c r="D1206" s="111"/>
      <c r="E1206" s="111"/>
    </row>
    <row r="1207" spans="1:5" x14ac:dyDescent="0.2">
      <c r="A1207" s="113">
        <v>35905</v>
      </c>
      <c r="B1207" s="111">
        <f t="shared" si="18"/>
        <v>44</v>
      </c>
      <c r="C1207" s="111"/>
      <c r="D1207" s="111"/>
      <c r="E1207" s="111"/>
    </row>
    <row r="1208" spans="1:5" x14ac:dyDescent="0.2">
      <c r="A1208" s="113">
        <v>35906</v>
      </c>
      <c r="B1208" s="111">
        <f t="shared" si="18"/>
        <v>44</v>
      </c>
      <c r="C1208" s="111"/>
      <c r="D1208" s="111"/>
      <c r="E1208" s="111"/>
    </row>
    <row r="1209" spans="1:5" x14ac:dyDescent="0.2">
      <c r="A1209" s="113">
        <v>35907</v>
      </c>
      <c r="B1209" s="111">
        <f t="shared" si="18"/>
        <v>44</v>
      </c>
      <c r="C1209" s="111"/>
      <c r="D1209" s="111"/>
      <c r="E1209" s="111"/>
    </row>
    <row r="1210" spans="1:5" x14ac:dyDescent="0.2">
      <c r="A1210" s="113">
        <v>35908</v>
      </c>
      <c r="B1210" s="111">
        <f t="shared" si="18"/>
        <v>44</v>
      </c>
      <c r="C1210" s="111"/>
      <c r="D1210" s="111"/>
      <c r="E1210" s="111"/>
    </row>
    <row r="1211" spans="1:5" x14ac:dyDescent="0.2">
      <c r="A1211" s="113">
        <v>35909</v>
      </c>
      <c r="B1211" s="111">
        <f t="shared" si="18"/>
        <v>44</v>
      </c>
      <c r="C1211" s="111"/>
      <c r="D1211" s="111"/>
      <c r="E1211" s="111"/>
    </row>
    <row r="1212" spans="1:5" x14ac:dyDescent="0.2">
      <c r="A1212" s="113">
        <v>35910</v>
      </c>
      <c r="B1212" s="111">
        <f t="shared" si="18"/>
        <v>44</v>
      </c>
      <c r="C1212" s="111"/>
      <c r="D1212" s="111"/>
      <c r="E1212" s="111"/>
    </row>
    <row r="1213" spans="1:5" x14ac:dyDescent="0.2">
      <c r="A1213" s="113">
        <v>35911</v>
      </c>
      <c r="B1213" s="111">
        <f t="shared" si="18"/>
        <v>45</v>
      </c>
      <c r="C1213" s="111"/>
      <c r="D1213" s="111"/>
      <c r="E1213" s="111"/>
    </row>
    <row r="1214" spans="1:5" x14ac:dyDescent="0.2">
      <c r="A1214" s="113">
        <v>35912</v>
      </c>
      <c r="B1214" s="111">
        <f t="shared" si="18"/>
        <v>45</v>
      </c>
      <c r="C1214" s="111"/>
      <c r="D1214" s="111"/>
      <c r="E1214" s="111"/>
    </row>
    <row r="1215" spans="1:5" x14ac:dyDescent="0.2">
      <c r="A1215" s="113">
        <v>35913</v>
      </c>
      <c r="B1215" s="111">
        <f t="shared" si="18"/>
        <v>45</v>
      </c>
      <c r="C1215" s="111"/>
      <c r="D1215" s="111"/>
      <c r="E1215" s="111"/>
    </row>
    <row r="1216" spans="1:5" x14ac:dyDescent="0.2">
      <c r="A1216" s="113">
        <v>35914</v>
      </c>
      <c r="B1216" s="111">
        <f t="shared" si="18"/>
        <v>45</v>
      </c>
      <c r="C1216" s="111"/>
      <c r="D1216" s="111"/>
      <c r="E1216" s="111"/>
    </row>
    <row r="1217" spans="1:5" x14ac:dyDescent="0.2">
      <c r="A1217" s="113">
        <v>35915</v>
      </c>
      <c r="B1217" s="111">
        <f t="shared" si="18"/>
        <v>45</v>
      </c>
      <c r="C1217" s="111"/>
      <c r="D1217" s="111"/>
      <c r="E1217" s="111"/>
    </row>
    <row r="1218" spans="1:5" x14ac:dyDescent="0.2">
      <c r="A1218" s="113">
        <v>35916</v>
      </c>
      <c r="B1218" s="111">
        <f t="shared" ref="B1218:B1281" si="19">VLOOKUP(WEEKNUM(A1218),$D$3:$E$58,2)</f>
        <v>45</v>
      </c>
      <c r="C1218" s="111"/>
      <c r="D1218" s="111"/>
      <c r="E1218" s="111"/>
    </row>
    <row r="1219" spans="1:5" x14ac:dyDescent="0.2">
      <c r="A1219" s="113">
        <v>35917</v>
      </c>
      <c r="B1219" s="111">
        <f t="shared" si="19"/>
        <v>45</v>
      </c>
      <c r="C1219" s="111"/>
      <c r="D1219" s="111"/>
      <c r="E1219" s="111"/>
    </row>
    <row r="1220" spans="1:5" x14ac:dyDescent="0.2">
      <c r="A1220" s="113">
        <v>35918</v>
      </c>
      <c r="B1220" s="111">
        <f t="shared" si="19"/>
        <v>51</v>
      </c>
      <c r="C1220" s="111"/>
      <c r="D1220" s="111"/>
      <c r="E1220" s="111"/>
    </row>
    <row r="1221" spans="1:5" x14ac:dyDescent="0.2">
      <c r="A1221" s="113">
        <v>35919</v>
      </c>
      <c r="B1221" s="111">
        <f t="shared" si="19"/>
        <v>51</v>
      </c>
      <c r="C1221" s="111"/>
      <c r="D1221" s="111"/>
      <c r="E1221" s="111"/>
    </row>
    <row r="1222" spans="1:5" x14ac:dyDescent="0.2">
      <c r="A1222" s="113">
        <v>35920</v>
      </c>
      <c r="B1222" s="111">
        <f t="shared" si="19"/>
        <v>51</v>
      </c>
      <c r="C1222" s="111"/>
      <c r="D1222" s="111"/>
      <c r="E1222" s="111"/>
    </row>
    <row r="1223" spans="1:5" x14ac:dyDescent="0.2">
      <c r="A1223" s="113">
        <v>35921</v>
      </c>
      <c r="B1223" s="111">
        <f t="shared" si="19"/>
        <v>51</v>
      </c>
      <c r="C1223" s="111"/>
      <c r="D1223" s="111"/>
      <c r="E1223" s="111"/>
    </row>
    <row r="1224" spans="1:5" x14ac:dyDescent="0.2">
      <c r="A1224" s="113">
        <v>35922</v>
      </c>
      <c r="B1224" s="111">
        <f t="shared" si="19"/>
        <v>51</v>
      </c>
      <c r="C1224" s="111"/>
      <c r="D1224" s="111"/>
      <c r="E1224" s="111"/>
    </row>
    <row r="1225" spans="1:5" x14ac:dyDescent="0.2">
      <c r="A1225" s="113">
        <v>35923</v>
      </c>
      <c r="B1225" s="111">
        <f t="shared" si="19"/>
        <v>51</v>
      </c>
      <c r="C1225" s="111"/>
      <c r="D1225" s="111"/>
      <c r="E1225" s="111"/>
    </row>
    <row r="1226" spans="1:5" x14ac:dyDescent="0.2">
      <c r="A1226" s="113">
        <v>35924</v>
      </c>
      <c r="B1226" s="111">
        <f t="shared" si="19"/>
        <v>51</v>
      </c>
      <c r="C1226" s="111"/>
      <c r="D1226" s="111"/>
      <c r="E1226" s="111"/>
    </row>
    <row r="1227" spans="1:5" x14ac:dyDescent="0.2">
      <c r="A1227" s="113">
        <v>35925</v>
      </c>
      <c r="B1227" s="111">
        <f t="shared" si="19"/>
        <v>52</v>
      </c>
      <c r="C1227" s="111"/>
      <c r="D1227" s="111"/>
      <c r="E1227" s="111"/>
    </row>
    <row r="1228" spans="1:5" x14ac:dyDescent="0.2">
      <c r="A1228" s="113">
        <v>35926</v>
      </c>
      <c r="B1228" s="111">
        <f t="shared" si="19"/>
        <v>52</v>
      </c>
      <c r="C1228" s="111"/>
      <c r="D1228" s="111"/>
      <c r="E1228" s="111"/>
    </row>
    <row r="1229" spans="1:5" x14ac:dyDescent="0.2">
      <c r="A1229" s="113">
        <v>35927</v>
      </c>
      <c r="B1229" s="111">
        <f t="shared" si="19"/>
        <v>52</v>
      </c>
      <c r="C1229" s="111"/>
      <c r="D1229" s="111"/>
      <c r="E1229" s="111"/>
    </row>
    <row r="1230" spans="1:5" x14ac:dyDescent="0.2">
      <c r="A1230" s="113">
        <v>35928</v>
      </c>
      <c r="B1230" s="111">
        <f t="shared" si="19"/>
        <v>52</v>
      </c>
      <c r="C1230" s="111"/>
      <c r="D1230" s="111"/>
      <c r="E1230" s="111"/>
    </row>
    <row r="1231" spans="1:5" x14ac:dyDescent="0.2">
      <c r="A1231" s="113">
        <v>35929</v>
      </c>
      <c r="B1231" s="111">
        <f t="shared" si="19"/>
        <v>52</v>
      </c>
      <c r="C1231" s="111"/>
      <c r="D1231" s="111"/>
      <c r="E1231" s="111"/>
    </row>
    <row r="1232" spans="1:5" x14ac:dyDescent="0.2">
      <c r="A1232" s="113">
        <v>35930</v>
      </c>
      <c r="B1232" s="111">
        <f t="shared" si="19"/>
        <v>52</v>
      </c>
      <c r="C1232" s="111"/>
      <c r="D1232" s="111"/>
      <c r="E1232" s="111"/>
    </row>
    <row r="1233" spans="1:5" x14ac:dyDescent="0.2">
      <c r="A1233" s="113">
        <v>35931</v>
      </c>
      <c r="B1233" s="111">
        <f t="shared" si="19"/>
        <v>52</v>
      </c>
      <c r="C1233" s="111"/>
      <c r="D1233" s="111"/>
      <c r="E1233" s="111"/>
    </row>
    <row r="1234" spans="1:5" x14ac:dyDescent="0.2">
      <c r="A1234" s="113">
        <v>35932</v>
      </c>
      <c r="B1234" s="111">
        <f t="shared" si="19"/>
        <v>53</v>
      </c>
      <c r="C1234" s="111"/>
      <c r="D1234" s="111"/>
      <c r="E1234" s="111"/>
    </row>
    <row r="1235" spans="1:5" x14ac:dyDescent="0.2">
      <c r="A1235" s="113">
        <v>35933</v>
      </c>
      <c r="B1235" s="111">
        <f t="shared" si="19"/>
        <v>53</v>
      </c>
      <c r="C1235" s="111"/>
      <c r="D1235" s="111"/>
      <c r="E1235" s="111"/>
    </row>
    <row r="1236" spans="1:5" x14ac:dyDescent="0.2">
      <c r="A1236" s="113">
        <v>35934</v>
      </c>
      <c r="B1236" s="111">
        <f t="shared" si="19"/>
        <v>53</v>
      </c>
      <c r="C1236" s="111"/>
      <c r="D1236" s="111"/>
      <c r="E1236" s="111"/>
    </row>
    <row r="1237" spans="1:5" x14ac:dyDescent="0.2">
      <c r="A1237" s="113">
        <v>35935</v>
      </c>
      <c r="B1237" s="111">
        <f t="shared" si="19"/>
        <v>53</v>
      </c>
      <c r="C1237" s="111"/>
      <c r="D1237" s="111"/>
      <c r="E1237" s="111"/>
    </row>
    <row r="1238" spans="1:5" x14ac:dyDescent="0.2">
      <c r="A1238" s="113">
        <v>35936</v>
      </c>
      <c r="B1238" s="111">
        <f t="shared" si="19"/>
        <v>53</v>
      </c>
      <c r="C1238" s="111"/>
      <c r="D1238" s="111"/>
      <c r="E1238" s="111"/>
    </row>
    <row r="1239" spans="1:5" x14ac:dyDescent="0.2">
      <c r="A1239" s="113">
        <v>35937</v>
      </c>
      <c r="B1239" s="111">
        <f t="shared" si="19"/>
        <v>53</v>
      </c>
      <c r="C1239" s="111"/>
      <c r="D1239" s="111"/>
      <c r="E1239" s="111"/>
    </row>
    <row r="1240" spans="1:5" x14ac:dyDescent="0.2">
      <c r="A1240" s="113">
        <v>35938</v>
      </c>
      <c r="B1240" s="111">
        <f t="shared" si="19"/>
        <v>53</v>
      </c>
      <c r="C1240" s="111"/>
      <c r="D1240" s="111"/>
      <c r="E1240" s="111"/>
    </row>
    <row r="1241" spans="1:5" x14ac:dyDescent="0.2">
      <c r="A1241" s="113">
        <v>35939</v>
      </c>
      <c r="B1241" s="111">
        <f t="shared" si="19"/>
        <v>54</v>
      </c>
      <c r="C1241" s="111"/>
      <c r="D1241" s="111"/>
      <c r="E1241" s="111"/>
    </row>
    <row r="1242" spans="1:5" x14ac:dyDescent="0.2">
      <c r="A1242" s="113">
        <v>35940</v>
      </c>
      <c r="B1242" s="111">
        <f t="shared" si="19"/>
        <v>54</v>
      </c>
      <c r="C1242" s="111"/>
      <c r="D1242" s="111"/>
      <c r="E1242" s="111"/>
    </row>
    <row r="1243" spans="1:5" x14ac:dyDescent="0.2">
      <c r="A1243" s="113">
        <v>35941</v>
      </c>
      <c r="B1243" s="111">
        <f t="shared" si="19"/>
        <v>54</v>
      </c>
      <c r="C1243" s="111"/>
      <c r="D1243" s="111"/>
      <c r="E1243" s="111"/>
    </row>
    <row r="1244" spans="1:5" x14ac:dyDescent="0.2">
      <c r="A1244" s="113">
        <v>35942</v>
      </c>
      <c r="B1244" s="111">
        <f t="shared" si="19"/>
        <v>54</v>
      </c>
      <c r="C1244" s="111"/>
      <c r="D1244" s="111"/>
      <c r="E1244" s="111"/>
    </row>
    <row r="1245" spans="1:5" x14ac:dyDescent="0.2">
      <c r="A1245" s="113">
        <v>35943</v>
      </c>
      <c r="B1245" s="111">
        <f t="shared" si="19"/>
        <v>54</v>
      </c>
      <c r="C1245" s="111"/>
      <c r="D1245" s="111"/>
      <c r="E1245" s="111"/>
    </row>
    <row r="1246" spans="1:5" x14ac:dyDescent="0.2">
      <c r="A1246" s="113">
        <v>35944</v>
      </c>
      <c r="B1246" s="111">
        <f t="shared" si="19"/>
        <v>54</v>
      </c>
      <c r="C1246" s="111"/>
      <c r="D1246" s="111"/>
      <c r="E1246" s="111"/>
    </row>
    <row r="1247" spans="1:5" x14ac:dyDescent="0.2">
      <c r="A1247" s="113">
        <v>35945</v>
      </c>
      <c r="B1247" s="111">
        <f t="shared" si="19"/>
        <v>54</v>
      </c>
      <c r="C1247" s="111"/>
      <c r="D1247" s="111"/>
      <c r="E1247" s="111"/>
    </row>
    <row r="1248" spans="1:5" x14ac:dyDescent="0.2">
      <c r="A1248" s="113">
        <v>35946</v>
      </c>
      <c r="B1248" s="111">
        <f t="shared" si="19"/>
        <v>61</v>
      </c>
      <c r="C1248" s="111"/>
      <c r="D1248" s="111"/>
      <c r="E1248" s="111"/>
    </row>
    <row r="1249" spans="1:5" x14ac:dyDescent="0.2">
      <c r="A1249" s="113">
        <v>35947</v>
      </c>
      <c r="B1249" s="111">
        <f t="shared" si="19"/>
        <v>61</v>
      </c>
      <c r="C1249" s="111"/>
      <c r="D1249" s="111"/>
      <c r="E1249" s="111"/>
    </row>
    <row r="1250" spans="1:5" x14ac:dyDescent="0.2">
      <c r="A1250" s="113">
        <v>35948</v>
      </c>
      <c r="B1250" s="111">
        <f t="shared" si="19"/>
        <v>61</v>
      </c>
      <c r="C1250" s="111"/>
      <c r="D1250" s="111"/>
      <c r="E1250" s="111"/>
    </row>
    <row r="1251" spans="1:5" x14ac:dyDescent="0.2">
      <c r="A1251" s="113">
        <v>35949</v>
      </c>
      <c r="B1251" s="111">
        <f t="shared" si="19"/>
        <v>61</v>
      </c>
      <c r="C1251" s="111"/>
      <c r="D1251" s="111"/>
      <c r="E1251" s="111"/>
    </row>
    <row r="1252" spans="1:5" x14ac:dyDescent="0.2">
      <c r="A1252" s="113">
        <v>35950</v>
      </c>
      <c r="B1252" s="111">
        <f t="shared" si="19"/>
        <v>61</v>
      </c>
      <c r="C1252" s="111"/>
      <c r="D1252" s="111"/>
      <c r="E1252" s="111"/>
    </row>
    <row r="1253" spans="1:5" x14ac:dyDescent="0.2">
      <c r="A1253" s="113">
        <v>35951</v>
      </c>
      <c r="B1253" s="111">
        <f t="shared" si="19"/>
        <v>61</v>
      </c>
      <c r="C1253" s="111"/>
      <c r="D1253" s="111"/>
      <c r="E1253" s="111"/>
    </row>
    <row r="1254" spans="1:5" x14ac:dyDescent="0.2">
      <c r="A1254" s="113">
        <v>35952</v>
      </c>
      <c r="B1254" s="111">
        <f t="shared" si="19"/>
        <v>61</v>
      </c>
      <c r="C1254" s="111"/>
      <c r="D1254" s="111"/>
      <c r="E1254" s="111"/>
    </row>
    <row r="1255" spans="1:5" x14ac:dyDescent="0.2">
      <c r="A1255" s="113">
        <v>35953</v>
      </c>
      <c r="B1255" s="111">
        <f t="shared" si="19"/>
        <v>62</v>
      </c>
      <c r="C1255" s="111"/>
      <c r="D1255" s="111"/>
      <c r="E1255" s="111"/>
    </row>
    <row r="1256" spans="1:5" x14ac:dyDescent="0.2">
      <c r="A1256" s="113">
        <v>35954</v>
      </c>
      <c r="B1256" s="111">
        <f t="shared" si="19"/>
        <v>62</v>
      </c>
      <c r="C1256" s="111"/>
      <c r="D1256" s="111"/>
      <c r="E1256" s="111"/>
    </row>
    <row r="1257" spans="1:5" x14ac:dyDescent="0.2">
      <c r="A1257" s="113">
        <v>35955</v>
      </c>
      <c r="B1257" s="111">
        <f t="shared" si="19"/>
        <v>62</v>
      </c>
      <c r="C1257" s="111"/>
      <c r="D1257" s="111"/>
      <c r="E1257" s="111"/>
    </row>
    <row r="1258" spans="1:5" x14ac:dyDescent="0.2">
      <c r="A1258" s="113">
        <v>35956</v>
      </c>
      <c r="B1258" s="111">
        <f t="shared" si="19"/>
        <v>62</v>
      </c>
      <c r="C1258" s="111"/>
      <c r="D1258" s="111"/>
      <c r="E1258" s="111"/>
    </row>
    <row r="1259" spans="1:5" x14ac:dyDescent="0.2">
      <c r="A1259" s="113">
        <v>35957</v>
      </c>
      <c r="B1259" s="111">
        <f t="shared" si="19"/>
        <v>62</v>
      </c>
      <c r="C1259" s="111"/>
      <c r="D1259" s="111"/>
      <c r="E1259" s="111"/>
    </row>
    <row r="1260" spans="1:5" x14ac:dyDescent="0.2">
      <c r="A1260" s="113">
        <v>35958</v>
      </c>
      <c r="B1260" s="111">
        <f t="shared" si="19"/>
        <v>62</v>
      </c>
      <c r="C1260" s="111"/>
      <c r="D1260" s="111"/>
      <c r="E1260" s="111"/>
    </row>
    <row r="1261" spans="1:5" x14ac:dyDescent="0.2">
      <c r="A1261" s="113">
        <v>35959</v>
      </c>
      <c r="B1261" s="111">
        <f t="shared" si="19"/>
        <v>62</v>
      </c>
      <c r="C1261" s="111"/>
      <c r="D1261" s="111"/>
      <c r="E1261" s="111"/>
    </row>
    <row r="1262" spans="1:5" x14ac:dyDescent="0.2">
      <c r="A1262" s="113">
        <v>35960</v>
      </c>
      <c r="B1262" s="111">
        <f t="shared" si="19"/>
        <v>63</v>
      </c>
      <c r="C1262" s="111"/>
      <c r="D1262" s="111"/>
      <c r="E1262" s="111"/>
    </row>
    <row r="1263" spans="1:5" x14ac:dyDescent="0.2">
      <c r="A1263" s="113">
        <v>35961</v>
      </c>
      <c r="B1263" s="111">
        <f t="shared" si="19"/>
        <v>63</v>
      </c>
      <c r="C1263" s="111"/>
      <c r="D1263" s="111"/>
      <c r="E1263" s="111"/>
    </row>
    <row r="1264" spans="1:5" x14ac:dyDescent="0.2">
      <c r="A1264" s="113">
        <v>35962</v>
      </c>
      <c r="B1264" s="111">
        <f t="shared" si="19"/>
        <v>63</v>
      </c>
      <c r="C1264" s="111"/>
      <c r="D1264" s="111"/>
      <c r="E1264" s="111"/>
    </row>
    <row r="1265" spans="1:5" x14ac:dyDescent="0.2">
      <c r="A1265" s="113">
        <v>35963</v>
      </c>
      <c r="B1265" s="111">
        <f t="shared" si="19"/>
        <v>63</v>
      </c>
      <c r="C1265" s="111"/>
      <c r="D1265" s="111"/>
      <c r="E1265" s="111"/>
    </row>
    <row r="1266" spans="1:5" x14ac:dyDescent="0.2">
      <c r="A1266" s="113">
        <v>35964</v>
      </c>
      <c r="B1266" s="111">
        <f t="shared" si="19"/>
        <v>63</v>
      </c>
      <c r="C1266" s="111"/>
      <c r="D1266" s="111"/>
      <c r="E1266" s="111"/>
    </row>
    <row r="1267" spans="1:5" x14ac:dyDescent="0.2">
      <c r="A1267" s="113">
        <v>35965</v>
      </c>
      <c r="B1267" s="111">
        <f t="shared" si="19"/>
        <v>63</v>
      </c>
      <c r="C1267" s="111"/>
      <c r="D1267" s="111"/>
      <c r="E1267" s="111"/>
    </row>
    <row r="1268" spans="1:5" x14ac:dyDescent="0.2">
      <c r="A1268" s="113">
        <v>35966</v>
      </c>
      <c r="B1268" s="111">
        <f t="shared" si="19"/>
        <v>63</v>
      </c>
      <c r="C1268" s="111"/>
      <c r="D1268" s="111"/>
      <c r="E1268" s="111"/>
    </row>
    <row r="1269" spans="1:5" x14ac:dyDescent="0.2">
      <c r="A1269" s="113">
        <v>35967</v>
      </c>
      <c r="B1269" s="111">
        <f t="shared" si="19"/>
        <v>64</v>
      </c>
      <c r="C1269" s="111"/>
      <c r="D1269" s="111"/>
      <c r="E1269" s="111"/>
    </row>
    <row r="1270" spans="1:5" x14ac:dyDescent="0.2">
      <c r="A1270" s="113">
        <v>35968</v>
      </c>
      <c r="B1270" s="111">
        <f t="shared" si="19"/>
        <v>64</v>
      </c>
      <c r="C1270" s="111"/>
      <c r="D1270" s="111"/>
      <c r="E1270" s="111"/>
    </row>
    <row r="1271" spans="1:5" x14ac:dyDescent="0.2">
      <c r="A1271" s="113">
        <v>35969</v>
      </c>
      <c r="B1271" s="111">
        <f t="shared" si="19"/>
        <v>64</v>
      </c>
      <c r="C1271" s="111"/>
      <c r="D1271" s="111"/>
      <c r="E1271" s="111"/>
    </row>
    <row r="1272" spans="1:5" x14ac:dyDescent="0.2">
      <c r="A1272" s="113">
        <v>35970</v>
      </c>
      <c r="B1272" s="111">
        <f t="shared" si="19"/>
        <v>64</v>
      </c>
      <c r="C1272" s="111"/>
      <c r="D1272" s="111"/>
      <c r="E1272" s="111"/>
    </row>
    <row r="1273" spans="1:5" x14ac:dyDescent="0.2">
      <c r="A1273" s="113">
        <v>35971</v>
      </c>
      <c r="B1273" s="111">
        <f t="shared" si="19"/>
        <v>64</v>
      </c>
      <c r="C1273" s="111"/>
      <c r="D1273" s="111"/>
      <c r="E1273" s="111"/>
    </row>
    <row r="1274" spans="1:5" x14ac:dyDescent="0.2">
      <c r="A1274" s="113">
        <v>35972</v>
      </c>
      <c r="B1274" s="111">
        <f t="shared" si="19"/>
        <v>64</v>
      </c>
      <c r="C1274" s="111"/>
      <c r="D1274" s="111"/>
      <c r="E1274" s="111"/>
    </row>
    <row r="1275" spans="1:5" x14ac:dyDescent="0.2">
      <c r="A1275" s="113">
        <v>35973</v>
      </c>
      <c r="B1275" s="111">
        <f t="shared" si="19"/>
        <v>64</v>
      </c>
      <c r="C1275" s="111"/>
      <c r="D1275" s="111"/>
      <c r="E1275" s="111"/>
    </row>
    <row r="1276" spans="1:5" x14ac:dyDescent="0.2">
      <c r="A1276" s="113">
        <v>35974</v>
      </c>
      <c r="B1276" s="111">
        <f t="shared" si="19"/>
        <v>71</v>
      </c>
      <c r="C1276" s="111"/>
      <c r="D1276" s="111"/>
      <c r="E1276" s="111"/>
    </row>
    <row r="1277" spans="1:5" x14ac:dyDescent="0.2">
      <c r="A1277" s="113">
        <v>35975</v>
      </c>
      <c r="B1277" s="111">
        <f t="shared" si="19"/>
        <v>71</v>
      </c>
      <c r="C1277" s="111"/>
      <c r="D1277" s="111"/>
      <c r="E1277" s="111"/>
    </row>
    <row r="1278" spans="1:5" x14ac:dyDescent="0.2">
      <c r="A1278" s="113">
        <v>35976</v>
      </c>
      <c r="B1278" s="111">
        <f t="shared" si="19"/>
        <v>71</v>
      </c>
      <c r="C1278" s="111"/>
      <c r="D1278" s="111"/>
      <c r="E1278" s="111"/>
    </row>
    <row r="1279" spans="1:5" x14ac:dyDescent="0.2">
      <c r="A1279" s="113">
        <v>35977</v>
      </c>
      <c r="B1279" s="111">
        <f t="shared" si="19"/>
        <v>71</v>
      </c>
      <c r="C1279" s="111"/>
      <c r="D1279" s="111"/>
      <c r="E1279" s="111"/>
    </row>
    <row r="1280" spans="1:5" x14ac:dyDescent="0.2">
      <c r="A1280" s="113">
        <v>35978</v>
      </c>
      <c r="B1280" s="111">
        <f t="shared" si="19"/>
        <v>71</v>
      </c>
      <c r="C1280" s="111"/>
      <c r="D1280" s="111"/>
      <c r="E1280" s="111"/>
    </row>
    <row r="1281" spans="1:5" x14ac:dyDescent="0.2">
      <c r="A1281" s="113">
        <v>35979</v>
      </c>
      <c r="B1281" s="111">
        <f t="shared" si="19"/>
        <v>71</v>
      </c>
      <c r="C1281" s="111"/>
      <c r="D1281" s="111"/>
      <c r="E1281" s="111"/>
    </row>
    <row r="1282" spans="1:5" x14ac:dyDescent="0.2">
      <c r="A1282" s="113">
        <v>35980</v>
      </c>
      <c r="B1282" s="111">
        <f t="shared" ref="B1282:B1345" si="20">VLOOKUP(WEEKNUM(A1282),$D$3:$E$58,2)</f>
        <v>71</v>
      </c>
      <c r="C1282" s="111"/>
      <c r="D1282" s="111"/>
      <c r="E1282" s="111"/>
    </row>
    <row r="1283" spans="1:5" x14ac:dyDescent="0.2">
      <c r="A1283" s="113">
        <v>35981</v>
      </c>
      <c r="B1283" s="111">
        <f t="shared" si="20"/>
        <v>72</v>
      </c>
      <c r="C1283" s="111"/>
      <c r="D1283" s="111"/>
      <c r="E1283" s="111"/>
    </row>
    <row r="1284" spans="1:5" x14ac:dyDescent="0.2">
      <c r="A1284" s="113">
        <v>35982</v>
      </c>
      <c r="B1284" s="111">
        <f t="shared" si="20"/>
        <v>72</v>
      </c>
      <c r="C1284" s="111"/>
      <c r="D1284" s="111"/>
      <c r="E1284" s="111"/>
    </row>
    <row r="1285" spans="1:5" x14ac:dyDescent="0.2">
      <c r="A1285" s="113">
        <v>35983</v>
      </c>
      <c r="B1285" s="111">
        <f t="shared" si="20"/>
        <v>72</v>
      </c>
      <c r="C1285" s="111"/>
      <c r="D1285" s="111"/>
      <c r="E1285" s="111"/>
    </row>
    <row r="1286" spans="1:5" x14ac:dyDescent="0.2">
      <c r="A1286" s="113">
        <v>35984</v>
      </c>
      <c r="B1286" s="111">
        <f t="shared" si="20"/>
        <v>72</v>
      </c>
      <c r="C1286" s="111"/>
      <c r="D1286" s="111"/>
      <c r="E1286" s="111"/>
    </row>
    <row r="1287" spans="1:5" x14ac:dyDescent="0.2">
      <c r="A1287" s="113">
        <v>35985</v>
      </c>
      <c r="B1287" s="111">
        <f t="shared" si="20"/>
        <v>72</v>
      </c>
      <c r="C1287" s="111"/>
      <c r="D1287" s="111"/>
      <c r="E1287" s="111"/>
    </row>
    <row r="1288" spans="1:5" x14ac:dyDescent="0.2">
      <c r="A1288" s="113">
        <v>35986</v>
      </c>
      <c r="B1288" s="111">
        <f t="shared" si="20"/>
        <v>72</v>
      </c>
      <c r="C1288" s="111"/>
      <c r="D1288" s="111"/>
      <c r="E1288" s="111"/>
    </row>
    <row r="1289" spans="1:5" x14ac:dyDescent="0.2">
      <c r="A1289" s="113">
        <v>35987</v>
      </c>
      <c r="B1289" s="111">
        <f t="shared" si="20"/>
        <v>72</v>
      </c>
      <c r="C1289" s="111"/>
      <c r="D1289" s="111"/>
      <c r="E1289" s="111"/>
    </row>
    <row r="1290" spans="1:5" x14ac:dyDescent="0.2">
      <c r="A1290" s="113">
        <v>35988</v>
      </c>
      <c r="B1290" s="111">
        <f t="shared" si="20"/>
        <v>73</v>
      </c>
      <c r="C1290" s="111"/>
      <c r="D1290" s="111"/>
      <c r="E1290" s="111"/>
    </row>
    <row r="1291" spans="1:5" x14ac:dyDescent="0.2">
      <c r="A1291" s="113">
        <v>35989</v>
      </c>
      <c r="B1291" s="111">
        <f t="shared" si="20"/>
        <v>73</v>
      </c>
      <c r="C1291" s="111"/>
      <c r="D1291" s="111"/>
      <c r="E1291" s="111"/>
    </row>
    <row r="1292" spans="1:5" x14ac:dyDescent="0.2">
      <c r="A1292" s="113">
        <v>35990</v>
      </c>
      <c r="B1292" s="111">
        <f t="shared" si="20"/>
        <v>73</v>
      </c>
      <c r="C1292" s="111"/>
      <c r="D1292" s="111"/>
      <c r="E1292" s="111"/>
    </row>
    <row r="1293" spans="1:5" x14ac:dyDescent="0.2">
      <c r="A1293" s="113">
        <v>35991</v>
      </c>
      <c r="B1293" s="111">
        <f t="shared" si="20"/>
        <v>73</v>
      </c>
      <c r="C1293" s="111"/>
      <c r="D1293" s="111"/>
      <c r="E1293" s="111"/>
    </row>
    <row r="1294" spans="1:5" x14ac:dyDescent="0.2">
      <c r="A1294" s="113">
        <v>35992</v>
      </c>
      <c r="B1294" s="111">
        <f t="shared" si="20"/>
        <v>73</v>
      </c>
      <c r="C1294" s="111"/>
      <c r="D1294" s="111"/>
      <c r="E1294" s="111"/>
    </row>
    <row r="1295" spans="1:5" x14ac:dyDescent="0.2">
      <c r="A1295" s="113">
        <v>35993</v>
      </c>
      <c r="B1295" s="111">
        <f t="shared" si="20"/>
        <v>73</v>
      </c>
      <c r="C1295" s="111"/>
      <c r="D1295" s="111"/>
      <c r="E1295" s="111"/>
    </row>
    <row r="1296" spans="1:5" x14ac:dyDescent="0.2">
      <c r="A1296" s="113">
        <v>35994</v>
      </c>
      <c r="B1296" s="111">
        <f t="shared" si="20"/>
        <v>73</v>
      </c>
      <c r="C1296" s="111"/>
      <c r="D1296" s="111"/>
      <c r="E1296" s="111"/>
    </row>
    <row r="1297" spans="1:5" x14ac:dyDescent="0.2">
      <c r="A1297" s="113">
        <v>35995</v>
      </c>
      <c r="B1297" s="111">
        <f t="shared" si="20"/>
        <v>74</v>
      </c>
      <c r="C1297" s="111"/>
      <c r="D1297" s="111"/>
      <c r="E1297" s="111"/>
    </row>
    <row r="1298" spans="1:5" x14ac:dyDescent="0.2">
      <c r="A1298" s="113">
        <v>35996</v>
      </c>
      <c r="B1298" s="111">
        <f t="shared" si="20"/>
        <v>74</v>
      </c>
      <c r="C1298" s="111"/>
      <c r="D1298" s="111"/>
      <c r="E1298" s="111"/>
    </row>
    <row r="1299" spans="1:5" x14ac:dyDescent="0.2">
      <c r="A1299" s="113">
        <v>35997</v>
      </c>
      <c r="B1299" s="111">
        <f t="shared" si="20"/>
        <v>74</v>
      </c>
      <c r="C1299" s="111"/>
      <c r="D1299" s="111"/>
      <c r="E1299" s="111"/>
    </row>
    <row r="1300" spans="1:5" x14ac:dyDescent="0.2">
      <c r="A1300" s="113">
        <v>35998</v>
      </c>
      <c r="B1300" s="111">
        <f t="shared" si="20"/>
        <v>74</v>
      </c>
      <c r="C1300" s="111"/>
      <c r="D1300" s="111"/>
      <c r="E1300" s="111"/>
    </row>
    <row r="1301" spans="1:5" x14ac:dyDescent="0.2">
      <c r="A1301" s="113">
        <v>35999</v>
      </c>
      <c r="B1301" s="111">
        <f t="shared" si="20"/>
        <v>74</v>
      </c>
      <c r="C1301" s="111"/>
      <c r="D1301" s="111"/>
      <c r="E1301" s="111"/>
    </row>
    <row r="1302" spans="1:5" x14ac:dyDescent="0.2">
      <c r="A1302" s="113">
        <v>36000</v>
      </c>
      <c r="B1302" s="111">
        <f t="shared" si="20"/>
        <v>74</v>
      </c>
      <c r="C1302" s="111"/>
      <c r="D1302" s="111"/>
      <c r="E1302" s="111"/>
    </row>
    <row r="1303" spans="1:5" x14ac:dyDescent="0.2">
      <c r="A1303" s="113">
        <v>36001</v>
      </c>
      <c r="B1303" s="111">
        <f t="shared" si="20"/>
        <v>74</v>
      </c>
      <c r="C1303" s="111"/>
      <c r="D1303" s="111"/>
      <c r="E1303" s="111"/>
    </row>
    <row r="1304" spans="1:5" x14ac:dyDescent="0.2">
      <c r="A1304" s="113">
        <v>36002</v>
      </c>
      <c r="B1304" s="111">
        <f t="shared" si="20"/>
        <v>75</v>
      </c>
      <c r="C1304" s="111"/>
      <c r="D1304" s="111"/>
      <c r="E1304" s="111"/>
    </row>
    <row r="1305" spans="1:5" x14ac:dyDescent="0.2">
      <c r="A1305" s="113">
        <v>36003</v>
      </c>
      <c r="B1305" s="111">
        <f t="shared" si="20"/>
        <v>75</v>
      </c>
      <c r="C1305" s="111"/>
      <c r="D1305" s="111"/>
      <c r="E1305" s="111"/>
    </row>
    <row r="1306" spans="1:5" x14ac:dyDescent="0.2">
      <c r="A1306" s="113">
        <v>36004</v>
      </c>
      <c r="B1306" s="111">
        <f t="shared" si="20"/>
        <v>75</v>
      </c>
      <c r="C1306" s="111"/>
      <c r="D1306" s="111"/>
      <c r="E1306" s="111"/>
    </row>
    <row r="1307" spans="1:5" x14ac:dyDescent="0.2">
      <c r="A1307" s="113">
        <v>36005</v>
      </c>
      <c r="B1307" s="111">
        <f t="shared" si="20"/>
        <v>75</v>
      </c>
      <c r="C1307" s="111"/>
      <c r="D1307" s="111"/>
      <c r="E1307" s="111"/>
    </row>
    <row r="1308" spans="1:5" x14ac:dyDescent="0.2">
      <c r="A1308" s="113">
        <v>36006</v>
      </c>
      <c r="B1308" s="111">
        <f t="shared" si="20"/>
        <v>75</v>
      </c>
      <c r="C1308" s="111"/>
      <c r="D1308" s="111"/>
      <c r="E1308" s="111"/>
    </row>
    <row r="1309" spans="1:5" x14ac:dyDescent="0.2">
      <c r="A1309" s="113">
        <v>36007</v>
      </c>
      <c r="B1309" s="111">
        <f t="shared" si="20"/>
        <v>75</v>
      </c>
      <c r="C1309" s="111"/>
      <c r="D1309" s="111"/>
      <c r="E1309" s="111"/>
    </row>
    <row r="1310" spans="1:5" x14ac:dyDescent="0.2">
      <c r="A1310" s="113">
        <v>36008</v>
      </c>
      <c r="B1310" s="111">
        <f t="shared" si="20"/>
        <v>75</v>
      </c>
      <c r="C1310" s="111"/>
      <c r="D1310" s="111"/>
      <c r="E1310" s="111"/>
    </row>
    <row r="1311" spans="1:5" x14ac:dyDescent="0.2">
      <c r="A1311" s="113">
        <v>36009</v>
      </c>
      <c r="B1311" s="111">
        <f t="shared" si="20"/>
        <v>81</v>
      </c>
      <c r="C1311" s="111"/>
      <c r="D1311" s="111"/>
      <c r="E1311" s="111"/>
    </row>
    <row r="1312" spans="1:5" x14ac:dyDescent="0.2">
      <c r="A1312" s="113">
        <v>36010</v>
      </c>
      <c r="B1312" s="111">
        <f t="shared" si="20"/>
        <v>81</v>
      </c>
      <c r="C1312" s="111"/>
      <c r="D1312" s="111"/>
      <c r="E1312" s="111"/>
    </row>
    <row r="1313" spans="1:5" x14ac:dyDescent="0.2">
      <c r="A1313" s="113">
        <v>36011</v>
      </c>
      <c r="B1313" s="111">
        <f t="shared" si="20"/>
        <v>81</v>
      </c>
      <c r="C1313" s="111"/>
      <c r="D1313" s="111"/>
      <c r="E1313" s="111"/>
    </row>
    <row r="1314" spans="1:5" x14ac:dyDescent="0.2">
      <c r="A1314" s="113">
        <v>36012</v>
      </c>
      <c r="B1314" s="111">
        <f t="shared" si="20"/>
        <v>81</v>
      </c>
      <c r="C1314" s="111"/>
      <c r="D1314" s="111"/>
      <c r="E1314" s="111"/>
    </row>
    <row r="1315" spans="1:5" x14ac:dyDescent="0.2">
      <c r="A1315" s="113">
        <v>36013</v>
      </c>
      <c r="B1315" s="111">
        <f t="shared" si="20"/>
        <v>81</v>
      </c>
      <c r="C1315" s="111"/>
      <c r="D1315" s="111"/>
      <c r="E1315" s="111"/>
    </row>
    <row r="1316" spans="1:5" x14ac:dyDescent="0.2">
      <c r="A1316" s="113">
        <v>36014</v>
      </c>
      <c r="B1316" s="111">
        <f t="shared" si="20"/>
        <v>81</v>
      </c>
      <c r="C1316" s="111"/>
      <c r="D1316" s="111"/>
      <c r="E1316" s="111"/>
    </row>
    <row r="1317" spans="1:5" x14ac:dyDescent="0.2">
      <c r="A1317" s="113">
        <v>36015</v>
      </c>
      <c r="B1317" s="111">
        <f t="shared" si="20"/>
        <v>81</v>
      </c>
      <c r="C1317" s="111"/>
      <c r="D1317" s="111"/>
      <c r="E1317" s="111"/>
    </row>
    <row r="1318" spans="1:5" x14ac:dyDescent="0.2">
      <c r="A1318" s="113">
        <v>36016</v>
      </c>
      <c r="B1318" s="111">
        <f t="shared" si="20"/>
        <v>82</v>
      </c>
      <c r="C1318" s="111"/>
      <c r="D1318" s="111"/>
      <c r="E1318" s="111"/>
    </row>
    <row r="1319" spans="1:5" x14ac:dyDescent="0.2">
      <c r="A1319" s="113">
        <v>36017</v>
      </c>
      <c r="B1319" s="111">
        <f t="shared" si="20"/>
        <v>82</v>
      </c>
      <c r="C1319" s="111"/>
      <c r="D1319" s="111"/>
      <c r="E1319" s="111"/>
    </row>
    <row r="1320" spans="1:5" x14ac:dyDescent="0.2">
      <c r="A1320" s="113">
        <v>36018</v>
      </c>
      <c r="B1320" s="111">
        <f t="shared" si="20"/>
        <v>82</v>
      </c>
      <c r="C1320" s="111"/>
      <c r="D1320" s="111"/>
      <c r="E1320" s="111"/>
    </row>
    <row r="1321" spans="1:5" x14ac:dyDescent="0.2">
      <c r="A1321" s="113">
        <v>36019</v>
      </c>
      <c r="B1321" s="111">
        <f t="shared" si="20"/>
        <v>82</v>
      </c>
      <c r="C1321" s="111"/>
      <c r="D1321" s="111"/>
      <c r="E1321" s="111"/>
    </row>
    <row r="1322" spans="1:5" x14ac:dyDescent="0.2">
      <c r="A1322" s="113">
        <v>36020</v>
      </c>
      <c r="B1322" s="111">
        <f t="shared" si="20"/>
        <v>82</v>
      </c>
      <c r="C1322" s="111"/>
      <c r="D1322" s="111"/>
      <c r="E1322" s="111"/>
    </row>
    <row r="1323" spans="1:5" x14ac:dyDescent="0.2">
      <c r="A1323" s="113">
        <v>36021</v>
      </c>
      <c r="B1323" s="111">
        <f t="shared" si="20"/>
        <v>82</v>
      </c>
      <c r="C1323" s="111"/>
      <c r="D1323" s="111"/>
      <c r="E1323" s="111"/>
    </row>
    <row r="1324" spans="1:5" x14ac:dyDescent="0.2">
      <c r="A1324" s="113">
        <v>36022</v>
      </c>
      <c r="B1324" s="111">
        <f t="shared" si="20"/>
        <v>82</v>
      </c>
      <c r="C1324" s="111"/>
      <c r="D1324" s="111"/>
      <c r="E1324" s="111"/>
    </row>
    <row r="1325" spans="1:5" x14ac:dyDescent="0.2">
      <c r="A1325" s="113">
        <v>36023</v>
      </c>
      <c r="B1325" s="111">
        <f t="shared" si="20"/>
        <v>83</v>
      </c>
      <c r="C1325" s="111"/>
      <c r="D1325" s="111"/>
      <c r="E1325" s="111"/>
    </row>
    <row r="1326" spans="1:5" x14ac:dyDescent="0.2">
      <c r="A1326" s="113">
        <v>36024</v>
      </c>
      <c r="B1326" s="111">
        <f t="shared" si="20"/>
        <v>83</v>
      </c>
      <c r="C1326" s="111"/>
      <c r="D1326" s="111"/>
      <c r="E1326" s="111"/>
    </row>
    <row r="1327" spans="1:5" x14ac:dyDescent="0.2">
      <c r="A1327" s="113">
        <v>36025</v>
      </c>
      <c r="B1327" s="111">
        <f t="shared" si="20"/>
        <v>83</v>
      </c>
      <c r="C1327" s="111"/>
      <c r="D1327" s="111"/>
      <c r="E1327" s="111"/>
    </row>
    <row r="1328" spans="1:5" x14ac:dyDescent="0.2">
      <c r="A1328" s="113">
        <v>36026</v>
      </c>
      <c r="B1328" s="111">
        <f t="shared" si="20"/>
        <v>83</v>
      </c>
      <c r="C1328" s="111"/>
      <c r="D1328" s="111"/>
      <c r="E1328" s="111"/>
    </row>
    <row r="1329" spans="1:5" x14ac:dyDescent="0.2">
      <c r="A1329" s="113">
        <v>36027</v>
      </c>
      <c r="B1329" s="111">
        <f t="shared" si="20"/>
        <v>83</v>
      </c>
      <c r="C1329" s="111"/>
      <c r="D1329" s="111"/>
      <c r="E1329" s="111"/>
    </row>
    <row r="1330" spans="1:5" x14ac:dyDescent="0.2">
      <c r="A1330" s="113">
        <v>36028</v>
      </c>
      <c r="B1330" s="111">
        <f t="shared" si="20"/>
        <v>83</v>
      </c>
      <c r="C1330" s="111"/>
      <c r="D1330" s="111"/>
      <c r="E1330" s="111"/>
    </row>
    <row r="1331" spans="1:5" x14ac:dyDescent="0.2">
      <c r="A1331" s="113">
        <v>36029</v>
      </c>
      <c r="B1331" s="111">
        <f t="shared" si="20"/>
        <v>83</v>
      </c>
      <c r="C1331" s="111"/>
      <c r="D1331" s="111"/>
      <c r="E1331" s="111"/>
    </row>
    <row r="1332" spans="1:5" x14ac:dyDescent="0.2">
      <c r="A1332" s="113">
        <v>36030</v>
      </c>
      <c r="B1332" s="111">
        <f t="shared" si="20"/>
        <v>84</v>
      </c>
      <c r="C1332" s="111"/>
      <c r="D1332" s="111"/>
      <c r="E1332" s="111"/>
    </row>
    <row r="1333" spans="1:5" x14ac:dyDescent="0.2">
      <c r="A1333" s="113">
        <v>36031</v>
      </c>
      <c r="B1333" s="111">
        <f t="shared" si="20"/>
        <v>84</v>
      </c>
      <c r="C1333" s="111"/>
      <c r="D1333" s="111"/>
      <c r="E1333" s="111"/>
    </row>
    <row r="1334" spans="1:5" x14ac:dyDescent="0.2">
      <c r="A1334" s="113">
        <v>36032</v>
      </c>
      <c r="B1334" s="111">
        <f t="shared" si="20"/>
        <v>84</v>
      </c>
      <c r="C1334" s="111"/>
      <c r="D1334" s="111"/>
      <c r="E1334" s="111"/>
    </row>
    <row r="1335" spans="1:5" x14ac:dyDescent="0.2">
      <c r="A1335" s="113">
        <v>36033</v>
      </c>
      <c r="B1335" s="111">
        <f t="shared" si="20"/>
        <v>84</v>
      </c>
      <c r="C1335" s="111"/>
      <c r="D1335" s="111"/>
      <c r="E1335" s="111"/>
    </row>
    <row r="1336" spans="1:5" x14ac:dyDescent="0.2">
      <c r="A1336" s="113">
        <v>36034</v>
      </c>
      <c r="B1336" s="111">
        <f t="shared" si="20"/>
        <v>84</v>
      </c>
      <c r="C1336" s="111"/>
      <c r="D1336" s="111"/>
      <c r="E1336" s="111"/>
    </row>
    <row r="1337" spans="1:5" x14ac:dyDescent="0.2">
      <c r="A1337" s="113">
        <v>36035</v>
      </c>
      <c r="B1337" s="111">
        <f t="shared" si="20"/>
        <v>84</v>
      </c>
      <c r="C1337" s="111"/>
      <c r="D1337" s="111"/>
      <c r="E1337" s="111"/>
    </row>
    <row r="1338" spans="1:5" x14ac:dyDescent="0.2">
      <c r="A1338" s="113">
        <v>36036</v>
      </c>
      <c r="B1338" s="111">
        <f t="shared" si="20"/>
        <v>84</v>
      </c>
      <c r="C1338" s="111"/>
      <c r="D1338" s="111"/>
      <c r="E1338" s="111"/>
    </row>
    <row r="1339" spans="1:5" x14ac:dyDescent="0.2">
      <c r="A1339" s="113">
        <v>36037</v>
      </c>
      <c r="B1339" s="111">
        <f t="shared" si="20"/>
        <v>91</v>
      </c>
      <c r="C1339" s="111"/>
      <c r="D1339" s="111"/>
      <c r="E1339" s="111"/>
    </row>
    <row r="1340" spans="1:5" x14ac:dyDescent="0.2">
      <c r="A1340" s="113">
        <v>36038</v>
      </c>
      <c r="B1340" s="111">
        <f t="shared" si="20"/>
        <v>91</v>
      </c>
      <c r="C1340" s="111"/>
      <c r="D1340" s="111"/>
      <c r="E1340" s="111"/>
    </row>
    <row r="1341" spans="1:5" x14ac:dyDescent="0.2">
      <c r="A1341" s="113">
        <v>36039</v>
      </c>
      <c r="B1341" s="111">
        <f t="shared" si="20"/>
        <v>91</v>
      </c>
      <c r="C1341" s="111"/>
      <c r="D1341" s="111"/>
      <c r="E1341" s="111"/>
    </row>
    <row r="1342" spans="1:5" x14ac:dyDescent="0.2">
      <c r="A1342" s="113">
        <v>36040</v>
      </c>
      <c r="B1342" s="111">
        <f t="shared" si="20"/>
        <v>91</v>
      </c>
      <c r="C1342" s="111"/>
      <c r="D1342" s="111"/>
      <c r="E1342" s="111"/>
    </row>
    <row r="1343" spans="1:5" x14ac:dyDescent="0.2">
      <c r="A1343" s="113">
        <v>36041</v>
      </c>
      <c r="B1343" s="111">
        <f t="shared" si="20"/>
        <v>91</v>
      </c>
      <c r="C1343" s="111"/>
      <c r="D1343" s="111"/>
      <c r="E1343" s="111"/>
    </row>
    <row r="1344" spans="1:5" x14ac:dyDescent="0.2">
      <c r="A1344" s="113">
        <v>36042</v>
      </c>
      <c r="B1344" s="111">
        <f t="shared" si="20"/>
        <v>91</v>
      </c>
      <c r="C1344" s="111"/>
      <c r="D1344" s="111"/>
      <c r="E1344" s="111"/>
    </row>
    <row r="1345" spans="1:5" x14ac:dyDescent="0.2">
      <c r="A1345" s="113">
        <v>36043</v>
      </c>
      <c r="B1345" s="111">
        <f t="shared" si="20"/>
        <v>91</v>
      </c>
      <c r="C1345" s="111"/>
      <c r="D1345" s="111"/>
      <c r="E1345" s="111"/>
    </row>
    <row r="1346" spans="1:5" x14ac:dyDescent="0.2">
      <c r="A1346" s="113">
        <v>36044</v>
      </c>
      <c r="B1346" s="111">
        <f t="shared" ref="B1346:B1409" si="21">VLOOKUP(WEEKNUM(A1346),$D$3:$E$58,2)</f>
        <v>92</v>
      </c>
      <c r="C1346" s="111"/>
      <c r="D1346" s="111"/>
      <c r="E1346" s="111"/>
    </row>
    <row r="1347" spans="1:5" x14ac:dyDescent="0.2">
      <c r="A1347" s="113">
        <v>36045</v>
      </c>
      <c r="B1347" s="111">
        <f t="shared" si="21"/>
        <v>92</v>
      </c>
      <c r="C1347" s="111"/>
      <c r="D1347" s="111"/>
      <c r="E1347" s="111"/>
    </row>
    <row r="1348" spans="1:5" x14ac:dyDescent="0.2">
      <c r="A1348" s="113">
        <v>36046</v>
      </c>
      <c r="B1348" s="111">
        <f t="shared" si="21"/>
        <v>92</v>
      </c>
      <c r="C1348" s="111"/>
      <c r="D1348" s="111"/>
      <c r="E1348" s="111"/>
    </row>
    <row r="1349" spans="1:5" x14ac:dyDescent="0.2">
      <c r="A1349" s="113">
        <v>36047</v>
      </c>
      <c r="B1349" s="111">
        <f t="shared" si="21"/>
        <v>92</v>
      </c>
      <c r="C1349" s="111"/>
      <c r="D1349" s="111"/>
      <c r="E1349" s="111"/>
    </row>
    <row r="1350" spans="1:5" x14ac:dyDescent="0.2">
      <c r="A1350" s="113">
        <v>36048</v>
      </c>
      <c r="B1350" s="111">
        <f t="shared" si="21"/>
        <v>92</v>
      </c>
      <c r="C1350" s="111"/>
      <c r="D1350" s="111"/>
      <c r="E1350" s="111"/>
    </row>
    <row r="1351" spans="1:5" x14ac:dyDescent="0.2">
      <c r="A1351" s="113">
        <v>36049</v>
      </c>
      <c r="B1351" s="111">
        <f t="shared" si="21"/>
        <v>92</v>
      </c>
      <c r="C1351" s="111"/>
      <c r="D1351" s="111"/>
      <c r="E1351" s="111"/>
    </row>
    <row r="1352" spans="1:5" x14ac:dyDescent="0.2">
      <c r="A1352" s="113">
        <v>36050</v>
      </c>
      <c r="B1352" s="111">
        <f t="shared" si="21"/>
        <v>92</v>
      </c>
      <c r="C1352" s="111"/>
      <c r="D1352" s="111"/>
      <c r="E1352" s="111"/>
    </row>
    <row r="1353" spans="1:5" x14ac:dyDescent="0.2">
      <c r="A1353" s="113">
        <v>36051</v>
      </c>
      <c r="B1353" s="111">
        <f t="shared" si="21"/>
        <v>93</v>
      </c>
      <c r="C1353" s="111"/>
      <c r="D1353" s="111"/>
      <c r="E1353" s="111"/>
    </row>
    <row r="1354" spans="1:5" x14ac:dyDescent="0.2">
      <c r="A1354" s="113">
        <v>36052</v>
      </c>
      <c r="B1354" s="111">
        <f t="shared" si="21"/>
        <v>93</v>
      </c>
      <c r="C1354" s="111"/>
      <c r="D1354" s="111"/>
      <c r="E1354" s="111"/>
    </row>
    <row r="1355" spans="1:5" x14ac:dyDescent="0.2">
      <c r="A1355" s="113">
        <v>36053</v>
      </c>
      <c r="B1355" s="111">
        <f t="shared" si="21"/>
        <v>93</v>
      </c>
      <c r="C1355" s="111"/>
      <c r="D1355" s="111"/>
      <c r="E1355" s="111"/>
    </row>
    <row r="1356" spans="1:5" x14ac:dyDescent="0.2">
      <c r="A1356" s="113">
        <v>36054</v>
      </c>
      <c r="B1356" s="111">
        <f t="shared" si="21"/>
        <v>93</v>
      </c>
      <c r="C1356" s="111"/>
      <c r="D1356" s="111"/>
      <c r="E1356" s="111"/>
    </row>
    <row r="1357" spans="1:5" x14ac:dyDescent="0.2">
      <c r="A1357" s="113">
        <v>36055</v>
      </c>
      <c r="B1357" s="111">
        <f t="shared" si="21"/>
        <v>93</v>
      </c>
      <c r="C1357" s="111"/>
      <c r="D1357" s="111"/>
      <c r="E1357" s="111"/>
    </row>
    <row r="1358" spans="1:5" x14ac:dyDescent="0.2">
      <c r="A1358" s="113">
        <v>36056</v>
      </c>
      <c r="B1358" s="111">
        <f t="shared" si="21"/>
        <v>93</v>
      </c>
      <c r="C1358" s="111"/>
      <c r="D1358" s="111"/>
      <c r="E1358" s="111"/>
    </row>
    <row r="1359" spans="1:5" x14ac:dyDescent="0.2">
      <c r="A1359" s="113">
        <v>36057</v>
      </c>
      <c r="B1359" s="111">
        <f t="shared" si="21"/>
        <v>93</v>
      </c>
      <c r="C1359" s="111"/>
      <c r="D1359" s="111"/>
      <c r="E1359" s="111"/>
    </row>
    <row r="1360" spans="1:5" x14ac:dyDescent="0.2">
      <c r="A1360" s="113">
        <v>36058</v>
      </c>
      <c r="B1360" s="111">
        <f t="shared" si="21"/>
        <v>94</v>
      </c>
      <c r="C1360" s="111"/>
      <c r="D1360" s="111"/>
      <c r="E1360" s="111"/>
    </row>
    <row r="1361" spans="1:5" x14ac:dyDescent="0.2">
      <c r="A1361" s="113">
        <v>36059</v>
      </c>
      <c r="B1361" s="111">
        <f t="shared" si="21"/>
        <v>94</v>
      </c>
      <c r="C1361" s="111"/>
      <c r="D1361" s="111"/>
      <c r="E1361" s="111"/>
    </row>
    <row r="1362" spans="1:5" x14ac:dyDescent="0.2">
      <c r="A1362" s="113">
        <v>36060</v>
      </c>
      <c r="B1362" s="111">
        <f t="shared" si="21"/>
        <v>94</v>
      </c>
      <c r="C1362" s="111"/>
      <c r="D1362" s="111"/>
      <c r="E1362" s="111"/>
    </row>
    <row r="1363" spans="1:5" x14ac:dyDescent="0.2">
      <c r="A1363" s="113">
        <v>36061</v>
      </c>
      <c r="B1363" s="111">
        <f t="shared" si="21"/>
        <v>94</v>
      </c>
      <c r="C1363" s="111"/>
      <c r="D1363" s="111"/>
      <c r="E1363" s="111"/>
    </row>
    <row r="1364" spans="1:5" x14ac:dyDescent="0.2">
      <c r="A1364" s="113">
        <v>36062</v>
      </c>
      <c r="B1364" s="111">
        <f t="shared" si="21"/>
        <v>94</v>
      </c>
      <c r="C1364" s="111"/>
      <c r="D1364" s="111"/>
      <c r="E1364" s="111"/>
    </row>
    <row r="1365" spans="1:5" x14ac:dyDescent="0.2">
      <c r="A1365" s="113">
        <v>36063</v>
      </c>
      <c r="B1365" s="111">
        <f t="shared" si="21"/>
        <v>94</v>
      </c>
      <c r="C1365" s="111"/>
      <c r="D1365" s="111"/>
      <c r="E1365" s="111"/>
    </row>
    <row r="1366" spans="1:5" x14ac:dyDescent="0.2">
      <c r="A1366" s="113">
        <v>36064</v>
      </c>
      <c r="B1366" s="111">
        <f t="shared" si="21"/>
        <v>94</v>
      </c>
      <c r="C1366" s="111"/>
      <c r="D1366" s="111"/>
      <c r="E1366" s="111"/>
    </row>
    <row r="1367" spans="1:5" x14ac:dyDescent="0.2">
      <c r="A1367" s="113">
        <v>36065</v>
      </c>
      <c r="B1367" s="111">
        <f t="shared" si="21"/>
        <v>101</v>
      </c>
      <c r="C1367" s="111"/>
      <c r="D1367" s="111"/>
      <c r="E1367" s="111"/>
    </row>
    <row r="1368" spans="1:5" x14ac:dyDescent="0.2">
      <c r="A1368" s="113">
        <v>36066</v>
      </c>
      <c r="B1368" s="111">
        <f t="shared" si="21"/>
        <v>101</v>
      </c>
      <c r="C1368" s="111"/>
      <c r="D1368" s="111"/>
      <c r="E1368" s="111"/>
    </row>
    <row r="1369" spans="1:5" x14ac:dyDescent="0.2">
      <c r="A1369" s="113">
        <v>36067</v>
      </c>
      <c r="B1369" s="111">
        <f t="shared" si="21"/>
        <v>101</v>
      </c>
      <c r="C1369" s="111"/>
      <c r="D1369" s="111"/>
      <c r="E1369" s="111"/>
    </row>
    <row r="1370" spans="1:5" x14ac:dyDescent="0.2">
      <c r="A1370" s="113">
        <v>36068</v>
      </c>
      <c r="B1370" s="111">
        <f t="shared" si="21"/>
        <v>101</v>
      </c>
      <c r="C1370" s="111"/>
      <c r="D1370" s="111"/>
      <c r="E1370" s="111"/>
    </row>
    <row r="1371" spans="1:5" x14ac:dyDescent="0.2">
      <c r="A1371" s="113">
        <v>36069</v>
      </c>
      <c r="B1371" s="111">
        <f t="shared" si="21"/>
        <v>101</v>
      </c>
      <c r="C1371" s="111"/>
      <c r="D1371" s="111"/>
      <c r="E1371" s="111"/>
    </row>
    <row r="1372" spans="1:5" x14ac:dyDescent="0.2">
      <c r="A1372" s="113">
        <v>36070</v>
      </c>
      <c r="B1372" s="111">
        <f t="shared" si="21"/>
        <v>101</v>
      </c>
      <c r="C1372" s="111"/>
      <c r="D1372" s="111"/>
      <c r="E1372" s="111"/>
    </row>
    <row r="1373" spans="1:5" x14ac:dyDescent="0.2">
      <c r="A1373" s="113">
        <v>36071</v>
      </c>
      <c r="B1373" s="111">
        <f t="shared" si="21"/>
        <v>101</v>
      </c>
      <c r="C1373" s="111"/>
      <c r="D1373" s="111"/>
      <c r="E1373" s="111"/>
    </row>
    <row r="1374" spans="1:5" x14ac:dyDescent="0.2">
      <c r="A1374" s="113">
        <v>36072</v>
      </c>
      <c r="B1374" s="111">
        <f t="shared" si="21"/>
        <v>102</v>
      </c>
      <c r="C1374" s="111"/>
      <c r="D1374" s="111"/>
      <c r="E1374" s="111"/>
    </row>
    <row r="1375" spans="1:5" x14ac:dyDescent="0.2">
      <c r="A1375" s="113">
        <v>36073</v>
      </c>
      <c r="B1375" s="111">
        <f t="shared" si="21"/>
        <v>102</v>
      </c>
      <c r="C1375" s="111"/>
      <c r="D1375" s="111"/>
      <c r="E1375" s="111"/>
    </row>
    <row r="1376" spans="1:5" x14ac:dyDescent="0.2">
      <c r="A1376" s="113">
        <v>36074</v>
      </c>
      <c r="B1376" s="111">
        <f t="shared" si="21"/>
        <v>102</v>
      </c>
      <c r="C1376" s="111"/>
      <c r="D1376" s="111"/>
      <c r="E1376" s="111"/>
    </row>
    <row r="1377" spans="1:5" x14ac:dyDescent="0.2">
      <c r="A1377" s="113">
        <v>36075</v>
      </c>
      <c r="B1377" s="111">
        <f t="shared" si="21"/>
        <v>102</v>
      </c>
      <c r="C1377" s="111"/>
      <c r="D1377" s="111"/>
      <c r="E1377" s="111"/>
    </row>
    <row r="1378" spans="1:5" x14ac:dyDescent="0.2">
      <c r="A1378" s="113">
        <v>36076</v>
      </c>
      <c r="B1378" s="111">
        <f t="shared" si="21"/>
        <v>102</v>
      </c>
      <c r="C1378" s="111"/>
      <c r="D1378" s="111"/>
      <c r="E1378" s="111"/>
    </row>
    <row r="1379" spans="1:5" x14ac:dyDescent="0.2">
      <c r="A1379" s="113">
        <v>36077</v>
      </c>
      <c r="B1379" s="111">
        <f t="shared" si="21"/>
        <v>102</v>
      </c>
      <c r="C1379" s="111"/>
      <c r="D1379" s="111"/>
      <c r="E1379" s="111"/>
    </row>
    <row r="1380" spans="1:5" x14ac:dyDescent="0.2">
      <c r="A1380" s="113">
        <v>36078</v>
      </c>
      <c r="B1380" s="111">
        <f t="shared" si="21"/>
        <v>102</v>
      </c>
      <c r="C1380" s="111"/>
      <c r="D1380" s="111"/>
      <c r="E1380" s="111"/>
    </row>
    <row r="1381" spans="1:5" x14ac:dyDescent="0.2">
      <c r="A1381" s="113">
        <v>36079</v>
      </c>
      <c r="B1381" s="111">
        <f t="shared" si="21"/>
        <v>103</v>
      </c>
      <c r="C1381" s="111"/>
      <c r="D1381" s="111"/>
      <c r="E1381" s="111"/>
    </row>
    <row r="1382" spans="1:5" x14ac:dyDescent="0.2">
      <c r="A1382" s="113">
        <v>36080</v>
      </c>
      <c r="B1382" s="111">
        <f t="shared" si="21"/>
        <v>103</v>
      </c>
      <c r="C1382" s="111"/>
      <c r="D1382" s="111"/>
      <c r="E1382" s="111"/>
    </row>
    <row r="1383" spans="1:5" x14ac:dyDescent="0.2">
      <c r="A1383" s="113">
        <v>36081</v>
      </c>
      <c r="B1383" s="111">
        <f t="shared" si="21"/>
        <v>103</v>
      </c>
      <c r="C1383" s="111"/>
      <c r="D1383" s="111"/>
      <c r="E1383" s="111"/>
    </row>
    <row r="1384" spans="1:5" x14ac:dyDescent="0.2">
      <c r="A1384" s="113">
        <v>36082</v>
      </c>
      <c r="B1384" s="111">
        <f t="shared" si="21"/>
        <v>103</v>
      </c>
      <c r="C1384" s="111"/>
      <c r="D1384" s="111"/>
      <c r="E1384" s="111"/>
    </row>
    <row r="1385" spans="1:5" x14ac:dyDescent="0.2">
      <c r="A1385" s="113">
        <v>36083</v>
      </c>
      <c r="B1385" s="111">
        <f t="shared" si="21"/>
        <v>103</v>
      </c>
      <c r="C1385" s="111"/>
      <c r="D1385" s="111"/>
      <c r="E1385" s="111"/>
    </row>
    <row r="1386" spans="1:5" x14ac:dyDescent="0.2">
      <c r="A1386" s="113">
        <v>36084</v>
      </c>
      <c r="B1386" s="111">
        <f t="shared" si="21"/>
        <v>103</v>
      </c>
      <c r="C1386" s="111"/>
      <c r="D1386" s="111"/>
      <c r="E1386" s="111"/>
    </row>
    <row r="1387" spans="1:5" x14ac:dyDescent="0.2">
      <c r="A1387" s="113">
        <v>36085</v>
      </c>
      <c r="B1387" s="111">
        <f t="shared" si="21"/>
        <v>103</v>
      </c>
      <c r="C1387" s="111"/>
      <c r="D1387" s="111"/>
      <c r="E1387" s="111"/>
    </row>
    <row r="1388" spans="1:5" x14ac:dyDescent="0.2">
      <c r="A1388" s="113">
        <v>36086</v>
      </c>
      <c r="B1388" s="111">
        <f t="shared" si="21"/>
        <v>104</v>
      </c>
      <c r="C1388" s="111"/>
      <c r="D1388" s="111"/>
      <c r="E1388" s="111"/>
    </row>
    <row r="1389" spans="1:5" x14ac:dyDescent="0.2">
      <c r="A1389" s="113">
        <v>36087</v>
      </c>
      <c r="B1389" s="111">
        <f t="shared" si="21"/>
        <v>104</v>
      </c>
      <c r="C1389" s="111"/>
      <c r="D1389" s="111"/>
      <c r="E1389" s="111"/>
    </row>
    <row r="1390" spans="1:5" x14ac:dyDescent="0.2">
      <c r="A1390" s="113">
        <v>36088</v>
      </c>
      <c r="B1390" s="111">
        <f t="shared" si="21"/>
        <v>104</v>
      </c>
      <c r="C1390" s="111"/>
      <c r="D1390" s="111"/>
      <c r="E1390" s="111"/>
    </row>
    <row r="1391" spans="1:5" x14ac:dyDescent="0.2">
      <c r="A1391" s="113">
        <v>36089</v>
      </c>
      <c r="B1391" s="111">
        <f t="shared" si="21"/>
        <v>104</v>
      </c>
      <c r="C1391" s="111"/>
      <c r="D1391" s="111"/>
      <c r="E1391" s="111"/>
    </row>
    <row r="1392" spans="1:5" x14ac:dyDescent="0.2">
      <c r="A1392" s="113">
        <v>36090</v>
      </c>
      <c r="B1392" s="111">
        <f t="shared" si="21"/>
        <v>104</v>
      </c>
      <c r="C1392" s="111"/>
      <c r="D1392" s="111"/>
      <c r="E1392" s="111"/>
    </row>
    <row r="1393" spans="1:5" x14ac:dyDescent="0.2">
      <c r="A1393" s="113">
        <v>36091</v>
      </c>
      <c r="B1393" s="111">
        <f t="shared" si="21"/>
        <v>104</v>
      </c>
      <c r="C1393" s="111"/>
      <c r="D1393" s="111"/>
      <c r="E1393" s="111"/>
    </row>
    <row r="1394" spans="1:5" x14ac:dyDescent="0.2">
      <c r="A1394" s="113">
        <v>36092</v>
      </c>
      <c r="B1394" s="111">
        <f t="shared" si="21"/>
        <v>104</v>
      </c>
      <c r="C1394" s="111"/>
      <c r="D1394" s="111"/>
      <c r="E1394" s="111"/>
    </row>
    <row r="1395" spans="1:5" x14ac:dyDescent="0.2">
      <c r="A1395" s="113">
        <v>36093</v>
      </c>
      <c r="B1395" s="111">
        <f t="shared" si="21"/>
        <v>105</v>
      </c>
      <c r="C1395" s="111"/>
      <c r="D1395" s="111"/>
      <c r="E1395" s="111"/>
    </row>
    <row r="1396" spans="1:5" x14ac:dyDescent="0.2">
      <c r="A1396" s="113">
        <v>36094</v>
      </c>
      <c r="B1396" s="111">
        <f t="shared" si="21"/>
        <v>105</v>
      </c>
      <c r="C1396" s="111"/>
      <c r="D1396" s="111"/>
      <c r="E1396" s="111"/>
    </row>
    <row r="1397" spans="1:5" x14ac:dyDescent="0.2">
      <c r="A1397" s="113">
        <v>36095</v>
      </c>
      <c r="B1397" s="111">
        <f t="shared" si="21"/>
        <v>105</v>
      </c>
      <c r="C1397" s="111"/>
      <c r="D1397" s="111"/>
      <c r="E1397" s="111"/>
    </row>
    <row r="1398" spans="1:5" x14ac:dyDescent="0.2">
      <c r="A1398" s="113">
        <v>36096</v>
      </c>
      <c r="B1398" s="111">
        <f t="shared" si="21"/>
        <v>105</v>
      </c>
      <c r="C1398" s="111"/>
      <c r="D1398" s="111"/>
      <c r="E1398" s="111"/>
    </row>
    <row r="1399" spans="1:5" x14ac:dyDescent="0.2">
      <c r="A1399" s="113">
        <v>36097</v>
      </c>
      <c r="B1399" s="111">
        <f t="shared" si="21"/>
        <v>105</v>
      </c>
      <c r="C1399" s="111"/>
      <c r="D1399" s="111"/>
      <c r="E1399" s="111"/>
    </row>
    <row r="1400" spans="1:5" x14ac:dyDescent="0.2">
      <c r="A1400" s="113">
        <v>36098</v>
      </c>
      <c r="B1400" s="111">
        <f t="shared" si="21"/>
        <v>105</v>
      </c>
      <c r="C1400" s="111"/>
      <c r="D1400" s="111"/>
      <c r="E1400" s="111"/>
    </row>
    <row r="1401" spans="1:5" x14ac:dyDescent="0.2">
      <c r="A1401" s="113">
        <v>36099</v>
      </c>
      <c r="B1401" s="111">
        <f t="shared" si="21"/>
        <v>105</v>
      </c>
      <c r="C1401" s="111"/>
      <c r="D1401" s="111"/>
      <c r="E1401" s="111"/>
    </row>
    <row r="1402" spans="1:5" x14ac:dyDescent="0.2">
      <c r="A1402" s="113">
        <v>36100</v>
      </c>
      <c r="B1402" s="111">
        <f t="shared" si="21"/>
        <v>111</v>
      </c>
      <c r="C1402" s="111"/>
      <c r="D1402" s="111"/>
      <c r="E1402" s="111"/>
    </row>
    <row r="1403" spans="1:5" x14ac:dyDescent="0.2">
      <c r="A1403" s="113">
        <v>36101</v>
      </c>
      <c r="B1403" s="111">
        <f t="shared" si="21"/>
        <v>111</v>
      </c>
      <c r="C1403" s="111"/>
      <c r="D1403" s="111"/>
      <c r="E1403" s="111"/>
    </row>
    <row r="1404" spans="1:5" x14ac:dyDescent="0.2">
      <c r="A1404" s="113">
        <v>36102</v>
      </c>
      <c r="B1404" s="111">
        <f t="shared" si="21"/>
        <v>111</v>
      </c>
      <c r="C1404" s="111"/>
      <c r="D1404" s="111"/>
      <c r="E1404" s="111"/>
    </row>
    <row r="1405" spans="1:5" x14ac:dyDescent="0.2">
      <c r="A1405" s="113">
        <v>36103</v>
      </c>
      <c r="B1405" s="111">
        <f t="shared" si="21"/>
        <v>111</v>
      </c>
      <c r="C1405" s="111"/>
      <c r="D1405" s="111"/>
      <c r="E1405" s="111"/>
    </row>
    <row r="1406" spans="1:5" x14ac:dyDescent="0.2">
      <c r="A1406" s="113">
        <v>36104</v>
      </c>
      <c r="B1406" s="111">
        <f t="shared" si="21"/>
        <v>111</v>
      </c>
      <c r="C1406" s="111"/>
      <c r="D1406" s="111"/>
      <c r="E1406" s="111"/>
    </row>
    <row r="1407" spans="1:5" x14ac:dyDescent="0.2">
      <c r="A1407" s="113">
        <v>36105</v>
      </c>
      <c r="B1407" s="111">
        <f t="shared" si="21"/>
        <v>111</v>
      </c>
      <c r="C1407" s="111"/>
      <c r="D1407" s="111"/>
      <c r="E1407" s="111"/>
    </row>
    <row r="1408" spans="1:5" x14ac:dyDescent="0.2">
      <c r="A1408" s="113">
        <v>36106</v>
      </c>
      <c r="B1408" s="111">
        <f t="shared" si="21"/>
        <v>111</v>
      </c>
      <c r="C1408" s="111"/>
      <c r="D1408" s="111"/>
      <c r="E1408" s="111"/>
    </row>
    <row r="1409" spans="1:5" x14ac:dyDescent="0.2">
      <c r="A1409" s="113">
        <v>36107</v>
      </c>
      <c r="B1409" s="111">
        <f t="shared" si="21"/>
        <v>112</v>
      </c>
      <c r="C1409" s="111"/>
      <c r="D1409" s="111"/>
      <c r="E1409" s="111"/>
    </row>
    <row r="1410" spans="1:5" x14ac:dyDescent="0.2">
      <c r="A1410" s="113">
        <v>36108</v>
      </c>
      <c r="B1410" s="111">
        <f t="shared" ref="B1410:B1473" si="22">VLOOKUP(WEEKNUM(A1410),$D$3:$E$58,2)</f>
        <v>112</v>
      </c>
      <c r="C1410" s="111"/>
      <c r="D1410" s="111"/>
      <c r="E1410" s="111"/>
    </row>
    <row r="1411" spans="1:5" x14ac:dyDescent="0.2">
      <c r="A1411" s="113">
        <v>36109</v>
      </c>
      <c r="B1411" s="111">
        <f t="shared" si="22"/>
        <v>112</v>
      </c>
      <c r="C1411" s="111"/>
      <c r="D1411" s="111"/>
      <c r="E1411" s="111"/>
    </row>
    <row r="1412" spans="1:5" x14ac:dyDescent="0.2">
      <c r="A1412" s="113">
        <v>36110</v>
      </c>
      <c r="B1412" s="111">
        <f t="shared" si="22"/>
        <v>112</v>
      </c>
      <c r="C1412" s="111"/>
      <c r="D1412" s="111"/>
      <c r="E1412" s="111"/>
    </row>
    <row r="1413" spans="1:5" x14ac:dyDescent="0.2">
      <c r="A1413" s="113">
        <v>36111</v>
      </c>
      <c r="B1413" s="111">
        <f t="shared" si="22"/>
        <v>112</v>
      </c>
      <c r="C1413" s="111"/>
      <c r="D1413" s="111"/>
      <c r="E1413" s="111"/>
    </row>
    <row r="1414" spans="1:5" x14ac:dyDescent="0.2">
      <c r="A1414" s="113">
        <v>36112</v>
      </c>
      <c r="B1414" s="111">
        <f t="shared" si="22"/>
        <v>112</v>
      </c>
      <c r="C1414" s="111"/>
      <c r="D1414" s="111"/>
      <c r="E1414" s="111"/>
    </row>
    <row r="1415" spans="1:5" x14ac:dyDescent="0.2">
      <c r="A1415" s="113">
        <v>36113</v>
      </c>
      <c r="B1415" s="111">
        <f t="shared" si="22"/>
        <v>112</v>
      </c>
      <c r="C1415" s="111"/>
      <c r="D1415" s="111"/>
      <c r="E1415" s="111"/>
    </row>
    <row r="1416" spans="1:5" x14ac:dyDescent="0.2">
      <c r="A1416" s="113">
        <v>36114</v>
      </c>
      <c r="B1416" s="111">
        <f t="shared" si="22"/>
        <v>113</v>
      </c>
      <c r="C1416" s="111"/>
      <c r="D1416" s="111"/>
      <c r="E1416" s="111"/>
    </row>
    <row r="1417" spans="1:5" x14ac:dyDescent="0.2">
      <c r="A1417" s="113">
        <v>36115</v>
      </c>
      <c r="B1417" s="111">
        <f t="shared" si="22"/>
        <v>113</v>
      </c>
      <c r="C1417" s="111"/>
      <c r="D1417" s="111"/>
      <c r="E1417" s="111"/>
    </row>
    <row r="1418" spans="1:5" x14ac:dyDescent="0.2">
      <c r="A1418" s="113">
        <v>36116</v>
      </c>
      <c r="B1418" s="111">
        <f t="shared" si="22"/>
        <v>113</v>
      </c>
      <c r="C1418" s="111"/>
      <c r="D1418" s="111"/>
      <c r="E1418" s="111"/>
    </row>
    <row r="1419" spans="1:5" x14ac:dyDescent="0.2">
      <c r="A1419" s="113">
        <v>36117</v>
      </c>
      <c r="B1419" s="111">
        <f t="shared" si="22"/>
        <v>113</v>
      </c>
      <c r="C1419" s="111"/>
      <c r="D1419" s="111"/>
      <c r="E1419" s="111"/>
    </row>
    <row r="1420" spans="1:5" x14ac:dyDescent="0.2">
      <c r="A1420" s="113">
        <v>36118</v>
      </c>
      <c r="B1420" s="111">
        <f t="shared" si="22"/>
        <v>113</v>
      </c>
      <c r="C1420" s="111"/>
      <c r="D1420" s="111"/>
      <c r="E1420" s="111"/>
    </row>
    <row r="1421" spans="1:5" x14ac:dyDescent="0.2">
      <c r="A1421" s="113">
        <v>36119</v>
      </c>
      <c r="B1421" s="111">
        <f t="shared" si="22"/>
        <v>113</v>
      </c>
      <c r="C1421" s="111"/>
      <c r="D1421" s="111"/>
      <c r="E1421" s="111"/>
    </row>
    <row r="1422" spans="1:5" x14ac:dyDescent="0.2">
      <c r="A1422" s="113">
        <v>36120</v>
      </c>
      <c r="B1422" s="111">
        <f t="shared" si="22"/>
        <v>113</v>
      </c>
      <c r="C1422" s="111"/>
      <c r="D1422" s="111"/>
      <c r="E1422" s="111"/>
    </row>
    <row r="1423" spans="1:5" x14ac:dyDescent="0.2">
      <c r="A1423" s="113">
        <v>36121</v>
      </c>
      <c r="B1423" s="111">
        <f t="shared" si="22"/>
        <v>114</v>
      </c>
      <c r="C1423" s="111"/>
      <c r="D1423" s="111"/>
      <c r="E1423" s="111"/>
    </row>
    <row r="1424" spans="1:5" x14ac:dyDescent="0.2">
      <c r="A1424" s="113">
        <v>36122</v>
      </c>
      <c r="B1424" s="111">
        <f t="shared" si="22"/>
        <v>114</v>
      </c>
      <c r="C1424" s="111"/>
      <c r="D1424" s="111"/>
      <c r="E1424" s="111"/>
    </row>
    <row r="1425" spans="1:5" x14ac:dyDescent="0.2">
      <c r="A1425" s="113">
        <v>36123</v>
      </c>
      <c r="B1425" s="111">
        <f t="shared" si="22"/>
        <v>114</v>
      </c>
      <c r="C1425" s="111"/>
      <c r="D1425" s="111"/>
      <c r="E1425" s="111"/>
    </row>
    <row r="1426" spans="1:5" x14ac:dyDescent="0.2">
      <c r="A1426" s="113">
        <v>36124</v>
      </c>
      <c r="B1426" s="111">
        <f t="shared" si="22"/>
        <v>114</v>
      </c>
      <c r="C1426" s="111"/>
      <c r="D1426" s="111"/>
      <c r="E1426" s="111"/>
    </row>
    <row r="1427" spans="1:5" x14ac:dyDescent="0.2">
      <c r="A1427" s="113">
        <v>36125</v>
      </c>
      <c r="B1427" s="111">
        <f t="shared" si="22"/>
        <v>114</v>
      </c>
      <c r="C1427" s="111"/>
      <c r="D1427" s="111"/>
      <c r="E1427" s="111"/>
    </row>
    <row r="1428" spans="1:5" x14ac:dyDescent="0.2">
      <c r="A1428" s="113">
        <v>36126</v>
      </c>
      <c r="B1428" s="111">
        <f t="shared" si="22"/>
        <v>114</v>
      </c>
      <c r="C1428" s="111"/>
      <c r="D1428" s="111"/>
      <c r="E1428" s="111"/>
    </row>
    <row r="1429" spans="1:5" x14ac:dyDescent="0.2">
      <c r="A1429" s="113">
        <v>36127</v>
      </c>
      <c r="B1429" s="111">
        <f t="shared" si="22"/>
        <v>114</v>
      </c>
      <c r="C1429" s="111"/>
      <c r="D1429" s="111"/>
      <c r="E1429" s="111"/>
    </row>
    <row r="1430" spans="1:5" x14ac:dyDescent="0.2">
      <c r="A1430" s="113">
        <v>36128</v>
      </c>
      <c r="B1430" s="111">
        <f t="shared" si="22"/>
        <v>115</v>
      </c>
      <c r="C1430" s="111"/>
      <c r="D1430" s="111"/>
      <c r="E1430" s="111"/>
    </row>
    <row r="1431" spans="1:5" x14ac:dyDescent="0.2">
      <c r="A1431" s="113">
        <v>36129</v>
      </c>
      <c r="B1431" s="111">
        <f t="shared" si="22"/>
        <v>115</v>
      </c>
      <c r="C1431" s="111"/>
      <c r="D1431" s="111"/>
      <c r="E1431" s="111"/>
    </row>
    <row r="1432" spans="1:5" x14ac:dyDescent="0.2">
      <c r="A1432" s="113">
        <v>36130</v>
      </c>
      <c r="B1432" s="111">
        <f t="shared" si="22"/>
        <v>115</v>
      </c>
      <c r="C1432" s="111"/>
      <c r="D1432" s="111"/>
      <c r="E1432" s="111"/>
    </row>
    <row r="1433" spans="1:5" x14ac:dyDescent="0.2">
      <c r="A1433" s="113">
        <v>36131</v>
      </c>
      <c r="B1433" s="111">
        <f t="shared" si="22"/>
        <v>115</v>
      </c>
      <c r="C1433" s="111"/>
      <c r="D1433" s="111"/>
      <c r="E1433" s="111"/>
    </row>
    <row r="1434" spans="1:5" x14ac:dyDescent="0.2">
      <c r="A1434" s="113">
        <v>36132</v>
      </c>
      <c r="B1434" s="111">
        <f t="shared" si="22"/>
        <v>115</v>
      </c>
      <c r="C1434" s="111"/>
      <c r="D1434" s="111"/>
      <c r="E1434" s="111"/>
    </row>
    <row r="1435" spans="1:5" x14ac:dyDescent="0.2">
      <c r="A1435" s="113">
        <v>36133</v>
      </c>
      <c r="B1435" s="111">
        <f t="shared" si="22"/>
        <v>115</v>
      </c>
      <c r="C1435" s="111"/>
      <c r="D1435" s="111"/>
      <c r="E1435" s="111"/>
    </row>
    <row r="1436" spans="1:5" x14ac:dyDescent="0.2">
      <c r="A1436" s="113">
        <v>36134</v>
      </c>
      <c r="B1436" s="111">
        <f t="shared" si="22"/>
        <v>115</v>
      </c>
      <c r="C1436" s="111"/>
      <c r="D1436" s="111"/>
      <c r="E1436" s="111"/>
    </row>
    <row r="1437" spans="1:5" x14ac:dyDescent="0.2">
      <c r="A1437" s="113">
        <v>36135</v>
      </c>
      <c r="B1437" s="111">
        <f t="shared" si="22"/>
        <v>121</v>
      </c>
      <c r="C1437" s="111"/>
      <c r="D1437" s="111"/>
      <c r="E1437" s="111"/>
    </row>
    <row r="1438" spans="1:5" x14ac:dyDescent="0.2">
      <c r="A1438" s="113">
        <v>36136</v>
      </c>
      <c r="B1438" s="111">
        <f t="shared" si="22"/>
        <v>121</v>
      </c>
      <c r="C1438" s="111"/>
      <c r="D1438" s="111"/>
      <c r="E1438" s="111"/>
    </row>
    <row r="1439" spans="1:5" x14ac:dyDescent="0.2">
      <c r="A1439" s="113">
        <v>36137</v>
      </c>
      <c r="B1439" s="111">
        <f t="shared" si="22"/>
        <v>121</v>
      </c>
      <c r="C1439" s="111"/>
      <c r="D1439" s="111"/>
      <c r="E1439" s="111"/>
    </row>
    <row r="1440" spans="1:5" x14ac:dyDescent="0.2">
      <c r="A1440" s="113">
        <v>36138</v>
      </c>
      <c r="B1440" s="111">
        <f t="shared" si="22"/>
        <v>121</v>
      </c>
      <c r="C1440" s="111"/>
      <c r="D1440" s="111"/>
      <c r="E1440" s="111"/>
    </row>
    <row r="1441" spans="1:5" x14ac:dyDescent="0.2">
      <c r="A1441" s="113">
        <v>36139</v>
      </c>
      <c r="B1441" s="111">
        <f t="shared" si="22"/>
        <v>121</v>
      </c>
      <c r="C1441" s="111"/>
      <c r="D1441" s="111"/>
      <c r="E1441" s="111"/>
    </row>
    <row r="1442" spans="1:5" x14ac:dyDescent="0.2">
      <c r="A1442" s="113">
        <v>36140</v>
      </c>
      <c r="B1442" s="111">
        <f t="shared" si="22"/>
        <v>121</v>
      </c>
      <c r="C1442" s="111"/>
      <c r="D1442" s="111"/>
      <c r="E1442" s="111"/>
    </row>
    <row r="1443" spans="1:5" x14ac:dyDescent="0.2">
      <c r="A1443" s="113">
        <v>36141</v>
      </c>
      <c r="B1443" s="111">
        <f t="shared" si="22"/>
        <v>121</v>
      </c>
      <c r="C1443" s="111"/>
      <c r="D1443" s="111"/>
      <c r="E1443" s="111"/>
    </row>
    <row r="1444" spans="1:5" x14ac:dyDescent="0.2">
      <c r="A1444" s="113">
        <v>36142</v>
      </c>
      <c r="B1444" s="111">
        <f t="shared" si="22"/>
        <v>122</v>
      </c>
      <c r="C1444" s="111"/>
      <c r="D1444" s="111"/>
      <c r="E1444" s="111"/>
    </row>
    <row r="1445" spans="1:5" x14ac:dyDescent="0.2">
      <c r="A1445" s="113">
        <v>36143</v>
      </c>
      <c r="B1445" s="111">
        <f t="shared" si="22"/>
        <v>122</v>
      </c>
      <c r="C1445" s="111"/>
      <c r="D1445" s="111"/>
      <c r="E1445" s="111"/>
    </row>
    <row r="1446" spans="1:5" x14ac:dyDescent="0.2">
      <c r="A1446" s="113">
        <v>36144</v>
      </c>
      <c r="B1446" s="111">
        <f t="shared" si="22"/>
        <v>122</v>
      </c>
      <c r="C1446" s="111"/>
      <c r="D1446" s="111"/>
      <c r="E1446" s="111"/>
    </row>
    <row r="1447" spans="1:5" x14ac:dyDescent="0.2">
      <c r="A1447" s="113">
        <v>36145</v>
      </c>
      <c r="B1447" s="111">
        <f t="shared" si="22"/>
        <v>122</v>
      </c>
      <c r="C1447" s="111"/>
      <c r="D1447" s="111"/>
      <c r="E1447" s="111"/>
    </row>
    <row r="1448" spans="1:5" x14ac:dyDescent="0.2">
      <c r="A1448" s="113">
        <v>36146</v>
      </c>
      <c r="B1448" s="111">
        <f t="shared" si="22"/>
        <v>122</v>
      </c>
      <c r="C1448" s="111"/>
      <c r="D1448" s="111"/>
      <c r="E1448" s="111"/>
    </row>
    <row r="1449" spans="1:5" x14ac:dyDescent="0.2">
      <c r="A1449" s="113">
        <v>36147</v>
      </c>
      <c r="B1449" s="111">
        <f t="shared" si="22"/>
        <v>122</v>
      </c>
      <c r="C1449" s="111"/>
      <c r="D1449" s="111"/>
      <c r="E1449" s="111"/>
    </row>
    <row r="1450" spans="1:5" x14ac:dyDescent="0.2">
      <c r="A1450" s="113">
        <v>36148</v>
      </c>
      <c r="B1450" s="111">
        <f t="shared" si="22"/>
        <v>122</v>
      </c>
      <c r="C1450" s="111"/>
      <c r="D1450" s="111"/>
      <c r="E1450" s="111"/>
    </row>
    <row r="1451" spans="1:5" x14ac:dyDescent="0.2">
      <c r="A1451" s="113">
        <v>36149</v>
      </c>
      <c r="B1451" s="111">
        <f t="shared" si="22"/>
        <v>123</v>
      </c>
      <c r="C1451" s="111"/>
      <c r="D1451" s="111"/>
      <c r="E1451" s="111"/>
    </row>
    <row r="1452" spans="1:5" x14ac:dyDescent="0.2">
      <c r="A1452" s="113">
        <v>36150</v>
      </c>
      <c r="B1452" s="111">
        <f t="shared" si="22"/>
        <v>123</v>
      </c>
      <c r="C1452" s="111"/>
      <c r="D1452" s="111"/>
      <c r="E1452" s="111"/>
    </row>
    <row r="1453" spans="1:5" x14ac:dyDescent="0.2">
      <c r="A1453" s="113">
        <v>36151</v>
      </c>
      <c r="B1453" s="111">
        <f t="shared" si="22"/>
        <v>123</v>
      </c>
      <c r="C1453" s="111"/>
      <c r="D1453" s="111"/>
      <c r="E1453" s="111"/>
    </row>
    <row r="1454" spans="1:5" x14ac:dyDescent="0.2">
      <c r="A1454" s="113">
        <v>36152</v>
      </c>
      <c r="B1454" s="111">
        <f t="shared" si="22"/>
        <v>123</v>
      </c>
      <c r="C1454" s="111"/>
      <c r="D1454" s="111"/>
      <c r="E1454" s="111"/>
    </row>
    <row r="1455" spans="1:5" x14ac:dyDescent="0.2">
      <c r="A1455" s="113">
        <v>36153</v>
      </c>
      <c r="B1455" s="111">
        <f t="shared" si="22"/>
        <v>123</v>
      </c>
      <c r="C1455" s="111"/>
      <c r="D1455" s="111"/>
      <c r="E1455" s="111"/>
    </row>
    <row r="1456" spans="1:5" x14ac:dyDescent="0.2">
      <c r="A1456" s="113">
        <v>36154</v>
      </c>
      <c r="B1456" s="111">
        <f t="shared" si="22"/>
        <v>123</v>
      </c>
      <c r="C1456" s="111"/>
      <c r="D1456" s="111"/>
      <c r="E1456" s="111"/>
    </row>
    <row r="1457" spans="1:5" x14ac:dyDescent="0.2">
      <c r="A1457" s="113">
        <v>36155</v>
      </c>
      <c r="B1457" s="111">
        <f t="shared" si="22"/>
        <v>123</v>
      </c>
      <c r="C1457" s="111"/>
      <c r="D1457" s="111"/>
      <c r="E1457" s="111"/>
    </row>
    <row r="1458" spans="1:5" x14ac:dyDescent="0.2">
      <c r="A1458" s="113">
        <v>36156</v>
      </c>
      <c r="B1458" s="111">
        <f t="shared" si="22"/>
        <v>124</v>
      </c>
      <c r="C1458" s="111"/>
      <c r="D1458" s="111"/>
      <c r="E1458" s="111"/>
    </row>
    <row r="1459" spans="1:5" x14ac:dyDescent="0.2">
      <c r="A1459" s="113">
        <v>36157</v>
      </c>
      <c r="B1459" s="111">
        <f t="shared" si="22"/>
        <v>124</v>
      </c>
      <c r="C1459" s="111"/>
      <c r="D1459" s="111"/>
      <c r="E1459" s="111"/>
    </row>
    <row r="1460" spans="1:5" x14ac:dyDescent="0.2">
      <c r="A1460" s="113">
        <v>36158</v>
      </c>
      <c r="B1460" s="111">
        <f t="shared" si="22"/>
        <v>124</v>
      </c>
      <c r="C1460" s="111"/>
      <c r="D1460" s="111"/>
      <c r="E1460" s="111"/>
    </row>
    <row r="1461" spans="1:5" x14ac:dyDescent="0.2">
      <c r="A1461" s="113">
        <v>36159</v>
      </c>
      <c r="B1461" s="111">
        <f t="shared" si="22"/>
        <v>124</v>
      </c>
      <c r="C1461" s="111"/>
      <c r="D1461" s="111"/>
      <c r="E1461" s="111"/>
    </row>
    <row r="1462" spans="1:5" x14ac:dyDescent="0.2">
      <c r="A1462" s="113">
        <v>36160</v>
      </c>
      <c r="B1462" s="111">
        <f t="shared" si="22"/>
        <v>124</v>
      </c>
      <c r="C1462" s="111"/>
      <c r="D1462" s="111"/>
      <c r="E1462" s="111"/>
    </row>
    <row r="1463" spans="1:5" x14ac:dyDescent="0.2">
      <c r="A1463" s="113">
        <v>36161</v>
      </c>
      <c r="B1463" s="111">
        <f t="shared" si="22"/>
        <v>11</v>
      </c>
      <c r="C1463" s="111"/>
      <c r="D1463" s="111"/>
      <c r="E1463" s="111"/>
    </row>
    <row r="1464" spans="1:5" x14ac:dyDescent="0.2">
      <c r="A1464" s="113">
        <v>36162</v>
      </c>
      <c r="B1464" s="111">
        <f t="shared" si="22"/>
        <v>11</v>
      </c>
      <c r="C1464" s="111"/>
      <c r="D1464" s="111"/>
      <c r="E1464" s="111"/>
    </row>
    <row r="1465" spans="1:5" x14ac:dyDescent="0.2">
      <c r="A1465" s="113">
        <v>36163</v>
      </c>
      <c r="B1465" s="111">
        <f t="shared" si="22"/>
        <v>12</v>
      </c>
      <c r="C1465" s="111"/>
      <c r="D1465" s="111"/>
      <c r="E1465" s="111"/>
    </row>
    <row r="1466" spans="1:5" x14ac:dyDescent="0.2">
      <c r="A1466" s="113">
        <v>36164</v>
      </c>
      <c r="B1466" s="111">
        <f t="shared" si="22"/>
        <v>12</v>
      </c>
      <c r="C1466" s="111"/>
      <c r="D1466" s="111"/>
      <c r="E1466" s="111"/>
    </row>
    <row r="1467" spans="1:5" x14ac:dyDescent="0.2">
      <c r="A1467" s="113">
        <v>36165</v>
      </c>
      <c r="B1467" s="111">
        <f t="shared" si="22"/>
        <v>12</v>
      </c>
      <c r="C1467" s="111"/>
      <c r="D1467" s="111"/>
      <c r="E1467" s="111"/>
    </row>
    <row r="1468" spans="1:5" x14ac:dyDescent="0.2">
      <c r="A1468" s="113">
        <v>36166</v>
      </c>
      <c r="B1468" s="111">
        <f t="shared" si="22"/>
        <v>12</v>
      </c>
      <c r="C1468" s="111"/>
      <c r="D1468" s="111"/>
      <c r="E1468" s="111"/>
    </row>
    <row r="1469" spans="1:5" x14ac:dyDescent="0.2">
      <c r="A1469" s="113">
        <v>36167</v>
      </c>
      <c r="B1469" s="111">
        <f t="shared" si="22"/>
        <v>12</v>
      </c>
      <c r="C1469" s="111"/>
      <c r="D1469" s="111"/>
      <c r="E1469" s="111"/>
    </row>
    <row r="1470" spans="1:5" x14ac:dyDescent="0.2">
      <c r="A1470" s="113">
        <v>36168</v>
      </c>
      <c r="B1470" s="111">
        <f t="shared" si="22"/>
        <v>12</v>
      </c>
      <c r="C1470" s="111"/>
      <c r="D1470" s="111"/>
      <c r="E1470" s="111"/>
    </row>
    <row r="1471" spans="1:5" x14ac:dyDescent="0.2">
      <c r="A1471" s="113">
        <v>36169</v>
      </c>
      <c r="B1471" s="111">
        <f t="shared" si="22"/>
        <v>12</v>
      </c>
      <c r="C1471" s="111"/>
      <c r="D1471" s="111"/>
      <c r="E1471" s="111"/>
    </row>
    <row r="1472" spans="1:5" x14ac:dyDescent="0.2">
      <c r="A1472" s="113">
        <v>36170</v>
      </c>
      <c r="B1472" s="111">
        <f t="shared" si="22"/>
        <v>13</v>
      </c>
      <c r="C1472" s="111"/>
      <c r="D1472" s="111"/>
      <c r="E1472" s="111"/>
    </row>
    <row r="1473" spans="1:5" x14ac:dyDescent="0.2">
      <c r="A1473" s="113">
        <v>36171</v>
      </c>
      <c r="B1473" s="111">
        <f t="shared" si="22"/>
        <v>13</v>
      </c>
      <c r="C1473" s="111"/>
      <c r="D1473" s="111"/>
      <c r="E1473" s="111"/>
    </row>
    <row r="1474" spans="1:5" x14ac:dyDescent="0.2">
      <c r="A1474" s="113">
        <v>36172</v>
      </c>
      <c r="B1474" s="111">
        <f t="shared" ref="B1474:B1537" si="23">VLOOKUP(WEEKNUM(A1474),$D$3:$E$58,2)</f>
        <v>13</v>
      </c>
      <c r="C1474" s="111"/>
      <c r="D1474" s="111"/>
      <c r="E1474" s="111"/>
    </row>
    <row r="1475" spans="1:5" x14ac:dyDescent="0.2">
      <c r="A1475" s="113">
        <v>36173</v>
      </c>
      <c r="B1475" s="111">
        <f t="shared" si="23"/>
        <v>13</v>
      </c>
      <c r="C1475" s="111"/>
      <c r="D1475" s="111"/>
      <c r="E1475" s="111"/>
    </row>
    <row r="1476" spans="1:5" x14ac:dyDescent="0.2">
      <c r="A1476" s="113">
        <v>36174</v>
      </c>
      <c r="B1476" s="111">
        <f t="shared" si="23"/>
        <v>13</v>
      </c>
      <c r="C1476" s="111"/>
      <c r="D1476" s="111"/>
      <c r="E1476" s="111"/>
    </row>
    <row r="1477" spans="1:5" x14ac:dyDescent="0.2">
      <c r="A1477" s="113">
        <v>36175</v>
      </c>
      <c r="B1477" s="111">
        <f t="shared" si="23"/>
        <v>13</v>
      </c>
      <c r="C1477" s="111"/>
      <c r="D1477" s="111"/>
      <c r="E1477" s="111"/>
    </row>
    <row r="1478" spans="1:5" x14ac:dyDescent="0.2">
      <c r="A1478" s="113">
        <v>36176</v>
      </c>
      <c r="B1478" s="111">
        <f t="shared" si="23"/>
        <v>13</v>
      </c>
      <c r="C1478" s="111"/>
      <c r="D1478" s="111"/>
      <c r="E1478" s="111"/>
    </row>
    <row r="1479" spans="1:5" x14ac:dyDescent="0.2">
      <c r="A1479" s="113">
        <v>36177</v>
      </c>
      <c r="B1479" s="111">
        <f t="shared" si="23"/>
        <v>14</v>
      </c>
      <c r="C1479" s="111"/>
      <c r="D1479" s="111"/>
      <c r="E1479" s="111"/>
    </row>
    <row r="1480" spans="1:5" x14ac:dyDescent="0.2">
      <c r="A1480" s="113">
        <v>36178</v>
      </c>
      <c r="B1480" s="111">
        <f t="shared" si="23"/>
        <v>14</v>
      </c>
      <c r="C1480" s="111"/>
      <c r="D1480" s="111"/>
      <c r="E1480" s="111"/>
    </row>
    <row r="1481" spans="1:5" x14ac:dyDescent="0.2">
      <c r="A1481" s="113">
        <v>36179</v>
      </c>
      <c r="B1481" s="111">
        <f t="shared" si="23"/>
        <v>14</v>
      </c>
      <c r="C1481" s="111"/>
      <c r="D1481" s="111"/>
      <c r="E1481" s="111"/>
    </row>
    <row r="1482" spans="1:5" x14ac:dyDescent="0.2">
      <c r="A1482" s="113">
        <v>36180</v>
      </c>
      <c r="B1482" s="111">
        <f t="shared" si="23"/>
        <v>14</v>
      </c>
      <c r="C1482" s="111"/>
      <c r="D1482" s="111"/>
      <c r="E1482" s="111"/>
    </row>
    <row r="1483" spans="1:5" x14ac:dyDescent="0.2">
      <c r="A1483" s="113">
        <v>36181</v>
      </c>
      <c r="B1483" s="111">
        <f t="shared" si="23"/>
        <v>14</v>
      </c>
      <c r="C1483" s="111"/>
      <c r="D1483" s="111"/>
      <c r="E1483" s="111"/>
    </row>
    <row r="1484" spans="1:5" x14ac:dyDescent="0.2">
      <c r="A1484" s="113">
        <v>36182</v>
      </c>
      <c r="B1484" s="111">
        <f t="shared" si="23"/>
        <v>14</v>
      </c>
      <c r="C1484" s="111"/>
      <c r="D1484" s="111"/>
      <c r="E1484" s="111"/>
    </row>
    <row r="1485" spans="1:5" x14ac:dyDescent="0.2">
      <c r="A1485" s="113">
        <v>36183</v>
      </c>
      <c r="B1485" s="111">
        <f t="shared" si="23"/>
        <v>14</v>
      </c>
      <c r="C1485" s="111"/>
      <c r="D1485" s="111"/>
      <c r="E1485" s="111"/>
    </row>
    <row r="1486" spans="1:5" x14ac:dyDescent="0.2">
      <c r="A1486" s="113">
        <v>36184</v>
      </c>
      <c r="B1486" s="111">
        <f t="shared" si="23"/>
        <v>15</v>
      </c>
      <c r="C1486" s="111"/>
      <c r="D1486" s="111"/>
      <c r="E1486" s="111"/>
    </row>
    <row r="1487" spans="1:5" x14ac:dyDescent="0.2">
      <c r="A1487" s="113">
        <v>36185</v>
      </c>
      <c r="B1487" s="111">
        <f t="shared" si="23"/>
        <v>15</v>
      </c>
      <c r="C1487" s="111"/>
      <c r="D1487" s="111"/>
      <c r="E1487" s="111"/>
    </row>
    <row r="1488" spans="1:5" x14ac:dyDescent="0.2">
      <c r="A1488" s="113">
        <v>36186</v>
      </c>
      <c r="B1488" s="111">
        <f t="shared" si="23"/>
        <v>15</v>
      </c>
      <c r="C1488" s="111"/>
      <c r="D1488" s="111"/>
      <c r="E1488" s="111"/>
    </row>
    <row r="1489" spans="1:5" x14ac:dyDescent="0.2">
      <c r="A1489" s="113">
        <v>36187</v>
      </c>
      <c r="B1489" s="111">
        <f t="shared" si="23"/>
        <v>15</v>
      </c>
      <c r="C1489" s="111"/>
      <c r="D1489" s="111"/>
      <c r="E1489" s="111"/>
    </row>
    <row r="1490" spans="1:5" x14ac:dyDescent="0.2">
      <c r="A1490" s="113">
        <v>36188</v>
      </c>
      <c r="B1490" s="111">
        <f t="shared" si="23"/>
        <v>15</v>
      </c>
      <c r="C1490" s="111"/>
      <c r="D1490" s="111"/>
      <c r="E1490" s="111"/>
    </row>
    <row r="1491" spans="1:5" x14ac:dyDescent="0.2">
      <c r="A1491" s="113">
        <v>36189</v>
      </c>
      <c r="B1491" s="111">
        <f t="shared" si="23"/>
        <v>15</v>
      </c>
      <c r="C1491" s="111"/>
      <c r="D1491" s="111"/>
      <c r="E1491" s="111"/>
    </row>
    <row r="1492" spans="1:5" x14ac:dyDescent="0.2">
      <c r="A1492" s="113">
        <v>36190</v>
      </c>
      <c r="B1492" s="111">
        <f t="shared" si="23"/>
        <v>15</v>
      </c>
      <c r="C1492" s="111"/>
      <c r="D1492" s="111"/>
      <c r="E1492" s="111"/>
    </row>
    <row r="1493" spans="1:5" x14ac:dyDescent="0.2">
      <c r="A1493" s="113">
        <v>36191</v>
      </c>
      <c r="B1493" s="111">
        <f t="shared" si="23"/>
        <v>21</v>
      </c>
      <c r="C1493" s="111"/>
      <c r="D1493" s="111"/>
      <c r="E1493" s="111"/>
    </row>
    <row r="1494" spans="1:5" x14ac:dyDescent="0.2">
      <c r="A1494" s="113">
        <v>36192</v>
      </c>
      <c r="B1494" s="111">
        <f t="shared" si="23"/>
        <v>21</v>
      </c>
      <c r="C1494" s="111"/>
      <c r="D1494" s="111"/>
      <c r="E1494" s="111"/>
    </row>
    <row r="1495" spans="1:5" x14ac:dyDescent="0.2">
      <c r="A1495" s="113">
        <v>36193</v>
      </c>
      <c r="B1495" s="111">
        <f t="shared" si="23"/>
        <v>21</v>
      </c>
      <c r="C1495" s="111"/>
      <c r="D1495" s="111"/>
      <c r="E1495" s="111"/>
    </row>
    <row r="1496" spans="1:5" x14ac:dyDescent="0.2">
      <c r="A1496" s="113">
        <v>36194</v>
      </c>
      <c r="B1496" s="111">
        <f t="shared" si="23"/>
        <v>21</v>
      </c>
      <c r="C1496" s="111"/>
      <c r="D1496" s="111"/>
      <c r="E1496" s="111"/>
    </row>
    <row r="1497" spans="1:5" x14ac:dyDescent="0.2">
      <c r="A1497" s="113">
        <v>36195</v>
      </c>
      <c r="B1497" s="111">
        <f t="shared" si="23"/>
        <v>21</v>
      </c>
      <c r="C1497" s="111"/>
      <c r="D1497" s="111"/>
      <c r="E1497" s="111"/>
    </row>
    <row r="1498" spans="1:5" x14ac:dyDescent="0.2">
      <c r="A1498" s="113">
        <v>36196</v>
      </c>
      <c r="B1498" s="111">
        <f t="shared" si="23"/>
        <v>21</v>
      </c>
      <c r="C1498" s="111"/>
      <c r="D1498" s="111"/>
      <c r="E1498" s="111"/>
    </row>
    <row r="1499" spans="1:5" x14ac:dyDescent="0.2">
      <c r="A1499" s="113">
        <v>36197</v>
      </c>
      <c r="B1499" s="111">
        <f t="shared" si="23"/>
        <v>21</v>
      </c>
      <c r="C1499" s="111"/>
      <c r="D1499" s="111"/>
      <c r="E1499" s="111"/>
    </row>
    <row r="1500" spans="1:5" x14ac:dyDescent="0.2">
      <c r="A1500" s="113">
        <v>36198</v>
      </c>
      <c r="B1500" s="111">
        <f t="shared" si="23"/>
        <v>22</v>
      </c>
      <c r="C1500" s="111"/>
      <c r="D1500" s="111"/>
      <c r="E1500" s="111"/>
    </row>
    <row r="1501" spans="1:5" x14ac:dyDescent="0.2">
      <c r="A1501" s="113">
        <v>36199</v>
      </c>
      <c r="B1501" s="111">
        <f t="shared" si="23"/>
        <v>22</v>
      </c>
      <c r="C1501" s="111"/>
      <c r="D1501" s="111"/>
      <c r="E1501" s="111"/>
    </row>
    <row r="1502" spans="1:5" x14ac:dyDescent="0.2">
      <c r="A1502" s="113">
        <v>36200</v>
      </c>
      <c r="B1502" s="111">
        <f t="shared" si="23"/>
        <v>22</v>
      </c>
      <c r="C1502" s="111"/>
      <c r="D1502" s="111"/>
      <c r="E1502" s="111"/>
    </row>
    <row r="1503" spans="1:5" x14ac:dyDescent="0.2">
      <c r="A1503" s="113">
        <v>36201</v>
      </c>
      <c r="B1503" s="111">
        <f t="shared" si="23"/>
        <v>22</v>
      </c>
      <c r="C1503" s="111"/>
      <c r="D1503" s="111"/>
      <c r="E1503" s="111"/>
    </row>
    <row r="1504" spans="1:5" x14ac:dyDescent="0.2">
      <c r="A1504" s="113">
        <v>36202</v>
      </c>
      <c r="B1504" s="111">
        <f t="shared" si="23"/>
        <v>22</v>
      </c>
      <c r="C1504" s="111"/>
      <c r="D1504" s="111"/>
      <c r="E1504" s="111"/>
    </row>
    <row r="1505" spans="1:5" x14ac:dyDescent="0.2">
      <c r="A1505" s="113">
        <v>36203</v>
      </c>
      <c r="B1505" s="111">
        <f t="shared" si="23"/>
        <v>22</v>
      </c>
      <c r="C1505" s="111"/>
      <c r="D1505" s="111"/>
      <c r="E1505" s="111"/>
    </row>
    <row r="1506" spans="1:5" x14ac:dyDescent="0.2">
      <c r="A1506" s="113">
        <v>36204</v>
      </c>
      <c r="B1506" s="111">
        <f t="shared" si="23"/>
        <v>22</v>
      </c>
      <c r="C1506" s="111"/>
      <c r="D1506" s="111"/>
      <c r="E1506" s="111"/>
    </row>
    <row r="1507" spans="1:5" x14ac:dyDescent="0.2">
      <c r="A1507" s="113">
        <v>36205</v>
      </c>
      <c r="B1507" s="111">
        <f t="shared" si="23"/>
        <v>23</v>
      </c>
      <c r="C1507" s="111"/>
      <c r="D1507" s="111"/>
      <c r="E1507" s="111"/>
    </row>
    <row r="1508" spans="1:5" x14ac:dyDescent="0.2">
      <c r="A1508" s="113">
        <v>36206</v>
      </c>
      <c r="B1508" s="111">
        <f t="shared" si="23"/>
        <v>23</v>
      </c>
      <c r="C1508" s="111"/>
      <c r="D1508" s="111"/>
      <c r="E1508" s="111"/>
    </row>
    <row r="1509" spans="1:5" x14ac:dyDescent="0.2">
      <c r="A1509" s="113">
        <v>36207</v>
      </c>
      <c r="B1509" s="111">
        <f t="shared" si="23"/>
        <v>23</v>
      </c>
      <c r="C1509" s="111"/>
      <c r="D1509" s="111"/>
      <c r="E1509" s="111"/>
    </row>
    <row r="1510" spans="1:5" x14ac:dyDescent="0.2">
      <c r="A1510" s="113">
        <v>36208</v>
      </c>
      <c r="B1510" s="111">
        <f t="shared" si="23"/>
        <v>23</v>
      </c>
      <c r="C1510" s="111"/>
      <c r="D1510" s="111"/>
      <c r="E1510" s="111"/>
    </row>
    <row r="1511" spans="1:5" x14ac:dyDescent="0.2">
      <c r="A1511" s="113">
        <v>36209</v>
      </c>
      <c r="B1511" s="111">
        <f t="shared" si="23"/>
        <v>23</v>
      </c>
      <c r="C1511" s="111"/>
      <c r="D1511" s="111"/>
      <c r="E1511" s="111"/>
    </row>
    <row r="1512" spans="1:5" x14ac:dyDescent="0.2">
      <c r="A1512" s="113">
        <v>36210</v>
      </c>
      <c r="B1512" s="111">
        <f t="shared" si="23"/>
        <v>23</v>
      </c>
      <c r="C1512" s="111"/>
      <c r="D1512" s="111"/>
      <c r="E1512" s="111"/>
    </row>
    <row r="1513" spans="1:5" x14ac:dyDescent="0.2">
      <c r="A1513" s="113">
        <v>36211</v>
      </c>
      <c r="B1513" s="111">
        <f t="shared" si="23"/>
        <v>23</v>
      </c>
      <c r="C1513" s="111"/>
      <c r="D1513" s="111"/>
      <c r="E1513" s="111"/>
    </row>
    <row r="1514" spans="1:5" x14ac:dyDescent="0.2">
      <c r="A1514" s="113">
        <v>36212</v>
      </c>
      <c r="B1514" s="111">
        <f t="shared" si="23"/>
        <v>24</v>
      </c>
      <c r="C1514" s="111"/>
      <c r="D1514" s="111"/>
      <c r="E1514" s="111"/>
    </row>
    <row r="1515" spans="1:5" x14ac:dyDescent="0.2">
      <c r="A1515" s="113">
        <v>36213</v>
      </c>
      <c r="B1515" s="111">
        <f t="shared" si="23"/>
        <v>24</v>
      </c>
      <c r="C1515" s="111"/>
      <c r="D1515" s="111"/>
      <c r="E1515" s="111"/>
    </row>
    <row r="1516" spans="1:5" x14ac:dyDescent="0.2">
      <c r="A1516" s="113">
        <v>36214</v>
      </c>
      <c r="B1516" s="111">
        <f t="shared" si="23"/>
        <v>24</v>
      </c>
      <c r="C1516" s="111"/>
      <c r="D1516" s="111"/>
      <c r="E1516" s="111"/>
    </row>
    <row r="1517" spans="1:5" x14ac:dyDescent="0.2">
      <c r="A1517" s="113">
        <v>36215</v>
      </c>
      <c r="B1517" s="111">
        <f t="shared" si="23"/>
        <v>24</v>
      </c>
      <c r="C1517" s="111"/>
      <c r="D1517" s="111"/>
      <c r="E1517" s="111"/>
    </row>
    <row r="1518" spans="1:5" x14ac:dyDescent="0.2">
      <c r="A1518" s="113">
        <v>36216</v>
      </c>
      <c r="B1518" s="111">
        <f t="shared" si="23"/>
        <v>24</v>
      </c>
      <c r="C1518" s="111"/>
      <c r="D1518" s="111"/>
      <c r="E1518" s="111"/>
    </row>
    <row r="1519" spans="1:5" x14ac:dyDescent="0.2">
      <c r="A1519" s="113">
        <v>36217</v>
      </c>
      <c r="B1519" s="111">
        <f t="shared" si="23"/>
        <v>24</v>
      </c>
      <c r="C1519" s="111"/>
      <c r="D1519" s="111"/>
      <c r="E1519" s="111"/>
    </row>
    <row r="1520" spans="1:5" x14ac:dyDescent="0.2">
      <c r="A1520" s="113">
        <v>36218</v>
      </c>
      <c r="B1520" s="111">
        <f t="shared" si="23"/>
        <v>24</v>
      </c>
      <c r="C1520" s="111"/>
      <c r="D1520" s="111"/>
      <c r="E1520" s="111"/>
    </row>
    <row r="1521" spans="1:5" x14ac:dyDescent="0.2">
      <c r="A1521" s="113">
        <v>36219</v>
      </c>
      <c r="B1521" s="111">
        <f t="shared" si="23"/>
        <v>31</v>
      </c>
      <c r="C1521" s="111"/>
      <c r="D1521" s="111"/>
      <c r="E1521" s="111"/>
    </row>
    <row r="1522" spans="1:5" x14ac:dyDescent="0.2">
      <c r="A1522" s="113">
        <v>36220</v>
      </c>
      <c r="B1522" s="111">
        <f t="shared" si="23"/>
        <v>31</v>
      </c>
      <c r="C1522" s="111"/>
      <c r="D1522" s="111"/>
      <c r="E1522" s="111"/>
    </row>
    <row r="1523" spans="1:5" x14ac:dyDescent="0.2">
      <c r="A1523" s="113">
        <v>36221</v>
      </c>
      <c r="B1523" s="111">
        <f t="shared" si="23"/>
        <v>31</v>
      </c>
      <c r="C1523" s="111"/>
      <c r="D1523" s="111"/>
      <c r="E1523" s="111"/>
    </row>
    <row r="1524" spans="1:5" x14ac:dyDescent="0.2">
      <c r="A1524" s="113">
        <v>36222</v>
      </c>
      <c r="B1524" s="111">
        <f t="shared" si="23"/>
        <v>31</v>
      </c>
      <c r="C1524" s="111"/>
      <c r="D1524" s="111"/>
      <c r="E1524" s="111"/>
    </row>
    <row r="1525" spans="1:5" x14ac:dyDescent="0.2">
      <c r="A1525" s="113">
        <v>36223</v>
      </c>
      <c r="B1525" s="111">
        <f t="shared" si="23"/>
        <v>31</v>
      </c>
      <c r="C1525" s="111"/>
      <c r="D1525" s="111"/>
      <c r="E1525" s="111"/>
    </row>
    <row r="1526" spans="1:5" x14ac:dyDescent="0.2">
      <c r="A1526" s="113">
        <v>36224</v>
      </c>
      <c r="B1526" s="111">
        <f t="shared" si="23"/>
        <v>31</v>
      </c>
      <c r="C1526" s="111"/>
      <c r="D1526" s="111"/>
      <c r="E1526" s="111"/>
    </row>
    <row r="1527" spans="1:5" x14ac:dyDescent="0.2">
      <c r="A1527" s="113">
        <v>36225</v>
      </c>
      <c r="B1527" s="111">
        <f t="shared" si="23"/>
        <v>31</v>
      </c>
      <c r="C1527" s="111"/>
      <c r="D1527" s="111"/>
      <c r="E1527" s="111"/>
    </row>
    <row r="1528" spans="1:5" x14ac:dyDescent="0.2">
      <c r="A1528" s="113">
        <v>36226</v>
      </c>
      <c r="B1528" s="111">
        <f t="shared" si="23"/>
        <v>32</v>
      </c>
      <c r="C1528" s="111"/>
      <c r="D1528" s="111"/>
      <c r="E1528" s="111"/>
    </row>
    <row r="1529" spans="1:5" x14ac:dyDescent="0.2">
      <c r="A1529" s="113">
        <v>36227</v>
      </c>
      <c r="B1529" s="111">
        <f t="shared" si="23"/>
        <v>32</v>
      </c>
      <c r="C1529" s="111"/>
      <c r="D1529" s="111"/>
      <c r="E1529" s="111"/>
    </row>
    <row r="1530" spans="1:5" x14ac:dyDescent="0.2">
      <c r="A1530" s="113">
        <v>36228</v>
      </c>
      <c r="B1530" s="111">
        <f t="shared" si="23"/>
        <v>32</v>
      </c>
      <c r="C1530" s="111"/>
      <c r="D1530" s="111"/>
      <c r="E1530" s="111"/>
    </row>
    <row r="1531" spans="1:5" x14ac:dyDescent="0.2">
      <c r="A1531" s="113">
        <v>36229</v>
      </c>
      <c r="B1531" s="111">
        <f t="shared" si="23"/>
        <v>32</v>
      </c>
      <c r="C1531" s="111"/>
      <c r="D1531" s="111"/>
      <c r="E1531" s="111"/>
    </row>
    <row r="1532" spans="1:5" x14ac:dyDescent="0.2">
      <c r="A1532" s="113">
        <v>36230</v>
      </c>
      <c r="B1532" s="111">
        <f t="shared" si="23"/>
        <v>32</v>
      </c>
      <c r="C1532" s="111"/>
      <c r="D1532" s="111"/>
      <c r="E1532" s="111"/>
    </row>
    <row r="1533" spans="1:5" x14ac:dyDescent="0.2">
      <c r="A1533" s="113">
        <v>36231</v>
      </c>
      <c r="B1533" s="111">
        <f t="shared" si="23"/>
        <v>32</v>
      </c>
      <c r="C1533" s="111"/>
      <c r="D1533" s="111"/>
      <c r="E1533" s="111"/>
    </row>
    <row r="1534" spans="1:5" x14ac:dyDescent="0.2">
      <c r="A1534" s="113">
        <v>36232</v>
      </c>
      <c r="B1534" s="111">
        <f t="shared" si="23"/>
        <v>32</v>
      </c>
      <c r="C1534" s="111"/>
      <c r="D1534" s="111"/>
      <c r="E1534" s="111"/>
    </row>
    <row r="1535" spans="1:5" x14ac:dyDescent="0.2">
      <c r="A1535" s="113">
        <v>36233</v>
      </c>
      <c r="B1535" s="111">
        <f t="shared" si="23"/>
        <v>33</v>
      </c>
      <c r="C1535" s="111"/>
      <c r="D1535" s="111"/>
      <c r="E1535" s="111"/>
    </row>
    <row r="1536" spans="1:5" x14ac:dyDescent="0.2">
      <c r="A1536" s="113">
        <v>36234</v>
      </c>
      <c r="B1536" s="111">
        <f t="shared" si="23"/>
        <v>33</v>
      </c>
      <c r="C1536" s="111"/>
      <c r="D1536" s="111"/>
      <c r="E1536" s="111"/>
    </row>
    <row r="1537" spans="1:5" x14ac:dyDescent="0.2">
      <c r="A1537" s="113">
        <v>36235</v>
      </c>
      <c r="B1537" s="111">
        <f t="shared" si="23"/>
        <v>33</v>
      </c>
      <c r="C1537" s="111"/>
      <c r="D1537" s="111"/>
      <c r="E1537" s="111"/>
    </row>
    <row r="1538" spans="1:5" x14ac:dyDescent="0.2">
      <c r="A1538" s="113">
        <v>36236</v>
      </c>
      <c r="B1538" s="111">
        <f t="shared" ref="B1538:B1601" si="24">VLOOKUP(WEEKNUM(A1538),$D$3:$E$58,2)</f>
        <v>33</v>
      </c>
      <c r="C1538" s="111"/>
      <c r="D1538" s="111"/>
      <c r="E1538" s="111"/>
    </row>
    <row r="1539" spans="1:5" x14ac:dyDescent="0.2">
      <c r="A1539" s="113">
        <v>36237</v>
      </c>
      <c r="B1539" s="111">
        <f t="shared" si="24"/>
        <v>33</v>
      </c>
      <c r="C1539" s="111"/>
      <c r="D1539" s="111"/>
      <c r="E1539" s="111"/>
    </row>
    <row r="1540" spans="1:5" x14ac:dyDescent="0.2">
      <c r="A1540" s="113">
        <v>36238</v>
      </c>
      <c r="B1540" s="111">
        <f t="shared" si="24"/>
        <v>33</v>
      </c>
      <c r="C1540" s="111"/>
      <c r="D1540" s="111"/>
      <c r="E1540" s="111"/>
    </row>
    <row r="1541" spans="1:5" x14ac:dyDescent="0.2">
      <c r="A1541" s="113">
        <v>36239</v>
      </c>
      <c r="B1541" s="111">
        <f t="shared" si="24"/>
        <v>33</v>
      </c>
      <c r="C1541" s="111"/>
      <c r="D1541" s="111"/>
      <c r="E1541" s="111"/>
    </row>
    <row r="1542" spans="1:5" x14ac:dyDescent="0.2">
      <c r="A1542" s="113">
        <v>36240</v>
      </c>
      <c r="B1542" s="111">
        <f t="shared" si="24"/>
        <v>34</v>
      </c>
      <c r="C1542" s="111"/>
      <c r="D1542" s="111"/>
      <c r="E1542" s="111"/>
    </row>
    <row r="1543" spans="1:5" x14ac:dyDescent="0.2">
      <c r="A1543" s="113">
        <v>36241</v>
      </c>
      <c r="B1543" s="111">
        <f t="shared" si="24"/>
        <v>34</v>
      </c>
      <c r="C1543" s="111"/>
      <c r="D1543" s="111"/>
      <c r="E1543" s="111"/>
    </row>
    <row r="1544" spans="1:5" x14ac:dyDescent="0.2">
      <c r="A1544" s="113">
        <v>36242</v>
      </c>
      <c r="B1544" s="111">
        <f t="shared" si="24"/>
        <v>34</v>
      </c>
      <c r="C1544" s="111"/>
      <c r="D1544" s="111"/>
      <c r="E1544" s="111"/>
    </row>
    <row r="1545" spans="1:5" x14ac:dyDescent="0.2">
      <c r="A1545" s="113">
        <v>36243</v>
      </c>
      <c r="B1545" s="111">
        <f t="shared" si="24"/>
        <v>34</v>
      </c>
      <c r="C1545" s="111"/>
      <c r="D1545" s="111"/>
      <c r="E1545" s="111"/>
    </row>
    <row r="1546" spans="1:5" x14ac:dyDescent="0.2">
      <c r="A1546" s="113">
        <v>36244</v>
      </c>
      <c r="B1546" s="111">
        <f t="shared" si="24"/>
        <v>34</v>
      </c>
      <c r="C1546" s="111"/>
      <c r="D1546" s="111"/>
      <c r="E1546" s="111"/>
    </row>
    <row r="1547" spans="1:5" x14ac:dyDescent="0.2">
      <c r="A1547" s="113">
        <v>36245</v>
      </c>
      <c r="B1547" s="111">
        <f t="shared" si="24"/>
        <v>34</v>
      </c>
      <c r="C1547" s="111"/>
      <c r="D1547" s="111"/>
      <c r="E1547" s="111"/>
    </row>
    <row r="1548" spans="1:5" x14ac:dyDescent="0.2">
      <c r="A1548" s="113">
        <v>36246</v>
      </c>
      <c r="B1548" s="111">
        <f t="shared" si="24"/>
        <v>34</v>
      </c>
      <c r="C1548" s="111"/>
      <c r="D1548" s="111"/>
      <c r="E1548" s="111"/>
    </row>
    <row r="1549" spans="1:5" x14ac:dyDescent="0.2">
      <c r="A1549" s="113">
        <v>36247</v>
      </c>
      <c r="B1549" s="111">
        <f t="shared" si="24"/>
        <v>41</v>
      </c>
      <c r="C1549" s="111"/>
      <c r="D1549" s="111"/>
      <c r="E1549" s="111"/>
    </row>
    <row r="1550" spans="1:5" x14ac:dyDescent="0.2">
      <c r="A1550" s="113">
        <v>36248</v>
      </c>
      <c r="B1550" s="111">
        <f t="shared" si="24"/>
        <v>41</v>
      </c>
      <c r="C1550" s="111"/>
      <c r="D1550" s="111"/>
      <c r="E1550" s="111"/>
    </row>
    <row r="1551" spans="1:5" x14ac:dyDescent="0.2">
      <c r="A1551" s="113">
        <v>36249</v>
      </c>
      <c r="B1551" s="111">
        <f t="shared" si="24"/>
        <v>41</v>
      </c>
      <c r="C1551" s="111"/>
      <c r="D1551" s="111"/>
      <c r="E1551" s="111"/>
    </row>
    <row r="1552" spans="1:5" x14ac:dyDescent="0.2">
      <c r="A1552" s="113">
        <v>36250</v>
      </c>
      <c r="B1552" s="111">
        <f t="shared" si="24"/>
        <v>41</v>
      </c>
      <c r="C1552" s="111"/>
      <c r="D1552" s="111"/>
      <c r="E1552" s="111"/>
    </row>
    <row r="1553" spans="1:5" x14ac:dyDescent="0.2">
      <c r="A1553" s="113">
        <v>36251</v>
      </c>
      <c r="B1553" s="111">
        <f t="shared" si="24"/>
        <v>41</v>
      </c>
      <c r="C1553" s="111"/>
      <c r="D1553" s="111"/>
      <c r="E1553" s="111"/>
    </row>
    <row r="1554" spans="1:5" x14ac:dyDescent="0.2">
      <c r="A1554" s="113">
        <v>36252</v>
      </c>
      <c r="B1554" s="111">
        <f t="shared" si="24"/>
        <v>41</v>
      </c>
      <c r="C1554" s="111"/>
      <c r="D1554" s="111"/>
      <c r="E1554" s="111"/>
    </row>
    <row r="1555" spans="1:5" x14ac:dyDescent="0.2">
      <c r="A1555" s="113">
        <v>36253</v>
      </c>
      <c r="B1555" s="111">
        <f t="shared" si="24"/>
        <v>41</v>
      </c>
      <c r="C1555" s="111"/>
      <c r="D1555" s="111"/>
      <c r="E1555" s="111"/>
    </row>
    <row r="1556" spans="1:5" x14ac:dyDescent="0.2">
      <c r="A1556" s="113">
        <v>36254</v>
      </c>
      <c r="B1556" s="111">
        <f t="shared" si="24"/>
        <v>42</v>
      </c>
      <c r="C1556" s="111"/>
      <c r="D1556" s="111"/>
      <c r="E1556" s="111"/>
    </row>
    <row r="1557" spans="1:5" x14ac:dyDescent="0.2">
      <c r="A1557" s="113">
        <v>36255</v>
      </c>
      <c r="B1557" s="111">
        <f t="shared" si="24"/>
        <v>42</v>
      </c>
      <c r="C1557" s="111"/>
      <c r="D1557" s="111"/>
      <c r="E1557" s="111"/>
    </row>
    <row r="1558" spans="1:5" x14ac:dyDescent="0.2">
      <c r="A1558" s="113">
        <v>36256</v>
      </c>
      <c r="B1558" s="111">
        <f t="shared" si="24"/>
        <v>42</v>
      </c>
      <c r="C1558" s="111"/>
      <c r="D1558" s="111"/>
      <c r="E1558" s="111"/>
    </row>
    <row r="1559" spans="1:5" x14ac:dyDescent="0.2">
      <c r="A1559" s="113">
        <v>36257</v>
      </c>
      <c r="B1559" s="111">
        <f t="shared" si="24"/>
        <v>42</v>
      </c>
      <c r="C1559" s="111"/>
      <c r="D1559" s="111"/>
      <c r="E1559" s="111"/>
    </row>
    <row r="1560" spans="1:5" x14ac:dyDescent="0.2">
      <c r="A1560" s="113">
        <v>36258</v>
      </c>
      <c r="B1560" s="111">
        <f t="shared" si="24"/>
        <v>42</v>
      </c>
      <c r="C1560" s="111"/>
      <c r="D1560" s="111"/>
      <c r="E1560" s="111"/>
    </row>
    <row r="1561" spans="1:5" x14ac:dyDescent="0.2">
      <c r="A1561" s="113">
        <v>36259</v>
      </c>
      <c r="B1561" s="111">
        <f t="shared" si="24"/>
        <v>42</v>
      </c>
      <c r="C1561" s="111"/>
      <c r="D1561" s="111"/>
      <c r="E1561" s="111"/>
    </row>
    <row r="1562" spans="1:5" x14ac:dyDescent="0.2">
      <c r="A1562" s="113">
        <v>36260</v>
      </c>
      <c r="B1562" s="111">
        <f t="shared" si="24"/>
        <v>42</v>
      </c>
      <c r="C1562" s="111"/>
      <c r="D1562" s="111"/>
      <c r="E1562" s="111"/>
    </row>
    <row r="1563" spans="1:5" x14ac:dyDescent="0.2">
      <c r="A1563" s="113">
        <v>36261</v>
      </c>
      <c r="B1563" s="111">
        <f t="shared" si="24"/>
        <v>43</v>
      </c>
      <c r="C1563" s="111"/>
      <c r="D1563" s="111"/>
      <c r="E1563" s="111"/>
    </row>
    <row r="1564" spans="1:5" x14ac:dyDescent="0.2">
      <c r="A1564" s="113">
        <v>36262</v>
      </c>
      <c r="B1564" s="111">
        <f t="shared" si="24"/>
        <v>43</v>
      </c>
      <c r="C1564" s="111"/>
      <c r="D1564" s="111"/>
      <c r="E1564" s="111"/>
    </row>
    <row r="1565" spans="1:5" x14ac:dyDescent="0.2">
      <c r="A1565" s="113">
        <v>36263</v>
      </c>
      <c r="B1565" s="111">
        <f t="shared" si="24"/>
        <v>43</v>
      </c>
      <c r="C1565" s="111"/>
      <c r="D1565" s="111"/>
      <c r="E1565" s="111"/>
    </row>
    <row r="1566" spans="1:5" x14ac:dyDescent="0.2">
      <c r="A1566" s="113">
        <v>36264</v>
      </c>
      <c r="B1566" s="111">
        <f t="shared" si="24"/>
        <v>43</v>
      </c>
      <c r="C1566" s="111"/>
      <c r="D1566" s="111"/>
      <c r="E1566" s="111"/>
    </row>
    <row r="1567" spans="1:5" x14ac:dyDescent="0.2">
      <c r="A1567" s="113">
        <v>36265</v>
      </c>
      <c r="B1567" s="111">
        <f t="shared" si="24"/>
        <v>43</v>
      </c>
      <c r="C1567" s="111"/>
      <c r="D1567" s="111"/>
      <c r="E1567" s="111"/>
    </row>
    <row r="1568" spans="1:5" x14ac:dyDescent="0.2">
      <c r="A1568" s="113">
        <v>36266</v>
      </c>
      <c r="B1568" s="111">
        <f t="shared" si="24"/>
        <v>43</v>
      </c>
      <c r="C1568" s="111"/>
      <c r="D1568" s="111"/>
      <c r="E1568" s="111"/>
    </row>
    <row r="1569" spans="1:5" x14ac:dyDescent="0.2">
      <c r="A1569" s="113">
        <v>36267</v>
      </c>
      <c r="B1569" s="111">
        <f t="shared" si="24"/>
        <v>43</v>
      </c>
      <c r="C1569" s="111"/>
      <c r="D1569" s="111"/>
      <c r="E1569" s="111"/>
    </row>
    <row r="1570" spans="1:5" x14ac:dyDescent="0.2">
      <c r="A1570" s="113">
        <v>36268</v>
      </c>
      <c r="B1570" s="111">
        <f t="shared" si="24"/>
        <v>44</v>
      </c>
      <c r="C1570" s="111"/>
      <c r="D1570" s="111"/>
      <c r="E1570" s="111"/>
    </row>
    <row r="1571" spans="1:5" x14ac:dyDescent="0.2">
      <c r="A1571" s="113">
        <v>36269</v>
      </c>
      <c r="B1571" s="111">
        <f t="shared" si="24"/>
        <v>44</v>
      </c>
      <c r="C1571" s="111"/>
      <c r="D1571" s="111"/>
      <c r="E1571" s="111"/>
    </row>
    <row r="1572" spans="1:5" x14ac:dyDescent="0.2">
      <c r="A1572" s="113">
        <v>36270</v>
      </c>
      <c r="B1572" s="111">
        <f t="shared" si="24"/>
        <v>44</v>
      </c>
      <c r="C1572" s="111"/>
      <c r="D1572" s="111"/>
      <c r="E1572" s="111"/>
    </row>
    <row r="1573" spans="1:5" x14ac:dyDescent="0.2">
      <c r="A1573" s="113">
        <v>36271</v>
      </c>
      <c r="B1573" s="111">
        <f t="shared" si="24"/>
        <v>44</v>
      </c>
      <c r="C1573" s="111"/>
      <c r="D1573" s="111"/>
      <c r="E1573" s="111"/>
    </row>
    <row r="1574" spans="1:5" x14ac:dyDescent="0.2">
      <c r="A1574" s="113">
        <v>36272</v>
      </c>
      <c r="B1574" s="111">
        <f t="shared" si="24"/>
        <v>44</v>
      </c>
      <c r="C1574" s="111"/>
      <c r="D1574" s="111"/>
      <c r="E1574" s="111"/>
    </row>
    <row r="1575" spans="1:5" x14ac:dyDescent="0.2">
      <c r="A1575" s="113">
        <v>36273</v>
      </c>
      <c r="B1575" s="111">
        <f t="shared" si="24"/>
        <v>44</v>
      </c>
      <c r="C1575" s="111"/>
      <c r="D1575" s="111"/>
      <c r="E1575" s="111"/>
    </row>
    <row r="1576" spans="1:5" x14ac:dyDescent="0.2">
      <c r="A1576" s="113">
        <v>36274</v>
      </c>
      <c r="B1576" s="111">
        <f t="shared" si="24"/>
        <v>44</v>
      </c>
      <c r="C1576" s="111"/>
      <c r="D1576" s="111"/>
      <c r="E1576" s="111"/>
    </row>
    <row r="1577" spans="1:5" x14ac:dyDescent="0.2">
      <c r="A1577" s="113">
        <v>36275</v>
      </c>
      <c r="B1577" s="111">
        <f t="shared" si="24"/>
        <v>45</v>
      </c>
      <c r="C1577" s="111"/>
      <c r="D1577" s="111"/>
      <c r="E1577" s="111"/>
    </row>
    <row r="1578" spans="1:5" x14ac:dyDescent="0.2">
      <c r="A1578" s="113">
        <v>36276</v>
      </c>
      <c r="B1578" s="111">
        <f t="shared" si="24"/>
        <v>45</v>
      </c>
      <c r="C1578" s="111"/>
      <c r="D1578" s="111"/>
      <c r="E1578" s="111"/>
    </row>
    <row r="1579" spans="1:5" x14ac:dyDescent="0.2">
      <c r="A1579" s="113">
        <v>36277</v>
      </c>
      <c r="B1579" s="111">
        <f t="shared" si="24"/>
        <v>45</v>
      </c>
      <c r="C1579" s="111"/>
      <c r="D1579" s="111"/>
      <c r="E1579" s="111"/>
    </row>
    <row r="1580" spans="1:5" x14ac:dyDescent="0.2">
      <c r="A1580" s="113">
        <v>36278</v>
      </c>
      <c r="B1580" s="111">
        <f t="shared" si="24"/>
        <v>45</v>
      </c>
      <c r="C1580" s="111"/>
      <c r="D1580" s="111"/>
      <c r="E1580" s="111"/>
    </row>
    <row r="1581" spans="1:5" x14ac:dyDescent="0.2">
      <c r="A1581" s="113">
        <v>36279</v>
      </c>
      <c r="B1581" s="111">
        <f t="shared" si="24"/>
        <v>45</v>
      </c>
      <c r="C1581" s="111"/>
      <c r="D1581" s="111"/>
      <c r="E1581" s="111"/>
    </row>
    <row r="1582" spans="1:5" x14ac:dyDescent="0.2">
      <c r="A1582" s="113">
        <v>36280</v>
      </c>
      <c r="B1582" s="111">
        <f t="shared" si="24"/>
        <v>45</v>
      </c>
      <c r="C1582" s="111"/>
      <c r="D1582" s="111"/>
      <c r="E1582" s="111"/>
    </row>
    <row r="1583" spans="1:5" x14ac:dyDescent="0.2">
      <c r="A1583" s="113">
        <v>36281</v>
      </c>
      <c r="B1583" s="111">
        <f t="shared" si="24"/>
        <v>45</v>
      </c>
      <c r="C1583" s="111"/>
      <c r="D1583" s="111"/>
      <c r="E1583" s="111"/>
    </row>
    <row r="1584" spans="1:5" x14ac:dyDescent="0.2">
      <c r="A1584" s="113">
        <v>36282</v>
      </c>
      <c r="B1584" s="111">
        <f t="shared" si="24"/>
        <v>51</v>
      </c>
      <c r="C1584" s="111"/>
      <c r="D1584" s="111"/>
      <c r="E1584" s="111"/>
    </row>
    <row r="1585" spans="1:5" x14ac:dyDescent="0.2">
      <c r="A1585" s="113">
        <v>36283</v>
      </c>
      <c r="B1585" s="111">
        <f t="shared" si="24"/>
        <v>51</v>
      </c>
      <c r="C1585" s="111"/>
      <c r="D1585" s="111"/>
      <c r="E1585" s="111"/>
    </row>
    <row r="1586" spans="1:5" x14ac:dyDescent="0.2">
      <c r="A1586" s="113">
        <v>36284</v>
      </c>
      <c r="B1586" s="111">
        <f t="shared" si="24"/>
        <v>51</v>
      </c>
      <c r="C1586" s="111"/>
      <c r="D1586" s="111"/>
      <c r="E1586" s="111"/>
    </row>
    <row r="1587" spans="1:5" x14ac:dyDescent="0.2">
      <c r="A1587" s="113">
        <v>36285</v>
      </c>
      <c r="B1587" s="111">
        <f t="shared" si="24"/>
        <v>51</v>
      </c>
      <c r="C1587" s="111"/>
      <c r="D1587" s="111"/>
      <c r="E1587" s="111"/>
    </row>
    <row r="1588" spans="1:5" x14ac:dyDescent="0.2">
      <c r="A1588" s="113">
        <v>36286</v>
      </c>
      <c r="B1588" s="111">
        <f t="shared" si="24"/>
        <v>51</v>
      </c>
      <c r="C1588" s="111"/>
      <c r="D1588" s="111"/>
      <c r="E1588" s="111"/>
    </row>
    <row r="1589" spans="1:5" x14ac:dyDescent="0.2">
      <c r="A1589" s="113">
        <v>36287</v>
      </c>
      <c r="B1589" s="111">
        <f t="shared" si="24"/>
        <v>51</v>
      </c>
      <c r="C1589" s="111"/>
      <c r="D1589" s="111"/>
      <c r="E1589" s="111"/>
    </row>
    <row r="1590" spans="1:5" x14ac:dyDescent="0.2">
      <c r="A1590" s="113">
        <v>36288</v>
      </c>
      <c r="B1590" s="111">
        <f t="shared" si="24"/>
        <v>51</v>
      </c>
      <c r="C1590" s="111"/>
      <c r="D1590" s="111"/>
      <c r="E1590" s="111"/>
    </row>
    <row r="1591" spans="1:5" x14ac:dyDescent="0.2">
      <c r="A1591" s="113">
        <v>36289</v>
      </c>
      <c r="B1591" s="111">
        <f t="shared" si="24"/>
        <v>52</v>
      </c>
      <c r="C1591" s="111"/>
      <c r="D1591" s="111"/>
      <c r="E1591" s="111"/>
    </row>
    <row r="1592" spans="1:5" x14ac:dyDescent="0.2">
      <c r="A1592" s="113">
        <v>36290</v>
      </c>
      <c r="B1592" s="111">
        <f t="shared" si="24"/>
        <v>52</v>
      </c>
      <c r="C1592" s="111"/>
      <c r="D1592" s="111"/>
      <c r="E1592" s="111"/>
    </row>
    <row r="1593" spans="1:5" x14ac:dyDescent="0.2">
      <c r="A1593" s="113">
        <v>36291</v>
      </c>
      <c r="B1593" s="111">
        <f t="shared" si="24"/>
        <v>52</v>
      </c>
      <c r="C1593" s="111"/>
      <c r="D1593" s="111"/>
      <c r="E1593" s="111"/>
    </row>
    <row r="1594" spans="1:5" x14ac:dyDescent="0.2">
      <c r="A1594" s="113">
        <v>36292</v>
      </c>
      <c r="B1594" s="111">
        <f t="shared" si="24"/>
        <v>52</v>
      </c>
      <c r="C1594" s="111"/>
      <c r="D1594" s="111"/>
      <c r="E1594" s="111"/>
    </row>
    <row r="1595" spans="1:5" x14ac:dyDescent="0.2">
      <c r="A1595" s="113">
        <v>36293</v>
      </c>
      <c r="B1595" s="111">
        <f t="shared" si="24"/>
        <v>52</v>
      </c>
      <c r="C1595" s="111"/>
      <c r="D1595" s="111"/>
      <c r="E1595" s="111"/>
    </row>
    <row r="1596" spans="1:5" x14ac:dyDescent="0.2">
      <c r="A1596" s="113">
        <v>36294</v>
      </c>
      <c r="B1596" s="111">
        <f t="shared" si="24"/>
        <v>52</v>
      </c>
      <c r="C1596" s="111"/>
      <c r="D1596" s="111"/>
      <c r="E1596" s="111"/>
    </row>
    <row r="1597" spans="1:5" x14ac:dyDescent="0.2">
      <c r="A1597" s="113">
        <v>36295</v>
      </c>
      <c r="B1597" s="111">
        <f t="shared" si="24"/>
        <v>52</v>
      </c>
      <c r="C1597" s="111"/>
      <c r="D1597" s="111"/>
      <c r="E1597" s="111"/>
    </row>
    <row r="1598" spans="1:5" x14ac:dyDescent="0.2">
      <c r="A1598" s="113">
        <v>36296</v>
      </c>
      <c r="B1598" s="111">
        <f t="shared" si="24"/>
        <v>53</v>
      </c>
      <c r="C1598" s="111"/>
      <c r="D1598" s="111"/>
      <c r="E1598" s="111"/>
    </row>
    <row r="1599" spans="1:5" x14ac:dyDescent="0.2">
      <c r="A1599" s="113">
        <v>36297</v>
      </c>
      <c r="B1599" s="111">
        <f t="shared" si="24"/>
        <v>53</v>
      </c>
      <c r="C1599" s="111"/>
      <c r="D1599" s="111"/>
      <c r="E1599" s="111"/>
    </row>
    <row r="1600" spans="1:5" x14ac:dyDescent="0.2">
      <c r="A1600" s="113">
        <v>36298</v>
      </c>
      <c r="B1600" s="111">
        <f t="shared" si="24"/>
        <v>53</v>
      </c>
      <c r="C1600" s="111"/>
      <c r="D1600" s="111"/>
      <c r="E1600" s="111"/>
    </row>
    <row r="1601" spans="1:5" x14ac:dyDescent="0.2">
      <c r="A1601" s="113">
        <v>36299</v>
      </c>
      <c r="B1601" s="111">
        <f t="shared" si="24"/>
        <v>53</v>
      </c>
      <c r="C1601" s="111"/>
      <c r="D1601" s="111"/>
      <c r="E1601" s="111"/>
    </row>
    <row r="1602" spans="1:5" x14ac:dyDescent="0.2">
      <c r="A1602" s="113">
        <v>36300</v>
      </c>
      <c r="B1602" s="111">
        <f t="shared" ref="B1602:B1665" si="25">VLOOKUP(WEEKNUM(A1602),$D$3:$E$58,2)</f>
        <v>53</v>
      </c>
      <c r="C1602" s="111"/>
      <c r="D1602" s="111"/>
      <c r="E1602" s="111"/>
    </row>
    <row r="1603" spans="1:5" x14ac:dyDescent="0.2">
      <c r="A1603" s="113">
        <v>36301</v>
      </c>
      <c r="B1603" s="111">
        <f t="shared" si="25"/>
        <v>53</v>
      </c>
      <c r="C1603" s="111"/>
      <c r="D1603" s="111"/>
      <c r="E1603" s="111"/>
    </row>
    <row r="1604" spans="1:5" x14ac:dyDescent="0.2">
      <c r="A1604" s="113">
        <v>36302</v>
      </c>
      <c r="B1604" s="111">
        <f t="shared" si="25"/>
        <v>53</v>
      </c>
      <c r="C1604" s="111"/>
      <c r="D1604" s="111"/>
      <c r="E1604" s="111"/>
    </row>
    <row r="1605" spans="1:5" x14ac:dyDescent="0.2">
      <c r="A1605" s="113">
        <v>36303</v>
      </c>
      <c r="B1605" s="111">
        <f t="shared" si="25"/>
        <v>54</v>
      </c>
      <c r="C1605" s="111"/>
      <c r="D1605" s="111"/>
      <c r="E1605" s="111"/>
    </row>
    <row r="1606" spans="1:5" x14ac:dyDescent="0.2">
      <c r="A1606" s="113">
        <v>36304</v>
      </c>
      <c r="B1606" s="111">
        <f t="shared" si="25"/>
        <v>54</v>
      </c>
      <c r="C1606" s="111"/>
      <c r="D1606" s="111"/>
      <c r="E1606" s="111"/>
    </row>
    <row r="1607" spans="1:5" x14ac:dyDescent="0.2">
      <c r="A1607" s="113">
        <v>36305</v>
      </c>
      <c r="B1607" s="111">
        <f t="shared" si="25"/>
        <v>54</v>
      </c>
      <c r="C1607" s="111"/>
      <c r="D1607" s="111"/>
      <c r="E1607" s="111"/>
    </row>
    <row r="1608" spans="1:5" x14ac:dyDescent="0.2">
      <c r="A1608" s="113">
        <v>36306</v>
      </c>
      <c r="B1608" s="111">
        <f t="shared" si="25"/>
        <v>54</v>
      </c>
      <c r="C1608" s="111"/>
      <c r="D1608" s="111"/>
      <c r="E1608" s="111"/>
    </row>
    <row r="1609" spans="1:5" x14ac:dyDescent="0.2">
      <c r="A1609" s="113">
        <v>36307</v>
      </c>
      <c r="B1609" s="111">
        <f t="shared" si="25"/>
        <v>54</v>
      </c>
      <c r="C1609" s="111"/>
      <c r="D1609" s="111"/>
      <c r="E1609" s="111"/>
    </row>
    <row r="1610" spans="1:5" x14ac:dyDescent="0.2">
      <c r="A1610" s="113">
        <v>36308</v>
      </c>
      <c r="B1610" s="111">
        <f t="shared" si="25"/>
        <v>54</v>
      </c>
      <c r="C1610" s="111"/>
      <c r="D1610" s="111"/>
      <c r="E1610" s="111"/>
    </row>
    <row r="1611" spans="1:5" x14ac:dyDescent="0.2">
      <c r="A1611" s="113">
        <v>36309</v>
      </c>
      <c r="B1611" s="111">
        <f t="shared" si="25"/>
        <v>54</v>
      </c>
      <c r="C1611" s="111"/>
      <c r="D1611" s="111"/>
      <c r="E1611" s="111"/>
    </row>
    <row r="1612" spans="1:5" x14ac:dyDescent="0.2">
      <c r="A1612" s="113">
        <v>36310</v>
      </c>
      <c r="B1612" s="111">
        <f t="shared" si="25"/>
        <v>61</v>
      </c>
      <c r="C1612" s="111"/>
      <c r="D1612" s="111"/>
      <c r="E1612" s="111"/>
    </row>
    <row r="1613" spans="1:5" x14ac:dyDescent="0.2">
      <c r="A1613" s="113">
        <v>36311</v>
      </c>
      <c r="B1613" s="111">
        <f t="shared" si="25"/>
        <v>61</v>
      </c>
      <c r="C1613" s="111"/>
      <c r="D1613" s="111"/>
      <c r="E1613" s="111"/>
    </row>
    <row r="1614" spans="1:5" x14ac:dyDescent="0.2">
      <c r="A1614" s="113">
        <v>36312</v>
      </c>
      <c r="B1614" s="111">
        <f t="shared" si="25"/>
        <v>61</v>
      </c>
      <c r="C1614" s="111"/>
      <c r="D1614" s="111"/>
      <c r="E1614" s="111"/>
    </row>
    <row r="1615" spans="1:5" x14ac:dyDescent="0.2">
      <c r="A1615" s="113">
        <v>36313</v>
      </c>
      <c r="B1615" s="111">
        <f t="shared" si="25"/>
        <v>61</v>
      </c>
      <c r="C1615" s="111"/>
      <c r="D1615" s="111"/>
      <c r="E1615" s="111"/>
    </row>
    <row r="1616" spans="1:5" x14ac:dyDescent="0.2">
      <c r="A1616" s="113">
        <v>36314</v>
      </c>
      <c r="B1616" s="111">
        <f t="shared" si="25"/>
        <v>61</v>
      </c>
      <c r="C1616" s="111"/>
      <c r="D1616" s="111"/>
      <c r="E1616" s="111"/>
    </row>
    <row r="1617" spans="1:5" x14ac:dyDescent="0.2">
      <c r="A1617" s="113">
        <v>36315</v>
      </c>
      <c r="B1617" s="111">
        <f t="shared" si="25"/>
        <v>61</v>
      </c>
      <c r="C1617" s="111"/>
      <c r="D1617" s="111"/>
      <c r="E1617" s="111"/>
    </row>
    <row r="1618" spans="1:5" x14ac:dyDescent="0.2">
      <c r="A1618" s="113">
        <v>36316</v>
      </c>
      <c r="B1618" s="111">
        <f t="shared" si="25"/>
        <v>61</v>
      </c>
      <c r="C1618" s="111"/>
      <c r="D1618" s="111"/>
      <c r="E1618" s="111"/>
    </row>
    <row r="1619" spans="1:5" x14ac:dyDescent="0.2">
      <c r="A1619" s="113">
        <v>36317</v>
      </c>
      <c r="B1619" s="111">
        <f t="shared" si="25"/>
        <v>62</v>
      </c>
      <c r="C1619" s="111"/>
      <c r="D1619" s="111"/>
      <c r="E1619" s="111"/>
    </row>
    <row r="1620" spans="1:5" x14ac:dyDescent="0.2">
      <c r="A1620" s="113">
        <v>36318</v>
      </c>
      <c r="B1620" s="111">
        <f t="shared" si="25"/>
        <v>62</v>
      </c>
      <c r="C1620" s="111"/>
      <c r="D1620" s="111"/>
      <c r="E1620" s="111"/>
    </row>
    <row r="1621" spans="1:5" x14ac:dyDescent="0.2">
      <c r="A1621" s="113">
        <v>36319</v>
      </c>
      <c r="B1621" s="111">
        <f t="shared" si="25"/>
        <v>62</v>
      </c>
      <c r="C1621" s="111"/>
      <c r="D1621" s="111"/>
      <c r="E1621" s="111"/>
    </row>
    <row r="1622" spans="1:5" x14ac:dyDescent="0.2">
      <c r="A1622" s="113">
        <v>36320</v>
      </c>
      <c r="B1622" s="111">
        <f t="shared" si="25"/>
        <v>62</v>
      </c>
      <c r="C1622" s="111"/>
      <c r="D1622" s="111"/>
      <c r="E1622" s="111"/>
    </row>
    <row r="1623" spans="1:5" x14ac:dyDescent="0.2">
      <c r="A1623" s="113">
        <v>36321</v>
      </c>
      <c r="B1623" s="111">
        <f t="shared" si="25"/>
        <v>62</v>
      </c>
      <c r="C1623" s="111"/>
      <c r="D1623" s="111"/>
      <c r="E1623" s="111"/>
    </row>
    <row r="1624" spans="1:5" x14ac:dyDescent="0.2">
      <c r="A1624" s="113">
        <v>36322</v>
      </c>
      <c r="B1624" s="111">
        <f t="shared" si="25"/>
        <v>62</v>
      </c>
      <c r="C1624" s="111"/>
      <c r="D1624" s="111"/>
      <c r="E1624" s="111"/>
    </row>
    <row r="1625" spans="1:5" x14ac:dyDescent="0.2">
      <c r="A1625" s="113">
        <v>36323</v>
      </c>
      <c r="B1625" s="111">
        <f t="shared" si="25"/>
        <v>62</v>
      </c>
      <c r="C1625" s="111"/>
      <c r="D1625" s="111"/>
      <c r="E1625" s="111"/>
    </row>
    <row r="1626" spans="1:5" x14ac:dyDescent="0.2">
      <c r="A1626" s="113">
        <v>36324</v>
      </c>
      <c r="B1626" s="111">
        <f t="shared" si="25"/>
        <v>63</v>
      </c>
      <c r="C1626" s="111"/>
      <c r="D1626" s="111"/>
      <c r="E1626" s="111"/>
    </row>
    <row r="1627" spans="1:5" x14ac:dyDescent="0.2">
      <c r="A1627" s="113">
        <v>36325</v>
      </c>
      <c r="B1627" s="111">
        <f t="shared" si="25"/>
        <v>63</v>
      </c>
      <c r="C1627" s="111"/>
      <c r="D1627" s="111"/>
      <c r="E1627" s="111"/>
    </row>
    <row r="1628" spans="1:5" x14ac:dyDescent="0.2">
      <c r="A1628" s="113">
        <v>36326</v>
      </c>
      <c r="B1628" s="111">
        <f t="shared" si="25"/>
        <v>63</v>
      </c>
      <c r="C1628" s="111"/>
      <c r="D1628" s="111"/>
      <c r="E1628" s="111"/>
    </row>
    <row r="1629" spans="1:5" x14ac:dyDescent="0.2">
      <c r="A1629" s="113">
        <v>36327</v>
      </c>
      <c r="B1629" s="111">
        <f t="shared" si="25"/>
        <v>63</v>
      </c>
      <c r="C1629" s="111"/>
      <c r="D1629" s="111"/>
      <c r="E1629" s="111"/>
    </row>
    <row r="1630" spans="1:5" x14ac:dyDescent="0.2">
      <c r="A1630" s="113">
        <v>36328</v>
      </c>
      <c r="B1630" s="111">
        <f t="shared" si="25"/>
        <v>63</v>
      </c>
      <c r="C1630" s="111"/>
      <c r="D1630" s="111"/>
      <c r="E1630" s="111"/>
    </row>
    <row r="1631" spans="1:5" x14ac:dyDescent="0.2">
      <c r="A1631" s="113">
        <v>36329</v>
      </c>
      <c r="B1631" s="111">
        <f t="shared" si="25"/>
        <v>63</v>
      </c>
      <c r="C1631" s="111"/>
      <c r="D1631" s="111"/>
      <c r="E1631" s="111"/>
    </row>
    <row r="1632" spans="1:5" x14ac:dyDescent="0.2">
      <c r="A1632" s="113">
        <v>36330</v>
      </c>
      <c r="B1632" s="111">
        <f t="shared" si="25"/>
        <v>63</v>
      </c>
      <c r="C1632" s="111"/>
      <c r="D1632" s="111"/>
      <c r="E1632" s="111"/>
    </row>
    <row r="1633" spans="1:5" x14ac:dyDescent="0.2">
      <c r="A1633" s="113">
        <v>36331</v>
      </c>
      <c r="B1633" s="111">
        <f t="shared" si="25"/>
        <v>64</v>
      </c>
      <c r="C1633" s="111"/>
      <c r="D1633" s="111"/>
      <c r="E1633" s="111"/>
    </row>
    <row r="1634" spans="1:5" x14ac:dyDescent="0.2">
      <c r="A1634" s="113">
        <v>36332</v>
      </c>
      <c r="B1634" s="111">
        <f t="shared" si="25"/>
        <v>64</v>
      </c>
      <c r="C1634" s="111"/>
      <c r="D1634" s="111"/>
      <c r="E1634" s="111"/>
    </row>
    <row r="1635" spans="1:5" x14ac:dyDescent="0.2">
      <c r="A1635" s="113">
        <v>36333</v>
      </c>
      <c r="B1635" s="111">
        <f t="shared" si="25"/>
        <v>64</v>
      </c>
      <c r="C1635" s="111"/>
      <c r="D1635" s="111"/>
      <c r="E1635" s="111"/>
    </row>
    <row r="1636" spans="1:5" x14ac:dyDescent="0.2">
      <c r="A1636" s="113">
        <v>36334</v>
      </c>
      <c r="B1636" s="111">
        <f t="shared" si="25"/>
        <v>64</v>
      </c>
      <c r="C1636" s="111"/>
      <c r="D1636" s="111"/>
      <c r="E1636" s="111"/>
    </row>
    <row r="1637" spans="1:5" x14ac:dyDescent="0.2">
      <c r="A1637" s="113">
        <v>36335</v>
      </c>
      <c r="B1637" s="111">
        <f t="shared" si="25"/>
        <v>64</v>
      </c>
      <c r="C1637" s="111"/>
      <c r="D1637" s="111"/>
      <c r="E1637" s="111"/>
    </row>
    <row r="1638" spans="1:5" x14ac:dyDescent="0.2">
      <c r="A1638" s="113">
        <v>36336</v>
      </c>
      <c r="B1638" s="111">
        <f t="shared" si="25"/>
        <v>64</v>
      </c>
      <c r="C1638" s="111"/>
      <c r="D1638" s="111"/>
      <c r="E1638" s="111"/>
    </row>
    <row r="1639" spans="1:5" x14ac:dyDescent="0.2">
      <c r="A1639" s="113">
        <v>36337</v>
      </c>
      <c r="B1639" s="111">
        <f t="shared" si="25"/>
        <v>64</v>
      </c>
      <c r="C1639" s="111"/>
      <c r="D1639" s="111"/>
      <c r="E1639" s="111"/>
    </row>
    <row r="1640" spans="1:5" x14ac:dyDescent="0.2">
      <c r="A1640" s="113">
        <v>36338</v>
      </c>
      <c r="B1640" s="111">
        <f t="shared" si="25"/>
        <v>71</v>
      </c>
      <c r="C1640" s="111"/>
      <c r="D1640" s="111"/>
      <c r="E1640" s="111"/>
    </row>
    <row r="1641" spans="1:5" x14ac:dyDescent="0.2">
      <c r="A1641" s="113">
        <v>36339</v>
      </c>
      <c r="B1641" s="111">
        <f t="shared" si="25"/>
        <v>71</v>
      </c>
      <c r="C1641" s="111"/>
      <c r="D1641" s="111"/>
      <c r="E1641" s="111"/>
    </row>
    <row r="1642" spans="1:5" x14ac:dyDescent="0.2">
      <c r="A1642" s="113">
        <v>36340</v>
      </c>
      <c r="B1642" s="111">
        <f t="shared" si="25"/>
        <v>71</v>
      </c>
      <c r="C1642" s="111"/>
      <c r="D1642" s="111"/>
      <c r="E1642" s="111"/>
    </row>
    <row r="1643" spans="1:5" x14ac:dyDescent="0.2">
      <c r="A1643" s="113">
        <v>36341</v>
      </c>
      <c r="B1643" s="111">
        <f t="shared" si="25"/>
        <v>71</v>
      </c>
      <c r="C1643" s="111"/>
      <c r="D1643" s="111"/>
      <c r="E1643" s="111"/>
    </row>
    <row r="1644" spans="1:5" x14ac:dyDescent="0.2">
      <c r="A1644" s="113">
        <v>36342</v>
      </c>
      <c r="B1644" s="111">
        <f t="shared" si="25"/>
        <v>71</v>
      </c>
      <c r="C1644" s="111"/>
      <c r="D1644" s="111"/>
      <c r="E1644" s="111"/>
    </row>
    <row r="1645" spans="1:5" x14ac:dyDescent="0.2">
      <c r="A1645" s="113">
        <v>36343</v>
      </c>
      <c r="B1645" s="111">
        <f t="shared" si="25"/>
        <v>71</v>
      </c>
      <c r="C1645" s="111"/>
      <c r="D1645" s="111"/>
      <c r="E1645" s="111"/>
    </row>
    <row r="1646" spans="1:5" x14ac:dyDescent="0.2">
      <c r="A1646" s="113">
        <v>36344</v>
      </c>
      <c r="B1646" s="111">
        <f t="shared" si="25"/>
        <v>71</v>
      </c>
      <c r="C1646" s="111"/>
      <c r="D1646" s="111"/>
      <c r="E1646" s="111"/>
    </row>
    <row r="1647" spans="1:5" x14ac:dyDescent="0.2">
      <c r="A1647" s="113">
        <v>36345</v>
      </c>
      <c r="B1647" s="111">
        <f t="shared" si="25"/>
        <v>72</v>
      </c>
      <c r="C1647" s="111"/>
      <c r="D1647" s="111"/>
      <c r="E1647" s="111"/>
    </row>
    <row r="1648" spans="1:5" x14ac:dyDescent="0.2">
      <c r="A1648" s="113">
        <v>36346</v>
      </c>
      <c r="B1648" s="111">
        <f t="shared" si="25"/>
        <v>72</v>
      </c>
      <c r="C1648" s="111"/>
      <c r="D1648" s="111"/>
      <c r="E1648" s="111"/>
    </row>
    <row r="1649" spans="1:5" x14ac:dyDescent="0.2">
      <c r="A1649" s="113">
        <v>36347</v>
      </c>
      <c r="B1649" s="111">
        <f t="shared" si="25"/>
        <v>72</v>
      </c>
      <c r="C1649" s="111"/>
      <c r="D1649" s="111"/>
      <c r="E1649" s="111"/>
    </row>
    <row r="1650" spans="1:5" x14ac:dyDescent="0.2">
      <c r="A1650" s="113">
        <v>36348</v>
      </c>
      <c r="B1650" s="111">
        <f t="shared" si="25"/>
        <v>72</v>
      </c>
      <c r="C1650" s="111"/>
      <c r="D1650" s="111"/>
      <c r="E1650" s="111"/>
    </row>
    <row r="1651" spans="1:5" x14ac:dyDescent="0.2">
      <c r="A1651" s="113">
        <v>36349</v>
      </c>
      <c r="B1651" s="111">
        <f t="shared" si="25"/>
        <v>72</v>
      </c>
      <c r="C1651" s="111"/>
      <c r="D1651" s="111"/>
      <c r="E1651" s="111"/>
    </row>
    <row r="1652" spans="1:5" x14ac:dyDescent="0.2">
      <c r="A1652" s="113">
        <v>36350</v>
      </c>
      <c r="B1652" s="111">
        <f t="shared" si="25"/>
        <v>72</v>
      </c>
      <c r="C1652" s="111"/>
      <c r="D1652" s="111"/>
      <c r="E1652" s="111"/>
    </row>
    <row r="1653" spans="1:5" x14ac:dyDescent="0.2">
      <c r="A1653" s="113">
        <v>36351</v>
      </c>
      <c r="B1653" s="111">
        <f t="shared" si="25"/>
        <v>72</v>
      </c>
      <c r="C1653" s="111"/>
      <c r="D1653" s="111"/>
      <c r="E1653" s="111"/>
    </row>
    <row r="1654" spans="1:5" x14ac:dyDescent="0.2">
      <c r="A1654" s="113">
        <v>36352</v>
      </c>
      <c r="B1654" s="111">
        <f t="shared" si="25"/>
        <v>73</v>
      </c>
      <c r="C1654" s="111"/>
      <c r="D1654" s="111"/>
      <c r="E1654" s="111"/>
    </row>
    <row r="1655" spans="1:5" x14ac:dyDescent="0.2">
      <c r="A1655" s="113">
        <v>36353</v>
      </c>
      <c r="B1655" s="111">
        <f t="shared" si="25"/>
        <v>73</v>
      </c>
      <c r="C1655" s="111"/>
      <c r="D1655" s="111"/>
      <c r="E1655" s="111"/>
    </row>
    <row r="1656" spans="1:5" x14ac:dyDescent="0.2">
      <c r="A1656" s="113">
        <v>36354</v>
      </c>
      <c r="B1656" s="111">
        <f t="shared" si="25"/>
        <v>73</v>
      </c>
      <c r="C1656" s="111"/>
      <c r="D1656" s="111"/>
      <c r="E1656" s="111"/>
    </row>
    <row r="1657" spans="1:5" x14ac:dyDescent="0.2">
      <c r="A1657" s="113">
        <v>36355</v>
      </c>
      <c r="B1657" s="111">
        <f t="shared" si="25"/>
        <v>73</v>
      </c>
      <c r="C1657" s="111"/>
      <c r="D1657" s="111"/>
      <c r="E1657" s="111"/>
    </row>
    <row r="1658" spans="1:5" x14ac:dyDescent="0.2">
      <c r="A1658" s="113">
        <v>36356</v>
      </c>
      <c r="B1658" s="111">
        <f t="shared" si="25"/>
        <v>73</v>
      </c>
      <c r="C1658" s="111"/>
      <c r="D1658" s="111"/>
      <c r="E1658" s="111"/>
    </row>
    <row r="1659" spans="1:5" x14ac:dyDescent="0.2">
      <c r="A1659" s="113">
        <v>36357</v>
      </c>
      <c r="B1659" s="111">
        <f t="shared" si="25"/>
        <v>73</v>
      </c>
      <c r="C1659" s="111"/>
      <c r="D1659" s="111"/>
      <c r="E1659" s="111"/>
    </row>
    <row r="1660" spans="1:5" x14ac:dyDescent="0.2">
      <c r="A1660" s="113">
        <v>36358</v>
      </c>
      <c r="B1660" s="111">
        <f t="shared" si="25"/>
        <v>73</v>
      </c>
      <c r="C1660" s="111"/>
      <c r="D1660" s="111"/>
      <c r="E1660" s="111"/>
    </row>
    <row r="1661" spans="1:5" x14ac:dyDescent="0.2">
      <c r="A1661" s="113">
        <v>36359</v>
      </c>
      <c r="B1661" s="111">
        <f t="shared" si="25"/>
        <v>74</v>
      </c>
      <c r="C1661" s="111"/>
      <c r="D1661" s="111"/>
      <c r="E1661" s="111"/>
    </row>
    <row r="1662" spans="1:5" x14ac:dyDescent="0.2">
      <c r="A1662" s="113">
        <v>36360</v>
      </c>
      <c r="B1662" s="111">
        <f t="shared" si="25"/>
        <v>74</v>
      </c>
      <c r="C1662" s="111"/>
      <c r="D1662" s="111"/>
      <c r="E1662" s="111"/>
    </row>
    <row r="1663" spans="1:5" x14ac:dyDescent="0.2">
      <c r="A1663" s="113">
        <v>36361</v>
      </c>
      <c r="B1663" s="111">
        <f t="shared" si="25"/>
        <v>74</v>
      </c>
      <c r="C1663" s="111"/>
      <c r="D1663" s="111"/>
      <c r="E1663" s="111"/>
    </row>
    <row r="1664" spans="1:5" x14ac:dyDescent="0.2">
      <c r="A1664" s="113">
        <v>36362</v>
      </c>
      <c r="B1664" s="111">
        <f t="shared" si="25"/>
        <v>74</v>
      </c>
      <c r="C1664" s="111"/>
      <c r="D1664" s="111"/>
      <c r="E1664" s="111"/>
    </row>
    <row r="1665" spans="1:5" x14ac:dyDescent="0.2">
      <c r="A1665" s="113">
        <v>36363</v>
      </c>
      <c r="B1665" s="111">
        <f t="shared" si="25"/>
        <v>74</v>
      </c>
      <c r="C1665" s="111"/>
      <c r="D1665" s="111"/>
      <c r="E1665" s="111"/>
    </row>
    <row r="1666" spans="1:5" x14ac:dyDescent="0.2">
      <c r="A1666" s="113">
        <v>36364</v>
      </c>
      <c r="B1666" s="111">
        <f t="shared" ref="B1666:B1729" si="26">VLOOKUP(WEEKNUM(A1666),$D$3:$E$58,2)</f>
        <v>74</v>
      </c>
      <c r="C1666" s="111"/>
      <c r="D1666" s="111"/>
      <c r="E1666" s="111"/>
    </row>
    <row r="1667" spans="1:5" x14ac:dyDescent="0.2">
      <c r="A1667" s="113">
        <v>36365</v>
      </c>
      <c r="B1667" s="111">
        <f t="shared" si="26"/>
        <v>74</v>
      </c>
      <c r="C1667" s="111"/>
      <c r="D1667" s="111"/>
      <c r="E1667" s="111"/>
    </row>
    <row r="1668" spans="1:5" x14ac:dyDescent="0.2">
      <c r="A1668" s="113">
        <v>36366</v>
      </c>
      <c r="B1668" s="111">
        <f t="shared" si="26"/>
        <v>75</v>
      </c>
      <c r="C1668" s="111"/>
      <c r="D1668" s="111"/>
      <c r="E1668" s="111"/>
    </row>
    <row r="1669" spans="1:5" x14ac:dyDescent="0.2">
      <c r="A1669" s="113">
        <v>36367</v>
      </c>
      <c r="B1669" s="111">
        <f t="shared" si="26"/>
        <v>75</v>
      </c>
      <c r="C1669" s="111"/>
      <c r="D1669" s="111"/>
      <c r="E1669" s="111"/>
    </row>
    <row r="1670" spans="1:5" x14ac:dyDescent="0.2">
      <c r="A1670" s="113">
        <v>36368</v>
      </c>
      <c r="B1670" s="111">
        <f t="shared" si="26"/>
        <v>75</v>
      </c>
      <c r="C1670" s="111"/>
      <c r="D1670" s="111"/>
      <c r="E1670" s="111"/>
    </row>
    <row r="1671" spans="1:5" x14ac:dyDescent="0.2">
      <c r="A1671" s="113">
        <v>36369</v>
      </c>
      <c r="B1671" s="111">
        <f t="shared" si="26"/>
        <v>75</v>
      </c>
      <c r="C1671" s="111"/>
      <c r="D1671" s="111"/>
      <c r="E1671" s="111"/>
    </row>
    <row r="1672" spans="1:5" x14ac:dyDescent="0.2">
      <c r="A1672" s="113">
        <v>36370</v>
      </c>
      <c r="B1672" s="111">
        <f t="shared" si="26"/>
        <v>75</v>
      </c>
      <c r="C1672" s="111"/>
      <c r="D1672" s="111"/>
      <c r="E1672" s="111"/>
    </row>
    <row r="1673" spans="1:5" x14ac:dyDescent="0.2">
      <c r="A1673" s="113">
        <v>36371</v>
      </c>
      <c r="B1673" s="111">
        <f t="shared" si="26"/>
        <v>75</v>
      </c>
      <c r="C1673" s="111"/>
      <c r="D1673" s="111"/>
      <c r="E1673" s="111"/>
    </row>
    <row r="1674" spans="1:5" x14ac:dyDescent="0.2">
      <c r="A1674" s="113">
        <v>36372</v>
      </c>
      <c r="B1674" s="111">
        <f t="shared" si="26"/>
        <v>75</v>
      </c>
      <c r="C1674" s="111"/>
      <c r="D1674" s="111"/>
      <c r="E1674" s="111"/>
    </row>
    <row r="1675" spans="1:5" x14ac:dyDescent="0.2">
      <c r="A1675" s="113">
        <v>36373</v>
      </c>
      <c r="B1675" s="111">
        <f t="shared" si="26"/>
        <v>81</v>
      </c>
      <c r="C1675" s="111"/>
      <c r="D1675" s="111"/>
      <c r="E1675" s="111"/>
    </row>
    <row r="1676" spans="1:5" x14ac:dyDescent="0.2">
      <c r="A1676" s="113">
        <v>36374</v>
      </c>
      <c r="B1676" s="111">
        <f t="shared" si="26"/>
        <v>81</v>
      </c>
      <c r="C1676" s="111"/>
      <c r="D1676" s="111"/>
      <c r="E1676" s="111"/>
    </row>
    <row r="1677" spans="1:5" x14ac:dyDescent="0.2">
      <c r="A1677" s="113">
        <v>36375</v>
      </c>
      <c r="B1677" s="111">
        <f t="shared" si="26"/>
        <v>81</v>
      </c>
      <c r="C1677" s="111"/>
      <c r="D1677" s="111"/>
      <c r="E1677" s="111"/>
    </row>
    <row r="1678" spans="1:5" x14ac:dyDescent="0.2">
      <c r="A1678" s="113">
        <v>36376</v>
      </c>
      <c r="B1678" s="111">
        <f t="shared" si="26"/>
        <v>81</v>
      </c>
      <c r="C1678" s="111"/>
      <c r="D1678" s="111"/>
      <c r="E1678" s="111"/>
    </row>
    <row r="1679" spans="1:5" x14ac:dyDescent="0.2">
      <c r="A1679" s="113">
        <v>36377</v>
      </c>
      <c r="B1679" s="111">
        <f t="shared" si="26"/>
        <v>81</v>
      </c>
      <c r="C1679" s="111"/>
      <c r="D1679" s="111"/>
      <c r="E1679" s="111"/>
    </row>
    <row r="1680" spans="1:5" x14ac:dyDescent="0.2">
      <c r="A1680" s="113">
        <v>36378</v>
      </c>
      <c r="B1680" s="111">
        <f t="shared" si="26"/>
        <v>81</v>
      </c>
      <c r="C1680" s="111"/>
      <c r="D1680" s="111"/>
      <c r="E1680" s="111"/>
    </row>
    <row r="1681" spans="1:5" x14ac:dyDescent="0.2">
      <c r="A1681" s="113">
        <v>36379</v>
      </c>
      <c r="B1681" s="111">
        <f t="shared" si="26"/>
        <v>81</v>
      </c>
      <c r="C1681" s="111"/>
      <c r="D1681" s="111"/>
      <c r="E1681" s="111"/>
    </row>
    <row r="1682" spans="1:5" x14ac:dyDescent="0.2">
      <c r="A1682" s="113">
        <v>36380</v>
      </c>
      <c r="B1682" s="111">
        <f t="shared" si="26"/>
        <v>82</v>
      </c>
      <c r="C1682" s="111"/>
      <c r="D1682" s="111"/>
      <c r="E1682" s="111"/>
    </row>
    <row r="1683" spans="1:5" x14ac:dyDescent="0.2">
      <c r="A1683" s="113">
        <v>36381</v>
      </c>
      <c r="B1683" s="111">
        <f t="shared" si="26"/>
        <v>82</v>
      </c>
      <c r="C1683" s="111"/>
      <c r="D1683" s="111"/>
      <c r="E1683" s="111"/>
    </row>
    <row r="1684" spans="1:5" x14ac:dyDescent="0.2">
      <c r="A1684" s="113">
        <v>36382</v>
      </c>
      <c r="B1684" s="111">
        <f t="shared" si="26"/>
        <v>82</v>
      </c>
      <c r="C1684" s="111"/>
      <c r="D1684" s="111"/>
      <c r="E1684" s="111"/>
    </row>
    <row r="1685" spans="1:5" x14ac:dyDescent="0.2">
      <c r="A1685" s="113">
        <v>36383</v>
      </c>
      <c r="B1685" s="111">
        <f t="shared" si="26"/>
        <v>82</v>
      </c>
      <c r="C1685" s="111"/>
      <c r="D1685" s="111"/>
      <c r="E1685" s="111"/>
    </row>
    <row r="1686" spans="1:5" x14ac:dyDescent="0.2">
      <c r="A1686" s="113">
        <v>36384</v>
      </c>
      <c r="B1686" s="111">
        <f t="shared" si="26"/>
        <v>82</v>
      </c>
      <c r="C1686" s="111"/>
      <c r="D1686" s="111"/>
      <c r="E1686" s="111"/>
    </row>
    <row r="1687" spans="1:5" x14ac:dyDescent="0.2">
      <c r="A1687" s="113">
        <v>36385</v>
      </c>
      <c r="B1687" s="111">
        <f t="shared" si="26"/>
        <v>82</v>
      </c>
      <c r="C1687" s="111"/>
      <c r="D1687" s="111"/>
      <c r="E1687" s="111"/>
    </row>
    <row r="1688" spans="1:5" x14ac:dyDescent="0.2">
      <c r="A1688" s="113">
        <v>36386</v>
      </c>
      <c r="B1688" s="111">
        <f t="shared" si="26"/>
        <v>82</v>
      </c>
      <c r="C1688" s="111"/>
      <c r="D1688" s="111"/>
      <c r="E1688" s="111"/>
    </row>
    <row r="1689" spans="1:5" x14ac:dyDescent="0.2">
      <c r="A1689" s="113">
        <v>36387</v>
      </c>
      <c r="B1689" s="111">
        <f t="shared" si="26"/>
        <v>83</v>
      </c>
      <c r="C1689" s="111"/>
      <c r="D1689" s="111"/>
      <c r="E1689" s="111"/>
    </row>
    <row r="1690" spans="1:5" x14ac:dyDescent="0.2">
      <c r="A1690" s="113">
        <v>36388</v>
      </c>
      <c r="B1690" s="111">
        <f t="shared" si="26"/>
        <v>83</v>
      </c>
      <c r="C1690" s="111"/>
      <c r="D1690" s="111"/>
      <c r="E1690" s="111"/>
    </row>
    <row r="1691" spans="1:5" x14ac:dyDescent="0.2">
      <c r="A1691" s="113">
        <v>36389</v>
      </c>
      <c r="B1691" s="111">
        <f t="shared" si="26"/>
        <v>83</v>
      </c>
      <c r="C1691" s="111"/>
      <c r="D1691" s="111"/>
      <c r="E1691" s="111"/>
    </row>
    <row r="1692" spans="1:5" x14ac:dyDescent="0.2">
      <c r="A1692" s="113">
        <v>36390</v>
      </c>
      <c r="B1692" s="111">
        <f t="shared" si="26"/>
        <v>83</v>
      </c>
      <c r="C1692" s="111"/>
      <c r="D1692" s="111"/>
      <c r="E1692" s="111"/>
    </row>
    <row r="1693" spans="1:5" x14ac:dyDescent="0.2">
      <c r="A1693" s="113">
        <v>36391</v>
      </c>
      <c r="B1693" s="111">
        <f t="shared" si="26"/>
        <v>83</v>
      </c>
      <c r="C1693" s="111"/>
      <c r="D1693" s="111"/>
      <c r="E1693" s="111"/>
    </row>
    <row r="1694" spans="1:5" x14ac:dyDescent="0.2">
      <c r="A1694" s="113">
        <v>36392</v>
      </c>
      <c r="B1694" s="111">
        <f t="shared" si="26"/>
        <v>83</v>
      </c>
      <c r="C1694" s="111"/>
      <c r="D1694" s="111"/>
      <c r="E1694" s="111"/>
    </row>
    <row r="1695" spans="1:5" x14ac:dyDescent="0.2">
      <c r="A1695" s="113">
        <v>36393</v>
      </c>
      <c r="B1695" s="111">
        <f t="shared" si="26"/>
        <v>83</v>
      </c>
      <c r="C1695" s="111"/>
      <c r="D1695" s="111"/>
      <c r="E1695" s="111"/>
    </row>
    <row r="1696" spans="1:5" x14ac:dyDescent="0.2">
      <c r="A1696" s="113">
        <v>36394</v>
      </c>
      <c r="B1696" s="111">
        <f t="shared" si="26"/>
        <v>84</v>
      </c>
      <c r="C1696" s="111"/>
      <c r="D1696" s="111"/>
      <c r="E1696" s="111"/>
    </row>
    <row r="1697" spans="1:5" x14ac:dyDescent="0.2">
      <c r="A1697" s="113">
        <v>36395</v>
      </c>
      <c r="B1697" s="111">
        <f t="shared" si="26"/>
        <v>84</v>
      </c>
      <c r="C1697" s="111"/>
      <c r="D1697" s="111"/>
      <c r="E1697" s="111"/>
    </row>
    <row r="1698" spans="1:5" x14ac:dyDescent="0.2">
      <c r="A1698" s="113">
        <v>36396</v>
      </c>
      <c r="B1698" s="111">
        <f t="shared" si="26"/>
        <v>84</v>
      </c>
      <c r="C1698" s="111"/>
      <c r="D1698" s="111"/>
      <c r="E1698" s="111"/>
    </row>
    <row r="1699" spans="1:5" x14ac:dyDescent="0.2">
      <c r="A1699" s="113">
        <v>36397</v>
      </c>
      <c r="B1699" s="111">
        <f t="shared" si="26"/>
        <v>84</v>
      </c>
      <c r="C1699" s="111"/>
      <c r="D1699" s="111"/>
      <c r="E1699" s="111"/>
    </row>
    <row r="1700" spans="1:5" x14ac:dyDescent="0.2">
      <c r="A1700" s="113">
        <v>36398</v>
      </c>
      <c r="B1700" s="111">
        <f t="shared" si="26"/>
        <v>84</v>
      </c>
      <c r="C1700" s="111"/>
      <c r="D1700" s="111"/>
      <c r="E1700" s="111"/>
    </row>
    <row r="1701" spans="1:5" x14ac:dyDescent="0.2">
      <c r="A1701" s="113">
        <v>36399</v>
      </c>
      <c r="B1701" s="111">
        <f t="shared" si="26"/>
        <v>84</v>
      </c>
      <c r="C1701" s="111"/>
      <c r="D1701" s="111"/>
      <c r="E1701" s="111"/>
    </row>
    <row r="1702" spans="1:5" x14ac:dyDescent="0.2">
      <c r="A1702" s="113">
        <v>36400</v>
      </c>
      <c r="B1702" s="111">
        <f t="shared" si="26"/>
        <v>84</v>
      </c>
      <c r="C1702" s="111"/>
      <c r="D1702" s="111"/>
      <c r="E1702" s="111"/>
    </row>
    <row r="1703" spans="1:5" x14ac:dyDescent="0.2">
      <c r="A1703" s="113">
        <v>36401</v>
      </c>
      <c r="B1703" s="111">
        <f t="shared" si="26"/>
        <v>91</v>
      </c>
      <c r="C1703" s="111"/>
      <c r="D1703" s="111"/>
      <c r="E1703" s="111"/>
    </row>
    <row r="1704" spans="1:5" x14ac:dyDescent="0.2">
      <c r="A1704" s="113">
        <v>36402</v>
      </c>
      <c r="B1704" s="111">
        <f t="shared" si="26"/>
        <v>91</v>
      </c>
      <c r="C1704" s="111"/>
      <c r="D1704" s="111"/>
      <c r="E1704" s="111"/>
    </row>
    <row r="1705" spans="1:5" x14ac:dyDescent="0.2">
      <c r="A1705" s="113">
        <v>36403</v>
      </c>
      <c r="B1705" s="111">
        <f t="shared" si="26"/>
        <v>91</v>
      </c>
      <c r="C1705" s="111"/>
      <c r="D1705" s="111"/>
      <c r="E1705" s="111"/>
    </row>
    <row r="1706" spans="1:5" x14ac:dyDescent="0.2">
      <c r="A1706" s="113">
        <v>36404</v>
      </c>
      <c r="B1706" s="111">
        <f t="shared" si="26"/>
        <v>91</v>
      </c>
      <c r="C1706" s="111"/>
      <c r="D1706" s="111"/>
      <c r="E1706" s="111"/>
    </row>
    <row r="1707" spans="1:5" x14ac:dyDescent="0.2">
      <c r="A1707" s="113">
        <v>36405</v>
      </c>
      <c r="B1707" s="111">
        <f t="shared" si="26"/>
        <v>91</v>
      </c>
      <c r="C1707" s="111"/>
      <c r="D1707" s="111"/>
      <c r="E1707" s="111"/>
    </row>
    <row r="1708" spans="1:5" x14ac:dyDescent="0.2">
      <c r="A1708" s="113">
        <v>36406</v>
      </c>
      <c r="B1708" s="111">
        <f t="shared" si="26"/>
        <v>91</v>
      </c>
      <c r="C1708" s="111"/>
      <c r="D1708" s="111"/>
      <c r="E1708" s="111"/>
    </row>
    <row r="1709" spans="1:5" x14ac:dyDescent="0.2">
      <c r="A1709" s="113">
        <v>36407</v>
      </c>
      <c r="B1709" s="111">
        <f t="shared" si="26"/>
        <v>91</v>
      </c>
      <c r="C1709" s="111"/>
      <c r="D1709" s="111"/>
      <c r="E1709" s="111"/>
    </row>
    <row r="1710" spans="1:5" x14ac:dyDescent="0.2">
      <c r="A1710" s="113">
        <v>36408</v>
      </c>
      <c r="B1710" s="111">
        <f t="shared" si="26"/>
        <v>92</v>
      </c>
      <c r="C1710" s="111"/>
      <c r="D1710" s="111"/>
      <c r="E1710" s="111"/>
    </row>
    <row r="1711" spans="1:5" x14ac:dyDescent="0.2">
      <c r="A1711" s="113">
        <v>36409</v>
      </c>
      <c r="B1711" s="111">
        <f t="shared" si="26"/>
        <v>92</v>
      </c>
      <c r="C1711" s="111"/>
      <c r="D1711" s="111"/>
      <c r="E1711" s="111"/>
    </row>
    <row r="1712" spans="1:5" x14ac:dyDescent="0.2">
      <c r="A1712" s="113">
        <v>36410</v>
      </c>
      <c r="B1712" s="111">
        <f t="shared" si="26"/>
        <v>92</v>
      </c>
      <c r="C1712" s="111"/>
      <c r="D1712" s="111"/>
      <c r="E1712" s="111"/>
    </row>
    <row r="1713" spans="1:5" x14ac:dyDescent="0.2">
      <c r="A1713" s="113">
        <v>36411</v>
      </c>
      <c r="B1713" s="111">
        <f t="shared" si="26"/>
        <v>92</v>
      </c>
      <c r="C1713" s="111"/>
      <c r="D1713" s="111"/>
      <c r="E1713" s="111"/>
    </row>
    <row r="1714" spans="1:5" x14ac:dyDescent="0.2">
      <c r="A1714" s="113">
        <v>36412</v>
      </c>
      <c r="B1714" s="111">
        <f t="shared" si="26"/>
        <v>92</v>
      </c>
      <c r="C1714" s="111"/>
      <c r="D1714" s="111"/>
      <c r="E1714" s="111"/>
    </row>
    <row r="1715" spans="1:5" x14ac:dyDescent="0.2">
      <c r="A1715" s="113">
        <v>36413</v>
      </c>
      <c r="B1715" s="111">
        <f t="shared" si="26"/>
        <v>92</v>
      </c>
      <c r="C1715" s="111"/>
      <c r="D1715" s="111"/>
      <c r="E1715" s="111"/>
    </row>
    <row r="1716" spans="1:5" x14ac:dyDescent="0.2">
      <c r="A1716" s="113">
        <v>36414</v>
      </c>
      <c r="B1716" s="111">
        <f t="shared" si="26"/>
        <v>92</v>
      </c>
      <c r="C1716" s="111"/>
      <c r="D1716" s="111"/>
      <c r="E1716" s="111"/>
    </row>
    <row r="1717" spans="1:5" x14ac:dyDescent="0.2">
      <c r="A1717" s="113">
        <v>36415</v>
      </c>
      <c r="B1717" s="111">
        <f t="shared" si="26"/>
        <v>93</v>
      </c>
      <c r="C1717" s="111"/>
      <c r="D1717" s="111"/>
      <c r="E1717" s="111"/>
    </row>
    <row r="1718" spans="1:5" x14ac:dyDescent="0.2">
      <c r="A1718" s="113">
        <v>36416</v>
      </c>
      <c r="B1718" s="111">
        <f t="shared" si="26"/>
        <v>93</v>
      </c>
      <c r="C1718" s="111"/>
      <c r="D1718" s="111"/>
      <c r="E1718" s="111"/>
    </row>
    <row r="1719" spans="1:5" x14ac:dyDescent="0.2">
      <c r="A1719" s="113">
        <v>36417</v>
      </c>
      <c r="B1719" s="111">
        <f t="shared" si="26"/>
        <v>93</v>
      </c>
      <c r="C1719" s="111"/>
      <c r="D1719" s="111"/>
      <c r="E1719" s="111"/>
    </row>
    <row r="1720" spans="1:5" x14ac:dyDescent="0.2">
      <c r="A1720" s="113">
        <v>36418</v>
      </c>
      <c r="B1720" s="111">
        <f t="shared" si="26"/>
        <v>93</v>
      </c>
      <c r="C1720" s="111"/>
      <c r="D1720" s="111"/>
      <c r="E1720" s="111"/>
    </row>
    <row r="1721" spans="1:5" x14ac:dyDescent="0.2">
      <c r="A1721" s="113">
        <v>36419</v>
      </c>
      <c r="B1721" s="111">
        <f t="shared" si="26"/>
        <v>93</v>
      </c>
      <c r="C1721" s="111"/>
      <c r="D1721" s="111"/>
      <c r="E1721" s="111"/>
    </row>
    <row r="1722" spans="1:5" x14ac:dyDescent="0.2">
      <c r="A1722" s="113">
        <v>36420</v>
      </c>
      <c r="B1722" s="111">
        <f t="shared" si="26"/>
        <v>93</v>
      </c>
      <c r="C1722" s="111"/>
      <c r="D1722" s="111"/>
      <c r="E1722" s="111"/>
    </row>
    <row r="1723" spans="1:5" x14ac:dyDescent="0.2">
      <c r="A1723" s="113">
        <v>36421</v>
      </c>
      <c r="B1723" s="111">
        <f t="shared" si="26"/>
        <v>93</v>
      </c>
      <c r="C1723" s="111"/>
      <c r="D1723" s="111"/>
      <c r="E1723" s="111"/>
    </row>
    <row r="1724" spans="1:5" x14ac:dyDescent="0.2">
      <c r="A1724" s="113">
        <v>36422</v>
      </c>
      <c r="B1724" s="111">
        <f t="shared" si="26"/>
        <v>94</v>
      </c>
      <c r="C1724" s="111"/>
      <c r="D1724" s="111"/>
      <c r="E1724" s="111"/>
    </row>
    <row r="1725" spans="1:5" x14ac:dyDescent="0.2">
      <c r="A1725" s="113">
        <v>36423</v>
      </c>
      <c r="B1725" s="111">
        <f t="shared" si="26"/>
        <v>94</v>
      </c>
      <c r="C1725" s="111"/>
      <c r="D1725" s="111"/>
      <c r="E1725" s="111"/>
    </row>
    <row r="1726" spans="1:5" x14ac:dyDescent="0.2">
      <c r="A1726" s="113">
        <v>36424</v>
      </c>
      <c r="B1726" s="111">
        <f t="shared" si="26"/>
        <v>94</v>
      </c>
      <c r="C1726" s="111"/>
      <c r="D1726" s="111"/>
      <c r="E1726" s="111"/>
    </row>
    <row r="1727" spans="1:5" x14ac:dyDescent="0.2">
      <c r="A1727" s="113">
        <v>36425</v>
      </c>
      <c r="B1727" s="111">
        <f t="shared" si="26"/>
        <v>94</v>
      </c>
      <c r="C1727" s="111"/>
      <c r="D1727" s="111"/>
      <c r="E1727" s="111"/>
    </row>
    <row r="1728" spans="1:5" x14ac:dyDescent="0.2">
      <c r="A1728" s="113">
        <v>36426</v>
      </c>
      <c r="B1728" s="111">
        <f t="shared" si="26"/>
        <v>94</v>
      </c>
      <c r="C1728" s="111"/>
      <c r="D1728" s="111"/>
      <c r="E1728" s="111"/>
    </row>
    <row r="1729" spans="1:5" x14ac:dyDescent="0.2">
      <c r="A1729" s="113">
        <v>36427</v>
      </c>
      <c r="B1729" s="111">
        <f t="shared" si="26"/>
        <v>94</v>
      </c>
      <c r="C1729" s="111"/>
      <c r="D1729" s="111"/>
      <c r="E1729" s="111"/>
    </row>
    <row r="1730" spans="1:5" x14ac:dyDescent="0.2">
      <c r="A1730" s="113">
        <v>36428</v>
      </c>
      <c r="B1730" s="111">
        <f t="shared" ref="B1730:B1793" si="27">VLOOKUP(WEEKNUM(A1730),$D$3:$E$58,2)</f>
        <v>94</v>
      </c>
      <c r="C1730" s="111"/>
      <c r="D1730" s="111"/>
      <c r="E1730" s="111"/>
    </row>
    <row r="1731" spans="1:5" x14ac:dyDescent="0.2">
      <c r="A1731" s="113">
        <v>36429</v>
      </c>
      <c r="B1731" s="111">
        <f t="shared" si="27"/>
        <v>101</v>
      </c>
      <c r="C1731" s="111"/>
      <c r="D1731" s="111"/>
      <c r="E1731" s="111"/>
    </row>
    <row r="1732" spans="1:5" x14ac:dyDescent="0.2">
      <c r="A1732" s="113">
        <v>36430</v>
      </c>
      <c r="B1732" s="111">
        <f t="shared" si="27"/>
        <v>101</v>
      </c>
      <c r="C1732" s="111"/>
      <c r="D1732" s="111"/>
      <c r="E1732" s="111"/>
    </row>
    <row r="1733" spans="1:5" x14ac:dyDescent="0.2">
      <c r="A1733" s="113">
        <v>36431</v>
      </c>
      <c r="B1733" s="111">
        <f t="shared" si="27"/>
        <v>101</v>
      </c>
      <c r="C1733" s="111"/>
      <c r="D1733" s="111"/>
      <c r="E1733" s="111"/>
    </row>
    <row r="1734" spans="1:5" x14ac:dyDescent="0.2">
      <c r="A1734" s="113">
        <v>36432</v>
      </c>
      <c r="B1734" s="111">
        <f t="shared" si="27"/>
        <v>101</v>
      </c>
      <c r="C1734" s="111"/>
      <c r="D1734" s="111"/>
      <c r="E1734" s="111"/>
    </row>
    <row r="1735" spans="1:5" x14ac:dyDescent="0.2">
      <c r="A1735" s="113">
        <v>36433</v>
      </c>
      <c r="B1735" s="111">
        <f t="shared" si="27"/>
        <v>101</v>
      </c>
      <c r="C1735" s="111"/>
      <c r="D1735" s="111"/>
      <c r="E1735" s="111"/>
    </row>
    <row r="1736" spans="1:5" x14ac:dyDescent="0.2">
      <c r="A1736" s="113">
        <v>36434</v>
      </c>
      <c r="B1736" s="111">
        <f t="shared" si="27"/>
        <v>101</v>
      </c>
      <c r="C1736" s="111"/>
      <c r="D1736" s="111"/>
      <c r="E1736" s="111"/>
    </row>
    <row r="1737" spans="1:5" x14ac:dyDescent="0.2">
      <c r="A1737" s="113">
        <v>36435</v>
      </c>
      <c r="B1737" s="111">
        <f t="shared" si="27"/>
        <v>101</v>
      </c>
      <c r="C1737" s="111"/>
      <c r="D1737" s="111"/>
      <c r="E1737" s="111"/>
    </row>
    <row r="1738" spans="1:5" x14ac:dyDescent="0.2">
      <c r="A1738" s="113">
        <v>36436</v>
      </c>
      <c r="B1738" s="111">
        <f t="shared" si="27"/>
        <v>102</v>
      </c>
      <c r="C1738" s="111"/>
      <c r="D1738" s="111"/>
      <c r="E1738" s="111"/>
    </row>
    <row r="1739" spans="1:5" x14ac:dyDescent="0.2">
      <c r="A1739" s="113">
        <v>36437</v>
      </c>
      <c r="B1739" s="111">
        <f t="shared" si="27"/>
        <v>102</v>
      </c>
      <c r="C1739" s="111"/>
      <c r="D1739" s="111"/>
      <c r="E1739" s="111"/>
    </row>
    <row r="1740" spans="1:5" x14ac:dyDescent="0.2">
      <c r="A1740" s="113">
        <v>36438</v>
      </c>
      <c r="B1740" s="111">
        <f t="shared" si="27"/>
        <v>102</v>
      </c>
      <c r="C1740" s="111"/>
      <c r="D1740" s="111"/>
      <c r="E1740" s="111"/>
    </row>
    <row r="1741" spans="1:5" x14ac:dyDescent="0.2">
      <c r="A1741" s="113">
        <v>36439</v>
      </c>
      <c r="B1741" s="111">
        <f t="shared" si="27"/>
        <v>102</v>
      </c>
      <c r="C1741" s="111"/>
      <c r="D1741" s="111"/>
      <c r="E1741" s="111"/>
    </row>
    <row r="1742" spans="1:5" x14ac:dyDescent="0.2">
      <c r="A1742" s="113">
        <v>36440</v>
      </c>
      <c r="B1742" s="111">
        <f t="shared" si="27"/>
        <v>102</v>
      </c>
      <c r="C1742" s="111"/>
      <c r="D1742" s="111"/>
      <c r="E1742" s="111"/>
    </row>
    <row r="1743" spans="1:5" x14ac:dyDescent="0.2">
      <c r="A1743" s="113">
        <v>36441</v>
      </c>
      <c r="B1743" s="111">
        <f t="shared" si="27"/>
        <v>102</v>
      </c>
      <c r="C1743" s="111"/>
      <c r="D1743" s="111"/>
      <c r="E1743" s="111"/>
    </row>
    <row r="1744" spans="1:5" x14ac:dyDescent="0.2">
      <c r="A1744" s="113">
        <v>36442</v>
      </c>
      <c r="B1744" s="111">
        <f t="shared" si="27"/>
        <v>102</v>
      </c>
      <c r="C1744" s="111"/>
      <c r="D1744" s="111"/>
      <c r="E1744" s="111"/>
    </row>
    <row r="1745" spans="1:5" x14ac:dyDescent="0.2">
      <c r="A1745" s="113">
        <v>36443</v>
      </c>
      <c r="B1745" s="111">
        <f t="shared" si="27"/>
        <v>103</v>
      </c>
      <c r="C1745" s="111"/>
      <c r="D1745" s="111"/>
      <c r="E1745" s="111"/>
    </row>
    <row r="1746" spans="1:5" x14ac:dyDescent="0.2">
      <c r="A1746" s="113">
        <v>36444</v>
      </c>
      <c r="B1746" s="111">
        <f t="shared" si="27"/>
        <v>103</v>
      </c>
      <c r="C1746" s="111"/>
      <c r="D1746" s="111"/>
      <c r="E1746" s="111"/>
    </row>
    <row r="1747" spans="1:5" x14ac:dyDescent="0.2">
      <c r="A1747" s="113">
        <v>36445</v>
      </c>
      <c r="B1747" s="111">
        <f t="shared" si="27"/>
        <v>103</v>
      </c>
      <c r="C1747" s="111"/>
      <c r="D1747" s="111"/>
      <c r="E1747" s="111"/>
    </row>
    <row r="1748" spans="1:5" x14ac:dyDescent="0.2">
      <c r="A1748" s="113">
        <v>36446</v>
      </c>
      <c r="B1748" s="111">
        <f t="shared" si="27"/>
        <v>103</v>
      </c>
      <c r="C1748" s="111"/>
      <c r="D1748" s="111"/>
      <c r="E1748" s="111"/>
    </row>
    <row r="1749" spans="1:5" x14ac:dyDescent="0.2">
      <c r="A1749" s="113">
        <v>36447</v>
      </c>
      <c r="B1749" s="111">
        <f t="shared" si="27"/>
        <v>103</v>
      </c>
      <c r="C1749" s="111"/>
      <c r="D1749" s="111"/>
      <c r="E1749" s="111"/>
    </row>
    <row r="1750" spans="1:5" x14ac:dyDescent="0.2">
      <c r="A1750" s="113">
        <v>36448</v>
      </c>
      <c r="B1750" s="111">
        <f t="shared" si="27"/>
        <v>103</v>
      </c>
      <c r="C1750" s="111"/>
      <c r="D1750" s="111"/>
      <c r="E1750" s="111"/>
    </row>
    <row r="1751" spans="1:5" x14ac:dyDescent="0.2">
      <c r="A1751" s="113">
        <v>36449</v>
      </c>
      <c r="B1751" s="111">
        <f t="shared" si="27"/>
        <v>103</v>
      </c>
      <c r="C1751" s="111"/>
      <c r="D1751" s="111"/>
      <c r="E1751" s="111"/>
    </row>
    <row r="1752" spans="1:5" x14ac:dyDescent="0.2">
      <c r="A1752" s="113">
        <v>36450</v>
      </c>
      <c r="B1752" s="111">
        <f t="shared" si="27"/>
        <v>104</v>
      </c>
      <c r="C1752" s="111"/>
      <c r="D1752" s="111"/>
      <c r="E1752" s="111"/>
    </row>
    <row r="1753" spans="1:5" x14ac:dyDescent="0.2">
      <c r="A1753" s="113">
        <v>36451</v>
      </c>
      <c r="B1753" s="111">
        <f t="shared" si="27"/>
        <v>104</v>
      </c>
      <c r="C1753" s="111"/>
      <c r="D1753" s="111"/>
      <c r="E1753" s="111"/>
    </row>
    <row r="1754" spans="1:5" x14ac:dyDescent="0.2">
      <c r="A1754" s="113">
        <v>36452</v>
      </c>
      <c r="B1754" s="111">
        <f t="shared" si="27"/>
        <v>104</v>
      </c>
      <c r="C1754" s="111"/>
      <c r="D1754" s="111"/>
      <c r="E1754" s="111"/>
    </row>
    <row r="1755" spans="1:5" x14ac:dyDescent="0.2">
      <c r="A1755" s="113">
        <v>36453</v>
      </c>
      <c r="B1755" s="111">
        <f t="shared" si="27"/>
        <v>104</v>
      </c>
      <c r="C1755" s="111"/>
      <c r="D1755" s="111"/>
      <c r="E1755" s="110"/>
    </row>
    <row r="1756" spans="1:5" x14ac:dyDescent="0.2">
      <c r="A1756" s="113">
        <v>36454</v>
      </c>
      <c r="B1756" s="111">
        <f t="shared" si="27"/>
        <v>104</v>
      </c>
      <c r="C1756" s="111"/>
      <c r="D1756" s="111"/>
      <c r="E1756" s="111"/>
    </row>
    <row r="1757" spans="1:5" x14ac:dyDescent="0.2">
      <c r="A1757" s="113">
        <v>36455</v>
      </c>
      <c r="B1757" s="111">
        <f t="shared" si="27"/>
        <v>104</v>
      </c>
      <c r="C1757" s="111"/>
      <c r="D1757" s="111"/>
      <c r="E1757" s="111"/>
    </row>
    <row r="1758" spans="1:5" x14ac:dyDescent="0.2">
      <c r="A1758" s="113">
        <v>36456</v>
      </c>
      <c r="B1758" s="111">
        <f t="shared" si="27"/>
        <v>104</v>
      </c>
      <c r="C1758" s="111"/>
      <c r="D1758" s="111"/>
      <c r="E1758" s="111"/>
    </row>
    <row r="1759" spans="1:5" x14ac:dyDescent="0.2">
      <c r="A1759" s="113">
        <v>36457</v>
      </c>
      <c r="B1759" s="111">
        <f t="shared" si="27"/>
        <v>105</v>
      </c>
      <c r="C1759" s="111"/>
      <c r="D1759" s="111"/>
      <c r="E1759" s="111"/>
    </row>
    <row r="1760" spans="1:5" x14ac:dyDescent="0.2">
      <c r="A1760" s="113">
        <v>36458</v>
      </c>
      <c r="B1760" s="111">
        <f t="shared" si="27"/>
        <v>105</v>
      </c>
      <c r="C1760" s="111"/>
      <c r="D1760" s="111"/>
      <c r="E1760" s="111"/>
    </row>
    <row r="1761" spans="1:5" x14ac:dyDescent="0.2">
      <c r="A1761" s="113">
        <v>36459</v>
      </c>
      <c r="B1761" s="111">
        <f t="shared" si="27"/>
        <v>105</v>
      </c>
      <c r="C1761" s="111"/>
      <c r="D1761" s="111"/>
      <c r="E1761" s="111"/>
    </row>
    <row r="1762" spans="1:5" x14ac:dyDescent="0.2">
      <c r="A1762" s="113">
        <v>36460</v>
      </c>
      <c r="B1762" s="111">
        <f t="shared" si="27"/>
        <v>105</v>
      </c>
      <c r="C1762" s="111"/>
      <c r="D1762" s="111"/>
      <c r="E1762" s="111"/>
    </row>
    <row r="1763" spans="1:5" x14ac:dyDescent="0.2">
      <c r="A1763" s="113">
        <v>36461</v>
      </c>
      <c r="B1763" s="111">
        <f t="shared" si="27"/>
        <v>105</v>
      </c>
      <c r="C1763" s="111"/>
      <c r="D1763" s="111"/>
      <c r="E1763" s="111"/>
    </row>
    <row r="1764" spans="1:5" x14ac:dyDescent="0.2">
      <c r="A1764" s="113">
        <v>36462</v>
      </c>
      <c r="B1764" s="111">
        <f t="shared" si="27"/>
        <v>105</v>
      </c>
      <c r="C1764" s="111"/>
      <c r="D1764" s="111"/>
      <c r="E1764" s="111"/>
    </row>
    <row r="1765" spans="1:5" x14ac:dyDescent="0.2">
      <c r="A1765" s="113">
        <v>36463</v>
      </c>
      <c r="B1765" s="111">
        <f t="shared" si="27"/>
        <v>105</v>
      </c>
      <c r="C1765" s="111"/>
      <c r="D1765" s="111"/>
      <c r="E1765" s="111"/>
    </row>
    <row r="1766" spans="1:5" x14ac:dyDescent="0.2">
      <c r="A1766" s="113">
        <v>36464</v>
      </c>
      <c r="B1766" s="111">
        <f t="shared" si="27"/>
        <v>111</v>
      </c>
      <c r="C1766" s="111"/>
      <c r="D1766" s="111"/>
      <c r="E1766" s="111"/>
    </row>
    <row r="1767" spans="1:5" x14ac:dyDescent="0.2">
      <c r="A1767" s="113">
        <v>36465</v>
      </c>
      <c r="B1767" s="111">
        <f t="shared" si="27"/>
        <v>111</v>
      </c>
      <c r="C1767" s="111"/>
      <c r="D1767" s="111"/>
      <c r="E1767" s="111"/>
    </row>
    <row r="1768" spans="1:5" x14ac:dyDescent="0.2">
      <c r="A1768" s="113">
        <v>36466</v>
      </c>
      <c r="B1768" s="111">
        <f t="shared" si="27"/>
        <v>111</v>
      </c>
      <c r="C1768" s="111"/>
      <c r="D1768" s="111"/>
      <c r="E1768" s="111"/>
    </row>
    <row r="1769" spans="1:5" x14ac:dyDescent="0.2">
      <c r="A1769" s="113">
        <v>36467</v>
      </c>
      <c r="B1769" s="111">
        <f t="shared" si="27"/>
        <v>111</v>
      </c>
      <c r="C1769" s="111"/>
      <c r="D1769" s="111"/>
      <c r="E1769" s="111"/>
    </row>
    <row r="1770" spans="1:5" x14ac:dyDescent="0.2">
      <c r="A1770" s="113">
        <v>36468</v>
      </c>
      <c r="B1770" s="111">
        <f t="shared" si="27"/>
        <v>111</v>
      </c>
      <c r="C1770" s="111"/>
      <c r="D1770" s="111"/>
      <c r="E1770" s="111"/>
    </row>
    <row r="1771" spans="1:5" x14ac:dyDescent="0.2">
      <c r="A1771" s="113">
        <v>36469</v>
      </c>
      <c r="B1771" s="111">
        <f t="shared" si="27"/>
        <v>111</v>
      </c>
      <c r="C1771" s="111"/>
      <c r="D1771" s="111"/>
      <c r="E1771" s="111"/>
    </row>
    <row r="1772" spans="1:5" x14ac:dyDescent="0.2">
      <c r="A1772" s="113">
        <v>36470</v>
      </c>
      <c r="B1772" s="111">
        <f t="shared" si="27"/>
        <v>111</v>
      </c>
      <c r="C1772" s="111"/>
      <c r="D1772" s="111"/>
      <c r="E1772" s="111"/>
    </row>
    <row r="1773" spans="1:5" x14ac:dyDescent="0.2">
      <c r="A1773" s="113">
        <v>36471</v>
      </c>
      <c r="B1773" s="111">
        <f t="shared" si="27"/>
        <v>112</v>
      </c>
      <c r="C1773" s="111"/>
      <c r="D1773" s="111"/>
      <c r="E1773" s="111"/>
    </row>
    <row r="1774" spans="1:5" x14ac:dyDescent="0.2">
      <c r="A1774" s="113">
        <v>36472</v>
      </c>
      <c r="B1774" s="111">
        <f t="shared" si="27"/>
        <v>112</v>
      </c>
      <c r="C1774" s="111"/>
      <c r="D1774" s="111"/>
      <c r="E1774" s="111"/>
    </row>
    <row r="1775" spans="1:5" x14ac:dyDescent="0.2">
      <c r="A1775" s="113">
        <v>36473</v>
      </c>
      <c r="B1775" s="111">
        <f t="shared" si="27"/>
        <v>112</v>
      </c>
      <c r="C1775" s="111"/>
      <c r="D1775" s="111"/>
      <c r="E1775" s="111"/>
    </row>
    <row r="1776" spans="1:5" x14ac:dyDescent="0.2">
      <c r="A1776" s="113">
        <v>36474</v>
      </c>
      <c r="B1776" s="111">
        <f t="shared" si="27"/>
        <v>112</v>
      </c>
      <c r="C1776" s="111"/>
      <c r="D1776" s="111"/>
      <c r="E1776" s="111"/>
    </row>
    <row r="1777" spans="1:5" x14ac:dyDescent="0.2">
      <c r="A1777" s="113">
        <v>36475</v>
      </c>
      <c r="B1777" s="111">
        <f t="shared" si="27"/>
        <v>112</v>
      </c>
      <c r="C1777" s="111"/>
      <c r="D1777" s="111"/>
      <c r="E1777" s="111"/>
    </row>
    <row r="1778" spans="1:5" x14ac:dyDescent="0.2">
      <c r="A1778" s="113">
        <v>36476</v>
      </c>
      <c r="B1778" s="111">
        <f t="shared" si="27"/>
        <v>112</v>
      </c>
      <c r="C1778" s="111"/>
      <c r="D1778" s="111"/>
      <c r="E1778" s="111"/>
    </row>
    <row r="1779" spans="1:5" x14ac:dyDescent="0.2">
      <c r="A1779" s="113">
        <v>36477</v>
      </c>
      <c r="B1779" s="111">
        <f t="shared" si="27"/>
        <v>112</v>
      </c>
      <c r="C1779" s="111"/>
      <c r="D1779" s="111"/>
      <c r="E1779" s="111"/>
    </row>
    <row r="1780" spans="1:5" x14ac:dyDescent="0.2">
      <c r="A1780" s="113">
        <v>36478</v>
      </c>
      <c r="B1780" s="111">
        <f t="shared" si="27"/>
        <v>113</v>
      </c>
      <c r="C1780" s="111"/>
      <c r="D1780" s="111"/>
      <c r="E1780" s="111"/>
    </row>
    <row r="1781" spans="1:5" x14ac:dyDescent="0.2">
      <c r="A1781" s="113">
        <v>36479</v>
      </c>
      <c r="B1781" s="111">
        <f t="shared" si="27"/>
        <v>113</v>
      </c>
      <c r="C1781" s="111"/>
      <c r="D1781" s="111"/>
      <c r="E1781" s="111"/>
    </row>
    <row r="1782" spans="1:5" x14ac:dyDescent="0.2">
      <c r="A1782" s="113">
        <v>36480</v>
      </c>
      <c r="B1782" s="111">
        <f t="shared" si="27"/>
        <v>113</v>
      </c>
      <c r="C1782" s="111"/>
      <c r="D1782" s="111"/>
      <c r="E1782" s="111"/>
    </row>
    <row r="1783" spans="1:5" x14ac:dyDescent="0.2">
      <c r="A1783" s="113">
        <v>36481</v>
      </c>
      <c r="B1783" s="111">
        <f t="shared" si="27"/>
        <v>113</v>
      </c>
      <c r="C1783" s="111"/>
      <c r="D1783" s="111"/>
      <c r="E1783" s="111"/>
    </row>
    <row r="1784" spans="1:5" x14ac:dyDescent="0.2">
      <c r="A1784" s="113">
        <v>36482</v>
      </c>
      <c r="B1784" s="111">
        <f t="shared" si="27"/>
        <v>113</v>
      </c>
      <c r="C1784" s="111"/>
      <c r="D1784" s="111"/>
      <c r="E1784" s="111"/>
    </row>
    <row r="1785" spans="1:5" x14ac:dyDescent="0.2">
      <c r="A1785" s="113">
        <v>36483</v>
      </c>
      <c r="B1785" s="111">
        <f t="shared" si="27"/>
        <v>113</v>
      </c>
      <c r="C1785" s="111"/>
      <c r="D1785" s="111"/>
      <c r="E1785" s="111"/>
    </row>
    <row r="1786" spans="1:5" x14ac:dyDescent="0.2">
      <c r="A1786" s="113">
        <v>36484</v>
      </c>
      <c r="B1786" s="111">
        <f t="shared" si="27"/>
        <v>113</v>
      </c>
      <c r="C1786" s="111"/>
      <c r="D1786" s="111"/>
      <c r="E1786" s="111"/>
    </row>
    <row r="1787" spans="1:5" x14ac:dyDescent="0.2">
      <c r="A1787" s="113">
        <v>36485</v>
      </c>
      <c r="B1787" s="111">
        <f t="shared" si="27"/>
        <v>114</v>
      </c>
      <c r="C1787" s="111"/>
      <c r="D1787" s="111"/>
      <c r="E1787" s="111"/>
    </row>
    <row r="1788" spans="1:5" x14ac:dyDescent="0.2">
      <c r="A1788" s="113">
        <v>36486</v>
      </c>
      <c r="B1788" s="111">
        <f t="shared" si="27"/>
        <v>114</v>
      </c>
      <c r="C1788" s="111"/>
      <c r="D1788" s="111"/>
      <c r="E1788" s="111"/>
    </row>
    <row r="1789" spans="1:5" x14ac:dyDescent="0.2">
      <c r="A1789" s="113">
        <v>36487</v>
      </c>
      <c r="B1789" s="111">
        <f t="shared" si="27"/>
        <v>114</v>
      </c>
      <c r="C1789" s="111"/>
      <c r="D1789" s="111"/>
      <c r="E1789" s="111"/>
    </row>
    <row r="1790" spans="1:5" x14ac:dyDescent="0.2">
      <c r="A1790" s="113">
        <v>36488</v>
      </c>
      <c r="B1790" s="111">
        <f t="shared" si="27"/>
        <v>114</v>
      </c>
      <c r="C1790" s="111"/>
      <c r="D1790" s="111"/>
      <c r="E1790" s="111"/>
    </row>
    <row r="1791" spans="1:5" x14ac:dyDescent="0.2">
      <c r="A1791" s="113">
        <v>36489</v>
      </c>
      <c r="B1791" s="111">
        <f t="shared" si="27"/>
        <v>114</v>
      </c>
      <c r="C1791" s="111"/>
      <c r="D1791" s="111"/>
      <c r="E1791" s="111"/>
    </row>
    <row r="1792" spans="1:5" x14ac:dyDescent="0.2">
      <c r="A1792" s="113">
        <v>36490</v>
      </c>
      <c r="B1792" s="111">
        <f t="shared" si="27"/>
        <v>114</v>
      </c>
      <c r="C1792" s="111"/>
      <c r="D1792" s="111"/>
      <c r="E1792" s="111"/>
    </row>
    <row r="1793" spans="1:5" x14ac:dyDescent="0.2">
      <c r="A1793" s="113">
        <v>36491</v>
      </c>
      <c r="B1793" s="111">
        <f t="shared" si="27"/>
        <v>114</v>
      </c>
      <c r="C1793" s="111"/>
      <c r="D1793" s="111"/>
      <c r="E1793" s="111"/>
    </row>
    <row r="1794" spans="1:5" x14ac:dyDescent="0.2">
      <c r="A1794" s="113">
        <v>36492</v>
      </c>
      <c r="B1794" s="111">
        <f t="shared" ref="B1794:B1857" si="28">VLOOKUP(WEEKNUM(A1794),$D$3:$E$58,2)</f>
        <v>115</v>
      </c>
      <c r="C1794" s="111"/>
      <c r="D1794" s="111"/>
      <c r="E1794" s="111"/>
    </row>
    <row r="1795" spans="1:5" x14ac:dyDescent="0.2">
      <c r="A1795" s="113">
        <v>36493</v>
      </c>
      <c r="B1795" s="111">
        <f t="shared" si="28"/>
        <v>115</v>
      </c>
      <c r="C1795" s="111"/>
      <c r="D1795" s="111"/>
      <c r="E1795" s="111"/>
    </row>
    <row r="1796" spans="1:5" x14ac:dyDescent="0.2">
      <c r="A1796" s="113">
        <v>36494</v>
      </c>
      <c r="B1796" s="111">
        <f t="shared" si="28"/>
        <v>115</v>
      </c>
      <c r="C1796" s="111"/>
      <c r="D1796" s="111"/>
      <c r="E1796" s="111"/>
    </row>
    <row r="1797" spans="1:5" x14ac:dyDescent="0.2">
      <c r="A1797" s="113">
        <v>36495</v>
      </c>
      <c r="B1797" s="111">
        <f t="shared" si="28"/>
        <v>115</v>
      </c>
      <c r="C1797" s="111"/>
      <c r="D1797" s="111"/>
      <c r="E1797" s="111"/>
    </row>
    <row r="1798" spans="1:5" x14ac:dyDescent="0.2">
      <c r="A1798" s="113">
        <v>36496</v>
      </c>
      <c r="B1798" s="111">
        <f t="shared" si="28"/>
        <v>115</v>
      </c>
      <c r="C1798" s="111"/>
      <c r="D1798" s="111"/>
      <c r="E1798" s="111"/>
    </row>
    <row r="1799" spans="1:5" x14ac:dyDescent="0.2">
      <c r="A1799" s="113">
        <v>36497</v>
      </c>
      <c r="B1799" s="111">
        <f t="shared" si="28"/>
        <v>115</v>
      </c>
      <c r="C1799" s="111"/>
      <c r="D1799" s="111"/>
      <c r="E1799" s="111"/>
    </row>
    <row r="1800" spans="1:5" x14ac:dyDescent="0.2">
      <c r="A1800" s="113">
        <v>36498</v>
      </c>
      <c r="B1800" s="111">
        <f t="shared" si="28"/>
        <v>115</v>
      </c>
      <c r="C1800" s="111"/>
      <c r="D1800" s="111"/>
      <c r="E1800" s="111"/>
    </row>
    <row r="1801" spans="1:5" x14ac:dyDescent="0.2">
      <c r="A1801" s="113">
        <v>36499</v>
      </c>
      <c r="B1801" s="111">
        <f t="shared" si="28"/>
        <v>121</v>
      </c>
      <c r="C1801" s="111"/>
      <c r="D1801" s="111"/>
      <c r="E1801" s="111"/>
    </row>
    <row r="1802" spans="1:5" x14ac:dyDescent="0.2">
      <c r="A1802" s="113">
        <v>36500</v>
      </c>
      <c r="B1802" s="111">
        <f t="shared" si="28"/>
        <v>121</v>
      </c>
      <c r="C1802" s="111"/>
      <c r="D1802" s="111"/>
      <c r="E1802" s="111"/>
    </row>
    <row r="1803" spans="1:5" x14ac:dyDescent="0.2">
      <c r="A1803" s="113">
        <v>36501</v>
      </c>
      <c r="B1803" s="111">
        <f t="shared" si="28"/>
        <v>121</v>
      </c>
      <c r="C1803" s="111"/>
      <c r="D1803" s="111"/>
      <c r="E1803" s="111"/>
    </row>
    <row r="1804" spans="1:5" x14ac:dyDescent="0.2">
      <c r="A1804" s="113">
        <v>36502</v>
      </c>
      <c r="B1804" s="111">
        <f t="shared" si="28"/>
        <v>121</v>
      </c>
      <c r="C1804" s="111"/>
      <c r="D1804" s="111"/>
      <c r="E1804" s="111"/>
    </row>
    <row r="1805" spans="1:5" x14ac:dyDescent="0.2">
      <c r="A1805" s="113">
        <v>36503</v>
      </c>
      <c r="B1805" s="111">
        <f t="shared" si="28"/>
        <v>121</v>
      </c>
      <c r="C1805" s="111"/>
      <c r="D1805" s="111"/>
      <c r="E1805" s="111"/>
    </row>
    <row r="1806" spans="1:5" x14ac:dyDescent="0.2">
      <c r="A1806" s="113">
        <v>36504</v>
      </c>
      <c r="B1806" s="111">
        <f t="shared" si="28"/>
        <v>121</v>
      </c>
      <c r="C1806" s="111"/>
      <c r="D1806" s="111"/>
      <c r="E1806" s="111"/>
    </row>
    <row r="1807" spans="1:5" x14ac:dyDescent="0.2">
      <c r="A1807" s="113">
        <v>36505</v>
      </c>
      <c r="B1807" s="111">
        <f t="shared" si="28"/>
        <v>121</v>
      </c>
      <c r="C1807" s="111"/>
      <c r="D1807" s="111"/>
      <c r="E1807" s="111"/>
    </row>
    <row r="1808" spans="1:5" x14ac:dyDescent="0.2">
      <c r="A1808" s="113">
        <v>36506</v>
      </c>
      <c r="B1808" s="111">
        <f t="shared" si="28"/>
        <v>122</v>
      </c>
      <c r="C1808" s="111"/>
      <c r="D1808" s="111"/>
      <c r="E1808" s="111"/>
    </row>
    <row r="1809" spans="1:5" x14ac:dyDescent="0.2">
      <c r="A1809" s="113">
        <v>36507</v>
      </c>
      <c r="B1809" s="111">
        <f t="shared" si="28"/>
        <v>122</v>
      </c>
      <c r="C1809" s="111"/>
      <c r="D1809" s="111"/>
      <c r="E1809" s="111"/>
    </row>
    <row r="1810" spans="1:5" x14ac:dyDescent="0.2">
      <c r="A1810" s="113">
        <v>36508</v>
      </c>
      <c r="B1810" s="111">
        <f t="shared" si="28"/>
        <v>122</v>
      </c>
      <c r="C1810" s="111"/>
      <c r="D1810" s="111"/>
      <c r="E1810" s="111"/>
    </row>
    <row r="1811" spans="1:5" x14ac:dyDescent="0.2">
      <c r="A1811" s="113">
        <v>36509</v>
      </c>
      <c r="B1811" s="111">
        <f t="shared" si="28"/>
        <v>122</v>
      </c>
      <c r="C1811" s="111"/>
      <c r="D1811" s="111"/>
      <c r="E1811" s="111"/>
    </row>
    <row r="1812" spans="1:5" x14ac:dyDescent="0.2">
      <c r="A1812" s="113">
        <v>36510</v>
      </c>
      <c r="B1812" s="111">
        <f t="shared" si="28"/>
        <v>122</v>
      </c>
      <c r="C1812" s="111"/>
      <c r="D1812" s="111"/>
      <c r="E1812" s="111"/>
    </row>
    <row r="1813" spans="1:5" x14ac:dyDescent="0.2">
      <c r="A1813" s="113">
        <v>36511</v>
      </c>
      <c r="B1813" s="111">
        <f t="shared" si="28"/>
        <v>122</v>
      </c>
      <c r="C1813" s="111"/>
      <c r="D1813" s="111"/>
      <c r="E1813" s="111"/>
    </row>
    <row r="1814" spans="1:5" x14ac:dyDescent="0.2">
      <c r="A1814" s="113">
        <v>36512</v>
      </c>
      <c r="B1814" s="111">
        <f t="shared" si="28"/>
        <v>122</v>
      </c>
      <c r="C1814" s="111"/>
      <c r="D1814" s="111"/>
      <c r="E1814" s="111"/>
    </row>
    <row r="1815" spans="1:5" x14ac:dyDescent="0.2">
      <c r="A1815" s="113">
        <v>36513</v>
      </c>
      <c r="B1815" s="111">
        <f t="shared" si="28"/>
        <v>123</v>
      </c>
      <c r="C1815" s="111"/>
      <c r="D1815" s="111"/>
      <c r="E1815" s="111"/>
    </row>
    <row r="1816" spans="1:5" x14ac:dyDescent="0.2">
      <c r="A1816" s="113">
        <v>36514</v>
      </c>
      <c r="B1816" s="111">
        <f t="shared" si="28"/>
        <v>123</v>
      </c>
      <c r="C1816" s="111"/>
      <c r="D1816" s="111"/>
      <c r="E1816" s="111"/>
    </row>
    <row r="1817" spans="1:5" x14ac:dyDescent="0.2">
      <c r="A1817" s="113">
        <v>36515</v>
      </c>
      <c r="B1817" s="111">
        <f t="shared" si="28"/>
        <v>123</v>
      </c>
      <c r="C1817" s="111"/>
      <c r="D1817" s="111"/>
      <c r="E1817" s="111"/>
    </row>
    <row r="1818" spans="1:5" x14ac:dyDescent="0.2">
      <c r="A1818" s="113">
        <v>36516</v>
      </c>
      <c r="B1818" s="111">
        <f t="shared" si="28"/>
        <v>123</v>
      </c>
      <c r="C1818" s="111"/>
      <c r="D1818" s="111"/>
      <c r="E1818" s="111"/>
    </row>
    <row r="1819" spans="1:5" x14ac:dyDescent="0.2">
      <c r="A1819" s="113">
        <v>36517</v>
      </c>
      <c r="B1819" s="111">
        <f t="shared" si="28"/>
        <v>123</v>
      </c>
      <c r="C1819" s="111"/>
      <c r="D1819" s="111"/>
      <c r="E1819" s="111"/>
    </row>
    <row r="1820" spans="1:5" x14ac:dyDescent="0.2">
      <c r="A1820" s="113">
        <v>36518</v>
      </c>
      <c r="B1820" s="111">
        <f t="shared" si="28"/>
        <v>123</v>
      </c>
      <c r="C1820" s="111"/>
      <c r="D1820" s="111"/>
      <c r="E1820" s="111"/>
    </row>
    <row r="1821" spans="1:5" x14ac:dyDescent="0.2">
      <c r="A1821" s="113">
        <v>36519</v>
      </c>
      <c r="B1821" s="111">
        <f t="shared" si="28"/>
        <v>123</v>
      </c>
      <c r="C1821" s="111"/>
      <c r="D1821" s="111"/>
      <c r="E1821" s="111"/>
    </row>
    <row r="1822" spans="1:5" x14ac:dyDescent="0.2">
      <c r="A1822" s="113">
        <v>36520</v>
      </c>
      <c r="B1822" s="111">
        <f t="shared" si="28"/>
        <v>124</v>
      </c>
      <c r="C1822" s="111"/>
      <c r="D1822" s="111"/>
      <c r="E1822" s="111"/>
    </row>
    <row r="1823" spans="1:5" x14ac:dyDescent="0.2">
      <c r="A1823" s="113">
        <v>36521</v>
      </c>
      <c r="B1823" s="111">
        <f t="shared" si="28"/>
        <v>124</v>
      </c>
      <c r="C1823" s="111"/>
      <c r="D1823" s="111"/>
      <c r="E1823" s="111"/>
    </row>
    <row r="1824" spans="1:5" x14ac:dyDescent="0.2">
      <c r="A1824" s="113">
        <v>36522</v>
      </c>
      <c r="B1824" s="111">
        <f t="shared" si="28"/>
        <v>124</v>
      </c>
      <c r="C1824" s="111"/>
      <c r="D1824" s="111"/>
      <c r="E1824" s="111"/>
    </row>
    <row r="1825" spans="1:5" x14ac:dyDescent="0.2">
      <c r="A1825" s="113">
        <v>36523</v>
      </c>
      <c r="B1825" s="111">
        <f t="shared" si="28"/>
        <v>124</v>
      </c>
      <c r="C1825" s="111"/>
      <c r="D1825" s="111"/>
      <c r="E1825" s="111"/>
    </row>
    <row r="1826" spans="1:5" x14ac:dyDescent="0.2">
      <c r="A1826" s="113">
        <v>36524</v>
      </c>
      <c r="B1826" s="111">
        <f t="shared" si="28"/>
        <v>124</v>
      </c>
      <c r="C1826" s="111"/>
      <c r="D1826" s="111"/>
      <c r="E1826" s="111"/>
    </row>
    <row r="1827" spans="1:5" x14ac:dyDescent="0.2">
      <c r="A1827" s="113">
        <v>36525</v>
      </c>
      <c r="B1827" s="111">
        <f t="shared" si="28"/>
        <v>124</v>
      </c>
      <c r="C1827" s="111"/>
      <c r="D1827" s="111"/>
      <c r="E1827" s="111"/>
    </row>
    <row r="1828" spans="1:5" x14ac:dyDescent="0.2">
      <c r="A1828" s="113">
        <v>36526</v>
      </c>
      <c r="B1828" s="111">
        <f t="shared" si="28"/>
        <v>11</v>
      </c>
      <c r="C1828" s="111"/>
      <c r="D1828" s="111"/>
      <c r="E1828" s="111"/>
    </row>
    <row r="1829" spans="1:5" x14ac:dyDescent="0.2">
      <c r="A1829" s="113">
        <v>36527</v>
      </c>
      <c r="B1829" s="111">
        <f t="shared" si="28"/>
        <v>12</v>
      </c>
      <c r="C1829" s="111"/>
      <c r="D1829" s="111"/>
      <c r="E1829" s="111"/>
    </row>
    <row r="1830" spans="1:5" x14ac:dyDescent="0.2">
      <c r="A1830" s="113">
        <v>36528</v>
      </c>
      <c r="B1830" s="111">
        <f t="shared" si="28"/>
        <v>12</v>
      </c>
      <c r="C1830" s="111"/>
      <c r="D1830" s="111"/>
      <c r="E1830" s="111"/>
    </row>
    <row r="1831" spans="1:5" x14ac:dyDescent="0.2">
      <c r="A1831" s="113">
        <v>36529</v>
      </c>
      <c r="B1831" s="111">
        <f t="shared" si="28"/>
        <v>12</v>
      </c>
      <c r="C1831" s="111"/>
      <c r="D1831" s="111"/>
      <c r="E1831" s="111"/>
    </row>
    <row r="1832" spans="1:5" x14ac:dyDescent="0.2">
      <c r="A1832" s="113">
        <v>36530</v>
      </c>
      <c r="B1832" s="111">
        <f t="shared" si="28"/>
        <v>12</v>
      </c>
      <c r="C1832" s="111"/>
      <c r="D1832" s="111"/>
      <c r="E1832" s="111"/>
    </row>
    <row r="1833" spans="1:5" x14ac:dyDescent="0.2">
      <c r="A1833" s="113">
        <v>36531</v>
      </c>
      <c r="B1833" s="111">
        <f t="shared" si="28"/>
        <v>12</v>
      </c>
      <c r="C1833" s="111"/>
      <c r="D1833" s="111"/>
      <c r="E1833" s="111"/>
    </row>
    <row r="1834" spans="1:5" x14ac:dyDescent="0.2">
      <c r="A1834" s="113">
        <v>36532</v>
      </c>
      <c r="B1834" s="111">
        <f t="shared" si="28"/>
        <v>12</v>
      </c>
      <c r="C1834" s="111"/>
      <c r="D1834" s="111"/>
      <c r="E1834" s="111"/>
    </row>
    <row r="1835" spans="1:5" x14ac:dyDescent="0.2">
      <c r="A1835" s="113">
        <v>36533</v>
      </c>
      <c r="B1835" s="111">
        <f t="shared" si="28"/>
        <v>12</v>
      </c>
      <c r="C1835" s="111"/>
      <c r="D1835" s="111"/>
      <c r="E1835" s="111"/>
    </row>
    <row r="1836" spans="1:5" x14ac:dyDescent="0.2">
      <c r="A1836" s="113">
        <v>36534</v>
      </c>
      <c r="B1836" s="111">
        <f t="shared" si="28"/>
        <v>13</v>
      </c>
      <c r="C1836" s="111"/>
      <c r="D1836" s="111"/>
      <c r="E1836" s="111"/>
    </row>
    <row r="1837" spans="1:5" x14ac:dyDescent="0.2">
      <c r="A1837" s="113">
        <v>36535</v>
      </c>
      <c r="B1837" s="111">
        <f t="shared" si="28"/>
        <v>13</v>
      </c>
      <c r="C1837" s="111"/>
      <c r="D1837" s="111"/>
      <c r="E1837" s="111"/>
    </row>
    <row r="1838" spans="1:5" x14ac:dyDescent="0.2">
      <c r="A1838" s="113">
        <v>36536</v>
      </c>
      <c r="B1838" s="111">
        <f t="shared" si="28"/>
        <v>13</v>
      </c>
      <c r="C1838" s="111"/>
      <c r="D1838" s="111"/>
      <c r="E1838" s="111"/>
    </row>
    <row r="1839" spans="1:5" x14ac:dyDescent="0.2">
      <c r="A1839" s="113">
        <v>36537</v>
      </c>
      <c r="B1839" s="111">
        <f t="shared" si="28"/>
        <v>13</v>
      </c>
      <c r="C1839" s="111"/>
      <c r="D1839" s="111"/>
      <c r="E1839" s="111"/>
    </row>
    <row r="1840" spans="1:5" x14ac:dyDescent="0.2">
      <c r="A1840" s="113">
        <v>36538</v>
      </c>
      <c r="B1840" s="111">
        <f t="shared" si="28"/>
        <v>13</v>
      </c>
      <c r="C1840" s="111"/>
      <c r="D1840" s="111"/>
      <c r="E1840" s="111"/>
    </row>
    <row r="1841" spans="1:5" x14ac:dyDescent="0.2">
      <c r="A1841" s="113">
        <v>36539</v>
      </c>
      <c r="B1841" s="111">
        <f t="shared" si="28"/>
        <v>13</v>
      </c>
      <c r="C1841" s="111"/>
      <c r="D1841" s="111"/>
      <c r="E1841" s="111"/>
    </row>
    <row r="1842" spans="1:5" x14ac:dyDescent="0.2">
      <c r="A1842" s="113">
        <v>36540</v>
      </c>
      <c r="B1842" s="111">
        <f t="shared" si="28"/>
        <v>13</v>
      </c>
      <c r="C1842" s="111"/>
      <c r="D1842" s="111"/>
      <c r="E1842" s="111"/>
    </row>
    <row r="1843" spans="1:5" x14ac:dyDescent="0.2">
      <c r="A1843" s="113">
        <v>36541</v>
      </c>
      <c r="B1843" s="111">
        <f t="shared" si="28"/>
        <v>14</v>
      </c>
      <c r="C1843" s="111"/>
      <c r="D1843" s="111"/>
      <c r="E1843" s="111"/>
    </row>
    <row r="1844" spans="1:5" x14ac:dyDescent="0.2">
      <c r="A1844" s="113">
        <v>36542</v>
      </c>
      <c r="B1844" s="111">
        <f t="shared" si="28"/>
        <v>14</v>
      </c>
      <c r="C1844" s="111"/>
      <c r="D1844" s="111"/>
      <c r="E1844" s="111"/>
    </row>
    <row r="1845" spans="1:5" x14ac:dyDescent="0.2">
      <c r="A1845" s="113">
        <v>36543</v>
      </c>
      <c r="B1845" s="111">
        <f t="shared" si="28"/>
        <v>14</v>
      </c>
      <c r="C1845" s="111"/>
      <c r="D1845" s="111"/>
      <c r="E1845" s="111"/>
    </row>
    <row r="1846" spans="1:5" x14ac:dyDescent="0.2">
      <c r="A1846" s="113">
        <v>36544</v>
      </c>
      <c r="B1846" s="111">
        <f t="shared" si="28"/>
        <v>14</v>
      </c>
      <c r="C1846" s="111"/>
      <c r="D1846" s="111"/>
      <c r="E1846" s="111"/>
    </row>
    <row r="1847" spans="1:5" x14ac:dyDescent="0.2">
      <c r="A1847" s="113">
        <v>36545</v>
      </c>
      <c r="B1847" s="111">
        <f t="shared" si="28"/>
        <v>14</v>
      </c>
      <c r="C1847" s="111"/>
      <c r="D1847" s="111"/>
      <c r="E1847" s="111"/>
    </row>
    <row r="1848" spans="1:5" x14ac:dyDescent="0.2">
      <c r="A1848" s="113">
        <v>36546</v>
      </c>
      <c r="B1848" s="111">
        <f t="shared" si="28"/>
        <v>14</v>
      </c>
      <c r="C1848" s="111"/>
      <c r="D1848" s="111"/>
      <c r="E1848" s="111"/>
    </row>
    <row r="1849" spans="1:5" x14ac:dyDescent="0.2">
      <c r="A1849" s="113">
        <v>36547</v>
      </c>
      <c r="B1849" s="111">
        <f t="shared" si="28"/>
        <v>14</v>
      </c>
      <c r="C1849" s="111"/>
      <c r="D1849" s="111"/>
      <c r="E1849" s="111"/>
    </row>
    <row r="1850" spans="1:5" x14ac:dyDescent="0.2">
      <c r="A1850" s="113">
        <v>36548</v>
      </c>
      <c r="B1850" s="111">
        <f t="shared" si="28"/>
        <v>15</v>
      </c>
      <c r="C1850" s="111"/>
      <c r="D1850" s="111"/>
      <c r="E1850" s="111"/>
    </row>
    <row r="1851" spans="1:5" x14ac:dyDescent="0.2">
      <c r="A1851" s="113">
        <v>36549</v>
      </c>
      <c r="B1851" s="111">
        <f t="shared" si="28"/>
        <v>15</v>
      </c>
      <c r="C1851" s="111"/>
      <c r="D1851" s="111"/>
      <c r="E1851" s="111"/>
    </row>
    <row r="1852" spans="1:5" x14ac:dyDescent="0.2">
      <c r="A1852" s="113">
        <v>36550</v>
      </c>
      <c r="B1852" s="111">
        <f t="shared" si="28"/>
        <v>15</v>
      </c>
      <c r="C1852" s="111"/>
      <c r="D1852" s="111"/>
      <c r="E1852" s="111"/>
    </row>
    <row r="1853" spans="1:5" x14ac:dyDescent="0.2">
      <c r="A1853" s="113">
        <v>36551</v>
      </c>
      <c r="B1853" s="111">
        <f t="shared" si="28"/>
        <v>15</v>
      </c>
      <c r="C1853" s="111"/>
      <c r="D1853" s="111"/>
      <c r="E1853" s="111"/>
    </row>
    <row r="1854" spans="1:5" x14ac:dyDescent="0.2">
      <c r="A1854" s="113">
        <v>36552</v>
      </c>
      <c r="B1854" s="111">
        <f t="shared" si="28"/>
        <v>15</v>
      </c>
      <c r="C1854" s="111"/>
      <c r="D1854" s="111"/>
      <c r="E1854" s="111"/>
    </row>
    <row r="1855" spans="1:5" x14ac:dyDescent="0.2">
      <c r="A1855" s="113">
        <v>36553</v>
      </c>
      <c r="B1855" s="111">
        <f t="shared" si="28"/>
        <v>15</v>
      </c>
      <c r="C1855" s="111"/>
      <c r="D1855" s="111"/>
      <c r="E1855" s="111"/>
    </row>
    <row r="1856" spans="1:5" x14ac:dyDescent="0.2">
      <c r="A1856" s="113">
        <v>36554</v>
      </c>
      <c r="B1856" s="111">
        <f t="shared" si="28"/>
        <v>15</v>
      </c>
      <c r="C1856" s="111"/>
      <c r="D1856" s="111"/>
      <c r="E1856" s="111"/>
    </row>
    <row r="1857" spans="1:5" x14ac:dyDescent="0.2">
      <c r="A1857" s="113">
        <v>36555</v>
      </c>
      <c r="B1857" s="111">
        <f t="shared" si="28"/>
        <v>21</v>
      </c>
      <c r="C1857" s="111"/>
      <c r="D1857" s="111"/>
      <c r="E1857" s="111"/>
    </row>
    <row r="1858" spans="1:5" x14ac:dyDescent="0.2">
      <c r="A1858" s="113">
        <v>36556</v>
      </c>
      <c r="B1858" s="111">
        <f t="shared" ref="B1858:B1921" si="29">VLOOKUP(WEEKNUM(A1858),$D$3:$E$58,2)</f>
        <v>21</v>
      </c>
      <c r="C1858" s="111"/>
      <c r="D1858" s="111"/>
      <c r="E1858" s="111"/>
    </row>
    <row r="1859" spans="1:5" x14ac:dyDescent="0.2">
      <c r="A1859" s="113">
        <v>36557</v>
      </c>
      <c r="B1859" s="111">
        <f t="shared" si="29"/>
        <v>21</v>
      </c>
      <c r="C1859" s="111"/>
      <c r="D1859" s="111"/>
      <c r="E1859" s="111"/>
    </row>
    <row r="1860" spans="1:5" x14ac:dyDescent="0.2">
      <c r="A1860" s="113">
        <v>36558</v>
      </c>
      <c r="B1860" s="111">
        <f t="shared" si="29"/>
        <v>21</v>
      </c>
      <c r="C1860" s="111"/>
      <c r="D1860" s="111"/>
      <c r="E1860" s="111"/>
    </row>
    <row r="1861" spans="1:5" x14ac:dyDescent="0.2">
      <c r="A1861" s="113">
        <v>36559</v>
      </c>
      <c r="B1861" s="111">
        <f t="shared" si="29"/>
        <v>21</v>
      </c>
      <c r="C1861" s="111"/>
      <c r="D1861" s="111"/>
      <c r="E1861" s="111"/>
    </row>
    <row r="1862" spans="1:5" x14ac:dyDescent="0.2">
      <c r="A1862" s="113">
        <v>36560</v>
      </c>
      <c r="B1862" s="111">
        <f t="shared" si="29"/>
        <v>21</v>
      </c>
      <c r="C1862" s="111"/>
      <c r="D1862" s="111"/>
      <c r="E1862" s="111"/>
    </row>
    <row r="1863" spans="1:5" x14ac:dyDescent="0.2">
      <c r="A1863" s="113">
        <v>36561</v>
      </c>
      <c r="B1863" s="111">
        <f t="shared" si="29"/>
        <v>21</v>
      </c>
      <c r="C1863" s="111"/>
      <c r="D1863" s="111"/>
      <c r="E1863" s="111"/>
    </row>
    <row r="1864" spans="1:5" x14ac:dyDescent="0.2">
      <c r="A1864" s="113">
        <v>36562</v>
      </c>
      <c r="B1864" s="111">
        <f t="shared" si="29"/>
        <v>22</v>
      </c>
      <c r="C1864" s="111"/>
      <c r="D1864" s="111"/>
      <c r="E1864" s="111"/>
    </row>
    <row r="1865" spans="1:5" x14ac:dyDescent="0.2">
      <c r="A1865" s="113">
        <v>36563</v>
      </c>
      <c r="B1865" s="111">
        <f t="shared" si="29"/>
        <v>22</v>
      </c>
      <c r="C1865" s="111"/>
      <c r="D1865" s="111"/>
      <c r="E1865" s="111"/>
    </row>
    <row r="1866" spans="1:5" x14ac:dyDescent="0.2">
      <c r="A1866" s="113">
        <v>36564</v>
      </c>
      <c r="B1866" s="111">
        <f t="shared" si="29"/>
        <v>22</v>
      </c>
      <c r="C1866" s="111"/>
      <c r="D1866" s="111"/>
      <c r="E1866" s="111"/>
    </row>
    <row r="1867" spans="1:5" x14ac:dyDescent="0.2">
      <c r="A1867" s="113">
        <v>36565</v>
      </c>
      <c r="B1867" s="111">
        <f t="shared" si="29"/>
        <v>22</v>
      </c>
      <c r="C1867" s="111"/>
      <c r="D1867" s="111"/>
      <c r="E1867" s="111"/>
    </row>
    <row r="1868" spans="1:5" x14ac:dyDescent="0.2">
      <c r="A1868" s="113">
        <v>36566</v>
      </c>
      <c r="B1868" s="111">
        <f t="shared" si="29"/>
        <v>22</v>
      </c>
      <c r="C1868" s="111"/>
      <c r="D1868" s="111"/>
      <c r="E1868" s="111"/>
    </row>
    <row r="1869" spans="1:5" x14ac:dyDescent="0.2">
      <c r="A1869" s="113">
        <v>36567</v>
      </c>
      <c r="B1869" s="111">
        <f t="shared" si="29"/>
        <v>22</v>
      </c>
      <c r="C1869" s="111"/>
      <c r="D1869" s="111"/>
      <c r="E1869" s="111"/>
    </row>
    <row r="1870" spans="1:5" x14ac:dyDescent="0.2">
      <c r="A1870" s="113">
        <v>36568</v>
      </c>
      <c r="B1870" s="111">
        <f t="shared" si="29"/>
        <v>22</v>
      </c>
      <c r="C1870" s="111"/>
      <c r="D1870" s="111"/>
      <c r="E1870" s="111"/>
    </row>
    <row r="1871" spans="1:5" x14ac:dyDescent="0.2">
      <c r="A1871" s="113">
        <v>36569</v>
      </c>
      <c r="B1871" s="111">
        <f t="shared" si="29"/>
        <v>23</v>
      </c>
      <c r="C1871" s="111"/>
      <c r="D1871" s="111"/>
      <c r="E1871" s="111"/>
    </row>
    <row r="1872" spans="1:5" x14ac:dyDescent="0.2">
      <c r="A1872" s="113">
        <v>36570</v>
      </c>
      <c r="B1872" s="111">
        <f t="shared" si="29"/>
        <v>23</v>
      </c>
      <c r="C1872" s="111"/>
      <c r="D1872" s="111"/>
      <c r="E1872" s="111"/>
    </row>
    <row r="1873" spans="1:5" x14ac:dyDescent="0.2">
      <c r="A1873" s="113">
        <v>36571</v>
      </c>
      <c r="B1873" s="111">
        <f t="shared" si="29"/>
        <v>23</v>
      </c>
      <c r="C1873" s="111"/>
      <c r="D1873" s="111"/>
      <c r="E1873" s="111"/>
    </row>
    <row r="1874" spans="1:5" x14ac:dyDescent="0.2">
      <c r="A1874" s="113">
        <v>36572</v>
      </c>
      <c r="B1874" s="111">
        <f t="shared" si="29"/>
        <v>23</v>
      </c>
      <c r="C1874" s="111"/>
      <c r="D1874" s="111"/>
      <c r="E1874" s="111"/>
    </row>
    <row r="1875" spans="1:5" x14ac:dyDescent="0.2">
      <c r="A1875" s="113">
        <v>36573</v>
      </c>
      <c r="B1875" s="111">
        <f t="shared" si="29"/>
        <v>23</v>
      </c>
      <c r="C1875" s="111"/>
      <c r="D1875" s="111"/>
      <c r="E1875" s="111"/>
    </row>
    <row r="1876" spans="1:5" x14ac:dyDescent="0.2">
      <c r="A1876" s="113">
        <v>36574</v>
      </c>
      <c r="B1876" s="111">
        <f t="shared" si="29"/>
        <v>23</v>
      </c>
      <c r="C1876" s="111"/>
      <c r="D1876" s="111"/>
      <c r="E1876" s="111"/>
    </row>
    <row r="1877" spans="1:5" x14ac:dyDescent="0.2">
      <c r="A1877" s="113">
        <v>36575</v>
      </c>
      <c r="B1877" s="111">
        <f t="shared" si="29"/>
        <v>23</v>
      </c>
      <c r="C1877" s="111"/>
      <c r="D1877" s="111"/>
      <c r="E1877" s="111"/>
    </row>
    <row r="1878" spans="1:5" x14ac:dyDescent="0.2">
      <c r="A1878" s="113">
        <v>36576</v>
      </c>
      <c r="B1878" s="111">
        <f t="shared" si="29"/>
        <v>24</v>
      </c>
      <c r="C1878" s="111"/>
      <c r="D1878" s="111"/>
      <c r="E1878" s="111"/>
    </row>
    <row r="1879" spans="1:5" x14ac:dyDescent="0.2">
      <c r="A1879" s="113">
        <v>36577</v>
      </c>
      <c r="B1879" s="111">
        <f t="shared" si="29"/>
        <v>24</v>
      </c>
      <c r="C1879" s="111"/>
      <c r="D1879" s="111"/>
      <c r="E1879" s="111"/>
    </row>
    <row r="1880" spans="1:5" x14ac:dyDescent="0.2">
      <c r="A1880" s="113">
        <v>36578</v>
      </c>
      <c r="B1880" s="111">
        <f t="shared" si="29"/>
        <v>24</v>
      </c>
      <c r="C1880" s="111"/>
      <c r="D1880" s="111"/>
      <c r="E1880" s="111"/>
    </row>
    <row r="1881" spans="1:5" x14ac:dyDescent="0.2">
      <c r="A1881" s="113">
        <v>36579</v>
      </c>
      <c r="B1881" s="111">
        <f t="shared" si="29"/>
        <v>24</v>
      </c>
      <c r="C1881" s="111"/>
      <c r="D1881" s="111"/>
      <c r="E1881" s="111"/>
    </row>
    <row r="1882" spans="1:5" x14ac:dyDescent="0.2">
      <c r="A1882" s="113">
        <v>36580</v>
      </c>
      <c r="B1882" s="111">
        <f t="shared" si="29"/>
        <v>24</v>
      </c>
      <c r="C1882" s="111"/>
      <c r="D1882" s="111"/>
      <c r="E1882" s="111"/>
    </row>
    <row r="1883" spans="1:5" x14ac:dyDescent="0.2">
      <c r="A1883" s="113">
        <v>36581</v>
      </c>
      <c r="B1883" s="111">
        <f t="shared" si="29"/>
        <v>24</v>
      </c>
      <c r="C1883" s="111"/>
      <c r="D1883" s="111"/>
      <c r="E1883" s="111"/>
    </row>
    <row r="1884" spans="1:5" x14ac:dyDescent="0.2">
      <c r="A1884" s="113">
        <v>36582</v>
      </c>
      <c r="B1884" s="111">
        <f t="shared" si="29"/>
        <v>24</v>
      </c>
      <c r="C1884" s="111"/>
      <c r="D1884" s="111"/>
      <c r="E1884" s="111"/>
    </row>
    <row r="1885" spans="1:5" x14ac:dyDescent="0.2">
      <c r="A1885" s="113">
        <v>36583</v>
      </c>
      <c r="B1885" s="111">
        <f t="shared" si="29"/>
        <v>31</v>
      </c>
      <c r="C1885" s="111"/>
      <c r="D1885" s="111"/>
      <c r="E1885" s="111"/>
    </row>
    <row r="1886" spans="1:5" x14ac:dyDescent="0.2">
      <c r="A1886" s="113">
        <v>36584</v>
      </c>
      <c r="B1886" s="111">
        <f t="shared" si="29"/>
        <v>31</v>
      </c>
      <c r="C1886" s="111"/>
      <c r="D1886" s="111"/>
      <c r="E1886" s="111"/>
    </row>
    <row r="1887" spans="1:5" x14ac:dyDescent="0.2">
      <c r="A1887" s="113">
        <v>36585</v>
      </c>
      <c r="B1887" s="111">
        <f t="shared" si="29"/>
        <v>31</v>
      </c>
      <c r="C1887" s="111"/>
      <c r="D1887" s="111"/>
      <c r="E1887" s="111"/>
    </row>
    <row r="1888" spans="1:5" x14ac:dyDescent="0.2">
      <c r="A1888" s="113">
        <v>36586</v>
      </c>
      <c r="B1888" s="111">
        <f t="shared" si="29"/>
        <v>31</v>
      </c>
      <c r="C1888" s="111"/>
      <c r="D1888" s="111"/>
      <c r="E1888" s="111"/>
    </row>
    <row r="1889" spans="1:5" x14ac:dyDescent="0.2">
      <c r="A1889" s="113">
        <v>36587</v>
      </c>
      <c r="B1889" s="111">
        <f t="shared" si="29"/>
        <v>31</v>
      </c>
      <c r="C1889" s="111"/>
      <c r="D1889" s="111"/>
      <c r="E1889" s="111"/>
    </row>
    <row r="1890" spans="1:5" x14ac:dyDescent="0.2">
      <c r="A1890" s="113">
        <v>36588</v>
      </c>
      <c r="B1890" s="111">
        <f t="shared" si="29"/>
        <v>31</v>
      </c>
      <c r="C1890" s="111"/>
      <c r="D1890" s="111"/>
      <c r="E1890" s="111"/>
    </row>
    <row r="1891" spans="1:5" x14ac:dyDescent="0.2">
      <c r="A1891" s="113">
        <v>36589</v>
      </c>
      <c r="B1891" s="111">
        <f t="shared" si="29"/>
        <v>31</v>
      </c>
      <c r="C1891" s="111"/>
      <c r="D1891" s="111"/>
      <c r="E1891" s="111"/>
    </row>
    <row r="1892" spans="1:5" x14ac:dyDescent="0.2">
      <c r="A1892" s="113">
        <v>36590</v>
      </c>
      <c r="B1892" s="111">
        <f t="shared" si="29"/>
        <v>32</v>
      </c>
      <c r="C1892" s="111"/>
      <c r="D1892" s="111"/>
      <c r="E1892" s="111"/>
    </row>
    <row r="1893" spans="1:5" x14ac:dyDescent="0.2">
      <c r="A1893" s="113">
        <v>36591</v>
      </c>
      <c r="B1893" s="111">
        <f t="shared" si="29"/>
        <v>32</v>
      </c>
      <c r="C1893" s="111"/>
      <c r="D1893" s="111"/>
      <c r="E1893" s="111"/>
    </row>
    <row r="1894" spans="1:5" x14ac:dyDescent="0.2">
      <c r="A1894" s="113">
        <v>36592</v>
      </c>
      <c r="B1894" s="111">
        <f t="shared" si="29"/>
        <v>32</v>
      </c>
      <c r="C1894" s="111"/>
      <c r="D1894" s="111"/>
      <c r="E1894" s="111"/>
    </row>
    <row r="1895" spans="1:5" x14ac:dyDescent="0.2">
      <c r="A1895" s="113">
        <v>36593</v>
      </c>
      <c r="B1895" s="111">
        <f t="shared" si="29"/>
        <v>32</v>
      </c>
      <c r="C1895" s="111"/>
      <c r="D1895" s="111"/>
      <c r="E1895" s="111"/>
    </row>
    <row r="1896" spans="1:5" x14ac:dyDescent="0.2">
      <c r="A1896" s="113">
        <v>36594</v>
      </c>
      <c r="B1896" s="111">
        <f t="shared" si="29"/>
        <v>32</v>
      </c>
      <c r="C1896" s="111"/>
      <c r="D1896" s="111"/>
      <c r="E1896" s="111"/>
    </row>
    <row r="1897" spans="1:5" x14ac:dyDescent="0.2">
      <c r="A1897" s="113">
        <v>36595</v>
      </c>
      <c r="B1897" s="111">
        <f t="shared" si="29"/>
        <v>32</v>
      </c>
      <c r="C1897" s="111"/>
      <c r="D1897" s="111"/>
      <c r="E1897" s="111"/>
    </row>
    <row r="1898" spans="1:5" x14ac:dyDescent="0.2">
      <c r="A1898" s="113">
        <v>36596</v>
      </c>
      <c r="B1898" s="111">
        <f t="shared" si="29"/>
        <v>32</v>
      </c>
      <c r="C1898" s="111"/>
      <c r="D1898" s="111"/>
      <c r="E1898" s="111"/>
    </row>
    <row r="1899" spans="1:5" x14ac:dyDescent="0.2">
      <c r="A1899" s="113">
        <v>36597</v>
      </c>
      <c r="B1899" s="111">
        <f t="shared" si="29"/>
        <v>33</v>
      </c>
      <c r="C1899" s="111"/>
      <c r="D1899" s="111"/>
      <c r="E1899" s="111"/>
    </row>
    <row r="1900" spans="1:5" x14ac:dyDescent="0.2">
      <c r="A1900" s="113">
        <v>36598</v>
      </c>
      <c r="B1900" s="111">
        <f t="shared" si="29"/>
        <v>33</v>
      </c>
      <c r="C1900" s="111"/>
      <c r="D1900" s="111"/>
      <c r="E1900" s="111"/>
    </row>
    <row r="1901" spans="1:5" x14ac:dyDescent="0.2">
      <c r="A1901" s="113">
        <v>36599</v>
      </c>
      <c r="B1901" s="111">
        <f t="shared" si="29"/>
        <v>33</v>
      </c>
      <c r="C1901" s="111"/>
      <c r="D1901" s="111"/>
      <c r="E1901" s="111"/>
    </row>
    <row r="1902" spans="1:5" x14ac:dyDescent="0.2">
      <c r="A1902" s="113">
        <v>36600</v>
      </c>
      <c r="B1902" s="111">
        <f t="shared" si="29"/>
        <v>33</v>
      </c>
      <c r="C1902" s="111"/>
      <c r="D1902" s="111"/>
      <c r="E1902" s="111"/>
    </row>
    <row r="1903" spans="1:5" x14ac:dyDescent="0.2">
      <c r="A1903" s="113">
        <v>36601</v>
      </c>
      <c r="B1903" s="111">
        <f t="shared" si="29"/>
        <v>33</v>
      </c>
      <c r="C1903" s="111"/>
      <c r="D1903" s="111"/>
      <c r="E1903" s="111"/>
    </row>
    <row r="1904" spans="1:5" x14ac:dyDescent="0.2">
      <c r="A1904" s="113">
        <v>36602</v>
      </c>
      <c r="B1904" s="111">
        <f t="shared" si="29"/>
        <v>33</v>
      </c>
      <c r="C1904" s="111"/>
      <c r="D1904" s="111"/>
      <c r="E1904" s="111"/>
    </row>
    <row r="1905" spans="1:5" x14ac:dyDescent="0.2">
      <c r="A1905" s="113">
        <v>36603</v>
      </c>
      <c r="B1905" s="111">
        <f t="shared" si="29"/>
        <v>33</v>
      </c>
      <c r="C1905" s="111"/>
      <c r="D1905" s="111"/>
      <c r="E1905" s="111"/>
    </row>
    <row r="1906" spans="1:5" x14ac:dyDescent="0.2">
      <c r="A1906" s="113">
        <v>36604</v>
      </c>
      <c r="B1906" s="111">
        <f t="shared" si="29"/>
        <v>34</v>
      </c>
      <c r="C1906" s="111"/>
      <c r="D1906" s="111"/>
      <c r="E1906" s="111"/>
    </row>
    <row r="1907" spans="1:5" x14ac:dyDescent="0.2">
      <c r="A1907" s="113">
        <v>36605</v>
      </c>
      <c r="B1907" s="111">
        <f t="shared" si="29"/>
        <v>34</v>
      </c>
      <c r="C1907" s="111"/>
      <c r="D1907" s="111"/>
      <c r="E1907" s="111"/>
    </row>
    <row r="1908" spans="1:5" x14ac:dyDescent="0.2">
      <c r="A1908" s="113">
        <v>36606</v>
      </c>
      <c r="B1908" s="111">
        <f t="shared" si="29"/>
        <v>34</v>
      </c>
      <c r="C1908" s="111"/>
      <c r="D1908" s="111"/>
      <c r="E1908" s="111"/>
    </row>
    <row r="1909" spans="1:5" x14ac:dyDescent="0.2">
      <c r="A1909" s="113">
        <v>36607</v>
      </c>
      <c r="B1909" s="111">
        <f t="shared" si="29"/>
        <v>34</v>
      </c>
      <c r="C1909" s="111"/>
      <c r="D1909" s="111"/>
      <c r="E1909" s="111"/>
    </row>
    <row r="1910" spans="1:5" x14ac:dyDescent="0.2">
      <c r="A1910" s="113">
        <v>36608</v>
      </c>
      <c r="B1910" s="111">
        <f t="shared" si="29"/>
        <v>34</v>
      </c>
      <c r="C1910" s="111"/>
      <c r="D1910" s="111"/>
      <c r="E1910" s="111"/>
    </row>
    <row r="1911" spans="1:5" x14ac:dyDescent="0.2">
      <c r="A1911" s="113">
        <v>36609</v>
      </c>
      <c r="B1911" s="111">
        <f t="shared" si="29"/>
        <v>34</v>
      </c>
      <c r="C1911" s="111"/>
      <c r="D1911" s="111"/>
      <c r="E1911" s="111"/>
    </row>
    <row r="1912" spans="1:5" x14ac:dyDescent="0.2">
      <c r="A1912" s="113">
        <v>36610</v>
      </c>
      <c r="B1912" s="111">
        <f t="shared" si="29"/>
        <v>34</v>
      </c>
      <c r="C1912" s="111"/>
      <c r="D1912" s="111"/>
      <c r="E1912" s="111"/>
    </row>
    <row r="1913" spans="1:5" x14ac:dyDescent="0.2">
      <c r="A1913" s="113">
        <v>36611</v>
      </c>
      <c r="B1913" s="111">
        <f t="shared" si="29"/>
        <v>41</v>
      </c>
      <c r="C1913" s="111"/>
      <c r="D1913" s="111"/>
      <c r="E1913" s="111"/>
    </row>
    <row r="1914" spans="1:5" x14ac:dyDescent="0.2">
      <c r="A1914" s="113">
        <v>36612</v>
      </c>
      <c r="B1914" s="111">
        <f t="shared" si="29"/>
        <v>41</v>
      </c>
      <c r="C1914" s="111"/>
      <c r="D1914" s="111"/>
      <c r="E1914" s="111"/>
    </row>
    <row r="1915" spans="1:5" x14ac:dyDescent="0.2">
      <c r="A1915" s="113">
        <v>36613</v>
      </c>
      <c r="B1915" s="111">
        <f t="shared" si="29"/>
        <v>41</v>
      </c>
      <c r="C1915" s="111"/>
      <c r="D1915" s="111"/>
      <c r="E1915" s="111"/>
    </row>
    <row r="1916" spans="1:5" x14ac:dyDescent="0.2">
      <c r="A1916" s="113">
        <v>36614</v>
      </c>
      <c r="B1916" s="111">
        <f t="shared" si="29"/>
        <v>41</v>
      </c>
      <c r="C1916" s="111"/>
      <c r="D1916" s="111"/>
      <c r="E1916" s="111"/>
    </row>
    <row r="1917" spans="1:5" x14ac:dyDescent="0.2">
      <c r="A1917" s="113">
        <v>36615</v>
      </c>
      <c r="B1917" s="111">
        <f t="shared" si="29"/>
        <v>41</v>
      </c>
      <c r="C1917" s="111"/>
      <c r="D1917" s="111"/>
      <c r="E1917" s="111"/>
    </row>
    <row r="1918" spans="1:5" x14ac:dyDescent="0.2">
      <c r="A1918" s="113">
        <v>36616</v>
      </c>
      <c r="B1918" s="111">
        <f t="shared" si="29"/>
        <v>41</v>
      </c>
      <c r="C1918" s="111"/>
      <c r="D1918" s="111"/>
      <c r="E1918" s="111"/>
    </row>
    <row r="1919" spans="1:5" x14ac:dyDescent="0.2">
      <c r="A1919" s="113">
        <v>36617</v>
      </c>
      <c r="B1919" s="111">
        <f t="shared" si="29"/>
        <v>41</v>
      </c>
      <c r="C1919" s="111"/>
      <c r="D1919" s="111"/>
      <c r="E1919" s="111"/>
    </row>
    <row r="1920" spans="1:5" x14ac:dyDescent="0.2">
      <c r="A1920" s="113">
        <v>36618</v>
      </c>
      <c r="B1920" s="111">
        <f t="shared" si="29"/>
        <v>42</v>
      </c>
      <c r="C1920" s="111"/>
      <c r="D1920" s="111"/>
      <c r="E1920" s="111"/>
    </row>
    <row r="1921" spans="1:5" x14ac:dyDescent="0.2">
      <c r="A1921" s="113">
        <v>36619</v>
      </c>
      <c r="B1921" s="111">
        <f t="shared" si="29"/>
        <v>42</v>
      </c>
      <c r="C1921" s="111"/>
      <c r="D1921" s="111"/>
      <c r="E1921" s="111"/>
    </row>
    <row r="1922" spans="1:5" x14ac:dyDescent="0.2">
      <c r="A1922" s="113">
        <v>36620</v>
      </c>
      <c r="B1922" s="111">
        <f t="shared" ref="B1922:B1985" si="30">VLOOKUP(WEEKNUM(A1922),$D$3:$E$58,2)</f>
        <v>42</v>
      </c>
      <c r="C1922" s="111"/>
      <c r="D1922" s="111"/>
      <c r="E1922" s="111"/>
    </row>
    <row r="1923" spans="1:5" x14ac:dyDescent="0.2">
      <c r="A1923" s="113">
        <v>36621</v>
      </c>
      <c r="B1923" s="111">
        <f t="shared" si="30"/>
        <v>42</v>
      </c>
      <c r="C1923" s="111"/>
      <c r="D1923" s="111"/>
      <c r="E1923" s="111"/>
    </row>
    <row r="1924" spans="1:5" x14ac:dyDescent="0.2">
      <c r="A1924" s="113">
        <v>36622</v>
      </c>
      <c r="B1924" s="111">
        <f t="shared" si="30"/>
        <v>42</v>
      </c>
      <c r="C1924" s="111"/>
      <c r="D1924" s="111"/>
      <c r="E1924" s="111"/>
    </row>
    <row r="1925" spans="1:5" x14ac:dyDescent="0.2">
      <c r="A1925" s="113">
        <v>36623</v>
      </c>
      <c r="B1925" s="111">
        <f t="shared" si="30"/>
        <v>42</v>
      </c>
      <c r="C1925" s="111"/>
      <c r="D1925" s="111"/>
      <c r="E1925" s="111"/>
    </row>
    <row r="1926" spans="1:5" x14ac:dyDescent="0.2">
      <c r="A1926" s="113">
        <v>36624</v>
      </c>
      <c r="B1926" s="111">
        <f t="shared" si="30"/>
        <v>42</v>
      </c>
      <c r="C1926" s="111"/>
      <c r="D1926" s="111"/>
      <c r="E1926" s="111"/>
    </row>
    <row r="1927" spans="1:5" x14ac:dyDescent="0.2">
      <c r="A1927" s="113">
        <v>36625</v>
      </c>
      <c r="B1927" s="111">
        <f t="shared" si="30"/>
        <v>43</v>
      </c>
      <c r="C1927" s="111"/>
      <c r="D1927" s="111"/>
      <c r="E1927" s="111"/>
    </row>
    <row r="1928" spans="1:5" x14ac:dyDescent="0.2">
      <c r="A1928" s="113">
        <v>36626</v>
      </c>
      <c r="B1928" s="111">
        <f t="shared" si="30"/>
        <v>43</v>
      </c>
      <c r="C1928" s="111"/>
      <c r="D1928" s="111"/>
      <c r="E1928" s="111"/>
    </row>
    <row r="1929" spans="1:5" x14ac:dyDescent="0.2">
      <c r="A1929" s="113">
        <v>36627</v>
      </c>
      <c r="B1929" s="111">
        <f t="shared" si="30"/>
        <v>43</v>
      </c>
      <c r="C1929" s="111"/>
      <c r="D1929" s="111"/>
      <c r="E1929" s="111"/>
    </row>
    <row r="1930" spans="1:5" x14ac:dyDescent="0.2">
      <c r="A1930" s="113">
        <v>36628</v>
      </c>
      <c r="B1930" s="111">
        <f t="shared" si="30"/>
        <v>43</v>
      </c>
      <c r="C1930" s="111"/>
      <c r="D1930" s="111"/>
      <c r="E1930" s="111"/>
    </row>
    <row r="1931" spans="1:5" x14ac:dyDescent="0.2">
      <c r="A1931" s="113">
        <v>36629</v>
      </c>
      <c r="B1931" s="111">
        <f t="shared" si="30"/>
        <v>43</v>
      </c>
      <c r="C1931" s="111"/>
      <c r="D1931" s="111"/>
      <c r="E1931" s="111"/>
    </row>
    <row r="1932" spans="1:5" x14ac:dyDescent="0.2">
      <c r="A1932" s="113">
        <v>36630</v>
      </c>
      <c r="B1932" s="111">
        <f t="shared" si="30"/>
        <v>43</v>
      </c>
      <c r="C1932" s="111"/>
      <c r="D1932" s="111"/>
      <c r="E1932" s="111"/>
    </row>
    <row r="1933" spans="1:5" x14ac:dyDescent="0.2">
      <c r="A1933" s="113">
        <v>36631</v>
      </c>
      <c r="B1933" s="111">
        <f t="shared" si="30"/>
        <v>43</v>
      </c>
      <c r="C1933" s="111"/>
      <c r="D1933" s="111"/>
      <c r="E1933" s="111"/>
    </row>
    <row r="1934" spans="1:5" x14ac:dyDescent="0.2">
      <c r="A1934" s="113">
        <v>36632</v>
      </c>
      <c r="B1934" s="111">
        <f t="shared" si="30"/>
        <v>44</v>
      </c>
      <c r="C1934" s="111"/>
      <c r="D1934" s="111"/>
      <c r="E1934" s="111"/>
    </row>
    <row r="1935" spans="1:5" x14ac:dyDescent="0.2">
      <c r="A1935" s="113">
        <v>36633</v>
      </c>
      <c r="B1935" s="111">
        <f t="shared" si="30"/>
        <v>44</v>
      </c>
      <c r="C1935" s="111"/>
      <c r="D1935" s="111"/>
      <c r="E1935" s="111"/>
    </row>
    <row r="1936" spans="1:5" x14ac:dyDescent="0.2">
      <c r="A1936" s="113">
        <v>36634</v>
      </c>
      <c r="B1936" s="111">
        <f t="shared" si="30"/>
        <v>44</v>
      </c>
      <c r="C1936" s="111"/>
      <c r="D1936" s="111"/>
      <c r="E1936" s="111"/>
    </row>
    <row r="1937" spans="1:5" x14ac:dyDescent="0.2">
      <c r="A1937" s="113">
        <v>36635</v>
      </c>
      <c r="B1937" s="111">
        <f t="shared" si="30"/>
        <v>44</v>
      </c>
      <c r="C1937" s="111"/>
      <c r="D1937" s="111"/>
      <c r="E1937" s="111"/>
    </row>
    <row r="1938" spans="1:5" x14ac:dyDescent="0.2">
      <c r="A1938" s="113">
        <v>36636</v>
      </c>
      <c r="B1938" s="111">
        <f t="shared" si="30"/>
        <v>44</v>
      </c>
      <c r="C1938" s="111"/>
      <c r="D1938" s="111"/>
      <c r="E1938" s="111"/>
    </row>
    <row r="1939" spans="1:5" x14ac:dyDescent="0.2">
      <c r="A1939" s="113">
        <v>36637</v>
      </c>
      <c r="B1939" s="111">
        <f t="shared" si="30"/>
        <v>44</v>
      </c>
      <c r="C1939" s="111"/>
      <c r="D1939" s="111"/>
      <c r="E1939" s="111"/>
    </row>
    <row r="1940" spans="1:5" x14ac:dyDescent="0.2">
      <c r="A1940" s="113">
        <v>36638</v>
      </c>
      <c r="B1940" s="111">
        <f t="shared" si="30"/>
        <v>44</v>
      </c>
      <c r="C1940" s="111"/>
      <c r="D1940" s="111"/>
      <c r="E1940" s="111"/>
    </row>
    <row r="1941" spans="1:5" x14ac:dyDescent="0.2">
      <c r="A1941" s="113">
        <v>36639</v>
      </c>
      <c r="B1941" s="111">
        <f t="shared" si="30"/>
        <v>45</v>
      </c>
      <c r="C1941" s="111"/>
      <c r="D1941" s="111"/>
      <c r="E1941" s="111"/>
    </row>
    <row r="1942" spans="1:5" x14ac:dyDescent="0.2">
      <c r="A1942" s="113">
        <v>36640</v>
      </c>
      <c r="B1942" s="111">
        <f t="shared" si="30"/>
        <v>45</v>
      </c>
      <c r="C1942" s="111"/>
      <c r="D1942" s="111"/>
      <c r="E1942" s="111"/>
    </row>
    <row r="1943" spans="1:5" x14ac:dyDescent="0.2">
      <c r="A1943" s="113">
        <v>36641</v>
      </c>
      <c r="B1943" s="111">
        <f t="shared" si="30"/>
        <v>45</v>
      </c>
      <c r="C1943" s="111"/>
      <c r="D1943" s="111"/>
      <c r="E1943" s="111"/>
    </row>
    <row r="1944" spans="1:5" x14ac:dyDescent="0.2">
      <c r="A1944" s="113">
        <v>36642</v>
      </c>
      <c r="B1944" s="111">
        <f t="shared" si="30"/>
        <v>45</v>
      </c>
      <c r="C1944" s="111"/>
      <c r="D1944" s="111"/>
      <c r="E1944" s="111"/>
    </row>
    <row r="1945" spans="1:5" x14ac:dyDescent="0.2">
      <c r="A1945" s="113">
        <v>36643</v>
      </c>
      <c r="B1945" s="111">
        <f t="shared" si="30"/>
        <v>45</v>
      </c>
      <c r="C1945" s="111"/>
      <c r="D1945" s="111"/>
      <c r="E1945" s="111"/>
    </row>
    <row r="1946" spans="1:5" x14ac:dyDescent="0.2">
      <c r="A1946" s="113">
        <v>36644</v>
      </c>
      <c r="B1946" s="111">
        <f t="shared" si="30"/>
        <v>45</v>
      </c>
      <c r="C1946" s="111"/>
      <c r="D1946" s="111"/>
      <c r="E1946" s="111"/>
    </row>
    <row r="1947" spans="1:5" x14ac:dyDescent="0.2">
      <c r="A1947" s="113">
        <v>36645</v>
      </c>
      <c r="B1947" s="111">
        <f t="shared" si="30"/>
        <v>45</v>
      </c>
      <c r="C1947" s="111"/>
      <c r="D1947" s="111"/>
      <c r="E1947" s="111"/>
    </row>
    <row r="1948" spans="1:5" x14ac:dyDescent="0.2">
      <c r="A1948" s="113">
        <v>36646</v>
      </c>
      <c r="B1948" s="111">
        <f t="shared" si="30"/>
        <v>51</v>
      </c>
      <c r="C1948" s="111"/>
      <c r="D1948" s="111"/>
      <c r="E1948" s="111"/>
    </row>
    <row r="1949" spans="1:5" x14ac:dyDescent="0.2">
      <c r="A1949" s="113">
        <v>36647</v>
      </c>
      <c r="B1949" s="111">
        <f t="shared" si="30"/>
        <v>51</v>
      </c>
      <c r="C1949" s="111"/>
      <c r="D1949" s="111"/>
      <c r="E1949" s="111"/>
    </row>
    <row r="1950" spans="1:5" x14ac:dyDescent="0.2">
      <c r="A1950" s="113">
        <v>36648</v>
      </c>
      <c r="B1950" s="111">
        <f t="shared" si="30"/>
        <v>51</v>
      </c>
      <c r="C1950" s="111"/>
      <c r="D1950" s="111"/>
      <c r="E1950" s="111"/>
    </row>
    <row r="1951" spans="1:5" x14ac:dyDescent="0.2">
      <c r="A1951" s="113">
        <v>36649</v>
      </c>
      <c r="B1951" s="111">
        <f t="shared" si="30"/>
        <v>51</v>
      </c>
      <c r="C1951" s="111"/>
      <c r="D1951" s="111"/>
      <c r="E1951" s="111"/>
    </row>
    <row r="1952" spans="1:5" x14ac:dyDescent="0.2">
      <c r="A1952" s="113">
        <v>36650</v>
      </c>
      <c r="B1952" s="111">
        <f t="shared" si="30"/>
        <v>51</v>
      </c>
      <c r="C1952" s="111"/>
      <c r="D1952" s="111"/>
      <c r="E1952" s="111"/>
    </row>
    <row r="1953" spans="1:5" x14ac:dyDescent="0.2">
      <c r="A1953" s="113">
        <v>36651</v>
      </c>
      <c r="B1953" s="111">
        <f t="shared" si="30"/>
        <v>51</v>
      </c>
      <c r="C1953" s="111"/>
      <c r="D1953" s="111"/>
      <c r="E1953" s="111"/>
    </row>
    <row r="1954" spans="1:5" x14ac:dyDescent="0.2">
      <c r="A1954" s="113">
        <v>36652</v>
      </c>
      <c r="B1954" s="111">
        <f t="shared" si="30"/>
        <v>51</v>
      </c>
      <c r="C1954" s="111"/>
      <c r="D1954" s="111"/>
      <c r="E1954" s="111"/>
    </row>
    <row r="1955" spans="1:5" x14ac:dyDescent="0.2">
      <c r="A1955" s="113">
        <v>36653</v>
      </c>
      <c r="B1955" s="111">
        <f t="shared" si="30"/>
        <v>52</v>
      </c>
      <c r="C1955" s="111"/>
      <c r="D1955" s="111"/>
      <c r="E1955" s="111"/>
    </row>
    <row r="1956" spans="1:5" x14ac:dyDescent="0.2">
      <c r="A1956" s="113">
        <v>36654</v>
      </c>
      <c r="B1956" s="111">
        <f t="shared" si="30"/>
        <v>52</v>
      </c>
      <c r="C1956" s="111"/>
      <c r="D1956" s="111"/>
      <c r="E1956" s="111"/>
    </row>
    <row r="1957" spans="1:5" x14ac:dyDescent="0.2">
      <c r="A1957" s="113">
        <v>36655</v>
      </c>
      <c r="B1957" s="111">
        <f t="shared" si="30"/>
        <v>52</v>
      </c>
      <c r="C1957" s="111"/>
      <c r="D1957" s="111"/>
      <c r="E1957" s="111"/>
    </row>
    <row r="1958" spans="1:5" x14ac:dyDescent="0.2">
      <c r="A1958" s="113">
        <v>36656</v>
      </c>
      <c r="B1958" s="111">
        <f t="shared" si="30"/>
        <v>52</v>
      </c>
      <c r="C1958" s="111"/>
      <c r="D1958" s="111"/>
      <c r="E1958" s="111"/>
    </row>
    <row r="1959" spans="1:5" x14ac:dyDescent="0.2">
      <c r="A1959" s="113">
        <v>36657</v>
      </c>
      <c r="B1959" s="111">
        <f t="shared" si="30"/>
        <v>52</v>
      </c>
      <c r="C1959" s="111"/>
      <c r="D1959" s="111"/>
      <c r="E1959" s="111"/>
    </row>
    <row r="1960" spans="1:5" x14ac:dyDescent="0.2">
      <c r="A1960" s="113">
        <v>36658</v>
      </c>
      <c r="B1960" s="111">
        <f t="shared" si="30"/>
        <v>52</v>
      </c>
      <c r="C1960" s="111"/>
      <c r="D1960" s="111"/>
      <c r="E1960" s="111"/>
    </row>
    <row r="1961" spans="1:5" x14ac:dyDescent="0.2">
      <c r="A1961" s="113">
        <v>36659</v>
      </c>
      <c r="B1961" s="111">
        <f t="shared" si="30"/>
        <v>52</v>
      </c>
      <c r="C1961" s="111"/>
      <c r="D1961" s="111"/>
      <c r="E1961" s="111"/>
    </row>
    <row r="1962" spans="1:5" x14ac:dyDescent="0.2">
      <c r="A1962" s="113">
        <v>36660</v>
      </c>
      <c r="B1962" s="111">
        <f t="shared" si="30"/>
        <v>53</v>
      </c>
      <c r="C1962" s="111"/>
      <c r="D1962" s="111"/>
      <c r="E1962" s="111"/>
    </row>
    <row r="1963" spans="1:5" x14ac:dyDescent="0.2">
      <c r="A1963" s="113">
        <v>36661</v>
      </c>
      <c r="B1963" s="111">
        <f t="shared" si="30"/>
        <v>53</v>
      </c>
      <c r="C1963" s="111"/>
      <c r="D1963" s="111"/>
      <c r="E1963" s="111"/>
    </row>
    <row r="1964" spans="1:5" x14ac:dyDescent="0.2">
      <c r="A1964" s="113">
        <v>36662</v>
      </c>
      <c r="B1964" s="111">
        <f t="shared" si="30"/>
        <v>53</v>
      </c>
      <c r="C1964" s="111"/>
      <c r="D1964" s="111"/>
      <c r="E1964" s="111"/>
    </row>
    <row r="1965" spans="1:5" x14ac:dyDescent="0.2">
      <c r="A1965" s="113">
        <v>36663</v>
      </c>
      <c r="B1965" s="111">
        <f t="shared" si="30"/>
        <v>53</v>
      </c>
      <c r="C1965" s="111"/>
      <c r="D1965" s="111"/>
      <c r="E1965" s="111"/>
    </row>
    <row r="1966" spans="1:5" x14ac:dyDescent="0.2">
      <c r="A1966" s="113">
        <v>36664</v>
      </c>
      <c r="B1966" s="111">
        <f t="shared" si="30"/>
        <v>53</v>
      </c>
      <c r="C1966" s="111"/>
      <c r="D1966" s="111"/>
      <c r="E1966" s="111"/>
    </row>
    <row r="1967" spans="1:5" x14ac:dyDescent="0.2">
      <c r="A1967" s="113">
        <v>36665</v>
      </c>
      <c r="B1967" s="111">
        <f t="shared" si="30"/>
        <v>53</v>
      </c>
      <c r="C1967" s="111"/>
      <c r="D1967" s="111"/>
      <c r="E1967" s="111"/>
    </row>
    <row r="1968" spans="1:5" x14ac:dyDescent="0.2">
      <c r="A1968" s="113">
        <v>36666</v>
      </c>
      <c r="B1968" s="111">
        <f t="shared" si="30"/>
        <v>53</v>
      </c>
      <c r="C1968" s="111"/>
      <c r="D1968" s="111"/>
      <c r="E1968" s="111"/>
    </row>
    <row r="1969" spans="1:5" x14ac:dyDescent="0.2">
      <c r="A1969" s="113">
        <v>36667</v>
      </c>
      <c r="B1969" s="111">
        <f t="shared" si="30"/>
        <v>54</v>
      </c>
      <c r="C1969" s="111"/>
      <c r="D1969" s="111"/>
      <c r="E1969" s="111"/>
    </row>
    <row r="1970" spans="1:5" x14ac:dyDescent="0.2">
      <c r="A1970" s="113">
        <v>36668</v>
      </c>
      <c r="B1970" s="111">
        <f t="shared" si="30"/>
        <v>54</v>
      </c>
      <c r="C1970" s="111"/>
      <c r="D1970" s="111"/>
      <c r="E1970" s="111"/>
    </row>
    <row r="1971" spans="1:5" x14ac:dyDescent="0.2">
      <c r="A1971" s="113">
        <v>36669</v>
      </c>
      <c r="B1971" s="111">
        <f t="shared" si="30"/>
        <v>54</v>
      </c>
      <c r="C1971" s="111"/>
      <c r="D1971" s="111"/>
      <c r="E1971" s="111"/>
    </row>
    <row r="1972" spans="1:5" x14ac:dyDescent="0.2">
      <c r="A1972" s="113">
        <v>36670</v>
      </c>
      <c r="B1972" s="111">
        <f t="shared" si="30"/>
        <v>54</v>
      </c>
      <c r="C1972" s="111"/>
      <c r="D1972" s="111"/>
      <c r="E1972" s="111"/>
    </row>
    <row r="1973" spans="1:5" x14ac:dyDescent="0.2">
      <c r="A1973" s="113">
        <v>36671</v>
      </c>
      <c r="B1973" s="111">
        <f t="shared" si="30"/>
        <v>54</v>
      </c>
      <c r="C1973" s="111"/>
      <c r="D1973" s="111"/>
      <c r="E1973" s="111"/>
    </row>
    <row r="1974" spans="1:5" x14ac:dyDescent="0.2">
      <c r="A1974" s="113">
        <v>36672</v>
      </c>
      <c r="B1974" s="111">
        <f t="shared" si="30"/>
        <v>54</v>
      </c>
      <c r="C1974" s="111"/>
      <c r="D1974" s="111"/>
      <c r="E1974" s="111"/>
    </row>
    <row r="1975" spans="1:5" x14ac:dyDescent="0.2">
      <c r="A1975" s="113">
        <v>36673</v>
      </c>
      <c r="B1975" s="111">
        <f t="shared" si="30"/>
        <v>54</v>
      </c>
      <c r="C1975" s="111"/>
      <c r="D1975" s="111"/>
      <c r="E1975" s="111"/>
    </row>
    <row r="1976" spans="1:5" x14ac:dyDescent="0.2">
      <c r="A1976" s="113">
        <v>36674</v>
      </c>
      <c r="B1976" s="111">
        <f t="shared" si="30"/>
        <v>61</v>
      </c>
      <c r="C1976" s="111"/>
      <c r="D1976" s="111"/>
      <c r="E1976" s="111"/>
    </row>
    <row r="1977" spans="1:5" x14ac:dyDescent="0.2">
      <c r="A1977" s="113">
        <v>36675</v>
      </c>
      <c r="B1977" s="111">
        <f t="shared" si="30"/>
        <v>61</v>
      </c>
      <c r="C1977" s="111"/>
      <c r="D1977" s="111"/>
      <c r="E1977" s="111"/>
    </row>
    <row r="1978" spans="1:5" x14ac:dyDescent="0.2">
      <c r="A1978" s="113">
        <v>36676</v>
      </c>
      <c r="B1978" s="111">
        <f t="shared" si="30"/>
        <v>61</v>
      </c>
      <c r="C1978" s="111"/>
      <c r="D1978" s="111"/>
      <c r="E1978" s="111"/>
    </row>
    <row r="1979" spans="1:5" x14ac:dyDescent="0.2">
      <c r="A1979" s="113">
        <v>36677</v>
      </c>
      <c r="B1979" s="111">
        <f t="shared" si="30"/>
        <v>61</v>
      </c>
      <c r="C1979" s="111"/>
      <c r="D1979" s="111"/>
      <c r="E1979" s="111"/>
    </row>
    <row r="1980" spans="1:5" x14ac:dyDescent="0.2">
      <c r="A1980" s="113">
        <v>36678</v>
      </c>
      <c r="B1980" s="111">
        <f t="shared" si="30"/>
        <v>61</v>
      </c>
      <c r="C1980" s="111"/>
      <c r="D1980" s="111"/>
      <c r="E1980" s="111"/>
    </row>
    <row r="1981" spans="1:5" x14ac:dyDescent="0.2">
      <c r="A1981" s="113">
        <v>36679</v>
      </c>
      <c r="B1981" s="111">
        <f t="shared" si="30"/>
        <v>61</v>
      </c>
      <c r="C1981" s="111"/>
      <c r="D1981" s="111"/>
      <c r="E1981" s="111"/>
    </row>
    <row r="1982" spans="1:5" x14ac:dyDescent="0.2">
      <c r="A1982" s="113">
        <v>36680</v>
      </c>
      <c r="B1982" s="111">
        <f t="shared" si="30"/>
        <v>61</v>
      </c>
      <c r="C1982" s="111"/>
      <c r="D1982" s="111"/>
      <c r="E1982" s="111"/>
    </row>
    <row r="1983" spans="1:5" x14ac:dyDescent="0.2">
      <c r="A1983" s="113">
        <v>36681</v>
      </c>
      <c r="B1983" s="111">
        <f t="shared" si="30"/>
        <v>62</v>
      </c>
      <c r="C1983" s="111"/>
      <c r="D1983" s="111"/>
      <c r="E1983" s="111"/>
    </row>
    <row r="1984" spans="1:5" x14ac:dyDescent="0.2">
      <c r="A1984" s="113">
        <v>36682</v>
      </c>
      <c r="B1984" s="111">
        <f t="shared" si="30"/>
        <v>62</v>
      </c>
      <c r="C1984" s="111"/>
      <c r="D1984" s="111"/>
      <c r="E1984" s="111"/>
    </row>
    <row r="1985" spans="1:5" x14ac:dyDescent="0.2">
      <c r="A1985" s="113">
        <v>36683</v>
      </c>
      <c r="B1985" s="111">
        <f t="shared" si="30"/>
        <v>62</v>
      </c>
      <c r="C1985" s="111"/>
      <c r="D1985" s="111"/>
      <c r="E1985" s="111"/>
    </row>
    <row r="1986" spans="1:5" x14ac:dyDescent="0.2">
      <c r="A1986" s="113">
        <v>36684</v>
      </c>
      <c r="B1986" s="111">
        <f t="shared" ref="B1986:B2049" si="31">VLOOKUP(WEEKNUM(A1986),$D$3:$E$58,2)</f>
        <v>62</v>
      </c>
      <c r="C1986" s="111"/>
      <c r="D1986" s="111"/>
      <c r="E1986" s="111"/>
    </row>
    <row r="1987" spans="1:5" x14ac:dyDescent="0.2">
      <c r="A1987" s="113">
        <v>36685</v>
      </c>
      <c r="B1987" s="111">
        <f t="shared" si="31"/>
        <v>62</v>
      </c>
      <c r="C1987" s="111"/>
      <c r="D1987" s="111"/>
      <c r="E1987" s="111"/>
    </row>
    <row r="1988" spans="1:5" x14ac:dyDescent="0.2">
      <c r="A1988" s="113">
        <v>36686</v>
      </c>
      <c r="B1988" s="111">
        <f t="shared" si="31"/>
        <v>62</v>
      </c>
      <c r="C1988" s="111"/>
      <c r="D1988" s="111"/>
      <c r="E1988" s="111"/>
    </row>
    <row r="1989" spans="1:5" x14ac:dyDescent="0.2">
      <c r="A1989" s="113">
        <v>36687</v>
      </c>
      <c r="B1989" s="111">
        <f t="shared" si="31"/>
        <v>62</v>
      </c>
      <c r="C1989" s="111"/>
      <c r="D1989" s="111"/>
      <c r="E1989" s="111"/>
    </row>
    <row r="1990" spans="1:5" x14ac:dyDescent="0.2">
      <c r="A1990" s="113">
        <v>36688</v>
      </c>
      <c r="B1990" s="111">
        <f t="shared" si="31"/>
        <v>63</v>
      </c>
      <c r="C1990" s="111"/>
      <c r="D1990" s="111"/>
      <c r="E1990" s="111"/>
    </row>
    <row r="1991" spans="1:5" x14ac:dyDescent="0.2">
      <c r="A1991" s="113">
        <v>36689</v>
      </c>
      <c r="B1991" s="111">
        <f t="shared" si="31"/>
        <v>63</v>
      </c>
      <c r="C1991" s="111"/>
      <c r="D1991" s="111"/>
      <c r="E1991" s="111"/>
    </row>
    <row r="1992" spans="1:5" x14ac:dyDescent="0.2">
      <c r="A1992" s="113">
        <v>36690</v>
      </c>
      <c r="B1992" s="111">
        <f t="shared" si="31"/>
        <v>63</v>
      </c>
      <c r="C1992" s="111"/>
      <c r="D1992" s="111"/>
      <c r="E1992" s="111"/>
    </row>
    <row r="1993" spans="1:5" x14ac:dyDescent="0.2">
      <c r="A1993" s="113">
        <v>36691</v>
      </c>
      <c r="B1993" s="111">
        <f t="shared" si="31"/>
        <v>63</v>
      </c>
      <c r="C1993" s="111"/>
      <c r="D1993" s="111"/>
      <c r="E1993" s="111"/>
    </row>
    <row r="1994" spans="1:5" x14ac:dyDescent="0.2">
      <c r="A1994" s="113">
        <v>36692</v>
      </c>
      <c r="B1994" s="111">
        <f t="shared" si="31"/>
        <v>63</v>
      </c>
      <c r="C1994" s="111"/>
      <c r="D1994" s="111"/>
      <c r="E1994" s="111"/>
    </row>
    <row r="1995" spans="1:5" x14ac:dyDescent="0.2">
      <c r="A1995" s="113">
        <v>36693</v>
      </c>
      <c r="B1995" s="111">
        <f t="shared" si="31"/>
        <v>63</v>
      </c>
      <c r="C1995" s="111"/>
      <c r="D1995" s="111"/>
      <c r="E1995" s="111"/>
    </row>
    <row r="1996" spans="1:5" x14ac:dyDescent="0.2">
      <c r="A1996" s="113">
        <v>36694</v>
      </c>
      <c r="B1996" s="111">
        <f t="shared" si="31"/>
        <v>63</v>
      </c>
      <c r="C1996" s="111"/>
      <c r="D1996" s="111"/>
      <c r="E1996" s="111"/>
    </row>
    <row r="1997" spans="1:5" x14ac:dyDescent="0.2">
      <c r="A1997" s="113">
        <v>36695</v>
      </c>
      <c r="B1997" s="111">
        <f t="shared" si="31"/>
        <v>64</v>
      </c>
      <c r="C1997" s="111"/>
      <c r="D1997" s="111"/>
      <c r="E1997" s="111"/>
    </row>
    <row r="1998" spans="1:5" x14ac:dyDescent="0.2">
      <c r="A1998" s="113">
        <v>36696</v>
      </c>
      <c r="B1998" s="111">
        <f t="shared" si="31"/>
        <v>64</v>
      </c>
      <c r="C1998" s="111"/>
      <c r="D1998" s="111"/>
      <c r="E1998" s="111"/>
    </row>
    <row r="1999" spans="1:5" x14ac:dyDescent="0.2">
      <c r="A1999" s="113">
        <v>36697</v>
      </c>
      <c r="B1999" s="111">
        <f t="shared" si="31"/>
        <v>64</v>
      </c>
      <c r="C1999" s="111"/>
      <c r="D1999" s="111"/>
      <c r="E1999" s="111"/>
    </row>
    <row r="2000" spans="1:5" x14ac:dyDescent="0.2">
      <c r="A2000" s="113">
        <v>36698</v>
      </c>
      <c r="B2000" s="111">
        <f t="shared" si="31"/>
        <v>64</v>
      </c>
      <c r="C2000" s="111"/>
      <c r="D2000" s="111"/>
      <c r="E2000" s="111"/>
    </row>
    <row r="2001" spans="1:5" x14ac:dyDescent="0.2">
      <c r="A2001" s="113">
        <v>36699</v>
      </c>
      <c r="B2001" s="111">
        <f t="shared" si="31"/>
        <v>64</v>
      </c>
      <c r="C2001" s="111"/>
      <c r="D2001" s="111"/>
      <c r="E2001" s="111"/>
    </row>
    <row r="2002" spans="1:5" x14ac:dyDescent="0.2">
      <c r="A2002" s="113">
        <v>36700</v>
      </c>
      <c r="B2002" s="111">
        <f t="shared" si="31"/>
        <v>64</v>
      </c>
      <c r="C2002" s="111"/>
      <c r="D2002" s="111"/>
      <c r="E2002" s="111"/>
    </row>
    <row r="2003" spans="1:5" x14ac:dyDescent="0.2">
      <c r="A2003" s="113">
        <v>36701</v>
      </c>
      <c r="B2003" s="111">
        <f t="shared" si="31"/>
        <v>64</v>
      </c>
      <c r="C2003" s="111"/>
      <c r="D2003" s="111"/>
      <c r="E2003" s="111"/>
    </row>
    <row r="2004" spans="1:5" x14ac:dyDescent="0.2">
      <c r="A2004" s="113">
        <v>36702</v>
      </c>
      <c r="B2004" s="111">
        <f t="shared" si="31"/>
        <v>71</v>
      </c>
      <c r="C2004" s="111"/>
      <c r="D2004" s="111"/>
      <c r="E2004" s="111"/>
    </row>
    <row r="2005" spans="1:5" x14ac:dyDescent="0.2">
      <c r="A2005" s="113">
        <v>36703</v>
      </c>
      <c r="B2005" s="111">
        <f t="shared" si="31"/>
        <v>71</v>
      </c>
      <c r="C2005" s="111"/>
      <c r="D2005" s="111"/>
      <c r="E2005" s="111"/>
    </row>
    <row r="2006" spans="1:5" x14ac:dyDescent="0.2">
      <c r="A2006" s="113">
        <v>36704</v>
      </c>
      <c r="B2006" s="111">
        <f t="shared" si="31"/>
        <v>71</v>
      </c>
      <c r="C2006" s="111"/>
      <c r="D2006" s="111"/>
      <c r="E2006" s="111"/>
    </row>
    <row r="2007" spans="1:5" x14ac:dyDescent="0.2">
      <c r="A2007" s="113">
        <v>36705</v>
      </c>
      <c r="B2007" s="111">
        <f t="shared" si="31"/>
        <v>71</v>
      </c>
      <c r="C2007" s="111"/>
      <c r="D2007" s="111"/>
      <c r="E2007" s="111"/>
    </row>
    <row r="2008" spans="1:5" x14ac:dyDescent="0.2">
      <c r="A2008" s="113">
        <v>36706</v>
      </c>
      <c r="B2008" s="111">
        <f t="shared" si="31"/>
        <v>71</v>
      </c>
      <c r="C2008" s="111"/>
      <c r="D2008" s="111"/>
      <c r="E2008" s="111"/>
    </row>
    <row r="2009" spans="1:5" x14ac:dyDescent="0.2">
      <c r="A2009" s="113">
        <v>36707</v>
      </c>
      <c r="B2009" s="111">
        <f t="shared" si="31"/>
        <v>71</v>
      </c>
      <c r="C2009" s="111"/>
      <c r="D2009" s="111"/>
      <c r="E2009" s="111"/>
    </row>
    <row r="2010" spans="1:5" x14ac:dyDescent="0.2">
      <c r="A2010" s="113">
        <v>36708</v>
      </c>
      <c r="B2010" s="111">
        <f t="shared" si="31"/>
        <v>71</v>
      </c>
      <c r="C2010" s="111"/>
      <c r="D2010" s="111"/>
      <c r="E2010" s="111"/>
    </row>
    <row r="2011" spans="1:5" x14ac:dyDescent="0.2">
      <c r="A2011" s="113">
        <v>36709</v>
      </c>
      <c r="B2011" s="111">
        <f t="shared" si="31"/>
        <v>72</v>
      </c>
      <c r="C2011" s="111"/>
      <c r="D2011" s="111"/>
      <c r="E2011" s="111"/>
    </row>
    <row r="2012" spans="1:5" x14ac:dyDescent="0.2">
      <c r="A2012" s="113">
        <v>36710</v>
      </c>
      <c r="B2012" s="111">
        <f t="shared" si="31"/>
        <v>72</v>
      </c>
      <c r="C2012" s="111"/>
      <c r="D2012" s="111"/>
      <c r="E2012" s="111"/>
    </row>
    <row r="2013" spans="1:5" x14ac:dyDescent="0.2">
      <c r="A2013" s="113">
        <v>36711</v>
      </c>
      <c r="B2013" s="111">
        <f t="shared" si="31"/>
        <v>72</v>
      </c>
      <c r="C2013" s="111"/>
      <c r="D2013" s="111"/>
      <c r="E2013" s="111"/>
    </row>
    <row r="2014" spans="1:5" x14ac:dyDescent="0.2">
      <c r="A2014" s="113">
        <v>36712</v>
      </c>
      <c r="B2014" s="111">
        <f t="shared" si="31"/>
        <v>72</v>
      </c>
      <c r="C2014" s="111"/>
      <c r="D2014" s="111"/>
      <c r="E2014" s="111"/>
    </row>
    <row r="2015" spans="1:5" x14ac:dyDescent="0.2">
      <c r="A2015" s="113">
        <v>36713</v>
      </c>
      <c r="B2015" s="111">
        <f t="shared" si="31"/>
        <v>72</v>
      </c>
      <c r="C2015" s="111"/>
      <c r="D2015" s="111"/>
      <c r="E2015" s="111"/>
    </row>
    <row r="2016" spans="1:5" x14ac:dyDescent="0.2">
      <c r="A2016" s="113">
        <v>36714</v>
      </c>
      <c r="B2016" s="111">
        <f t="shared" si="31"/>
        <v>72</v>
      </c>
      <c r="C2016" s="111"/>
      <c r="D2016" s="111"/>
      <c r="E2016" s="111"/>
    </row>
    <row r="2017" spans="1:5" x14ac:dyDescent="0.2">
      <c r="A2017" s="113">
        <v>36715</v>
      </c>
      <c r="B2017" s="111">
        <f t="shared" si="31"/>
        <v>72</v>
      </c>
      <c r="C2017" s="111"/>
      <c r="D2017" s="111"/>
      <c r="E2017" s="111"/>
    </row>
    <row r="2018" spans="1:5" x14ac:dyDescent="0.2">
      <c r="A2018" s="113">
        <v>36716</v>
      </c>
      <c r="B2018" s="111">
        <f t="shared" si="31"/>
        <v>73</v>
      </c>
      <c r="C2018" s="111"/>
      <c r="D2018" s="111"/>
      <c r="E2018" s="111"/>
    </row>
    <row r="2019" spans="1:5" x14ac:dyDescent="0.2">
      <c r="A2019" s="113">
        <v>36717</v>
      </c>
      <c r="B2019" s="111">
        <f t="shared" si="31"/>
        <v>73</v>
      </c>
      <c r="C2019" s="111"/>
      <c r="D2019" s="111"/>
      <c r="E2019" s="111"/>
    </row>
    <row r="2020" spans="1:5" x14ac:dyDescent="0.2">
      <c r="A2020" s="113">
        <v>36718</v>
      </c>
      <c r="B2020" s="111">
        <f t="shared" si="31"/>
        <v>73</v>
      </c>
      <c r="C2020" s="111"/>
      <c r="D2020" s="111"/>
      <c r="E2020" s="111"/>
    </row>
    <row r="2021" spans="1:5" x14ac:dyDescent="0.2">
      <c r="A2021" s="113">
        <v>36719</v>
      </c>
      <c r="B2021" s="111">
        <f t="shared" si="31"/>
        <v>73</v>
      </c>
      <c r="C2021" s="111"/>
      <c r="D2021" s="111"/>
      <c r="E2021" s="111"/>
    </row>
    <row r="2022" spans="1:5" x14ac:dyDescent="0.2">
      <c r="A2022" s="113">
        <v>36720</v>
      </c>
      <c r="B2022" s="111">
        <f t="shared" si="31"/>
        <v>73</v>
      </c>
      <c r="C2022" s="111"/>
      <c r="D2022" s="111"/>
      <c r="E2022" s="111"/>
    </row>
    <row r="2023" spans="1:5" x14ac:dyDescent="0.2">
      <c r="A2023" s="113">
        <v>36721</v>
      </c>
      <c r="B2023" s="111">
        <f t="shared" si="31"/>
        <v>73</v>
      </c>
      <c r="C2023" s="111"/>
      <c r="D2023" s="111"/>
      <c r="E2023" s="111"/>
    </row>
    <row r="2024" spans="1:5" x14ac:dyDescent="0.2">
      <c r="A2024" s="113">
        <v>36722</v>
      </c>
      <c r="B2024" s="111">
        <f t="shared" si="31"/>
        <v>73</v>
      </c>
      <c r="C2024" s="111"/>
      <c r="D2024" s="111"/>
      <c r="E2024" s="111"/>
    </row>
    <row r="2025" spans="1:5" x14ac:dyDescent="0.2">
      <c r="A2025" s="113">
        <v>36723</v>
      </c>
      <c r="B2025" s="111">
        <f t="shared" si="31"/>
        <v>74</v>
      </c>
      <c r="C2025" s="111"/>
      <c r="D2025" s="111"/>
      <c r="E2025" s="111"/>
    </row>
    <row r="2026" spans="1:5" x14ac:dyDescent="0.2">
      <c r="A2026" s="113">
        <v>36724</v>
      </c>
      <c r="B2026" s="111">
        <f t="shared" si="31"/>
        <v>74</v>
      </c>
      <c r="C2026" s="111"/>
      <c r="D2026" s="111"/>
      <c r="E2026" s="111"/>
    </row>
    <row r="2027" spans="1:5" x14ac:dyDescent="0.2">
      <c r="A2027" s="113">
        <v>36725</v>
      </c>
      <c r="B2027" s="111">
        <f t="shared" si="31"/>
        <v>74</v>
      </c>
      <c r="C2027" s="111"/>
      <c r="D2027" s="111"/>
      <c r="E2027" s="111"/>
    </row>
    <row r="2028" spans="1:5" x14ac:dyDescent="0.2">
      <c r="A2028" s="113">
        <v>36726</v>
      </c>
      <c r="B2028" s="111">
        <f t="shared" si="31"/>
        <v>74</v>
      </c>
      <c r="C2028" s="111"/>
      <c r="D2028" s="111"/>
      <c r="E2028" s="111"/>
    </row>
    <row r="2029" spans="1:5" x14ac:dyDescent="0.2">
      <c r="A2029" s="113">
        <v>36727</v>
      </c>
      <c r="B2029" s="111">
        <f t="shared" si="31"/>
        <v>74</v>
      </c>
      <c r="C2029" s="111"/>
      <c r="D2029" s="111"/>
      <c r="E2029" s="111"/>
    </row>
    <row r="2030" spans="1:5" x14ac:dyDescent="0.2">
      <c r="A2030" s="113">
        <v>36728</v>
      </c>
      <c r="B2030" s="111">
        <f t="shared" si="31"/>
        <v>74</v>
      </c>
      <c r="C2030" s="111"/>
      <c r="D2030" s="111"/>
      <c r="E2030" s="111"/>
    </row>
    <row r="2031" spans="1:5" x14ac:dyDescent="0.2">
      <c r="A2031" s="113">
        <v>36729</v>
      </c>
      <c r="B2031" s="111">
        <f t="shared" si="31"/>
        <v>74</v>
      </c>
      <c r="C2031" s="111"/>
      <c r="D2031" s="111"/>
      <c r="E2031" s="111"/>
    </row>
    <row r="2032" spans="1:5" x14ac:dyDescent="0.2">
      <c r="A2032" s="113">
        <v>36730</v>
      </c>
      <c r="B2032" s="111">
        <f t="shared" si="31"/>
        <v>75</v>
      </c>
      <c r="C2032" s="111"/>
      <c r="D2032" s="111"/>
      <c r="E2032" s="111"/>
    </row>
    <row r="2033" spans="1:5" x14ac:dyDescent="0.2">
      <c r="A2033" s="113">
        <v>36731</v>
      </c>
      <c r="B2033" s="111">
        <f t="shared" si="31"/>
        <v>75</v>
      </c>
      <c r="C2033" s="111"/>
      <c r="D2033" s="111"/>
      <c r="E2033" s="111"/>
    </row>
    <row r="2034" spans="1:5" x14ac:dyDescent="0.2">
      <c r="A2034" s="113">
        <v>36732</v>
      </c>
      <c r="B2034" s="111">
        <f t="shared" si="31"/>
        <v>75</v>
      </c>
      <c r="C2034" s="111"/>
      <c r="D2034" s="111"/>
      <c r="E2034" s="111"/>
    </row>
    <row r="2035" spans="1:5" x14ac:dyDescent="0.2">
      <c r="A2035" s="113">
        <v>36733</v>
      </c>
      <c r="B2035" s="111">
        <f t="shared" si="31"/>
        <v>75</v>
      </c>
      <c r="C2035" s="111"/>
      <c r="D2035" s="111"/>
      <c r="E2035" s="111"/>
    </row>
    <row r="2036" spans="1:5" x14ac:dyDescent="0.2">
      <c r="A2036" s="113">
        <v>36734</v>
      </c>
      <c r="B2036" s="111">
        <f t="shared" si="31"/>
        <v>75</v>
      </c>
      <c r="C2036" s="111"/>
      <c r="D2036" s="111"/>
      <c r="E2036" s="111"/>
    </row>
    <row r="2037" spans="1:5" x14ac:dyDescent="0.2">
      <c r="A2037" s="113">
        <v>36735</v>
      </c>
      <c r="B2037" s="111">
        <f t="shared" si="31"/>
        <v>75</v>
      </c>
      <c r="C2037" s="111"/>
      <c r="D2037" s="111"/>
      <c r="E2037" s="111"/>
    </row>
    <row r="2038" spans="1:5" x14ac:dyDescent="0.2">
      <c r="A2038" s="113">
        <v>36736</v>
      </c>
      <c r="B2038" s="111">
        <f t="shared" si="31"/>
        <v>75</v>
      </c>
      <c r="C2038" s="111"/>
      <c r="D2038" s="111"/>
      <c r="E2038" s="111"/>
    </row>
    <row r="2039" spans="1:5" x14ac:dyDescent="0.2">
      <c r="A2039" s="113">
        <v>36737</v>
      </c>
      <c r="B2039" s="111">
        <f t="shared" si="31"/>
        <v>81</v>
      </c>
      <c r="C2039" s="111"/>
      <c r="D2039" s="111"/>
      <c r="E2039" s="111"/>
    </row>
    <row r="2040" spans="1:5" x14ac:dyDescent="0.2">
      <c r="A2040" s="113">
        <v>36738</v>
      </c>
      <c r="B2040" s="111">
        <f t="shared" si="31"/>
        <v>81</v>
      </c>
      <c r="C2040" s="111"/>
      <c r="D2040" s="111"/>
      <c r="E2040" s="111"/>
    </row>
    <row r="2041" spans="1:5" x14ac:dyDescent="0.2">
      <c r="A2041" s="113">
        <v>36739</v>
      </c>
      <c r="B2041" s="111">
        <f t="shared" si="31"/>
        <v>81</v>
      </c>
      <c r="C2041" s="111"/>
      <c r="D2041" s="111"/>
      <c r="E2041" s="111"/>
    </row>
    <row r="2042" spans="1:5" x14ac:dyDescent="0.2">
      <c r="A2042" s="113">
        <v>36740</v>
      </c>
      <c r="B2042" s="111">
        <f t="shared" si="31"/>
        <v>81</v>
      </c>
      <c r="C2042" s="111"/>
      <c r="D2042" s="111"/>
      <c r="E2042" s="111"/>
    </row>
    <row r="2043" spans="1:5" x14ac:dyDescent="0.2">
      <c r="A2043" s="113">
        <v>36741</v>
      </c>
      <c r="B2043" s="111">
        <f t="shared" si="31"/>
        <v>81</v>
      </c>
      <c r="C2043" s="111"/>
      <c r="D2043" s="111"/>
      <c r="E2043" s="111"/>
    </row>
    <row r="2044" spans="1:5" x14ac:dyDescent="0.2">
      <c r="A2044" s="113">
        <v>36742</v>
      </c>
      <c r="B2044" s="111">
        <f t="shared" si="31"/>
        <v>81</v>
      </c>
      <c r="C2044" s="111"/>
      <c r="D2044" s="111"/>
      <c r="E2044" s="111"/>
    </row>
    <row r="2045" spans="1:5" x14ac:dyDescent="0.2">
      <c r="A2045" s="113">
        <v>36743</v>
      </c>
      <c r="B2045" s="111">
        <f t="shared" si="31"/>
        <v>81</v>
      </c>
      <c r="C2045" s="111"/>
      <c r="D2045" s="111"/>
      <c r="E2045" s="111"/>
    </row>
    <row r="2046" spans="1:5" x14ac:dyDescent="0.2">
      <c r="A2046" s="113">
        <v>36744</v>
      </c>
      <c r="B2046" s="111">
        <f t="shared" si="31"/>
        <v>82</v>
      </c>
      <c r="C2046" s="111"/>
      <c r="D2046" s="111"/>
      <c r="E2046" s="111"/>
    </row>
    <row r="2047" spans="1:5" x14ac:dyDescent="0.2">
      <c r="A2047" s="113">
        <v>36745</v>
      </c>
      <c r="B2047" s="111">
        <f t="shared" si="31"/>
        <v>82</v>
      </c>
      <c r="C2047" s="111"/>
      <c r="D2047" s="111"/>
      <c r="E2047" s="111"/>
    </row>
    <row r="2048" spans="1:5" x14ac:dyDescent="0.2">
      <c r="A2048" s="113">
        <v>36746</v>
      </c>
      <c r="B2048" s="111">
        <f t="shared" si="31"/>
        <v>82</v>
      </c>
      <c r="C2048" s="111"/>
      <c r="D2048" s="111"/>
      <c r="E2048" s="111"/>
    </row>
    <row r="2049" spans="1:5" x14ac:dyDescent="0.2">
      <c r="A2049" s="113">
        <v>36747</v>
      </c>
      <c r="B2049" s="111">
        <f t="shared" si="31"/>
        <v>82</v>
      </c>
      <c r="C2049" s="111"/>
      <c r="D2049" s="111"/>
      <c r="E2049" s="111"/>
    </row>
    <row r="2050" spans="1:5" x14ac:dyDescent="0.2">
      <c r="A2050" s="113">
        <v>36748</v>
      </c>
      <c r="B2050" s="111">
        <f t="shared" ref="B2050:B2113" si="32">VLOOKUP(WEEKNUM(A2050),$D$3:$E$58,2)</f>
        <v>82</v>
      </c>
      <c r="C2050" s="111"/>
      <c r="D2050" s="111"/>
      <c r="E2050" s="111"/>
    </row>
    <row r="2051" spans="1:5" x14ac:dyDescent="0.2">
      <c r="A2051" s="113">
        <v>36749</v>
      </c>
      <c r="B2051" s="111">
        <f t="shared" si="32"/>
        <v>82</v>
      </c>
      <c r="C2051" s="111"/>
      <c r="D2051" s="111"/>
      <c r="E2051" s="111"/>
    </row>
    <row r="2052" spans="1:5" x14ac:dyDescent="0.2">
      <c r="A2052" s="113">
        <v>36750</v>
      </c>
      <c r="B2052" s="111">
        <f t="shared" si="32"/>
        <v>82</v>
      </c>
      <c r="C2052" s="111"/>
      <c r="D2052" s="111"/>
      <c r="E2052" s="111"/>
    </row>
    <row r="2053" spans="1:5" x14ac:dyDescent="0.2">
      <c r="A2053" s="113">
        <v>36751</v>
      </c>
      <c r="B2053" s="111">
        <f t="shared" si="32"/>
        <v>83</v>
      </c>
      <c r="C2053" s="111"/>
      <c r="D2053" s="111"/>
      <c r="E2053" s="111"/>
    </row>
    <row r="2054" spans="1:5" x14ac:dyDescent="0.2">
      <c r="A2054" s="113">
        <v>36752</v>
      </c>
      <c r="B2054" s="111">
        <f t="shared" si="32"/>
        <v>83</v>
      </c>
      <c r="C2054" s="111"/>
      <c r="D2054" s="111"/>
      <c r="E2054" s="111"/>
    </row>
    <row r="2055" spans="1:5" x14ac:dyDescent="0.2">
      <c r="A2055" s="113">
        <v>36753</v>
      </c>
      <c r="B2055" s="111">
        <f t="shared" si="32"/>
        <v>83</v>
      </c>
      <c r="C2055" s="111"/>
      <c r="D2055" s="111"/>
      <c r="E2055" s="111"/>
    </row>
    <row r="2056" spans="1:5" x14ac:dyDescent="0.2">
      <c r="A2056" s="113">
        <v>36754</v>
      </c>
      <c r="B2056" s="111">
        <f t="shared" si="32"/>
        <v>83</v>
      </c>
      <c r="C2056" s="111"/>
      <c r="D2056" s="111"/>
      <c r="E2056" s="111"/>
    </row>
    <row r="2057" spans="1:5" x14ac:dyDescent="0.2">
      <c r="A2057" s="113">
        <v>36755</v>
      </c>
      <c r="B2057" s="111">
        <f t="shared" si="32"/>
        <v>83</v>
      </c>
      <c r="C2057" s="111"/>
      <c r="D2057" s="111"/>
      <c r="E2057" s="111"/>
    </row>
    <row r="2058" spans="1:5" x14ac:dyDescent="0.2">
      <c r="A2058" s="113">
        <v>36756</v>
      </c>
      <c r="B2058" s="111">
        <f t="shared" si="32"/>
        <v>83</v>
      </c>
      <c r="C2058" s="111"/>
      <c r="D2058" s="111"/>
      <c r="E2058" s="111"/>
    </row>
    <row r="2059" spans="1:5" x14ac:dyDescent="0.2">
      <c r="A2059" s="113">
        <v>36757</v>
      </c>
      <c r="B2059" s="111">
        <f t="shared" si="32"/>
        <v>83</v>
      </c>
      <c r="C2059" s="111"/>
      <c r="D2059" s="111"/>
      <c r="E2059" s="111"/>
    </row>
    <row r="2060" spans="1:5" x14ac:dyDescent="0.2">
      <c r="A2060" s="113">
        <v>36758</v>
      </c>
      <c r="B2060" s="111">
        <f t="shared" si="32"/>
        <v>84</v>
      </c>
      <c r="C2060" s="111"/>
      <c r="D2060" s="111"/>
      <c r="E2060" s="111"/>
    </row>
    <row r="2061" spans="1:5" x14ac:dyDescent="0.2">
      <c r="A2061" s="113">
        <v>36759</v>
      </c>
      <c r="B2061" s="111">
        <f t="shared" si="32"/>
        <v>84</v>
      </c>
      <c r="C2061" s="111"/>
      <c r="D2061" s="111"/>
      <c r="E2061" s="111"/>
    </row>
    <row r="2062" spans="1:5" x14ac:dyDescent="0.2">
      <c r="A2062" s="113">
        <v>36760</v>
      </c>
      <c r="B2062" s="111">
        <f t="shared" si="32"/>
        <v>84</v>
      </c>
      <c r="C2062" s="111"/>
      <c r="D2062" s="111"/>
      <c r="E2062" s="111"/>
    </row>
    <row r="2063" spans="1:5" x14ac:dyDescent="0.2">
      <c r="A2063" s="113">
        <v>36761</v>
      </c>
      <c r="B2063" s="111">
        <f t="shared" si="32"/>
        <v>84</v>
      </c>
      <c r="C2063" s="111"/>
      <c r="D2063" s="111"/>
      <c r="E2063" s="111"/>
    </row>
    <row r="2064" spans="1:5" x14ac:dyDescent="0.2">
      <c r="A2064" s="113">
        <v>36762</v>
      </c>
      <c r="B2064" s="111">
        <f t="shared" si="32"/>
        <v>84</v>
      </c>
      <c r="C2064" s="111"/>
      <c r="D2064" s="111"/>
      <c r="E2064" s="111"/>
    </row>
    <row r="2065" spans="1:5" x14ac:dyDescent="0.2">
      <c r="A2065" s="113">
        <v>36763</v>
      </c>
      <c r="B2065" s="111">
        <f t="shared" si="32"/>
        <v>84</v>
      </c>
      <c r="C2065" s="111"/>
      <c r="D2065" s="111"/>
      <c r="E2065" s="111"/>
    </row>
    <row r="2066" spans="1:5" x14ac:dyDescent="0.2">
      <c r="A2066" s="113">
        <v>36764</v>
      </c>
      <c r="B2066" s="111">
        <f t="shared" si="32"/>
        <v>84</v>
      </c>
      <c r="C2066" s="111"/>
      <c r="D2066" s="111"/>
      <c r="E2066" s="111"/>
    </row>
    <row r="2067" spans="1:5" x14ac:dyDescent="0.2">
      <c r="A2067" s="113">
        <v>36765</v>
      </c>
      <c r="B2067" s="111">
        <f t="shared" si="32"/>
        <v>91</v>
      </c>
      <c r="C2067" s="111"/>
      <c r="D2067" s="111"/>
      <c r="E2067" s="111"/>
    </row>
    <row r="2068" spans="1:5" x14ac:dyDescent="0.2">
      <c r="A2068" s="113">
        <v>36766</v>
      </c>
      <c r="B2068" s="111">
        <f t="shared" si="32"/>
        <v>91</v>
      </c>
      <c r="C2068" s="111"/>
      <c r="D2068" s="111"/>
      <c r="E2068" s="111"/>
    </row>
    <row r="2069" spans="1:5" x14ac:dyDescent="0.2">
      <c r="A2069" s="113">
        <v>36767</v>
      </c>
      <c r="B2069" s="111">
        <f t="shared" si="32"/>
        <v>91</v>
      </c>
      <c r="C2069" s="111"/>
      <c r="D2069" s="111"/>
      <c r="E2069" s="111"/>
    </row>
    <row r="2070" spans="1:5" x14ac:dyDescent="0.2">
      <c r="A2070" s="113">
        <v>36768</v>
      </c>
      <c r="B2070" s="111">
        <f t="shared" si="32"/>
        <v>91</v>
      </c>
      <c r="C2070" s="111"/>
      <c r="D2070" s="111"/>
      <c r="E2070" s="111"/>
    </row>
    <row r="2071" spans="1:5" x14ac:dyDescent="0.2">
      <c r="A2071" s="113">
        <v>36769</v>
      </c>
      <c r="B2071" s="111">
        <f t="shared" si="32"/>
        <v>91</v>
      </c>
      <c r="C2071" s="111"/>
      <c r="D2071" s="111"/>
      <c r="E2071" s="111"/>
    </row>
    <row r="2072" spans="1:5" x14ac:dyDescent="0.2">
      <c r="A2072" s="113">
        <v>36770</v>
      </c>
      <c r="B2072" s="111">
        <f t="shared" si="32"/>
        <v>91</v>
      </c>
      <c r="C2072" s="111"/>
      <c r="D2072" s="111"/>
      <c r="E2072" s="111"/>
    </row>
    <row r="2073" spans="1:5" x14ac:dyDescent="0.2">
      <c r="A2073" s="113">
        <v>36771</v>
      </c>
      <c r="B2073" s="111">
        <f t="shared" si="32"/>
        <v>91</v>
      </c>
      <c r="C2073" s="111"/>
      <c r="D2073" s="111"/>
      <c r="E2073" s="111"/>
    </row>
    <row r="2074" spans="1:5" x14ac:dyDescent="0.2">
      <c r="A2074" s="113">
        <v>36772</v>
      </c>
      <c r="B2074" s="111">
        <f t="shared" si="32"/>
        <v>92</v>
      </c>
      <c r="C2074" s="111"/>
      <c r="D2074" s="111"/>
      <c r="E2074" s="111"/>
    </row>
    <row r="2075" spans="1:5" x14ac:dyDescent="0.2">
      <c r="A2075" s="113">
        <v>36773</v>
      </c>
      <c r="B2075" s="111">
        <f t="shared" si="32"/>
        <v>92</v>
      </c>
      <c r="C2075" s="111"/>
      <c r="D2075" s="111"/>
      <c r="E2075" s="111"/>
    </row>
    <row r="2076" spans="1:5" x14ac:dyDescent="0.2">
      <c r="A2076" s="113">
        <v>36774</v>
      </c>
      <c r="B2076" s="111">
        <f t="shared" si="32"/>
        <v>92</v>
      </c>
      <c r="C2076" s="111"/>
      <c r="D2076" s="111"/>
      <c r="E2076" s="111"/>
    </row>
    <row r="2077" spans="1:5" x14ac:dyDescent="0.2">
      <c r="A2077" s="113">
        <v>36775</v>
      </c>
      <c r="B2077" s="111">
        <f t="shared" si="32"/>
        <v>92</v>
      </c>
      <c r="C2077" s="111"/>
      <c r="D2077" s="111"/>
      <c r="E2077" s="111"/>
    </row>
    <row r="2078" spans="1:5" x14ac:dyDescent="0.2">
      <c r="A2078" s="113">
        <v>36776</v>
      </c>
      <c r="B2078" s="111">
        <f t="shared" si="32"/>
        <v>92</v>
      </c>
      <c r="C2078" s="111"/>
      <c r="D2078" s="111"/>
      <c r="E2078" s="111"/>
    </row>
    <row r="2079" spans="1:5" x14ac:dyDescent="0.2">
      <c r="A2079" s="113">
        <v>36777</v>
      </c>
      <c r="B2079" s="111">
        <f t="shared" si="32"/>
        <v>92</v>
      </c>
      <c r="C2079" s="111"/>
      <c r="D2079" s="111"/>
      <c r="E2079" s="111"/>
    </row>
    <row r="2080" spans="1:5" x14ac:dyDescent="0.2">
      <c r="A2080" s="113">
        <v>36778</v>
      </c>
      <c r="B2080" s="111">
        <f t="shared" si="32"/>
        <v>92</v>
      </c>
      <c r="C2080" s="111"/>
      <c r="D2080" s="111"/>
      <c r="E2080" s="111"/>
    </row>
    <row r="2081" spans="1:5" x14ac:dyDescent="0.2">
      <c r="A2081" s="113">
        <v>36779</v>
      </c>
      <c r="B2081" s="111">
        <f t="shared" si="32"/>
        <v>93</v>
      </c>
      <c r="C2081" s="111"/>
      <c r="D2081" s="111"/>
      <c r="E2081" s="111"/>
    </row>
    <row r="2082" spans="1:5" x14ac:dyDescent="0.2">
      <c r="A2082" s="113">
        <v>36780</v>
      </c>
      <c r="B2082" s="111">
        <f t="shared" si="32"/>
        <v>93</v>
      </c>
      <c r="C2082" s="111"/>
      <c r="D2082" s="111"/>
      <c r="E2082" s="111"/>
    </row>
    <row r="2083" spans="1:5" x14ac:dyDescent="0.2">
      <c r="A2083" s="113">
        <v>36781</v>
      </c>
      <c r="B2083" s="111">
        <f t="shared" si="32"/>
        <v>93</v>
      </c>
      <c r="C2083" s="111"/>
      <c r="D2083" s="111"/>
      <c r="E2083" s="111"/>
    </row>
    <row r="2084" spans="1:5" x14ac:dyDescent="0.2">
      <c r="A2084" s="113">
        <v>36782</v>
      </c>
      <c r="B2084" s="111">
        <f t="shared" si="32"/>
        <v>93</v>
      </c>
      <c r="C2084" s="111"/>
      <c r="D2084" s="111"/>
      <c r="E2084" s="111"/>
    </row>
    <row r="2085" spans="1:5" x14ac:dyDescent="0.2">
      <c r="A2085" s="113">
        <v>36783</v>
      </c>
      <c r="B2085" s="111">
        <f t="shared" si="32"/>
        <v>93</v>
      </c>
      <c r="C2085" s="111"/>
      <c r="D2085" s="111"/>
      <c r="E2085" s="111"/>
    </row>
    <row r="2086" spans="1:5" x14ac:dyDescent="0.2">
      <c r="A2086" s="113">
        <v>36784</v>
      </c>
      <c r="B2086" s="111">
        <f t="shared" si="32"/>
        <v>93</v>
      </c>
      <c r="C2086" s="111"/>
      <c r="D2086" s="111"/>
      <c r="E2086" s="111"/>
    </row>
    <row r="2087" spans="1:5" x14ac:dyDescent="0.2">
      <c r="A2087" s="113">
        <v>36785</v>
      </c>
      <c r="B2087" s="111">
        <f t="shared" si="32"/>
        <v>93</v>
      </c>
      <c r="C2087" s="111"/>
      <c r="D2087" s="111"/>
      <c r="E2087" s="111"/>
    </row>
    <row r="2088" spans="1:5" x14ac:dyDescent="0.2">
      <c r="A2088" s="113">
        <v>36786</v>
      </c>
      <c r="B2088" s="111">
        <f t="shared" si="32"/>
        <v>94</v>
      </c>
      <c r="C2088" s="111"/>
      <c r="D2088" s="111"/>
      <c r="E2088" s="111"/>
    </row>
    <row r="2089" spans="1:5" x14ac:dyDescent="0.2">
      <c r="A2089" s="113">
        <v>36787</v>
      </c>
      <c r="B2089" s="111">
        <f t="shared" si="32"/>
        <v>94</v>
      </c>
      <c r="C2089" s="111"/>
      <c r="D2089" s="111"/>
      <c r="E2089" s="111"/>
    </row>
    <row r="2090" spans="1:5" x14ac:dyDescent="0.2">
      <c r="A2090" s="113">
        <v>36788</v>
      </c>
      <c r="B2090" s="111">
        <f t="shared" si="32"/>
        <v>94</v>
      </c>
      <c r="C2090" s="111"/>
      <c r="D2090" s="111"/>
      <c r="E2090" s="111"/>
    </row>
    <row r="2091" spans="1:5" x14ac:dyDescent="0.2">
      <c r="A2091" s="113">
        <v>36789</v>
      </c>
      <c r="B2091" s="111">
        <f t="shared" si="32"/>
        <v>94</v>
      </c>
      <c r="C2091" s="111"/>
      <c r="D2091" s="111"/>
      <c r="E2091" s="111"/>
    </row>
    <row r="2092" spans="1:5" x14ac:dyDescent="0.2">
      <c r="A2092" s="113">
        <v>36790</v>
      </c>
      <c r="B2092" s="111">
        <f t="shared" si="32"/>
        <v>94</v>
      </c>
      <c r="C2092" s="111"/>
      <c r="D2092" s="111"/>
      <c r="E2092" s="111"/>
    </row>
    <row r="2093" spans="1:5" x14ac:dyDescent="0.2">
      <c r="A2093" s="113">
        <v>36791</v>
      </c>
      <c r="B2093" s="111">
        <f t="shared" si="32"/>
        <v>94</v>
      </c>
      <c r="C2093" s="111"/>
      <c r="D2093" s="111"/>
      <c r="E2093" s="111"/>
    </row>
    <row r="2094" spans="1:5" x14ac:dyDescent="0.2">
      <c r="A2094" s="113">
        <v>36792</v>
      </c>
      <c r="B2094" s="111">
        <f t="shared" si="32"/>
        <v>94</v>
      </c>
      <c r="C2094" s="111"/>
      <c r="D2094" s="111"/>
      <c r="E2094" s="111"/>
    </row>
    <row r="2095" spans="1:5" x14ac:dyDescent="0.2">
      <c r="A2095" s="113">
        <v>36793</v>
      </c>
      <c r="B2095" s="111">
        <f t="shared" si="32"/>
        <v>101</v>
      </c>
      <c r="C2095" s="111"/>
      <c r="D2095" s="111"/>
      <c r="E2095" s="111"/>
    </row>
    <row r="2096" spans="1:5" x14ac:dyDescent="0.2">
      <c r="A2096" s="113">
        <v>36794</v>
      </c>
      <c r="B2096" s="111">
        <f t="shared" si="32"/>
        <v>101</v>
      </c>
      <c r="C2096" s="111"/>
      <c r="D2096" s="111"/>
      <c r="E2096" s="111"/>
    </row>
    <row r="2097" spans="1:5" x14ac:dyDescent="0.2">
      <c r="A2097" s="113">
        <v>36795</v>
      </c>
      <c r="B2097" s="111">
        <f t="shared" si="32"/>
        <v>101</v>
      </c>
      <c r="C2097" s="111"/>
      <c r="D2097" s="111"/>
      <c r="E2097" s="111"/>
    </row>
    <row r="2098" spans="1:5" x14ac:dyDescent="0.2">
      <c r="A2098" s="113">
        <v>36796</v>
      </c>
      <c r="B2098" s="111">
        <f t="shared" si="32"/>
        <v>101</v>
      </c>
      <c r="C2098" s="111"/>
      <c r="D2098" s="111"/>
      <c r="E2098" s="111"/>
    </row>
    <row r="2099" spans="1:5" x14ac:dyDescent="0.2">
      <c r="A2099" s="113">
        <v>36797</v>
      </c>
      <c r="B2099" s="111">
        <f t="shared" si="32"/>
        <v>101</v>
      </c>
      <c r="C2099" s="111"/>
      <c r="D2099" s="111"/>
      <c r="E2099" s="111"/>
    </row>
    <row r="2100" spans="1:5" x14ac:dyDescent="0.2">
      <c r="A2100" s="113">
        <v>36798</v>
      </c>
      <c r="B2100" s="111">
        <f t="shared" si="32"/>
        <v>101</v>
      </c>
      <c r="C2100" s="111"/>
      <c r="D2100" s="111"/>
      <c r="E2100" s="111"/>
    </row>
    <row r="2101" spans="1:5" x14ac:dyDescent="0.2">
      <c r="A2101" s="113">
        <v>36799</v>
      </c>
      <c r="B2101" s="111">
        <f t="shared" si="32"/>
        <v>101</v>
      </c>
      <c r="C2101" s="111"/>
      <c r="D2101" s="111"/>
      <c r="E2101" s="111"/>
    </row>
    <row r="2102" spans="1:5" x14ac:dyDescent="0.2">
      <c r="A2102" s="113">
        <v>36800</v>
      </c>
      <c r="B2102" s="111">
        <f t="shared" si="32"/>
        <v>102</v>
      </c>
      <c r="C2102" s="111"/>
      <c r="D2102" s="111"/>
      <c r="E2102" s="111"/>
    </row>
    <row r="2103" spans="1:5" x14ac:dyDescent="0.2">
      <c r="A2103" s="113">
        <v>36801</v>
      </c>
      <c r="B2103" s="111">
        <f t="shared" si="32"/>
        <v>102</v>
      </c>
      <c r="C2103" s="111"/>
      <c r="D2103" s="111"/>
      <c r="E2103" s="111"/>
    </row>
    <row r="2104" spans="1:5" x14ac:dyDescent="0.2">
      <c r="A2104" s="113">
        <v>36802</v>
      </c>
      <c r="B2104" s="111">
        <f t="shared" si="32"/>
        <v>102</v>
      </c>
      <c r="C2104" s="111"/>
      <c r="D2104" s="111"/>
      <c r="E2104" s="111"/>
    </row>
    <row r="2105" spans="1:5" x14ac:dyDescent="0.2">
      <c r="A2105" s="113">
        <v>36803</v>
      </c>
      <c r="B2105" s="111">
        <f t="shared" si="32"/>
        <v>102</v>
      </c>
      <c r="C2105" s="111"/>
      <c r="D2105" s="111"/>
      <c r="E2105" s="111"/>
    </row>
    <row r="2106" spans="1:5" x14ac:dyDescent="0.2">
      <c r="A2106" s="113">
        <v>36804</v>
      </c>
      <c r="B2106" s="111">
        <f t="shared" si="32"/>
        <v>102</v>
      </c>
      <c r="C2106" s="111"/>
      <c r="D2106" s="111"/>
      <c r="E2106" s="111"/>
    </row>
    <row r="2107" spans="1:5" x14ac:dyDescent="0.2">
      <c r="A2107" s="113">
        <v>36805</v>
      </c>
      <c r="B2107" s="111">
        <f t="shared" si="32"/>
        <v>102</v>
      </c>
      <c r="C2107" s="111"/>
      <c r="D2107" s="111"/>
      <c r="E2107" s="111"/>
    </row>
    <row r="2108" spans="1:5" x14ac:dyDescent="0.2">
      <c r="A2108" s="113">
        <v>36806</v>
      </c>
      <c r="B2108" s="111">
        <f t="shared" si="32"/>
        <v>102</v>
      </c>
      <c r="C2108" s="111"/>
      <c r="D2108" s="111"/>
      <c r="E2108" s="111"/>
    </row>
    <row r="2109" spans="1:5" x14ac:dyDescent="0.2">
      <c r="A2109" s="113">
        <v>36807</v>
      </c>
      <c r="B2109" s="111">
        <f t="shared" si="32"/>
        <v>103</v>
      </c>
      <c r="C2109" s="111"/>
      <c r="D2109" s="111"/>
      <c r="E2109" s="111"/>
    </row>
    <row r="2110" spans="1:5" x14ac:dyDescent="0.2">
      <c r="A2110" s="113">
        <v>36808</v>
      </c>
      <c r="B2110" s="111">
        <f t="shared" si="32"/>
        <v>103</v>
      </c>
      <c r="C2110" s="111"/>
      <c r="D2110" s="111"/>
      <c r="E2110" s="111"/>
    </row>
    <row r="2111" spans="1:5" x14ac:dyDescent="0.2">
      <c r="A2111" s="113">
        <v>36809</v>
      </c>
      <c r="B2111" s="111">
        <f t="shared" si="32"/>
        <v>103</v>
      </c>
      <c r="C2111" s="111"/>
      <c r="D2111" s="111"/>
      <c r="E2111" s="111"/>
    </row>
    <row r="2112" spans="1:5" x14ac:dyDescent="0.2">
      <c r="A2112" s="113">
        <v>36810</v>
      </c>
      <c r="B2112" s="111">
        <f t="shared" si="32"/>
        <v>103</v>
      </c>
      <c r="C2112" s="111"/>
      <c r="D2112" s="111"/>
      <c r="E2112" s="111"/>
    </row>
    <row r="2113" spans="1:5" x14ac:dyDescent="0.2">
      <c r="A2113" s="113">
        <v>36811</v>
      </c>
      <c r="B2113" s="111">
        <f t="shared" si="32"/>
        <v>103</v>
      </c>
      <c r="C2113" s="111"/>
      <c r="D2113" s="111"/>
      <c r="E2113" s="111"/>
    </row>
    <row r="2114" spans="1:5" x14ac:dyDescent="0.2">
      <c r="A2114" s="113">
        <v>36812</v>
      </c>
      <c r="B2114" s="111">
        <f t="shared" ref="B2114:B2177" si="33">VLOOKUP(WEEKNUM(A2114),$D$3:$E$58,2)</f>
        <v>103</v>
      </c>
      <c r="C2114" s="111"/>
      <c r="D2114" s="111"/>
      <c r="E2114" s="111"/>
    </row>
    <row r="2115" spans="1:5" x14ac:dyDescent="0.2">
      <c r="A2115" s="113">
        <v>36813</v>
      </c>
      <c r="B2115" s="111">
        <f t="shared" si="33"/>
        <v>103</v>
      </c>
      <c r="C2115" s="111"/>
      <c r="D2115" s="111"/>
      <c r="E2115" s="111"/>
    </row>
    <row r="2116" spans="1:5" x14ac:dyDescent="0.2">
      <c r="A2116" s="113">
        <v>36814</v>
      </c>
      <c r="B2116" s="111">
        <f t="shared" si="33"/>
        <v>104</v>
      </c>
      <c r="C2116" s="111"/>
      <c r="D2116" s="111"/>
      <c r="E2116" s="111"/>
    </row>
    <row r="2117" spans="1:5" x14ac:dyDescent="0.2">
      <c r="A2117" s="113">
        <v>36815</v>
      </c>
      <c r="B2117" s="111">
        <f t="shared" si="33"/>
        <v>104</v>
      </c>
      <c r="C2117" s="111"/>
      <c r="D2117" s="111"/>
      <c r="E2117" s="111"/>
    </row>
    <row r="2118" spans="1:5" x14ac:dyDescent="0.2">
      <c r="A2118" s="113">
        <v>36816</v>
      </c>
      <c r="B2118" s="111">
        <f t="shared" si="33"/>
        <v>104</v>
      </c>
      <c r="C2118" s="111"/>
      <c r="D2118" s="111"/>
      <c r="E2118" s="111"/>
    </row>
    <row r="2119" spans="1:5" x14ac:dyDescent="0.2">
      <c r="A2119" s="113">
        <v>36817</v>
      </c>
      <c r="B2119" s="111">
        <f t="shared" si="33"/>
        <v>104</v>
      </c>
      <c r="C2119" s="111"/>
      <c r="D2119" s="111"/>
      <c r="E2119" s="111"/>
    </row>
    <row r="2120" spans="1:5" x14ac:dyDescent="0.2">
      <c r="A2120" s="113">
        <v>36818</v>
      </c>
      <c r="B2120" s="111">
        <f t="shared" si="33"/>
        <v>104</v>
      </c>
      <c r="C2120" s="111"/>
      <c r="D2120" s="111"/>
      <c r="E2120" s="111"/>
    </row>
    <row r="2121" spans="1:5" x14ac:dyDescent="0.2">
      <c r="A2121" s="113">
        <v>36819</v>
      </c>
      <c r="B2121" s="111">
        <f t="shared" si="33"/>
        <v>104</v>
      </c>
      <c r="C2121" s="111"/>
      <c r="D2121" s="111"/>
      <c r="E2121" s="111"/>
    </row>
    <row r="2122" spans="1:5" x14ac:dyDescent="0.2">
      <c r="A2122" s="113">
        <v>36820</v>
      </c>
      <c r="B2122" s="111">
        <f t="shared" si="33"/>
        <v>104</v>
      </c>
      <c r="C2122" s="111"/>
      <c r="D2122" s="111"/>
      <c r="E2122" s="111"/>
    </row>
    <row r="2123" spans="1:5" x14ac:dyDescent="0.2">
      <c r="A2123" s="113">
        <v>36821</v>
      </c>
      <c r="B2123" s="111">
        <f t="shared" si="33"/>
        <v>105</v>
      </c>
      <c r="C2123" s="111"/>
      <c r="D2123" s="111"/>
      <c r="E2123" s="111"/>
    </row>
    <row r="2124" spans="1:5" x14ac:dyDescent="0.2">
      <c r="A2124" s="113">
        <v>36822</v>
      </c>
      <c r="B2124" s="111">
        <f t="shared" si="33"/>
        <v>105</v>
      </c>
      <c r="C2124" s="111"/>
      <c r="D2124" s="111"/>
      <c r="E2124" s="111"/>
    </row>
    <row r="2125" spans="1:5" x14ac:dyDescent="0.2">
      <c r="A2125" s="113">
        <v>36823</v>
      </c>
      <c r="B2125" s="111">
        <f t="shared" si="33"/>
        <v>105</v>
      </c>
      <c r="C2125" s="111"/>
      <c r="D2125" s="111"/>
      <c r="E2125" s="111"/>
    </row>
    <row r="2126" spans="1:5" x14ac:dyDescent="0.2">
      <c r="A2126" s="113">
        <v>36824</v>
      </c>
      <c r="B2126" s="111">
        <f t="shared" si="33"/>
        <v>105</v>
      </c>
      <c r="C2126" s="111"/>
      <c r="D2126" s="111"/>
      <c r="E2126" s="111"/>
    </row>
    <row r="2127" spans="1:5" x14ac:dyDescent="0.2">
      <c r="A2127" s="113">
        <v>36825</v>
      </c>
      <c r="B2127" s="111">
        <f t="shared" si="33"/>
        <v>105</v>
      </c>
      <c r="C2127" s="111"/>
      <c r="D2127" s="111"/>
      <c r="E2127" s="111"/>
    </row>
    <row r="2128" spans="1:5" x14ac:dyDescent="0.2">
      <c r="A2128" s="113">
        <v>36826</v>
      </c>
      <c r="B2128" s="111">
        <f t="shared" si="33"/>
        <v>105</v>
      </c>
      <c r="C2128" s="111"/>
      <c r="D2128" s="111"/>
      <c r="E2128" s="111"/>
    </row>
    <row r="2129" spans="1:5" x14ac:dyDescent="0.2">
      <c r="A2129" s="113">
        <v>36827</v>
      </c>
      <c r="B2129" s="111">
        <f t="shared" si="33"/>
        <v>105</v>
      </c>
      <c r="C2129" s="111"/>
      <c r="D2129" s="111"/>
      <c r="E2129" s="111"/>
    </row>
    <row r="2130" spans="1:5" x14ac:dyDescent="0.2">
      <c r="A2130" s="113">
        <v>36828</v>
      </c>
      <c r="B2130" s="111">
        <f t="shared" si="33"/>
        <v>111</v>
      </c>
      <c r="C2130" s="111"/>
      <c r="D2130" s="111"/>
      <c r="E2130" s="111"/>
    </row>
    <row r="2131" spans="1:5" x14ac:dyDescent="0.2">
      <c r="A2131" s="113">
        <v>36829</v>
      </c>
      <c r="B2131" s="111">
        <f t="shared" si="33"/>
        <v>111</v>
      </c>
      <c r="C2131" s="111"/>
      <c r="D2131" s="111"/>
      <c r="E2131" s="111"/>
    </row>
    <row r="2132" spans="1:5" x14ac:dyDescent="0.2">
      <c r="A2132" s="113">
        <v>36830</v>
      </c>
      <c r="B2132" s="111">
        <f t="shared" si="33"/>
        <v>111</v>
      </c>
      <c r="C2132" s="111"/>
      <c r="D2132" s="111"/>
      <c r="E2132" s="111"/>
    </row>
    <row r="2133" spans="1:5" x14ac:dyDescent="0.2">
      <c r="A2133" s="113">
        <v>36831</v>
      </c>
      <c r="B2133" s="111">
        <f t="shared" si="33"/>
        <v>111</v>
      </c>
      <c r="C2133" s="111"/>
      <c r="D2133" s="111"/>
      <c r="E2133" s="111"/>
    </row>
    <row r="2134" spans="1:5" x14ac:dyDescent="0.2">
      <c r="A2134" s="113">
        <v>36832</v>
      </c>
      <c r="B2134" s="111">
        <f t="shared" si="33"/>
        <v>111</v>
      </c>
      <c r="C2134" s="111"/>
      <c r="D2134" s="111"/>
      <c r="E2134" s="111"/>
    </row>
    <row r="2135" spans="1:5" x14ac:dyDescent="0.2">
      <c r="A2135" s="113">
        <v>36833</v>
      </c>
      <c r="B2135" s="111">
        <f t="shared" si="33"/>
        <v>111</v>
      </c>
      <c r="C2135" s="111"/>
      <c r="D2135" s="111"/>
      <c r="E2135" s="111"/>
    </row>
    <row r="2136" spans="1:5" x14ac:dyDescent="0.2">
      <c r="A2136" s="113">
        <v>36834</v>
      </c>
      <c r="B2136" s="111">
        <f t="shared" si="33"/>
        <v>111</v>
      </c>
      <c r="C2136" s="111"/>
      <c r="D2136" s="111"/>
      <c r="E2136" s="111"/>
    </row>
    <row r="2137" spans="1:5" x14ac:dyDescent="0.2">
      <c r="A2137" s="113">
        <v>36835</v>
      </c>
      <c r="B2137" s="111">
        <f t="shared" si="33"/>
        <v>112</v>
      </c>
      <c r="C2137" s="111"/>
      <c r="D2137" s="111"/>
      <c r="E2137" s="111"/>
    </row>
    <row r="2138" spans="1:5" x14ac:dyDescent="0.2">
      <c r="A2138" s="113">
        <v>36836</v>
      </c>
      <c r="B2138" s="111">
        <f t="shared" si="33"/>
        <v>112</v>
      </c>
      <c r="C2138" s="111"/>
      <c r="D2138" s="111"/>
      <c r="E2138" s="111"/>
    </row>
    <row r="2139" spans="1:5" x14ac:dyDescent="0.2">
      <c r="A2139" s="113">
        <v>36837</v>
      </c>
      <c r="B2139" s="111">
        <f t="shared" si="33"/>
        <v>112</v>
      </c>
      <c r="C2139" s="111"/>
      <c r="D2139" s="111"/>
      <c r="E2139" s="111"/>
    </row>
    <row r="2140" spans="1:5" x14ac:dyDescent="0.2">
      <c r="A2140" s="113">
        <v>36838</v>
      </c>
      <c r="B2140" s="111">
        <f t="shared" si="33"/>
        <v>112</v>
      </c>
      <c r="C2140" s="111"/>
      <c r="D2140" s="111"/>
      <c r="E2140" s="111"/>
    </row>
    <row r="2141" spans="1:5" x14ac:dyDescent="0.2">
      <c r="A2141" s="113">
        <v>36839</v>
      </c>
      <c r="B2141" s="111">
        <f t="shared" si="33"/>
        <v>112</v>
      </c>
      <c r="C2141" s="111"/>
      <c r="D2141" s="111"/>
      <c r="E2141" s="111"/>
    </row>
    <row r="2142" spans="1:5" x14ac:dyDescent="0.2">
      <c r="A2142" s="113">
        <v>36840</v>
      </c>
      <c r="B2142" s="111">
        <f t="shared" si="33"/>
        <v>112</v>
      </c>
      <c r="C2142" s="111"/>
      <c r="D2142" s="111"/>
      <c r="E2142" s="111"/>
    </row>
    <row r="2143" spans="1:5" x14ac:dyDescent="0.2">
      <c r="A2143" s="113">
        <v>36841</v>
      </c>
      <c r="B2143" s="111">
        <f t="shared" si="33"/>
        <v>112</v>
      </c>
      <c r="C2143" s="111"/>
      <c r="D2143" s="111"/>
      <c r="E2143" s="111"/>
    </row>
    <row r="2144" spans="1:5" x14ac:dyDescent="0.2">
      <c r="A2144" s="113">
        <v>36842</v>
      </c>
      <c r="B2144" s="111">
        <f t="shared" si="33"/>
        <v>113</v>
      </c>
      <c r="C2144" s="111"/>
      <c r="D2144" s="111"/>
      <c r="E2144" s="111"/>
    </row>
    <row r="2145" spans="1:5" x14ac:dyDescent="0.2">
      <c r="A2145" s="113">
        <v>36843</v>
      </c>
      <c r="B2145" s="111">
        <f t="shared" si="33"/>
        <v>113</v>
      </c>
      <c r="C2145" s="111"/>
      <c r="D2145" s="111"/>
      <c r="E2145" s="111"/>
    </row>
    <row r="2146" spans="1:5" x14ac:dyDescent="0.2">
      <c r="A2146" s="113">
        <v>36844</v>
      </c>
      <c r="B2146" s="111">
        <f t="shared" si="33"/>
        <v>113</v>
      </c>
      <c r="C2146" s="111"/>
      <c r="D2146" s="111"/>
      <c r="E2146" s="111"/>
    </row>
    <row r="2147" spans="1:5" x14ac:dyDescent="0.2">
      <c r="A2147" s="113">
        <v>36845</v>
      </c>
      <c r="B2147" s="111">
        <f t="shared" si="33"/>
        <v>113</v>
      </c>
      <c r="C2147" s="111"/>
      <c r="D2147" s="111"/>
      <c r="E2147" s="111"/>
    </row>
    <row r="2148" spans="1:5" x14ac:dyDescent="0.2">
      <c r="A2148" s="113">
        <v>36846</v>
      </c>
      <c r="B2148" s="111">
        <f t="shared" si="33"/>
        <v>113</v>
      </c>
      <c r="C2148" s="111"/>
      <c r="D2148" s="111"/>
      <c r="E2148" s="111"/>
    </row>
    <row r="2149" spans="1:5" x14ac:dyDescent="0.2">
      <c r="A2149" s="113">
        <v>36847</v>
      </c>
      <c r="B2149" s="111">
        <f t="shared" si="33"/>
        <v>113</v>
      </c>
      <c r="C2149" s="111"/>
      <c r="D2149" s="111"/>
      <c r="E2149" s="111"/>
    </row>
    <row r="2150" spans="1:5" x14ac:dyDescent="0.2">
      <c r="A2150" s="113">
        <v>36848</v>
      </c>
      <c r="B2150" s="111">
        <f t="shared" si="33"/>
        <v>113</v>
      </c>
      <c r="C2150" s="111"/>
      <c r="D2150" s="111"/>
      <c r="E2150" s="111"/>
    </row>
    <row r="2151" spans="1:5" x14ac:dyDescent="0.2">
      <c r="A2151" s="113">
        <v>36849</v>
      </c>
      <c r="B2151" s="111">
        <f t="shared" si="33"/>
        <v>114</v>
      </c>
      <c r="C2151" s="111"/>
      <c r="D2151" s="111"/>
      <c r="E2151" s="111"/>
    </row>
    <row r="2152" spans="1:5" x14ac:dyDescent="0.2">
      <c r="A2152" s="113">
        <v>36850</v>
      </c>
      <c r="B2152" s="111">
        <f t="shared" si="33"/>
        <v>114</v>
      </c>
      <c r="C2152" s="111"/>
      <c r="D2152" s="111"/>
      <c r="E2152" s="111"/>
    </row>
    <row r="2153" spans="1:5" x14ac:dyDescent="0.2">
      <c r="A2153" s="113">
        <v>36851</v>
      </c>
      <c r="B2153" s="111">
        <f t="shared" si="33"/>
        <v>114</v>
      </c>
      <c r="C2153" s="111"/>
      <c r="D2153" s="111"/>
      <c r="E2153" s="111"/>
    </row>
    <row r="2154" spans="1:5" x14ac:dyDescent="0.2">
      <c r="A2154" s="113">
        <v>36852</v>
      </c>
      <c r="B2154" s="111">
        <f t="shared" si="33"/>
        <v>114</v>
      </c>
      <c r="C2154" s="111"/>
      <c r="D2154" s="111"/>
      <c r="E2154" s="111"/>
    </row>
    <row r="2155" spans="1:5" x14ac:dyDescent="0.2">
      <c r="A2155" s="113">
        <v>36853</v>
      </c>
      <c r="B2155" s="111">
        <f t="shared" si="33"/>
        <v>114</v>
      </c>
      <c r="C2155" s="111"/>
      <c r="D2155" s="111"/>
      <c r="E2155" s="111"/>
    </row>
    <row r="2156" spans="1:5" x14ac:dyDescent="0.2">
      <c r="A2156" s="113">
        <v>36854</v>
      </c>
      <c r="B2156" s="111">
        <f t="shared" si="33"/>
        <v>114</v>
      </c>
      <c r="C2156" s="111"/>
      <c r="D2156" s="111"/>
      <c r="E2156" s="111"/>
    </row>
    <row r="2157" spans="1:5" x14ac:dyDescent="0.2">
      <c r="A2157" s="113">
        <v>36855</v>
      </c>
      <c r="B2157" s="111">
        <f t="shared" si="33"/>
        <v>114</v>
      </c>
      <c r="C2157" s="111"/>
      <c r="D2157" s="111"/>
      <c r="E2157" s="111"/>
    </row>
    <row r="2158" spans="1:5" x14ac:dyDescent="0.2">
      <c r="A2158" s="113">
        <v>36856</v>
      </c>
      <c r="B2158" s="111">
        <f t="shared" si="33"/>
        <v>115</v>
      </c>
      <c r="C2158" s="111"/>
      <c r="D2158" s="111"/>
      <c r="E2158" s="111"/>
    </row>
    <row r="2159" spans="1:5" x14ac:dyDescent="0.2">
      <c r="A2159" s="113">
        <v>36857</v>
      </c>
      <c r="B2159" s="111">
        <f t="shared" si="33"/>
        <v>115</v>
      </c>
      <c r="C2159" s="111"/>
      <c r="D2159" s="111"/>
      <c r="E2159" s="111"/>
    </row>
    <row r="2160" spans="1:5" x14ac:dyDescent="0.2">
      <c r="A2160" s="113">
        <v>36858</v>
      </c>
      <c r="B2160" s="111">
        <f t="shared" si="33"/>
        <v>115</v>
      </c>
      <c r="C2160" s="111"/>
      <c r="D2160" s="111"/>
      <c r="E2160" s="111"/>
    </row>
    <row r="2161" spans="1:5" x14ac:dyDescent="0.2">
      <c r="A2161" s="113">
        <v>36859</v>
      </c>
      <c r="B2161" s="111">
        <f t="shared" si="33"/>
        <v>115</v>
      </c>
      <c r="C2161" s="111"/>
      <c r="D2161" s="111"/>
      <c r="E2161" s="111"/>
    </row>
    <row r="2162" spans="1:5" x14ac:dyDescent="0.2">
      <c r="A2162" s="113">
        <v>36860</v>
      </c>
      <c r="B2162" s="111">
        <f t="shared" si="33"/>
        <v>115</v>
      </c>
      <c r="C2162" s="111"/>
      <c r="D2162" s="111"/>
      <c r="E2162" s="111"/>
    </row>
    <row r="2163" spans="1:5" x14ac:dyDescent="0.2">
      <c r="A2163" s="113">
        <v>36861</v>
      </c>
      <c r="B2163" s="111">
        <f t="shared" si="33"/>
        <v>115</v>
      </c>
      <c r="C2163" s="111"/>
      <c r="D2163" s="111"/>
      <c r="E2163" s="111"/>
    </row>
    <row r="2164" spans="1:5" x14ac:dyDescent="0.2">
      <c r="A2164" s="113">
        <v>36862</v>
      </c>
      <c r="B2164" s="111">
        <f t="shared" si="33"/>
        <v>115</v>
      </c>
      <c r="C2164" s="111"/>
      <c r="D2164" s="111"/>
      <c r="E2164" s="111"/>
    </row>
    <row r="2165" spans="1:5" x14ac:dyDescent="0.2">
      <c r="A2165" s="113">
        <v>36863</v>
      </c>
      <c r="B2165" s="111">
        <f t="shared" si="33"/>
        <v>121</v>
      </c>
      <c r="C2165" s="111"/>
      <c r="D2165" s="111"/>
      <c r="E2165" s="111"/>
    </row>
    <row r="2166" spans="1:5" x14ac:dyDescent="0.2">
      <c r="A2166" s="113">
        <v>36864</v>
      </c>
      <c r="B2166" s="111">
        <f t="shared" si="33"/>
        <v>121</v>
      </c>
      <c r="C2166" s="111"/>
      <c r="D2166" s="111"/>
      <c r="E2166" s="111"/>
    </row>
    <row r="2167" spans="1:5" x14ac:dyDescent="0.2">
      <c r="A2167" s="113">
        <v>36865</v>
      </c>
      <c r="B2167" s="111">
        <f t="shared" si="33"/>
        <v>121</v>
      </c>
      <c r="C2167" s="111"/>
      <c r="D2167" s="111"/>
      <c r="E2167" s="111"/>
    </row>
    <row r="2168" spans="1:5" x14ac:dyDescent="0.2">
      <c r="A2168" s="113">
        <v>36866</v>
      </c>
      <c r="B2168" s="111">
        <f t="shared" si="33"/>
        <v>121</v>
      </c>
      <c r="C2168" s="111"/>
      <c r="D2168" s="111"/>
      <c r="E2168" s="111"/>
    </row>
    <row r="2169" spans="1:5" x14ac:dyDescent="0.2">
      <c r="A2169" s="113">
        <v>36867</v>
      </c>
      <c r="B2169" s="111">
        <f t="shared" si="33"/>
        <v>121</v>
      </c>
      <c r="C2169" s="111"/>
      <c r="D2169" s="111"/>
      <c r="E2169" s="111"/>
    </row>
    <row r="2170" spans="1:5" x14ac:dyDescent="0.2">
      <c r="A2170" s="113">
        <v>36868</v>
      </c>
      <c r="B2170" s="111">
        <f t="shared" si="33"/>
        <v>121</v>
      </c>
      <c r="C2170" s="111"/>
      <c r="D2170" s="111"/>
      <c r="E2170" s="111"/>
    </row>
    <row r="2171" spans="1:5" x14ac:dyDescent="0.2">
      <c r="A2171" s="113">
        <v>36869</v>
      </c>
      <c r="B2171" s="111">
        <f t="shared" si="33"/>
        <v>121</v>
      </c>
      <c r="C2171" s="111"/>
      <c r="D2171" s="111"/>
      <c r="E2171" s="111"/>
    </row>
    <row r="2172" spans="1:5" x14ac:dyDescent="0.2">
      <c r="A2172" s="113">
        <v>36870</v>
      </c>
      <c r="B2172" s="111">
        <f t="shared" si="33"/>
        <v>122</v>
      </c>
      <c r="C2172" s="111"/>
      <c r="D2172" s="111"/>
      <c r="E2172" s="111"/>
    </row>
    <row r="2173" spans="1:5" x14ac:dyDescent="0.2">
      <c r="A2173" s="113">
        <v>36871</v>
      </c>
      <c r="B2173" s="111">
        <f t="shared" si="33"/>
        <v>122</v>
      </c>
      <c r="C2173" s="111"/>
      <c r="D2173" s="111"/>
      <c r="E2173" s="111"/>
    </row>
    <row r="2174" spans="1:5" x14ac:dyDescent="0.2">
      <c r="A2174" s="113">
        <v>36872</v>
      </c>
      <c r="B2174" s="111">
        <f t="shared" si="33"/>
        <v>122</v>
      </c>
      <c r="C2174" s="111"/>
      <c r="D2174" s="111"/>
      <c r="E2174" s="111"/>
    </row>
    <row r="2175" spans="1:5" x14ac:dyDescent="0.2">
      <c r="A2175" s="113">
        <v>36873</v>
      </c>
      <c r="B2175" s="111">
        <f t="shared" si="33"/>
        <v>122</v>
      </c>
      <c r="C2175" s="111"/>
      <c r="D2175" s="111"/>
      <c r="E2175" s="111"/>
    </row>
    <row r="2176" spans="1:5" x14ac:dyDescent="0.2">
      <c r="A2176" s="113">
        <v>36874</v>
      </c>
      <c r="B2176" s="111">
        <f t="shared" si="33"/>
        <v>122</v>
      </c>
      <c r="C2176" s="111"/>
      <c r="D2176" s="111"/>
      <c r="E2176" s="111"/>
    </row>
    <row r="2177" spans="1:5" x14ac:dyDescent="0.2">
      <c r="A2177" s="113">
        <v>36875</v>
      </c>
      <c r="B2177" s="111">
        <f t="shared" si="33"/>
        <v>122</v>
      </c>
      <c r="C2177" s="111"/>
      <c r="D2177" s="111"/>
      <c r="E2177" s="111"/>
    </row>
    <row r="2178" spans="1:5" x14ac:dyDescent="0.2">
      <c r="A2178" s="113">
        <v>36876</v>
      </c>
      <c r="B2178" s="111">
        <f t="shared" ref="B2178:B2241" si="34">VLOOKUP(WEEKNUM(A2178),$D$3:$E$58,2)</f>
        <v>122</v>
      </c>
      <c r="C2178" s="111"/>
      <c r="D2178" s="111"/>
      <c r="E2178" s="111"/>
    </row>
    <row r="2179" spans="1:5" x14ac:dyDescent="0.2">
      <c r="A2179" s="113">
        <v>36877</v>
      </c>
      <c r="B2179" s="111">
        <f t="shared" si="34"/>
        <v>123</v>
      </c>
      <c r="C2179" s="111"/>
      <c r="D2179" s="111"/>
      <c r="E2179" s="111"/>
    </row>
    <row r="2180" spans="1:5" x14ac:dyDescent="0.2">
      <c r="A2180" s="113">
        <v>36878</v>
      </c>
      <c r="B2180" s="111">
        <f t="shared" si="34"/>
        <v>123</v>
      </c>
      <c r="C2180" s="111"/>
      <c r="D2180" s="111"/>
      <c r="E2180" s="111"/>
    </row>
    <row r="2181" spans="1:5" x14ac:dyDescent="0.2">
      <c r="A2181" s="113">
        <v>36879</v>
      </c>
      <c r="B2181" s="111">
        <f t="shared" si="34"/>
        <v>123</v>
      </c>
      <c r="C2181" s="111"/>
      <c r="D2181" s="111"/>
      <c r="E2181" s="111"/>
    </row>
    <row r="2182" spans="1:5" x14ac:dyDescent="0.2">
      <c r="A2182" s="113">
        <v>36880</v>
      </c>
      <c r="B2182" s="111">
        <f t="shared" si="34"/>
        <v>123</v>
      </c>
      <c r="C2182" s="111"/>
      <c r="D2182" s="111"/>
      <c r="E2182" s="111"/>
    </row>
    <row r="2183" spans="1:5" x14ac:dyDescent="0.2">
      <c r="A2183" s="113">
        <v>36881</v>
      </c>
      <c r="B2183" s="111">
        <f t="shared" si="34"/>
        <v>123</v>
      </c>
      <c r="C2183" s="111"/>
      <c r="D2183" s="111"/>
      <c r="E2183" s="111"/>
    </row>
    <row r="2184" spans="1:5" x14ac:dyDescent="0.2">
      <c r="A2184" s="113">
        <v>36882</v>
      </c>
      <c r="B2184" s="111">
        <f t="shared" si="34"/>
        <v>123</v>
      </c>
      <c r="C2184" s="111"/>
      <c r="D2184" s="111"/>
      <c r="E2184" s="111"/>
    </row>
    <row r="2185" spans="1:5" x14ac:dyDescent="0.2">
      <c r="A2185" s="113">
        <v>36883</v>
      </c>
      <c r="B2185" s="111">
        <f t="shared" si="34"/>
        <v>123</v>
      </c>
      <c r="C2185" s="111"/>
      <c r="D2185" s="111"/>
      <c r="E2185" s="111"/>
    </row>
    <row r="2186" spans="1:5" x14ac:dyDescent="0.2">
      <c r="A2186" s="113">
        <v>36884</v>
      </c>
      <c r="B2186" s="111">
        <f t="shared" si="34"/>
        <v>124</v>
      </c>
      <c r="C2186" s="111"/>
      <c r="D2186" s="111"/>
      <c r="E2186" s="111"/>
    </row>
    <row r="2187" spans="1:5" x14ac:dyDescent="0.2">
      <c r="A2187" s="113">
        <v>36885</v>
      </c>
      <c r="B2187" s="111">
        <f t="shared" si="34"/>
        <v>124</v>
      </c>
      <c r="C2187" s="111"/>
      <c r="D2187" s="111"/>
      <c r="E2187" s="111"/>
    </row>
    <row r="2188" spans="1:5" x14ac:dyDescent="0.2">
      <c r="A2188" s="113">
        <v>36886</v>
      </c>
      <c r="B2188" s="111">
        <f t="shared" si="34"/>
        <v>124</v>
      </c>
      <c r="C2188" s="111"/>
      <c r="D2188" s="111"/>
      <c r="E2188" s="111"/>
    </row>
    <row r="2189" spans="1:5" x14ac:dyDescent="0.2">
      <c r="A2189" s="113">
        <v>36887</v>
      </c>
      <c r="B2189" s="111">
        <f t="shared" si="34"/>
        <v>124</v>
      </c>
      <c r="C2189" s="111"/>
      <c r="D2189" s="111"/>
      <c r="E2189" s="111"/>
    </row>
    <row r="2190" spans="1:5" x14ac:dyDescent="0.2">
      <c r="A2190" s="113">
        <v>36888</v>
      </c>
      <c r="B2190" s="111">
        <f t="shared" si="34"/>
        <v>124</v>
      </c>
      <c r="C2190" s="111"/>
      <c r="D2190" s="111"/>
      <c r="E2190" s="111"/>
    </row>
    <row r="2191" spans="1:5" x14ac:dyDescent="0.2">
      <c r="A2191" s="113">
        <v>36889</v>
      </c>
      <c r="B2191" s="111">
        <f t="shared" si="34"/>
        <v>124</v>
      </c>
      <c r="C2191" s="111"/>
      <c r="D2191" s="111"/>
      <c r="E2191" s="111"/>
    </row>
    <row r="2192" spans="1:5" x14ac:dyDescent="0.2">
      <c r="A2192" s="113">
        <v>36890</v>
      </c>
      <c r="B2192" s="111">
        <f t="shared" si="34"/>
        <v>124</v>
      </c>
      <c r="C2192" s="111"/>
      <c r="D2192" s="111"/>
      <c r="E2192" s="111"/>
    </row>
    <row r="2193" spans="1:5" x14ac:dyDescent="0.2">
      <c r="A2193" s="113">
        <v>36891</v>
      </c>
      <c r="B2193" s="111">
        <f t="shared" si="34"/>
        <v>125</v>
      </c>
      <c r="C2193" s="111"/>
      <c r="D2193" s="111"/>
      <c r="E2193" s="111"/>
    </row>
    <row r="2194" spans="1:5" x14ac:dyDescent="0.2">
      <c r="A2194" s="113">
        <v>36892</v>
      </c>
      <c r="B2194" s="111">
        <f t="shared" si="34"/>
        <v>11</v>
      </c>
      <c r="C2194" s="111"/>
      <c r="D2194" s="111"/>
      <c r="E2194" s="111"/>
    </row>
    <row r="2195" spans="1:5" x14ac:dyDescent="0.2">
      <c r="A2195" s="113">
        <v>36893</v>
      </c>
      <c r="B2195" s="111">
        <f t="shared" si="34"/>
        <v>11</v>
      </c>
      <c r="C2195" s="111"/>
      <c r="D2195" s="111"/>
      <c r="E2195" s="111"/>
    </row>
    <row r="2196" spans="1:5" x14ac:dyDescent="0.2">
      <c r="A2196" s="113">
        <v>36894</v>
      </c>
      <c r="B2196" s="111">
        <f t="shared" si="34"/>
        <v>11</v>
      </c>
      <c r="C2196" s="111"/>
      <c r="D2196" s="111"/>
      <c r="E2196" s="111"/>
    </row>
    <row r="2197" spans="1:5" x14ac:dyDescent="0.2">
      <c r="A2197" s="113">
        <v>36895</v>
      </c>
      <c r="B2197" s="111">
        <f t="shared" si="34"/>
        <v>11</v>
      </c>
      <c r="C2197" s="111"/>
      <c r="D2197" s="111"/>
      <c r="E2197" s="111"/>
    </row>
    <row r="2198" spans="1:5" x14ac:dyDescent="0.2">
      <c r="A2198" s="113">
        <v>36896</v>
      </c>
      <c r="B2198" s="111">
        <f t="shared" si="34"/>
        <v>11</v>
      </c>
      <c r="C2198" s="111"/>
      <c r="D2198" s="111"/>
      <c r="E2198" s="111"/>
    </row>
    <row r="2199" spans="1:5" x14ac:dyDescent="0.2">
      <c r="A2199" s="113">
        <v>36897</v>
      </c>
      <c r="B2199" s="111">
        <f t="shared" si="34"/>
        <v>11</v>
      </c>
      <c r="C2199" s="111"/>
      <c r="D2199" s="111"/>
      <c r="E2199" s="111"/>
    </row>
    <row r="2200" spans="1:5" x14ac:dyDescent="0.2">
      <c r="A2200" s="113">
        <v>36898</v>
      </c>
      <c r="B2200" s="111">
        <f t="shared" si="34"/>
        <v>12</v>
      </c>
      <c r="C2200" s="111"/>
      <c r="D2200" s="111"/>
      <c r="E2200" s="111"/>
    </row>
    <row r="2201" spans="1:5" x14ac:dyDescent="0.2">
      <c r="A2201" s="113">
        <v>36899</v>
      </c>
      <c r="B2201" s="111">
        <f t="shared" si="34"/>
        <v>12</v>
      </c>
      <c r="C2201" s="111"/>
      <c r="D2201" s="111"/>
      <c r="E2201" s="111"/>
    </row>
    <row r="2202" spans="1:5" x14ac:dyDescent="0.2">
      <c r="A2202" s="113">
        <v>36900</v>
      </c>
      <c r="B2202" s="111">
        <f t="shared" si="34"/>
        <v>12</v>
      </c>
      <c r="C2202" s="111"/>
      <c r="D2202" s="111"/>
      <c r="E2202" s="111"/>
    </row>
    <row r="2203" spans="1:5" x14ac:dyDescent="0.2">
      <c r="A2203" s="113">
        <v>36901</v>
      </c>
      <c r="B2203" s="111">
        <f t="shared" si="34"/>
        <v>12</v>
      </c>
      <c r="C2203" s="111"/>
      <c r="D2203" s="111"/>
      <c r="E2203" s="111"/>
    </row>
    <row r="2204" spans="1:5" x14ac:dyDescent="0.2">
      <c r="A2204" s="113">
        <v>36902</v>
      </c>
      <c r="B2204" s="111">
        <f t="shared" si="34"/>
        <v>12</v>
      </c>
      <c r="C2204" s="111"/>
      <c r="D2204" s="111"/>
      <c r="E2204" s="111"/>
    </row>
    <row r="2205" spans="1:5" x14ac:dyDescent="0.2">
      <c r="A2205" s="113">
        <v>36903</v>
      </c>
      <c r="B2205" s="111">
        <f t="shared" si="34"/>
        <v>12</v>
      </c>
      <c r="C2205" s="111"/>
      <c r="D2205" s="111"/>
      <c r="E2205" s="111"/>
    </row>
    <row r="2206" spans="1:5" x14ac:dyDescent="0.2">
      <c r="A2206" s="113">
        <v>36904</v>
      </c>
      <c r="B2206" s="111">
        <f t="shared" si="34"/>
        <v>12</v>
      </c>
      <c r="C2206" s="111"/>
      <c r="D2206" s="111"/>
      <c r="E2206" s="111"/>
    </row>
    <row r="2207" spans="1:5" x14ac:dyDescent="0.2">
      <c r="A2207" s="113">
        <v>36905</v>
      </c>
      <c r="B2207" s="111">
        <f t="shared" si="34"/>
        <v>13</v>
      </c>
      <c r="C2207" s="111"/>
      <c r="D2207" s="111"/>
      <c r="E2207" s="111"/>
    </row>
    <row r="2208" spans="1:5" x14ac:dyDescent="0.2">
      <c r="A2208" s="113">
        <v>36906</v>
      </c>
      <c r="B2208" s="111">
        <f t="shared" si="34"/>
        <v>13</v>
      </c>
      <c r="C2208" s="111"/>
      <c r="D2208" s="111"/>
      <c r="E2208" s="111"/>
    </row>
    <row r="2209" spans="1:5" x14ac:dyDescent="0.2">
      <c r="A2209" s="113">
        <v>36907</v>
      </c>
      <c r="B2209" s="111">
        <f t="shared" si="34"/>
        <v>13</v>
      </c>
      <c r="C2209" s="111"/>
      <c r="D2209" s="111"/>
      <c r="E2209" s="111"/>
    </row>
    <row r="2210" spans="1:5" x14ac:dyDescent="0.2">
      <c r="A2210" s="113">
        <v>36908</v>
      </c>
      <c r="B2210" s="111">
        <f t="shared" si="34"/>
        <v>13</v>
      </c>
      <c r="C2210" s="111"/>
      <c r="D2210" s="111"/>
      <c r="E2210" s="111"/>
    </row>
    <row r="2211" spans="1:5" x14ac:dyDescent="0.2">
      <c r="A2211" s="113">
        <v>36909</v>
      </c>
      <c r="B2211" s="111">
        <f t="shared" si="34"/>
        <v>13</v>
      </c>
      <c r="C2211" s="111"/>
      <c r="D2211" s="111"/>
      <c r="E2211" s="111"/>
    </row>
    <row r="2212" spans="1:5" x14ac:dyDescent="0.2">
      <c r="A2212" s="113">
        <v>36910</v>
      </c>
      <c r="B2212" s="111">
        <f t="shared" si="34"/>
        <v>13</v>
      </c>
      <c r="C2212" s="111"/>
      <c r="D2212" s="111"/>
      <c r="E2212" s="111"/>
    </row>
    <row r="2213" spans="1:5" x14ac:dyDescent="0.2">
      <c r="A2213" s="113">
        <v>36911</v>
      </c>
      <c r="B2213" s="111">
        <f t="shared" si="34"/>
        <v>13</v>
      </c>
      <c r="C2213" s="111"/>
      <c r="D2213" s="111"/>
      <c r="E2213" s="111"/>
    </row>
    <row r="2214" spans="1:5" x14ac:dyDescent="0.2">
      <c r="A2214" s="113">
        <v>36912</v>
      </c>
      <c r="B2214" s="111">
        <f t="shared" si="34"/>
        <v>14</v>
      </c>
      <c r="C2214" s="111"/>
      <c r="D2214" s="111"/>
      <c r="E2214" s="111"/>
    </row>
    <row r="2215" spans="1:5" x14ac:dyDescent="0.2">
      <c r="A2215" s="113">
        <v>36913</v>
      </c>
      <c r="B2215" s="111">
        <f t="shared" si="34"/>
        <v>14</v>
      </c>
      <c r="C2215" s="111"/>
      <c r="D2215" s="111"/>
      <c r="E2215" s="111"/>
    </row>
    <row r="2216" spans="1:5" x14ac:dyDescent="0.2">
      <c r="A2216" s="113">
        <v>36914</v>
      </c>
      <c r="B2216" s="111">
        <f t="shared" si="34"/>
        <v>14</v>
      </c>
      <c r="C2216" s="111"/>
      <c r="D2216" s="111"/>
      <c r="E2216" s="111"/>
    </row>
    <row r="2217" spans="1:5" x14ac:dyDescent="0.2">
      <c r="A2217" s="113">
        <v>36915</v>
      </c>
      <c r="B2217" s="111">
        <f t="shared" si="34"/>
        <v>14</v>
      </c>
      <c r="C2217" s="111"/>
      <c r="D2217" s="111"/>
      <c r="E2217" s="111"/>
    </row>
    <row r="2218" spans="1:5" x14ac:dyDescent="0.2">
      <c r="A2218" s="113">
        <v>36916</v>
      </c>
      <c r="B2218" s="111">
        <f t="shared" si="34"/>
        <v>14</v>
      </c>
      <c r="C2218" s="111"/>
      <c r="D2218" s="111"/>
      <c r="E2218" s="111"/>
    </row>
    <row r="2219" spans="1:5" x14ac:dyDescent="0.2">
      <c r="A2219" s="113">
        <v>36917</v>
      </c>
      <c r="B2219" s="111">
        <f t="shared" si="34"/>
        <v>14</v>
      </c>
      <c r="C2219" s="111"/>
      <c r="D2219" s="111"/>
      <c r="E2219" s="111"/>
    </row>
    <row r="2220" spans="1:5" x14ac:dyDescent="0.2">
      <c r="A2220" s="113">
        <v>36918</v>
      </c>
      <c r="B2220" s="111">
        <f t="shared" si="34"/>
        <v>14</v>
      </c>
      <c r="C2220" s="111"/>
      <c r="D2220" s="111"/>
      <c r="E2220" s="111"/>
    </row>
    <row r="2221" spans="1:5" x14ac:dyDescent="0.2">
      <c r="A2221" s="113">
        <v>36919</v>
      </c>
      <c r="B2221" s="111">
        <f t="shared" si="34"/>
        <v>15</v>
      </c>
      <c r="C2221" s="111"/>
      <c r="D2221" s="111"/>
      <c r="E2221" s="111"/>
    </row>
    <row r="2222" spans="1:5" x14ac:dyDescent="0.2">
      <c r="A2222" s="113">
        <v>36920</v>
      </c>
      <c r="B2222" s="111">
        <f t="shared" si="34"/>
        <v>15</v>
      </c>
      <c r="C2222" s="111"/>
      <c r="D2222" s="111"/>
      <c r="E2222" s="111"/>
    </row>
    <row r="2223" spans="1:5" x14ac:dyDescent="0.2">
      <c r="A2223" s="113">
        <v>36921</v>
      </c>
      <c r="B2223" s="111">
        <f t="shared" si="34"/>
        <v>15</v>
      </c>
      <c r="C2223" s="111"/>
      <c r="D2223" s="111"/>
      <c r="E2223" s="111"/>
    </row>
    <row r="2224" spans="1:5" x14ac:dyDescent="0.2">
      <c r="A2224" s="113">
        <v>36922</v>
      </c>
      <c r="B2224" s="111">
        <f t="shared" si="34"/>
        <v>15</v>
      </c>
      <c r="C2224" s="111"/>
      <c r="D2224" s="111"/>
      <c r="E2224" s="111"/>
    </row>
    <row r="2225" spans="1:5" x14ac:dyDescent="0.2">
      <c r="A2225" s="113">
        <v>36923</v>
      </c>
      <c r="B2225" s="111">
        <f t="shared" si="34"/>
        <v>15</v>
      </c>
      <c r="C2225" s="111"/>
      <c r="D2225" s="111"/>
      <c r="E2225" s="111"/>
    </row>
    <row r="2226" spans="1:5" x14ac:dyDescent="0.2">
      <c r="A2226" s="113">
        <v>36924</v>
      </c>
      <c r="B2226" s="111">
        <f t="shared" si="34"/>
        <v>15</v>
      </c>
      <c r="C2226" s="111"/>
      <c r="D2226" s="111"/>
      <c r="E2226" s="111"/>
    </row>
    <row r="2227" spans="1:5" x14ac:dyDescent="0.2">
      <c r="A2227" s="113">
        <v>36925</v>
      </c>
      <c r="B2227" s="111">
        <f t="shared" si="34"/>
        <v>15</v>
      </c>
      <c r="C2227" s="111"/>
      <c r="D2227" s="111"/>
      <c r="E2227" s="111"/>
    </row>
    <row r="2228" spans="1:5" x14ac:dyDescent="0.2">
      <c r="A2228" s="113">
        <v>36926</v>
      </c>
      <c r="B2228" s="111">
        <f t="shared" si="34"/>
        <v>21</v>
      </c>
      <c r="C2228" s="111"/>
      <c r="D2228" s="111"/>
      <c r="E2228" s="111"/>
    </row>
    <row r="2229" spans="1:5" x14ac:dyDescent="0.2">
      <c r="A2229" s="113">
        <v>36927</v>
      </c>
      <c r="B2229" s="111">
        <f t="shared" si="34"/>
        <v>21</v>
      </c>
      <c r="C2229" s="111"/>
      <c r="D2229" s="111"/>
      <c r="E2229" s="111"/>
    </row>
    <row r="2230" spans="1:5" x14ac:dyDescent="0.2">
      <c r="A2230" s="113">
        <v>36928</v>
      </c>
      <c r="B2230" s="111">
        <f t="shared" si="34"/>
        <v>21</v>
      </c>
      <c r="C2230" s="111"/>
      <c r="D2230" s="111"/>
      <c r="E2230" s="111"/>
    </row>
    <row r="2231" spans="1:5" x14ac:dyDescent="0.2">
      <c r="A2231" s="113">
        <v>36929</v>
      </c>
      <c r="B2231" s="111">
        <f t="shared" si="34"/>
        <v>21</v>
      </c>
      <c r="C2231" s="111"/>
      <c r="D2231" s="111"/>
      <c r="E2231" s="111"/>
    </row>
    <row r="2232" spans="1:5" x14ac:dyDescent="0.2">
      <c r="A2232" s="113">
        <v>36930</v>
      </c>
      <c r="B2232" s="111">
        <f t="shared" si="34"/>
        <v>21</v>
      </c>
      <c r="C2232" s="111"/>
      <c r="D2232" s="111"/>
      <c r="E2232" s="111"/>
    </row>
    <row r="2233" spans="1:5" x14ac:dyDescent="0.2">
      <c r="A2233" s="113">
        <v>36931</v>
      </c>
      <c r="B2233" s="111">
        <f t="shared" si="34"/>
        <v>21</v>
      </c>
      <c r="C2233" s="111"/>
      <c r="D2233" s="111"/>
      <c r="E2233" s="111"/>
    </row>
    <row r="2234" spans="1:5" x14ac:dyDescent="0.2">
      <c r="A2234" s="113">
        <v>36932</v>
      </c>
      <c r="B2234" s="111">
        <f t="shared" si="34"/>
        <v>21</v>
      </c>
      <c r="C2234" s="111"/>
      <c r="D2234" s="111"/>
      <c r="E2234" s="111"/>
    </row>
    <row r="2235" spans="1:5" x14ac:dyDescent="0.2">
      <c r="A2235" s="113">
        <v>36933</v>
      </c>
      <c r="B2235" s="111">
        <f t="shared" si="34"/>
        <v>22</v>
      </c>
      <c r="C2235" s="111"/>
      <c r="D2235" s="111"/>
      <c r="E2235" s="111"/>
    </row>
    <row r="2236" spans="1:5" x14ac:dyDescent="0.2">
      <c r="A2236" s="113">
        <v>36934</v>
      </c>
      <c r="B2236" s="111">
        <f t="shared" si="34"/>
        <v>22</v>
      </c>
      <c r="C2236" s="111"/>
      <c r="D2236" s="111"/>
      <c r="E2236" s="111"/>
    </row>
    <row r="2237" spans="1:5" x14ac:dyDescent="0.2">
      <c r="A2237" s="113">
        <v>36935</v>
      </c>
      <c r="B2237" s="111">
        <f t="shared" si="34"/>
        <v>22</v>
      </c>
      <c r="C2237" s="111"/>
      <c r="D2237" s="111"/>
      <c r="E2237" s="111"/>
    </row>
    <row r="2238" spans="1:5" x14ac:dyDescent="0.2">
      <c r="A2238" s="113">
        <v>36936</v>
      </c>
      <c r="B2238" s="111">
        <f t="shared" si="34"/>
        <v>22</v>
      </c>
      <c r="C2238" s="111"/>
      <c r="D2238" s="111"/>
      <c r="E2238" s="111"/>
    </row>
    <row r="2239" spans="1:5" x14ac:dyDescent="0.2">
      <c r="A2239" s="113">
        <v>36937</v>
      </c>
      <c r="B2239" s="111">
        <f t="shared" si="34"/>
        <v>22</v>
      </c>
      <c r="C2239" s="111"/>
      <c r="D2239" s="111"/>
      <c r="E2239" s="111"/>
    </row>
    <row r="2240" spans="1:5" x14ac:dyDescent="0.2">
      <c r="A2240" s="113">
        <v>36938</v>
      </c>
      <c r="B2240" s="111">
        <f t="shared" si="34"/>
        <v>22</v>
      </c>
      <c r="C2240" s="111"/>
      <c r="D2240" s="111"/>
      <c r="E2240" s="111"/>
    </row>
    <row r="2241" spans="1:5" x14ac:dyDescent="0.2">
      <c r="A2241" s="113">
        <v>36939</v>
      </c>
      <c r="B2241" s="111">
        <f t="shared" si="34"/>
        <v>22</v>
      </c>
      <c r="C2241" s="111"/>
      <c r="D2241" s="111"/>
      <c r="E2241" s="111"/>
    </row>
    <row r="2242" spans="1:5" x14ac:dyDescent="0.2">
      <c r="A2242" s="113">
        <v>36940</v>
      </c>
      <c r="B2242" s="111">
        <f t="shared" ref="B2242:B2305" si="35">VLOOKUP(WEEKNUM(A2242),$D$3:$E$58,2)</f>
        <v>23</v>
      </c>
      <c r="C2242" s="111"/>
      <c r="D2242" s="111"/>
      <c r="E2242" s="111"/>
    </row>
    <row r="2243" spans="1:5" x14ac:dyDescent="0.2">
      <c r="A2243" s="113">
        <v>36941</v>
      </c>
      <c r="B2243" s="111">
        <f t="shared" si="35"/>
        <v>23</v>
      </c>
      <c r="C2243" s="111"/>
      <c r="D2243" s="111"/>
      <c r="E2243" s="111"/>
    </row>
    <row r="2244" spans="1:5" x14ac:dyDescent="0.2">
      <c r="A2244" s="113">
        <v>36942</v>
      </c>
      <c r="B2244" s="111">
        <f t="shared" si="35"/>
        <v>23</v>
      </c>
      <c r="C2244" s="111"/>
      <c r="D2244" s="111"/>
      <c r="E2244" s="111"/>
    </row>
    <row r="2245" spans="1:5" x14ac:dyDescent="0.2">
      <c r="A2245" s="113">
        <v>36943</v>
      </c>
      <c r="B2245" s="111">
        <f t="shared" si="35"/>
        <v>23</v>
      </c>
      <c r="C2245" s="111"/>
      <c r="D2245" s="111"/>
      <c r="E2245" s="111"/>
    </row>
    <row r="2246" spans="1:5" x14ac:dyDescent="0.2">
      <c r="A2246" s="113">
        <v>36944</v>
      </c>
      <c r="B2246" s="111">
        <f t="shared" si="35"/>
        <v>23</v>
      </c>
      <c r="C2246" s="111"/>
      <c r="D2246" s="111"/>
      <c r="E2246" s="111"/>
    </row>
    <row r="2247" spans="1:5" x14ac:dyDescent="0.2">
      <c r="A2247" s="113">
        <v>36945</v>
      </c>
      <c r="B2247" s="111">
        <f t="shared" si="35"/>
        <v>23</v>
      </c>
      <c r="C2247" s="111"/>
      <c r="D2247" s="111"/>
      <c r="E2247" s="111"/>
    </row>
    <row r="2248" spans="1:5" x14ac:dyDescent="0.2">
      <c r="A2248" s="113">
        <v>36946</v>
      </c>
      <c r="B2248" s="111">
        <f t="shared" si="35"/>
        <v>23</v>
      </c>
      <c r="C2248" s="111"/>
      <c r="D2248" s="111"/>
      <c r="E2248" s="111"/>
    </row>
    <row r="2249" spans="1:5" x14ac:dyDescent="0.2">
      <c r="A2249" s="113">
        <v>36947</v>
      </c>
      <c r="B2249" s="111">
        <f t="shared" si="35"/>
        <v>24</v>
      </c>
      <c r="C2249" s="111"/>
      <c r="D2249" s="111"/>
      <c r="E2249" s="111"/>
    </row>
    <row r="2250" spans="1:5" x14ac:dyDescent="0.2">
      <c r="A2250" s="113">
        <v>36948</v>
      </c>
      <c r="B2250" s="111">
        <f t="shared" si="35"/>
        <v>24</v>
      </c>
      <c r="C2250" s="111"/>
      <c r="D2250" s="111"/>
      <c r="E2250" s="111"/>
    </row>
    <row r="2251" spans="1:5" x14ac:dyDescent="0.2">
      <c r="A2251" s="113">
        <v>36949</v>
      </c>
      <c r="B2251" s="111">
        <f t="shared" si="35"/>
        <v>24</v>
      </c>
      <c r="C2251" s="111"/>
      <c r="D2251" s="111"/>
      <c r="E2251" s="111"/>
    </row>
    <row r="2252" spans="1:5" x14ac:dyDescent="0.2">
      <c r="A2252" s="113">
        <v>36950</v>
      </c>
      <c r="B2252" s="111">
        <f t="shared" si="35"/>
        <v>24</v>
      </c>
      <c r="C2252" s="111"/>
      <c r="D2252" s="111"/>
      <c r="E2252" s="111"/>
    </row>
    <row r="2253" spans="1:5" x14ac:dyDescent="0.2">
      <c r="A2253" s="113">
        <v>36951</v>
      </c>
      <c r="B2253" s="111">
        <f t="shared" si="35"/>
        <v>24</v>
      </c>
      <c r="C2253" s="111"/>
      <c r="D2253" s="111"/>
      <c r="E2253" s="111"/>
    </row>
    <row r="2254" spans="1:5" x14ac:dyDescent="0.2">
      <c r="A2254" s="113">
        <v>36952</v>
      </c>
      <c r="B2254" s="111">
        <f t="shared" si="35"/>
        <v>24</v>
      </c>
      <c r="C2254" s="111"/>
      <c r="D2254" s="111"/>
      <c r="E2254" s="111"/>
    </row>
    <row r="2255" spans="1:5" x14ac:dyDescent="0.2">
      <c r="A2255" s="113">
        <v>36953</v>
      </c>
      <c r="B2255" s="111">
        <f t="shared" si="35"/>
        <v>24</v>
      </c>
      <c r="C2255" s="111"/>
      <c r="D2255" s="111"/>
      <c r="E2255" s="111"/>
    </row>
    <row r="2256" spans="1:5" x14ac:dyDescent="0.2">
      <c r="A2256" s="113">
        <v>36954</v>
      </c>
      <c r="B2256" s="111">
        <f t="shared" si="35"/>
        <v>31</v>
      </c>
      <c r="C2256" s="111"/>
      <c r="D2256" s="111"/>
      <c r="E2256" s="111"/>
    </row>
    <row r="2257" spans="1:5" x14ac:dyDescent="0.2">
      <c r="A2257" s="113">
        <v>36955</v>
      </c>
      <c r="B2257" s="111">
        <f t="shared" si="35"/>
        <v>31</v>
      </c>
      <c r="C2257" s="111"/>
      <c r="D2257" s="111"/>
      <c r="E2257" s="111"/>
    </row>
    <row r="2258" spans="1:5" x14ac:dyDescent="0.2">
      <c r="A2258" s="113">
        <v>36956</v>
      </c>
      <c r="B2258" s="111">
        <f t="shared" si="35"/>
        <v>31</v>
      </c>
      <c r="C2258" s="111"/>
      <c r="D2258" s="111"/>
      <c r="E2258" s="111"/>
    </row>
    <row r="2259" spans="1:5" x14ac:dyDescent="0.2">
      <c r="A2259" s="113">
        <v>36957</v>
      </c>
      <c r="B2259" s="111">
        <f t="shared" si="35"/>
        <v>31</v>
      </c>
      <c r="C2259" s="111"/>
      <c r="D2259" s="111"/>
      <c r="E2259" s="111"/>
    </row>
    <row r="2260" spans="1:5" x14ac:dyDescent="0.2">
      <c r="A2260" s="113">
        <v>36958</v>
      </c>
      <c r="B2260" s="111">
        <f t="shared" si="35"/>
        <v>31</v>
      </c>
      <c r="C2260" s="111"/>
      <c r="D2260" s="111"/>
      <c r="E2260" s="111"/>
    </row>
    <row r="2261" spans="1:5" x14ac:dyDescent="0.2">
      <c r="A2261" s="113">
        <v>36959</v>
      </c>
      <c r="B2261" s="111">
        <f t="shared" si="35"/>
        <v>31</v>
      </c>
      <c r="C2261" s="111"/>
      <c r="D2261" s="111"/>
      <c r="E2261" s="111"/>
    </row>
    <row r="2262" spans="1:5" x14ac:dyDescent="0.2">
      <c r="A2262" s="113">
        <v>36960</v>
      </c>
      <c r="B2262" s="111">
        <f t="shared" si="35"/>
        <v>31</v>
      </c>
      <c r="C2262" s="111"/>
      <c r="D2262" s="111"/>
      <c r="E2262" s="111"/>
    </row>
    <row r="2263" spans="1:5" x14ac:dyDescent="0.2">
      <c r="A2263" s="113">
        <v>36961</v>
      </c>
      <c r="B2263" s="111">
        <f t="shared" si="35"/>
        <v>32</v>
      </c>
      <c r="C2263" s="111"/>
      <c r="D2263" s="111"/>
      <c r="E2263" s="111"/>
    </row>
    <row r="2264" spans="1:5" x14ac:dyDescent="0.2">
      <c r="A2264" s="113">
        <v>36962</v>
      </c>
      <c r="B2264" s="111">
        <f t="shared" si="35"/>
        <v>32</v>
      </c>
      <c r="C2264" s="111"/>
      <c r="D2264" s="111"/>
      <c r="E2264" s="111"/>
    </row>
    <row r="2265" spans="1:5" x14ac:dyDescent="0.2">
      <c r="A2265" s="113">
        <v>36963</v>
      </c>
      <c r="B2265" s="111">
        <f t="shared" si="35"/>
        <v>32</v>
      </c>
      <c r="C2265" s="111"/>
      <c r="D2265" s="111"/>
      <c r="E2265" s="111"/>
    </row>
    <row r="2266" spans="1:5" x14ac:dyDescent="0.2">
      <c r="A2266" s="113">
        <v>36964</v>
      </c>
      <c r="B2266" s="111">
        <f t="shared" si="35"/>
        <v>32</v>
      </c>
      <c r="C2266" s="111"/>
      <c r="D2266" s="111"/>
      <c r="E2266" s="111"/>
    </row>
    <row r="2267" spans="1:5" x14ac:dyDescent="0.2">
      <c r="A2267" s="113">
        <v>36965</v>
      </c>
      <c r="B2267" s="111">
        <f t="shared" si="35"/>
        <v>32</v>
      </c>
      <c r="C2267" s="111"/>
      <c r="D2267" s="111"/>
      <c r="E2267" s="111"/>
    </row>
    <row r="2268" spans="1:5" x14ac:dyDescent="0.2">
      <c r="A2268" s="113">
        <v>36966</v>
      </c>
      <c r="B2268" s="111">
        <f t="shared" si="35"/>
        <v>32</v>
      </c>
      <c r="C2268" s="111"/>
      <c r="D2268" s="111"/>
      <c r="E2268" s="111"/>
    </row>
    <row r="2269" spans="1:5" x14ac:dyDescent="0.2">
      <c r="A2269" s="113">
        <v>36967</v>
      </c>
      <c r="B2269" s="111">
        <f t="shared" si="35"/>
        <v>32</v>
      </c>
      <c r="C2269" s="111"/>
      <c r="D2269" s="111"/>
      <c r="E2269" s="111"/>
    </row>
    <row r="2270" spans="1:5" x14ac:dyDescent="0.2">
      <c r="A2270" s="113">
        <v>36968</v>
      </c>
      <c r="B2270" s="111">
        <f t="shared" si="35"/>
        <v>33</v>
      </c>
      <c r="C2270" s="111"/>
      <c r="D2270" s="111"/>
      <c r="E2270" s="111"/>
    </row>
    <row r="2271" spans="1:5" x14ac:dyDescent="0.2">
      <c r="A2271" s="113">
        <v>36969</v>
      </c>
      <c r="B2271" s="111">
        <f t="shared" si="35"/>
        <v>33</v>
      </c>
      <c r="C2271" s="111"/>
      <c r="D2271" s="111"/>
      <c r="E2271" s="111"/>
    </row>
    <row r="2272" spans="1:5" x14ac:dyDescent="0.2">
      <c r="A2272" s="113">
        <v>36970</v>
      </c>
      <c r="B2272" s="111">
        <f t="shared" si="35"/>
        <v>33</v>
      </c>
      <c r="C2272" s="111"/>
      <c r="D2272" s="111"/>
      <c r="E2272" s="111"/>
    </row>
    <row r="2273" spans="1:5" x14ac:dyDescent="0.2">
      <c r="A2273" s="113">
        <v>36971</v>
      </c>
      <c r="B2273" s="111">
        <f t="shared" si="35"/>
        <v>33</v>
      </c>
      <c r="C2273" s="111"/>
      <c r="D2273" s="111"/>
      <c r="E2273" s="111"/>
    </row>
    <row r="2274" spans="1:5" x14ac:dyDescent="0.2">
      <c r="A2274" s="113">
        <v>36972</v>
      </c>
      <c r="B2274" s="111">
        <f t="shared" si="35"/>
        <v>33</v>
      </c>
      <c r="C2274" s="111"/>
      <c r="D2274" s="111"/>
      <c r="E2274" s="111"/>
    </row>
    <row r="2275" spans="1:5" x14ac:dyDescent="0.2">
      <c r="A2275" s="113">
        <v>36973</v>
      </c>
      <c r="B2275" s="111">
        <f t="shared" si="35"/>
        <v>33</v>
      </c>
      <c r="C2275" s="111"/>
      <c r="D2275" s="111"/>
      <c r="E2275" s="111"/>
    </row>
    <row r="2276" spans="1:5" x14ac:dyDescent="0.2">
      <c r="A2276" s="113">
        <v>36974</v>
      </c>
      <c r="B2276" s="111">
        <f t="shared" si="35"/>
        <v>33</v>
      </c>
      <c r="C2276" s="111"/>
      <c r="D2276" s="111"/>
      <c r="E2276" s="111"/>
    </row>
    <row r="2277" spans="1:5" x14ac:dyDescent="0.2">
      <c r="A2277" s="113">
        <v>36975</v>
      </c>
      <c r="B2277" s="111">
        <f t="shared" si="35"/>
        <v>34</v>
      </c>
      <c r="C2277" s="111"/>
      <c r="D2277" s="111"/>
      <c r="E2277" s="111"/>
    </row>
    <row r="2278" spans="1:5" x14ac:dyDescent="0.2">
      <c r="A2278" s="113">
        <v>36976</v>
      </c>
      <c r="B2278" s="111">
        <f t="shared" si="35"/>
        <v>34</v>
      </c>
      <c r="C2278" s="111"/>
      <c r="D2278" s="111"/>
      <c r="E2278" s="111"/>
    </row>
    <row r="2279" spans="1:5" x14ac:dyDescent="0.2">
      <c r="A2279" s="113">
        <v>36977</v>
      </c>
      <c r="B2279" s="111">
        <f t="shared" si="35"/>
        <v>34</v>
      </c>
      <c r="C2279" s="111"/>
      <c r="D2279" s="111"/>
      <c r="E2279" s="111"/>
    </row>
    <row r="2280" spans="1:5" x14ac:dyDescent="0.2">
      <c r="A2280" s="113">
        <v>36978</v>
      </c>
      <c r="B2280" s="111">
        <f t="shared" si="35"/>
        <v>34</v>
      </c>
      <c r="C2280" s="111"/>
      <c r="D2280" s="111"/>
      <c r="E2280" s="111"/>
    </row>
    <row r="2281" spans="1:5" x14ac:dyDescent="0.2">
      <c r="A2281" s="113">
        <v>36979</v>
      </c>
      <c r="B2281" s="111">
        <f t="shared" si="35"/>
        <v>34</v>
      </c>
      <c r="C2281" s="111"/>
      <c r="D2281" s="111"/>
      <c r="E2281" s="111"/>
    </row>
    <row r="2282" spans="1:5" x14ac:dyDescent="0.2">
      <c r="A2282" s="113">
        <v>36980</v>
      </c>
      <c r="B2282" s="111">
        <f t="shared" si="35"/>
        <v>34</v>
      </c>
      <c r="C2282" s="111"/>
      <c r="D2282" s="111"/>
      <c r="E2282" s="111"/>
    </row>
    <row r="2283" spans="1:5" x14ac:dyDescent="0.2">
      <c r="A2283" s="113">
        <v>36981</v>
      </c>
      <c r="B2283" s="111">
        <f t="shared" si="35"/>
        <v>34</v>
      </c>
      <c r="C2283" s="111"/>
      <c r="D2283" s="111"/>
      <c r="E2283" s="111"/>
    </row>
    <row r="2284" spans="1:5" x14ac:dyDescent="0.2">
      <c r="A2284" s="113">
        <v>36982</v>
      </c>
      <c r="B2284" s="111">
        <f t="shared" si="35"/>
        <v>41</v>
      </c>
      <c r="C2284" s="111"/>
      <c r="D2284" s="111"/>
      <c r="E2284" s="111"/>
    </row>
    <row r="2285" spans="1:5" x14ac:dyDescent="0.2">
      <c r="A2285" s="113">
        <v>36983</v>
      </c>
      <c r="B2285" s="111">
        <f t="shared" si="35"/>
        <v>41</v>
      </c>
      <c r="C2285" s="111"/>
      <c r="D2285" s="111"/>
      <c r="E2285" s="111"/>
    </row>
    <row r="2286" spans="1:5" x14ac:dyDescent="0.2">
      <c r="A2286" s="113">
        <v>36984</v>
      </c>
      <c r="B2286" s="111">
        <f t="shared" si="35"/>
        <v>41</v>
      </c>
      <c r="C2286" s="111"/>
      <c r="D2286" s="111"/>
      <c r="E2286" s="111"/>
    </row>
    <row r="2287" spans="1:5" x14ac:dyDescent="0.2">
      <c r="A2287" s="113">
        <v>36985</v>
      </c>
      <c r="B2287" s="111">
        <f t="shared" si="35"/>
        <v>41</v>
      </c>
      <c r="C2287" s="111"/>
      <c r="D2287" s="111"/>
      <c r="E2287" s="111"/>
    </row>
    <row r="2288" spans="1:5" x14ac:dyDescent="0.2">
      <c r="A2288" s="113">
        <v>36986</v>
      </c>
      <c r="B2288" s="111">
        <f t="shared" si="35"/>
        <v>41</v>
      </c>
      <c r="C2288" s="111"/>
      <c r="D2288" s="111"/>
      <c r="E2288" s="111"/>
    </row>
    <row r="2289" spans="1:5" x14ac:dyDescent="0.2">
      <c r="A2289" s="113">
        <v>36987</v>
      </c>
      <c r="B2289" s="111">
        <f t="shared" si="35"/>
        <v>41</v>
      </c>
      <c r="C2289" s="111"/>
      <c r="D2289" s="111"/>
      <c r="E2289" s="111"/>
    </row>
    <row r="2290" spans="1:5" x14ac:dyDescent="0.2">
      <c r="A2290" s="113">
        <v>36988</v>
      </c>
      <c r="B2290" s="111">
        <f t="shared" si="35"/>
        <v>41</v>
      </c>
      <c r="C2290" s="111"/>
      <c r="D2290" s="111"/>
      <c r="E2290" s="111"/>
    </row>
    <row r="2291" spans="1:5" x14ac:dyDescent="0.2">
      <c r="A2291" s="113">
        <v>36989</v>
      </c>
      <c r="B2291" s="111">
        <f t="shared" si="35"/>
        <v>42</v>
      </c>
      <c r="C2291" s="111"/>
      <c r="D2291" s="111"/>
      <c r="E2291" s="111"/>
    </row>
    <row r="2292" spans="1:5" x14ac:dyDescent="0.2">
      <c r="A2292" s="113">
        <v>36990</v>
      </c>
      <c r="B2292" s="111">
        <f t="shared" si="35"/>
        <v>42</v>
      </c>
      <c r="C2292" s="111"/>
      <c r="D2292" s="111"/>
      <c r="E2292" s="111"/>
    </row>
    <row r="2293" spans="1:5" x14ac:dyDescent="0.2">
      <c r="A2293" s="113">
        <v>36991</v>
      </c>
      <c r="B2293" s="111">
        <f t="shared" si="35"/>
        <v>42</v>
      </c>
      <c r="C2293" s="111"/>
      <c r="D2293" s="111"/>
      <c r="E2293" s="111"/>
    </row>
    <row r="2294" spans="1:5" x14ac:dyDescent="0.2">
      <c r="A2294" s="113">
        <v>36992</v>
      </c>
      <c r="B2294" s="111">
        <f t="shared" si="35"/>
        <v>42</v>
      </c>
      <c r="C2294" s="111"/>
      <c r="D2294" s="111"/>
      <c r="E2294" s="111"/>
    </row>
    <row r="2295" spans="1:5" x14ac:dyDescent="0.2">
      <c r="A2295" s="113">
        <v>36993</v>
      </c>
      <c r="B2295" s="111">
        <f t="shared" si="35"/>
        <v>42</v>
      </c>
      <c r="C2295" s="111"/>
      <c r="D2295" s="111"/>
      <c r="E2295" s="111"/>
    </row>
    <row r="2296" spans="1:5" x14ac:dyDescent="0.2">
      <c r="A2296" s="113">
        <v>36994</v>
      </c>
      <c r="B2296" s="111">
        <f t="shared" si="35"/>
        <v>42</v>
      </c>
      <c r="C2296" s="111"/>
      <c r="D2296" s="111"/>
      <c r="E2296" s="111"/>
    </row>
    <row r="2297" spans="1:5" x14ac:dyDescent="0.2">
      <c r="A2297" s="113">
        <v>36995</v>
      </c>
      <c r="B2297" s="111">
        <f t="shared" si="35"/>
        <v>42</v>
      </c>
      <c r="C2297" s="111"/>
      <c r="D2297" s="111"/>
      <c r="E2297" s="111"/>
    </row>
    <row r="2298" spans="1:5" x14ac:dyDescent="0.2">
      <c r="A2298" s="113">
        <v>36996</v>
      </c>
      <c r="B2298" s="111">
        <f t="shared" si="35"/>
        <v>43</v>
      </c>
      <c r="C2298" s="111"/>
      <c r="D2298" s="111"/>
      <c r="E2298" s="111"/>
    </row>
    <row r="2299" spans="1:5" x14ac:dyDescent="0.2">
      <c r="A2299" s="113">
        <v>36997</v>
      </c>
      <c r="B2299" s="111">
        <f t="shared" si="35"/>
        <v>43</v>
      </c>
      <c r="C2299" s="111"/>
      <c r="D2299" s="111"/>
      <c r="E2299" s="111"/>
    </row>
    <row r="2300" spans="1:5" x14ac:dyDescent="0.2">
      <c r="A2300" s="113">
        <v>36998</v>
      </c>
      <c r="B2300" s="111">
        <f t="shared" si="35"/>
        <v>43</v>
      </c>
      <c r="C2300" s="111"/>
      <c r="D2300" s="111"/>
      <c r="E2300" s="111"/>
    </row>
    <row r="2301" spans="1:5" x14ac:dyDescent="0.2">
      <c r="A2301" s="113">
        <v>36999</v>
      </c>
      <c r="B2301" s="111">
        <f t="shared" si="35"/>
        <v>43</v>
      </c>
      <c r="C2301" s="111"/>
      <c r="D2301" s="111"/>
      <c r="E2301" s="111"/>
    </row>
    <row r="2302" spans="1:5" x14ac:dyDescent="0.2">
      <c r="A2302" s="113">
        <v>37000</v>
      </c>
      <c r="B2302" s="111">
        <f t="shared" si="35"/>
        <v>43</v>
      </c>
      <c r="C2302" s="111"/>
      <c r="D2302" s="111"/>
      <c r="E2302" s="111"/>
    </row>
    <row r="2303" spans="1:5" x14ac:dyDescent="0.2">
      <c r="A2303" s="113">
        <v>37001</v>
      </c>
      <c r="B2303" s="111">
        <f t="shared" si="35"/>
        <v>43</v>
      </c>
      <c r="C2303" s="111"/>
      <c r="D2303" s="111"/>
      <c r="E2303" s="111"/>
    </row>
    <row r="2304" spans="1:5" x14ac:dyDescent="0.2">
      <c r="A2304" s="113">
        <v>37002</v>
      </c>
      <c r="B2304" s="111">
        <f t="shared" si="35"/>
        <v>43</v>
      </c>
      <c r="C2304" s="111"/>
      <c r="D2304" s="111"/>
      <c r="E2304" s="111"/>
    </row>
    <row r="2305" spans="1:5" x14ac:dyDescent="0.2">
      <c r="A2305" s="113">
        <v>37003</v>
      </c>
      <c r="B2305" s="111">
        <f t="shared" si="35"/>
        <v>44</v>
      </c>
      <c r="C2305" s="111"/>
      <c r="D2305" s="111"/>
      <c r="E2305" s="111"/>
    </row>
    <row r="2306" spans="1:5" x14ac:dyDescent="0.2">
      <c r="A2306" s="113">
        <v>37004</v>
      </c>
      <c r="B2306" s="111">
        <f t="shared" ref="B2306:B2369" si="36">VLOOKUP(WEEKNUM(A2306),$D$3:$E$58,2)</f>
        <v>44</v>
      </c>
      <c r="C2306" s="111"/>
      <c r="D2306" s="111"/>
      <c r="E2306" s="111"/>
    </row>
    <row r="2307" spans="1:5" x14ac:dyDescent="0.2">
      <c r="A2307" s="113">
        <v>37005</v>
      </c>
      <c r="B2307" s="111">
        <f t="shared" si="36"/>
        <v>44</v>
      </c>
      <c r="C2307" s="111"/>
      <c r="D2307" s="111"/>
      <c r="E2307" s="111"/>
    </row>
    <row r="2308" spans="1:5" x14ac:dyDescent="0.2">
      <c r="A2308" s="113">
        <v>37006</v>
      </c>
      <c r="B2308" s="111">
        <f t="shared" si="36"/>
        <v>44</v>
      </c>
      <c r="C2308" s="111"/>
      <c r="D2308" s="111"/>
      <c r="E2308" s="111"/>
    </row>
    <row r="2309" spans="1:5" x14ac:dyDescent="0.2">
      <c r="A2309" s="113">
        <v>37007</v>
      </c>
      <c r="B2309" s="111">
        <f t="shared" si="36"/>
        <v>44</v>
      </c>
      <c r="C2309" s="111"/>
      <c r="D2309" s="111"/>
      <c r="E2309" s="111"/>
    </row>
    <row r="2310" spans="1:5" x14ac:dyDescent="0.2">
      <c r="A2310" s="113">
        <v>37008</v>
      </c>
      <c r="B2310" s="111">
        <f t="shared" si="36"/>
        <v>44</v>
      </c>
      <c r="C2310" s="111"/>
      <c r="D2310" s="111"/>
      <c r="E2310" s="111"/>
    </row>
    <row r="2311" spans="1:5" x14ac:dyDescent="0.2">
      <c r="A2311" s="113">
        <v>37009</v>
      </c>
      <c r="B2311" s="111">
        <f t="shared" si="36"/>
        <v>44</v>
      </c>
      <c r="C2311" s="111"/>
      <c r="D2311" s="111"/>
      <c r="E2311" s="111"/>
    </row>
    <row r="2312" spans="1:5" x14ac:dyDescent="0.2">
      <c r="A2312" s="113">
        <v>37010</v>
      </c>
      <c r="B2312" s="111">
        <f t="shared" si="36"/>
        <v>45</v>
      </c>
      <c r="C2312" s="111"/>
      <c r="D2312" s="111"/>
      <c r="E2312" s="111"/>
    </row>
    <row r="2313" spans="1:5" x14ac:dyDescent="0.2">
      <c r="A2313" s="113">
        <v>37011</v>
      </c>
      <c r="B2313" s="111">
        <f t="shared" si="36"/>
        <v>45</v>
      </c>
      <c r="C2313" s="111"/>
      <c r="D2313" s="111"/>
      <c r="E2313" s="111"/>
    </row>
    <row r="2314" spans="1:5" x14ac:dyDescent="0.2">
      <c r="A2314" s="113">
        <v>37012</v>
      </c>
      <c r="B2314" s="111">
        <f t="shared" si="36"/>
        <v>45</v>
      </c>
      <c r="C2314" s="111"/>
      <c r="D2314" s="111"/>
      <c r="E2314" s="111"/>
    </row>
    <row r="2315" spans="1:5" x14ac:dyDescent="0.2">
      <c r="A2315" s="113">
        <v>37013</v>
      </c>
      <c r="B2315" s="111">
        <f t="shared" si="36"/>
        <v>45</v>
      </c>
      <c r="C2315" s="111"/>
      <c r="D2315" s="111"/>
      <c r="E2315" s="111"/>
    </row>
    <row r="2316" spans="1:5" x14ac:dyDescent="0.2">
      <c r="A2316" s="113">
        <v>37014</v>
      </c>
      <c r="B2316" s="111">
        <f t="shared" si="36"/>
        <v>45</v>
      </c>
      <c r="C2316" s="111"/>
      <c r="D2316" s="111"/>
      <c r="E2316" s="111"/>
    </row>
    <row r="2317" spans="1:5" x14ac:dyDescent="0.2">
      <c r="A2317" s="113">
        <v>37015</v>
      </c>
      <c r="B2317" s="111">
        <f t="shared" si="36"/>
        <v>45</v>
      </c>
      <c r="C2317" s="111"/>
      <c r="D2317" s="111"/>
      <c r="E2317" s="111"/>
    </row>
    <row r="2318" spans="1:5" x14ac:dyDescent="0.2">
      <c r="A2318" s="113">
        <v>37016</v>
      </c>
      <c r="B2318" s="111">
        <f t="shared" si="36"/>
        <v>45</v>
      </c>
      <c r="C2318" s="111"/>
      <c r="D2318" s="111"/>
      <c r="E2318" s="111"/>
    </row>
    <row r="2319" spans="1:5" x14ac:dyDescent="0.2">
      <c r="A2319" s="113">
        <v>37017</v>
      </c>
      <c r="B2319" s="111">
        <f t="shared" si="36"/>
        <v>51</v>
      </c>
      <c r="C2319" s="111"/>
      <c r="D2319" s="111"/>
      <c r="E2319" s="111"/>
    </row>
    <row r="2320" spans="1:5" x14ac:dyDescent="0.2">
      <c r="A2320" s="113">
        <v>37018</v>
      </c>
      <c r="B2320" s="111">
        <f t="shared" si="36"/>
        <v>51</v>
      </c>
      <c r="C2320" s="111"/>
      <c r="D2320" s="111"/>
      <c r="E2320" s="111"/>
    </row>
    <row r="2321" spans="1:5" x14ac:dyDescent="0.2">
      <c r="A2321" s="113">
        <v>37019</v>
      </c>
      <c r="B2321" s="111">
        <f t="shared" si="36"/>
        <v>51</v>
      </c>
      <c r="C2321" s="111"/>
      <c r="D2321" s="111"/>
      <c r="E2321" s="111"/>
    </row>
    <row r="2322" spans="1:5" x14ac:dyDescent="0.2">
      <c r="A2322" s="113">
        <v>37020</v>
      </c>
      <c r="B2322" s="111">
        <f t="shared" si="36"/>
        <v>51</v>
      </c>
      <c r="C2322" s="111"/>
      <c r="D2322" s="111"/>
      <c r="E2322" s="111"/>
    </row>
    <row r="2323" spans="1:5" x14ac:dyDescent="0.2">
      <c r="A2323" s="113">
        <v>37021</v>
      </c>
      <c r="B2323" s="111">
        <f t="shared" si="36"/>
        <v>51</v>
      </c>
      <c r="C2323" s="111"/>
      <c r="D2323" s="111"/>
      <c r="E2323" s="111"/>
    </row>
    <row r="2324" spans="1:5" x14ac:dyDescent="0.2">
      <c r="A2324" s="113">
        <v>37022</v>
      </c>
      <c r="B2324" s="111">
        <f t="shared" si="36"/>
        <v>51</v>
      </c>
      <c r="C2324" s="111"/>
      <c r="D2324" s="111"/>
      <c r="E2324" s="111"/>
    </row>
    <row r="2325" spans="1:5" x14ac:dyDescent="0.2">
      <c r="A2325" s="113">
        <v>37023</v>
      </c>
      <c r="B2325" s="111">
        <f t="shared" si="36"/>
        <v>51</v>
      </c>
      <c r="C2325" s="111"/>
      <c r="D2325" s="111"/>
      <c r="E2325" s="111"/>
    </row>
    <row r="2326" spans="1:5" x14ac:dyDescent="0.2">
      <c r="A2326" s="113">
        <v>37024</v>
      </c>
      <c r="B2326" s="111">
        <f t="shared" si="36"/>
        <v>52</v>
      </c>
      <c r="C2326" s="111"/>
      <c r="D2326" s="111"/>
      <c r="E2326" s="111"/>
    </row>
    <row r="2327" spans="1:5" x14ac:dyDescent="0.2">
      <c r="A2327" s="113">
        <v>37025</v>
      </c>
      <c r="B2327" s="111">
        <f t="shared" si="36"/>
        <v>52</v>
      </c>
      <c r="C2327" s="111"/>
      <c r="D2327" s="111"/>
      <c r="E2327" s="111"/>
    </row>
    <row r="2328" spans="1:5" x14ac:dyDescent="0.2">
      <c r="A2328" s="113">
        <v>37026</v>
      </c>
      <c r="B2328" s="111">
        <f t="shared" si="36"/>
        <v>52</v>
      </c>
      <c r="C2328" s="111"/>
      <c r="D2328" s="111"/>
      <c r="E2328" s="111"/>
    </row>
    <row r="2329" spans="1:5" x14ac:dyDescent="0.2">
      <c r="A2329" s="113">
        <v>37027</v>
      </c>
      <c r="B2329" s="111">
        <f t="shared" si="36"/>
        <v>52</v>
      </c>
      <c r="C2329" s="111"/>
      <c r="D2329" s="111"/>
      <c r="E2329" s="111"/>
    </row>
    <row r="2330" spans="1:5" x14ac:dyDescent="0.2">
      <c r="A2330" s="113">
        <v>37028</v>
      </c>
      <c r="B2330" s="111">
        <f t="shared" si="36"/>
        <v>52</v>
      </c>
      <c r="C2330" s="111"/>
      <c r="D2330" s="111"/>
      <c r="E2330" s="111"/>
    </row>
    <row r="2331" spans="1:5" x14ac:dyDescent="0.2">
      <c r="A2331" s="113">
        <v>37029</v>
      </c>
      <c r="B2331" s="111">
        <f t="shared" si="36"/>
        <v>52</v>
      </c>
      <c r="C2331" s="111"/>
      <c r="D2331" s="111"/>
      <c r="E2331" s="111"/>
    </row>
    <row r="2332" spans="1:5" x14ac:dyDescent="0.2">
      <c r="A2332" s="113">
        <v>37030</v>
      </c>
      <c r="B2332" s="111">
        <f t="shared" si="36"/>
        <v>52</v>
      </c>
      <c r="C2332" s="111"/>
      <c r="D2332" s="111"/>
      <c r="E2332" s="111"/>
    </row>
    <row r="2333" spans="1:5" x14ac:dyDescent="0.2">
      <c r="A2333" s="113">
        <v>37031</v>
      </c>
      <c r="B2333" s="111">
        <f t="shared" si="36"/>
        <v>53</v>
      </c>
      <c r="C2333" s="111"/>
      <c r="D2333" s="111"/>
      <c r="E2333" s="111"/>
    </row>
    <row r="2334" spans="1:5" x14ac:dyDescent="0.2">
      <c r="A2334" s="113">
        <v>37032</v>
      </c>
      <c r="B2334" s="111">
        <f t="shared" si="36"/>
        <v>53</v>
      </c>
      <c r="C2334" s="111"/>
      <c r="D2334" s="111"/>
      <c r="E2334" s="111"/>
    </row>
    <row r="2335" spans="1:5" x14ac:dyDescent="0.2">
      <c r="A2335" s="113">
        <v>37033</v>
      </c>
      <c r="B2335" s="111">
        <f t="shared" si="36"/>
        <v>53</v>
      </c>
      <c r="C2335" s="111"/>
      <c r="D2335" s="111"/>
      <c r="E2335" s="111"/>
    </row>
    <row r="2336" spans="1:5" x14ac:dyDescent="0.2">
      <c r="A2336" s="113">
        <v>37034</v>
      </c>
      <c r="B2336" s="111">
        <f t="shared" si="36"/>
        <v>53</v>
      </c>
      <c r="C2336" s="111"/>
      <c r="D2336" s="111"/>
      <c r="E2336" s="111"/>
    </row>
    <row r="2337" spans="1:5" x14ac:dyDescent="0.2">
      <c r="A2337" s="113">
        <v>37035</v>
      </c>
      <c r="B2337" s="111">
        <f t="shared" si="36"/>
        <v>53</v>
      </c>
      <c r="C2337" s="111"/>
      <c r="D2337" s="111"/>
      <c r="E2337" s="111"/>
    </row>
    <row r="2338" spans="1:5" x14ac:dyDescent="0.2">
      <c r="A2338" s="113">
        <v>37036</v>
      </c>
      <c r="B2338" s="111">
        <f t="shared" si="36"/>
        <v>53</v>
      </c>
      <c r="C2338" s="111"/>
      <c r="D2338" s="111"/>
      <c r="E2338" s="111"/>
    </row>
    <row r="2339" spans="1:5" x14ac:dyDescent="0.2">
      <c r="A2339" s="113">
        <v>37037</v>
      </c>
      <c r="B2339" s="111">
        <f t="shared" si="36"/>
        <v>53</v>
      </c>
      <c r="C2339" s="111"/>
      <c r="D2339" s="111"/>
      <c r="E2339" s="111"/>
    </row>
    <row r="2340" spans="1:5" x14ac:dyDescent="0.2">
      <c r="A2340" s="113">
        <v>37038</v>
      </c>
      <c r="B2340" s="111">
        <f t="shared" si="36"/>
        <v>54</v>
      </c>
      <c r="C2340" s="111"/>
      <c r="D2340" s="111"/>
      <c r="E2340" s="111"/>
    </row>
    <row r="2341" spans="1:5" x14ac:dyDescent="0.2">
      <c r="A2341" s="113">
        <v>37039</v>
      </c>
      <c r="B2341" s="111">
        <f t="shared" si="36"/>
        <v>54</v>
      </c>
      <c r="C2341" s="111"/>
      <c r="D2341" s="111"/>
      <c r="E2341" s="111"/>
    </row>
    <row r="2342" spans="1:5" x14ac:dyDescent="0.2">
      <c r="A2342" s="113">
        <v>37040</v>
      </c>
      <c r="B2342" s="111">
        <f t="shared" si="36"/>
        <v>54</v>
      </c>
      <c r="C2342" s="111"/>
      <c r="D2342" s="111"/>
      <c r="E2342" s="111"/>
    </row>
    <row r="2343" spans="1:5" x14ac:dyDescent="0.2">
      <c r="A2343" s="113">
        <v>37041</v>
      </c>
      <c r="B2343" s="111">
        <f t="shared" si="36"/>
        <v>54</v>
      </c>
      <c r="C2343" s="111"/>
      <c r="D2343" s="111"/>
      <c r="E2343" s="111"/>
    </row>
    <row r="2344" spans="1:5" x14ac:dyDescent="0.2">
      <c r="A2344" s="113">
        <v>37042</v>
      </c>
      <c r="B2344" s="111">
        <f t="shared" si="36"/>
        <v>54</v>
      </c>
      <c r="C2344" s="111"/>
      <c r="D2344" s="111"/>
      <c r="E2344" s="111"/>
    </row>
    <row r="2345" spans="1:5" x14ac:dyDescent="0.2">
      <c r="A2345" s="113">
        <v>37043</v>
      </c>
      <c r="B2345" s="111">
        <f t="shared" si="36"/>
        <v>54</v>
      </c>
      <c r="C2345" s="111"/>
      <c r="D2345" s="111"/>
      <c r="E2345" s="111"/>
    </row>
    <row r="2346" spans="1:5" x14ac:dyDescent="0.2">
      <c r="A2346" s="113">
        <v>37044</v>
      </c>
      <c r="B2346" s="111">
        <f t="shared" si="36"/>
        <v>54</v>
      </c>
      <c r="C2346" s="111"/>
      <c r="D2346" s="111"/>
      <c r="E2346" s="111"/>
    </row>
    <row r="2347" spans="1:5" x14ac:dyDescent="0.2">
      <c r="A2347" s="113">
        <v>37045</v>
      </c>
      <c r="B2347" s="111">
        <f t="shared" si="36"/>
        <v>61</v>
      </c>
      <c r="C2347" s="111"/>
      <c r="D2347" s="111"/>
      <c r="E2347" s="111"/>
    </row>
    <row r="2348" spans="1:5" x14ac:dyDescent="0.2">
      <c r="A2348" s="113">
        <v>37046</v>
      </c>
      <c r="B2348" s="111">
        <f t="shared" si="36"/>
        <v>61</v>
      </c>
      <c r="C2348" s="111"/>
      <c r="D2348" s="111"/>
      <c r="E2348" s="111"/>
    </row>
    <row r="2349" spans="1:5" x14ac:dyDescent="0.2">
      <c r="A2349" s="113">
        <v>37047</v>
      </c>
      <c r="B2349" s="111">
        <f t="shared" si="36"/>
        <v>61</v>
      </c>
      <c r="C2349" s="111"/>
      <c r="D2349" s="111"/>
      <c r="E2349" s="111"/>
    </row>
    <row r="2350" spans="1:5" x14ac:dyDescent="0.2">
      <c r="A2350" s="113">
        <v>37048</v>
      </c>
      <c r="B2350" s="111">
        <f t="shared" si="36"/>
        <v>61</v>
      </c>
      <c r="C2350" s="111"/>
      <c r="D2350" s="111"/>
      <c r="E2350" s="111"/>
    </row>
    <row r="2351" spans="1:5" x14ac:dyDescent="0.2">
      <c r="A2351" s="113">
        <v>37049</v>
      </c>
      <c r="B2351" s="111">
        <f t="shared" si="36"/>
        <v>61</v>
      </c>
      <c r="C2351" s="111"/>
      <c r="D2351" s="111"/>
      <c r="E2351" s="111"/>
    </row>
    <row r="2352" spans="1:5" x14ac:dyDescent="0.2">
      <c r="A2352" s="113">
        <v>37050</v>
      </c>
      <c r="B2352" s="111">
        <f t="shared" si="36"/>
        <v>61</v>
      </c>
      <c r="C2352" s="111"/>
      <c r="D2352" s="111"/>
      <c r="E2352" s="111"/>
    </row>
    <row r="2353" spans="1:5" x14ac:dyDescent="0.2">
      <c r="A2353" s="113">
        <v>37051</v>
      </c>
      <c r="B2353" s="111">
        <f t="shared" si="36"/>
        <v>61</v>
      </c>
      <c r="C2353" s="111"/>
      <c r="D2353" s="111"/>
      <c r="E2353" s="111"/>
    </row>
    <row r="2354" spans="1:5" x14ac:dyDescent="0.2">
      <c r="A2354" s="113">
        <v>37052</v>
      </c>
      <c r="B2354" s="111">
        <f t="shared" si="36"/>
        <v>62</v>
      </c>
      <c r="C2354" s="111"/>
      <c r="D2354" s="111"/>
      <c r="E2354" s="111"/>
    </row>
    <row r="2355" spans="1:5" x14ac:dyDescent="0.2">
      <c r="A2355" s="113">
        <v>37053</v>
      </c>
      <c r="B2355" s="111">
        <f t="shared" si="36"/>
        <v>62</v>
      </c>
      <c r="C2355" s="111"/>
      <c r="D2355" s="111"/>
      <c r="E2355" s="111"/>
    </row>
    <row r="2356" spans="1:5" x14ac:dyDescent="0.2">
      <c r="A2356" s="113">
        <v>37054</v>
      </c>
      <c r="B2356" s="111">
        <f t="shared" si="36"/>
        <v>62</v>
      </c>
      <c r="C2356" s="111"/>
      <c r="D2356" s="111"/>
      <c r="E2356" s="111"/>
    </row>
    <row r="2357" spans="1:5" x14ac:dyDescent="0.2">
      <c r="A2357" s="113">
        <v>37055</v>
      </c>
      <c r="B2357" s="111">
        <f t="shared" si="36"/>
        <v>62</v>
      </c>
      <c r="C2357" s="111"/>
      <c r="D2357" s="111"/>
      <c r="E2357" s="111"/>
    </row>
    <row r="2358" spans="1:5" x14ac:dyDescent="0.2">
      <c r="A2358" s="113">
        <v>37056</v>
      </c>
      <c r="B2358" s="111">
        <f t="shared" si="36"/>
        <v>62</v>
      </c>
      <c r="C2358" s="111"/>
      <c r="D2358" s="111"/>
      <c r="E2358" s="111"/>
    </row>
    <row r="2359" spans="1:5" x14ac:dyDescent="0.2">
      <c r="A2359" s="113">
        <v>37057</v>
      </c>
      <c r="B2359" s="111">
        <f t="shared" si="36"/>
        <v>62</v>
      </c>
      <c r="C2359" s="111"/>
      <c r="D2359" s="111"/>
      <c r="E2359" s="111"/>
    </row>
    <row r="2360" spans="1:5" x14ac:dyDescent="0.2">
      <c r="A2360" s="113">
        <v>37058</v>
      </c>
      <c r="B2360" s="111">
        <f t="shared" si="36"/>
        <v>62</v>
      </c>
      <c r="C2360" s="111"/>
      <c r="D2360" s="111"/>
      <c r="E2360" s="111"/>
    </row>
    <row r="2361" spans="1:5" x14ac:dyDescent="0.2">
      <c r="A2361" s="113">
        <v>37059</v>
      </c>
      <c r="B2361" s="111">
        <f t="shared" si="36"/>
        <v>63</v>
      </c>
      <c r="C2361" s="111"/>
      <c r="D2361" s="111"/>
      <c r="E2361" s="111"/>
    </row>
    <row r="2362" spans="1:5" x14ac:dyDescent="0.2">
      <c r="A2362" s="113">
        <v>37060</v>
      </c>
      <c r="B2362" s="111">
        <f t="shared" si="36"/>
        <v>63</v>
      </c>
      <c r="C2362" s="111"/>
      <c r="D2362" s="111"/>
      <c r="E2362" s="111"/>
    </row>
    <row r="2363" spans="1:5" x14ac:dyDescent="0.2">
      <c r="A2363" s="113">
        <v>37061</v>
      </c>
      <c r="B2363" s="111">
        <f t="shared" si="36"/>
        <v>63</v>
      </c>
      <c r="C2363" s="111"/>
      <c r="D2363" s="111"/>
      <c r="E2363" s="111"/>
    </row>
    <row r="2364" spans="1:5" x14ac:dyDescent="0.2">
      <c r="A2364" s="113">
        <v>37062</v>
      </c>
      <c r="B2364" s="111">
        <f t="shared" si="36"/>
        <v>63</v>
      </c>
      <c r="C2364" s="111"/>
      <c r="D2364" s="111"/>
      <c r="E2364" s="111"/>
    </row>
    <row r="2365" spans="1:5" x14ac:dyDescent="0.2">
      <c r="A2365" s="113">
        <v>37063</v>
      </c>
      <c r="B2365" s="111">
        <f t="shared" si="36"/>
        <v>63</v>
      </c>
      <c r="C2365" s="111"/>
      <c r="D2365" s="111"/>
      <c r="E2365" s="111"/>
    </row>
    <row r="2366" spans="1:5" x14ac:dyDescent="0.2">
      <c r="A2366" s="113">
        <v>37064</v>
      </c>
      <c r="B2366" s="111">
        <f t="shared" si="36"/>
        <v>63</v>
      </c>
      <c r="C2366" s="111"/>
      <c r="D2366" s="111"/>
      <c r="E2366" s="111"/>
    </row>
    <row r="2367" spans="1:5" x14ac:dyDescent="0.2">
      <c r="A2367" s="113">
        <v>37065</v>
      </c>
      <c r="B2367" s="111">
        <f t="shared" si="36"/>
        <v>63</v>
      </c>
      <c r="C2367" s="111"/>
      <c r="D2367" s="111"/>
      <c r="E2367" s="111"/>
    </row>
    <row r="2368" spans="1:5" x14ac:dyDescent="0.2">
      <c r="A2368" s="113">
        <v>37066</v>
      </c>
      <c r="B2368" s="111">
        <f t="shared" si="36"/>
        <v>64</v>
      </c>
      <c r="C2368" s="111"/>
      <c r="D2368" s="111"/>
      <c r="E2368" s="111"/>
    </row>
    <row r="2369" spans="1:5" x14ac:dyDescent="0.2">
      <c r="A2369" s="113">
        <v>37067</v>
      </c>
      <c r="B2369" s="111">
        <f t="shared" si="36"/>
        <v>64</v>
      </c>
      <c r="C2369" s="111"/>
      <c r="D2369" s="111"/>
      <c r="E2369" s="111"/>
    </row>
    <row r="2370" spans="1:5" x14ac:dyDescent="0.2">
      <c r="A2370" s="113">
        <v>37068</v>
      </c>
      <c r="B2370" s="111">
        <f t="shared" ref="B2370:B2433" si="37">VLOOKUP(WEEKNUM(A2370),$D$3:$E$58,2)</f>
        <v>64</v>
      </c>
      <c r="C2370" s="111"/>
      <c r="D2370" s="111"/>
      <c r="E2370" s="111"/>
    </row>
    <row r="2371" spans="1:5" x14ac:dyDescent="0.2">
      <c r="A2371" s="113">
        <v>37069</v>
      </c>
      <c r="B2371" s="111">
        <f t="shared" si="37"/>
        <v>64</v>
      </c>
      <c r="C2371" s="111"/>
      <c r="D2371" s="111"/>
      <c r="E2371" s="111"/>
    </row>
    <row r="2372" spans="1:5" x14ac:dyDescent="0.2">
      <c r="A2372" s="113">
        <v>37070</v>
      </c>
      <c r="B2372" s="111">
        <f t="shared" si="37"/>
        <v>64</v>
      </c>
      <c r="C2372" s="111"/>
      <c r="D2372" s="111"/>
      <c r="E2372" s="111"/>
    </row>
    <row r="2373" spans="1:5" x14ac:dyDescent="0.2">
      <c r="A2373" s="113">
        <v>37071</v>
      </c>
      <c r="B2373" s="111">
        <f t="shared" si="37"/>
        <v>64</v>
      </c>
      <c r="C2373" s="111"/>
      <c r="D2373" s="111"/>
      <c r="E2373" s="111"/>
    </row>
    <row r="2374" spans="1:5" x14ac:dyDescent="0.2">
      <c r="A2374" s="113">
        <v>37072</v>
      </c>
      <c r="B2374" s="111">
        <f t="shared" si="37"/>
        <v>64</v>
      </c>
      <c r="C2374" s="111"/>
      <c r="D2374" s="111"/>
      <c r="E2374" s="111"/>
    </row>
    <row r="2375" spans="1:5" x14ac:dyDescent="0.2">
      <c r="A2375" s="113">
        <v>37073</v>
      </c>
      <c r="B2375" s="111">
        <f t="shared" si="37"/>
        <v>71</v>
      </c>
      <c r="C2375" s="111"/>
      <c r="D2375" s="111"/>
      <c r="E2375" s="111"/>
    </row>
    <row r="2376" spans="1:5" x14ac:dyDescent="0.2">
      <c r="A2376" s="113">
        <v>37074</v>
      </c>
      <c r="B2376" s="111">
        <f t="shared" si="37"/>
        <v>71</v>
      </c>
      <c r="C2376" s="111"/>
      <c r="D2376" s="111"/>
      <c r="E2376" s="111"/>
    </row>
    <row r="2377" spans="1:5" x14ac:dyDescent="0.2">
      <c r="A2377" s="113">
        <v>37075</v>
      </c>
      <c r="B2377" s="111">
        <f t="shared" si="37"/>
        <v>71</v>
      </c>
      <c r="C2377" s="111"/>
      <c r="D2377" s="111"/>
      <c r="E2377" s="111"/>
    </row>
    <row r="2378" spans="1:5" x14ac:dyDescent="0.2">
      <c r="A2378" s="113">
        <v>37076</v>
      </c>
      <c r="B2378" s="111">
        <f t="shared" si="37"/>
        <v>71</v>
      </c>
      <c r="C2378" s="111"/>
      <c r="D2378" s="111"/>
      <c r="E2378" s="111"/>
    </row>
    <row r="2379" spans="1:5" x14ac:dyDescent="0.2">
      <c r="A2379" s="113">
        <v>37077</v>
      </c>
      <c r="B2379" s="111">
        <f t="shared" si="37"/>
        <v>71</v>
      </c>
      <c r="C2379" s="111"/>
      <c r="D2379" s="111"/>
      <c r="E2379" s="111"/>
    </row>
    <row r="2380" spans="1:5" x14ac:dyDescent="0.2">
      <c r="A2380" s="113">
        <v>37078</v>
      </c>
      <c r="B2380" s="111">
        <f t="shared" si="37"/>
        <v>71</v>
      </c>
      <c r="C2380" s="111"/>
      <c r="D2380" s="111"/>
      <c r="E2380" s="111"/>
    </row>
    <row r="2381" spans="1:5" x14ac:dyDescent="0.2">
      <c r="A2381" s="113">
        <v>37079</v>
      </c>
      <c r="B2381" s="111">
        <f t="shared" si="37"/>
        <v>71</v>
      </c>
      <c r="C2381" s="111"/>
      <c r="D2381" s="111"/>
      <c r="E2381" s="111"/>
    </row>
    <row r="2382" spans="1:5" x14ac:dyDescent="0.2">
      <c r="A2382" s="113">
        <v>37080</v>
      </c>
      <c r="B2382" s="111">
        <f t="shared" si="37"/>
        <v>72</v>
      </c>
      <c r="C2382" s="111"/>
      <c r="D2382" s="111"/>
      <c r="E2382" s="111"/>
    </row>
    <row r="2383" spans="1:5" x14ac:dyDescent="0.2">
      <c r="A2383" s="113">
        <v>37081</v>
      </c>
      <c r="B2383" s="111">
        <f t="shared" si="37"/>
        <v>72</v>
      </c>
      <c r="C2383" s="111"/>
      <c r="D2383" s="111"/>
      <c r="E2383" s="111"/>
    </row>
    <row r="2384" spans="1:5" x14ac:dyDescent="0.2">
      <c r="A2384" s="113">
        <v>37082</v>
      </c>
      <c r="B2384" s="111">
        <f t="shared" si="37"/>
        <v>72</v>
      </c>
      <c r="C2384" s="111"/>
      <c r="D2384" s="111"/>
      <c r="E2384" s="111"/>
    </row>
    <row r="2385" spans="1:5" x14ac:dyDescent="0.2">
      <c r="A2385" s="113">
        <v>37083</v>
      </c>
      <c r="B2385" s="111">
        <f t="shared" si="37"/>
        <v>72</v>
      </c>
      <c r="C2385" s="111"/>
      <c r="D2385" s="111"/>
      <c r="E2385" s="111"/>
    </row>
    <row r="2386" spans="1:5" x14ac:dyDescent="0.2">
      <c r="A2386" s="113">
        <v>37084</v>
      </c>
      <c r="B2386" s="111">
        <f t="shared" si="37"/>
        <v>72</v>
      </c>
      <c r="C2386" s="111"/>
      <c r="D2386" s="111"/>
      <c r="E2386" s="111"/>
    </row>
    <row r="2387" spans="1:5" x14ac:dyDescent="0.2">
      <c r="A2387" s="113">
        <v>37085</v>
      </c>
      <c r="B2387" s="111">
        <f t="shared" si="37"/>
        <v>72</v>
      </c>
      <c r="C2387" s="111"/>
      <c r="D2387" s="111"/>
      <c r="E2387" s="111"/>
    </row>
    <row r="2388" spans="1:5" x14ac:dyDescent="0.2">
      <c r="A2388" s="113">
        <v>37086</v>
      </c>
      <c r="B2388" s="111">
        <f t="shared" si="37"/>
        <v>72</v>
      </c>
      <c r="C2388" s="111"/>
      <c r="D2388" s="111"/>
      <c r="E2388" s="111"/>
    </row>
    <row r="2389" spans="1:5" x14ac:dyDescent="0.2">
      <c r="A2389" s="113">
        <v>37087</v>
      </c>
      <c r="B2389" s="111">
        <f t="shared" si="37"/>
        <v>73</v>
      </c>
      <c r="C2389" s="111"/>
      <c r="D2389" s="111"/>
      <c r="E2389" s="111"/>
    </row>
    <row r="2390" spans="1:5" x14ac:dyDescent="0.2">
      <c r="A2390" s="113">
        <v>37088</v>
      </c>
      <c r="B2390" s="111">
        <f t="shared" si="37"/>
        <v>73</v>
      </c>
      <c r="C2390" s="111"/>
      <c r="D2390" s="111"/>
      <c r="E2390" s="111"/>
    </row>
    <row r="2391" spans="1:5" x14ac:dyDescent="0.2">
      <c r="A2391" s="113">
        <v>37089</v>
      </c>
      <c r="B2391" s="111">
        <f t="shared" si="37"/>
        <v>73</v>
      </c>
      <c r="C2391" s="111"/>
      <c r="D2391" s="111"/>
      <c r="E2391" s="111"/>
    </row>
    <row r="2392" spans="1:5" x14ac:dyDescent="0.2">
      <c r="A2392" s="113">
        <v>37090</v>
      </c>
      <c r="B2392" s="111">
        <f t="shared" si="37"/>
        <v>73</v>
      </c>
      <c r="C2392" s="111"/>
      <c r="D2392" s="111"/>
      <c r="E2392" s="111"/>
    </row>
    <row r="2393" spans="1:5" x14ac:dyDescent="0.2">
      <c r="A2393" s="113">
        <v>37091</v>
      </c>
      <c r="B2393" s="111">
        <f t="shared" si="37"/>
        <v>73</v>
      </c>
      <c r="C2393" s="111"/>
      <c r="D2393" s="111"/>
      <c r="E2393" s="111"/>
    </row>
    <row r="2394" spans="1:5" x14ac:dyDescent="0.2">
      <c r="A2394" s="113">
        <v>37092</v>
      </c>
      <c r="B2394" s="111">
        <f t="shared" si="37"/>
        <v>73</v>
      </c>
      <c r="C2394" s="111"/>
      <c r="D2394" s="111"/>
      <c r="E2394" s="111"/>
    </row>
    <row r="2395" spans="1:5" x14ac:dyDescent="0.2">
      <c r="A2395" s="113">
        <v>37093</v>
      </c>
      <c r="B2395" s="111">
        <f t="shared" si="37"/>
        <v>73</v>
      </c>
      <c r="C2395" s="111"/>
      <c r="D2395" s="111"/>
      <c r="E2395" s="111"/>
    </row>
    <row r="2396" spans="1:5" x14ac:dyDescent="0.2">
      <c r="A2396" s="113">
        <v>37094</v>
      </c>
      <c r="B2396" s="111">
        <f t="shared" si="37"/>
        <v>74</v>
      </c>
      <c r="C2396" s="111"/>
      <c r="D2396" s="111"/>
      <c r="E2396" s="111"/>
    </row>
    <row r="2397" spans="1:5" x14ac:dyDescent="0.2">
      <c r="A2397" s="113">
        <v>37095</v>
      </c>
      <c r="B2397" s="111">
        <f t="shared" si="37"/>
        <v>74</v>
      </c>
      <c r="C2397" s="111"/>
      <c r="D2397" s="111"/>
      <c r="E2397" s="111"/>
    </row>
    <row r="2398" spans="1:5" x14ac:dyDescent="0.2">
      <c r="A2398" s="113">
        <v>37096</v>
      </c>
      <c r="B2398" s="111">
        <f t="shared" si="37"/>
        <v>74</v>
      </c>
      <c r="C2398" s="111"/>
      <c r="D2398" s="111"/>
      <c r="E2398" s="111"/>
    </row>
    <row r="2399" spans="1:5" x14ac:dyDescent="0.2">
      <c r="A2399" s="113">
        <v>37097</v>
      </c>
      <c r="B2399" s="111">
        <f t="shared" si="37"/>
        <v>74</v>
      </c>
      <c r="C2399" s="111"/>
      <c r="D2399" s="111"/>
      <c r="E2399" s="111"/>
    </row>
    <row r="2400" spans="1:5" x14ac:dyDescent="0.2">
      <c r="A2400" s="113">
        <v>37098</v>
      </c>
      <c r="B2400" s="111">
        <f t="shared" si="37"/>
        <v>74</v>
      </c>
      <c r="C2400" s="111"/>
      <c r="D2400" s="111"/>
      <c r="E2400" s="111"/>
    </row>
    <row r="2401" spans="1:5" x14ac:dyDescent="0.2">
      <c r="A2401" s="113">
        <v>37099</v>
      </c>
      <c r="B2401" s="111">
        <f t="shared" si="37"/>
        <v>74</v>
      </c>
      <c r="C2401" s="111"/>
      <c r="D2401" s="111"/>
      <c r="E2401" s="111"/>
    </row>
    <row r="2402" spans="1:5" x14ac:dyDescent="0.2">
      <c r="A2402" s="113">
        <v>37100</v>
      </c>
      <c r="B2402" s="111">
        <f t="shared" si="37"/>
        <v>74</v>
      </c>
      <c r="C2402" s="111"/>
      <c r="D2402" s="111"/>
      <c r="E2402" s="111"/>
    </row>
    <row r="2403" spans="1:5" x14ac:dyDescent="0.2">
      <c r="A2403" s="113">
        <v>37101</v>
      </c>
      <c r="B2403" s="111">
        <f t="shared" si="37"/>
        <v>75</v>
      </c>
      <c r="C2403" s="111"/>
      <c r="D2403" s="111"/>
      <c r="E2403" s="111"/>
    </row>
    <row r="2404" spans="1:5" x14ac:dyDescent="0.2">
      <c r="A2404" s="113">
        <v>37102</v>
      </c>
      <c r="B2404" s="111">
        <f t="shared" si="37"/>
        <v>75</v>
      </c>
      <c r="C2404" s="111"/>
      <c r="D2404" s="111"/>
      <c r="E2404" s="111"/>
    </row>
    <row r="2405" spans="1:5" x14ac:dyDescent="0.2">
      <c r="A2405" s="113">
        <v>37103</v>
      </c>
      <c r="B2405" s="111">
        <f t="shared" si="37"/>
        <v>75</v>
      </c>
      <c r="C2405" s="111"/>
      <c r="D2405" s="111"/>
      <c r="E2405" s="111"/>
    </row>
    <row r="2406" spans="1:5" x14ac:dyDescent="0.2">
      <c r="A2406" s="113">
        <v>37104</v>
      </c>
      <c r="B2406" s="111">
        <f t="shared" si="37"/>
        <v>75</v>
      </c>
      <c r="C2406" s="111"/>
      <c r="D2406" s="111"/>
      <c r="E2406" s="111"/>
    </row>
    <row r="2407" spans="1:5" x14ac:dyDescent="0.2">
      <c r="A2407" s="113">
        <v>37105</v>
      </c>
      <c r="B2407" s="111">
        <f t="shared" si="37"/>
        <v>75</v>
      </c>
      <c r="C2407" s="111"/>
      <c r="D2407" s="111"/>
      <c r="E2407" s="111"/>
    </row>
    <row r="2408" spans="1:5" x14ac:dyDescent="0.2">
      <c r="A2408" s="113">
        <v>37106</v>
      </c>
      <c r="B2408" s="111">
        <f t="shared" si="37"/>
        <v>75</v>
      </c>
      <c r="C2408" s="111"/>
      <c r="D2408" s="111"/>
      <c r="E2408" s="111"/>
    </row>
    <row r="2409" spans="1:5" x14ac:dyDescent="0.2">
      <c r="A2409" s="113">
        <v>37107</v>
      </c>
      <c r="B2409" s="111">
        <f t="shared" si="37"/>
        <v>75</v>
      </c>
      <c r="C2409" s="111"/>
      <c r="D2409" s="111"/>
      <c r="E2409" s="111"/>
    </row>
    <row r="2410" spans="1:5" x14ac:dyDescent="0.2">
      <c r="A2410" s="113">
        <v>37108</v>
      </c>
      <c r="B2410" s="111">
        <f t="shared" si="37"/>
        <v>81</v>
      </c>
      <c r="C2410" s="111"/>
      <c r="D2410" s="111"/>
      <c r="E2410" s="111"/>
    </row>
    <row r="2411" spans="1:5" x14ac:dyDescent="0.2">
      <c r="A2411" s="113">
        <v>37109</v>
      </c>
      <c r="B2411" s="111">
        <f t="shared" si="37"/>
        <v>81</v>
      </c>
      <c r="C2411" s="111"/>
      <c r="D2411" s="111"/>
      <c r="E2411" s="111"/>
    </row>
    <row r="2412" spans="1:5" x14ac:dyDescent="0.2">
      <c r="A2412" s="113">
        <v>37110</v>
      </c>
      <c r="B2412" s="111">
        <f t="shared" si="37"/>
        <v>81</v>
      </c>
      <c r="C2412" s="111"/>
      <c r="D2412" s="111"/>
      <c r="E2412" s="111"/>
    </row>
    <row r="2413" spans="1:5" x14ac:dyDescent="0.2">
      <c r="A2413" s="113">
        <v>37111</v>
      </c>
      <c r="B2413" s="111">
        <f t="shared" si="37"/>
        <v>81</v>
      </c>
      <c r="C2413" s="111"/>
      <c r="D2413" s="111"/>
      <c r="E2413" s="111"/>
    </row>
    <row r="2414" spans="1:5" x14ac:dyDescent="0.2">
      <c r="A2414" s="113">
        <v>37112</v>
      </c>
      <c r="B2414" s="111">
        <f t="shared" si="37"/>
        <v>81</v>
      </c>
      <c r="C2414" s="111"/>
      <c r="D2414" s="111"/>
      <c r="E2414" s="111"/>
    </row>
    <row r="2415" spans="1:5" x14ac:dyDescent="0.2">
      <c r="A2415" s="113">
        <v>37113</v>
      </c>
      <c r="B2415" s="111">
        <f t="shared" si="37"/>
        <v>81</v>
      </c>
      <c r="C2415" s="111"/>
      <c r="D2415" s="111"/>
      <c r="E2415" s="111"/>
    </row>
    <row r="2416" spans="1:5" x14ac:dyDescent="0.2">
      <c r="A2416" s="113">
        <v>37114</v>
      </c>
      <c r="B2416" s="111">
        <f t="shared" si="37"/>
        <v>81</v>
      </c>
      <c r="C2416" s="111"/>
      <c r="D2416" s="111"/>
      <c r="E2416" s="111"/>
    </row>
    <row r="2417" spans="1:5" x14ac:dyDescent="0.2">
      <c r="A2417" s="113">
        <v>37115</v>
      </c>
      <c r="B2417" s="111">
        <f t="shared" si="37"/>
        <v>82</v>
      </c>
      <c r="C2417" s="111"/>
      <c r="D2417" s="111"/>
      <c r="E2417" s="111"/>
    </row>
    <row r="2418" spans="1:5" x14ac:dyDescent="0.2">
      <c r="A2418" s="113">
        <v>37116</v>
      </c>
      <c r="B2418" s="111">
        <f t="shared" si="37"/>
        <v>82</v>
      </c>
      <c r="C2418" s="111"/>
      <c r="D2418" s="111"/>
      <c r="E2418" s="111"/>
    </row>
    <row r="2419" spans="1:5" x14ac:dyDescent="0.2">
      <c r="A2419" s="113">
        <v>37117</v>
      </c>
      <c r="B2419" s="111">
        <f t="shared" si="37"/>
        <v>82</v>
      </c>
      <c r="C2419" s="111"/>
      <c r="D2419" s="111"/>
      <c r="E2419" s="111"/>
    </row>
    <row r="2420" spans="1:5" x14ac:dyDescent="0.2">
      <c r="A2420" s="113">
        <v>37118</v>
      </c>
      <c r="B2420" s="111">
        <f t="shared" si="37"/>
        <v>82</v>
      </c>
      <c r="C2420" s="111"/>
      <c r="D2420" s="111"/>
      <c r="E2420" s="111"/>
    </row>
    <row r="2421" spans="1:5" x14ac:dyDescent="0.2">
      <c r="A2421" s="113">
        <v>37119</v>
      </c>
      <c r="B2421" s="111">
        <f t="shared" si="37"/>
        <v>82</v>
      </c>
      <c r="C2421" s="111"/>
      <c r="D2421" s="111"/>
      <c r="E2421" s="111"/>
    </row>
    <row r="2422" spans="1:5" x14ac:dyDescent="0.2">
      <c r="A2422" s="113">
        <v>37120</v>
      </c>
      <c r="B2422" s="111">
        <f t="shared" si="37"/>
        <v>82</v>
      </c>
      <c r="C2422" s="111"/>
      <c r="D2422" s="111"/>
      <c r="E2422" s="111"/>
    </row>
    <row r="2423" spans="1:5" x14ac:dyDescent="0.2">
      <c r="A2423" s="113">
        <v>37121</v>
      </c>
      <c r="B2423" s="111">
        <f t="shared" si="37"/>
        <v>82</v>
      </c>
      <c r="C2423" s="111"/>
      <c r="D2423" s="111"/>
      <c r="E2423" s="111"/>
    </row>
    <row r="2424" spans="1:5" x14ac:dyDescent="0.2">
      <c r="A2424" s="113">
        <v>37122</v>
      </c>
      <c r="B2424" s="111">
        <f t="shared" si="37"/>
        <v>83</v>
      </c>
      <c r="C2424" s="111"/>
      <c r="D2424" s="111"/>
      <c r="E2424" s="111"/>
    </row>
    <row r="2425" spans="1:5" x14ac:dyDescent="0.2">
      <c r="A2425" s="113">
        <v>37123</v>
      </c>
      <c r="B2425" s="111">
        <f t="shared" si="37"/>
        <v>83</v>
      </c>
      <c r="C2425" s="111"/>
      <c r="D2425" s="111"/>
      <c r="E2425" s="111"/>
    </row>
    <row r="2426" spans="1:5" x14ac:dyDescent="0.2">
      <c r="A2426" s="113">
        <v>37124</v>
      </c>
      <c r="B2426" s="111">
        <f t="shared" si="37"/>
        <v>83</v>
      </c>
      <c r="C2426" s="111"/>
      <c r="D2426" s="111"/>
      <c r="E2426" s="111"/>
    </row>
    <row r="2427" spans="1:5" x14ac:dyDescent="0.2">
      <c r="A2427" s="113">
        <v>37125</v>
      </c>
      <c r="B2427" s="111">
        <f t="shared" si="37"/>
        <v>83</v>
      </c>
      <c r="C2427" s="111"/>
      <c r="D2427" s="111"/>
      <c r="E2427" s="111"/>
    </row>
    <row r="2428" spans="1:5" x14ac:dyDescent="0.2">
      <c r="A2428" s="113">
        <v>37126</v>
      </c>
      <c r="B2428" s="111">
        <f t="shared" si="37"/>
        <v>83</v>
      </c>
      <c r="C2428" s="111"/>
      <c r="D2428" s="111"/>
      <c r="E2428" s="111"/>
    </row>
    <row r="2429" spans="1:5" x14ac:dyDescent="0.2">
      <c r="A2429" s="113">
        <v>37127</v>
      </c>
      <c r="B2429" s="111">
        <f t="shared" si="37"/>
        <v>83</v>
      </c>
      <c r="C2429" s="111"/>
      <c r="D2429" s="111"/>
      <c r="E2429" s="111"/>
    </row>
    <row r="2430" spans="1:5" x14ac:dyDescent="0.2">
      <c r="A2430" s="113">
        <v>37128</v>
      </c>
      <c r="B2430" s="111">
        <f t="shared" si="37"/>
        <v>83</v>
      </c>
      <c r="C2430" s="111"/>
      <c r="D2430" s="111"/>
      <c r="E2430" s="111"/>
    </row>
    <row r="2431" spans="1:5" x14ac:dyDescent="0.2">
      <c r="A2431" s="113">
        <v>37129</v>
      </c>
      <c r="B2431" s="111">
        <f t="shared" si="37"/>
        <v>84</v>
      </c>
      <c r="C2431" s="111"/>
      <c r="D2431" s="111"/>
      <c r="E2431" s="111"/>
    </row>
    <row r="2432" spans="1:5" x14ac:dyDescent="0.2">
      <c r="A2432" s="113">
        <v>37130</v>
      </c>
      <c r="B2432" s="111">
        <f t="shared" si="37"/>
        <v>84</v>
      </c>
      <c r="C2432" s="111"/>
      <c r="D2432" s="111"/>
      <c r="E2432" s="111"/>
    </row>
    <row r="2433" spans="1:5" x14ac:dyDescent="0.2">
      <c r="A2433" s="113">
        <v>37131</v>
      </c>
      <c r="B2433" s="111">
        <f t="shared" si="37"/>
        <v>84</v>
      </c>
      <c r="C2433" s="111"/>
      <c r="D2433" s="111"/>
      <c r="E2433" s="111"/>
    </row>
    <row r="2434" spans="1:5" x14ac:dyDescent="0.2">
      <c r="A2434" s="113">
        <v>37132</v>
      </c>
      <c r="B2434" s="111">
        <f t="shared" ref="B2434:B2497" si="38">VLOOKUP(WEEKNUM(A2434),$D$3:$E$58,2)</f>
        <v>84</v>
      </c>
      <c r="C2434" s="111"/>
      <c r="D2434" s="111"/>
      <c r="E2434" s="111"/>
    </row>
    <row r="2435" spans="1:5" x14ac:dyDescent="0.2">
      <c r="A2435" s="113">
        <v>37133</v>
      </c>
      <c r="B2435" s="111">
        <f t="shared" si="38"/>
        <v>84</v>
      </c>
      <c r="C2435" s="111"/>
      <c r="D2435" s="111"/>
      <c r="E2435" s="111"/>
    </row>
    <row r="2436" spans="1:5" x14ac:dyDescent="0.2">
      <c r="A2436" s="113">
        <v>37134</v>
      </c>
      <c r="B2436" s="111">
        <f t="shared" si="38"/>
        <v>84</v>
      </c>
      <c r="C2436" s="111"/>
      <c r="D2436" s="111"/>
      <c r="E2436" s="111"/>
    </row>
    <row r="2437" spans="1:5" x14ac:dyDescent="0.2">
      <c r="A2437" s="113">
        <v>37135</v>
      </c>
      <c r="B2437" s="111">
        <f t="shared" si="38"/>
        <v>84</v>
      </c>
      <c r="C2437" s="111"/>
      <c r="D2437" s="111"/>
      <c r="E2437" s="111"/>
    </row>
    <row r="2438" spans="1:5" x14ac:dyDescent="0.2">
      <c r="A2438" s="113">
        <v>37136</v>
      </c>
      <c r="B2438" s="111">
        <f t="shared" si="38"/>
        <v>91</v>
      </c>
      <c r="C2438" s="111"/>
      <c r="D2438" s="111"/>
      <c r="E2438" s="111"/>
    </row>
    <row r="2439" spans="1:5" x14ac:dyDescent="0.2">
      <c r="A2439" s="113">
        <v>37137</v>
      </c>
      <c r="B2439" s="111">
        <f t="shared" si="38"/>
        <v>91</v>
      </c>
      <c r="C2439" s="111"/>
      <c r="D2439" s="111"/>
      <c r="E2439" s="111"/>
    </row>
    <row r="2440" spans="1:5" x14ac:dyDescent="0.2">
      <c r="A2440" s="113">
        <v>37138</v>
      </c>
      <c r="B2440" s="111">
        <f t="shared" si="38"/>
        <v>91</v>
      </c>
      <c r="C2440" s="111"/>
      <c r="D2440" s="111"/>
      <c r="E2440" s="111"/>
    </row>
    <row r="2441" spans="1:5" x14ac:dyDescent="0.2">
      <c r="A2441" s="113">
        <v>37139</v>
      </c>
      <c r="B2441" s="111">
        <f t="shared" si="38"/>
        <v>91</v>
      </c>
      <c r="C2441" s="111"/>
      <c r="D2441" s="111"/>
      <c r="E2441" s="111"/>
    </row>
    <row r="2442" spans="1:5" x14ac:dyDescent="0.2">
      <c r="A2442" s="113">
        <v>37140</v>
      </c>
      <c r="B2442" s="111">
        <f t="shared" si="38"/>
        <v>91</v>
      </c>
      <c r="C2442" s="111"/>
      <c r="D2442" s="111"/>
      <c r="E2442" s="111"/>
    </row>
    <row r="2443" spans="1:5" x14ac:dyDescent="0.2">
      <c r="A2443" s="113">
        <v>37141</v>
      </c>
      <c r="B2443" s="111">
        <f t="shared" si="38"/>
        <v>91</v>
      </c>
      <c r="C2443" s="111"/>
      <c r="D2443" s="111"/>
      <c r="E2443" s="111"/>
    </row>
    <row r="2444" spans="1:5" x14ac:dyDescent="0.2">
      <c r="A2444" s="113">
        <v>37142</v>
      </c>
      <c r="B2444" s="111">
        <f t="shared" si="38"/>
        <v>91</v>
      </c>
      <c r="C2444" s="111"/>
      <c r="D2444" s="111"/>
      <c r="E2444" s="111"/>
    </row>
    <row r="2445" spans="1:5" x14ac:dyDescent="0.2">
      <c r="A2445" s="113">
        <v>37143</v>
      </c>
      <c r="B2445" s="111">
        <f t="shared" si="38"/>
        <v>92</v>
      </c>
      <c r="C2445" s="111"/>
      <c r="D2445" s="111"/>
      <c r="E2445" s="111"/>
    </row>
    <row r="2446" spans="1:5" x14ac:dyDescent="0.2">
      <c r="A2446" s="113">
        <v>37144</v>
      </c>
      <c r="B2446" s="111">
        <f t="shared" si="38"/>
        <v>92</v>
      </c>
      <c r="C2446" s="111"/>
      <c r="D2446" s="111"/>
      <c r="E2446" s="111"/>
    </row>
    <row r="2447" spans="1:5" x14ac:dyDescent="0.2">
      <c r="A2447" s="113">
        <v>37145</v>
      </c>
      <c r="B2447" s="111">
        <f t="shared" si="38"/>
        <v>92</v>
      </c>
      <c r="C2447" s="111"/>
      <c r="D2447" s="111"/>
      <c r="E2447" s="111"/>
    </row>
    <row r="2448" spans="1:5" x14ac:dyDescent="0.2">
      <c r="A2448" s="113">
        <v>37146</v>
      </c>
      <c r="B2448" s="111">
        <f t="shared" si="38"/>
        <v>92</v>
      </c>
      <c r="C2448" s="111"/>
      <c r="D2448" s="111"/>
      <c r="E2448" s="111"/>
    </row>
    <row r="2449" spans="1:5" x14ac:dyDescent="0.2">
      <c r="A2449" s="113">
        <v>37147</v>
      </c>
      <c r="B2449" s="111">
        <f t="shared" si="38"/>
        <v>92</v>
      </c>
      <c r="C2449" s="111"/>
      <c r="D2449" s="111"/>
      <c r="E2449" s="111"/>
    </row>
    <row r="2450" spans="1:5" x14ac:dyDescent="0.2">
      <c r="A2450" s="113">
        <v>37148</v>
      </c>
      <c r="B2450" s="111">
        <f t="shared" si="38"/>
        <v>92</v>
      </c>
      <c r="C2450" s="111"/>
      <c r="D2450" s="111"/>
      <c r="E2450" s="111"/>
    </row>
    <row r="2451" spans="1:5" x14ac:dyDescent="0.2">
      <c r="A2451" s="113">
        <v>37149</v>
      </c>
      <c r="B2451" s="111">
        <f t="shared" si="38"/>
        <v>92</v>
      </c>
      <c r="C2451" s="111"/>
      <c r="D2451" s="111"/>
      <c r="E2451" s="111"/>
    </row>
    <row r="2452" spans="1:5" x14ac:dyDescent="0.2">
      <c r="A2452" s="113">
        <v>37150</v>
      </c>
      <c r="B2452" s="111">
        <f t="shared" si="38"/>
        <v>93</v>
      </c>
      <c r="C2452" s="111"/>
      <c r="D2452" s="111"/>
      <c r="E2452" s="111"/>
    </row>
    <row r="2453" spans="1:5" x14ac:dyDescent="0.2">
      <c r="A2453" s="113">
        <v>37151</v>
      </c>
      <c r="B2453" s="111">
        <f t="shared" si="38"/>
        <v>93</v>
      </c>
      <c r="C2453" s="111"/>
      <c r="D2453" s="111"/>
      <c r="E2453" s="111"/>
    </row>
    <row r="2454" spans="1:5" x14ac:dyDescent="0.2">
      <c r="A2454" s="113">
        <v>37152</v>
      </c>
      <c r="B2454" s="111">
        <f t="shared" si="38"/>
        <v>93</v>
      </c>
      <c r="C2454" s="111"/>
      <c r="D2454" s="111"/>
      <c r="E2454" s="111"/>
    </row>
    <row r="2455" spans="1:5" x14ac:dyDescent="0.2">
      <c r="A2455" s="113">
        <v>37153</v>
      </c>
      <c r="B2455" s="111">
        <f t="shared" si="38"/>
        <v>93</v>
      </c>
      <c r="C2455" s="111"/>
      <c r="D2455" s="111"/>
      <c r="E2455" s="111"/>
    </row>
    <row r="2456" spans="1:5" x14ac:dyDescent="0.2">
      <c r="A2456" s="113">
        <v>37154</v>
      </c>
      <c r="B2456" s="111">
        <f t="shared" si="38"/>
        <v>93</v>
      </c>
      <c r="C2456" s="111"/>
      <c r="D2456" s="111"/>
      <c r="E2456" s="111"/>
    </row>
    <row r="2457" spans="1:5" x14ac:dyDescent="0.2">
      <c r="A2457" s="113">
        <v>37155</v>
      </c>
      <c r="B2457" s="111">
        <f t="shared" si="38"/>
        <v>93</v>
      </c>
      <c r="C2457" s="111"/>
      <c r="D2457" s="111"/>
      <c r="E2457" s="111"/>
    </row>
    <row r="2458" spans="1:5" x14ac:dyDescent="0.2">
      <c r="A2458" s="113">
        <v>37156</v>
      </c>
      <c r="B2458" s="111">
        <f t="shared" si="38"/>
        <v>93</v>
      </c>
      <c r="C2458" s="111"/>
      <c r="D2458" s="111"/>
      <c r="E2458" s="111"/>
    </row>
    <row r="2459" spans="1:5" x14ac:dyDescent="0.2">
      <c r="A2459" s="113">
        <v>37157</v>
      </c>
      <c r="B2459" s="111">
        <f t="shared" si="38"/>
        <v>94</v>
      </c>
      <c r="C2459" s="111"/>
      <c r="D2459" s="111"/>
      <c r="E2459" s="111"/>
    </row>
    <row r="2460" spans="1:5" x14ac:dyDescent="0.2">
      <c r="A2460" s="113">
        <v>37158</v>
      </c>
      <c r="B2460" s="111">
        <f t="shared" si="38"/>
        <v>94</v>
      </c>
      <c r="C2460" s="111"/>
      <c r="D2460" s="111"/>
      <c r="E2460" s="111"/>
    </row>
    <row r="2461" spans="1:5" x14ac:dyDescent="0.2">
      <c r="A2461" s="113">
        <v>37159</v>
      </c>
      <c r="B2461" s="111">
        <f t="shared" si="38"/>
        <v>94</v>
      </c>
      <c r="C2461" s="111"/>
      <c r="D2461" s="111"/>
      <c r="E2461" s="111"/>
    </row>
    <row r="2462" spans="1:5" x14ac:dyDescent="0.2">
      <c r="A2462" s="113">
        <v>37160</v>
      </c>
      <c r="B2462" s="111">
        <f t="shared" si="38"/>
        <v>94</v>
      </c>
      <c r="C2462" s="111"/>
      <c r="D2462" s="111"/>
      <c r="E2462" s="111"/>
    </row>
    <row r="2463" spans="1:5" x14ac:dyDescent="0.2">
      <c r="A2463" s="113">
        <v>37161</v>
      </c>
      <c r="B2463" s="111">
        <f t="shared" si="38"/>
        <v>94</v>
      </c>
      <c r="C2463" s="111"/>
      <c r="D2463" s="111"/>
      <c r="E2463" s="111"/>
    </row>
    <row r="2464" spans="1:5" x14ac:dyDescent="0.2">
      <c r="A2464" s="113">
        <v>37162</v>
      </c>
      <c r="B2464" s="111">
        <f t="shared" si="38"/>
        <v>94</v>
      </c>
      <c r="C2464" s="111"/>
      <c r="D2464" s="111"/>
      <c r="E2464" s="111"/>
    </row>
    <row r="2465" spans="1:5" x14ac:dyDescent="0.2">
      <c r="A2465" s="113">
        <v>37163</v>
      </c>
      <c r="B2465" s="111">
        <f t="shared" si="38"/>
        <v>94</v>
      </c>
      <c r="C2465" s="111"/>
      <c r="D2465" s="111"/>
      <c r="E2465" s="111"/>
    </row>
    <row r="2466" spans="1:5" x14ac:dyDescent="0.2">
      <c r="A2466" s="113">
        <v>37164</v>
      </c>
      <c r="B2466" s="111">
        <f t="shared" si="38"/>
        <v>101</v>
      </c>
      <c r="C2466" s="111"/>
      <c r="D2466" s="111"/>
      <c r="E2466" s="111"/>
    </row>
    <row r="2467" spans="1:5" x14ac:dyDescent="0.2">
      <c r="A2467" s="113">
        <v>37165</v>
      </c>
      <c r="B2467" s="111">
        <f t="shared" si="38"/>
        <v>101</v>
      </c>
      <c r="C2467" s="111"/>
      <c r="D2467" s="111"/>
      <c r="E2467" s="111"/>
    </row>
    <row r="2468" spans="1:5" x14ac:dyDescent="0.2">
      <c r="A2468" s="113">
        <v>37166</v>
      </c>
      <c r="B2468" s="111">
        <f t="shared" si="38"/>
        <v>101</v>
      </c>
      <c r="C2468" s="111"/>
      <c r="D2468" s="111"/>
      <c r="E2468" s="111"/>
    </row>
    <row r="2469" spans="1:5" x14ac:dyDescent="0.2">
      <c r="A2469" s="113">
        <v>37167</v>
      </c>
      <c r="B2469" s="111">
        <f t="shared" si="38"/>
        <v>101</v>
      </c>
      <c r="C2469" s="111"/>
      <c r="D2469" s="111"/>
      <c r="E2469" s="111"/>
    </row>
    <row r="2470" spans="1:5" x14ac:dyDescent="0.2">
      <c r="A2470" s="113">
        <v>37168</v>
      </c>
      <c r="B2470" s="111">
        <f t="shared" si="38"/>
        <v>101</v>
      </c>
      <c r="C2470" s="111"/>
      <c r="D2470" s="111"/>
      <c r="E2470" s="111"/>
    </row>
    <row r="2471" spans="1:5" x14ac:dyDescent="0.2">
      <c r="A2471" s="113">
        <v>37169</v>
      </c>
      <c r="B2471" s="111">
        <f t="shared" si="38"/>
        <v>101</v>
      </c>
      <c r="C2471" s="111"/>
      <c r="D2471" s="111"/>
      <c r="E2471" s="111"/>
    </row>
    <row r="2472" spans="1:5" x14ac:dyDescent="0.2">
      <c r="A2472" s="113">
        <v>37170</v>
      </c>
      <c r="B2472" s="111">
        <f t="shared" si="38"/>
        <v>101</v>
      </c>
      <c r="C2472" s="111"/>
      <c r="D2472" s="111"/>
      <c r="E2472" s="111"/>
    </row>
    <row r="2473" spans="1:5" x14ac:dyDescent="0.2">
      <c r="A2473" s="113">
        <v>37171</v>
      </c>
      <c r="B2473" s="111">
        <f t="shared" si="38"/>
        <v>102</v>
      </c>
      <c r="C2473" s="111"/>
      <c r="D2473" s="111"/>
      <c r="E2473" s="111"/>
    </row>
    <row r="2474" spans="1:5" x14ac:dyDescent="0.2">
      <c r="A2474" s="113">
        <v>37172</v>
      </c>
      <c r="B2474" s="111">
        <f t="shared" si="38"/>
        <v>102</v>
      </c>
      <c r="C2474" s="111"/>
      <c r="D2474" s="111"/>
      <c r="E2474" s="111"/>
    </row>
    <row r="2475" spans="1:5" x14ac:dyDescent="0.2">
      <c r="A2475" s="113">
        <v>37173</v>
      </c>
      <c r="B2475" s="111">
        <f t="shared" si="38"/>
        <v>102</v>
      </c>
      <c r="C2475" s="111"/>
      <c r="D2475" s="111"/>
      <c r="E2475" s="111"/>
    </row>
    <row r="2476" spans="1:5" x14ac:dyDescent="0.2">
      <c r="A2476" s="113">
        <v>37174</v>
      </c>
      <c r="B2476" s="111">
        <f t="shared" si="38"/>
        <v>102</v>
      </c>
      <c r="C2476" s="111"/>
      <c r="D2476" s="111"/>
      <c r="E2476" s="111"/>
    </row>
    <row r="2477" spans="1:5" x14ac:dyDescent="0.2">
      <c r="A2477" s="113">
        <v>37175</v>
      </c>
      <c r="B2477" s="111">
        <f t="shared" si="38"/>
        <v>102</v>
      </c>
      <c r="C2477" s="111"/>
      <c r="D2477" s="111"/>
      <c r="E2477" s="111"/>
    </row>
    <row r="2478" spans="1:5" x14ac:dyDescent="0.2">
      <c r="A2478" s="113">
        <v>37176</v>
      </c>
      <c r="B2478" s="111">
        <f t="shared" si="38"/>
        <v>102</v>
      </c>
      <c r="C2478" s="111"/>
      <c r="D2478" s="111"/>
      <c r="E2478" s="111"/>
    </row>
    <row r="2479" spans="1:5" x14ac:dyDescent="0.2">
      <c r="A2479" s="113">
        <v>37177</v>
      </c>
      <c r="B2479" s="111">
        <f t="shared" si="38"/>
        <v>102</v>
      </c>
      <c r="C2479" s="111"/>
      <c r="D2479" s="111"/>
      <c r="E2479" s="111"/>
    </row>
    <row r="2480" spans="1:5" x14ac:dyDescent="0.2">
      <c r="A2480" s="113">
        <v>37178</v>
      </c>
      <c r="B2480" s="111">
        <f t="shared" si="38"/>
        <v>103</v>
      </c>
      <c r="C2480" s="111"/>
      <c r="D2480" s="111"/>
      <c r="E2480" s="111"/>
    </row>
    <row r="2481" spans="1:5" x14ac:dyDescent="0.2">
      <c r="A2481" s="113">
        <v>37179</v>
      </c>
      <c r="B2481" s="111">
        <f t="shared" si="38"/>
        <v>103</v>
      </c>
      <c r="C2481" s="111"/>
      <c r="D2481" s="111"/>
      <c r="E2481" s="111"/>
    </row>
    <row r="2482" spans="1:5" x14ac:dyDescent="0.2">
      <c r="A2482" s="113">
        <v>37180</v>
      </c>
      <c r="B2482" s="111">
        <f t="shared" si="38"/>
        <v>103</v>
      </c>
      <c r="C2482" s="111"/>
      <c r="D2482" s="111"/>
      <c r="E2482" s="111"/>
    </row>
    <row r="2483" spans="1:5" x14ac:dyDescent="0.2">
      <c r="A2483" s="113">
        <v>37181</v>
      </c>
      <c r="B2483" s="111">
        <f t="shared" si="38"/>
        <v>103</v>
      </c>
      <c r="C2483" s="111"/>
      <c r="D2483" s="111"/>
      <c r="E2483" s="111"/>
    </row>
    <row r="2484" spans="1:5" x14ac:dyDescent="0.2">
      <c r="A2484" s="113">
        <v>37182</v>
      </c>
      <c r="B2484" s="111">
        <f t="shared" si="38"/>
        <v>103</v>
      </c>
      <c r="C2484" s="111"/>
      <c r="D2484" s="111"/>
      <c r="E2484" s="111"/>
    </row>
    <row r="2485" spans="1:5" x14ac:dyDescent="0.2">
      <c r="A2485" s="113">
        <v>37183</v>
      </c>
      <c r="B2485" s="111">
        <f t="shared" si="38"/>
        <v>103</v>
      </c>
      <c r="C2485" s="111"/>
      <c r="D2485" s="111"/>
      <c r="E2485" s="111"/>
    </row>
    <row r="2486" spans="1:5" x14ac:dyDescent="0.2">
      <c r="A2486" s="113">
        <v>37184</v>
      </c>
      <c r="B2486" s="111">
        <f t="shared" si="38"/>
        <v>103</v>
      </c>
      <c r="C2486" s="111"/>
      <c r="D2486" s="111"/>
      <c r="E2486" s="111"/>
    </row>
    <row r="2487" spans="1:5" x14ac:dyDescent="0.2">
      <c r="A2487" s="113">
        <v>37185</v>
      </c>
      <c r="B2487" s="111">
        <f t="shared" si="38"/>
        <v>104</v>
      </c>
      <c r="C2487" s="111"/>
      <c r="D2487" s="111"/>
      <c r="E2487" s="111"/>
    </row>
    <row r="2488" spans="1:5" x14ac:dyDescent="0.2">
      <c r="A2488" s="113">
        <v>37186</v>
      </c>
      <c r="B2488" s="111">
        <f t="shared" si="38"/>
        <v>104</v>
      </c>
      <c r="C2488" s="111"/>
      <c r="D2488" s="111"/>
      <c r="E2488" s="111"/>
    </row>
    <row r="2489" spans="1:5" x14ac:dyDescent="0.2">
      <c r="A2489" s="113">
        <v>37187</v>
      </c>
      <c r="B2489" s="111">
        <f t="shared" si="38"/>
        <v>104</v>
      </c>
      <c r="C2489" s="111"/>
      <c r="D2489" s="111"/>
      <c r="E2489" s="111"/>
    </row>
    <row r="2490" spans="1:5" x14ac:dyDescent="0.2">
      <c r="A2490" s="113">
        <v>37188</v>
      </c>
      <c r="B2490" s="111">
        <f t="shared" si="38"/>
        <v>104</v>
      </c>
      <c r="C2490" s="111"/>
      <c r="D2490" s="111"/>
      <c r="E2490" s="111"/>
    </row>
    <row r="2491" spans="1:5" x14ac:dyDescent="0.2">
      <c r="A2491" s="113">
        <v>37189</v>
      </c>
      <c r="B2491" s="111">
        <f t="shared" si="38"/>
        <v>104</v>
      </c>
      <c r="C2491" s="111"/>
      <c r="D2491" s="111"/>
      <c r="E2491" s="111"/>
    </row>
    <row r="2492" spans="1:5" x14ac:dyDescent="0.2">
      <c r="A2492" s="113">
        <v>37190</v>
      </c>
      <c r="B2492" s="111">
        <f t="shared" si="38"/>
        <v>104</v>
      </c>
      <c r="C2492" s="111"/>
      <c r="D2492" s="111"/>
      <c r="E2492" s="111"/>
    </row>
    <row r="2493" spans="1:5" x14ac:dyDescent="0.2">
      <c r="A2493" s="113">
        <v>37191</v>
      </c>
      <c r="B2493" s="111">
        <f t="shared" si="38"/>
        <v>104</v>
      </c>
      <c r="C2493" s="111"/>
      <c r="D2493" s="111"/>
      <c r="E2493" s="111"/>
    </row>
    <row r="2494" spans="1:5" x14ac:dyDescent="0.2">
      <c r="A2494" s="113">
        <v>37192</v>
      </c>
      <c r="B2494" s="111">
        <f t="shared" si="38"/>
        <v>105</v>
      </c>
      <c r="C2494" s="111"/>
      <c r="D2494" s="111"/>
      <c r="E2494" s="111"/>
    </row>
    <row r="2495" spans="1:5" x14ac:dyDescent="0.2">
      <c r="A2495" s="113">
        <v>37193</v>
      </c>
      <c r="B2495" s="111">
        <f t="shared" si="38"/>
        <v>105</v>
      </c>
      <c r="C2495" s="111"/>
      <c r="D2495" s="111"/>
      <c r="E2495" s="111"/>
    </row>
    <row r="2496" spans="1:5" x14ac:dyDescent="0.2">
      <c r="A2496" s="113">
        <v>37194</v>
      </c>
      <c r="B2496" s="111">
        <f t="shared" si="38"/>
        <v>105</v>
      </c>
      <c r="C2496" s="111"/>
      <c r="D2496" s="111"/>
      <c r="E2496" s="111"/>
    </row>
    <row r="2497" spans="1:5" x14ac:dyDescent="0.2">
      <c r="A2497" s="113">
        <v>37195</v>
      </c>
      <c r="B2497" s="111">
        <f t="shared" si="38"/>
        <v>105</v>
      </c>
      <c r="C2497" s="111"/>
      <c r="D2497" s="111"/>
      <c r="E2497" s="111"/>
    </row>
    <row r="2498" spans="1:5" x14ac:dyDescent="0.2">
      <c r="A2498" s="113">
        <v>37196</v>
      </c>
      <c r="B2498" s="111">
        <f t="shared" ref="B2498:B2561" si="39">VLOOKUP(WEEKNUM(A2498),$D$3:$E$58,2)</f>
        <v>105</v>
      </c>
      <c r="C2498" s="111"/>
      <c r="D2498" s="111"/>
      <c r="E2498" s="111"/>
    </row>
    <row r="2499" spans="1:5" x14ac:dyDescent="0.2">
      <c r="A2499" s="113">
        <v>37197</v>
      </c>
      <c r="B2499" s="111">
        <f t="shared" si="39"/>
        <v>105</v>
      </c>
      <c r="C2499" s="111"/>
      <c r="D2499" s="111"/>
      <c r="E2499" s="111"/>
    </row>
    <row r="2500" spans="1:5" x14ac:dyDescent="0.2">
      <c r="A2500" s="113">
        <v>37198</v>
      </c>
      <c r="B2500" s="111">
        <f t="shared" si="39"/>
        <v>105</v>
      </c>
      <c r="C2500" s="111"/>
      <c r="D2500" s="111"/>
      <c r="E2500" s="111"/>
    </row>
    <row r="2501" spans="1:5" x14ac:dyDescent="0.2">
      <c r="A2501" s="113">
        <v>37199</v>
      </c>
      <c r="B2501" s="111">
        <f t="shared" si="39"/>
        <v>111</v>
      </c>
      <c r="C2501" s="111"/>
      <c r="D2501" s="111"/>
      <c r="E2501" s="111"/>
    </row>
    <row r="2502" spans="1:5" x14ac:dyDescent="0.2">
      <c r="A2502" s="113">
        <v>37200</v>
      </c>
      <c r="B2502" s="111">
        <f t="shared" si="39"/>
        <v>111</v>
      </c>
      <c r="C2502" s="111"/>
      <c r="D2502" s="111"/>
      <c r="E2502" s="111"/>
    </row>
    <row r="2503" spans="1:5" x14ac:dyDescent="0.2">
      <c r="A2503" s="113">
        <v>37201</v>
      </c>
      <c r="B2503" s="111">
        <f t="shared" si="39"/>
        <v>111</v>
      </c>
      <c r="C2503" s="111"/>
      <c r="D2503" s="111"/>
      <c r="E2503" s="111"/>
    </row>
    <row r="2504" spans="1:5" x14ac:dyDescent="0.2">
      <c r="A2504" s="113">
        <v>37202</v>
      </c>
      <c r="B2504" s="111">
        <f t="shared" si="39"/>
        <v>111</v>
      </c>
      <c r="C2504" s="111"/>
      <c r="D2504" s="111"/>
      <c r="E2504" s="111"/>
    </row>
    <row r="2505" spans="1:5" x14ac:dyDescent="0.2">
      <c r="A2505" s="113">
        <v>37203</v>
      </c>
      <c r="B2505" s="111">
        <f t="shared" si="39"/>
        <v>111</v>
      </c>
      <c r="C2505" s="111"/>
      <c r="D2505" s="111"/>
      <c r="E2505" s="111"/>
    </row>
    <row r="2506" spans="1:5" x14ac:dyDescent="0.2">
      <c r="A2506" s="113">
        <v>37204</v>
      </c>
      <c r="B2506" s="111">
        <f t="shared" si="39"/>
        <v>111</v>
      </c>
      <c r="C2506" s="111"/>
      <c r="D2506" s="111"/>
      <c r="E2506" s="111"/>
    </row>
    <row r="2507" spans="1:5" x14ac:dyDescent="0.2">
      <c r="A2507" s="113">
        <v>37205</v>
      </c>
      <c r="B2507" s="111">
        <f t="shared" si="39"/>
        <v>111</v>
      </c>
      <c r="C2507" s="111"/>
      <c r="D2507" s="111"/>
      <c r="E2507" s="111"/>
    </row>
    <row r="2508" spans="1:5" x14ac:dyDescent="0.2">
      <c r="A2508" s="113">
        <v>37206</v>
      </c>
      <c r="B2508" s="111">
        <f t="shared" si="39"/>
        <v>112</v>
      </c>
      <c r="C2508" s="111"/>
      <c r="D2508" s="111"/>
      <c r="E2508" s="111"/>
    </row>
    <row r="2509" spans="1:5" x14ac:dyDescent="0.2">
      <c r="A2509" s="113">
        <v>37207</v>
      </c>
      <c r="B2509" s="111">
        <f t="shared" si="39"/>
        <v>112</v>
      </c>
      <c r="C2509" s="111"/>
      <c r="D2509" s="111"/>
      <c r="E2509" s="111"/>
    </row>
    <row r="2510" spans="1:5" x14ac:dyDescent="0.2">
      <c r="A2510" s="113">
        <v>37208</v>
      </c>
      <c r="B2510" s="111">
        <f t="shared" si="39"/>
        <v>112</v>
      </c>
      <c r="C2510" s="111"/>
      <c r="D2510" s="111"/>
      <c r="E2510" s="111"/>
    </row>
    <row r="2511" spans="1:5" x14ac:dyDescent="0.2">
      <c r="A2511" s="113">
        <v>37209</v>
      </c>
      <c r="B2511" s="111">
        <f t="shared" si="39"/>
        <v>112</v>
      </c>
      <c r="C2511" s="111"/>
      <c r="D2511" s="111"/>
      <c r="E2511" s="111"/>
    </row>
    <row r="2512" spans="1:5" x14ac:dyDescent="0.2">
      <c r="A2512" s="113">
        <v>37210</v>
      </c>
      <c r="B2512" s="111">
        <f t="shared" si="39"/>
        <v>112</v>
      </c>
      <c r="C2512" s="111"/>
      <c r="D2512" s="111"/>
      <c r="E2512" s="111"/>
    </row>
    <row r="2513" spans="1:5" x14ac:dyDescent="0.2">
      <c r="A2513" s="113">
        <v>37211</v>
      </c>
      <c r="B2513" s="111">
        <f t="shared" si="39"/>
        <v>112</v>
      </c>
      <c r="C2513" s="111"/>
      <c r="D2513" s="111"/>
      <c r="E2513" s="111"/>
    </row>
    <row r="2514" spans="1:5" x14ac:dyDescent="0.2">
      <c r="A2514" s="113">
        <v>37212</v>
      </c>
      <c r="B2514" s="111">
        <f t="shared" si="39"/>
        <v>112</v>
      </c>
      <c r="C2514" s="111"/>
      <c r="D2514" s="111"/>
      <c r="E2514" s="111"/>
    </row>
    <row r="2515" spans="1:5" x14ac:dyDescent="0.2">
      <c r="A2515" s="113">
        <v>37213</v>
      </c>
      <c r="B2515" s="111">
        <f t="shared" si="39"/>
        <v>113</v>
      </c>
      <c r="C2515" s="111"/>
      <c r="D2515" s="111"/>
      <c r="E2515" s="111"/>
    </row>
    <row r="2516" spans="1:5" x14ac:dyDescent="0.2">
      <c r="A2516" s="113">
        <v>37214</v>
      </c>
      <c r="B2516" s="111">
        <f t="shared" si="39"/>
        <v>113</v>
      </c>
      <c r="C2516" s="111"/>
      <c r="D2516" s="111"/>
      <c r="E2516" s="111"/>
    </row>
    <row r="2517" spans="1:5" x14ac:dyDescent="0.2">
      <c r="A2517" s="113">
        <v>37215</v>
      </c>
      <c r="B2517" s="111">
        <f t="shared" si="39"/>
        <v>113</v>
      </c>
      <c r="C2517" s="111"/>
      <c r="D2517" s="111"/>
      <c r="E2517" s="111"/>
    </row>
    <row r="2518" spans="1:5" x14ac:dyDescent="0.2">
      <c r="A2518" s="113">
        <v>37216</v>
      </c>
      <c r="B2518" s="111">
        <f t="shared" si="39"/>
        <v>113</v>
      </c>
      <c r="C2518" s="111"/>
      <c r="D2518" s="111"/>
      <c r="E2518" s="111"/>
    </row>
    <row r="2519" spans="1:5" x14ac:dyDescent="0.2">
      <c r="A2519" s="113">
        <v>37217</v>
      </c>
      <c r="B2519" s="111">
        <f t="shared" si="39"/>
        <v>113</v>
      </c>
      <c r="C2519" s="111"/>
      <c r="D2519" s="111"/>
      <c r="E2519" s="111"/>
    </row>
    <row r="2520" spans="1:5" x14ac:dyDescent="0.2">
      <c r="A2520" s="113">
        <v>37218</v>
      </c>
      <c r="B2520" s="111">
        <f t="shared" si="39"/>
        <v>113</v>
      </c>
      <c r="C2520" s="111"/>
      <c r="D2520" s="111"/>
      <c r="E2520" s="111"/>
    </row>
    <row r="2521" spans="1:5" x14ac:dyDescent="0.2">
      <c r="A2521" s="113">
        <v>37219</v>
      </c>
      <c r="B2521" s="111">
        <f t="shared" si="39"/>
        <v>113</v>
      </c>
      <c r="C2521" s="111"/>
      <c r="D2521" s="111"/>
      <c r="E2521" s="111"/>
    </row>
    <row r="2522" spans="1:5" x14ac:dyDescent="0.2">
      <c r="A2522" s="113">
        <v>37220</v>
      </c>
      <c r="B2522" s="111">
        <f t="shared" si="39"/>
        <v>114</v>
      </c>
      <c r="C2522" s="111"/>
      <c r="D2522" s="111"/>
      <c r="E2522" s="111"/>
    </row>
    <row r="2523" spans="1:5" x14ac:dyDescent="0.2">
      <c r="A2523" s="113">
        <v>37221</v>
      </c>
      <c r="B2523" s="111">
        <f t="shared" si="39"/>
        <v>114</v>
      </c>
      <c r="C2523" s="111"/>
      <c r="D2523" s="111"/>
      <c r="E2523" s="111"/>
    </row>
    <row r="2524" spans="1:5" x14ac:dyDescent="0.2">
      <c r="A2524" s="113">
        <v>37222</v>
      </c>
      <c r="B2524" s="111">
        <f t="shared" si="39"/>
        <v>114</v>
      </c>
      <c r="C2524" s="111"/>
      <c r="D2524" s="111"/>
      <c r="E2524" s="111"/>
    </row>
    <row r="2525" spans="1:5" x14ac:dyDescent="0.2">
      <c r="A2525" s="113">
        <v>37223</v>
      </c>
      <c r="B2525" s="111">
        <f t="shared" si="39"/>
        <v>114</v>
      </c>
      <c r="C2525" s="111"/>
      <c r="D2525" s="111"/>
      <c r="E2525" s="111"/>
    </row>
    <row r="2526" spans="1:5" x14ac:dyDescent="0.2">
      <c r="A2526" s="113">
        <v>37224</v>
      </c>
      <c r="B2526" s="111">
        <f t="shared" si="39"/>
        <v>114</v>
      </c>
      <c r="C2526" s="111"/>
      <c r="D2526" s="111"/>
      <c r="E2526" s="111"/>
    </row>
    <row r="2527" spans="1:5" x14ac:dyDescent="0.2">
      <c r="A2527" s="113">
        <v>37225</v>
      </c>
      <c r="B2527" s="111">
        <f t="shared" si="39"/>
        <v>114</v>
      </c>
      <c r="C2527" s="111"/>
      <c r="D2527" s="111"/>
      <c r="E2527" s="111"/>
    </row>
    <row r="2528" spans="1:5" x14ac:dyDescent="0.2">
      <c r="A2528" s="113">
        <v>37226</v>
      </c>
      <c r="B2528" s="111">
        <f t="shared" si="39"/>
        <v>114</v>
      </c>
      <c r="C2528" s="111"/>
      <c r="D2528" s="111"/>
      <c r="E2528" s="111"/>
    </row>
    <row r="2529" spans="1:5" x14ac:dyDescent="0.2">
      <c r="A2529" s="113">
        <v>37227</v>
      </c>
      <c r="B2529" s="111">
        <f t="shared" si="39"/>
        <v>115</v>
      </c>
      <c r="C2529" s="111"/>
      <c r="D2529" s="111"/>
      <c r="E2529" s="111"/>
    </row>
    <row r="2530" spans="1:5" x14ac:dyDescent="0.2">
      <c r="A2530" s="113">
        <v>37228</v>
      </c>
      <c r="B2530" s="111">
        <f t="shared" si="39"/>
        <v>115</v>
      </c>
      <c r="C2530" s="111"/>
      <c r="D2530" s="111"/>
      <c r="E2530" s="111"/>
    </row>
    <row r="2531" spans="1:5" x14ac:dyDescent="0.2">
      <c r="A2531" s="113">
        <v>37229</v>
      </c>
      <c r="B2531" s="111">
        <f t="shared" si="39"/>
        <v>115</v>
      </c>
      <c r="C2531" s="111"/>
      <c r="D2531" s="111"/>
      <c r="E2531" s="111"/>
    </row>
    <row r="2532" spans="1:5" x14ac:dyDescent="0.2">
      <c r="A2532" s="113">
        <v>37230</v>
      </c>
      <c r="B2532" s="111">
        <f t="shared" si="39"/>
        <v>115</v>
      </c>
      <c r="C2532" s="111"/>
      <c r="D2532" s="111"/>
      <c r="E2532" s="111"/>
    </row>
    <row r="2533" spans="1:5" x14ac:dyDescent="0.2">
      <c r="A2533" s="113">
        <v>37231</v>
      </c>
      <c r="B2533" s="111">
        <f t="shared" si="39"/>
        <v>115</v>
      </c>
      <c r="C2533" s="111"/>
      <c r="D2533" s="111"/>
      <c r="E2533" s="111"/>
    </row>
    <row r="2534" spans="1:5" x14ac:dyDescent="0.2">
      <c r="A2534" s="113">
        <v>37232</v>
      </c>
      <c r="B2534" s="111">
        <f t="shared" si="39"/>
        <v>115</v>
      </c>
      <c r="C2534" s="111"/>
      <c r="D2534" s="111"/>
      <c r="E2534" s="111"/>
    </row>
    <row r="2535" spans="1:5" x14ac:dyDescent="0.2">
      <c r="A2535" s="113">
        <v>37233</v>
      </c>
      <c r="B2535" s="111">
        <f t="shared" si="39"/>
        <v>115</v>
      </c>
      <c r="C2535" s="111"/>
      <c r="D2535" s="111"/>
      <c r="E2535" s="111"/>
    </row>
    <row r="2536" spans="1:5" x14ac:dyDescent="0.2">
      <c r="A2536" s="113">
        <v>37234</v>
      </c>
      <c r="B2536" s="111">
        <f t="shared" si="39"/>
        <v>121</v>
      </c>
      <c r="C2536" s="111"/>
      <c r="D2536" s="111"/>
      <c r="E2536" s="111"/>
    </row>
    <row r="2537" spans="1:5" x14ac:dyDescent="0.2">
      <c r="A2537" s="113">
        <v>37235</v>
      </c>
      <c r="B2537" s="111">
        <f t="shared" si="39"/>
        <v>121</v>
      </c>
      <c r="C2537" s="111"/>
      <c r="D2537" s="111"/>
      <c r="E2537" s="111"/>
    </row>
    <row r="2538" spans="1:5" x14ac:dyDescent="0.2">
      <c r="A2538" s="113">
        <v>37236</v>
      </c>
      <c r="B2538" s="111">
        <f t="shared" si="39"/>
        <v>121</v>
      </c>
      <c r="C2538" s="111"/>
      <c r="D2538" s="111"/>
      <c r="E2538" s="111"/>
    </row>
    <row r="2539" spans="1:5" x14ac:dyDescent="0.2">
      <c r="A2539" s="113">
        <v>37237</v>
      </c>
      <c r="B2539" s="111">
        <f t="shared" si="39"/>
        <v>121</v>
      </c>
      <c r="C2539" s="111"/>
      <c r="D2539" s="111"/>
      <c r="E2539" s="111"/>
    </row>
    <row r="2540" spans="1:5" x14ac:dyDescent="0.2">
      <c r="A2540" s="113">
        <v>37238</v>
      </c>
      <c r="B2540" s="111">
        <f t="shared" si="39"/>
        <v>121</v>
      </c>
      <c r="C2540" s="111"/>
      <c r="D2540" s="111"/>
      <c r="E2540" s="111"/>
    </row>
    <row r="2541" spans="1:5" x14ac:dyDescent="0.2">
      <c r="A2541" s="113">
        <v>37239</v>
      </c>
      <c r="B2541" s="111">
        <f t="shared" si="39"/>
        <v>121</v>
      </c>
      <c r="C2541" s="111"/>
      <c r="D2541" s="111"/>
      <c r="E2541" s="111"/>
    </row>
    <row r="2542" spans="1:5" x14ac:dyDescent="0.2">
      <c r="A2542" s="113">
        <v>37240</v>
      </c>
      <c r="B2542" s="111">
        <f t="shared" si="39"/>
        <v>121</v>
      </c>
      <c r="C2542" s="111"/>
      <c r="D2542" s="111"/>
      <c r="E2542" s="111"/>
    </row>
    <row r="2543" spans="1:5" x14ac:dyDescent="0.2">
      <c r="A2543" s="113">
        <v>37241</v>
      </c>
      <c r="B2543" s="111">
        <f t="shared" si="39"/>
        <v>122</v>
      </c>
      <c r="C2543" s="111"/>
      <c r="D2543" s="111"/>
      <c r="E2543" s="111"/>
    </row>
    <row r="2544" spans="1:5" x14ac:dyDescent="0.2">
      <c r="A2544" s="113">
        <v>37242</v>
      </c>
      <c r="B2544" s="111">
        <f t="shared" si="39"/>
        <v>122</v>
      </c>
      <c r="C2544" s="111"/>
      <c r="D2544" s="111"/>
      <c r="E2544" s="111"/>
    </row>
    <row r="2545" spans="1:5" x14ac:dyDescent="0.2">
      <c r="A2545" s="113">
        <v>37243</v>
      </c>
      <c r="B2545" s="111">
        <f t="shared" si="39"/>
        <v>122</v>
      </c>
      <c r="C2545" s="111"/>
      <c r="D2545" s="111"/>
      <c r="E2545" s="111"/>
    </row>
    <row r="2546" spans="1:5" x14ac:dyDescent="0.2">
      <c r="A2546" s="113">
        <v>37244</v>
      </c>
      <c r="B2546" s="111">
        <f t="shared" si="39"/>
        <v>122</v>
      </c>
      <c r="C2546" s="111"/>
      <c r="D2546" s="111"/>
      <c r="E2546" s="111"/>
    </row>
    <row r="2547" spans="1:5" x14ac:dyDescent="0.2">
      <c r="A2547" s="113">
        <v>37245</v>
      </c>
      <c r="B2547" s="111">
        <f t="shared" si="39"/>
        <v>122</v>
      </c>
      <c r="C2547" s="111"/>
      <c r="D2547" s="111"/>
      <c r="E2547" s="111"/>
    </row>
    <row r="2548" spans="1:5" x14ac:dyDescent="0.2">
      <c r="A2548" s="113">
        <v>37246</v>
      </c>
      <c r="B2548" s="111">
        <f t="shared" si="39"/>
        <v>122</v>
      </c>
      <c r="C2548" s="111"/>
      <c r="D2548" s="111"/>
      <c r="E2548" s="111"/>
    </row>
    <row r="2549" spans="1:5" x14ac:dyDescent="0.2">
      <c r="A2549" s="113">
        <v>37247</v>
      </c>
      <c r="B2549" s="111">
        <f t="shared" si="39"/>
        <v>122</v>
      </c>
      <c r="C2549" s="111"/>
      <c r="D2549" s="111"/>
      <c r="E2549" s="111"/>
    </row>
    <row r="2550" spans="1:5" x14ac:dyDescent="0.2">
      <c r="A2550" s="113">
        <v>37248</v>
      </c>
      <c r="B2550" s="111">
        <f t="shared" si="39"/>
        <v>123</v>
      </c>
      <c r="C2550" s="111"/>
      <c r="D2550" s="111"/>
      <c r="E2550" s="111"/>
    </row>
    <row r="2551" spans="1:5" x14ac:dyDescent="0.2">
      <c r="A2551" s="113">
        <v>37249</v>
      </c>
      <c r="B2551" s="111">
        <f t="shared" si="39"/>
        <v>123</v>
      </c>
      <c r="C2551" s="111"/>
      <c r="D2551" s="111"/>
      <c r="E2551" s="111"/>
    </row>
    <row r="2552" spans="1:5" x14ac:dyDescent="0.2">
      <c r="A2552" s="113">
        <v>37250</v>
      </c>
      <c r="B2552" s="111">
        <f t="shared" si="39"/>
        <v>123</v>
      </c>
      <c r="C2552" s="111"/>
      <c r="D2552" s="111"/>
      <c r="E2552" s="111"/>
    </row>
    <row r="2553" spans="1:5" x14ac:dyDescent="0.2">
      <c r="A2553" s="113">
        <v>37251</v>
      </c>
      <c r="B2553" s="111">
        <f t="shared" si="39"/>
        <v>123</v>
      </c>
      <c r="C2553" s="111"/>
      <c r="D2553" s="111"/>
      <c r="E2553" s="111"/>
    </row>
    <row r="2554" spans="1:5" x14ac:dyDescent="0.2">
      <c r="A2554" s="113">
        <v>37252</v>
      </c>
      <c r="B2554" s="111">
        <f t="shared" si="39"/>
        <v>123</v>
      </c>
      <c r="C2554" s="111"/>
      <c r="D2554" s="111"/>
      <c r="E2554" s="111"/>
    </row>
    <row r="2555" spans="1:5" x14ac:dyDescent="0.2">
      <c r="A2555" s="113">
        <v>37253</v>
      </c>
      <c r="B2555" s="111">
        <f t="shared" si="39"/>
        <v>123</v>
      </c>
      <c r="C2555" s="111"/>
      <c r="D2555" s="111"/>
      <c r="E2555" s="111"/>
    </row>
    <row r="2556" spans="1:5" x14ac:dyDescent="0.2">
      <c r="A2556" s="113">
        <v>37254</v>
      </c>
      <c r="B2556" s="111">
        <f t="shared" si="39"/>
        <v>123</v>
      </c>
      <c r="C2556" s="111"/>
      <c r="D2556" s="111"/>
      <c r="E2556" s="111"/>
    </row>
    <row r="2557" spans="1:5" x14ac:dyDescent="0.2">
      <c r="A2557" s="113">
        <v>37255</v>
      </c>
      <c r="B2557" s="111">
        <f t="shared" si="39"/>
        <v>124</v>
      </c>
      <c r="C2557" s="111"/>
      <c r="D2557" s="111"/>
      <c r="E2557" s="111"/>
    </row>
    <row r="2558" spans="1:5" x14ac:dyDescent="0.2">
      <c r="A2558" s="113">
        <v>37256</v>
      </c>
      <c r="B2558" s="111">
        <f t="shared" si="39"/>
        <v>124</v>
      </c>
      <c r="C2558" s="111"/>
      <c r="D2558" s="111"/>
      <c r="E2558" s="111"/>
    </row>
    <row r="2559" spans="1:5" x14ac:dyDescent="0.2">
      <c r="A2559" s="113">
        <v>37257</v>
      </c>
      <c r="B2559" s="111">
        <f t="shared" si="39"/>
        <v>11</v>
      </c>
      <c r="C2559" s="111"/>
      <c r="D2559" s="111"/>
      <c r="E2559" s="111"/>
    </row>
    <row r="2560" spans="1:5" x14ac:dyDescent="0.2">
      <c r="A2560" s="113">
        <v>37258</v>
      </c>
      <c r="B2560" s="111">
        <f t="shared" si="39"/>
        <v>11</v>
      </c>
      <c r="C2560" s="111"/>
      <c r="D2560" s="111"/>
      <c r="E2560" s="111"/>
    </row>
    <row r="2561" spans="1:5" x14ac:dyDescent="0.2">
      <c r="A2561" s="113">
        <v>37259</v>
      </c>
      <c r="B2561" s="111">
        <f t="shared" si="39"/>
        <v>11</v>
      </c>
      <c r="C2561" s="111"/>
      <c r="D2561" s="111"/>
      <c r="E2561" s="111"/>
    </row>
    <row r="2562" spans="1:5" x14ac:dyDescent="0.2">
      <c r="A2562" s="113">
        <v>37260</v>
      </c>
      <c r="B2562" s="111">
        <f t="shared" ref="B2562:B2625" si="40">VLOOKUP(WEEKNUM(A2562),$D$3:$E$58,2)</f>
        <v>11</v>
      </c>
      <c r="C2562" s="111"/>
      <c r="D2562" s="111"/>
      <c r="E2562" s="111"/>
    </row>
    <row r="2563" spans="1:5" x14ac:dyDescent="0.2">
      <c r="A2563" s="113">
        <v>37261</v>
      </c>
      <c r="B2563" s="111">
        <f t="shared" si="40"/>
        <v>11</v>
      </c>
      <c r="C2563" s="111"/>
      <c r="D2563" s="111"/>
      <c r="E2563" s="111"/>
    </row>
    <row r="2564" spans="1:5" x14ac:dyDescent="0.2">
      <c r="A2564" s="113">
        <v>37262</v>
      </c>
      <c r="B2564" s="111">
        <f t="shared" si="40"/>
        <v>12</v>
      </c>
      <c r="C2564" s="111"/>
      <c r="D2564" s="111"/>
      <c r="E2564" s="111"/>
    </row>
    <row r="2565" spans="1:5" x14ac:dyDescent="0.2">
      <c r="A2565" s="113">
        <v>37263</v>
      </c>
      <c r="B2565" s="111">
        <f t="shared" si="40"/>
        <v>12</v>
      </c>
      <c r="C2565" s="111"/>
      <c r="D2565" s="111"/>
      <c r="E2565" s="111"/>
    </row>
    <row r="2566" spans="1:5" x14ac:dyDescent="0.2">
      <c r="A2566" s="113">
        <v>37264</v>
      </c>
      <c r="B2566" s="111">
        <f t="shared" si="40"/>
        <v>12</v>
      </c>
      <c r="C2566" s="111"/>
      <c r="D2566" s="111"/>
      <c r="E2566" s="111"/>
    </row>
    <row r="2567" spans="1:5" x14ac:dyDescent="0.2">
      <c r="A2567" s="113">
        <v>37265</v>
      </c>
      <c r="B2567" s="111">
        <f t="shared" si="40"/>
        <v>12</v>
      </c>
      <c r="C2567" s="111"/>
      <c r="D2567" s="111"/>
      <c r="E2567" s="111"/>
    </row>
    <row r="2568" spans="1:5" x14ac:dyDescent="0.2">
      <c r="A2568" s="113">
        <v>37266</v>
      </c>
      <c r="B2568" s="111">
        <f t="shared" si="40"/>
        <v>12</v>
      </c>
      <c r="C2568" s="111"/>
      <c r="D2568" s="111"/>
      <c r="E2568" s="111"/>
    </row>
    <row r="2569" spans="1:5" x14ac:dyDescent="0.2">
      <c r="A2569" s="113">
        <v>37267</v>
      </c>
      <c r="B2569" s="111">
        <f t="shared" si="40"/>
        <v>12</v>
      </c>
      <c r="C2569" s="111"/>
      <c r="D2569" s="111"/>
      <c r="E2569" s="111"/>
    </row>
    <row r="2570" spans="1:5" x14ac:dyDescent="0.2">
      <c r="A2570" s="113">
        <v>37268</v>
      </c>
      <c r="B2570" s="111">
        <f t="shared" si="40"/>
        <v>12</v>
      </c>
      <c r="C2570" s="111"/>
      <c r="D2570" s="111"/>
      <c r="E2570" s="111"/>
    </row>
    <row r="2571" spans="1:5" x14ac:dyDescent="0.2">
      <c r="A2571" s="113">
        <v>37269</v>
      </c>
      <c r="B2571" s="111">
        <f t="shared" si="40"/>
        <v>13</v>
      </c>
      <c r="C2571" s="111"/>
      <c r="D2571" s="111"/>
      <c r="E2571" s="111"/>
    </row>
    <row r="2572" spans="1:5" x14ac:dyDescent="0.2">
      <c r="A2572" s="113">
        <v>37270</v>
      </c>
      <c r="B2572" s="111">
        <f t="shared" si="40"/>
        <v>13</v>
      </c>
      <c r="C2572" s="111"/>
      <c r="D2572" s="111"/>
      <c r="E2572" s="111"/>
    </row>
    <row r="2573" spans="1:5" x14ac:dyDescent="0.2">
      <c r="A2573" s="113">
        <v>37271</v>
      </c>
      <c r="B2573" s="111">
        <f t="shared" si="40"/>
        <v>13</v>
      </c>
      <c r="C2573" s="111"/>
      <c r="D2573" s="111"/>
      <c r="E2573" s="111"/>
    </row>
    <row r="2574" spans="1:5" x14ac:dyDescent="0.2">
      <c r="A2574" s="113">
        <v>37272</v>
      </c>
      <c r="B2574" s="111">
        <f t="shared" si="40"/>
        <v>13</v>
      </c>
      <c r="C2574" s="111"/>
      <c r="D2574" s="111"/>
      <c r="E2574" s="111"/>
    </row>
    <row r="2575" spans="1:5" x14ac:dyDescent="0.2">
      <c r="A2575" s="113">
        <v>37273</v>
      </c>
      <c r="B2575" s="111">
        <f t="shared" si="40"/>
        <v>13</v>
      </c>
      <c r="C2575" s="111"/>
      <c r="D2575" s="111"/>
      <c r="E2575" s="111"/>
    </row>
    <row r="2576" spans="1:5" x14ac:dyDescent="0.2">
      <c r="A2576" s="113">
        <v>37274</v>
      </c>
      <c r="B2576" s="111">
        <f t="shared" si="40"/>
        <v>13</v>
      </c>
      <c r="C2576" s="111"/>
      <c r="D2576" s="111"/>
      <c r="E2576" s="111"/>
    </row>
    <row r="2577" spans="1:5" x14ac:dyDescent="0.2">
      <c r="A2577" s="113">
        <v>37275</v>
      </c>
      <c r="B2577" s="111">
        <f t="shared" si="40"/>
        <v>13</v>
      </c>
      <c r="C2577" s="111"/>
      <c r="D2577" s="111"/>
      <c r="E2577" s="111"/>
    </row>
    <row r="2578" spans="1:5" x14ac:dyDescent="0.2">
      <c r="A2578" s="113">
        <v>37276</v>
      </c>
      <c r="B2578" s="111">
        <f t="shared" si="40"/>
        <v>14</v>
      </c>
      <c r="C2578" s="111"/>
      <c r="D2578" s="111"/>
      <c r="E2578" s="111"/>
    </row>
    <row r="2579" spans="1:5" x14ac:dyDescent="0.2">
      <c r="A2579" s="113">
        <v>37277</v>
      </c>
      <c r="B2579" s="111">
        <f t="shared" si="40"/>
        <v>14</v>
      </c>
      <c r="C2579" s="111"/>
      <c r="D2579" s="111"/>
      <c r="E2579" s="111"/>
    </row>
    <row r="2580" spans="1:5" x14ac:dyDescent="0.2">
      <c r="A2580" s="113">
        <v>37278</v>
      </c>
      <c r="B2580" s="111">
        <f t="shared" si="40"/>
        <v>14</v>
      </c>
      <c r="C2580" s="111"/>
      <c r="D2580" s="111"/>
      <c r="E2580" s="111"/>
    </row>
    <row r="2581" spans="1:5" x14ac:dyDescent="0.2">
      <c r="A2581" s="113">
        <v>37279</v>
      </c>
      <c r="B2581" s="111">
        <f t="shared" si="40"/>
        <v>14</v>
      </c>
      <c r="C2581" s="111"/>
      <c r="D2581" s="111"/>
      <c r="E2581" s="111"/>
    </row>
    <row r="2582" spans="1:5" x14ac:dyDescent="0.2">
      <c r="A2582" s="113">
        <v>37280</v>
      </c>
      <c r="B2582" s="111">
        <f t="shared" si="40"/>
        <v>14</v>
      </c>
      <c r="C2582" s="111"/>
      <c r="D2582" s="111"/>
      <c r="E2582" s="111"/>
    </row>
    <row r="2583" spans="1:5" x14ac:dyDescent="0.2">
      <c r="A2583" s="113">
        <v>37281</v>
      </c>
      <c r="B2583" s="111">
        <f t="shared" si="40"/>
        <v>14</v>
      </c>
      <c r="C2583" s="111"/>
      <c r="D2583" s="111"/>
      <c r="E2583" s="111"/>
    </row>
    <row r="2584" spans="1:5" x14ac:dyDescent="0.2">
      <c r="A2584" s="113">
        <v>37282</v>
      </c>
      <c r="B2584" s="111">
        <f t="shared" si="40"/>
        <v>14</v>
      </c>
      <c r="C2584" s="111"/>
      <c r="D2584" s="111"/>
      <c r="E2584" s="111"/>
    </row>
    <row r="2585" spans="1:5" x14ac:dyDescent="0.2">
      <c r="A2585" s="113">
        <v>37283</v>
      </c>
      <c r="B2585" s="111">
        <f t="shared" si="40"/>
        <v>15</v>
      </c>
      <c r="C2585" s="111"/>
      <c r="D2585" s="111"/>
      <c r="E2585" s="111"/>
    </row>
    <row r="2586" spans="1:5" x14ac:dyDescent="0.2">
      <c r="A2586" s="113">
        <v>37284</v>
      </c>
      <c r="B2586" s="111">
        <f t="shared" si="40"/>
        <v>15</v>
      </c>
      <c r="C2586" s="111"/>
      <c r="D2586" s="111"/>
      <c r="E2586" s="111"/>
    </row>
    <row r="2587" spans="1:5" x14ac:dyDescent="0.2">
      <c r="A2587" s="113">
        <v>37285</v>
      </c>
      <c r="B2587" s="111">
        <f t="shared" si="40"/>
        <v>15</v>
      </c>
      <c r="C2587" s="111"/>
      <c r="D2587" s="111"/>
      <c r="E2587" s="111"/>
    </row>
    <row r="2588" spans="1:5" x14ac:dyDescent="0.2">
      <c r="A2588" s="113">
        <v>37286</v>
      </c>
      <c r="B2588" s="111">
        <f t="shared" si="40"/>
        <v>15</v>
      </c>
      <c r="C2588" s="111"/>
      <c r="D2588" s="111"/>
      <c r="E2588" s="111"/>
    </row>
    <row r="2589" spans="1:5" x14ac:dyDescent="0.2">
      <c r="A2589" s="113">
        <v>37287</v>
      </c>
      <c r="B2589" s="111">
        <f t="shared" si="40"/>
        <v>15</v>
      </c>
      <c r="C2589" s="111"/>
      <c r="D2589" s="111"/>
      <c r="E2589" s="111"/>
    </row>
    <row r="2590" spans="1:5" x14ac:dyDescent="0.2">
      <c r="A2590" s="113">
        <v>37288</v>
      </c>
      <c r="B2590" s="111">
        <f t="shared" si="40"/>
        <v>15</v>
      </c>
      <c r="C2590" s="111"/>
      <c r="D2590" s="111"/>
      <c r="E2590" s="111"/>
    </row>
    <row r="2591" spans="1:5" x14ac:dyDescent="0.2">
      <c r="A2591" s="113">
        <v>37289</v>
      </c>
      <c r="B2591" s="111">
        <f t="shared" si="40"/>
        <v>15</v>
      </c>
      <c r="C2591" s="111"/>
      <c r="D2591" s="111"/>
      <c r="E2591" s="111"/>
    </row>
    <row r="2592" spans="1:5" x14ac:dyDescent="0.2">
      <c r="A2592" s="113">
        <v>37290</v>
      </c>
      <c r="B2592" s="111">
        <f t="shared" si="40"/>
        <v>21</v>
      </c>
      <c r="C2592" s="111"/>
      <c r="D2592" s="111"/>
      <c r="E2592" s="111"/>
    </row>
    <row r="2593" spans="1:5" x14ac:dyDescent="0.2">
      <c r="A2593" s="113">
        <v>37291</v>
      </c>
      <c r="B2593" s="111">
        <f t="shared" si="40"/>
        <v>21</v>
      </c>
      <c r="C2593" s="111"/>
      <c r="D2593" s="111"/>
      <c r="E2593" s="111"/>
    </row>
    <row r="2594" spans="1:5" x14ac:dyDescent="0.2">
      <c r="A2594" s="113">
        <v>37292</v>
      </c>
      <c r="B2594" s="111">
        <f t="shared" si="40"/>
        <v>21</v>
      </c>
      <c r="C2594" s="111"/>
      <c r="D2594" s="111"/>
      <c r="E2594" s="111"/>
    </row>
    <row r="2595" spans="1:5" x14ac:dyDescent="0.2">
      <c r="A2595" s="113">
        <v>37293</v>
      </c>
      <c r="B2595" s="111">
        <f t="shared" si="40"/>
        <v>21</v>
      </c>
      <c r="C2595" s="111"/>
      <c r="D2595" s="111"/>
      <c r="E2595" s="111"/>
    </row>
    <row r="2596" spans="1:5" x14ac:dyDescent="0.2">
      <c r="A2596" s="113">
        <v>37294</v>
      </c>
      <c r="B2596" s="111">
        <f t="shared" si="40"/>
        <v>21</v>
      </c>
      <c r="C2596" s="111"/>
      <c r="D2596" s="111"/>
      <c r="E2596" s="111"/>
    </row>
    <row r="2597" spans="1:5" x14ac:dyDescent="0.2">
      <c r="A2597" s="113">
        <v>37295</v>
      </c>
      <c r="B2597" s="111">
        <f t="shared" si="40"/>
        <v>21</v>
      </c>
      <c r="C2597" s="111"/>
      <c r="D2597" s="111"/>
      <c r="E2597" s="111"/>
    </row>
    <row r="2598" spans="1:5" x14ac:dyDescent="0.2">
      <c r="A2598" s="113">
        <v>37296</v>
      </c>
      <c r="B2598" s="111">
        <f t="shared" si="40"/>
        <v>21</v>
      </c>
      <c r="C2598" s="111"/>
      <c r="D2598" s="111"/>
      <c r="E2598" s="111"/>
    </row>
    <row r="2599" spans="1:5" x14ac:dyDescent="0.2">
      <c r="A2599" s="113">
        <v>37297</v>
      </c>
      <c r="B2599" s="111">
        <f t="shared" si="40"/>
        <v>22</v>
      </c>
      <c r="C2599" s="111"/>
      <c r="D2599" s="111"/>
      <c r="E2599" s="111"/>
    </row>
    <row r="2600" spans="1:5" x14ac:dyDescent="0.2">
      <c r="A2600" s="113">
        <v>37298</v>
      </c>
      <c r="B2600" s="111">
        <f t="shared" si="40"/>
        <v>22</v>
      </c>
      <c r="C2600" s="111"/>
      <c r="D2600" s="111"/>
      <c r="E2600" s="111"/>
    </row>
    <row r="2601" spans="1:5" x14ac:dyDescent="0.2">
      <c r="A2601" s="113">
        <v>37299</v>
      </c>
      <c r="B2601" s="111">
        <f t="shared" si="40"/>
        <v>22</v>
      </c>
      <c r="C2601" s="111"/>
      <c r="D2601" s="111"/>
      <c r="E2601" s="111"/>
    </row>
    <row r="2602" spans="1:5" x14ac:dyDescent="0.2">
      <c r="A2602" s="113">
        <v>37300</v>
      </c>
      <c r="B2602" s="111">
        <f t="shared" si="40"/>
        <v>22</v>
      </c>
      <c r="C2602" s="111"/>
      <c r="D2602" s="111"/>
      <c r="E2602" s="111"/>
    </row>
    <row r="2603" spans="1:5" x14ac:dyDescent="0.2">
      <c r="A2603" s="113">
        <v>37301</v>
      </c>
      <c r="B2603" s="111">
        <f t="shared" si="40"/>
        <v>22</v>
      </c>
      <c r="C2603" s="111"/>
      <c r="D2603" s="111"/>
      <c r="E2603" s="111"/>
    </row>
    <row r="2604" spans="1:5" x14ac:dyDescent="0.2">
      <c r="A2604" s="113">
        <v>37302</v>
      </c>
      <c r="B2604" s="111">
        <f t="shared" si="40"/>
        <v>22</v>
      </c>
      <c r="C2604" s="111"/>
      <c r="D2604" s="111"/>
      <c r="E2604" s="111"/>
    </row>
    <row r="2605" spans="1:5" x14ac:dyDescent="0.2">
      <c r="A2605" s="113">
        <v>37303</v>
      </c>
      <c r="B2605" s="111">
        <f t="shared" si="40"/>
        <v>22</v>
      </c>
      <c r="C2605" s="111"/>
      <c r="D2605" s="111"/>
      <c r="E2605" s="111"/>
    </row>
    <row r="2606" spans="1:5" x14ac:dyDescent="0.2">
      <c r="A2606" s="113">
        <v>37304</v>
      </c>
      <c r="B2606" s="111">
        <f t="shared" si="40"/>
        <v>23</v>
      </c>
      <c r="C2606" s="111"/>
      <c r="D2606" s="111"/>
      <c r="E2606" s="111"/>
    </row>
    <row r="2607" spans="1:5" x14ac:dyDescent="0.2">
      <c r="A2607" s="113">
        <v>37305</v>
      </c>
      <c r="B2607" s="111">
        <f t="shared" si="40"/>
        <v>23</v>
      </c>
      <c r="C2607" s="111"/>
      <c r="D2607" s="111"/>
      <c r="E2607" s="111"/>
    </row>
    <row r="2608" spans="1:5" x14ac:dyDescent="0.2">
      <c r="A2608" s="113">
        <v>37306</v>
      </c>
      <c r="B2608" s="111">
        <f t="shared" si="40"/>
        <v>23</v>
      </c>
      <c r="C2608" s="111"/>
      <c r="D2608" s="111"/>
      <c r="E2608" s="111"/>
    </row>
    <row r="2609" spans="1:5" x14ac:dyDescent="0.2">
      <c r="A2609" s="113">
        <v>37307</v>
      </c>
      <c r="B2609" s="111">
        <f t="shared" si="40"/>
        <v>23</v>
      </c>
      <c r="C2609" s="111"/>
      <c r="D2609" s="111"/>
      <c r="E2609" s="111"/>
    </row>
    <row r="2610" spans="1:5" x14ac:dyDescent="0.2">
      <c r="A2610" s="113">
        <v>37308</v>
      </c>
      <c r="B2610" s="111">
        <f t="shared" si="40"/>
        <v>23</v>
      </c>
      <c r="C2610" s="111"/>
      <c r="D2610" s="111"/>
      <c r="E2610" s="111"/>
    </row>
    <row r="2611" spans="1:5" x14ac:dyDescent="0.2">
      <c r="A2611" s="113">
        <v>37309</v>
      </c>
      <c r="B2611" s="111">
        <f t="shared" si="40"/>
        <v>23</v>
      </c>
      <c r="C2611" s="111"/>
      <c r="D2611" s="111"/>
      <c r="E2611" s="111"/>
    </row>
    <row r="2612" spans="1:5" x14ac:dyDescent="0.2">
      <c r="A2612" s="113">
        <v>37310</v>
      </c>
      <c r="B2612" s="111">
        <f t="shared" si="40"/>
        <v>23</v>
      </c>
      <c r="C2612" s="111"/>
      <c r="D2612" s="111"/>
      <c r="E2612" s="111"/>
    </row>
    <row r="2613" spans="1:5" x14ac:dyDescent="0.2">
      <c r="A2613" s="113">
        <v>37311</v>
      </c>
      <c r="B2613" s="111">
        <f t="shared" si="40"/>
        <v>24</v>
      </c>
      <c r="C2613" s="111"/>
      <c r="D2613" s="111"/>
      <c r="E2613" s="111"/>
    </row>
    <row r="2614" spans="1:5" x14ac:dyDescent="0.2">
      <c r="A2614" s="113">
        <v>37312</v>
      </c>
      <c r="B2614" s="111">
        <f t="shared" si="40"/>
        <v>24</v>
      </c>
      <c r="C2614" s="111"/>
      <c r="D2614" s="111"/>
      <c r="E2614" s="111"/>
    </row>
    <row r="2615" spans="1:5" x14ac:dyDescent="0.2">
      <c r="A2615" s="113">
        <v>37313</v>
      </c>
      <c r="B2615" s="111">
        <f t="shared" si="40"/>
        <v>24</v>
      </c>
      <c r="C2615" s="111"/>
      <c r="D2615" s="111"/>
      <c r="E2615" s="111"/>
    </row>
    <row r="2616" spans="1:5" x14ac:dyDescent="0.2">
      <c r="A2616" s="113">
        <v>37314</v>
      </c>
      <c r="B2616" s="111">
        <f t="shared" si="40"/>
        <v>24</v>
      </c>
      <c r="C2616" s="111"/>
      <c r="D2616" s="111"/>
      <c r="E2616" s="111"/>
    </row>
    <row r="2617" spans="1:5" x14ac:dyDescent="0.2">
      <c r="A2617" s="113">
        <v>37315</v>
      </c>
      <c r="B2617" s="111">
        <f t="shared" si="40"/>
        <v>24</v>
      </c>
      <c r="C2617" s="111"/>
      <c r="D2617" s="111"/>
      <c r="E2617" s="111"/>
    </row>
    <row r="2618" spans="1:5" x14ac:dyDescent="0.2">
      <c r="A2618" s="113">
        <v>37316</v>
      </c>
      <c r="B2618" s="111">
        <f t="shared" si="40"/>
        <v>24</v>
      </c>
      <c r="C2618" s="111"/>
      <c r="D2618" s="111"/>
      <c r="E2618" s="111"/>
    </row>
    <row r="2619" spans="1:5" x14ac:dyDescent="0.2">
      <c r="A2619" s="113">
        <v>37317</v>
      </c>
      <c r="B2619" s="111">
        <f t="shared" si="40"/>
        <v>24</v>
      </c>
      <c r="C2619" s="111"/>
      <c r="D2619" s="111"/>
      <c r="E2619" s="111"/>
    </row>
    <row r="2620" spans="1:5" x14ac:dyDescent="0.2">
      <c r="A2620" s="113">
        <v>37318</v>
      </c>
      <c r="B2620" s="111">
        <f t="shared" si="40"/>
        <v>31</v>
      </c>
      <c r="C2620" s="111"/>
      <c r="D2620" s="111"/>
      <c r="E2620" s="111"/>
    </row>
    <row r="2621" spans="1:5" x14ac:dyDescent="0.2">
      <c r="A2621" s="113">
        <v>37319</v>
      </c>
      <c r="B2621" s="111">
        <f t="shared" si="40"/>
        <v>31</v>
      </c>
      <c r="C2621" s="111"/>
      <c r="D2621" s="111"/>
      <c r="E2621" s="111"/>
    </row>
    <row r="2622" spans="1:5" x14ac:dyDescent="0.2">
      <c r="A2622" s="113">
        <v>37320</v>
      </c>
      <c r="B2622" s="111">
        <f t="shared" si="40"/>
        <v>31</v>
      </c>
      <c r="C2622" s="111"/>
      <c r="D2622" s="111"/>
      <c r="E2622" s="111"/>
    </row>
    <row r="2623" spans="1:5" x14ac:dyDescent="0.2">
      <c r="A2623" s="113">
        <v>37321</v>
      </c>
      <c r="B2623" s="111">
        <f t="shared" si="40"/>
        <v>31</v>
      </c>
      <c r="C2623" s="111"/>
      <c r="D2623" s="111"/>
      <c r="E2623" s="111"/>
    </row>
    <row r="2624" spans="1:5" x14ac:dyDescent="0.2">
      <c r="A2624" s="113">
        <v>37322</v>
      </c>
      <c r="B2624" s="111">
        <f t="shared" si="40"/>
        <v>31</v>
      </c>
      <c r="C2624" s="111"/>
      <c r="D2624" s="111"/>
      <c r="E2624" s="111"/>
    </row>
    <row r="2625" spans="1:5" x14ac:dyDescent="0.2">
      <c r="A2625" s="113">
        <v>37323</v>
      </c>
      <c r="B2625" s="111">
        <f t="shared" si="40"/>
        <v>31</v>
      </c>
      <c r="C2625" s="111"/>
      <c r="D2625" s="111"/>
      <c r="E2625" s="111"/>
    </row>
    <row r="2626" spans="1:5" x14ac:dyDescent="0.2">
      <c r="A2626" s="113">
        <v>37324</v>
      </c>
      <c r="B2626" s="111">
        <f t="shared" ref="B2626:B2689" si="41">VLOOKUP(WEEKNUM(A2626),$D$3:$E$58,2)</f>
        <v>31</v>
      </c>
      <c r="C2626" s="111"/>
      <c r="D2626" s="111"/>
      <c r="E2626" s="111"/>
    </row>
    <row r="2627" spans="1:5" x14ac:dyDescent="0.2">
      <c r="A2627" s="113">
        <v>37325</v>
      </c>
      <c r="B2627" s="111">
        <f t="shared" si="41"/>
        <v>32</v>
      </c>
      <c r="C2627" s="111"/>
      <c r="D2627" s="111"/>
      <c r="E2627" s="111"/>
    </row>
    <row r="2628" spans="1:5" x14ac:dyDescent="0.2">
      <c r="A2628" s="113">
        <v>37326</v>
      </c>
      <c r="B2628" s="111">
        <f t="shared" si="41"/>
        <v>32</v>
      </c>
      <c r="C2628" s="111"/>
      <c r="D2628" s="111"/>
      <c r="E2628" s="111"/>
    </row>
    <row r="2629" spans="1:5" x14ac:dyDescent="0.2">
      <c r="A2629" s="113">
        <v>37327</v>
      </c>
      <c r="B2629" s="111">
        <f t="shared" si="41"/>
        <v>32</v>
      </c>
      <c r="C2629" s="111"/>
      <c r="D2629" s="111"/>
      <c r="E2629" s="111"/>
    </row>
    <row r="2630" spans="1:5" x14ac:dyDescent="0.2">
      <c r="A2630" s="113">
        <v>37328</v>
      </c>
      <c r="B2630" s="111">
        <f t="shared" si="41"/>
        <v>32</v>
      </c>
      <c r="C2630" s="111"/>
      <c r="D2630" s="111"/>
      <c r="E2630" s="111"/>
    </row>
    <row r="2631" spans="1:5" x14ac:dyDescent="0.2">
      <c r="A2631" s="113">
        <v>37329</v>
      </c>
      <c r="B2631" s="111">
        <f t="shared" si="41"/>
        <v>32</v>
      </c>
      <c r="C2631" s="111"/>
      <c r="D2631" s="111"/>
      <c r="E2631" s="111"/>
    </row>
    <row r="2632" spans="1:5" x14ac:dyDescent="0.2">
      <c r="A2632" s="113">
        <v>37330</v>
      </c>
      <c r="B2632" s="111">
        <f t="shared" si="41"/>
        <v>32</v>
      </c>
      <c r="C2632" s="111"/>
      <c r="D2632" s="111"/>
      <c r="E2632" s="111"/>
    </row>
    <row r="2633" spans="1:5" x14ac:dyDescent="0.2">
      <c r="A2633" s="113">
        <v>37331</v>
      </c>
      <c r="B2633" s="111">
        <f t="shared" si="41"/>
        <v>32</v>
      </c>
      <c r="C2633" s="111"/>
      <c r="D2633" s="111"/>
      <c r="E2633" s="111"/>
    </row>
    <row r="2634" spans="1:5" x14ac:dyDescent="0.2">
      <c r="A2634" s="113">
        <v>37332</v>
      </c>
      <c r="B2634" s="111">
        <f t="shared" si="41"/>
        <v>33</v>
      </c>
      <c r="C2634" s="111"/>
      <c r="D2634" s="111"/>
      <c r="E2634" s="111"/>
    </row>
    <row r="2635" spans="1:5" x14ac:dyDescent="0.2">
      <c r="A2635" s="113">
        <v>37333</v>
      </c>
      <c r="B2635" s="111">
        <f t="shared" si="41"/>
        <v>33</v>
      </c>
      <c r="C2635" s="111"/>
      <c r="D2635" s="111"/>
      <c r="E2635" s="111"/>
    </row>
    <row r="2636" spans="1:5" x14ac:dyDescent="0.2">
      <c r="A2636" s="113">
        <v>37334</v>
      </c>
      <c r="B2636" s="111">
        <f t="shared" si="41"/>
        <v>33</v>
      </c>
      <c r="C2636" s="111"/>
      <c r="D2636" s="111"/>
      <c r="E2636" s="111"/>
    </row>
    <row r="2637" spans="1:5" x14ac:dyDescent="0.2">
      <c r="A2637" s="113">
        <v>37335</v>
      </c>
      <c r="B2637" s="111">
        <f t="shared" si="41"/>
        <v>33</v>
      </c>
      <c r="C2637" s="111"/>
      <c r="D2637" s="111"/>
      <c r="E2637" s="111"/>
    </row>
    <row r="2638" spans="1:5" x14ac:dyDescent="0.2">
      <c r="A2638" s="113">
        <v>37336</v>
      </c>
      <c r="B2638" s="111">
        <f t="shared" si="41"/>
        <v>33</v>
      </c>
      <c r="C2638" s="111"/>
      <c r="D2638" s="111"/>
      <c r="E2638" s="111"/>
    </row>
    <row r="2639" spans="1:5" x14ac:dyDescent="0.2">
      <c r="A2639" s="113">
        <v>37337</v>
      </c>
      <c r="B2639" s="111">
        <f t="shared" si="41"/>
        <v>33</v>
      </c>
      <c r="C2639" s="111"/>
      <c r="D2639" s="111"/>
      <c r="E2639" s="111"/>
    </row>
    <row r="2640" spans="1:5" x14ac:dyDescent="0.2">
      <c r="A2640" s="113">
        <v>37338</v>
      </c>
      <c r="B2640" s="111">
        <f t="shared" si="41"/>
        <v>33</v>
      </c>
      <c r="C2640" s="111"/>
      <c r="D2640" s="111"/>
      <c r="E2640" s="111"/>
    </row>
    <row r="2641" spans="1:5" x14ac:dyDescent="0.2">
      <c r="A2641" s="113">
        <v>37339</v>
      </c>
      <c r="B2641" s="111">
        <f t="shared" si="41"/>
        <v>34</v>
      </c>
      <c r="C2641" s="111"/>
      <c r="D2641" s="111"/>
      <c r="E2641" s="111"/>
    </row>
    <row r="2642" spans="1:5" x14ac:dyDescent="0.2">
      <c r="A2642" s="113">
        <v>37340</v>
      </c>
      <c r="B2642" s="111">
        <f t="shared" si="41"/>
        <v>34</v>
      </c>
      <c r="C2642" s="111"/>
      <c r="D2642" s="111"/>
      <c r="E2642" s="111"/>
    </row>
    <row r="2643" spans="1:5" x14ac:dyDescent="0.2">
      <c r="A2643" s="113">
        <v>37341</v>
      </c>
      <c r="B2643" s="111">
        <f t="shared" si="41"/>
        <v>34</v>
      </c>
      <c r="C2643" s="111"/>
      <c r="D2643" s="111"/>
      <c r="E2643" s="111"/>
    </row>
    <row r="2644" spans="1:5" x14ac:dyDescent="0.2">
      <c r="A2644" s="113">
        <v>37342</v>
      </c>
      <c r="B2644" s="111">
        <f t="shared" si="41"/>
        <v>34</v>
      </c>
      <c r="C2644" s="111"/>
      <c r="D2644" s="111"/>
      <c r="E2644" s="111"/>
    </row>
    <row r="2645" spans="1:5" x14ac:dyDescent="0.2">
      <c r="A2645" s="113">
        <v>37343</v>
      </c>
      <c r="B2645" s="111">
        <f t="shared" si="41"/>
        <v>34</v>
      </c>
      <c r="C2645" s="111"/>
      <c r="D2645" s="111"/>
      <c r="E2645" s="111"/>
    </row>
    <row r="2646" spans="1:5" x14ac:dyDescent="0.2">
      <c r="A2646" s="113">
        <v>37344</v>
      </c>
      <c r="B2646" s="111">
        <f t="shared" si="41"/>
        <v>34</v>
      </c>
      <c r="C2646" s="111"/>
      <c r="D2646" s="111"/>
      <c r="E2646" s="111"/>
    </row>
    <row r="2647" spans="1:5" x14ac:dyDescent="0.2">
      <c r="A2647" s="113">
        <v>37345</v>
      </c>
      <c r="B2647" s="111">
        <f t="shared" si="41"/>
        <v>34</v>
      </c>
      <c r="C2647" s="111"/>
      <c r="D2647" s="111"/>
      <c r="E2647" s="111"/>
    </row>
    <row r="2648" spans="1:5" x14ac:dyDescent="0.2">
      <c r="A2648" s="113">
        <v>37346</v>
      </c>
      <c r="B2648" s="111">
        <f t="shared" si="41"/>
        <v>41</v>
      </c>
      <c r="C2648" s="111"/>
      <c r="D2648" s="111"/>
      <c r="E2648" s="111"/>
    </row>
    <row r="2649" spans="1:5" x14ac:dyDescent="0.2">
      <c r="A2649" s="113">
        <v>37347</v>
      </c>
      <c r="B2649" s="111">
        <f t="shared" si="41"/>
        <v>41</v>
      </c>
      <c r="C2649" s="111"/>
      <c r="D2649" s="111"/>
      <c r="E2649" s="111"/>
    </row>
    <row r="2650" spans="1:5" x14ac:dyDescent="0.2">
      <c r="A2650" s="113">
        <v>37348</v>
      </c>
      <c r="B2650" s="111">
        <f t="shared" si="41"/>
        <v>41</v>
      </c>
      <c r="C2650" s="111"/>
      <c r="D2650" s="111"/>
      <c r="E2650" s="111"/>
    </row>
    <row r="2651" spans="1:5" x14ac:dyDescent="0.2">
      <c r="A2651" s="113">
        <v>37349</v>
      </c>
      <c r="B2651" s="111">
        <f t="shared" si="41"/>
        <v>41</v>
      </c>
      <c r="C2651" s="111"/>
      <c r="D2651" s="111"/>
      <c r="E2651" s="111"/>
    </row>
    <row r="2652" spans="1:5" x14ac:dyDescent="0.2">
      <c r="A2652" s="113">
        <v>37350</v>
      </c>
      <c r="B2652" s="111">
        <f t="shared" si="41"/>
        <v>41</v>
      </c>
      <c r="C2652" s="111"/>
      <c r="D2652" s="111"/>
      <c r="E2652" s="111"/>
    </row>
    <row r="2653" spans="1:5" x14ac:dyDescent="0.2">
      <c r="A2653" s="113">
        <v>37351</v>
      </c>
      <c r="B2653" s="111">
        <f t="shared" si="41"/>
        <v>41</v>
      </c>
      <c r="C2653" s="111"/>
      <c r="D2653" s="111"/>
      <c r="E2653" s="111"/>
    </row>
    <row r="2654" spans="1:5" x14ac:dyDescent="0.2">
      <c r="A2654" s="113">
        <v>37352</v>
      </c>
      <c r="B2654" s="111">
        <f t="shared" si="41"/>
        <v>41</v>
      </c>
      <c r="C2654" s="111"/>
      <c r="D2654" s="111"/>
      <c r="E2654" s="111"/>
    </row>
    <row r="2655" spans="1:5" x14ac:dyDescent="0.2">
      <c r="A2655" s="113">
        <v>37353</v>
      </c>
      <c r="B2655" s="111">
        <f t="shared" si="41"/>
        <v>42</v>
      </c>
      <c r="C2655" s="111"/>
      <c r="D2655" s="111"/>
      <c r="E2655" s="111"/>
    </row>
    <row r="2656" spans="1:5" x14ac:dyDescent="0.2">
      <c r="A2656" s="113">
        <v>37354</v>
      </c>
      <c r="B2656" s="111">
        <f t="shared" si="41"/>
        <v>42</v>
      </c>
      <c r="C2656" s="111"/>
      <c r="D2656" s="111"/>
      <c r="E2656" s="111"/>
    </row>
    <row r="2657" spans="1:5" x14ac:dyDescent="0.2">
      <c r="A2657" s="113">
        <v>37355</v>
      </c>
      <c r="B2657" s="111">
        <f t="shared" si="41"/>
        <v>42</v>
      </c>
      <c r="C2657" s="111"/>
      <c r="D2657" s="111"/>
      <c r="E2657" s="111"/>
    </row>
    <row r="2658" spans="1:5" x14ac:dyDescent="0.2">
      <c r="A2658" s="113">
        <v>37356</v>
      </c>
      <c r="B2658" s="111">
        <f t="shared" si="41"/>
        <v>42</v>
      </c>
      <c r="C2658" s="111"/>
      <c r="D2658" s="111"/>
      <c r="E2658" s="111"/>
    </row>
    <row r="2659" spans="1:5" x14ac:dyDescent="0.2">
      <c r="A2659" s="113">
        <v>37357</v>
      </c>
      <c r="B2659" s="111">
        <f t="shared" si="41"/>
        <v>42</v>
      </c>
      <c r="C2659" s="111"/>
      <c r="D2659" s="111"/>
      <c r="E2659" s="111"/>
    </row>
    <row r="2660" spans="1:5" x14ac:dyDescent="0.2">
      <c r="A2660" s="113">
        <v>37358</v>
      </c>
      <c r="B2660" s="111">
        <f t="shared" si="41"/>
        <v>42</v>
      </c>
      <c r="C2660" s="111"/>
      <c r="D2660" s="111"/>
      <c r="E2660" s="111"/>
    </row>
    <row r="2661" spans="1:5" x14ac:dyDescent="0.2">
      <c r="A2661" s="113">
        <v>37359</v>
      </c>
      <c r="B2661" s="111">
        <f t="shared" si="41"/>
        <v>42</v>
      </c>
      <c r="C2661" s="111"/>
      <c r="D2661" s="111"/>
      <c r="E2661" s="111"/>
    </row>
    <row r="2662" spans="1:5" x14ac:dyDescent="0.2">
      <c r="A2662" s="113">
        <v>37360</v>
      </c>
      <c r="B2662" s="111">
        <f t="shared" si="41"/>
        <v>43</v>
      </c>
      <c r="C2662" s="111"/>
      <c r="D2662" s="111"/>
      <c r="E2662" s="111"/>
    </row>
    <row r="2663" spans="1:5" x14ac:dyDescent="0.2">
      <c r="A2663" s="113">
        <v>37361</v>
      </c>
      <c r="B2663" s="111">
        <f t="shared" si="41"/>
        <v>43</v>
      </c>
      <c r="C2663" s="111"/>
      <c r="D2663" s="111"/>
      <c r="E2663" s="111"/>
    </row>
    <row r="2664" spans="1:5" x14ac:dyDescent="0.2">
      <c r="A2664" s="113">
        <v>37362</v>
      </c>
      <c r="B2664" s="111">
        <f t="shared" si="41"/>
        <v>43</v>
      </c>
      <c r="C2664" s="111"/>
      <c r="D2664" s="111"/>
      <c r="E2664" s="111"/>
    </row>
    <row r="2665" spans="1:5" x14ac:dyDescent="0.2">
      <c r="A2665" s="113">
        <v>37363</v>
      </c>
      <c r="B2665" s="111">
        <f t="shared" si="41"/>
        <v>43</v>
      </c>
      <c r="C2665" s="111"/>
      <c r="D2665" s="111"/>
      <c r="E2665" s="111"/>
    </row>
    <row r="2666" spans="1:5" x14ac:dyDescent="0.2">
      <c r="A2666" s="113">
        <v>37364</v>
      </c>
      <c r="B2666" s="111">
        <f t="shared" si="41"/>
        <v>43</v>
      </c>
      <c r="C2666" s="111"/>
      <c r="D2666" s="111"/>
      <c r="E2666" s="111"/>
    </row>
    <row r="2667" spans="1:5" x14ac:dyDescent="0.2">
      <c r="A2667" s="113">
        <v>37365</v>
      </c>
      <c r="B2667" s="111">
        <f t="shared" si="41"/>
        <v>43</v>
      </c>
      <c r="C2667" s="111"/>
      <c r="D2667" s="111"/>
      <c r="E2667" s="111"/>
    </row>
    <row r="2668" spans="1:5" x14ac:dyDescent="0.2">
      <c r="A2668" s="113">
        <v>37366</v>
      </c>
      <c r="B2668" s="111">
        <f t="shared" si="41"/>
        <v>43</v>
      </c>
      <c r="C2668" s="111"/>
      <c r="D2668" s="111"/>
      <c r="E2668" s="111"/>
    </row>
    <row r="2669" spans="1:5" x14ac:dyDescent="0.2">
      <c r="A2669" s="113">
        <v>37367</v>
      </c>
      <c r="B2669" s="111">
        <f t="shared" si="41"/>
        <v>44</v>
      </c>
      <c r="C2669" s="111"/>
      <c r="D2669" s="111"/>
      <c r="E2669" s="111"/>
    </row>
    <row r="2670" spans="1:5" x14ac:dyDescent="0.2">
      <c r="A2670" s="113">
        <v>37368</v>
      </c>
      <c r="B2670" s="111">
        <f t="shared" si="41"/>
        <v>44</v>
      </c>
      <c r="C2670" s="111"/>
      <c r="D2670" s="111"/>
      <c r="E2670" s="111"/>
    </row>
    <row r="2671" spans="1:5" x14ac:dyDescent="0.2">
      <c r="A2671" s="113">
        <v>37369</v>
      </c>
      <c r="B2671" s="111">
        <f t="shared" si="41"/>
        <v>44</v>
      </c>
      <c r="C2671" s="111"/>
      <c r="D2671" s="111"/>
      <c r="E2671" s="111"/>
    </row>
    <row r="2672" spans="1:5" x14ac:dyDescent="0.2">
      <c r="A2672" s="113">
        <v>37370</v>
      </c>
      <c r="B2672" s="111">
        <f t="shared" si="41"/>
        <v>44</v>
      </c>
      <c r="C2672" s="111"/>
      <c r="D2672" s="111"/>
      <c r="E2672" s="111"/>
    </row>
    <row r="2673" spans="1:5" x14ac:dyDescent="0.2">
      <c r="A2673" s="113">
        <v>37371</v>
      </c>
      <c r="B2673" s="111">
        <f t="shared" si="41"/>
        <v>44</v>
      </c>
      <c r="C2673" s="111"/>
      <c r="D2673" s="111"/>
      <c r="E2673" s="111"/>
    </row>
    <row r="2674" spans="1:5" x14ac:dyDescent="0.2">
      <c r="A2674" s="113">
        <v>37372</v>
      </c>
      <c r="B2674" s="111">
        <f t="shared" si="41"/>
        <v>44</v>
      </c>
      <c r="C2674" s="111"/>
      <c r="D2674" s="111"/>
      <c r="E2674" s="111"/>
    </row>
    <row r="2675" spans="1:5" x14ac:dyDescent="0.2">
      <c r="A2675" s="113">
        <v>37373</v>
      </c>
      <c r="B2675" s="111">
        <f t="shared" si="41"/>
        <v>44</v>
      </c>
      <c r="C2675" s="111"/>
      <c r="D2675" s="111"/>
      <c r="E2675" s="111"/>
    </row>
    <row r="2676" spans="1:5" x14ac:dyDescent="0.2">
      <c r="A2676" s="113">
        <v>37374</v>
      </c>
      <c r="B2676" s="111">
        <f t="shared" si="41"/>
        <v>45</v>
      </c>
      <c r="C2676" s="111"/>
      <c r="D2676" s="111"/>
      <c r="E2676" s="111"/>
    </row>
    <row r="2677" spans="1:5" x14ac:dyDescent="0.2">
      <c r="A2677" s="113">
        <v>37375</v>
      </c>
      <c r="B2677" s="111">
        <f t="shared" si="41"/>
        <v>45</v>
      </c>
      <c r="C2677" s="111"/>
      <c r="D2677" s="111"/>
      <c r="E2677" s="111"/>
    </row>
    <row r="2678" spans="1:5" x14ac:dyDescent="0.2">
      <c r="A2678" s="113">
        <v>37376</v>
      </c>
      <c r="B2678" s="111">
        <f t="shared" si="41"/>
        <v>45</v>
      </c>
      <c r="C2678" s="111"/>
      <c r="D2678" s="111"/>
      <c r="E2678" s="111"/>
    </row>
    <row r="2679" spans="1:5" x14ac:dyDescent="0.2">
      <c r="A2679" s="113">
        <v>37377</v>
      </c>
      <c r="B2679" s="111">
        <f t="shared" si="41"/>
        <v>45</v>
      </c>
      <c r="C2679" s="111"/>
      <c r="D2679" s="111"/>
      <c r="E2679" s="111"/>
    </row>
    <row r="2680" spans="1:5" x14ac:dyDescent="0.2">
      <c r="A2680" s="113">
        <v>37378</v>
      </c>
      <c r="B2680" s="111">
        <f t="shared" si="41"/>
        <v>45</v>
      </c>
      <c r="C2680" s="111"/>
      <c r="D2680" s="111"/>
      <c r="E2680" s="111"/>
    </row>
    <row r="2681" spans="1:5" x14ac:dyDescent="0.2">
      <c r="A2681" s="113">
        <v>37379</v>
      </c>
      <c r="B2681" s="111">
        <f t="shared" si="41"/>
        <v>45</v>
      </c>
      <c r="C2681" s="111"/>
      <c r="D2681" s="111"/>
      <c r="E2681" s="111"/>
    </row>
    <row r="2682" spans="1:5" x14ac:dyDescent="0.2">
      <c r="A2682" s="113">
        <v>37380</v>
      </c>
      <c r="B2682" s="111">
        <f t="shared" si="41"/>
        <v>45</v>
      </c>
      <c r="C2682" s="111"/>
      <c r="D2682" s="111"/>
      <c r="E2682" s="111"/>
    </row>
    <row r="2683" spans="1:5" x14ac:dyDescent="0.2">
      <c r="A2683" s="113">
        <v>37381</v>
      </c>
      <c r="B2683" s="111">
        <f t="shared" si="41"/>
        <v>51</v>
      </c>
      <c r="C2683" s="111"/>
      <c r="D2683" s="111"/>
      <c r="E2683" s="111"/>
    </row>
    <row r="2684" spans="1:5" x14ac:dyDescent="0.2">
      <c r="A2684" s="113">
        <v>37382</v>
      </c>
      <c r="B2684" s="111">
        <f t="shared" si="41"/>
        <v>51</v>
      </c>
      <c r="C2684" s="111"/>
      <c r="D2684" s="111"/>
      <c r="E2684" s="111"/>
    </row>
    <row r="2685" spans="1:5" x14ac:dyDescent="0.2">
      <c r="A2685" s="113">
        <v>37383</v>
      </c>
      <c r="B2685" s="111">
        <f t="shared" si="41"/>
        <v>51</v>
      </c>
      <c r="C2685" s="111"/>
      <c r="D2685" s="111"/>
      <c r="E2685" s="111"/>
    </row>
    <row r="2686" spans="1:5" x14ac:dyDescent="0.2">
      <c r="A2686" s="113">
        <v>37384</v>
      </c>
      <c r="B2686" s="111">
        <f t="shared" si="41"/>
        <v>51</v>
      </c>
      <c r="C2686" s="111"/>
      <c r="D2686" s="111"/>
      <c r="E2686" s="111"/>
    </row>
    <row r="2687" spans="1:5" x14ac:dyDescent="0.2">
      <c r="A2687" s="113">
        <v>37385</v>
      </c>
      <c r="B2687" s="111">
        <f t="shared" si="41"/>
        <v>51</v>
      </c>
      <c r="C2687" s="111"/>
      <c r="D2687" s="111"/>
      <c r="E2687" s="111"/>
    </row>
    <row r="2688" spans="1:5" x14ac:dyDescent="0.2">
      <c r="A2688" s="113">
        <v>37386</v>
      </c>
      <c r="B2688" s="111">
        <f t="shared" si="41"/>
        <v>51</v>
      </c>
      <c r="C2688" s="111"/>
      <c r="D2688" s="111"/>
      <c r="E2688" s="111"/>
    </row>
    <row r="2689" spans="1:5" x14ac:dyDescent="0.2">
      <c r="A2689" s="113">
        <v>37387</v>
      </c>
      <c r="B2689" s="111">
        <f t="shared" si="41"/>
        <v>51</v>
      </c>
      <c r="C2689" s="111"/>
      <c r="D2689" s="111"/>
      <c r="E2689" s="111"/>
    </row>
    <row r="2690" spans="1:5" x14ac:dyDescent="0.2">
      <c r="A2690" s="113">
        <v>37388</v>
      </c>
      <c r="B2690" s="111">
        <f t="shared" ref="B2690:B2753" si="42">VLOOKUP(WEEKNUM(A2690),$D$3:$E$58,2)</f>
        <v>52</v>
      </c>
      <c r="C2690" s="111"/>
      <c r="D2690" s="111"/>
      <c r="E2690" s="111"/>
    </row>
    <row r="2691" spans="1:5" x14ac:dyDescent="0.2">
      <c r="A2691" s="113">
        <v>37389</v>
      </c>
      <c r="B2691" s="111">
        <f t="shared" si="42"/>
        <v>52</v>
      </c>
      <c r="C2691" s="111"/>
      <c r="D2691" s="111"/>
      <c r="E2691" s="111"/>
    </row>
    <row r="2692" spans="1:5" x14ac:dyDescent="0.2">
      <c r="A2692" s="113">
        <v>37390</v>
      </c>
      <c r="B2692" s="111">
        <f t="shared" si="42"/>
        <v>52</v>
      </c>
      <c r="C2692" s="111"/>
      <c r="D2692" s="111"/>
      <c r="E2692" s="111"/>
    </row>
    <row r="2693" spans="1:5" x14ac:dyDescent="0.2">
      <c r="A2693" s="113">
        <v>37391</v>
      </c>
      <c r="B2693" s="111">
        <f t="shared" si="42"/>
        <v>52</v>
      </c>
      <c r="C2693" s="111"/>
      <c r="D2693" s="111"/>
      <c r="E2693" s="111"/>
    </row>
    <row r="2694" spans="1:5" x14ac:dyDescent="0.2">
      <c r="A2694" s="113">
        <v>37392</v>
      </c>
      <c r="B2694" s="111">
        <f t="shared" si="42"/>
        <v>52</v>
      </c>
      <c r="C2694" s="111"/>
      <c r="D2694" s="111"/>
      <c r="E2694" s="111"/>
    </row>
    <row r="2695" spans="1:5" x14ac:dyDescent="0.2">
      <c r="A2695" s="113">
        <v>37393</v>
      </c>
      <c r="B2695" s="111">
        <f t="shared" si="42"/>
        <v>52</v>
      </c>
      <c r="C2695" s="111"/>
      <c r="D2695" s="111"/>
      <c r="E2695" s="111"/>
    </row>
    <row r="2696" spans="1:5" x14ac:dyDescent="0.2">
      <c r="A2696" s="113">
        <v>37394</v>
      </c>
      <c r="B2696" s="111">
        <f t="shared" si="42"/>
        <v>52</v>
      </c>
      <c r="C2696" s="111"/>
      <c r="D2696" s="111"/>
      <c r="E2696" s="111"/>
    </row>
    <row r="2697" spans="1:5" x14ac:dyDescent="0.2">
      <c r="A2697" s="113">
        <v>37395</v>
      </c>
      <c r="B2697" s="111">
        <f t="shared" si="42"/>
        <v>53</v>
      </c>
      <c r="C2697" s="111"/>
      <c r="D2697" s="111"/>
      <c r="E2697" s="111"/>
    </row>
    <row r="2698" spans="1:5" x14ac:dyDescent="0.2">
      <c r="A2698" s="113">
        <v>37396</v>
      </c>
      <c r="B2698" s="111">
        <f t="shared" si="42"/>
        <v>53</v>
      </c>
      <c r="C2698" s="111"/>
      <c r="D2698" s="111"/>
      <c r="E2698" s="111"/>
    </row>
    <row r="2699" spans="1:5" x14ac:dyDescent="0.2">
      <c r="A2699" s="113">
        <v>37397</v>
      </c>
      <c r="B2699" s="111">
        <f t="shared" si="42"/>
        <v>53</v>
      </c>
      <c r="C2699" s="111"/>
      <c r="D2699" s="111"/>
      <c r="E2699" s="111"/>
    </row>
    <row r="2700" spans="1:5" x14ac:dyDescent="0.2">
      <c r="A2700" s="113">
        <v>37398</v>
      </c>
      <c r="B2700" s="111">
        <f t="shared" si="42"/>
        <v>53</v>
      </c>
      <c r="C2700" s="111"/>
      <c r="D2700" s="111"/>
      <c r="E2700" s="111"/>
    </row>
    <row r="2701" spans="1:5" x14ac:dyDescent="0.2">
      <c r="A2701" s="113">
        <v>37399</v>
      </c>
      <c r="B2701" s="111">
        <f t="shared" si="42"/>
        <v>53</v>
      </c>
      <c r="C2701" s="111"/>
      <c r="D2701" s="111"/>
      <c r="E2701" s="111"/>
    </row>
    <row r="2702" spans="1:5" x14ac:dyDescent="0.2">
      <c r="A2702" s="113">
        <v>37400</v>
      </c>
      <c r="B2702" s="111">
        <f t="shared" si="42"/>
        <v>53</v>
      </c>
      <c r="C2702" s="111"/>
      <c r="D2702" s="111"/>
      <c r="E2702" s="111"/>
    </row>
    <row r="2703" spans="1:5" x14ac:dyDescent="0.2">
      <c r="A2703" s="113">
        <v>37401</v>
      </c>
      <c r="B2703" s="111">
        <f t="shared" si="42"/>
        <v>53</v>
      </c>
      <c r="C2703" s="111"/>
      <c r="D2703" s="111"/>
      <c r="E2703" s="111"/>
    </row>
    <row r="2704" spans="1:5" x14ac:dyDescent="0.2">
      <c r="A2704" s="113">
        <v>37402</v>
      </c>
      <c r="B2704" s="111">
        <f t="shared" si="42"/>
        <v>54</v>
      </c>
      <c r="C2704" s="111"/>
      <c r="D2704" s="111"/>
      <c r="E2704" s="111"/>
    </row>
    <row r="2705" spans="1:5" x14ac:dyDescent="0.2">
      <c r="A2705" s="113">
        <v>37403</v>
      </c>
      <c r="B2705" s="111">
        <f t="shared" si="42"/>
        <v>54</v>
      </c>
      <c r="C2705" s="111"/>
      <c r="D2705" s="111"/>
      <c r="E2705" s="111"/>
    </row>
    <row r="2706" spans="1:5" x14ac:dyDescent="0.2">
      <c r="A2706" s="113">
        <v>37404</v>
      </c>
      <c r="B2706" s="111">
        <f t="shared" si="42"/>
        <v>54</v>
      </c>
      <c r="C2706" s="111"/>
      <c r="D2706" s="111"/>
      <c r="E2706" s="111"/>
    </row>
    <row r="2707" spans="1:5" x14ac:dyDescent="0.2">
      <c r="A2707" s="113">
        <v>37405</v>
      </c>
      <c r="B2707" s="111">
        <f t="shared" si="42"/>
        <v>54</v>
      </c>
      <c r="C2707" s="111"/>
      <c r="D2707" s="111"/>
      <c r="E2707" s="111"/>
    </row>
    <row r="2708" spans="1:5" x14ac:dyDescent="0.2">
      <c r="A2708" s="113">
        <v>37406</v>
      </c>
      <c r="B2708" s="111">
        <f t="shared" si="42"/>
        <v>54</v>
      </c>
      <c r="C2708" s="111"/>
      <c r="D2708" s="111"/>
      <c r="E2708" s="111"/>
    </row>
    <row r="2709" spans="1:5" x14ac:dyDescent="0.2">
      <c r="A2709" s="113">
        <v>37407</v>
      </c>
      <c r="B2709" s="111">
        <f t="shared" si="42"/>
        <v>54</v>
      </c>
      <c r="C2709" s="111"/>
      <c r="D2709" s="111"/>
      <c r="E2709" s="111"/>
    </row>
    <row r="2710" spans="1:5" x14ac:dyDescent="0.2">
      <c r="A2710" s="113">
        <v>37408</v>
      </c>
      <c r="B2710" s="111">
        <f t="shared" si="42"/>
        <v>54</v>
      </c>
      <c r="C2710" s="111"/>
      <c r="D2710" s="111"/>
      <c r="E2710" s="111"/>
    </row>
    <row r="2711" spans="1:5" x14ac:dyDescent="0.2">
      <c r="A2711" s="113">
        <v>37409</v>
      </c>
      <c r="B2711" s="111">
        <f t="shared" si="42"/>
        <v>61</v>
      </c>
      <c r="C2711" s="111"/>
      <c r="D2711" s="111"/>
      <c r="E2711" s="111"/>
    </row>
    <row r="2712" spans="1:5" x14ac:dyDescent="0.2">
      <c r="A2712" s="113">
        <v>37410</v>
      </c>
      <c r="B2712" s="111">
        <f t="shared" si="42"/>
        <v>61</v>
      </c>
      <c r="C2712" s="111"/>
      <c r="D2712" s="111"/>
      <c r="E2712" s="111"/>
    </row>
    <row r="2713" spans="1:5" x14ac:dyDescent="0.2">
      <c r="A2713" s="113">
        <v>37411</v>
      </c>
      <c r="B2713" s="111">
        <f t="shared" si="42"/>
        <v>61</v>
      </c>
      <c r="C2713" s="111"/>
      <c r="D2713" s="111"/>
      <c r="E2713" s="111"/>
    </row>
    <row r="2714" spans="1:5" x14ac:dyDescent="0.2">
      <c r="A2714" s="113">
        <v>37412</v>
      </c>
      <c r="B2714" s="111">
        <f t="shared" si="42"/>
        <v>61</v>
      </c>
      <c r="C2714" s="111"/>
      <c r="D2714" s="111"/>
      <c r="E2714" s="111"/>
    </row>
    <row r="2715" spans="1:5" x14ac:dyDescent="0.2">
      <c r="A2715" s="113">
        <v>37413</v>
      </c>
      <c r="B2715" s="111">
        <f t="shared" si="42"/>
        <v>61</v>
      </c>
      <c r="C2715" s="111"/>
      <c r="D2715" s="111"/>
      <c r="E2715" s="111"/>
    </row>
    <row r="2716" spans="1:5" x14ac:dyDescent="0.2">
      <c r="A2716" s="113">
        <v>37414</v>
      </c>
      <c r="B2716" s="111">
        <f t="shared" si="42"/>
        <v>61</v>
      </c>
      <c r="C2716" s="111"/>
      <c r="D2716" s="111"/>
      <c r="E2716" s="111"/>
    </row>
    <row r="2717" spans="1:5" x14ac:dyDescent="0.2">
      <c r="A2717" s="113">
        <v>37415</v>
      </c>
      <c r="B2717" s="111">
        <f t="shared" si="42"/>
        <v>61</v>
      </c>
      <c r="C2717" s="111"/>
      <c r="D2717" s="111"/>
      <c r="E2717" s="111"/>
    </row>
    <row r="2718" spans="1:5" x14ac:dyDescent="0.2">
      <c r="A2718" s="113">
        <v>37416</v>
      </c>
      <c r="B2718" s="111">
        <f t="shared" si="42"/>
        <v>62</v>
      </c>
      <c r="C2718" s="111"/>
      <c r="D2718" s="111"/>
      <c r="E2718" s="111"/>
    </row>
    <row r="2719" spans="1:5" x14ac:dyDescent="0.2">
      <c r="A2719" s="113">
        <v>37417</v>
      </c>
      <c r="B2719" s="111">
        <f t="shared" si="42"/>
        <v>62</v>
      </c>
      <c r="C2719" s="111"/>
      <c r="D2719" s="111"/>
      <c r="E2719" s="111"/>
    </row>
    <row r="2720" spans="1:5" x14ac:dyDescent="0.2">
      <c r="A2720" s="113">
        <v>37418</v>
      </c>
      <c r="B2720" s="111">
        <f t="shared" si="42"/>
        <v>62</v>
      </c>
      <c r="C2720" s="111"/>
      <c r="D2720" s="111"/>
      <c r="E2720" s="111"/>
    </row>
    <row r="2721" spans="1:5" x14ac:dyDescent="0.2">
      <c r="A2721" s="113">
        <v>37419</v>
      </c>
      <c r="B2721" s="111">
        <f t="shared" si="42"/>
        <v>62</v>
      </c>
      <c r="C2721" s="111"/>
      <c r="D2721" s="111"/>
      <c r="E2721" s="111"/>
    </row>
    <row r="2722" spans="1:5" x14ac:dyDescent="0.2">
      <c r="A2722" s="113">
        <v>37420</v>
      </c>
      <c r="B2722" s="111">
        <f t="shared" si="42"/>
        <v>62</v>
      </c>
      <c r="C2722" s="111"/>
      <c r="D2722" s="111"/>
      <c r="E2722" s="111"/>
    </row>
    <row r="2723" spans="1:5" x14ac:dyDescent="0.2">
      <c r="A2723" s="113">
        <v>37421</v>
      </c>
      <c r="B2723" s="111">
        <f t="shared" si="42"/>
        <v>62</v>
      </c>
      <c r="C2723" s="111"/>
      <c r="D2723" s="111"/>
      <c r="E2723" s="111"/>
    </row>
    <row r="2724" spans="1:5" x14ac:dyDescent="0.2">
      <c r="A2724" s="113">
        <v>37422</v>
      </c>
      <c r="B2724" s="111">
        <f t="shared" si="42"/>
        <v>62</v>
      </c>
      <c r="C2724" s="111"/>
      <c r="D2724" s="111"/>
      <c r="E2724" s="111"/>
    </row>
    <row r="2725" spans="1:5" x14ac:dyDescent="0.2">
      <c r="A2725" s="113">
        <v>37423</v>
      </c>
      <c r="B2725" s="111">
        <f t="shared" si="42"/>
        <v>63</v>
      </c>
      <c r="C2725" s="111"/>
      <c r="D2725" s="111"/>
      <c r="E2725" s="111"/>
    </row>
    <row r="2726" spans="1:5" x14ac:dyDescent="0.2">
      <c r="A2726" s="113">
        <v>37424</v>
      </c>
      <c r="B2726" s="111">
        <f t="shared" si="42"/>
        <v>63</v>
      </c>
      <c r="C2726" s="111"/>
      <c r="D2726" s="111"/>
      <c r="E2726" s="111"/>
    </row>
    <row r="2727" spans="1:5" x14ac:dyDescent="0.2">
      <c r="A2727" s="113">
        <v>37425</v>
      </c>
      <c r="B2727" s="111">
        <f t="shared" si="42"/>
        <v>63</v>
      </c>
      <c r="C2727" s="111"/>
      <c r="D2727" s="111"/>
      <c r="E2727" s="111"/>
    </row>
    <row r="2728" spans="1:5" x14ac:dyDescent="0.2">
      <c r="A2728" s="113">
        <v>37426</v>
      </c>
      <c r="B2728" s="111">
        <f t="shared" si="42"/>
        <v>63</v>
      </c>
      <c r="C2728" s="111"/>
      <c r="D2728" s="111"/>
      <c r="E2728" s="111"/>
    </row>
    <row r="2729" spans="1:5" x14ac:dyDescent="0.2">
      <c r="A2729" s="113">
        <v>37427</v>
      </c>
      <c r="B2729" s="111">
        <f t="shared" si="42"/>
        <v>63</v>
      </c>
      <c r="C2729" s="111"/>
      <c r="D2729" s="111"/>
      <c r="E2729" s="111"/>
    </row>
    <row r="2730" spans="1:5" x14ac:dyDescent="0.2">
      <c r="A2730" s="113">
        <v>37428</v>
      </c>
      <c r="B2730" s="111">
        <f t="shared" si="42"/>
        <v>63</v>
      </c>
      <c r="C2730" s="111"/>
      <c r="D2730" s="111"/>
      <c r="E2730" s="111"/>
    </row>
    <row r="2731" spans="1:5" x14ac:dyDescent="0.2">
      <c r="A2731" s="113">
        <v>37429</v>
      </c>
      <c r="B2731" s="111">
        <f t="shared" si="42"/>
        <v>63</v>
      </c>
      <c r="C2731" s="111"/>
      <c r="D2731" s="111"/>
      <c r="E2731" s="111"/>
    </row>
    <row r="2732" spans="1:5" x14ac:dyDescent="0.2">
      <c r="A2732" s="113">
        <v>37430</v>
      </c>
      <c r="B2732" s="111">
        <f t="shared" si="42"/>
        <v>64</v>
      </c>
      <c r="C2732" s="111"/>
      <c r="D2732" s="111"/>
      <c r="E2732" s="111"/>
    </row>
    <row r="2733" spans="1:5" x14ac:dyDescent="0.2">
      <c r="A2733" s="113">
        <v>37431</v>
      </c>
      <c r="B2733" s="111">
        <f t="shared" si="42"/>
        <v>64</v>
      </c>
      <c r="C2733" s="111"/>
      <c r="D2733" s="111"/>
      <c r="E2733" s="111"/>
    </row>
    <row r="2734" spans="1:5" x14ac:dyDescent="0.2">
      <c r="A2734" s="113">
        <v>37432</v>
      </c>
      <c r="B2734" s="111">
        <f t="shared" si="42"/>
        <v>64</v>
      </c>
      <c r="C2734" s="111"/>
      <c r="D2734" s="111"/>
      <c r="E2734" s="111"/>
    </row>
    <row r="2735" spans="1:5" x14ac:dyDescent="0.2">
      <c r="A2735" s="113">
        <v>37433</v>
      </c>
      <c r="B2735" s="111">
        <f t="shared" si="42"/>
        <v>64</v>
      </c>
      <c r="C2735" s="111"/>
      <c r="D2735" s="111"/>
      <c r="E2735" s="111"/>
    </row>
    <row r="2736" spans="1:5" x14ac:dyDescent="0.2">
      <c r="A2736" s="113">
        <v>37434</v>
      </c>
      <c r="B2736" s="111">
        <f t="shared" si="42"/>
        <v>64</v>
      </c>
      <c r="C2736" s="111"/>
      <c r="D2736" s="111"/>
      <c r="E2736" s="111"/>
    </row>
    <row r="2737" spans="1:5" x14ac:dyDescent="0.2">
      <c r="A2737" s="113">
        <v>37435</v>
      </c>
      <c r="B2737" s="111">
        <f t="shared" si="42"/>
        <v>64</v>
      </c>
      <c r="C2737" s="111"/>
      <c r="D2737" s="111"/>
      <c r="E2737" s="111"/>
    </row>
    <row r="2738" spans="1:5" x14ac:dyDescent="0.2">
      <c r="A2738" s="113">
        <v>37436</v>
      </c>
      <c r="B2738" s="111">
        <f t="shared" si="42"/>
        <v>64</v>
      </c>
      <c r="C2738" s="111"/>
      <c r="D2738" s="111"/>
      <c r="E2738" s="111"/>
    </row>
    <row r="2739" spans="1:5" x14ac:dyDescent="0.2">
      <c r="A2739" s="113">
        <v>37437</v>
      </c>
      <c r="B2739" s="111">
        <f t="shared" si="42"/>
        <v>71</v>
      </c>
      <c r="C2739" s="111"/>
      <c r="D2739" s="111"/>
      <c r="E2739" s="111"/>
    </row>
    <row r="2740" spans="1:5" x14ac:dyDescent="0.2">
      <c r="A2740" s="113">
        <v>37438</v>
      </c>
      <c r="B2740" s="111">
        <f t="shared" si="42"/>
        <v>71</v>
      </c>
      <c r="C2740" s="111"/>
      <c r="D2740" s="111"/>
      <c r="E2740" s="111"/>
    </row>
    <row r="2741" spans="1:5" x14ac:dyDescent="0.2">
      <c r="A2741" s="113">
        <v>37439</v>
      </c>
      <c r="B2741" s="111">
        <f t="shared" si="42"/>
        <v>71</v>
      </c>
      <c r="C2741" s="111"/>
      <c r="D2741" s="111"/>
      <c r="E2741" s="111"/>
    </row>
    <row r="2742" spans="1:5" x14ac:dyDescent="0.2">
      <c r="A2742" s="113">
        <v>37440</v>
      </c>
      <c r="B2742" s="111">
        <f t="shared" si="42"/>
        <v>71</v>
      </c>
      <c r="C2742" s="111"/>
      <c r="D2742" s="111"/>
      <c r="E2742" s="111"/>
    </row>
    <row r="2743" spans="1:5" x14ac:dyDescent="0.2">
      <c r="A2743" s="113">
        <v>37441</v>
      </c>
      <c r="B2743" s="111">
        <f t="shared" si="42"/>
        <v>71</v>
      </c>
      <c r="C2743" s="111"/>
      <c r="D2743" s="111"/>
      <c r="E2743" s="111"/>
    </row>
    <row r="2744" spans="1:5" x14ac:dyDescent="0.2">
      <c r="A2744" s="113">
        <v>37442</v>
      </c>
      <c r="B2744" s="111">
        <f t="shared" si="42"/>
        <v>71</v>
      </c>
      <c r="C2744" s="111"/>
      <c r="D2744" s="111"/>
      <c r="E2744" s="111"/>
    </row>
    <row r="2745" spans="1:5" x14ac:dyDescent="0.2">
      <c r="A2745" s="113">
        <v>37443</v>
      </c>
      <c r="B2745" s="111">
        <f t="shared" si="42"/>
        <v>71</v>
      </c>
      <c r="C2745" s="111"/>
      <c r="D2745" s="111"/>
      <c r="E2745" s="111"/>
    </row>
    <row r="2746" spans="1:5" x14ac:dyDescent="0.2">
      <c r="A2746" s="113">
        <v>37444</v>
      </c>
      <c r="B2746" s="111">
        <f t="shared" si="42"/>
        <v>72</v>
      </c>
      <c r="C2746" s="111"/>
      <c r="D2746" s="111"/>
      <c r="E2746" s="111"/>
    </row>
    <row r="2747" spans="1:5" x14ac:dyDescent="0.2">
      <c r="A2747" s="113">
        <v>37445</v>
      </c>
      <c r="B2747" s="111">
        <f t="shared" si="42"/>
        <v>72</v>
      </c>
      <c r="C2747" s="111"/>
      <c r="D2747" s="111"/>
      <c r="E2747" s="111"/>
    </row>
    <row r="2748" spans="1:5" x14ac:dyDescent="0.2">
      <c r="A2748" s="113">
        <v>37446</v>
      </c>
      <c r="B2748" s="111">
        <f t="shared" si="42"/>
        <v>72</v>
      </c>
      <c r="C2748" s="111"/>
      <c r="D2748" s="111"/>
      <c r="E2748" s="111"/>
    </row>
    <row r="2749" spans="1:5" x14ac:dyDescent="0.2">
      <c r="A2749" s="113">
        <v>37447</v>
      </c>
      <c r="B2749" s="111">
        <f t="shared" si="42"/>
        <v>72</v>
      </c>
      <c r="C2749" s="111"/>
      <c r="D2749" s="111"/>
      <c r="E2749" s="111"/>
    </row>
    <row r="2750" spans="1:5" x14ac:dyDescent="0.2">
      <c r="A2750" s="113">
        <v>37448</v>
      </c>
      <c r="B2750" s="111">
        <f t="shared" si="42"/>
        <v>72</v>
      </c>
      <c r="C2750" s="111"/>
      <c r="D2750" s="111"/>
      <c r="E2750" s="111"/>
    </row>
    <row r="2751" spans="1:5" x14ac:dyDescent="0.2">
      <c r="A2751" s="113">
        <v>37449</v>
      </c>
      <c r="B2751" s="111">
        <f t="shared" si="42"/>
        <v>72</v>
      </c>
      <c r="C2751" s="111"/>
      <c r="D2751" s="111"/>
      <c r="E2751" s="111"/>
    </row>
    <row r="2752" spans="1:5" x14ac:dyDescent="0.2">
      <c r="A2752" s="113">
        <v>37450</v>
      </c>
      <c r="B2752" s="111">
        <f t="shared" si="42"/>
        <v>72</v>
      </c>
      <c r="C2752" s="111"/>
      <c r="D2752" s="111"/>
      <c r="E2752" s="111"/>
    </row>
    <row r="2753" spans="1:5" x14ac:dyDescent="0.2">
      <c r="A2753" s="113">
        <v>37451</v>
      </c>
      <c r="B2753" s="111">
        <f t="shared" si="42"/>
        <v>73</v>
      </c>
      <c r="C2753" s="111"/>
      <c r="D2753" s="111"/>
      <c r="E2753" s="111"/>
    </row>
    <row r="2754" spans="1:5" x14ac:dyDescent="0.2">
      <c r="A2754" s="113">
        <v>37452</v>
      </c>
      <c r="B2754" s="111">
        <f t="shared" ref="B2754:B2817" si="43">VLOOKUP(WEEKNUM(A2754),$D$3:$E$58,2)</f>
        <v>73</v>
      </c>
      <c r="C2754" s="111"/>
      <c r="D2754" s="111"/>
      <c r="E2754" s="111"/>
    </row>
    <row r="2755" spans="1:5" x14ac:dyDescent="0.2">
      <c r="A2755" s="113">
        <v>37453</v>
      </c>
      <c r="B2755" s="111">
        <f t="shared" si="43"/>
        <v>73</v>
      </c>
      <c r="C2755" s="111"/>
      <c r="D2755" s="111"/>
      <c r="E2755" s="111"/>
    </row>
    <row r="2756" spans="1:5" x14ac:dyDescent="0.2">
      <c r="A2756" s="113">
        <v>37454</v>
      </c>
      <c r="B2756" s="111">
        <f t="shared" si="43"/>
        <v>73</v>
      </c>
      <c r="C2756" s="111"/>
      <c r="D2756" s="111"/>
      <c r="E2756" s="111"/>
    </row>
    <row r="2757" spans="1:5" x14ac:dyDescent="0.2">
      <c r="A2757" s="113">
        <v>37455</v>
      </c>
      <c r="B2757" s="111">
        <f t="shared" si="43"/>
        <v>73</v>
      </c>
      <c r="C2757" s="111"/>
      <c r="D2757" s="111"/>
      <c r="E2757" s="111"/>
    </row>
    <row r="2758" spans="1:5" x14ac:dyDescent="0.2">
      <c r="A2758" s="113">
        <v>37456</v>
      </c>
      <c r="B2758" s="111">
        <f t="shared" si="43"/>
        <v>73</v>
      </c>
      <c r="C2758" s="111"/>
      <c r="D2758" s="111"/>
      <c r="E2758" s="111"/>
    </row>
    <row r="2759" spans="1:5" x14ac:dyDescent="0.2">
      <c r="A2759" s="113">
        <v>37457</v>
      </c>
      <c r="B2759" s="111">
        <f t="shared" si="43"/>
        <v>73</v>
      </c>
      <c r="C2759" s="111"/>
      <c r="D2759" s="111"/>
      <c r="E2759" s="111"/>
    </row>
    <row r="2760" spans="1:5" x14ac:dyDescent="0.2">
      <c r="A2760" s="113">
        <v>37458</v>
      </c>
      <c r="B2760" s="111">
        <f t="shared" si="43"/>
        <v>74</v>
      </c>
      <c r="C2760" s="111"/>
      <c r="D2760" s="111"/>
      <c r="E2760" s="111"/>
    </row>
    <row r="2761" spans="1:5" x14ac:dyDescent="0.2">
      <c r="A2761" s="113">
        <v>37459</v>
      </c>
      <c r="B2761" s="111">
        <f t="shared" si="43"/>
        <v>74</v>
      </c>
      <c r="C2761" s="111"/>
      <c r="D2761" s="111"/>
      <c r="E2761" s="111"/>
    </row>
    <row r="2762" spans="1:5" x14ac:dyDescent="0.2">
      <c r="A2762" s="113">
        <v>37460</v>
      </c>
      <c r="B2762" s="111">
        <f t="shared" si="43"/>
        <v>74</v>
      </c>
      <c r="C2762" s="111"/>
      <c r="D2762" s="111"/>
      <c r="E2762" s="111"/>
    </row>
    <row r="2763" spans="1:5" x14ac:dyDescent="0.2">
      <c r="A2763" s="113">
        <v>37461</v>
      </c>
      <c r="B2763" s="111">
        <f t="shared" si="43"/>
        <v>74</v>
      </c>
      <c r="C2763" s="111"/>
      <c r="D2763" s="111"/>
      <c r="E2763" s="111"/>
    </row>
    <row r="2764" spans="1:5" x14ac:dyDescent="0.2">
      <c r="A2764" s="113">
        <v>37462</v>
      </c>
      <c r="B2764" s="111">
        <f t="shared" si="43"/>
        <v>74</v>
      </c>
      <c r="C2764" s="111"/>
      <c r="D2764" s="111"/>
      <c r="E2764" s="111"/>
    </row>
    <row r="2765" spans="1:5" x14ac:dyDescent="0.2">
      <c r="A2765" s="113">
        <v>37463</v>
      </c>
      <c r="B2765" s="111">
        <f t="shared" si="43"/>
        <v>74</v>
      </c>
      <c r="C2765" s="111"/>
      <c r="D2765" s="111"/>
      <c r="E2765" s="111"/>
    </row>
    <row r="2766" spans="1:5" x14ac:dyDescent="0.2">
      <c r="A2766" s="113">
        <v>37464</v>
      </c>
      <c r="B2766" s="111">
        <f t="shared" si="43"/>
        <v>74</v>
      </c>
      <c r="C2766" s="111"/>
      <c r="D2766" s="111"/>
      <c r="E2766" s="111"/>
    </row>
    <row r="2767" spans="1:5" x14ac:dyDescent="0.2">
      <c r="A2767" s="113">
        <v>37465</v>
      </c>
      <c r="B2767" s="111">
        <f t="shared" si="43"/>
        <v>75</v>
      </c>
      <c r="C2767" s="111"/>
      <c r="D2767" s="111"/>
      <c r="E2767" s="111"/>
    </row>
    <row r="2768" spans="1:5" x14ac:dyDescent="0.2">
      <c r="A2768" s="113">
        <v>37466</v>
      </c>
      <c r="B2768" s="111">
        <f t="shared" si="43"/>
        <v>75</v>
      </c>
      <c r="C2768" s="111"/>
      <c r="D2768" s="111"/>
      <c r="E2768" s="111"/>
    </row>
    <row r="2769" spans="1:5" x14ac:dyDescent="0.2">
      <c r="A2769" s="113">
        <v>37467</v>
      </c>
      <c r="B2769" s="111">
        <f t="shared" si="43"/>
        <v>75</v>
      </c>
      <c r="C2769" s="111"/>
      <c r="D2769" s="111"/>
      <c r="E2769" s="111"/>
    </row>
    <row r="2770" spans="1:5" x14ac:dyDescent="0.2">
      <c r="A2770" s="113">
        <v>37468</v>
      </c>
      <c r="B2770" s="111">
        <f t="shared" si="43"/>
        <v>75</v>
      </c>
      <c r="C2770" s="111"/>
      <c r="D2770" s="111"/>
      <c r="E2770" s="111"/>
    </row>
    <row r="2771" spans="1:5" x14ac:dyDescent="0.2">
      <c r="A2771" s="113">
        <v>37469</v>
      </c>
      <c r="B2771" s="111">
        <f t="shared" si="43"/>
        <v>75</v>
      </c>
      <c r="C2771" s="111"/>
      <c r="D2771" s="111"/>
      <c r="E2771" s="111"/>
    </row>
    <row r="2772" spans="1:5" x14ac:dyDescent="0.2">
      <c r="A2772" s="113">
        <v>37470</v>
      </c>
      <c r="B2772" s="111">
        <f t="shared" si="43"/>
        <v>75</v>
      </c>
      <c r="C2772" s="111"/>
      <c r="D2772" s="111"/>
      <c r="E2772" s="111"/>
    </row>
    <row r="2773" spans="1:5" x14ac:dyDescent="0.2">
      <c r="A2773" s="113">
        <v>37471</v>
      </c>
      <c r="B2773" s="111">
        <f t="shared" si="43"/>
        <v>75</v>
      </c>
      <c r="C2773" s="111"/>
      <c r="D2773" s="111"/>
      <c r="E2773" s="111"/>
    </row>
    <row r="2774" spans="1:5" x14ac:dyDescent="0.2">
      <c r="A2774" s="113">
        <v>37472</v>
      </c>
      <c r="B2774" s="111">
        <f t="shared" si="43"/>
        <v>81</v>
      </c>
      <c r="C2774" s="111"/>
      <c r="D2774" s="111"/>
      <c r="E2774" s="111"/>
    </row>
    <row r="2775" spans="1:5" x14ac:dyDescent="0.2">
      <c r="A2775" s="113">
        <v>37473</v>
      </c>
      <c r="B2775" s="111">
        <f t="shared" si="43"/>
        <v>81</v>
      </c>
      <c r="C2775" s="111"/>
      <c r="D2775" s="111"/>
      <c r="E2775" s="111"/>
    </row>
    <row r="2776" spans="1:5" x14ac:dyDescent="0.2">
      <c r="A2776" s="113">
        <v>37474</v>
      </c>
      <c r="B2776" s="111">
        <f t="shared" si="43"/>
        <v>81</v>
      </c>
      <c r="C2776" s="111"/>
      <c r="D2776" s="111"/>
      <c r="E2776" s="111"/>
    </row>
    <row r="2777" spans="1:5" x14ac:dyDescent="0.2">
      <c r="A2777" s="113">
        <v>37475</v>
      </c>
      <c r="B2777" s="111">
        <f t="shared" si="43"/>
        <v>81</v>
      </c>
      <c r="C2777" s="111"/>
      <c r="D2777" s="111"/>
      <c r="E2777" s="111"/>
    </row>
    <row r="2778" spans="1:5" x14ac:dyDescent="0.2">
      <c r="A2778" s="113">
        <v>37476</v>
      </c>
      <c r="B2778" s="111">
        <f t="shared" si="43"/>
        <v>81</v>
      </c>
      <c r="C2778" s="111"/>
      <c r="D2778" s="111"/>
      <c r="E2778" s="111"/>
    </row>
    <row r="2779" spans="1:5" x14ac:dyDescent="0.2">
      <c r="A2779" s="113">
        <v>37477</v>
      </c>
      <c r="B2779" s="111">
        <f t="shared" si="43"/>
        <v>81</v>
      </c>
      <c r="C2779" s="111"/>
      <c r="D2779" s="111"/>
      <c r="E2779" s="111"/>
    </row>
    <row r="2780" spans="1:5" x14ac:dyDescent="0.2">
      <c r="A2780" s="113">
        <v>37478</v>
      </c>
      <c r="B2780" s="111">
        <f t="shared" si="43"/>
        <v>81</v>
      </c>
      <c r="C2780" s="111"/>
      <c r="D2780" s="111"/>
      <c r="E2780" s="111"/>
    </row>
    <row r="2781" spans="1:5" x14ac:dyDescent="0.2">
      <c r="A2781" s="113">
        <v>37479</v>
      </c>
      <c r="B2781" s="111">
        <f t="shared" si="43"/>
        <v>82</v>
      </c>
      <c r="C2781" s="111"/>
      <c r="D2781" s="111"/>
      <c r="E2781" s="111"/>
    </row>
    <row r="2782" spans="1:5" x14ac:dyDescent="0.2">
      <c r="A2782" s="113">
        <v>37480</v>
      </c>
      <c r="B2782" s="111">
        <f t="shared" si="43"/>
        <v>82</v>
      </c>
      <c r="C2782" s="111"/>
      <c r="D2782" s="111"/>
      <c r="E2782" s="111"/>
    </row>
    <row r="2783" spans="1:5" x14ac:dyDescent="0.2">
      <c r="A2783" s="113">
        <v>37481</v>
      </c>
      <c r="B2783" s="111">
        <f t="shared" si="43"/>
        <v>82</v>
      </c>
      <c r="C2783" s="111"/>
      <c r="D2783" s="111"/>
      <c r="E2783" s="111"/>
    </row>
    <row r="2784" spans="1:5" x14ac:dyDescent="0.2">
      <c r="A2784" s="113">
        <v>37482</v>
      </c>
      <c r="B2784" s="111">
        <f t="shared" si="43"/>
        <v>82</v>
      </c>
      <c r="C2784" s="111"/>
      <c r="D2784" s="111"/>
      <c r="E2784" s="111"/>
    </row>
    <row r="2785" spans="1:5" x14ac:dyDescent="0.2">
      <c r="A2785" s="113">
        <v>37483</v>
      </c>
      <c r="B2785" s="111">
        <f t="shared" si="43"/>
        <v>82</v>
      </c>
      <c r="C2785" s="111"/>
      <c r="D2785" s="111"/>
      <c r="E2785" s="111"/>
    </row>
    <row r="2786" spans="1:5" x14ac:dyDescent="0.2">
      <c r="A2786" s="113">
        <v>37484</v>
      </c>
      <c r="B2786" s="111">
        <f t="shared" si="43"/>
        <v>82</v>
      </c>
      <c r="C2786" s="111"/>
      <c r="D2786" s="111"/>
      <c r="E2786" s="111"/>
    </row>
    <row r="2787" spans="1:5" x14ac:dyDescent="0.2">
      <c r="A2787" s="113">
        <v>37485</v>
      </c>
      <c r="B2787" s="111">
        <f t="shared" si="43"/>
        <v>82</v>
      </c>
      <c r="C2787" s="111"/>
      <c r="D2787" s="111"/>
      <c r="E2787" s="111"/>
    </row>
    <row r="2788" spans="1:5" x14ac:dyDescent="0.2">
      <c r="A2788" s="113">
        <v>37486</v>
      </c>
      <c r="B2788" s="111">
        <f t="shared" si="43"/>
        <v>83</v>
      </c>
      <c r="C2788" s="111"/>
      <c r="D2788" s="111"/>
      <c r="E2788" s="111"/>
    </row>
    <row r="2789" spans="1:5" x14ac:dyDescent="0.2">
      <c r="A2789" s="113">
        <v>37487</v>
      </c>
      <c r="B2789" s="111">
        <f t="shared" si="43"/>
        <v>83</v>
      </c>
      <c r="C2789" s="111"/>
      <c r="D2789" s="111"/>
      <c r="E2789" s="111"/>
    </row>
    <row r="2790" spans="1:5" x14ac:dyDescent="0.2">
      <c r="A2790" s="113">
        <v>37488</v>
      </c>
      <c r="B2790" s="111">
        <f t="shared" si="43"/>
        <v>83</v>
      </c>
      <c r="C2790" s="111"/>
      <c r="D2790" s="111"/>
      <c r="E2790" s="111"/>
    </row>
    <row r="2791" spans="1:5" x14ac:dyDescent="0.2">
      <c r="A2791" s="113">
        <v>37489</v>
      </c>
      <c r="B2791" s="111">
        <f t="shared" si="43"/>
        <v>83</v>
      </c>
      <c r="C2791" s="111"/>
      <c r="D2791" s="111"/>
      <c r="E2791" s="111"/>
    </row>
    <row r="2792" spans="1:5" x14ac:dyDescent="0.2">
      <c r="A2792" s="113">
        <v>37490</v>
      </c>
      <c r="B2792" s="111">
        <f t="shared" si="43"/>
        <v>83</v>
      </c>
      <c r="C2792" s="111"/>
      <c r="D2792" s="111"/>
      <c r="E2792" s="111"/>
    </row>
    <row r="2793" spans="1:5" x14ac:dyDescent="0.2">
      <c r="A2793" s="113">
        <v>37491</v>
      </c>
      <c r="B2793" s="111">
        <f t="shared" si="43"/>
        <v>83</v>
      </c>
      <c r="C2793" s="111"/>
      <c r="D2793" s="111"/>
      <c r="E2793" s="111"/>
    </row>
    <row r="2794" spans="1:5" x14ac:dyDescent="0.2">
      <c r="A2794" s="113">
        <v>37492</v>
      </c>
      <c r="B2794" s="111">
        <f t="shared" si="43"/>
        <v>83</v>
      </c>
      <c r="C2794" s="111"/>
      <c r="D2794" s="111"/>
      <c r="E2794" s="111"/>
    </row>
    <row r="2795" spans="1:5" x14ac:dyDescent="0.2">
      <c r="A2795" s="113">
        <v>37493</v>
      </c>
      <c r="B2795" s="111">
        <f t="shared" si="43"/>
        <v>84</v>
      </c>
      <c r="C2795" s="111"/>
      <c r="D2795" s="111"/>
      <c r="E2795" s="111"/>
    </row>
    <row r="2796" spans="1:5" x14ac:dyDescent="0.2">
      <c r="A2796" s="113">
        <v>37494</v>
      </c>
      <c r="B2796" s="111">
        <f t="shared" si="43"/>
        <v>84</v>
      </c>
      <c r="C2796" s="111"/>
      <c r="D2796" s="111"/>
      <c r="E2796" s="111"/>
    </row>
    <row r="2797" spans="1:5" x14ac:dyDescent="0.2">
      <c r="A2797" s="113">
        <v>37495</v>
      </c>
      <c r="B2797" s="111">
        <f t="shared" si="43"/>
        <v>84</v>
      </c>
      <c r="C2797" s="111"/>
      <c r="D2797" s="111"/>
      <c r="E2797" s="111"/>
    </row>
    <row r="2798" spans="1:5" x14ac:dyDescent="0.2">
      <c r="A2798" s="113">
        <v>37496</v>
      </c>
      <c r="B2798" s="111">
        <f t="shared" si="43"/>
        <v>84</v>
      </c>
      <c r="C2798" s="111"/>
      <c r="D2798" s="111"/>
      <c r="E2798" s="111"/>
    </row>
    <row r="2799" spans="1:5" x14ac:dyDescent="0.2">
      <c r="A2799" s="113">
        <v>37497</v>
      </c>
      <c r="B2799" s="111">
        <f t="shared" si="43"/>
        <v>84</v>
      </c>
      <c r="C2799" s="111"/>
      <c r="D2799" s="111"/>
      <c r="E2799" s="111"/>
    </row>
    <row r="2800" spans="1:5" x14ac:dyDescent="0.2">
      <c r="A2800" s="113">
        <v>37498</v>
      </c>
      <c r="B2800" s="111">
        <f t="shared" si="43"/>
        <v>84</v>
      </c>
      <c r="C2800" s="111"/>
      <c r="D2800" s="111"/>
      <c r="E2800" s="111"/>
    </row>
    <row r="2801" spans="1:5" x14ac:dyDescent="0.2">
      <c r="A2801" s="113">
        <v>37499</v>
      </c>
      <c r="B2801" s="111">
        <f t="shared" si="43"/>
        <v>84</v>
      </c>
      <c r="C2801" s="111"/>
      <c r="D2801" s="111"/>
      <c r="E2801" s="111"/>
    </row>
    <row r="2802" spans="1:5" x14ac:dyDescent="0.2">
      <c r="A2802" s="113">
        <v>37500</v>
      </c>
      <c r="B2802" s="111">
        <f t="shared" si="43"/>
        <v>91</v>
      </c>
      <c r="C2802" s="111"/>
      <c r="D2802" s="111"/>
      <c r="E2802" s="111"/>
    </row>
    <row r="2803" spans="1:5" x14ac:dyDescent="0.2">
      <c r="A2803" s="113">
        <v>37501</v>
      </c>
      <c r="B2803" s="111">
        <f t="shared" si="43"/>
        <v>91</v>
      </c>
      <c r="C2803" s="111"/>
      <c r="D2803" s="111"/>
      <c r="E2803" s="111"/>
    </row>
    <row r="2804" spans="1:5" x14ac:dyDescent="0.2">
      <c r="A2804" s="113">
        <v>37502</v>
      </c>
      <c r="B2804" s="111">
        <f t="shared" si="43"/>
        <v>91</v>
      </c>
      <c r="C2804" s="111"/>
      <c r="D2804" s="111"/>
      <c r="E2804" s="111"/>
    </row>
    <row r="2805" spans="1:5" x14ac:dyDescent="0.2">
      <c r="A2805" s="113">
        <v>37503</v>
      </c>
      <c r="B2805" s="111">
        <f t="shared" si="43"/>
        <v>91</v>
      </c>
      <c r="C2805" s="111"/>
      <c r="D2805" s="111"/>
      <c r="E2805" s="111"/>
    </row>
    <row r="2806" spans="1:5" x14ac:dyDescent="0.2">
      <c r="A2806" s="113">
        <v>37504</v>
      </c>
      <c r="B2806" s="111">
        <f t="shared" si="43"/>
        <v>91</v>
      </c>
      <c r="C2806" s="111"/>
      <c r="D2806" s="111"/>
      <c r="E2806" s="111"/>
    </row>
    <row r="2807" spans="1:5" x14ac:dyDescent="0.2">
      <c r="A2807" s="113">
        <v>37505</v>
      </c>
      <c r="B2807" s="111">
        <f t="shared" si="43"/>
        <v>91</v>
      </c>
      <c r="C2807" s="111"/>
      <c r="D2807" s="111"/>
      <c r="E2807" s="111"/>
    </row>
    <row r="2808" spans="1:5" x14ac:dyDescent="0.2">
      <c r="A2808" s="113">
        <v>37506</v>
      </c>
      <c r="B2808" s="111">
        <f t="shared" si="43"/>
        <v>91</v>
      </c>
      <c r="C2808" s="111"/>
      <c r="D2808" s="111"/>
      <c r="E2808" s="111"/>
    </row>
    <row r="2809" spans="1:5" x14ac:dyDescent="0.2">
      <c r="A2809" s="113">
        <v>37507</v>
      </c>
      <c r="B2809" s="111">
        <f t="shared" si="43"/>
        <v>92</v>
      </c>
      <c r="C2809" s="111"/>
      <c r="D2809" s="111"/>
      <c r="E2809" s="111"/>
    </row>
    <row r="2810" spans="1:5" x14ac:dyDescent="0.2">
      <c r="A2810" s="113">
        <v>37508</v>
      </c>
      <c r="B2810" s="111">
        <f t="shared" si="43"/>
        <v>92</v>
      </c>
      <c r="C2810" s="111"/>
      <c r="D2810" s="111"/>
      <c r="E2810" s="111"/>
    </row>
    <row r="2811" spans="1:5" x14ac:dyDescent="0.2">
      <c r="A2811" s="113">
        <v>37509</v>
      </c>
      <c r="B2811" s="111">
        <f t="shared" si="43"/>
        <v>92</v>
      </c>
      <c r="C2811" s="111"/>
      <c r="D2811" s="111"/>
      <c r="E2811" s="111"/>
    </row>
    <row r="2812" spans="1:5" x14ac:dyDescent="0.2">
      <c r="A2812" s="113">
        <v>37510</v>
      </c>
      <c r="B2812" s="111">
        <f t="shared" si="43"/>
        <v>92</v>
      </c>
      <c r="C2812" s="111"/>
      <c r="D2812" s="111"/>
      <c r="E2812" s="111"/>
    </row>
    <row r="2813" spans="1:5" x14ac:dyDescent="0.2">
      <c r="A2813" s="113">
        <v>37511</v>
      </c>
      <c r="B2813" s="111">
        <f t="shared" si="43"/>
        <v>92</v>
      </c>
      <c r="C2813" s="111"/>
      <c r="D2813" s="111"/>
      <c r="E2813" s="111"/>
    </row>
    <row r="2814" spans="1:5" x14ac:dyDescent="0.2">
      <c r="A2814" s="113">
        <v>37512</v>
      </c>
      <c r="B2814" s="111">
        <f t="shared" si="43"/>
        <v>92</v>
      </c>
      <c r="C2814" s="111"/>
      <c r="D2814" s="111"/>
      <c r="E2814" s="111"/>
    </row>
    <row r="2815" spans="1:5" x14ac:dyDescent="0.2">
      <c r="A2815" s="113">
        <v>37513</v>
      </c>
      <c r="B2815" s="111">
        <f t="shared" si="43"/>
        <v>92</v>
      </c>
      <c r="C2815" s="111"/>
      <c r="D2815" s="111"/>
      <c r="E2815" s="111"/>
    </row>
    <row r="2816" spans="1:5" x14ac:dyDescent="0.2">
      <c r="A2816" s="113">
        <v>37514</v>
      </c>
      <c r="B2816" s="111">
        <f t="shared" si="43"/>
        <v>93</v>
      </c>
      <c r="C2816" s="111"/>
      <c r="D2816" s="111"/>
      <c r="E2816" s="111"/>
    </row>
    <row r="2817" spans="1:5" x14ac:dyDescent="0.2">
      <c r="A2817" s="113">
        <v>37515</v>
      </c>
      <c r="B2817" s="111">
        <f t="shared" si="43"/>
        <v>93</v>
      </c>
      <c r="C2817" s="111"/>
      <c r="D2817" s="111"/>
      <c r="E2817" s="111"/>
    </row>
    <row r="2818" spans="1:5" x14ac:dyDescent="0.2">
      <c r="A2818" s="113">
        <v>37516</v>
      </c>
      <c r="B2818" s="111">
        <f t="shared" ref="B2818:B2881" si="44">VLOOKUP(WEEKNUM(A2818),$D$3:$E$58,2)</f>
        <v>93</v>
      </c>
      <c r="C2818" s="111"/>
      <c r="D2818" s="111"/>
      <c r="E2818" s="111"/>
    </row>
    <row r="2819" spans="1:5" x14ac:dyDescent="0.2">
      <c r="A2819" s="113">
        <v>37517</v>
      </c>
      <c r="B2819" s="111">
        <f t="shared" si="44"/>
        <v>93</v>
      </c>
      <c r="C2819" s="111"/>
      <c r="D2819" s="111"/>
      <c r="E2819" s="111"/>
    </row>
    <row r="2820" spans="1:5" x14ac:dyDescent="0.2">
      <c r="A2820" s="113">
        <v>37518</v>
      </c>
      <c r="B2820" s="111">
        <f t="shared" si="44"/>
        <v>93</v>
      </c>
      <c r="C2820" s="111"/>
      <c r="D2820" s="111"/>
      <c r="E2820" s="111"/>
    </row>
    <row r="2821" spans="1:5" x14ac:dyDescent="0.2">
      <c r="A2821" s="113">
        <v>37519</v>
      </c>
      <c r="B2821" s="111">
        <f t="shared" si="44"/>
        <v>93</v>
      </c>
      <c r="C2821" s="111"/>
      <c r="D2821" s="111"/>
      <c r="E2821" s="111"/>
    </row>
    <row r="2822" spans="1:5" x14ac:dyDescent="0.2">
      <c r="A2822" s="113">
        <v>37520</v>
      </c>
      <c r="B2822" s="111">
        <f t="shared" si="44"/>
        <v>93</v>
      </c>
      <c r="C2822" s="111"/>
      <c r="D2822" s="111"/>
      <c r="E2822" s="111"/>
    </row>
    <row r="2823" spans="1:5" x14ac:dyDescent="0.2">
      <c r="A2823" s="113">
        <v>37521</v>
      </c>
      <c r="B2823" s="111">
        <f t="shared" si="44"/>
        <v>94</v>
      </c>
      <c r="C2823" s="111"/>
      <c r="D2823" s="111"/>
      <c r="E2823" s="111"/>
    </row>
    <row r="2824" spans="1:5" x14ac:dyDescent="0.2">
      <c r="A2824" s="113">
        <v>37522</v>
      </c>
      <c r="B2824" s="111">
        <f t="shared" si="44"/>
        <v>94</v>
      </c>
      <c r="C2824" s="111"/>
      <c r="D2824" s="111"/>
      <c r="E2824" s="111"/>
    </row>
    <row r="2825" spans="1:5" x14ac:dyDescent="0.2">
      <c r="A2825" s="113">
        <v>37523</v>
      </c>
      <c r="B2825" s="111">
        <f t="shared" si="44"/>
        <v>94</v>
      </c>
      <c r="C2825" s="111"/>
      <c r="D2825" s="111"/>
      <c r="E2825" s="111"/>
    </row>
    <row r="2826" spans="1:5" x14ac:dyDescent="0.2">
      <c r="A2826" s="113">
        <v>37524</v>
      </c>
      <c r="B2826" s="111">
        <f t="shared" si="44"/>
        <v>94</v>
      </c>
      <c r="C2826" s="111"/>
      <c r="D2826" s="111"/>
      <c r="E2826" s="111"/>
    </row>
    <row r="2827" spans="1:5" x14ac:dyDescent="0.2">
      <c r="A2827" s="113">
        <v>37525</v>
      </c>
      <c r="B2827" s="111">
        <f t="shared" si="44"/>
        <v>94</v>
      </c>
      <c r="C2827" s="111"/>
      <c r="D2827" s="111"/>
      <c r="E2827" s="111"/>
    </row>
    <row r="2828" spans="1:5" x14ac:dyDescent="0.2">
      <c r="A2828" s="113">
        <v>37526</v>
      </c>
      <c r="B2828" s="111">
        <f t="shared" si="44"/>
        <v>94</v>
      </c>
      <c r="C2828" s="111"/>
      <c r="D2828" s="111"/>
      <c r="E2828" s="111"/>
    </row>
    <row r="2829" spans="1:5" x14ac:dyDescent="0.2">
      <c r="A2829" s="113">
        <v>37527</v>
      </c>
      <c r="B2829" s="111">
        <f t="shared" si="44"/>
        <v>94</v>
      </c>
      <c r="C2829" s="111"/>
      <c r="D2829" s="111"/>
      <c r="E2829" s="111"/>
    </row>
    <row r="2830" spans="1:5" x14ac:dyDescent="0.2">
      <c r="A2830" s="113">
        <v>37528</v>
      </c>
      <c r="B2830" s="111">
        <f t="shared" si="44"/>
        <v>101</v>
      </c>
      <c r="C2830" s="111"/>
      <c r="D2830" s="111"/>
      <c r="E2830" s="111"/>
    </row>
    <row r="2831" spans="1:5" x14ac:dyDescent="0.2">
      <c r="A2831" s="113">
        <v>37529</v>
      </c>
      <c r="B2831" s="111">
        <f t="shared" si="44"/>
        <v>101</v>
      </c>
      <c r="C2831" s="111"/>
      <c r="D2831" s="111"/>
      <c r="E2831" s="111"/>
    </row>
    <row r="2832" spans="1:5" x14ac:dyDescent="0.2">
      <c r="A2832" s="113">
        <v>37530</v>
      </c>
      <c r="B2832" s="111">
        <f t="shared" si="44"/>
        <v>101</v>
      </c>
      <c r="C2832" s="111"/>
      <c r="D2832" s="111"/>
      <c r="E2832" s="111"/>
    </row>
    <row r="2833" spans="1:5" x14ac:dyDescent="0.2">
      <c r="A2833" s="113">
        <v>37531</v>
      </c>
      <c r="B2833" s="111">
        <f t="shared" si="44"/>
        <v>101</v>
      </c>
      <c r="C2833" s="111"/>
      <c r="D2833" s="111"/>
      <c r="E2833" s="111"/>
    </row>
    <row r="2834" spans="1:5" x14ac:dyDescent="0.2">
      <c r="A2834" s="113">
        <v>37532</v>
      </c>
      <c r="B2834" s="111">
        <f t="shared" si="44"/>
        <v>101</v>
      </c>
      <c r="C2834" s="111"/>
      <c r="D2834" s="111"/>
      <c r="E2834" s="111"/>
    </row>
    <row r="2835" spans="1:5" x14ac:dyDescent="0.2">
      <c r="A2835" s="113">
        <v>37533</v>
      </c>
      <c r="B2835" s="111">
        <f t="shared" si="44"/>
        <v>101</v>
      </c>
      <c r="C2835" s="111"/>
      <c r="D2835" s="111"/>
      <c r="E2835" s="111"/>
    </row>
    <row r="2836" spans="1:5" x14ac:dyDescent="0.2">
      <c r="A2836" s="113">
        <v>37534</v>
      </c>
      <c r="B2836" s="111">
        <f t="shared" si="44"/>
        <v>101</v>
      </c>
      <c r="C2836" s="111"/>
      <c r="D2836" s="111"/>
      <c r="E2836" s="111"/>
    </row>
    <row r="2837" spans="1:5" x14ac:dyDescent="0.2">
      <c r="A2837" s="113">
        <v>37535</v>
      </c>
      <c r="B2837" s="111">
        <f t="shared" si="44"/>
        <v>102</v>
      </c>
      <c r="C2837" s="111"/>
      <c r="D2837" s="111"/>
      <c r="E2837" s="111"/>
    </row>
    <row r="2838" spans="1:5" x14ac:dyDescent="0.2">
      <c r="A2838" s="113">
        <v>37536</v>
      </c>
      <c r="B2838" s="111">
        <f t="shared" si="44"/>
        <v>102</v>
      </c>
      <c r="C2838" s="111"/>
      <c r="D2838" s="111"/>
      <c r="E2838" s="111"/>
    </row>
    <row r="2839" spans="1:5" x14ac:dyDescent="0.2">
      <c r="A2839" s="113">
        <v>37537</v>
      </c>
      <c r="B2839" s="111">
        <f t="shared" si="44"/>
        <v>102</v>
      </c>
      <c r="C2839" s="111"/>
      <c r="D2839" s="111"/>
      <c r="E2839" s="111"/>
    </row>
    <row r="2840" spans="1:5" x14ac:dyDescent="0.2">
      <c r="A2840" s="113">
        <v>37538</v>
      </c>
      <c r="B2840" s="111">
        <f t="shared" si="44"/>
        <v>102</v>
      </c>
      <c r="C2840" s="111"/>
      <c r="D2840" s="111"/>
      <c r="E2840" s="111"/>
    </row>
    <row r="2841" spans="1:5" x14ac:dyDescent="0.2">
      <c r="A2841" s="113">
        <v>37539</v>
      </c>
      <c r="B2841" s="111">
        <f t="shared" si="44"/>
        <v>102</v>
      </c>
      <c r="C2841" s="111"/>
      <c r="D2841" s="111"/>
      <c r="E2841" s="111"/>
    </row>
    <row r="2842" spans="1:5" x14ac:dyDescent="0.2">
      <c r="A2842" s="113">
        <v>37540</v>
      </c>
      <c r="B2842" s="111">
        <f t="shared" si="44"/>
        <v>102</v>
      </c>
      <c r="C2842" s="111"/>
      <c r="D2842" s="111"/>
      <c r="E2842" s="111"/>
    </row>
    <row r="2843" spans="1:5" x14ac:dyDescent="0.2">
      <c r="A2843" s="113">
        <v>37541</v>
      </c>
      <c r="B2843" s="111">
        <f t="shared" si="44"/>
        <v>102</v>
      </c>
      <c r="C2843" s="111"/>
      <c r="D2843" s="111"/>
      <c r="E2843" s="111"/>
    </row>
    <row r="2844" spans="1:5" x14ac:dyDescent="0.2">
      <c r="A2844" s="113">
        <v>37542</v>
      </c>
      <c r="B2844" s="111">
        <f t="shared" si="44"/>
        <v>103</v>
      </c>
      <c r="C2844" s="111"/>
      <c r="D2844" s="111"/>
      <c r="E2844" s="111"/>
    </row>
    <row r="2845" spans="1:5" x14ac:dyDescent="0.2">
      <c r="A2845" s="113">
        <v>37543</v>
      </c>
      <c r="B2845" s="111">
        <f t="shared" si="44"/>
        <v>103</v>
      </c>
      <c r="C2845" s="111"/>
      <c r="D2845" s="111"/>
      <c r="E2845" s="111"/>
    </row>
    <row r="2846" spans="1:5" x14ac:dyDescent="0.2">
      <c r="A2846" s="113">
        <v>37544</v>
      </c>
      <c r="B2846" s="111">
        <f t="shared" si="44"/>
        <v>103</v>
      </c>
      <c r="C2846" s="111"/>
      <c r="D2846" s="111"/>
      <c r="E2846" s="111"/>
    </row>
    <row r="2847" spans="1:5" x14ac:dyDescent="0.2">
      <c r="A2847" s="113">
        <v>37545</v>
      </c>
      <c r="B2847" s="111">
        <f t="shared" si="44"/>
        <v>103</v>
      </c>
      <c r="C2847" s="111"/>
      <c r="D2847" s="111"/>
      <c r="E2847" s="111"/>
    </row>
    <row r="2848" spans="1:5" x14ac:dyDescent="0.2">
      <c r="A2848" s="113">
        <v>37546</v>
      </c>
      <c r="B2848" s="111">
        <f t="shared" si="44"/>
        <v>103</v>
      </c>
      <c r="C2848" s="111"/>
      <c r="D2848" s="111"/>
      <c r="E2848" s="111"/>
    </row>
    <row r="2849" spans="1:5" x14ac:dyDescent="0.2">
      <c r="A2849" s="113">
        <v>37547</v>
      </c>
      <c r="B2849" s="111">
        <f t="shared" si="44"/>
        <v>103</v>
      </c>
      <c r="C2849" s="111"/>
      <c r="D2849" s="111"/>
      <c r="E2849" s="111"/>
    </row>
    <row r="2850" spans="1:5" x14ac:dyDescent="0.2">
      <c r="A2850" s="113">
        <v>37548</v>
      </c>
      <c r="B2850" s="111">
        <f t="shared" si="44"/>
        <v>103</v>
      </c>
      <c r="C2850" s="111"/>
      <c r="D2850" s="111"/>
      <c r="E2850" s="111"/>
    </row>
    <row r="2851" spans="1:5" x14ac:dyDescent="0.2">
      <c r="A2851" s="113">
        <v>37549</v>
      </c>
      <c r="B2851" s="111">
        <f t="shared" si="44"/>
        <v>104</v>
      </c>
      <c r="C2851" s="111"/>
      <c r="D2851" s="111"/>
      <c r="E2851" s="111"/>
    </row>
    <row r="2852" spans="1:5" x14ac:dyDescent="0.2">
      <c r="A2852" s="113">
        <v>37550</v>
      </c>
      <c r="B2852" s="111">
        <f t="shared" si="44"/>
        <v>104</v>
      </c>
      <c r="C2852" s="111"/>
      <c r="D2852" s="111"/>
      <c r="E2852" s="111"/>
    </row>
    <row r="2853" spans="1:5" x14ac:dyDescent="0.2">
      <c r="A2853" s="113">
        <v>37551</v>
      </c>
      <c r="B2853" s="111">
        <f t="shared" si="44"/>
        <v>104</v>
      </c>
      <c r="C2853" s="111"/>
      <c r="D2853" s="111"/>
      <c r="E2853" s="111"/>
    </row>
    <row r="2854" spans="1:5" x14ac:dyDescent="0.2">
      <c r="A2854" s="113">
        <v>37552</v>
      </c>
      <c r="B2854" s="111">
        <f t="shared" si="44"/>
        <v>104</v>
      </c>
      <c r="C2854" s="111"/>
      <c r="D2854" s="111"/>
      <c r="E2854" s="111"/>
    </row>
    <row r="2855" spans="1:5" x14ac:dyDescent="0.2">
      <c r="A2855" s="113">
        <v>37553</v>
      </c>
      <c r="B2855" s="111">
        <f t="shared" si="44"/>
        <v>104</v>
      </c>
      <c r="C2855" s="111"/>
      <c r="D2855" s="111"/>
      <c r="E2855" s="111"/>
    </row>
    <row r="2856" spans="1:5" x14ac:dyDescent="0.2">
      <c r="A2856" s="113">
        <v>37554</v>
      </c>
      <c r="B2856" s="111">
        <f t="shared" si="44"/>
        <v>104</v>
      </c>
      <c r="C2856" s="111"/>
      <c r="D2856" s="111"/>
      <c r="E2856" s="111"/>
    </row>
    <row r="2857" spans="1:5" x14ac:dyDescent="0.2">
      <c r="A2857" s="113">
        <v>37555</v>
      </c>
      <c r="B2857" s="111">
        <f t="shared" si="44"/>
        <v>104</v>
      </c>
      <c r="C2857" s="111"/>
      <c r="D2857" s="111"/>
      <c r="E2857" s="111"/>
    </row>
    <row r="2858" spans="1:5" x14ac:dyDescent="0.2">
      <c r="A2858" s="113">
        <v>37556</v>
      </c>
      <c r="B2858" s="111">
        <f t="shared" si="44"/>
        <v>105</v>
      </c>
      <c r="C2858" s="111"/>
      <c r="D2858" s="111"/>
      <c r="E2858" s="111"/>
    </row>
    <row r="2859" spans="1:5" x14ac:dyDescent="0.2">
      <c r="A2859" s="113">
        <v>37557</v>
      </c>
      <c r="B2859" s="111">
        <f t="shared" si="44"/>
        <v>105</v>
      </c>
      <c r="C2859" s="111"/>
      <c r="D2859" s="111"/>
      <c r="E2859" s="111"/>
    </row>
    <row r="2860" spans="1:5" x14ac:dyDescent="0.2">
      <c r="A2860" s="113">
        <v>37558</v>
      </c>
      <c r="B2860" s="111">
        <f t="shared" si="44"/>
        <v>105</v>
      </c>
      <c r="C2860" s="111"/>
      <c r="D2860" s="111"/>
      <c r="E2860" s="111"/>
    </row>
    <row r="2861" spans="1:5" x14ac:dyDescent="0.2">
      <c r="A2861" s="113">
        <v>37559</v>
      </c>
      <c r="B2861" s="111">
        <f t="shared" si="44"/>
        <v>105</v>
      </c>
      <c r="C2861" s="111"/>
      <c r="D2861" s="111"/>
      <c r="E2861" s="111"/>
    </row>
    <row r="2862" spans="1:5" x14ac:dyDescent="0.2">
      <c r="A2862" s="113">
        <v>37560</v>
      </c>
      <c r="B2862" s="111">
        <f t="shared" si="44"/>
        <v>105</v>
      </c>
      <c r="C2862" s="111"/>
      <c r="D2862" s="111"/>
      <c r="E2862" s="111"/>
    </row>
    <row r="2863" spans="1:5" x14ac:dyDescent="0.2">
      <c r="A2863" s="113">
        <v>37561</v>
      </c>
      <c r="B2863" s="111">
        <f t="shared" si="44"/>
        <v>105</v>
      </c>
      <c r="C2863" s="111"/>
      <c r="D2863" s="111"/>
      <c r="E2863" s="111"/>
    </row>
    <row r="2864" spans="1:5" x14ac:dyDescent="0.2">
      <c r="A2864" s="113">
        <v>37562</v>
      </c>
      <c r="B2864" s="111">
        <f t="shared" si="44"/>
        <v>105</v>
      </c>
      <c r="C2864" s="111"/>
      <c r="D2864" s="111"/>
      <c r="E2864" s="111"/>
    </row>
    <row r="2865" spans="1:5" x14ac:dyDescent="0.2">
      <c r="A2865" s="113">
        <v>37563</v>
      </c>
      <c r="B2865" s="111">
        <f t="shared" si="44"/>
        <v>111</v>
      </c>
      <c r="C2865" s="111"/>
      <c r="D2865" s="111"/>
      <c r="E2865" s="111"/>
    </row>
    <row r="2866" spans="1:5" x14ac:dyDescent="0.2">
      <c r="A2866" s="113">
        <v>37564</v>
      </c>
      <c r="B2866" s="111">
        <f t="shared" si="44"/>
        <v>111</v>
      </c>
      <c r="C2866" s="111"/>
      <c r="D2866" s="111"/>
      <c r="E2866" s="111"/>
    </row>
    <row r="2867" spans="1:5" x14ac:dyDescent="0.2">
      <c r="A2867" s="113">
        <v>37565</v>
      </c>
      <c r="B2867" s="111">
        <f t="shared" si="44"/>
        <v>111</v>
      </c>
      <c r="C2867" s="111"/>
      <c r="D2867" s="111"/>
      <c r="E2867" s="111"/>
    </row>
    <row r="2868" spans="1:5" x14ac:dyDescent="0.2">
      <c r="A2868" s="113">
        <v>37566</v>
      </c>
      <c r="B2868" s="111">
        <f t="shared" si="44"/>
        <v>111</v>
      </c>
      <c r="C2868" s="111"/>
      <c r="D2868" s="111"/>
      <c r="E2868" s="111"/>
    </row>
    <row r="2869" spans="1:5" x14ac:dyDescent="0.2">
      <c r="A2869" s="113">
        <v>37567</v>
      </c>
      <c r="B2869" s="111">
        <f t="shared" si="44"/>
        <v>111</v>
      </c>
      <c r="C2869" s="111"/>
      <c r="D2869" s="111"/>
      <c r="E2869" s="111"/>
    </row>
    <row r="2870" spans="1:5" x14ac:dyDescent="0.2">
      <c r="A2870" s="113">
        <v>37568</v>
      </c>
      <c r="B2870" s="111">
        <f t="shared" si="44"/>
        <v>111</v>
      </c>
      <c r="C2870" s="111"/>
      <c r="D2870" s="111"/>
      <c r="E2870" s="111"/>
    </row>
    <row r="2871" spans="1:5" x14ac:dyDescent="0.2">
      <c r="A2871" s="113">
        <v>37569</v>
      </c>
      <c r="B2871" s="111">
        <f t="shared" si="44"/>
        <v>111</v>
      </c>
      <c r="C2871" s="111"/>
      <c r="D2871" s="111"/>
      <c r="E2871" s="111"/>
    </row>
    <row r="2872" spans="1:5" x14ac:dyDescent="0.2">
      <c r="A2872" s="113">
        <v>37570</v>
      </c>
      <c r="B2872" s="111">
        <f t="shared" si="44"/>
        <v>112</v>
      </c>
      <c r="C2872" s="111"/>
      <c r="D2872" s="111"/>
      <c r="E2872" s="111"/>
    </row>
    <row r="2873" spans="1:5" x14ac:dyDescent="0.2">
      <c r="A2873" s="113">
        <v>37571</v>
      </c>
      <c r="B2873" s="111">
        <f t="shared" si="44"/>
        <v>112</v>
      </c>
      <c r="C2873" s="111"/>
      <c r="D2873" s="111"/>
      <c r="E2873" s="111"/>
    </row>
    <row r="2874" spans="1:5" x14ac:dyDescent="0.2">
      <c r="A2874" s="113">
        <v>37572</v>
      </c>
      <c r="B2874" s="111">
        <f t="shared" si="44"/>
        <v>112</v>
      </c>
      <c r="C2874" s="111"/>
      <c r="D2874" s="111"/>
      <c r="E2874" s="111"/>
    </row>
    <row r="2875" spans="1:5" x14ac:dyDescent="0.2">
      <c r="A2875" s="113">
        <v>37573</v>
      </c>
      <c r="B2875" s="111">
        <f t="shared" si="44"/>
        <v>112</v>
      </c>
      <c r="C2875" s="111"/>
      <c r="D2875" s="111"/>
      <c r="E2875" s="111"/>
    </row>
    <row r="2876" spans="1:5" x14ac:dyDescent="0.2">
      <c r="A2876" s="113">
        <v>37574</v>
      </c>
      <c r="B2876" s="111">
        <f t="shared" si="44"/>
        <v>112</v>
      </c>
      <c r="C2876" s="111"/>
      <c r="D2876" s="111"/>
      <c r="E2876" s="111"/>
    </row>
    <row r="2877" spans="1:5" x14ac:dyDescent="0.2">
      <c r="A2877" s="113">
        <v>37575</v>
      </c>
      <c r="B2877" s="111">
        <f t="shared" si="44"/>
        <v>112</v>
      </c>
      <c r="C2877" s="111"/>
      <c r="D2877" s="111"/>
      <c r="E2877" s="111"/>
    </row>
    <row r="2878" spans="1:5" x14ac:dyDescent="0.2">
      <c r="A2878" s="113">
        <v>37576</v>
      </c>
      <c r="B2878" s="111">
        <f t="shared" si="44"/>
        <v>112</v>
      </c>
      <c r="C2878" s="111"/>
      <c r="D2878" s="111"/>
      <c r="E2878" s="111"/>
    </row>
    <row r="2879" spans="1:5" x14ac:dyDescent="0.2">
      <c r="A2879" s="113">
        <v>37577</v>
      </c>
      <c r="B2879" s="111">
        <f t="shared" si="44"/>
        <v>113</v>
      </c>
      <c r="C2879" s="111"/>
      <c r="D2879" s="111"/>
      <c r="E2879" s="111"/>
    </row>
    <row r="2880" spans="1:5" x14ac:dyDescent="0.2">
      <c r="A2880" s="113">
        <v>37578</v>
      </c>
      <c r="B2880" s="111">
        <f t="shared" si="44"/>
        <v>113</v>
      </c>
      <c r="C2880" s="111"/>
      <c r="D2880" s="111"/>
      <c r="E2880" s="111"/>
    </row>
    <row r="2881" spans="1:5" x14ac:dyDescent="0.2">
      <c r="A2881" s="113">
        <v>37579</v>
      </c>
      <c r="B2881" s="111">
        <f t="shared" si="44"/>
        <v>113</v>
      </c>
      <c r="C2881" s="111"/>
      <c r="D2881" s="111"/>
      <c r="E2881" s="111"/>
    </row>
    <row r="2882" spans="1:5" x14ac:dyDescent="0.2">
      <c r="A2882" s="113">
        <v>37580</v>
      </c>
      <c r="B2882" s="111">
        <f t="shared" ref="B2882:B2945" si="45">VLOOKUP(WEEKNUM(A2882),$D$3:$E$58,2)</f>
        <v>113</v>
      </c>
      <c r="C2882" s="111"/>
      <c r="D2882" s="111"/>
      <c r="E2882" s="111"/>
    </row>
    <row r="2883" spans="1:5" x14ac:dyDescent="0.2">
      <c r="A2883" s="113">
        <v>37581</v>
      </c>
      <c r="B2883" s="111">
        <f t="shared" si="45"/>
        <v>113</v>
      </c>
      <c r="C2883" s="111"/>
      <c r="D2883" s="111"/>
      <c r="E2883" s="111"/>
    </row>
    <row r="2884" spans="1:5" x14ac:dyDescent="0.2">
      <c r="A2884" s="113">
        <v>37582</v>
      </c>
      <c r="B2884" s="111">
        <f t="shared" si="45"/>
        <v>113</v>
      </c>
      <c r="C2884" s="111"/>
      <c r="D2884" s="111"/>
      <c r="E2884" s="111"/>
    </row>
    <row r="2885" spans="1:5" x14ac:dyDescent="0.2">
      <c r="A2885" s="113">
        <v>37583</v>
      </c>
      <c r="B2885" s="111">
        <f t="shared" si="45"/>
        <v>113</v>
      </c>
      <c r="C2885" s="111"/>
      <c r="D2885" s="111"/>
      <c r="E2885" s="111"/>
    </row>
    <row r="2886" spans="1:5" x14ac:dyDescent="0.2">
      <c r="A2886" s="113">
        <v>37584</v>
      </c>
      <c r="B2886" s="111">
        <f t="shared" si="45"/>
        <v>114</v>
      </c>
      <c r="C2886" s="111"/>
      <c r="D2886" s="111"/>
      <c r="E2886" s="111"/>
    </row>
    <row r="2887" spans="1:5" x14ac:dyDescent="0.2">
      <c r="A2887" s="113">
        <v>37585</v>
      </c>
      <c r="B2887" s="111">
        <f t="shared" si="45"/>
        <v>114</v>
      </c>
      <c r="C2887" s="111"/>
      <c r="D2887" s="111"/>
      <c r="E2887" s="111"/>
    </row>
    <row r="2888" spans="1:5" x14ac:dyDescent="0.2">
      <c r="A2888" s="113">
        <v>37586</v>
      </c>
      <c r="B2888" s="111">
        <f t="shared" si="45"/>
        <v>114</v>
      </c>
      <c r="C2888" s="111"/>
      <c r="D2888" s="111"/>
      <c r="E2888" s="111"/>
    </row>
    <row r="2889" spans="1:5" x14ac:dyDescent="0.2">
      <c r="A2889" s="113">
        <v>37587</v>
      </c>
      <c r="B2889" s="111">
        <f t="shared" si="45"/>
        <v>114</v>
      </c>
      <c r="C2889" s="111"/>
      <c r="D2889" s="111"/>
      <c r="E2889" s="111"/>
    </row>
    <row r="2890" spans="1:5" x14ac:dyDescent="0.2">
      <c r="A2890" s="113">
        <v>37588</v>
      </c>
      <c r="B2890" s="111">
        <f t="shared" si="45"/>
        <v>114</v>
      </c>
      <c r="C2890" s="111"/>
      <c r="D2890" s="111"/>
      <c r="E2890" s="111"/>
    </row>
    <row r="2891" spans="1:5" x14ac:dyDescent="0.2">
      <c r="A2891" s="113">
        <v>37589</v>
      </c>
      <c r="B2891" s="111">
        <f t="shared" si="45"/>
        <v>114</v>
      </c>
      <c r="C2891" s="111"/>
      <c r="D2891" s="111"/>
      <c r="E2891" s="111"/>
    </row>
    <row r="2892" spans="1:5" x14ac:dyDescent="0.2">
      <c r="A2892" s="113">
        <v>37590</v>
      </c>
      <c r="B2892" s="111">
        <f t="shared" si="45"/>
        <v>114</v>
      </c>
      <c r="C2892" s="111"/>
      <c r="D2892" s="111"/>
      <c r="E2892" s="111"/>
    </row>
    <row r="2893" spans="1:5" x14ac:dyDescent="0.2">
      <c r="A2893" s="113">
        <v>37591</v>
      </c>
      <c r="B2893" s="111">
        <f t="shared" si="45"/>
        <v>115</v>
      </c>
      <c r="C2893" s="111"/>
      <c r="D2893" s="111"/>
      <c r="E2893" s="111"/>
    </row>
    <row r="2894" spans="1:5" x14ac:dyDescent="0.2">
      <c r="A2894" s="113">
        <v>37592</v>
      </c>
      <c r="B2894" s="111">
        <f t="shared" si="45"/>
        <v>115</v>
      </c>
      <c r="C2894" s="111"/>
      <c r="D2894" s="111"/>
      <c r="E2894" s="111"/>
    </row>
    <row r="2895" spans="1:5" x14ac:dyDescent="0.2">
      <c r="A2895" s="113">
        <v>37593</v>
      </c>
      <c r="B2895" s="111">
        <f t="shared" si="45"/>
        <v>115</v>
      </c>
      <c r="C2895" s="111"/>
      <c r="D2895" s="111"/>
      <c r="E2895" s="111"/>
    </row>
    <row r="2896" spans="1:5" x14ac:dyDescent="0.2">
      <c r="A2896" s="113">
        <v>37594</v>
      </c>
      <c r="B2896" s="111">
        <f t="shared" si="45"/>
        <v>115</v>
      </c>
      <c r="C2896" s="111"/>
      <c r="D2896" s="111"/>
      <c r="E2896" s="111"/>
    </row>
    <row r="2897" spans="1:5" x14ac:dyDescent="0.2">
      <c r="A2897" s="113">
        <v>37595</v>
      </c>
      <c r="B2897" s="111">
        <f t="shared" si="45"/>
        <v>115</v>
      </c>
      <c r="C2897" s="111"/>
      <c r="D2897" s="111"/>
      <c r="E2897" s="111"/>
    </row>
    <row r="2898" spans="1:5" x14ac:dyDescent="0.2">
      <c r="A2898" s="113">
        <v>37596</v>
      </c>
      <c r="B2898" s="111">
        <f t="shared" si="45"/>
        <v>115</v>
      </c>
      <c r="C2898" s="111"/>
      <c r="D2898" s="111"/>
      <c r="E2898" s="111"/>
    </row>
    <row r="2899" spans="1:5" x14ac:dyDescent="0.2">
      <c r="A2899" s="113">
        <v>37597</v>
      </c>
      <c r="B2899" s="111">
        <f t="shared" si="45"/>
        <v>115</v>
      </c>
      <c r="C2899" s="111"/>
      <c r="D2899" s="111"/>
      <c r="E2899" s="111"/>
    </row>
    <row r="2900" spans="1:5" x14ac:dyDescent="0.2">
      <c r="A2900" s="113">
        <v>37598</v>
      </c>
      <c r="B2900" s="111">
        <f t="shared" si="45"/>
        <v>121</v>
      </c>
      <c r="C2900" s="111"/>
      <c r="D2900" s="111"/>
      <c r="E2900" s="111"/>
    </row>
    <row r="2901" spans="1:5" x14ac:dyDescent="0.2">
      <c r="A2901" s="113">
        <v>37599</v>
      </c>
      <c r="B2901" s="111">
        <f t="shared" si="45"/>
        <v>121</v>
      </c>
      <c r="C2901" s="111"/>
      <c r="D2901" s="111"/>
      <c r="E2901" s="111"/>
    </row>
    <row r="2902" spans="1:5" x14ac:dyDescent="0.2">
      <c r="A2902" s="113">
        <v>37600</v>
      </c>
      <c r="B2902" s="111">
        <f t="shared" si="45"/>
        <v>121</v>
      </c>
      <c r="C2902" s="111"/>
      <c r="D2902" s="111"/>
      <c r="E2902" s="111"/>
    </row>
    <row r="2903" spans="1:5" x14ac:dyDescent="0.2">
      <c r="A2903" s="113">
        <v>37601</v>
      </c>
      <c r="B2903" s="111">
        <f t="shared" si="45"/>
        <v>121</v>
      </c>
      <c r="C2903" s="111"/>
      <c r="D2903" s="111"/>
      <c r="E2903" s="111"/>
    </row>
    <row r="2904" spans="1:5" x14ac:dyDescent="0.2">
      <c r="A2904" s="113">
        <v>37602</v>
      </c>
      <c r="B2904" s="111">
        <f t="shared" si="45"/>
        <v>121</v>
      </c>
      <c r="C2904" s="111"/>
      <c r="D2904" s="111"/>
      <c r="E2904" s="111"/>
    </row>
    <row r="2905" spans="1:5" x14ac:dyDescent="0.2">
      <c r="A2905" s="113">
        <v>37603</v>
      </c>
      <c r="B2905" s="111">
        <f t="shared" si="45"/>
        <v>121</v>
      </c>
      <c r="C2905" s="111"/>
      <c r="D2905" s="111"/>
      <c r="E2905" s="111"/>
    </row>
    <row r="2906" spans="1:5" x14ac:dyDescent="0.2">
      <c r="A2906" s="113">
        <v>37604</v>
      </c>
      <c r="B2906" s="111">
        <f t="shared" si="45"/>
        <v>121</v>
      </c>
      <c r="C2906" s="111"/>
      <c r="D2906" s="111"/>
      <c r="E2906" s="111"/>
    </row>
    <row r="2907" spans="1:5" x14ac:dyDescent="0.2">
      <c r="A2907" s="113">
        <v>37605</v>
      </c>
      <c r="B2907" s="111">
        <f t="shared" si="45"/>
        <v>122</v>
      </c>
      <c r="C2907" s="111"/>
      <c r="D2907" s="111"/>
      <c r="E2907" s="111"/>
    </row>
    <row r="2908" spans="1:5" x14ac:dyDescent="0.2">
      <c r="A2908" s="113">
        <v>37606</v>
      </c>
      <c r="B2908" s="111">
        <f t="shared" si="45"/>
        <v>122</v>
      </c>
      <c r="C2908" s="111"/>
      <c r="D2908" s="111"/>
      <c r="E2908" s="111"/>
    </row>
    <row r="2909" spans="1:5" x14ac:dyDescent="0.2">
      <c r="A2909" s="113">
        <v>37607</v>
      </c>
      <c r="B2909" s="111">
        <f t="shared" si="45"/>
        <v>122</v>
      </c>
      <c r="C2909" s="111"/>
      <c r="D2909" s="111"/>
      <c r="E2909" s="111"/>
    </row>
    <row r="2910" spans="1:5" x14ac:dyDescent="0.2">
      <c r="A2910" s="113">
        <v>37608</v>
      </c>
      <c r="B2910" s="111">
        <f t="shared" si="45"/>
        <v>122</v>
      </c>
      <c r="C2910" s="111"/>
      <c r="D2910" s="111"/>
      <c r="E2910" s="111"/>
    </row>
    <row r="2911" spans="1:5" x14ac:dyDescent="0.2">
      <c r="A2911" s="113">
        <v>37609</v>
      </c>
      <c r="B2911" s="111">
        <f t="shared" si="45"/>
        <v>122</v>
      </c>
      <c r="C2911" s="111"/>
      <c r="D2911" s="111"/>
      <c r="E2911" s="111"/>
    </row>
    <row r="2912" spans="1:5" x14ac:dyDescent="0.2">
      <c r="A2912" s="113">
        <v>37610</v>
      </c>
      <c r="B2912" s="111">
        <f t="shared" si="45"/>
        <v>122</v>
      </c>
      <c r="C2912" s="111"/>
      <c r="D2912" s="111"/>
      <c r="E2912" s="111"/>
    </row>
    <row r="2913" spans="1:5" x14ac:dyDescent="0.2">
      <c r="A2913" s="113">
        <v>37611</v>
      </c>
      <c r="B2913" s="111">
        <f t="shared" si="45"/>
        <v>122</v>
      </c>
      <c r="C2913" s="111"/>
      <c r="D2913" s="111"/>
      <c r="E2913" s="111"/>
    </row>
    <row r="2914" spans="1:5" x14ac:dyDescent="0.2">
      <c r="A2914" s="113">
        <v>37612</v>
      </c>
      <c r="B2914" s="111">
        <f t="shared" si="45"/>
        <v>123</v>
      </c>
      <c r="C2914" s="111"/>
      <c r="D2914" s="111"/>
      <c r="E2914" s="111"/>
    </row>
    <row r="2915" spans="1:5" x14ac:dyDescent="0.2">
      <c r="A2915" s="113">
        <v>37613</v>
      </c>
      <c r="B2915" s="111">
        <f t="shared" si="45"/>
        <v>123</v>
      </c>
      <c r="C2915" s="111"/>
      <c r="D2915" s="111"/>
      <c r="E2915" s="111"/>
    </row>
    <row r="2916" spans="1:5" x14ac:dyDescent="0.2">
      <c r="A2916" s="113">
        <v>37614</v>
      </c>
      <c r="B2916" s="111">
        <f t="shared" si="45"/>
        <v>123</v>
      </c>
      <c r="C2916" s="111"/>
      <c r="D2916" s="111"/>
      <c r="E2916" s="111"/>
    </row>
    <row r="2917" spans="1:5" x14ac:dyDescent="0.2">
      <c r="A2917" s="113">
        <v>37615</v>
      </c>
      <c r="B2917" s="111">
        <f t="shared" si="45"/>
        <v>123</v>
      </c>
      <c r="C2917" s="111"/>
      <c r="D2917" s="111"/>
      <c r="E2917" s="111"/>
    </row>
    <row r="2918" spans="1:5" x14ac:dyDescent="0.2">
      <c r="A2918" s="113">
        <v>37616</v>
      </c>
      <c r="B2918" s="111">
        <f t="shared" si="45"/>
        <v>123</v>
      </c>
      <c r="C2918" s="111"/>
      <c r="D2918" s="111"/>
      <c r="E2918" s="111"/>
    </row>
    <row r="2919" spans="1:5" x14ac:dyDescent="0.2">
      <c r="A2919" s="113">
        <v>37617</v>
      </c>
      <c r="B2919" s="111">
        <f t="shared" si="45"/>
        <v>123</v>
      </c>
      <c r="C2919" s="111"/>
      <c r="D2919" s="111"/>
      <c r="E2919" s="111"/>
    </row>
    <row r="2920" spans="1:5" x14ac:dyDescent="0.2">
      <c r="A2920" s="113">
        <v>37618</v>
      </c>
      <c r="B2920" s="111">
        <f t="shared" si="45"/>
        <v>123</v>
      </c>
      <c r="C2920" s="111"/>
      <c r="D2920" s="111"/>
      <c r="E2920" s="111"/>
    </row>
    <row r="2921" spans="1:5" x14ac:dyDescent="0.2">
      <c r="A2921" s="113">
        <v>37619</v>
      </c>
      <c r="B2921" s="111">
        <f t="shared" si="45"/>
        <v>124</v>
      </c>
      <c r="C2921" s="111"/>
      <c r="D2921" s="111"/>
      <c r="E2921" s="111"/>
    </row>
    <row r="2922" spans="1:5" x14ac:dyDescent="0.2">
      <c r="A2922" s="113">
        <v>37620</v>
      </c>
      <c r="B2922" s="111">
        <f t="shared" si="45"/>
        <v>124</v>
      </c>
      <c r="C2922" s="111"/>
      <c r="D2922" s="111"/>
      <c r="E2922" s="111"/>
    </row>
    <row r="2923" spans="1:5" x14ac:dyDescent="0.2">
      <c r="A2923" s="113">
        <v>37621</v>
      </c>
      <c r="B2923" s="111">
        <f t="shared" si="45"/>
        <v>124</v>
      </c>
      <c r="C2923" s="111"/>
      <c r="D2923" s="111"/>
      <c r="E2923" s="111"/>
    </row>
    <row r="2924" spans="1:5" x14ac:dyDescent="0.2">
      <c r="A2924" s="113">
        <v>37622</v>
      </c>
      <c r="B2924" s="111">
        <f t="shared" si="45"/>
        <v>11</v>
      </c>
      <c r="C2924" s="111"/>
      <c r="D2924" s="111"/>
      <c r="E2924" s="111"/>
    </row>
    <row r="2925" spans="1:5" x14ac:dyDescent="0.2">
      <c r="A2925" s="113">
        <v>37623</v>
      </c>
      <c r="B2925" s="111">
        <f t="shared" si="45"/>
        <v>11</v>
      </c>
      <c r="C2925" s="111"/>
      <c r="D2925" s="111"/>
      <c r="E2925" s="111"/>
    </row>
    <row r="2926" spans="1:5" x14ac:dyDescent="0.2">
      <c r="A2926" s="113">
        <v>37624</v>
      </c>
      <c r="B2926" s="111">
        <f t="shared" si="45"/>
        <v>11</v>
      </c>
      <c r="C2926" s="111"/>
      <c r="D2926" s="111"/>
      <c r="E2926" s="111"/>
    </row>
    <row r="2927" spans="1:5" x14ac:dyDescent="0.2">
      <c r="A2927" s="113">
        <v>37625</v>
      </c>
      <c r="B2927" s="111">
        <f t="shared" si="45"/>
        <v>11</v>
      </c>
      <c r="C2927" s="111"/>
      <c r="D2927" s="111"/>
      <c r="E2927" s="111"/>
    </row>
    <row r="2928" spans="1:5" x14ac:dyDescent="0.2">
      <c r="A2928" s="113">
        <v>37626</v>
      </c>
      <c r="B2928" s="111">
        <f t="shared" si="45"/>
        <v>12</v>
      </c>
      <c r="C2928" s="111"/>
      <c r="D2928" s="111"/>
      <c r="E2928" s="111"/>
    </row>
    <row r="2929" spans="1:5" x14ac:dyDescent="0.2">
      <c r="A2929" s="113">
        <v>37627</v>
      </c>
      <c r="B2929" s="111">
        <f t="shared" si="45"/>
        <v>12</v>
      </c>
      <c r="C2929" s="111"/>
      <c r="D2929" s="111"/>
      <c r="E2929" s="111"/>
    </row>
    <row r="2930" spans="1:5" x14ac:dyDescent="0.2">
      <c r="A2930" s="113">
        <v>37628</v>
      </c>
      <c r="B2930" s="111">
        <f t="shared" si="45"/>
        <v>12</v>
      </c>
      <c r="C2930" s="111"/>
      <c r="D2930" s="111"/>
      <c r="E2930" s="111"/>
    </row>
    <row r="2931" spans="1:5" x14ac:dyDescent="0.2">
      <c r="A2931" s="113">
        <v>37629</v>
      </c>
      <c r="B2931" s="111">
        <f t="shared" si="45"/>
        <v>12</v>
      </c>
      <c r="C2931" s="111"/>
      <c r="D2931" s="111"/>
      <c r="E2931" s="111"/>
    </row>
    <row r="2932" spans="1:5" x14ac:dyDescent="0.2">
      <c r="A2932" s="113">
        <v>37630</v>
      </c>
      <c r="B2932" s="111">
        <f t="shared" si="45"/>
        <v>12</v>
      </c>
      <c r="C2932" s="111"/>
      <c r="D2932" s="111"/>
      <c r="E2932" s="111"/>
    </row>
    <row r="2933" spans="1:5" x14ac:dyDescent="0.2">
      <c r="A2933" s="113">
        <v>37631</v>
      </c>
      <c r="B2933" s="111">
        <f t="shared" si="45"/>
        <v>12</v>
      </c>
      <c r="C2933" s="111"/>
      <c r="D2933" s="111"/>
      <c r="E2933" s="111"/>
    </row>
    <row r="2934" spans="1:5" x14ac:dyDescent="0.2">
      <c r="A2934" s="113">
        <v>37632</v>
      </c>
      <c r="B2934" s="111">
        <f t="shared" si="45"/>
        <v>12</v>
      </c>
      <c r="C2934" s="111"/>
      <c r="D2934" s="111"/>
      <c r="E2934" s="111"/>
    </row>
    <row r="2935" spans="1:5" x14ac:dyDescent="0.2">
      <c r="A2935" s="113">
        <v>37633</v>
      </c>
      <c r="B2935" s="111">
        <f t="shared" si="45"/>
        <v>13</v>
      </c>
      <c r="C2935" s="111"/>
      <c r="D2935" s="111"/>
      <c r="E2935" s="111"/>
    </row>
    <row r="2936" spans="1:5" x14ac:dyDescent="0.2">
      <c r="A2936" s="113">
        <v>37634</v>
      </c>
      <c r="B2936" s="111">
        <f t="shared" si="45"/>
        <v>13</v>
      </c>
      <c r="C2936" s="111"/>
      <c r="D2936" s="111"/>
      <c r="E2936" s="111"/>
    </row>
    <row r="2937" spans="1:5" x14ac:dyDescent="0.2">
      <c r="A2937" s="113">
        <v>37635</v>
      </c>
      <c r="B2937" s="111">
        <f t="shared" si="45"/>
        <v>13</v>
      </c>
      <c r="C2937" s="111"/>
      <c r="D2937" s="111"/>
      <c r="E2937" s="111"/>
    </row>
    <row r="2938" spans="1:5" x14ac:dyDescent="0.2">
      <c r="A2938" s="113">
        <v>37636</v>
      </c>
      <c r="B2938" s="111">
        <f t="shared" si="45"/>
        <v>13</v>
      </c>
      <c r="C2938" s="111"/>
      <c r="D2938" s="111"/>
      <c r="E2938" s="111"/>
    </row>
    <row r="2939" spans="1:5" x14ac:dyDescent="0.2">
      <c r="A2939" s="113">
        <v>37637</v>
      </c>
      <c r="B2939" s="111">
        <f t="shared" si="45"/>
        <v>13</v>
      </c>
      <c r="C2939" s="111"/>
      <c r="D2939" s="111"/>
      <c r="E2939" s="111"/>
    </row>
    <row r="2940" spans="1:5" x14ac:dyDescent="0.2">
      <c r="A2940" s="113">
        <v>37638</v>
      </c>
      <c r="B2940" s="111">
        <f t="shared" si="45"/>
        <v>13</v>
      </c>
      <c r="C2940" s="111"/>
      <c r="D2940" s="111"/>
      <c r="E2940" s="111"/>
    </row>
    <row r="2941" spans="1:5" x14ac:dyDescent="0.2">
      <c r="A2941" s="113">
        <v>37639</v>
      </c>
      <c r="B2941" s="111">
        <f t="shared" si="45"/>
        <v>13</v>
      </c>
      <c r="C2941" s="111"/>
      <c r="D2941" s="111"/>
      <c r="E2941" s="111"/>
    </row>
    <row r="2942" spans="1:5" x14ac:dyDescent="0.2">
      <c r="A2942" s="113">
        <v>37640</v>
      </c>
      <c r="B2942" s="111">
        <f t="shared" si="45"/>
        <v>14</v>
      </c>
      <c r="C2942" s="111"/>
      <c r="D2942" s="111"/>
      <c r="E2942" s="111"/>
    </row>
    <row r="2943" spans="1:5" x14ac:dyDescent="0.2">
      <c r="A2943" s="113">
        <v>37641</v>
      </c>
      <c r="B2943" s="111">
        <f t="shared" si="45"/>
        <v>14</v>
      </c>
      <c r="C2943" s="111"/>
      <c r="D2943" s="111"/>
      <c r="E2943" s="111"/>
    </row>
    <row r="2944" spans="1:5" x14ac:dyDescent="0.2">
      <c r="A2944" s="113">
        <v>37642</v>
      </c>
      <c r="B2944" s="111">
        <f t="shared" si="45"/>
        <v>14</v>
      </c>
      <c r="C2944" s="111"/>
      <c r="D2944" s="111"/>
      <c r="E2944" s="111"/>
    </row>
    <row r="2945" spans="1:5" x14ac:dyDescent="0.2">
      <c r="A2945" s="113">
        <v>37643</v>
      </c>
      <c r="B2945" s="111">
        <f t="shared" si="45"/>
        <v>14</v>
      </c>
      <c r="C2945" s="111"/>
      <c r="D2945" s="111"/>
      <c r="E2945" s="111"/>
    </row>
    <row r="2946" spans="1:5" x14ac:dyDescent="0.2">
      <c r="A2946" s="113">
        <v>37644</v>
      </c>
      <c r="B2946" s="111">
        <f t="shared" ref="B2946:B3009" si="46">VLOOKUP(WEEKNUM(A2946),$D$3:$E$58,2)</f>
        <v>14</v>
      </c>
      <c r="C2946" s="111"/>
      <c r="D2946" s="111"/>
      <c r="E2946" s="111"/>
    </row>
    <row r="2947" spans="1:5" x14ac:dyDescent="0.2">
      <c r="A2947" s="113">
        <v>37645</v>
      </c>
      <c r="B2947" s="111">
        <f t="shared" si="46"/>
        <v>14</v>
      </c>
      <c r="C2947" s="111"/>
      <c r="D2947" s="111"/>
      <c r="E2947" s="111"/>
    </row>
    <row r="2948" spans="1:5" x14ac:dyDescent="0.2">
      <c r="A2948" s="113">
        <v>37646</v>
      </c>
      <c r="B2948" s="111">
        <f t="shared" si="46"/>
        <v>14</v>
      </c>
      <c r="C2948" s="111"/>
      <c r="D2948" s="111"/>
      <c r="E2948" s="111"/>
    </row>
    <row r="2949" spans="1:5" x14ac:dyDescent="0.2">
      <c r="A2949" s="113">
        <v>37647</v>
      </c>
      <c r="B2949" s="111">
        <f t="shared" si="46"/>
        <v>15</v>
      </c>
      <c r="C2949" s="111"/>
      <c r="D2949" s="111"/>
      <c r="E2949" s="111"/>
    </row>
    <row r="2950" spans="1:5" x14ac:dyDescent="0.2">
      <c r="A2950" s="113">
        <v>37648</v>
      </c>
      <c r="B2950" s="111">
        <f t="shared" si="46"/>
        <v>15</v>
      </c>
      <c r="C2950" s="111"/>
      <c r="D2950" s="111"/>
      <c r="E2950" s="111"/>
    </row>
    <row r="2951" spans="1:5" x14ac:dyDescent="0.2">
      <c r="A2951" s="113">
        <v>37649</v>
      </c>
      <c r="B2951" s="111">
        <f t="shared" si="46"/>
        <v>15</v>
      </c>
      <c r="C2951" s="111"/>
      <c r="D2951" s="111"/>
      <c r="E2951" s="111"/>
    </row>
    <row r="2952" spans="1:5" x14ac:dyDescent="0.2">
      <c r="A2952" s="113">
        <v>37650</v>
      </c>
      <c r="B2952" s="111">
        <f t="shared" si="46"/>
        <v>15</v>
      </c>
      <c r="C2952" s="111"/>
      <c r="D2952" s="111"/>
      <c r="E2952" s="111"/>
    </row>
    <row r="2953" spans="1:5" x14ac:dyDescent="0.2">
      <c r="A2953" s="113">
        <v>37651</v>
      </c>
      <c r="B2953" s="111">
        <f t="shared" si="46"/>
        <v>15</v>
      </c>
      <c r="C2953" s="111"/>
      <c r="D2953" s="111"/>
      <c r="E2953" s="111"/>
    </row>
    <row r="2954" spans="1:5" x14ac:dyDescent="0.2">
      <c r="A2954" s="113">
        <v>37652</v>
      </c>
      <c r="B2954" s="111">
        <f t="shared" si="46"/>
        <v>15</v>
      </c>
      <c r="C2954" s="111"/>
      <c r="D2954" s="111"/>
      <c r="E2954" s="111"/>
    </row>
    <row r="2955" spans="1:5" x14ac:dyDescent="0.2">
      <c r="A2955" s="113">
        <v>37653</v>
      </c>
      <c r="B2955" s="111">
        <f t="shared" si="46"/>
        <v>15</v>
      </c>
      <c r="C2955" s="111"/>
      <c r="D2955" s="111"/>
      <c r="E2955" s="111"/>
    </row>
    <row r="2956" spans="1:5" x14ac:dyDescent="0.2">
      <c r="A2956" s="113">
        <v>37654</v>
      </c>
      <c r="B2956" s="111">
        <f t="shared" si="46"/>
        <v>21</v>
      </c>
      <c r="C2956" s="111"/>
      <c r="D2956" s="111"/>
      <c r="E2956" s="111"/>
    </row>
    <row r="2957" spans="1:5" x14ac:dyDescent="0.2">
      <c r="A2957" s="113">
        <v>37655</v>
      </c>
      <c r="B2957" s="111">
        <f t="shared" si="46"/>
        <v>21</v>
      </c>
      <c r="C2957" s="111"/>
      <c r="D2957" s="111"/>
      <c r="E2957" s="111"/>
    </row>
    <row r="2958" spans="1:5" x14ac:dyDescent="0.2">
      <c r="A2958" s="113">
        <v>37656</v>
      </c>
      <c r="B2958" s="111">
        <f t="shared" si="46"/>
        <v>21</v>
      </c>
      <c r="C2958" s="111"/>
      <c r="D2958" s="111"/>
      <c r="E2958" s="111"/>
    </row>
    <row r="2959" spans="1:5" x14ac:dyDescent="0.2">
      <c r="A2959" s="113">
        <v>37657</v>
      </c>
      <c r="B2959" s="111">
        <f t="shared" si="46"/>
        <v>21</v>
      </c>
      <c r="C2959" s="111"/>
      <c r="D2959" s="111"/>
      <c r="E2959" s="111"/>
    </row>
    <row r="2960" spans="1:5" x14ac:dyDescent="0.2">
      <c r="A2960" s="113">
        <v>37658</v>
      </c>
      <c r="B2960" s="111">
        <f t="shared" si="46"/>
        <v>21</v>
      </c>
      <c r="C2960" s="111"/>
      <c r="D2960" s="111"/>
      <c r="E2960" s="111"/>
    </row>
    <row r="2961" spans="1:5" x14ac:dyDescent="0.2">
      <c r="A2961" s="113">
        <v>37659</v>
      </c>
      <c r="B2961" s="111">
        <f t="shared" si="46"/>
        <v>21</v>
      </c>
      <c r="C2961" s="111"/>
      <c r="D2961" s="111"/>
      <c r="E2961" s="111"/>
    </row>
    <row r="2962" spans="1:5" x14ac:dyDescent="0.2">
      <c r="A2962" s="113">
        <v>37660</v>
      </c>
      <c r="B2962" s="111">
        <f t="shared" si="46"/>
        <v>21</v>
      </c>
      <c r="C2962" s="111"/>
      <c r="D2962" s="111"/>
      <c r="E2962" s="111"/>
    </row>
    <row r="2963" spans="1:5" x14ac:dyDescent="0.2">
      <c r="A2963" s="113">
        <v>37661</v>
      </c>
      <c r="B2963" s="111">
        <f t="shared" si="46"/>
        <v>22</v>
      </c>
      <c r="C2963" s="111"/>
      <c r="D2963" s="111"/>
      <c r="E2963" s="111"/>
    </row>
    <row r="2964" spans="1:5" x14ac:dyDescent="0.2">
      <c r="A2964" s="113">
        <v>37662</v>
      </c>
      <c r="B2964" s="111">
        <f t="shared" si="46"/>
        <v>22</v>
      </c>
      <c r="C2964" s="111"/>
      <c r="D2964" s="111"/>
      <c r="E2964" s="111"/>
    </row>
    <row r="2965" spans="1:5" x14ac:dyDescent="0.2">
      <c r="A2965" s="113">
        <v>37663</v>
      </c>
      <c r="B2965" s="111">
        <f t="shared" si="46"/>
        <v>22</v>
      </c>
      <c r="C2965" s="111"/>
      <c r="D2965" s="111"/>
      <c r="E2965" s="111"/>
    </row>
    <row r="2966" spans="1:5" x14ac:dyDescent="0.2">
      <c r="A2966" s="113">
        <v>37664</v>
      </c>
      <c r="B2966" s="111">
        <f t="shared" si="46"/>
        <v>22</v>
      </c>
      <c r="C2966" s="111"/>
      <c r="D2966" s="111"/>
      <c r="E2966" s="111"/>
    </row>
    <row r="2967" spans="1:5" x14ac:dyDescent="0.2">
      <c r="A2967" s="113">
        <v>37665</v>
      </c>
      <c r="B2967" s="111">
        <f t="shared" si="46"/>
        <v>22</v>
      </c>
      <c r="C2967" s="111"/>
      <c r="D2967" s="111"/>
      <c r="E2967" s="111"/>
    </row>
    <row r="2968" spans="1:5" x14ac:dyDescent="0.2">
      <c r="A2968" s="113">
        <v>37666</v>
      </c>
      <c r="B2968" s="111">
        <f t="shared" si="46"/>
        <v>22</v>
      </c>
      <c r="C2968" s="111"/>
      <c r="D2968" s="111"/>
      <c r="E2968" s="111"/>
    </row>
    <row r="2969" spans="1:5" x14ac:dyDescent="0.2">
      <c r="A2969" s="113">
        <v>37667</v>
      </c>
      <c r="B2969" s="111">
        <f t="shared" si="46"/>
        <v>22</v>
      </c>
      <c r="C2969" s="111"/>
      <c r="D2969" s="111"/>
      <c r="E2969" s="111"/>
    </row>
    <row r="2970" spans="1:5" x14ac:dyDescent="0.2">
      <c r="A2970" s="113">
        <v>37668</v>
      </c>
      <c r="B2970" s="111">
        <f t="shared" si="46"/>
        <v>23</v>
      </c>
      <c r="C2970" s="111"/>
      <c r="D2970" s="111"/>
      <c r="E2970" s="111"/>
    </row>
    <row r="2971" spans="1:5" x14ac:dyDescent="0.2">
      <c r="A2971" s="113">
        <v>37669</v>
      </c>
      <c r="B2971" s="111">
        <f t="shared" si="46"/>
        <v>23</v>
      </c>
      <c r="C2971" s="111"/>
      <c r="D2971" s="111"/>
      <c r="E2971" s="111"/>
    </row>
    <row r="2972" spans="1:5" x14ac:dyDescent="0.2">
      <c r="A2972" s="113">
        <v>37670</v>
      </c>
      <c r="B2972" s="111">
        <f t="shared" si="46"/>
        <v>23</v>
      </c>
      <c r="C2972" s="111"/>
      <c r="D2972" s="111"/>
      <c r="E2972" s="111"/>
    </row>
    <row r="2973" spans="1:5" x14ac:dyDescent="0.2">
      <c r="A2973" s="113">
        <v>37671</v>
      </c>
      <c r="B2973" s="111">
        <f t="shared" si="46"/>
        <v>23</v>
      </c>
      <c r="C2973" s="111"/>
      <c r="D2973" s="111"/>
      <c r="E2973" s="111"/>
    </row>
    <row r="2974" spans="1:5" x14ac:dyDescent="0.2">
      <c r="A2974" s="113">
        <v>37672</v>
      </c>
      <c r="B2974" s="111">
        <f t="shared" si="46"/>
        <v>23</v>
      </c>
      <c r="C2974" s="111"/>
      <c r="D2974" s="111"/>
      <c r="E2974" s="111"/>
    </row>
    <row r="2975" spans="1:5" x14ac:dyDescent="0.2">
      <c r="A2975" s="113">
        <v>37673</v>
      </c>
      <c r="B2975" s="111">
        <f t="shared" si="46"/>
        <v>23</v>
      </c>
      <c r="C2975" s="111"/>
      <c r="D2975" s="111"/>
      <c r="E2975" s="111"/>
    </row>
    <row r="2976" spans="1:5" x14ac:dyDescent="0.2">
      <c r="A2976" s="113">
        <v>37674</v>
      </c>
      <c r="B2976" s="111">
        <f t="shared" si="46"/>
        <v>23</v>
      </c>
      <c r="C2976" s="111"/>
      <c r="D2976" s="111"/>
      <c r="E2976" s="111"/>
    </row>
    <row r="2977" spans="1:5" x14ac:dyDescent="0.2">
      <c r="A2977" s="113">
        <v>37675</v>
      </c>
      <c r="B2977" s="111">
        <f t="shared" si="46"/>
        <v>24</v>
      </c>
      <c r="C2977" s="111"/>
      <c r="D2977" s="111"/>
      <c r="E2977" s="111"/>
    </row>
    <row r="2978" spans="1:5" x14ac:dyDescent="0.2">
      <c r="A2978" s="113">
        <v>37676</v>
      </c>
      <c r="B2978" s="111">
        <f t="shared" si="46"/>
        <v>24</v>
      </c>
      <c r="C2978" s="111"/>
      <c r="D2978" s="111"/>
      <c r="E2978" s="111"/>
    </row>
    <row r="2979" spans="1:5" x14ac:dyDescent="0.2">
      <c r="A2979" s="113">
        <v>37677</v>
      </c>
      <c r="B2979" s="111">
        <f t="shared" si="46"/>
        <v>24</v>
      </c>
      <c r="C2979" s="111"/>
      <c r="D2979" s="111"/>
      <c r="E2979" s="111"/>
    </row>
    <row r="2980" spans="1:5" x14ac:dyDescent="0.2">
      <c r="A2980" s="113">
        <v>37678</v>
      </c>
      <c r="B2980" s="111">
        <f t="shared" si="46"/>
        <v>24</v>
      </c>
      <c r="C2980" s="111"/>
      <c r="D2980" s="111"/>
      <c r="E2980" s="111"/>
    </row>
    <row r="2981" spans="1:5" x14ac:dyDescent="0.2">
      <c r="A2981" s="113">
        <v>37679</v>
      </c>
      <c r="B2981" s="111">
        <f t="shared" si="46"/>
        <v>24</v>
      </c>
      <c r="C2981" s="111"/>
      <c r="D2981" s="111"/>
      <c r="E2981" s="111"/>
    </row>
    <row r="2982" spans="1:5" x14ac:dyDescent="0.2">
      <c r="A2982" s="113">
        <v>37680</v>
      </c>
      <c r="B2982" s="111">
        <f t="shared" si="46"/>
        <v>24</v>
      </c>
      <c r="C2982" s="111"/>
      <c r="D2982" s="111"/>
      <c r="E2982" s="111"/>
    </row>
    <row r="2983" spans="1:5" x14ac:dyDescent="0.2">
      <c r="A2983" s="113">
        <v>37681</v>
      </c>
      <c r="B2983" s="111">
        <f t="shared" si="46"/>
        <v>24</v>
      </c>
      <c r="C2983" s="111"/>
      <c r="D2983" s="111"/>
      <c r="E2983" s="111"/>
    </row>
    <row r="2984" spans="1:5" x14ac:dyDescent="0.2">
      <c r="A2984" s="113">
        <v>37682</v>
      </c>
      <c r="B2984" s="111">
        <f t="shared" si="46"/>
        <v>31</v>
      </c>
      <c r="C2984" s="111"/>
      <c r="D2984" s="111"/>
      <c r="E2984" s="111"/>
    </row>
    <row r="2985" spans="1:5" x14ac:dyDescent="0.2">
      <c r="A2985" s="113">
        <v>37683</v>
      </c>
      <c r="B2985" s="111">
        <f t="shared" si="46"/>
        <v>31</v>
      </c>
      <c r="C2985" s="111"/>
      <c r="D2985" s="111"/>
      <c r="E2985" s="111"/>
    </row>
    <row r="2986" spans="1:5" x14ac:dyDescent="0.2">
      <c r="A2986" s="113">
        <v>37684</v>
      </c>
      <c r="B2986" s="111">
        <f t="shared" si="46"/>
        <v>31</v>
      </c>
      <c r="C2986" s="111"/>
      <c r="D2986" s="111"/>
      <c r="E2986" s="111"/>
    </row>
    <row r="2987" spans="1:5" x14ac:dyDescent="0.2">
      <c r="A2987" s="113">
        <v>37685</v>
      </c>
      <c r="B2987" s="111">
        <f t="shared" si="46"/>
        <v>31</v>
      </c>
      <c r="C2987" s="111"/>
      <c r="D2987" s="111"/>
      <c r="E2987" s="111"/>
    </row>
    <row r="2988" spans="1:5" x14ac:dyDescent="0.2">
      <c r="A2988" s="113">
        <v>37686</v>
      </c>
      <c r="B2988" s="111">
        <f t="shared" si="46"/>
        <v>31</v>
      </c>
      <c r="C2988" s="111"/>
      <c r="D2988" s="111"/>
      <c r="E2988" s="111"/>
    </row>
    <row r="2989" spans="1:5" x14ac:dyDescent="0.2">
      <c r="A2989" s="113">
        <v>37687</v>
      </c>
      <c r="B2989" s="111">
        <f t="shared" si="46"/>
        <v>31</v>
      </c>
      <c r="C2989" s="111"/>
      <c r="D2989" s="111"/>
      <c r="E2989" s="111"/>
    </row>
    <row r="2990" spans="1:5" x14ac:dyDescent="0.2">
      <c r="A2990" s="113">
        <v>37688</v>
      </c>
      <c r="B2990" s="111">
        <f t="shared" si="46"/>
        <v>31</v>
      </c>
      <c r="C2990" s="111"/>
      <c r="D2990" s="111"/>
      <c r="E2990" s="111"/>
    </row>
    <row r="2991" spans="1:5" x14ac:dyDescent="0.2">
      <c r="A2991" s="113">
        <v>37689</v>
      </c>
      <c r="B2991" s="111">
        <f t="shared" si="46"/>
        <v>32</v>
      </c>
      <c r="C2991" s="111"/>
      <c r="D2991" s="111"/>
      <c r="E2991" s="111"/>
    </row>
    <row r="2992" spans="1:5" x14ac:dyDescent="0.2">
      <c r="A2992" s="113">
        <v>37690</v>
      </c>
      <c r="B2992" s="111">
        <f t="shared" si="46"/>
        <v>32</v>
      </c>
      <c r="C2992" s="111"/>
      <c r="D2992" s="111"/>
      <c r="E2992" s="111"/>
    </row>
    <row r="2993" spans="1:5" x14ac:dyDescent="0.2">
      <c r="A2993" s="113">
        <v>37691</v>
      </c>
      <c r="B2993" s="111">
        <f t="shared" si="46"/>
        <v>32</v>
      </c>
      <c r="C2993" s="111"/>
      <c r="D2993" s="111"/>
      <c r="E2993" s="111"/>
    </row>
    <row r="2994" spans="1:5" x14ac:dyDescent="0.2">
      <c r="A2994" s="113">
        <v>37692</v>
      </c>
      <c r="B2994" s="111">
        <f t="shared" si="46"/>
        <v>32</v>
      </c>
      <c r="C2994" s="111"/>
      <c r="D2994" s="111"/>
      <c r="E2994" s="111"/>
    </row>
    <row r="2995" spans="1:5" x14ac:dyDescent="0.2">
      <c r="A2995" s="113">
        <v>37693</v>
      </c>
      <c r="B2995" s="111">
        <f t="shared" si="46"/>
        <v>32</v>
      </c>
      <c r="C2995" s="111"/>
      <c r="D2995" s="111"/>
      <c r="E2995" s="111"/>
    </row>
    <row r="2996" spans="1:5" x14ac:dyDescent="0.2">
      <c r="A2996" s="113">
        <v>37694</v>
      </c>
      <c r="B2996" s="111">
        <f t="shared" si="46"/>
        <v>32</v>
      </c>
      <c r="C2996" s="111"/>
      <c r="D2996" s="111"/>
      <c r="E2996" s="111"/>
    </row>
    <row r="2997" spans="1:5" x14ac:dyDescent="0.2">
      <c r="A2997" s="113">
        <v>37695</v>
      </c>
      <c r="B2997" s="111">
        <f t="shared" si="46"/>
        <v>32</v>
      </c>
      <c r="C2997" s="111"/>
      <c r="D2997" s="111"/>
      <c r="E2997" s="111"/>
    </row>
    <row r="2998" spans="1:5" x14ac:dyDescent="0.2">
      <c r="A2998" s="113">
        <v>37696</v>
      </c>
      <c r="B2998" s="111">
        <f t="shared" si="46"/>
        <v>33</v>
      </c>
      <c r="C2998" s="111"/>
      <c r="D2998" s="111"/>
      <c r="E2998" s="111"/>
    </row>
    <row r="2999" spans="1:5" x14ac:dyDescent="0.2">
      <c r="A2999" s="113">
        <v>37697</v>
      </c>
      <c r="B2999" s="111">
        <f t="shared" si="46"/>
        <v>33</v>
      </c>
      <c r="C2999" s="111"/>
      <c r="D2999" s="111"/>
      <c r="E2999" s="111"/>
    </row>
    <row r="3000" spans="1:5" x14ac:dyDescent="0.2">
      <c r="A3000" s="113">
        <v>37698</v>
      </c>
      <c r="B3000" s="111">
        <f t="shared" si="46"/>
        <v>33</v>
      </c>
      <c r="C3000" s="111"/>
      <c r="D3000" s="111"/>
      <c r="E3000" s="111"/>
    </row>
    <row r="3001" spans="1:5" x14ac:dyDescent="0.2">
      <c r="A3001" s="113">
        <v>37699</v>
      </c>
      <c r="B3001" s="111">
        <f t="shared" si="46"/>
        <v>33</v>
      </c>
      <c r="C3001" s="111"/>
      <c r="D3001" s="111"/>
      <c r="E3001" s="111"/>
    </row>
    <row r="3002" spans="1:5" x14ac:dyDescent="0.2">
      <c r="A3002" s="113">
        <v>37700</v>
      </c>
      <c r="B3002" s="111">
        <f t="shared" si="46"/>
        <v>33</v>
      </c>
      <c r="C3002" s="111"/>
      <c r="D3002" s="111"/>
      <c r="E3002" s="111"/>
    </row>
    <row r="3003" spans="1:5" x14ac:dyDescent="0.2">
      <c r="A3003" s="113">
        <v>37701</v>
      </c>
      <c r="B3003" s="111">
        <f t="shared" si="46"/>
        <v>33</v>
      </c>
      <c r="C3003" s="111"/>
      <c r="D3003" s="111"/>
      <c r="E3003" s="111"/>
    </row>
    <row r="3004" spans="1:5" x14ac:dyDescent="0.2">
      <c r="A3004" s="113">
        <v>37702</v>
      </c>
      <c r="B3004" s="111">
        <f t="shared" si="46"/>
        <v>33</v>
      </c>
      <c r="C3004" s="111"/>
      <c r="D3004" s="111"/>
      <c r="E3004" s="111"/>
    </row>
    <row r="3005" spans="1:5" x14ac:dyDescent="0.2">
      <c r="A3005" s="113">
        <v>37703</v>
      </c>
      <c r="B3005" s="111">
        <f t="shared" si="46"/>
        <v>34</v>
      </c>
      <c r="C3005" s="111"/>
      <c r="D3005" s="111"/>
      <c r="E3005" s="111"/>
    </row>
    <row r="3006" spans="1:5" x14ac:dyDescent="0.2">
      <c r="A3006" s="113">
        <v>37704</v>
      </c>
      <c r="B3006" s="111">
        <f t="shared" si="46"/>
        <v>34</v>
      </c>
      <c r="C3006" s="111"/>
      <c r="D3006" s="111"/>
      <c r="E3006" s="111"/>
    </row>
    <row r="3007" spans="1:5" x14ac:dyDescent="0.2">
      <c r="A3007" s="113">
        <v>37705</v>
      </c>
      <c r="B3007" s="111">
        <f t="shared" si="46"/>
        <v>34</v>
      </c>
      <c r="C3007" s="111"/>
      <c r="D3007" s="111"/>
      <c r="E3007" s="111"/>
    </row>
    <row r="3008" spans="1:5" x14ac:dyDescent="0.2">
      <c r="A3008" s="113">
        <v>37706</v>
      </c>
      <c r="B3008" s="111">
        <f t="shared" si="46"/>
        <v>34</v>
      </c>
      <c r="C3008" s="111"/>
      <c r="D3008" s="111"/>
      <c r="E3008" s="111"/>
    </row>
    <row r="3009" spans="1:5" x14ac:dyDescent="0.2">
      <c r="A3009" s="113">
        <v>37707</v>
      </c>
      <c r="B3009" s="111">
        <f t="shared" si="46"/>
        <v>34</v>
      </c>
      <c r="C3009" s="111"/>
      <c r="D3009" s="111"/>
      <c r="E3009" s="111"/>
    </row>
    <row r="3010" spans="1:5" x14ac:dyDescent="0.2">
      <c r="A3010" s="113">
        <v>37708</v>
      </c>
      <c r="B3010" s="111">
        <f t="shared" ref="B3010:B3073" si="47">VLOOKUP(WEEKNUM(A3010),$D$3:$E$58,2)</f>
        <v>34</v>
      </c>
      <c r="C3010" s="111"/>
      <c r="D3010" s="111"/>
      <c r="E3010" s="111"/>
    </row>
    <row r="3011" spans="1:5" x14ac:dyDescent="0.2">
      <c r="A3011" s="113">
        <v>37709</v>
      </c>
      <c r="B3011" s="111">
        <f t="shared" si="47"/>
        <v>34</v>
      </c>
      <c r="C3011" s="111"/>
      <c r="D3011" s="111"/>
      <c r="E3011" s="111"/>
    </row>
    <row r="3012" spans="1:5" x14ac:dyDescent="0.2">
      <c r="A3012" s="113">
        <v>37710</v>
      </c>
      <c r="B3012" s="111">
        <f t="shared" si="47"/>
        <v>41</v>
      </c>
      <c r="C3012" s="111"/>
      <c r="D3012" s="111"/>
      <c r="E3012" s="111"/>
    </row>
    <row r="3013" spans="1:5" x14ac:dyDescent="0.2">
      <c r="A3013" s="113">
        <v>37711</v>
      </c>
      <c r="B3013" s="111">
        <f t="shared" si="47"/>
        <v>41</v>
      </c>
      <c r="C3013" s="111"/>
      <c r="D3013" s="111"/>
      <c r="E3013" s="111"/>
    </row>
    <row r="3014" spans="1:5" x14ac:dyDescent="0.2">
      <c r="A3014" s="113">
        <v>37712</v>
      </c>
      <c r="B3014" s="111">
        <f t="shared" si="47"/>
        <v>41</v>
      </c>
      <c r="C3014" s="111"/>
      <c r="D3014" s="111"/>
      <c r="E3014" s="111"/>
    </row>
    <row r="3015" spans="1:5" x14ac:dyDescent="0.2">
      <c r="A3015" s="113">
        <v>37713</v>
      </c>
      <c r="B3015" s="111">
        <f t="shared" si="47"/>
        <v>41</v>
      </c>
      <c r="C3015" s="111"/>
      <c r="D3015" s="111"/>
      <c r="E3015" s="111"/>
    </row>
    <row r="3016" spans="1:5" x14ac:dyDescent="0.2">
      <c r="A3016" s="113">
        <v>37714</v>
      </c>
      <c r="B3016" s="111">
        <f t="shared" si="47"/>
        <v>41</v>
      </c>
      <c r="C3016" s="111"/>
      <c r="D3016" s="111"/>
      <c r="E3016" s="111"/>
    </row>
    <row r="3017" spans="1:5" x14ac:dyDescent="0.2">
      <c r="A3017" s="113">
        <v>37715</v>
      </c>
      <c r="B3017" s="111">
        <f t="shared" si="47"/>
        <v>41</v>
      </c>
      <c r="C3017" s="111"/>
      <c r="D3017" s="111"/>
      <c r="E3017" s="111"/>
    </row>
    <row r="3018" spans="1:5" x14ac:dyDescent="0.2">
      <c r="A3018" s="113">
        <v>37716</v>
      </c>
      <c r="B3018" s="111">
        <f t="shared" si="47"/>
        <v>41</v>
      </c>
      <c r="C3018" s="111"/>
      <c r="D3018" s="111"/>
      <c r="E3018" s="111"/>
    </row>
    <row r="3019" spans="1:5" x14ac:dyDescent="0.2">
      <c r="A3019" s="113">
        <v>37717</v>
      </c>
      <c r="B3019" s="111">
        <f t="shared" si="47"/>
        <v>42</v>
      </c>
      <c r="C3019" s="111"/>
      <c r="D3019" s="111"/>
      <c r="E3019" s="111"/>
    </row>
    <row r="3020" spans="1:5" x14ac:dyDescent="0.2">
      <c r="A3020" s="113">
        <v>37718</v>
      </c>
      <c r="B3020" s="111">
        <f t="shared" si="47"/>
        <v>42</v>
      </c>
      <c r="C3020" s="111"/>
      <c r="D3020" s="111"/>
      <c r="E3020" s="111"/>
    </row>
    <row r="3021" spans="1:5" x14ac:dyDescent="0.2">
      <c r="A3021" s="113">
        <v>37719</v>
      </c>
      <c r="B3021" s="111">
        <f t="shared" si="47"/>
        <v>42</v>
      </c>
      <c r="C3021" s="111"/>
      <c r="D3021" s="111"/>
      <c r="E3021" s="111"/>
    </row>
    <row r="3022" spans="1:5" x14ac:dyDescent="0.2">
      <c r="A3022" s="113">
        <v>37720</v>
      </c>
      <c r="B3022" s="111">
        <f t="shared" si="47"/>
        <v>42</v>
      </c>
      <c r="C3022" s="111"/>
      <c r="D3022" s="111"/>
      <c r="E3022" s="111"/>
    </row>
    <row r="3023" spans="1:5" x14ac:dyDescent="0.2">
      <c r="A3023" s="113">
        <v>37721</v>
      </c>
      <c r="B3023" s="111">
        <f t="shared" si="47"/>
        <v>42</v>
      </c>
      <c r="C3023" s="111"/>
      <c r="D3023" s="111"/>
      <c r="E3023" s="111"/>
    </row>
    <row r="3024" spans="1:5" x14ac:dyDescent="0.2">
      <c r="A3024" s="113">
        <v>37722</v>
      </c>
      <c r="B3024" s="111">
        <f t="shared" si="47"/>
        <v>42</v>
      </c>
      <c r="C3024" s="111"/>
      <c r="D3024" s="111"/>
      <c r="E3024" s="111"/>
    </row>
    <row r="3025" spans="1:5" x14ac:dyDescent="0.2">
      <c r="A3025" s="113">
        <v>37723</v>
      </c>
      <c r="B3025" s="111">
        <f t="shared" si="47"/>
        <v>42</v>
      </c>
      <c r="C3025" s="111"/>
      <c r="D3025" s="111"/>
      <c r="E3025" s="111"/>
    </row>
    <row r="3026" spans="1:5" x14ac:dyDescent="0.2">
      <c r="A3026" s="113">
        <v>37724</v>
      </c>
      <c r="B3026" s="111">
        <f t="shared" si="47"/>
        <v>43</v>
      </c>
      <c r="C3026" s="111"/>
      <c r="D3026" s="111"/>
      <c r="E3026" s="111"/>
    </row>
    <row r="3027" spans="1:5" x14ac:dyDescent="0.2">
      <c r="A3027" s="113">
        <v>37725</v>
      </c>
      <c r="B3027" s="111">
        <f t="shared" si="47"/>
        <v>43</v>
      </c>
      <c r="C3027" s="111"/>
      <c r="D3027" s="111"/>
      <c r="E3027" s="111"/>
    </row>
    <row r="3028" spans="1:5" x14ac:dyDescent="0.2">
      <c r="A3028" s="113">
        <v>37726</v>
      </c>
      <c r="B3028" s="111">
        <f t="shared" si="47"/>
        <v>43</v>
      </c>
      <c r="C3028" s="111"/>
      <c r="D3028" s="111"/>
      <c r="E3028" s="111"/>
    </row>
    <row r="3029" spans="1:5" x14ac:dyDescent="0.2">
      <c r="A3029" s="113">
        <v>37727</v>
      </c>
      <c r="B3029" s="111">
        <f t="shared" si="47"/>
        <v>43</v>
      </c>
      <c r="C3029" s="111"/>
      <c r="D3029" s="111"/>
      <c r="E3029" s="111"/>
    </row>
    <row r="3030" spans="1:5" x14ac:dyDescent="0.2">
      <c r="A3030" s="113">
        <v>37728</v>
      </c>
      <c r="B3030" s="111">
        <f t="shared" si="47"/>
        <v>43</v>
      </c>
      <c r="C3030" s="111"/>
      <c r="D3030" s="111"/>
      <c r="E3030" s="111"/>
    </row>
    <row r="3031" spans="1:5" x14ac:dyDescent="0.2">
      <c r="A3031" s="113">
        <v>37729</v>
      </c>
      <c r="B3031" s="111">
        <f t="shared" si="47"/>
        <v>43</v>
      </c>
      <c r="C3031" s="111"/>
      <c r="D3031" s="111"/>
      <c r="E3031" s="111"/>
    </row>
    <row r="3032" spans="1:5" x14ac:dyDescent="0.2">
      <c r="A3032" s="113">
        <v>37730</v>
      </c>
      <c r="B3032" s="111">
        <f t="shared" si="47"/>
        <v>43</v>
      </c>
      <c r="C3032" s="111"/>
      <c r="D3032" s="111"/>
      <c r="E3032" s="111"/>
    </row>
    <row r="3033" spans="1:5" x14ac:dyDescent="0.2">
      <c r="A3033" s="113">
        <v>37731</v>
      </c>
      <c r="B3033" s="111">
        <f t="shared" si="47"/>
        <v>44</v>
      </c>
      <c r="C3033" s="111"/>
      <c r="D3033" s="111"/>
      <c r="E3033" s="111"/>
    </row>
    <row r="3034" spans="1:5" x14ac:dyDescent="0.2">
      <c r="A3034" s="113">
        <v>37732</v>
      </c>
      <c r="B3034" s="111">
        <f t="shared" si="47"/>
        <v>44</v>
      </c>
      <c r="C3034" s="111"/>
      <c r="D3034" s="111"/>
      <c r="E3034" s="111"/>
    </row>
    <row r="3035" spans="1:5" x14ac:dyDescent="0.2">
      <c r="A3035" s="113">
        <v>37733</v>
      </c>
      <c r="B3035" s="111">
        <f t="shared" si="47"/>
        <v>44</v>
      </c>
      <c r="C3035" s="111"/>
      <c r="D3035" s="111"/>
      <c r="E3035" s="111"/>
    </row>
    <row r="3036" spans="1:5" x14ac:dyDescent="0.2">
      <c r="A3036" s="113">
        <v>37734</v>
      </c>
      <c r="B3036" s="111">
        <f t="shared" si="47"/>
        <v>44</v>
      </c>
      <c r="C3036" s="111"/>
      <c r="D3036" s="111"/>
      <c r="E3036" s="111"/>
    </row>
    <row r="3037" spans="1:5" x14ac:dyDescent="0.2">
      <c r="A3037" s="113">
        <v>37735</v>
      </c>
      <c r="B3037" s="111">
        <f t="shared" si="47"/>
        <v>44</v>
      </c>
      <c r="C3037" s="111"/>
      <c r="D3037" s="111"/>
      <c r="E3037" s="111"/>
    </row>
    <row r="3038" spans="1:5" x14ac:dyDescent="0.2">
      <c r="A3038" s="113">
        <v>37736</v>
      </c>
      <c r="B3038" s="111">
        <f t="shared" si="47"/>
        <v>44</v>
      </c>
      <c r="C3038" s="111"/>
      <c r="D3038" s="111"/>
      <c r="E3038" s="111"/>
    </row>
    <row r="3039" spans="1:5" x14ac:dyDescent="0.2">
      <c r="A3039" s="113">
        <v>37737</v>
      </c>
      <c r="B3039" s="111">
        <f t="shared" si="47"/>
        <v>44</v>
      </c>
      <c r="C3039" s="111"/>
      <c r="D3039" s="111"/>
      <c r="E3039" s="111"/>
    </row>
    <row r="3040" spans="1:5" x14ac:dyDescent="0.2">
      <c r="A3040" s="113">
        <v>37738</v>
      </c>
      <c r="B3040" s="111">
        <f t="shared" si="47"/>
        <v>45</v>
      </c>
      <c r="C3040" s="111"/>
      <c r="D3040" s="111"/>
      <c r="E3040" s="111"/>
    </row>
    <row r="3041" spans="1:5" x14ac:dyDescent="0.2">
      <c r="A3041" s="113">
        <v>37739</v>
      </c>
      <c r="B3041" s="111">
        <f t="shared" si="47"/>
        <v>45</v>
      </c>
      <c r="C3041" s="111"/>
      <c r="D3041" s="111"/>
      <c r="E3041" s="111"/>
    </row>
    <row r="3042" spans="1:5" x14ac:dyDescent="0.2">
      <c r="A3042" s="113">
        <v>37740</v>
      </c>
      <c r="B3042" s="111">
        <f t="shared" si="47"/>
        <v>45</v>
      </c>
      <c r="C3042" s="111"/>
      <c r="D3042" s="111"/>
      <c r="E3042" s="111"/>
    </row>
    <row r="3043" spans="1:5" x14ac:dyDescent="0.2">
      <c r="A3043" s="113">
        <v>37741</v>
      </c>
      <c r="B3043" s="111">
        <f t="shared" si="47"/>
        <v>45</v>
      </c>
      <c r="C3043" s="111"/>
      <c r="D3043" s="111"/>
      <c r="E3043" s="111"/>
    </row>
    <row r="3044" spans="1:5" x14ac:dyDescent="0.2">
      <c r="A3044" s="113">
        <v>37742</v>
      </c>
      <c r="B3044" s="111">
        <f t="shared" si="47"/>
        <v>45</v>
      </c>
      <c r="C3044" s="111"/>
      <c r="D3044" s="111"/>
      <c r="E3044" s="111"/>
    </row>
    <row r="3045" spans="1:5" x14ac:dyDescent="0.2">
      <c r="A3045" s="113">
        <v>37743</v>
      </c>
      <c r="B3045" s="111">
        <f t="shared" si="47"/>
        <v>45</v>
      </c>
      <c r="C3045" s="111"/>
      <c r="D3045" s="111"/>
      <c r="E3045" s="111"/>
    </row>
    <row r="3046" spans="1:5" x14ac:dyDescent="0.2">
      <c r="A3046" s="113">
        <v>37744</v>
      </c>
      <c r="B3046" s="111">
        <f t="shared" si="47"/>
        <v>45</v>
      </c>
      <c r="C3046" s="111"/>
      <c r="D3046" s="111"/>
      <c r="E3046" s="111"/>
    </row>
    <row r="3047" spans="1:5" x14ac:dyDescent="0.2">
      <c r="A3047" s="113">
        <v>37745</v>
      </c>
      <c r="B3047" s="111">
        <f t="shared" si="47"/>
        <v>51</v>
      </c>
      <c r="C3047" s="111"/>
      <c r="D3047" s="111"/>
      <c r="E3047" s="111"/>
    </row>
    <row r="3048" spans="1:5" x14ac:dyDescent="0.2">
      <c r="A3048" s="113">
        <v>37746</v>
      </c>
      <c r="B3048" s="111">
        <f t="shared" si="47"/>
        <v>51</v>
      </c>
      <c r="C3048" s="111"/>
      <c r="D3048" s="111"/>
      <c r="E3048" s="111"/>
    </row>
    <row r="3049" spans="1:5" x14ac:dyDescent="0.2">
      <c r="A3049" s="113">
        <v>37747</v>
      </c>
      <c r="B3049" s="111">
        <f t="shared" si="47"/>
        <v>51</v>
      </c>
      <c r="C3049" s="111"/>
      <c r="D3049" s="111"/>
      <c r="E3049" s="111"/>
    </row>
    <row r="3050" spans="1:5" x14ac:dyDescent="0.2">
      <c r="A3050" s="113">
        <v>37748</v>
      </c>
      <c r="B3050" s="111">
        <f t="shared" si="47"/>
        <v>51</v>
      </c>
      <c r="C3050" s="111"/>
      <c r="D3050" s="111"/>
      <c r="E3050" s="111"/>
    </row>
    <row r="3051" spans="1:5" x14ac:dyDescent="0.2">
      <c r="A3051" s="113">
        <v>37749</v>
      </c>
      <c r="B3051" s="111">
        <f t="shared" si="47"/>
        <v>51</v>
      </c>
      <c r="C3051" s="111"/>
      <c r="D3051" s="111"/>
      <c r="E3051" s="111"/>
    </row>
    <row r="3052" spans="1:5" x14ac:dyDescent="0.2">
      <c r="A3052" s="113">
        <v>37750</v>
      </c>
      <c r="B3052" s="111">
        <f t="shared" si="47"/>
        <v>51</v>
      </c>
      <c r="C3052" s="111"/>
      <c r="D3052" s="111"/>
      <c r="E3052" s="111"/>
    </row>
    <row r="3053" spans="1:5" x14ac:dyDescent="0.2">
      <c r="A3053" s="113">
        <v>37751</v>
      </c>
      <c r="B3053" s="111">
        <f t="shared" si="47"/>
        <v>51</v>
      </c>
      <c r="C3053" s="111"/>
      <c r="D3053" s="111"/>
      <c r="E3053" s="111"/>
    </row>
    <row r="3054" spans="1:5" x14ac:dyDescent="0.2">
      <c r="A3054" s="113">
        <v>37752</v>
      </c>
      <c r="B3054" s="111">
        <f t="shared" si="47"/>
        <v>52</v>
      </c>
      <c r="C3054" s="111"/>
      <c r="D3054" s="111"/>
      <c r="E3054" s="111"/>
    </row>
    <row r="3055" spans="1:5" x14ac:dyDescent="0.2">
      <c r="A3055" s="113">
        <v>37753</v>
      </c>
      <c r="B3055" s="111">
        <f t="shared" si="47"/>
        <v>52</v>
      </c>
      <c r="C3055" s="111"/>
      <c r="D3055" s="111"/>
      <c r="E3055" s="111"/>
    </row>
    <row r="3056" spans="1:5" x14ac:dyDescent="0.2">
      <c r="A3056" s="113">
        <v>37754</v>
      </c>
      <c r="B3056" s="111">
        <f t="shared" si="47"/>
        <v>52</v>
      </c>
      <c r="C3056" s="111"/>
      <c r="D3056" s="111"/>
      <c r="E3056" s="111"/>
    </row>
    <row r="3057" spans="1:5" x14ac:dyDescent="0.2">
      <c r="A3057" s="113">
        <v>37755</v>
      </c>
      <c r="B3057" s="111">
        <f t="shared" si="47"/>
        <v>52</v>
      </c>
      <c r="C3057" s="111"/>
      <c r="D3057" s="111"/>
      <c r="E3057" s="111"/>
    </row>
    <row r="3058" spans="1:5" x14ac:dyDescent="0.2">
      <c r="A3058" s="113">
        <v>37756</v>
      </c>
      <c r="B3058" s="111">
        <f t="shared" si="47"/>
        <v>52</v>
      </c>
      <c r="C3058" s="111"/>
      <c r="D3058" s="111"/>
      <c r="E3058" s="111"/>
    </row>
    <row r="3059" spans="1:5" x14ac:dyDescent="0.2">
      <c r="A3059" s="113">
        <v>37757</v>
      </c>
      <c r="B3059" s="111">
        <f t="shared" si="47"/>
        <v>52</v>
      </c>
      <c r="C3059" s="111"/>
      <c r="D3059" s="111"/>
      <c r="E3059" s="111"/>
    </row>
    <row r="3060" spans="1:5" x14ac:dyDescent="0.2">
      <c r="A3060" s="113">
        <v>37758</v>
      </c>
      <c r="B3060" s="111">
        <f t="shared" si="47"/>
        <v>52</v>
      </c>
      <c r="C3060" s="111"/>
      <c r="D3060" s="111"/>
      <c r="E3060" s="111"/>
    </row>
    <row r="3061" spans="1:5" x14ac:dyDescent="0.2">
      <c r="A3061" s="113">
        <v>37759</v>
      </c>
      <c r="B3061" s="111">
        <f t="shared" si="47"/>
        <v>53</v>
      </c>
      <c r="C3061" s="111"/>
      <c r="D3061" s="111"/>
      <c r="E3061" s="111"/>
    </row>
    <row r="3062" spans="1:5" x14ac:dyDescent="0.2">
      <c r="A3062" s="113">
        <v>37760</v>
      </c>
      <c r="B3062" s="111">
        <f t="shared" si="47"/>
        <v>53</v>
      </c>
      <c r="C3062" s="111"/>
      <c r="D3062" s="111"/>
      <c r="E3062" s="111"/>
    </row>
    <row r="3063" spans="1:5" x14ac:dyDescent="0.2">
      <c r="A3063" s="113">
        <v>37761</v>
      </c>
      <c r="B3063" s="111">
        <f t="shared" si="47"/>
        <v>53</v>
      </c>
      <c r="C3063" s="111"/>
      <c r="D3063" s="111"/>
      <c r="E3063" s="111"/>
    </row>
    <row r="3064" spans="1:5" x14ac:dyDescent="0.2">
      <c r="A3064" s="113">
        <v>37762</v>
      </c>
      <c r="B3064" s="111">
        <f t="shared" si="47"/>
        <v>53</v>
      </c>
      <c r="C3064" s="111"/>
      <c r="D3064" s="111"/>
      <c r="E3064" s="111"/>
    </row>
    <row r="3065" spans="1:5" x14ac:dyDescent="0.2">
      <c r="A3065" s="113">
        <v>37763</v>
      </c>
      <c r="B3065" s="111">
        <f t="shared" si="47"/>
        <v>53</v>
      </c>
      <c r="C3065" s="111"/>
      <c r="D3065" s="111"/>
      <c r="E3065" s="111"/>
    </row>
    <row r="3066" spans="1:5" x14ac:dyDescent="0.2">
      <c r="A3066" s="113">
        <v>37764</v>
      </c>
      <c r="B3066" s="111">
        <f t="shared" si="47"/>
        <v>53</v>
      </c>
      <c r="C3066" s="111"/>
      <c r="D3066" s="111"/>
      <c r="E3066" s="111"/>
    </row>
    <row r="3067" spans="1:5" x14ac:dyDescent="0.2">
      <c r="A3067" s="113">
        <v>37765</v>
      </c>
      <c r="B3067" s="111">
        <f t="shared" si="47"/>
        <v>53</v>
      </c>
      <c r="C3067" s="111"/>
      <c r="D3067" s="111"/>
      <c r="E3067" s="111"/>
    </row>
    <row r="3068" spans="1:5" x14ac:dyDescent="0.2">
      <c r="A3068" s="113">
        <v>37766</v>
      </c>
      <c r="B3068" s="111">
        <f t="shared" si="47"/>
        <v>54</v>
      </c>
      <c r="C3068" s="111"/>
      <c r="D3068" s="111"/>
      <c r="E3068" s="111"/>
    </row>
    <row r="3069" spans="1:5" x14ac:dyDescent="0.2">
      <c r="A3069" s="113">
        <v>37767</v>
      </c>
      <c r="B3069" s="111">
        <f t="shared" si="47"/>
        <v>54</v>
      </c>
      <c r="C3069" s="111"/>
      <c r="D3069" s="111"/>
      <c r="E3069" s="111"/>
    </row>
    <row r="3070" spans="1:5" x14ac:dyDescent="0.2">
      <c r="A3070" s="113">
        <v>37768</v>
      </c>
      <c r="B3070" s="111">
        <f t="shared" si="47"/>
        <v>54</v>
      </c>
      <c r="C3070" s="111"/>
      <c r="D3070" s="111"/>
      <c r="E3070" s="111"/>
    </row>
    <row r="3071" spans="1:5" x14ac:dyDescent="0.2">
      <c r="A3071" s="113">
        <v>37769</v>
      </c>
      <c r="B3071" s="111">
        <f t="shared" si="47"/>
        <v>54</v>
      </c>
      <c r="C3071" s="111"/>
      <c r="D3071" s="111"/>
      <c r="E3071" s="111"/>
    </row>
    <row r="3072" spans="1:5" x14ac:dyDescent="0.2">
      <c r="A3072" s="113">
        <v>37770</v>
      </c>
      <c r="B3072" s="111">
        <f t="shared" si="47"/>
        <v>54</v>
      </c>
      <c r="C3072" s="111"/>
      <c r="D3072" s="111"/>
      <c r="E3072" s="111"/>
    </row>
    <row r="3073" spans="1:5" x14ac:dyDescent="0.2">
      <c r="A3073" s="113">
        <v>37771</v>
      </c>
      <c r="B3073" s="111">
        <f t="shared" si="47"/>
        <v>54</v>
      </c>
      <c r="C3073" s="111"/>
      <c r="D3073" s="111"/>
      <c r="E3073" s="111"/>
    </row>
    <row r="3074" spans="1:5" x14ac:dyDescent="0.2">
      <c r="A3074" s="113">
        <v>37772</v>
      </c>
      <c r="B3074" s="111">
        <f t="shared" ref="B3074:B3137" si="48">VLOOKUP(WEEKNUM(A3074),$D$3:$E$58,2)</f>
        <v>54</v>
      </c>
      <c r="C3074" s="111"/>
      <c r="D3074" s="111"/>
      <c r="E3074" s="111"/>
    </row>
    <row r="3075" spans="1:5" x14ac:dyDescent="0.2">
      <c r="A3075" s="113">
        <v>37773</v>
      </c>
      <c r="B3075" s="111">
        <f t="shared" si="48"/>
        <v>61</v>
      </c>
      <c r="C3075" s="111"/>
      <c r="D3075" s="111"/>
      <c r="E3075" s="111"/>
    </row>
    <row r="3076" spans="1:5" x14ac:dyDescent="0.2">
      <c r="A3076" s="113">
        <v>37774</v>
      </c>
      <c r="B3076" s="111">
        <f t="shared" si="48"/>
        <v>61</v>
      </c>
      <c r="C3076" s="111"/>
      <c r="D3076" s="111"/>
      <c r="E3076" s="111"/>
    </row>
    <row r="3077" spans="1:5" x14ac:dyDescent="0.2">
      <c r="A3077" s="113">
        <v>37775</v>
      </c>
      <c r="B3077" s="111">
        <f t="shared" si="48"/>
        <v>61</v>
      </c>
      <c r="C3077" s="111"/>
      <c r="D3077" s="111"/>
      <c r="E3077" s="111"/>
    </row>
    <row r="3078" spans="1:5" x14ac:dyDescent="0.2">
      <c r="A3078" s="113">
        <v>37776</v>
      </c>
      <c r="B3078" s="111">
        <f t="shared" si="48"/>
        <v>61</v>
      </c>
      <c r="C3078" s="111"/>
      <c r="D3078" s="111"/>
      <c r="E3078" s="111"/>
    </row>
    <row r="3079" spans="1:5" x14ac:dyDescent="0.2">
      <c r="A3079" s="113">
        <v>37777</v>
      </c>
      <c r="B3079" s="111">
        <f t="shared" si="48"/>
        <v>61</v>
      </c>
      <c r="C3079" s="111"/>
      <c r="D3079" s="111"/>
      <c r="E3079" s="111"/>
    </row>
    <row r="3080" spans="1:5" x14ac:dyDescent="0.2">
      <c r="A3080" s="113">
        <v>37778</v>
      </c>
      <c r="B3080" s="111">
        <f t="shared" si="48"/>
        <v>61</v>
      </c>
      <c r="C3080" s="111"/>
      <c r="D3080" s="111"/>
      <c r="E3080" s="111"/>
    </row>
    <row r="3081" spans="1:5" x14ac:dyDescent="0.2">
      <c r="A3081" s="113">
        <v>37779</v>
      </c>
      <c r="B3081" s="111">
        <f t="shared" si="48"/>
        <v>61</v>
      </c>
      <c r="C3081" s="111"/>
      <c r="D3081" s="111"/>
      <c r="E3081" s="111"/>
    </row>
    <row r="3082" spans="1:5" x14ac:dyDescent="0.2">
      <c r="A3082" s="113">
        <v>37780</v>
      </c>
      <c r="B3082" s="111">
        <f t="shared" si="48"/>
        <v>62</v>
      </c>
      <c r="C3082" s="111"/>
      <c r="D3082" s="111"/>
      <c r="E3082" s="111"/>
    </row>
    <row r="3083" spans="1:5" x14ac:dyDescent="0.2">
      <c r="A3083" s="113">
        <v>37781</v>
      </c>
      <c r="B3083" s="111">
        <f t="shared" si="48"/>
        <v>62</v>
      </c>
      <c r="C3083" s="111"/>
      <c r="D3083" s="111"/>
      <c r="E3083" s="111"/>
    </row>
    <row r="3084" spans="1:5" x14ac:dyDescent="0.2">
      <c r="A3084" s="113">
        <v>37782</v>
      </c>
      <c r="B3084" s="111">
        <f t="shared" si="48"/>
        <v>62</v>
      </c>
      <c r="C3084" s="111"/>
      <c r="D3084" s="111"/>
      <c r="E3084" s="111"/>
    </row>
    <row r="3085" spans="1:5" x14ac:dyDescent="0.2">
      <c r="A3085" s="113">
        <v>37783</v>
      </c>
      <c r="B3085" s="111">
        <f t="shared" si="48"/>
        <v>62</v>
      </c>
      <c r="C3085" s="111"/>
      <c r="D3085" s="111"/>
      <c r="E3085" s="111"/>
    </row>
    <row r="3086" spans="1:5" x14ac:dyDescent="0.2">
      <c r="A3086" s="113">
        <v>37784</v>
      </c>
      <c r="B3086" s="111">
        <f t="shared" si="48"/>
        <v>62</v>
      </c>
      <c r="C3086" s="111"/>
      <c r="D3086" s="111"/>
      <c r="E3086" s="111"/>
    </row>
    <row r="3087" spans="1:5" x14ac:dyDescent="0.2">
      <c r="A3087" s="113">
        <v>37785</v>
      </c>
      <c r="B3087" s="111">
        <f t="shared" si="48"/>
        <v>62</v>
      </c>
      <c r="C3087" s="111"/>
      <c r="D3087" s="111"/>
      <c r="E3087" s="111"/>
    </row>
    <row r="3088" spans="1:5" x14ac:dyDescent="0.2">
      <c r="A3088" s="113">
        <v>37786</v>
      </c>
      <c r="B3088" s="111">
        <f t="shared" si="48"/>
        <v>62</v>
      </c>
      <c r="C3088" s="111"/>
      <c r="D3088" s="111"/>
      <c r="E3088" s="111"/>
    </row>
    <row r="3089" spans="1:5" x14ac:dyDescent="0.2">
      <c r="A3089" s="113">
        <v>37787</v>
      </c>
      <c r="B3089" s="111">
        <f t="shared" si="48"/>
        <v>63</v>
      </c>
      <c r="C3089" s="111"/>
      <c r="D3089" s="111"/>
      <c r="E3089" s="111"/>
    </row>
    <row r="3090" spans="1:5" x14ac:dyDescent="0.2">
      <c r="A3090" s="113">
        <v>37788</v>
      </c>
      <c r="B3090" s="111">
        <f t="shared" si="48"/>
        <v>63</v>
      </c>
      <c r="C3090" s="111"/>
      <c r="D3090" s="111"/>
      <c r="E3090" s="111"/>
    </row>
    <row r="3091" spans="1:5" x14ac:dyDescent="0.2">
      <c r="A3091" s="113">
        <v>37789</v>
      </c>
      <c r="B3091" s="111">
        <f t="shared" si="48"/>
        <v>63</v>
      </c>
      <c r="C3091" s="111"/>
      <c r="D3091" s="111"/>
      <c r="E3091" s="111"/>
    </row>
    <row r="3092" spans="1:5" x14ac:dyDescent="0.2">
      <c r="A3092" s="113">
        <v>37790</v>
      </c>
      <c r="B3092" s="111">
        <f t="shared" si="48"/>
        <v>63</v>
      </c>
      <c r="C3092" s="111"/>
      <c r="D3092" s="111"/>
      <c r="E3092" s="111"/>
    </row>
    <row r="3093" spans="1:5" x14ac:dyDescent="0.2">
      <c r="A3093" s="113">
        <v>37791</v>
      </c>
      <c r="B3093" s="111">
        <f t="shared" si="48"/>
        <v>63</v>
      </c>
      <c r="C3093" s="111"/>
      <c r="D3093" s="111"/>
      <c r="E3093" s="111"/>
    </row>
    <row r="3094" spans="1:5" x14ac:dyDescent="0.2">
      <c r="A3094" s="113">
        <v>37792</v>
      </c>
      <c r="B3094" s="111">
        <f t="shared" si="48"/>
        <v>63</v>
      </c>
      <c r="C3094" s="111"/>
      <c r="D3094" s="111"/>
      <c r="E3094" s="111"/>
    </row>
    <row r="3095" spans="1:5" x14ac:dyDescent="0.2">
      <c r="A3095" s="113">
        <v>37793</v>
      </c>
      <c r="B3095" s="111">
        <f t="shared" si="48"/>
        <v>63</v>
      </c>
      <c r="C3095" s="111"/>
      <c r="D3095" s="111"/>
      <c r="E3095" s="111"/>
    </row>
    <row r="3096" spans="1:5" x14ac:dyDescent="0.2">
      <c r="A3096" s="113">
        <v>37794</v>
      </c>
      <c r="B3096" s="111">
        <f t="shared" si="48"/>
        <v>64</v>
      </c>
      <c r="C3096" s="111"/>
      <c r="D3096" s="111"/>
      <c r="E3096" s="111"/>
    </row>
    <row r="3097" spans="1:5" x14ac:dyDescent="0.2">
      <c r="A3097" s="113">
        <v>37795</v>
      </c>
      <c r="B3097" s="111">
        <f t="shared" si="48"/>
        <v>64</v>
      </c>
      <c r="C3097" s="111"/>
      <c r="D3097" s="111"/>
      <c r="E3097" s="111"/>
    </row>
    <row r="3098" spans="1:5" x14ac:dyDescent="0.2">
      <c r="A3098" s="113">
        <v>37796</v>
      </c>
      <c r="B3098" s="111">
        <f t="shared" si="48"/>
        <v>64</v>
      </c>
      <c r="C3098" s="111"/>
      <c r="D3098" s="111"/>
      <c r="E3098" s="111"/>
    </row>
    <row r="3099" spans="1:5" x14ac:dyDescent="0.2">
      <c r="A3099" s="113">
        <v>37797</v>
      </c>
      <c r="B3099" s="111">
        <f t="shared" si="48"/>
        <v>64</v>
      </c>
      <c r="C3099" s="111"/>
      <c r="D3099" s="111"/>
      <c r="E3099" s="111"/>
    </row>
    <row r="3100" spans="1:5" x14ac:dyDescent="0.2">
      <c r="A3100" s="113">
        <v>37798</v>
      </c>
      <c r="B3100" s="111">
        <f t="shared" si="48"/>
        <v>64</v>
      </c>
      <c r="C3100" s="111"/>
      <c r="D3100" s="111"/>
      <c r="E3100" s="111"/>
    </row>
    <row r="3101" spans="1:5" x14ac:dyDescent="0.2">
      <c r="A3101" s="113">
        <v>37799</v>
      </c>
      <c r="B3101" s="111">
        <f t="shared" si="48"/>
        <v>64</v>
      </c>
      <c r="C3101" s="111"/>
      <c r="D3101" s="111"/>
      <c r="E3101" s="111"/>
    </row>
    <row r="3102" spans="1:5" x14ac:dyDescent="0.2">
      <c r="A3102" s="113">
        <v>37800</v>
      </c>
      <c r="B3102" s="111">
        <f t="shared" si="48"/>
        <v>64</v>
      </c>
      <c r="C3102" s="111"/>
      <c r="D3102" s="111"/>
      <c r="E3102" s="111"/>
    </row>
    <row r="3103" spans="1:5" x14ac:dyDescent="0.2">
      <c r="A3103" s="113">
        <v>37801</v>
      </c>
      <c r="B3103" s="111">
        <f t="shared" si="48"/>
        <v>71</v>
      </c>
      <c r="C3103" s="111"/>
      <c r="D3103" s="111"/>
      <c r="E3103" s="111"/>
    </row>
    <row r="3104" spans="1:5" x14ac:dyDescent="0.2">
      <c r="A3104" s="113">
        <v>37802</v>
      </c>
      <c r="B3104" s="111">
        <f t="shared" si="48"/>
        <v>71</v>
      </c>
      <c r="C3104" s="111"/>
      <c r="D3104" s="111"/>
      <c r="E3104" s="111"/>
    </row>
    <row r="3105" spans="1:5" x14ac:dyDescent="0.2">
      <c r="A3105" s="113">
        <v>37803</v>
      </c>
      <c r="B3105" s="111">
        <f t="shared" si="48"/>
        <v>71</v>
      </c>
      <c r="C3105" s="111"/>
      <c r="D3105" s="111"/>
      <c r="E3105" s="111"/>
    </row>
    <row r="3106" spans="1:5" x14ac:dyDescent="0.2">
      <c r="A3106" s="113">
        <v>37804</v>
      </c>
      <c r="B3106" s="111">
        <f t="shared" si="48"/>
        <v>71</v>
      </c>
      <c r="C3106" s="111"/>
      <c r="D3106" s="111"/>
      <c r="E3106" s="111"/>
    </row>
    <row r="3107" spans="1:5" x14ac:dyDescent="0.2">
      <c r="A3107" s="113">
        <v>37805</v>
      </c>
      <c r="B3107" s="111">
        <f t="shared" si="48"/>
        <v>71</v>
      </c>
      <c r="C3107" s="111"/>
      <c r="D3107" s="111"/>
      <c r="E3107" s="111"/>
    </row>
    <row r="3108" spans="1:5" x14ac:dyDescent="0.2">
      <c r="A3108" s="113">
        <v>37806</v>
      </c>
      <c r="B3108" s="111">
        <f t="shared" si="48"/>
        <v>71</v>
      </c>
      <c r="C3108" s="111"/>
      <c r="D3108" s="111"/>
      <c r="E3108" s="111"/>
    </row>
    <row r="3109" spans="1:5" x14ac:dyDescent="0.2">
      <c r="A3109" s="113">
        <v>37807</v>
      </c>
      <c r="B3109" s="111">
        <f t="shared" si="48"/>
        <v>71</v>
      </c>
      <c r="C3109" s="111"/>
      <c r="D3109" s="111"/>
      <c r="E3109" s="111"/>
    </row>
    <row r="3110" spans="1:5" x14ac:dyDescent="0.2">
      <c r="A3110" s="113">
        <v>37808</v>
      </c>
      <c r="B3110" s="111">
        <f t="shared" si="48"/>
        <v>72</v>
      </c>
      <c r="C3110" s="111"/>
      <c r="D3110" s="111"/>
      <c r="E3110" s="111"/>
    </row>
    <row r="3111" spans="1:5" x14ac:dyDescent="0.2">
      <c r="A3111" s="113">
        <v>37809</v>
      </c>
      <c r="B3111" s="111">
        <f t="shared" si="48"/>
        <v>72</v>
      </c>
      <c r="C3111" s="111"/>
      <c r="D3111" s="111"/>
      <c r="E3111" s="111"/>
    </row>
    <row r="3112" spans="1:5" x14ac:dyDescent="0.2">
      <c r="A3112" s="113">
        <v>37810</v>
      </c>
      <c r="B3112" s="111">
        <f t="shared" si="48"/>
        <v>72</v>
      </c>
      <c r="C3112" s="111"/>
      <c r="D3112" s="111"/>
      <c r="E3112" s="111"/>
    </row>
    <row r="3113" spans="1:5" x14ac:dyDescent="0.2">
      <c r="A3113" s="113">
        <v>37811</v>
      </c>
      <c r="B3113" s="111">
        <f t="shared" si="48"/>
        <v>72</v>
      </c>
      <c r="C3113" s="111"/>
      <c r="D3113" s="111"/>
      <c r="E3113" s="111"/>
    </row>
    <row r="3114" spans="1:5" x14ac:dyDescent="0.2">
      <c r="A3114" s="113">
        <v>37812</v>
      </c>
      <c r="B3114" s="111">
        <f t="shared" si="48"/>
        <v>72</v>
      </c>
      <c r="C3114" s="111"/>
      <c r="D3114" s="111"/>
      <c r="E3114" s="111"/>
    </row>
    <row r="3115" spans="1:5" x14ac:dyDescent="0.2">
      <c r="A3115" s="113">
        <v>37813</v>
      </c>
      <c r="B3115" s="111">
        <f t="shared" si="48"/>
        <v>72</v>
      </c>
      <c r="C3115" s="111"/>
      <c r="D3115" s="111"/>
      <c r="E3115" s="111"/>
    </row>
    <row r="3116" spans="1:5" x14ac:dyDescent="0.2">
      <c r="A3116" s="113">
        <v>37814</v>
      </c>
      <c r="B3116" s="111">
        <f t="shared" si="48"/>
        <v>72</v>
      </c>
      <c r="C3116" s="111"/>
      <c r="D3116" s="111"/>
      <c r="E3116" s="111"/>
    </row>
    <row r="3117" spans="1:5" x14ac:dyDescent="0.2">
      <c r="A3117" s="113">
        <v>37815</v>
      </c>
      <c r="B3117" s="111">
        <f t="shared" si="48"/>
        <v>73</v>
      </c>
      <c r="C3117" s="111"/>
      <c r="D3117" s="111"/>
      <c r="E3117" s="111"/>
    </row>
    <row r="3118" spans="1:5" x14ac:dyDescent="0.2">
      <c r="A3118" s="113">
        <v>37816</v>
      </c>
      <c r="B3118" s="111">
        <f t="shared" si="48"/>
        <v>73</v>
      </c>
      <c r="C3118" s="111"/>
      <c r="D3118" s="111"/>
      <c r="E3118" s="111"/>
    </row>
    <row r="3119" spans="1:5" x14ac:dyDescent="0.2">
      <c r="A3119" s="113">
        <v>37817</v>
      </c>
      <c r="B3119" s="111">
        <f t="shared" si="48"/>
        <v>73</v>
      </c>
      <c r="C3119" s="111"/>
      <c r="D3119" s="111"/>
      <c r="E3119" s="111"/>
    </row>
    <row r="3120" spans="1:5" x14ac:dyDescent="0.2">
      <c r="A3120" s="113">
        <v>37818</v>
      </c>
      <c r="B3120" s="111">
        <f t="shared" si="48"/>
        <v>73</v>
      </c>
      <c r="C3120" s="111"/>
      <c r="D3120" s="111"/>
      <c r="E3120" s="111"/>
    </row>
    <row r="3121" spans="1:5" x14ac:dyDescent="0.2">
      <c r="A3121" s="113">
        <v>37819</v>
      </c>
      <c r="B3121" s="111">
        <f t="shared" si="48"/>
        <v>73</v>
      </c>
      <c r="C3121" s="111"/>
      <c r="D3121" s="111"/>
      <c r="E3121" s="111"/>
    </row>
    <row r="3122" spans="1:5" x14ac:dyDescent="0.2">
      <c r="A3122" s="113">
        <v>37820</v>
      </c>
      <c r="B3122" s="111">
        <f t="shared" si="48"/>
        <v>73</v>
      </c>
      <c r="C3122" s="111"/>
      <c r="D3122" s="111"/>
      <c r="E3122" s="111"/>
    </row>
    <row r="3123" spans="1:5" x14ac:dyDescent="0.2">
      <c r="A3123" s="113">
        <v>37821</v>
      </c>
      <c r="B3123" s="111">
        <f t="shared" si="48"/>
        <v>73</v>
      </c>
      <c r="C3123" s="111"/>
      <c r="D3123" s="111"/>
      <c r="E3123" s="111"/>
    </row>
    <row r="3124" spans="1:5" x14ac:dyDescent="0.2">
      <c r="A3124" s="113">
        <v>37822</v>
      </c>
      <c r="B3124" s="111">
        <f t="shared" si="48"/>
        <v>74</v>
      </c>
      <c r="C3124" s="111"/>
      <c r="D3124" s="111"/>
      <c r="E3124" s="111"/>
    </row>
    <row r="3125" spans="1:5" x14ac:dyDescent="0.2">
      <c r="A3125" s="113">
        <v>37823</v>
      </c>
      <c r="B3125" s="111">
        <f t="shared" si="48"/>
        <v>74</v>
      </c>
      <c r="C3125" s="111"/>
      <c r="D3125" s="111"/>
      <c r="E3125" s="111"/>
    </row>
    <row r="3126" spans="1:5" x14ac:dyDescent="0.2">
      <c r="A3126" s="113">
        <v>37824</v>
      </c>
      <c r="B3126" s="111">
        <f t="shared" si="48"/>
        <v>74</v>
      </c>
      <c r="C3126" s="111"/>
      <c r="D3126" s="111"/>
      <c r="E3126" s="111"/>
    </row>
    <row r="3127" spans="1:5" x14ac:dyDescent="0.2">
      <c r="A3127" s="113">
        <v>37825</v>
      </c>
      <c r="B3127" s="111">
        <f t="shared" si="48"/>
        <v>74</v>
      </c>
      <c r="C3127" s="111"/>
      <c r="D3127" s="111"/>
      <c r="E3127" s="111"/>
    </row>
    <row r="3128" spans="1:5" x14ac:dyDescent="0.2">
      <c r="A3128" s="113">
        <v>37826</v>
      </c>
      <c r="B3128" s="111">
        <f t="shared" si="48"/>
        <v>74</v>
      </c>
      <c r="C3128" s="111"/>
      <c r="D3128" s="111"/>
      <c r="E3128" s="111"/>
    </row>
    <row r="3129" spans="1:5" x14ac:dyDescent="0.2">
      <c r="A3129" s="113">
        <v>37827</v>
      </c>
      <c r="B3129" s="111">
        <f t="shared" si="48"/>
        <v>74</v>
      </c>
      <c r="C3129" s="111"/>
      <c r="D3129" s="111"/>
      <c r="E3129" s="111"/>
    </row>
    <row r="3130" spans="1:5" x14ac:dyDescent="0.2">
      <c r="A3130" s="113">
        <v>37828</v>
      </c>
      <c r="B3130" s="111">
        <f t="shared" si="48"/>
        <v>74</v>
      </c>
      <c r="C3130" s="111"/>
      <c r="D3130" s="111"/>
      <c r="E3130" s="111"/>
    </row>
    <row r="3131" spans="1:5" x14ac:dyDescent="0.2">
      <c r="A3131" s="113">
        <v>37829</v>
      </c>
      <c r="B3131" s="111">
        <f t="shared" si="48"/>
        <v>75</v>
      </c>
      <c r="C3131" s="111"/>
      <c r="D3131" s="111"/>
      <c r="E3131" s="111"/>
    </row>
    <row r="3132" spans="1:5" x14ac:dyDescent="0.2">
      <c r="A3132" s="113">
        <v>37830</v>
      </c>
      <c r="B3132" s="111">
        <f t="shared" si="48"/>
        <v>75</v>
      </c>
      <c r="C3132" s="111"/>
      <c r="D3132" s="111"/>
      <c r="E3132" s="111"/>
    </row>
    <row r="3133" spans="1:5" x14ac:dyDescent="0.2">
      <c r="A3133" s="113">
        <v>37831</v>
      </c>
      <c r="B3133" s="111">
        <f t="shared" si="48"/>
        <v>75</v>
      </c>
      <c r="C3133" s="111"/>
      <c r="D3133" s="111"/>
      <c r="E3133" s="111"/>
    </row>
    <row r="3134" spans="1:5" x14ac:dyDescent="0.2">
      <c r="A3134" s="113">
        <v>37832</v>
      </c>
      <c r="B3134" s="111">
        <f t="shared" si="48"/>
        <v>75</v>
      </c>
      <c r="C3134" s="111"/>
      <c r="D3134" s="111"/>
      <c r="E3134" s="111"/>
    </row>
    <row r="3135" spans="1:5" x14ac:dyDescent="0.2">
      <c r="A3135" s="113">
        <v>37833</v>
      </c>
      <c r="B3135" s="111">
        <f t="shared" si="48"/>
        <v>75</v>
      </c>
      <c r="C3135" s="111"/>
      <c r="D3135" s="111"/>
      <c r="E3135" s="111"/>
    </row>
    <row r="3136" spans="1:5" x14ac:dyDescent="0.2">
      <c r="A3136" s="113">
        <v>37834</v>
      </c>
      <c r="B3136" s="111">
        <f t="shared" si="48"/>
        <v>75</v>
      </c>
      <c r="C3136" s="111"/>
      <c r="D3136" s="111"/>
      <c r="E3136" s="111"/>
    </row>
    <row r="3137" spans="1:5" x14ac:dyDescent="0.2">
      <c r="A3137" s="113">
        <v>37835</v>
      </c>
      <c r="B3137" s="111">
        <f t="shared" si="48"/>
        <v>75</v>
      </c>
      <c r="C3137" s="111"/>
      <c r="D3137" s="111"/>
      <c r="E3137" s="111"/>
    </row>
    <row r="3138" spans="1:5" x14ac:dyDescent="0.2">
      <c r="A3138" s="113">
        <v>37836</v>
      </c>
      <c r="B3138" s="111">
        <f t="shared" ref="B3138:B3201" si="49">VLOOKUP(WEEKNUM(A3138),$D$3:$E$58,2)</f>
        <v>81</v>
      </c>
      <c r="C3138" s="111"/>
      <c r="D3138" s="111"/>
      <c r="E3138" s="111"/>
    </row>
    <row r="3139" spans="1:5" x14ac:dyDescent="0.2">
      <c r="A3139" s="113">
        <v>37837</v>
      </c>
      <c r="B3139" s="111">
        <f t="shared" si="49"/>
        <v>81</v>
      </c>
      <c r="C3139" s="111"/>
      <c r="D3139" s="111"/>
      <c r="E3139" s="111"/>
    </row>
    <row r="3140" spans="1:5" x14ac:dyDescent="0.2">
      <c r="A3140" s="113">
        <v>37838</v>
      </c>
      <c r="B3140" s="111">
        <f t="shared" si="49"/>
        <v>81</v>
      </c>
      <c r="C3140" s="111"/>
      <c r="D3140" s="111"/>
      <c r="E3140" s="111"/>
    </row>
    <row r="3141" spans="1:5" x14ac:dyDescent="0.2">
      <c r="A3141" s="113">
        <v>37839</v>
      </c>
      <c r="B3141" s="111">
        <f t="shared" si="49"/>
        <v>81</v>
      </c>
      <c r="C3141" s="111"/>
      <c r="D3141" s="111"/>
      <c r="E3141" s="111"/>
    </row>
    <row r="3142" spans="1:5" x14ac:dyDescent="0.2">
      <c r="A3142" s="113">
        <v>37840</v>
      </c>
      <c r="B3142" s="111">
        <f t="shared" si="49"/>
        <v>81</v>
      </c>
      <c r="C3142" s="111"/>
      <c r="D3142" s="111"/>
      <c r="E3142" s="111"/>
    </row>
    <row r="3143" spans="1:5" x14ac:dyDescent="0.2">
      <c r="A3143" s="113">
        <v>37841</v>
      </c>
      <c r="B3143" s="111">
        <f t="shared" si="49"/>
        <v>81</v>
      </c>
      <c r="C3143" s="111"/>
      <c r="D3143" s="111"/>
      <c r="E3143" s="111"/>
    </row>
    <row r="3144" spans="1:5" x14ac:dyDescent="0.2">
      <c r="A3144" s="113">
        <v>37842</v>
      </c>
      <c r="B3144" s="111">
        <f t="shared" si="49"/>
        <v>81</v>
      </c>
      <c r="C3144" s="111"/>
      <c r="D3144" s="111"/>
      <c r="E3144" s="111"/>
    </row>
    <row r="3145" spans="1:5" x14ac:dyDescent="0.2">
      <c r="A3145" s="113">
        <v>37843</v>
      </c>
      <c r="B3145" s="111">
        <f t="shared" si="49"/>
        <v>82</v>
      </c>
      <c r="C3145" s="111"/>
      <c r="D3145" s="111"/>
      <c r="E3145" s="111"/>
    </row>
    <row r="3146" spans="1:5" x14ac:dyDescent="0.2">
      <c r="A3146" s="113">
        <v>37844</v>
      </c>
      <c r="B3146" s="111">
        <f t="shared" si="49"/>
        <v>82</v>
      </c>
      <c r="C3146" s="111"/>
      <c r="D3146" s="111"/>
      <c r="E3146" s="111"/>
    </row>
    <row r="3147" spans="1:5" x14ac:dyDescent="0.2">
      <c r="A3147" s="113">
        <v>37845</v>
      </c>
      <c r="B3147" s="111">
        <f t="shared" si="49"/>
        <v>82</v>
      </c>
      <c r="C3147" s="111"/>
      <c r="D3147" s="111"/>
      <c r="E3147" s="111"/>
    </row>
    <row r="3148" spans="1:5" x14ac:dyDescent="0.2">
      <c r="A3148" s="113">
        <v>37846</v>
      </c>
      <c r="B3148" s="111">
        <f t="shared" si="49"/>
        <v>82</v>
      </c>
      <c r="C3148" s="111"/>
      <c r="D3148" s="111"/>
      <c r="E3148" s="111"/>
    </row>
    <row r="3149" spans="1:5" x14ac:dyDescent="0.2">
      <c r="A3149" s="113">
        <v>37847</v>
      </c>
      <c r="B3149" s="111">
        <f t="shared" si="49"/>
        <v>82</v>
      </c>
      <c r="C3149" s="111"/>
      <c r="D3149" s="111"/>
      <c r="E3149" s="111"/>
    </row>
    <row r="3150" spans="1:5" x14ac:dyDescent="0.2">
      <c r="A3150" s="113">
        <v>37848</v>
      </c>
      <c r="B3150" s="111">
        <f t="shared" si="49"/>
        <v>82</v>
      </c>
      <c r="C3150" s="111"/>
      <c r="D3150" s="111"/>
      <c r="E3150" s="111"/>
    </row>
    <row r="3151" spans="1:5" x14ac:dyDescent="0.2">
      <c r="A3151" s="113">
        <v>37849</v>
      </c>
      <c r="B3151" s="111">
        <f t="shared" si="49"/>
        <v>82</v>
      </c>
      <c r="C3151" s="111"/>
      <c r="D3151" s="111"/>
      <c r="E3151" s="111"/>
    </row>
    <row r="3152" spans="1:5" x14ac:dyDescent="0.2">
      <c r="A3152" s="113">
        <v>37850</v>
      </c>
      <c r="B3152" s="111">
        <f t="shared" si="49"/>
        <v>83</v>
      </c>
      <c r="C3152" s="111"/>
      <c r="D3152" s="111"/>
      <c r="E3152" s="111"/>
    </row>
    <row r="3153" spans="1:5" x14ac:dyDescent="0.2">
      <c r="A3153" s="113">
        <v>37851</v>
      </c>
      <c r="B3153" s="111">
        <f t="shared" si="49"/>
        <v>83</v>
      </c>
      <c r="C3153" s="111"/>
      <c r="D3153" s="111"/>
      <c r="E3153" s="111"/>
    </row>
    <row r="3154" spans="1:5" x14ac:dyDescent="0.2">
      <c r="A3154" s="113">
        <v>37852</v>
      </c>
      <c r="B3154" s="111">
        <f t="shared" si="49"/>
        <v>83</v>
      </c>
      <c r="C3154" s="111"/>
      <c r="D3154" s="111"/>
      <c r="E3154" s="111"/>
    </row>
    <row r="3155" spans="1:5" x14ac:dyDescent="0.2">
      <c r="A3155" s="113">
        <v>37853</v>
      </c>
      <c r="B3155" s="111">
        <f t="shared" si="49"/>
        <v>83</v>
      </c>
      <c r="C3155" s="111"/>
      <c r="D3155" s="111"/>
      <c r="E3155" s="111"/>
    </row>
    <row r="3156" spans="1:5" x14ac:dyDescent="0.2">
      <c r="A3156" s="113">
        <v>37854</v>
      </c>
      <c r="B3156" s="111">
        <f t="shared" si="49"/>
        <v>83</v>
      </c>
      <c r="C3156" s="111"/>
      <c r="D3156" s="111"/>
      <c r="E3156" s="111"/>
    </row>
    <row r="3157" spans="1:5" x14ac:dyDescent="0.2">
      <c r="A3157" s="113">
        <v>37855</v>
      </c>
      <c r="B3157" s="111">
        <f t="shared" si="49"/>
        <v>83</v>
      </c>
      <c r="C3157" s="111"/>
      <c r="D3157" s="111"/>
      <c r="E3157" s="111"/>
    </row>
    <row r="3158" spans="1:5" x14ac:dyDescent="0.2">
      <c r="A3158" s="113">
        <v>37856</v>
      </c>
      <c r="B3158" s="111">
        <f t="shared" si="49"/>
        <v>83</v>
      </c>
      <c r="C3158" s="111"/>
      <c r="D3158" s="111"/>
      <c r="E3158" s="111"/>
    </row>
    <row r="3159" spans="1:5" x14ac:dyDescent="0.2">
      <c r="A3159" s="113">
        <v>37857</v>
      </c>
      <c r="B3159" s="111">
        <f t="shared" si="49"/>
        <v>84</v>
      </c>
      <c r="C3159" s="111"/>
      <c r="D3159" s="111"/>
      <c r="E3159" s="111"/>
    </row>
    <row r="3160" spans="1:5" x14ac:dyDescent="0.2">
      <c r="A3160" s="113">
        <v>37858</v>
      </c>
      <c r="B3160" s="111">
        <f t="shared" si="49"/>
        <v>84</v>
      </c>
      <c r="C3160" s="111"/>
      <c r="D3160" s="111"/>
      <c r="E3160" s="111"/>
    </row>
    <row r="3161" spans="1:5" x14ac:dyDescent="0.2">
      <c r="A3161" s="113">
        <v>37859</v>
      </c>
      <c r="B3161" s="111">
        <f t="shared" si="49"/>
        <v>84</v>
      </c>
      <c r="C3161" s="111"/>
      <c r="D3161" s="111"/>
      <c r="E3161" s="111"/>
    </row>
    <row r="3162" spans="1:5" x14ac:dyDescent="0.2">
      <c r="A3162" s="113">
        <v>37860</v>
      </c>
      <c r="B3162" s="111">
        <f t="shared" si="49"/>
        <v>84</v>
      </c>
      <c r="C3162" s="111"/>
      <c r="D3162" s="111"/>
      <c r="E3162" s="111"/>
    </row>
    <row r="3163" spans="1:5" x14ac:dyDescent="0.2">
      <c r="A3163" s="113">
        <v>37861</v>
      </c>
      <c r="B3163" s="111">
        <f t="shared" si="49"/>
        <v>84</v>
      </c>
      <c r="C3163" s="111"/>
      <c r="D3163" s="111"/>
      <c r="E3163" s="111"/>
    </row>
    <row r="3164" spans="1:5" x14ac:dyDescent="0.2">
      <c r="A3164" s="113">
        <v>37862</v>
      </c>
      <c r="B3164" s="111">
        <f t="shared" si="49"/>
        <v>84</v>
      </c>
      <c r="C3164" s="111"/>
      <c r="D3164" s="111"/>
      <c r="E3164" s="111"/>
    </row>
    <row r="3165" spans="1:5" x14ac:dyDescent="0.2">
      <c r="A3165" s="113">
        <v>37863</v>
      </c>
      <c r="B3165" s="111">
        <f t="shared" si="49"/>
        <v>84</v>
      </c>
      <c r="C3165" s="111"/>
      <c r="D3165" s="111"/>
      <c r="E3165" s="111"/>
    </row>
    <row r="3166" spans="1:5" x14ac:dyDescent="0.2">
      <c r="A3166" s="113">
        <v>37864</v>
      </c>
      <c r="B3166" s="111">
        <f t="shared" si="49"/>
        <v>91</v>
      </c>
      <c r="C3166" s="111"/>
      <c r="D3166" s="111"/>
      <c r="E3166" s="111"/>
    </row>
    <row r="3167" spans="1:5" x14ac:dyDescent="0.2">
      <c r="A3167" s="113">
        <v>37865</v>
      </c>
      <c r="B3167" s="111">
        <f t="shared" si="49"/>
        <v>91</v>
      </c>
      <c r="C3167" s="111"/>
      <c r="D3167" s="111"/>
      <c r="E3167" s="111"/>
    </row>
    <row r="3168" spans="1:5" x14ac:dyDescent="0.2">
      <c r="A3168" s="113">
        <v>37866</v>
      </c>
      <c r="B3168" s="111">
        <f t="shared" si="49"/>
        <v>91</v>
      </c>
      <c r="C3168" s="111"/>
      <c r="D3168" s="111"/>
      <c r="E3168" s="111"/>
    </row>
    <row r="3169" spans="1:5" x14ac:dyDescent="0.2">
      <c r="A3169" s="113">
        <v>37867</v>
      </c>
      <c r="B3169" s="111">
        <f t="shared" si="49"/>
        <v>91</v>
      </c>
      <c r="C3169" s="111"/>
      <c r="D3169" s="111"/>
      <c r="E3169" s="111"/>
    </row>
    <row r="3170" spans="1:5" x14ac:dyDescent="0.2">
      <c r="A3170" s="113">
        <v>37868</v>
      </c>
      <c r="B3170" s="111">
        <f t="shared" si="49"/>
        <v>91</v>
      </c>
      <c r="C3170" s="111"/>
      <c r="D3170" s="111"/>
      <c r="E3170" s="111"/>
    </row>
    <row r="3171" spans="1:5" x14ac:dyDescent="0.2">
      <c r="A3171" s="113">
        <v>37869</v>
      </c>
      <c r="B3171" s="111">
        <f t="shared" si="49"/>
        <v>91</v>
      </c>
      <c r="C3171" s="111"/>
      <c r="D3171" s="111"/>
      <c r="E3171" s="111"/>
    </row>
    <row r="3172" spans="1:5" x14ac:dyDescent="0.2">
      <c r="A3172" s="113">
        <v>37870</v>
      </c>
      <c r="B3172" s="111">
        <f t="shared" si="49"/>
        <v>91</v>
      </c>
      <c r="C3172" s="111"/>
      <c r="D3172" s="111"/>
      <c r="E3172" s="111"/>
    </row>
    <row r="3173" spans="1:5" x14ac:dyDescent="0.2">
      <c r="A3173" s="113">
        <v>37871</v>
      </c>
      <c r="B3173" s="111">
        <f t="shared" si="49"/>
        <v>92</v>
      </c>
      <c r="C3173" s="111"/>
      <c r="D3173" s="111"/>
      <c r="E3173" s="111"/>
    </row>
    <row r="3174" spans="1:5" x14ac:dyDescent="0.2">
      <c r="A3174" s="113">
        <v>37872</v>
      </c>
      <c r="B3174" s="111">
        <f t="shared" si="49"/>
        <v>92</v>
      </c>
      <c r="C3174" s="111"/>
      <c r="D3174" s="111"/>
      <c r="E3174" s="111"/>
    </row>
    <row r="3175" spans="1:5" x14ac:dyDescent="0.2">
      <c r="A3175" s="113">
        <v>37873</v>
      </c>
      <c r="B3175" s="111">
        <f t="shared" si="49"/>
        <v>92</v>
      </c>
      <c r="C3175" s="111"/>
      <c r="D3175" s="111"/>
      <c r="E3175" s="111"/>
    </row>
    <row r="3176" spans="1:5" x14ac:dyDescent="0.2">
      <c r="A3176" s="113">
        <v>37874</v>
      </c>
      <c r="B3176" s="111">
        <f t="shared" si="49"/>
        <v>92</v>
      </c>
      <c r="C3176" s="111"/>
      <c r="D3176" s="111"/>
      <c r="E3176" s="111"/>
    </row>
    <row r="3177" spans="1:5" x14ac:dyDescent="0.2">
      <c r="A3177" s="113">
        <v>37875</v>
      </c>
      <c r="B3177" s="111">
        <f t="shared" si="49"/>
        <v>92</v>
      </c>
      <c r="C3177" s="111"/>
      <c r="D3177" s="111"/>
      <c r="E3177" s="111"/>
    </row>
    <row r="3178" spans="1:5" x14ac:dyDescent="0.2">
      <c r="A3178" s="113">
        <v>37876</v>
      </c>
      <c r="B3178" s="111">
        <f t="shared" si="49"/>
        <v>92</v>
      </c>
      <c r="C3178" s="111"/>
      <c r="D3178" s="111"/>
      <c r="E3178" s="111"/>
    </row>
    <row r="3179" spans="1:5" x14ac:dyDescent="0.2">
      <c r="A3179" s="113">
        <v>37877</v>
      </c>
      <c r="B3179" s="111">
        <f t="shared" si="49"/>
        <v>92</v>
      </c>
      <c r="C3179" s="111"/>
      <c r="D3179" s="111"/>
      <c r="E3179" s="111"/>
    </row>
    <row r="3180" spans="1:5" x14ac:dyDescent="0.2">
      <c r="A3180" s="113">
        <v>37878</v>
      </c>
      <c r="B3180" s="111">
        <f t="shared" si="49"/>
        <v>93</v>
      </c>
      <c r="C3180" s="111"/>
      <c r="D3180" s="111"/>
      <c r="E3180" s="111"/>
    </row>
    <row r="3181" spans="1:5" x14ac:dyDescent="0.2">
      <c r="A3181" s="113">
        <v>37879</v>
      </c>
      <c r="B3181" s="111">
        <f t="shared" si="49"/>
        <v>93</v>
      </c>
      <c r="C3181" s="111"/>
      <c r="D3181" s="111"/>
      <c r="E3181" s="111"/>
    </row>
    <row r="3182" spans="1:5" x14ac:dyDescent="0.2">
      <c r="A3182" s="113">
        <v>37880</v>
      </c>
      <c r="B3182" s="111">
        <f t="shared" si="49"/>
        <v>93</v>
      </c>
      <c r="C3182" s="111"/>
      <c r="D3182" s="111"/>
      <c r="E3182" s="111"/>
    </row>
    <row r="3183" spans="1:5" x14ac:dyDescent="0.2">
      <c r="A3183" s="113">
        <v>37881</v>
      </c>
      <c r="B3183" s="111">
        <f t="shared" si="49"/>
        <v>93</v>
      </c>
      <c r="C3183" s="111"/>
      <c r="D3183" s="111"/>
      <c r="E3183" s="111"/>
    </row>
    <row r="3184" spans="1:5" x14ac:dyDescent="0.2">
      <c r="A3184" s="113">
        <v>37882</v>
      </c>
      <c r="B3184" s="111">
        <f t="shared" si="49"/>
        <v>93</v>
      </c>
      <c r="C3184" s="111"/>
      <c r="D3184" s="111"/>
      <c r="E3184" s="111"/>
    </row>
    <row r="3185" spans="1:5" x14ac:dyDescent="0.2">
      <c r="A3185" s="113">
        <v>37883</v>
      </c>
      <c r="B3185" s="111">
        <f t="shared" si="49"/>
        <v>93</v>
      </c>
      <c r="C3185" s="111"/>
      <c r="D3185" s="111"/>
      <c r="E3185" s="111"/>
    </row>
    <row r="3186" spans="1:5" x14ac:dyDescent="0.2">
      <c r="A3186" s="113">
        <v>37884</v>
      </c>
      <c r="B3186" s="111">
        <f t="shared" si="49"/>
        <v>93</v>
      </c>
      <c r="C3186" s="111"/>
      <c r="D3186" s="111"/>
      <c r="E3186" s="111"/>
    </row>
    <row r="3187" spans="1:5" x14ac:dyDescent="0.2">
      <c r="A3187" s="113">
        <v>37885</v>
      </c>
      <c r="B3187" s="111">
        <f t="shared" si="49"/>
        <v>94</v>
      </c>
      <c r="C3187" s="111"/>
      <c r="D3187" s="111"/>
      <c r="E3187" s="111"/>
    </row>
    <row r="3188" spans="1:5" x14ac:dyDescent="0.2">
      <c r="A3188" s="113">
        <v>37886</v>
      </c>
      <c r="B3188" s="111">
        <f t="shared" si="49"/>
        <v>94</v>
      </c>
      <c r="C3188" s="111"/>
      <c r="D3188" s="111"/>
      <c r="E3188" s="111"/>
    </row>
    <row r="3189" spans="1:5" x14ac:dyDescent="0.2">
      <c r="A3189" s="113">
        <v>37887</v>
      </c>
      <c r="B3189" s="111">
        <f t="shared" si="49"/>
        <v>94</v>
      </c>
      <c r="C3189" s="111"/>
      <c r="D3189" s="111"/>
      <c r="E3189" s="111"/>
    </row>
    <row r="3190" spans="1:5" x14ac:dyDescent="0.2">
      <c r="A3190" s="113">
        <v>37888</v>
      </c>
      <c r="B3190" s="111">
        <f t="shared" si="49"/>
        <v>94</v>
      </c>
      <c r="C3190" s="111"/>
      <c r="D3190" s="111"/>
      <c r="E3190" s="111"/>
    </row>
    <row r="3191" spans="1:5" x14ac:dyDescent="0.2">
      <c r="A3191" s="113">
        <v>37889</v>
      </c>
      <c r="B3191" s="111">
        <f t="shared" si="49"/>
        <v>94</v>
      </c>
      <c r="C3191" s="111"/>
      <c r="D3191" s="111"/>
      <c r="E3191" s="111"/>
    </row>
    <row r="3192" spans="1:5" x14ac:dyDescent="0.2">
      <c r="A3192" s="113">
        <v>37890</v>
      </c>
      <c r="B3192" s="111">
        <f t="shared" si="49"/>
        <v>94</v>
      </c>
      <c r="C3192" s="111"/>
      <c r="D3192" s="111"/>
      <c r="E3192" s="111"/>
    </row>
    <row r="3193" spans="1:5" x14ac:dyDescent="0.2">
      <c r="A3193" s="113">
        <v>37891</v>
      </c>
      <c r="B3193" s="111">
        <f t="shared" si="49"/>
        <v>94</v>
      </c>
      <c r="C3193" s="111"/>
      <c r="D3193" s="111"/>
      <c r="E3193" s="111"/>
    </row>
    <row r="3194" spans="1:5" x14ac:dyDescent="0.2">
      <c r="A3194" s="113">
        <v>37892</v>
      </c>
      <c r="B3194" s="111">
        <f t="shared" si="49"/>
        <v>101</v>
      </c>
      <c r="C3194" s="111"/>
      <c r="D3194" s="111"/>
      <c r="E3194" s="111"/>
    </row>
    <row r="3195" spans="1:5" x14ac:dyDescent="0.2">
      <c r="A3195" s="113">
        <v>37893</v>
      </c>
      <c r="B3195" s="111">
        <f t="shared" si="49"/>
        <v>101</v>
      </c>
      <c r="C3195" s="111"/>
      <c r="D3195" s="111"/>
      <c r="E3195" s="111"/>
    </row>
    <row r="3196" spans="1:5" x14ac:dyDescent="0.2">
      <c r="A3196" s="113">
        <v>37894</v>
      </c>
      <c r="B3196" s="111">
        <f t="shared" si="49"/>
        <v>101</v>
      </c>
      <c r="C3196" s="111"/>
      <c r="D3196" s="111"/>
      <c r="E3196" s="111"/>
    </row>
    <row r="3197" spans="1:5" x14ac:dyDescent="0.2">
      <c r="A3197" s="113">
        <v>37895</v>
      </c>
      <c r="B3197" s="111">
        <f t="shared" si="49"/>
        <v>101</v>
      </c>
      <c r="C3197" s="111"/>
      <c r="D3197" s="111"/>
      <c r="E3197" s="111"/>
    </row>
    <row r="3198" spans="1:5" x14ac:dyDescent="0.2">
      <c r="A3198" s="113">
        <v>37896</v>
      </c>
      <c r="B3198" s="111">
        <f t="shared" si="49"/>
        <v>101</v>
      </c>
      <c r="C3198" s="111"/>
      <c r="D3198" s="111"/>
      <c r="E3198" s="111"/>
    </row>
    <row r="3199" spans="1:5" x14ac:dyDescent="0.2">
      <c r="A3199" s="113">
        <v>37897</v>
      </c>
      <c r="B3199" s="111">
        <f t="shared" si="49"/>
        <v>101</v>
      </c>
      <c r="C3199" s="111"/>
      <c r="D3199" s="111"/>
      <c r="E3199" s="111"/>
    </row>
    <row r="3200" spans="1:5" x14ac:dyDescent="0.2">
      <c r="A3200" s="113">
        <v>37898</v>
      </c>
      <c r="B3200" s="111">
        <f t="shared" si="49"/>
        <v>101</v>
      </c>
      <c r="C3200" s="111"/>
      <c r="D3200" s="111"/>
      <c r="E3200" s="111"/>
    </row>
    <row r="3201" spans="1:5" x14ac:dyDescent="0.2">
      <c r="A3201" s="113">
        <v>37899</v>
      </c>
      <c r="B3201" s="111">
        <f t="shared" si="49"/>
        <v>102</v>
      </c>
      <c r="C3201" s="111"/>
      <c r="D3201" s="111"/>
      <c r="E3201" s="111"/>
    </row>
    <row r="3202" spans="1:5" x14ac:dyDescent="0.2">
      <c r="A3202" s="113">
        <v>37900</v>
      </c>
      <c r="B3202" s="111">
        <f t="shared" ref="B3202:B3265" si="50">VLOOKUP(WEEKNUM(A3202),$D$3:$E$58,2)</f>
        <v>102</v>
      </c>
      <c r="C3202" s="111"/>
      <c r="D3202" s="111"/>
      <c r="E3202" s="111"/>
    </row>
    <row r="3203" spans="1:5" x14ac:dyDescent="0.2">
      <c r="A3203" s="113">
        <v>37901</v>
      </c>
      <c r="B3203" s="111">
        <f t="shared" si="50"/>
        <v>102</v>
      </c>
      <c r="C3203" s="111"/>
      <c r="D3203" s="111"/>
      <c r="E3203" s="111"/>
    </row>
    <row r="3204" spans="1:5" x14ac:dyDescent="0.2">
      <c r="A3204" s="113">
        <v>37902</v>
      </c>
      <c r="B3204" s="111">
        <f t="shared" si="50"/>
        <v>102</v>
      </c>
      <c r="C3204" s="111"/>
      <c r="D3204" s="111"/>
      <c r="E3204" s="111"/>
    </row>
    <row r="3205" spans="1:5" x14ac:dyDescent="0.2">
      <c r="A3205" s="113">
        <v>37903</v>
      </c>
      <c r="B3205" s="111">
        <f t="shared" si="50"/>
        <v>102</v>
      </c>
      <c r="C3205" s="111"/>
      <c r="D3205" s="111"/>
      <c r="E3205" s="111"/>
    </row>
    <row r="3206" spans="1:5" x14ac:dyDescent="0.2">
      <c r="A3206" s="113">
        <v>37904</v>
      </c>
      <c r="B3206" s="111">
        <f t="shared" si="50"/>
        <v>102</v>
      </c>
      <c r="C3206" s="111"/>
      <c r="D3206" s="111"/>
      <c r="E3206" s="111"/>
    </row>
    <row r="3207" spans="1:5" x14ac:dyDescent="0.2">
      <c r="A3207" s="113">
        <v>37905</v>
      </c>
      <c r="B3207" s="111">
        <f t="shared" si="50"/>
        <v>102</v>
      </c>
      <c r="C3207" s="111"/>
      <c r="D3207" s="111"/>
      <c r="E3207" s="111"/>
    </row>
    <row r="3208" spans="1:5" x14ac:dyDescent="0.2">
      <c r="A3208" s="113">
        <v>37906</v>
      </c>
      <c r="B3208" s="111">
        <f t="shared" si="50"/>
        <v>103</v>
      </c>
      <c r="C3208" s="111"/>
      <c r="D3208" s="111"/>
      <c r="E3208" s="111"/>
    </row>
    <row r="3209" spans="1:5" x14ac:dyDescent="0.2">
      <c r="A3209" s="113">
        <v>37907</v>
      </c>
      <c r="B3209" s="111">
        <f t="shared" si="50"/>
        <v>103</v>
      </c>
      <c r="C3209" s="111"/>
      <c r="D3209" s="111"/>
      <c r="E3209" s="111"/>
    </row>
    <row r="3210" spans="1:5" x14ac:dyDescent="0.2">
      <c r="A3210" s="113">
        <v>37908</v>
      </c>
      <c r="B3210" s="111">
        <f t="shared" si="50"/>
        <v>103</v>
      </c>
      <c r="C3210" s="111"/>
      <c r="D3210" s="111"/>
      <c r="E3210" s="111"/>
    </row>
    <row r="3211" spans="1:5" x14ac:dyDescent="0.2">
      <c r="A3211" s="113">
        <v>37909</v>
      </c>
      <c r="B3211" s="111">
        <f t="shared" si="50"/>
        <v>103</v>
      </c>
      <c r="C3211" s="111"/>
      <c r="D3211" s="111"/>
      <c r="E3211" s="111"/>
    </row>
    <row r="3212" spans="1:5" x14ac:dyDescent="0.2">
      <c r="A3212" s="113">
        <v>37910</v>
      </c>
      <c r="B3212" s="111">
        <f t="shared" si="50"/>
        <v>103</v>
      </c>
      <c r="C3212" s="111"/>
      <c r="D3212" s="111"/>
      <c r="E3212" s="111"/>
    </row>
    <row r="3213" spans="1:5" x14ac:dyDescent="0.2">
      <c r="A3213" s="113">
        <v>37911</v>
      </c>
      <c r="B3213" s="111">
        <f t="shared" si="50"/>
        <v>103</v>
      </c>
      <c r="C3213" s="111"/>
      <c r="D3213" s="111"/>
      <c r="E3213" s="111"/>
    </row>
    <row r="3214" spans="1:5" x14ac:dyDescent="0.2">
      <c r="A3214" s="113">
        <v>37912</v>
      </c>
      <c r="B3214" s="111">
        <f t="shared" si="50"/>
        <v>103</v>
      </c>
      <c r="C3214" s="111"/>
      <c r="D3214" s="111"/>
      <c r="E3214" s="111"/>
    </row>
    <row r="3215" spans="1:5" x14ac:dyDescent="0.2">
      <c r="A3215" s="113">
        <v>37913</v>
      </c>
      <c r="B3215" s="111">
        <f t="shared" si="50"/>
        <v>104</v>
      </c>
      <c r="C3215" s="111"/>
      <c r="D3215" s="111"/>
      <c r="E3215" s="111"/>
    </row>
    <row r="3216" spans="1:5" x14ac:dyDescent="0.2">
      <c r="A3216" s="113">
        <v>37914</v>
      </c>
      <c r="B3216" s="111">
        <f t="shared" si="50"/>
        <v>104</v>
      </c>
      <c r="C3216" s="111"/>
      <c r="D3216" s="111"/>
      <c r="E3216" s="111"/>
    </row>
    <row r="3217" spans="1:5" x14ac:dyDescent="0.2">
      <c r="A3217" s="113">
        <v>37915</v>
      </c>
      <c r="B3217" s="111">
        <f t="shared" si="50"/>
        <v>104</v>
      </c>
      <c r="C3217" s="111"/>
      <c r="D3217" s="111"/>
      <c r="E3217" s="111"/>
    </row>
    <row r="3218" spans="1:5" x14ac:dyDescent="0.2">
      <c r="A3218" s="113">
        <v>37916</v>
      </c>
      <c r="B3218" s="111">
        <f t="shared" si="50"/>
        <v>104</v>
      </c>
      <c r="C3218" s="111"/>
      <c r="D3218" s="111"/>
      <c r="E3218" s="111"/>
    </row>
    <row r="3219" spans="1:5" x14ac:dyDescent="0.2">
      <c r="A3219" s="113">
        <v>37917</v>
      </c>
      <c r="B3219" s="111">
        <f t="shared" si="50"/>
        <v>104</v>
      </c>
      <c r="C3219" s="111"/>
      <c r="D3219" s="111"/>
      <c r="E3219" s="111"/>
    </row>
    <row r="3220" spans="1:5" x14ac:dyDescent="0.2">
      <c r="A3220" s="113">
        <v>37918</v>
      </c>
      <c r="B3220" s="111">
        <f t="shared" si="50"/>
        <v>104</v>
      </c>
      <c r="C3220" s="111"/>
      <c r="D3220" s="111"/>
      <c r="E3220" s="111"/>
    </row>
    <row r="3221" spans="1:5" x14ac:dyDescent="0.2">
      <c r="A3221" s="113">
        <v>37919</v>
      </c>
      <c r="B3221" s="111">
        <f t="shared" si="50"/>
        <v>104</v>
      </c>
      <c r="C3221" s="111"/>
      <c r="D3221" s="111"/>
      <c r="E3221" s="111"/>
    </row>
    <row r="3222" spans="1:5" x14ac:dyDescent="0.2">
      <c r="A3222" s="113">
        <v>37920</v>
      </c>
      <c r="B3222" s="111">
        <f t="shared" si="50"/>
        <v>105</v>
      </c>
      <c r="C3222" s="111"/>
      <c r="D3222" s="111"/>
      <c r="E3222" s="111"/>
    </row>
    <row r="3223" spans="1:5" x14ac:dyDescent="0.2">
      <c r="A3223" s="113">
        <v>37921</v>
      </c>
      <c r="B3223" s="111">
        <f t="shared" si="50"/>
        <v>105</v>
      </c>
      <c r="C3223" s="111"/>
      <c r="D3223" s="111"/>
      <c r="E3223" s="111"/>
    </row>
    <row r="3224" spans="1:5" x14ac:dyDescent="0.2">
      <c r="A3224" s="113">
        <v>37922</v>
      </c>
      <c r="B3224" s="111">
        <f t="shared" si="50"/>
        <v>105</v>
      </c>
      <c r="C3224" s="111"/>
      <c r="D3224" s="111"/>
      <c r="E3224" s="111"/>
    </row>
    <row r="3225" spans="1:5" x14ac:dyDescent="0.2">
      <c r="A3225" s="113">
        <v>37923</v>
      </c>
      <c r="B3225" s="111">
        <f t="shared" si="50"/>
        <v>105</v>
      </c>
      <c r="C3225" s="111"/>
      <c r="D3225" s="111"/>
      <c r="E3225" s="111"/>
    </row>
    <row r="3226" spans="1:5" x14ac:dyDescent="0.2">
      <c r="A3226" s="113">
        <v>37924</v>
      </c>
      <c r="B3226" s="111">
        <f t="shared" si="50"/>
        <v>105</v>
      </c>
      <c r="C3226" s="111"/>
      <c r="D3226" s="111"/>
      <c r="E3226" s="111"/>
    </row>
    <row r="3227" spans="1:5" x14ac:dyDescent="0.2">
      <c r="A3227" s="113">
        <v>37925</v>
      </c>
      <c r="B3227" s="111">
        <f t="shared" si="50"/>
        <v>105</v>
      </c>
      <c r="C3227" s="111"/>
      <c r="D3227" s="111"/>
      <c r="E3227" s="111"/>
    </row>
    <row r="3228" spans="1:5" x14ac:dyDescent="0.2">
      <c r="A3228" s="113">
        <v>37926</v>
      </c>
      <c r="B3228" s="111">
        <f t="shared" si="50"/>
        <v>105</v>
      </c>
      <c r="C3228" s="111"/>
      <c r="D3228" s="111"/>
      <c r="E3228" s="111"/>
    </row>
    <row r="3229" spans="1:5" x14ac:dyDescent="0.2">
      <c r="A3229" s="113">
        <v>37927</v>
      </c>
      <c r="B3229" s="111">
        <f t="shared" si="50"/>
        <v>111</v>
      </c>
      <c r="C3229" s="111"/>
      <c r="D3229" s="111"/>
      <c r="E3229" s="111"/>
    </row>
    <row r="3230" spans="1:5" x14ac:dyDescent="0.2">
      <c r="A3230" s="113">
        <v>37928</v>
      </c>
      <c r="B3230" s="111">
        <f t="shared" si="50"/>
        <v>111</v>
      </c>
      <c r="C3230" s="111"/>
      <c r="D3230" s="111"/>
      <c r="E3230" s="111"/>
    </row>
    <row r="3231" spans="1:5" x14ac:dyDescent="0.2">
      <c r="A3231" s="113">
        <v>37929</v>
      </c>
      <c r="B3231" s="111">
        <f t="shared" si="50"/>
        <v>111</v>
      </c>
      <c r="C3231" s="111"/>
      <c r="D3231" s="111"/>
      <c r="E3231" s="111"/>
    </row>
    <row r="3232" spans="1:5" x14ac:dyDescent="0.2">
      <c r="A3232" s="113">
        <v>37930</v>
      </c>
      <c r="B3232" s="111">
        <f t="shared" si="50"/>
        <v>111</v>
      </c>
      <c r="C3232" s="111"/>
      <c r="D3232" s="111"/>
      <c r="E3232" s="111"/>
    </row>
    <row r="3233" spans="1:5" x14ac:dyDescent="0.2">
      <c r="A3233" s="113">
        <v>37931</v>
      </c>
      <c r="B3233" s="111">
        <f t="shared" si="50"/>
        <v>111</v>
      </c>
      <c r="C3233" s="111"/>
      <c r="D3233" s="111"/>
      <c r="E3233" s="111"/>
    </row>
    <row r="3234" spans="1:5" x14ac:dyDescent="0.2">
      <c r="A3234" s="113">
        <v>37932</v>
      </c>
      <c r="B3234" s="111">
        <f t="shared" si="50"/>
        <v>111</v>
      </c>
      <c r="C3234" s="111"/>
      <c r="D3234" s="111"/>
      <c r="E3234" s="111"/>
    </row>
    <row r="3235" spans="1:5" x14ac:dyDescent="0.2">
      <c r="A3235" s="113">
        <v>37933</v>
      </c>
      <c r="B3235" s="111">
        <f t="shared" si="50"/>
        <v>111</v>
      </c>
      <c r="C3235" s="111"/>
      <c r="D3235" s="111"/>
      <c r="E3235" s="111"/>
    </row>
    <row r="3236" spans="1:5" x14ac:dyDescent="0.2">
      <c r="A3236" s="113">
        <v>37934</v>
      </c>
      <c r="B3236" s="111">
        <f t="shared" si="50"/>
        <v>112</v>
      </c>
      <c r="C3236" s="111"/>
      <c r="D3236" s="111"/>
      <c r="E3236" s="111"/>
    </row>
    <row r="3237" spans="1:5" x14ac:dyDescent="0.2">
      <c r="A3237" s="113">
        <v>37935</v>
      </c>
      <c r="B3237" s="111">
        <f t="shared" si="50"/>
        <v>112</v>
      </c>
      <c r="C3237" s="111"/>
      <c r="D3237" s="111"/>
      <c r="E3237" s="111"/>
    </row>
    <row r="3238" spans="1:5" x14ac:dyDescent="0.2">
      <c r="A3238" s="113">
        <v>37936</v>
      </c>
      <c r="B3238" s="111">
        <f t="shared" si="50"/>
        <v>112</v>
      </c>
      <c r="C3238" s="111"/>
      <c r="D3238" s="111"/>
      <c r="E3238" s="111"/>
    </row>
    <row r="3239" spans="1:5" x14ac:dyDescent="0.2">
      <c r="A3239" s="113">
        <v>37937</v>
      </c>
      <c r="B3239" s="111">
        <f t="shared" si="50"/>
        <v>112</v>
      </c>
      <c r="C3239" s="111"/>
      <c r="D3239" s="111"/>
      <c r="E3239" s="111"/>
    </row>
    <row r="3240" spans="1:5" x14ac:dyDescent="0.2">
      <c r="A3240" s="113">
        <v>37938</v>
      </c>
      <c r="B3240" s="111">
        <f t="shared" si="50"/>
        <v>112</v>
      </c>
      <c r="C3240" s="111"/>
      <c r="D3240" s="111"/>
      <c r="E3240" s="111"/>
    </row>
    <row r="3241" spans="1:5" x14ac:dyDescent="0.2">
      <c r="A3241" s="113">
        <v>37939</v>
      </c>
      <c r="B3241" s="111">
        <f t="shared" si="50"/>
        <v>112</v>
      </c>
      <c r="C3241" s="111"/>
      <c r="D3241" s="111"/>
      <c r="E3241" s="111"/>
    </row>
    <row r="3242" spans="1:5" x14ac:dyDescent="0.2">
      <c r="A3242" s="113">
        <v>37940</v>
      </c>
      <c r="B3242" s="111">
        <f t="shared" si="50"/>
        <v>112</v>
      </c>
      <c r="C3242" s="111"/>
      <c r="D3242" s="111"/>
      <c r="E3242" s="111"/>
    </row>
    <row r="3243" spans="1:5" x14ac:dyDescent="0.2">
      <c r="A3243" s="113">
        <v>37941</v>
      </c>
      <c r="B3243" s="111">
        <f t="shared" si="50"/>
        <v>113</v>
      </c>
      <c r="C3243" s="111"/>
      <c r="D3243" s="111"/>
      <c r="E3243" s="111"/>
    </row>
    <row r="3244" spans="1:5" x14ac:dyDescent="0.2">
      <c r="A3244" s="113">
        <v>37942</v>
      </c>
      <c r="B3244" s="111">
        <f t="shared" si="50"/>
        <v>113</v>
      </c>
      <c r="C3244" s="111"/>
      <c r="D3244" s="111"/>
      <c r="E3244" s="111"/>
    </row>
    <row r="3245" spans="1:5" x14ac:dyDescent="0.2">
      <c r="A3245" s="113">
        <v>37943</v>
      </c>
      <c r="B3245" s="111">
        <f t="shared" si="50"/>
        <v>113</v>
      </c>
      <c r="C3245" s="111"/>
      <c r="D3245" s="111"/>
      <c r="E3245" s="111"/>
    </row>
    <row r="3246" spans="1:5" x14ac:dyDescent="0.2">
      <c r="A3246" s="113">
        <v>37944</v>
      </c>
      <c r="B3246" s="111">
        <f t="shared" si="50"/>
        <v>113</v>
      </c>
      <c r="C3246" s="111"/>
      <c r="D3246" s="111"/>
      <c r="E3246" s="111"/>
    </row>
    <row r="3247" spans="1:5" x14ac:dyDescent="0.2">
      <c r="A3247" s="113">
        <v>37945</v>
      </c>
      <c r="B3247" s="111">
        <f t="shared" si="50"/>
        <v>113</v>
      </c>
      <c r="C3247" s="111"/>
      <c r="D3247" s="111"/>
      <c r="E3247" s="111"/>
    </row>
    <row r="3248" spans="1:5" x14ac:dyDescent="0.2">
      <c r="A3248" s="113">
        <v>37946</v>
      </c>
      <c r="B3248" s="111">
        <f t="shared" si="50"/>
        <v>113</v>
      </c>
      <c r="C3248" s="111"/>
      <c r="D3248" s="111"/>
      <c r="E3248" s="111"/>
    </row>
    <row r="3249" spans="1:5" x14ac:dyDescent="0.2">
      <c r="A3249" s="113">
        <v>37947</v>
      </c>
      <c r="B3249" s="111">
        <f t="shared" si="50"/>
        <v>113</v>
      </c>
      <c r="C3249" s="111"/>
      <c r="D3249" s="111"/>
      <c r="E3249" s="111"/>
    </row>
    <row r="3250" spans="1:5" x14ac:dyDescent="0.2">
      <c r="A3250" s="113">
        <v>37948</v>
      </c>
      <c r="B3250" s="111">
        <f t="shared" si="50"/>
        <v>114</v>
      </c>
      <c r="C3250" s="111"/>
      <c r="D3250" s="111"/>
      <c r="E3250" s="111"/>
    </row>
    <row r="3251" spans="1:5" x14ac:dyDescent="0.2">
      <c r="A3251" s="113">
        <v>37949</v>
      </c>
      <c r="B3251" s="111">
        <f t="shared" si="50"/>
        <v>114</v>
      </c>
      <c r="C3251" s="111"/>
      <c r="D3251" s="111"/>
      <c r="E3251" s="111"/>
    </row>
    <row r="3252" spans="1:5" x14ac:dyDescent="0.2">
      <c r="A3252" s="113">
        <v>37950</v>
      </c>
      <c r="B3252" s="111">
        <f t="shared" si="50"/>
        <v>114</v>
      </c>
      <c r="C3252" s="111"/>
      <c r="D3252" s="111"/>
      <c r="E3252" s="111"/>
    </row>
    <row r="3253" spans="1:5" x14ac:dyDescent="0.2">
      <c r="A3253" s="113">
        <v>37951</v>
      </c>
      <c r="B3253" s="111">
        <f t="shared" si="50"/>
        <v>114</v>
      </c>
      <c r="C3253" s="111"/>
      <c r="D3253" s="111"/>
      <c r="E3253" s="111"/>
    </row>
    <row r="3254" spans="1:5" x14ac:dyDescent="0.2">
      <c r="A3254" s="113">
        <v>37952</v>
      </c>
      <c r="B3254" s="111">
        <f t="shared" si="50"/>
        <v>114</v>
      </c>
      <c r="C3254" s="111"/>
      <c r="D3254" s="111"/>
      <c r="E3254" s="111"/>
    </row>
    <row r="3255" spans="1:5" x14ac:dyDescent="0.2">
      <c r="A3255" s="113">
        <v>37953</v>
      </c>
      <c r="B3255" s="111">
        <f t="shared" si="50"/>
        <v>114</v>
      </c>
      <c r="C3255" s="111"/>
      <c r="D3255" s="111"/>
      <c r="E3255" s="111"/>
    </row>
    <row r="3256" spans="1:5" x14ac:dyDescent="0.2">
      <c r="A3256" s="113">
        <v>37954</v>
      </c>
      <c r="B3256" s="111">
        <f t="shared" si="50"/>
        <v>114</v>
      </c>
      <c r="C3256" s="111"/>
      <c r="D3256" s="111"/>
      <c r="E3256" s="111"/>
    </row>
    <row r="3257" spans="1:5" x14ac:dyDescent="0.2">
      <c r="A3257" s="113">
        <v>37955</v>
      </c>
      <c r="B3257" s="111">
        <f t="shared" si="50"/>
        <v>115</v>
      </c>
      <c r="C3257" s="111"/>
      <c r="D3257" s="111"/>
      <c r="E3257" s="111"/>
    </row>
    <row r="3258" spans="1:5" x14ac:dyDescent="0.2">
      <c r="A3258" s="113">
        <v>37956</v>
      </c>
      <c r="B3258" s="111">
        <f t="shared" si="50"/>
        <v>115</v>
      </c>
      <c r="C3258" s="111"/>
      <c r="D3258" s="111"/>
      <c r="E3258" s="111"/>
    </row>
    <row r="3259" spans="1:5" x14ac:dyDescent="0.2">
      <c r="A3259" s="113">
        <v>37957</v>
      </c>
      <c r="B3259" s="111">
        <f t="shared" si="50"/>
        <v>115</v>
      </c>
      <c r="C3259" s="111"/>
      <c r="D3259" s="111"/>
      <c r="E3259" s="111"/>
    </row>
    <row r="3260" spans="1:5" x14ac:dyDescent="0.2">
      <c r="A3260" s="113">
        <v>37958</v>
      </c>
      <c r="B3260" s="111">
        <f t="shared" si="50"/>
        <v>115</v>
      </c>
      <c r="C3260" s="111"/>
      <c r="D3260" s="111"/>
      <c r="E3260" s="111"/>
    </row>
    <row r="3261" spans="1:5" x14ac:dyDescent="0.2">
      <c r="A3261" s="113">
        <v>37959</v>
      </c>
      <c r="B3261" s="111">
        <f t="shared" si="50"/>
        <v>115</v>
      </c>
      <c r="C3261" s="111"/>
      <c r="D3261" s="111"/>
      <c r="E3261" s="111"/>
    </row>
    <row r="3262" spans="1:5" x14ac:dyDescent="0.2">
      <c r="A3262" s="113">
        <v>37960</v>
      </c>
      <c r="B3262" s="111">
        <f t="shared" si="50"/>
        <v>115</v>
      </c>
      <c r="C3262" s="111"/>
      <c r="D3262" s="111"/>
      <c r="E3262" s="111"/>
    </row>
    <row r="3263" spans="1:5" x14ac:dyDescent="0.2">
      <c r="A3263" s="113">
        <v>37961</v>
      </c>
      <c r="B3263" s="111">
        <f t="shared" si="50"/>
        <v>115</v>
      </c>
      <c r="C3263" s="111"/>
      <c r="D3263" s="111"/>
      <c r="E3263" s="111"/>
    </row>
    <row r="3264" spans="1:5" x14ac:dyDescent="0.2">
      <c r="A3264" s="113">
        <v>37962</v>
      </c>
      <c r="B3264" s="111">
        <f t="shared" si="50"/>
        <v>121</v>
      </c>
      <c r="C3264" s="111"/>
      <c r="D3264" s="111"/>
      <c r="E3264" s="111"/>
    </row>
    <row r="3265" spans="1:5" x14ac:dyDescent="0.2">
      <c r="A3265" s="113">
        <v>37963</v>
      </c>
      <c r="B3265" s="111">
        <f t="shared" si="50"/>
        <v>121</v>
      </c>
      <c r="C3265" s="111"/>
      <c r="D3265" s="111"/>
      <c r="E3265" s="111"/>
    </row>
    <row r="3266" spans="1:5" x14ac:dyDescent="0.2">
      <c r="A3266" s="113">
        <v>37964</v>
      </c>
      <c r="B3266" s="111">
        <f t="shared" ref="B3266:B3329" si="51">VLOOKUP(WEEKNUM(A3266),$D$3:$E$58,2)</f>
        <v>121</v>
      </c>
      <c r="C3266" s="111"/>
      <c r="D3266" s="111"/>
      <c r="E3266" s="111"/>
    </row>
    <row r="3267" spans="1:5" x14ac:dyDescent="0.2">
      <c r="A3267" s="113">
        <v>37965</v>
      </c>
      <c r="B3267" s="111">
        <f t="shared" si="51"/>
        <v>121</v>
      </c>
      <c r="C3267" s="111"/>
      <c r="D3267" s="111"/>
      <c r="E3267" s="111"/>
    </row>
    <row r="3268" spans="1:5" x14ac:dyDescent="0.2">
      <c r="A3268" s="113">
        <v>37966</v>
      </c>
      <c r="B3268" s="111">
        <f t="shared" si="51"/>
        <v>121</v>
      </c>
      <c r="C3268" s="111"/>
      <c r="D3268" s="111"/>
      <c r="E3268" s="111"/>
    </row>
    <row r="3269" spans="1:5" x14ac:dyDescent="0.2">
      <c r="A3269" s="113">
        <v>37967</v>
      </c>
      <c r="B3269" s="111">
        <f t="shared" si="51"/>
        <v>121</v>
      </c>
      <c r="C3269" s="111"/>
      <c r="D3269" s="111"/>
      <c r="E3269" s="111"/>
    </row>
    <row r="3270" spans="1:5" x14ac:dyDescent="0.2">
      <c r="A3270" s="113">
        <v>37968</v>
      </c>
      <c r="B3270" s="111">
        <f t="shared" si="51"/>
        <v>121</v>
      </c>
      <c r="C3270" s="111"/>
      <c r="D3270" s="111"/>
      <c r="E3270" s="111"/>
    </row>
    <row r="3271" spans="1:5" x14ac:dyDescent="0.2">
      <c r="A3271" s="113">
        <v>37969</v>
      </c>
      <c r="B3271" s="111">
        <f t="shared" si="51"/>
        <v>122</v>
      </c>
      <c r="C3271" s="111"/>
      <c r="D3271" s="111"/>
      <c r="E3271" s="111"/>
    </row>
    <row r="3272" spans="1:5" x14ac:dyDescent="0.2">
      <c r="A3272" s="113">
        <v>37970</v>
      </c>
      <c r="B3272" s="111">
        <f t="shared" si="51"/>
        <v>122</v>
      </c>
      <c r="C3272" s="111"/>
      <c r="D3272" s="111"/>
      <c r="E3272" s="111"/>
    </row>
    <row r="3273" spans="1:5" x14ac:dyDescent="0.2">
      <c r="A3273" s="113">
        <v>37971</v>
      </c>
      <c r="B3273" s="111">
        <f t="shared" si="51"/>
        <v>122</v>
      </c>
      <c r="C3273" s="111"/>
      <c r="D3273" s="111"/>
      <c r="E3273" s="111"/>
    </row>
    <row r="3274" spans="1:5" x14ac:dyDescent="0.2">
      <c r="A3274" s="113">
        <v>37972</v>
      </c>
      <c r="B3274" s="111">
        <f t="shared" si="51"/>
        <v>122</v>
      </c>
      <c r="C3274" s="111"/>
      <c r="D3274" s="111"/>
      <c r="E3274" s="111"/>
    </row>
    <row r="3275" spans="1:5" x14ac:dyDescent="0.2">
      <c r="A3275" s="113">
        <v>37973</v>
      </c>
      <c r="B3275" s="111">
        <f t="shared" si="51"/>
        <v>122</v>
      </c>
      <c r="C3275" s="111"/>
      <c r="D3275" s="111"/>
      <c r="E3275" s="111"/>
    </row>
    <row r="3276" spans="1:5" x14ac:dyDescent="0.2">
      <c r="A3276" s="113">
        <v>37974</v>
      </c>
      <c r="B3276" s="111">
        <f t="shared" si="51"/>
        <v>122</v>
      </c>
      <c r="C3276" s="111"/>
      <c r="D3276" s="111"/>
      <c r="E3276" s="111"/>
    </row>
    <row r="3277" spans="1:5" x14ac:dyDescent="0.2">
      <c r="A3277" s="113">
        <v>37975</v>
      </c>
      <c r="B3277" s="111">
        <f t="shared" si="51"/>
        <v>122</v>
      </c>
      <c r="C3277" s="111"/>
      <c r="D3277" s="111"/>
      <c r="E3277" s="111"/>
    </row>
    <row r="3278" spans="1:5" x14ac:dyDescent="0.2">
      <c r="A3278" s="113">
        <v>37976</v>
      </c>
      <c r="B3278" s="111">
        <f t="shared" si="51"/>
        <v>123</v>
      </c>
      <c r="C3278" s="111"/>
      <c r="D3278" s="111"/>
      <c r="E3278" s="111"/>
    </row>
    <row r="3279" spans="1:5" x14ac:dyDescent="0.2">
      <c r="A3279" s="113">
        <v>37977</v>
      </c>
      <c r="B3279" s="111">
        <f t="shared" si="51"/>
        <v>123</v>
      </c>
      <c r="C3279" s="111"/>
      <c r="D3279" s="111"/>
      <c r="E3279" s="111"/>
    </row>
    <row r="3280" spans="1:5" x14ac:dyDescent="0.2">
      <c r="A3280" s="113">
        <v>37978</v>
      </c>
      <c r="B3280" s="111">
        <f t="shared" si="51"/>
        <v>123</v>
      </c>
      <c r="C3280" s="111"/>
      <c r="D3280" s="111"/>
      <c r="E3280" s="111"/>
    </row>
    <row r="3281" spans="1:5" x14ac:dyDescent="0.2">
      <c r="A3281" s="113">
        <v>37979</v>
      </c>
      <c r="B3281" s="111">
        <f t="shared" si="51"/>
        <v>123</v>
      </c>
      <c r="C3281" s="111"/>
      <c r="D3281" s="111"/>
      <c r="E3281" s="111"/>
    </row>
    <row r="3282" spans="1:5" x14ac:dyDescent="0.2">
      <c r="A3282" s="113">
        <v>37980</v>
      </c>
      <c r="B3282" s="111">
        <f t="shared" si="51"/>
        <v>123</v>
      </c>
      <c r="C3282" s="111"/>
      <c r="D3282" s="111"/>
      <c r="E3282" s="111"/>
    </row>
    <row r="3283" spans="1:5" x14ac:dyDescent="0.2">
      <c r="A3283" s="113">
        <v>37981</v>
      </c>
      <c r="B3283" s="111">
        <f t="shared" si="51"/>
        <v>123</v>
      </c>
      <c r="C3283" s="111"/>
      <c r="D3283" s="111"/>
      <c r="E3283" s="111"/>
    </row>
    <row r="3284" spans="1:5" x14ac:dyDescent="0.2">
      <c r="A3284" s="113">
        <v>37982</v>
      </c>
      <c r="B3284" s="111">
        <f t="shared" si="51"/>
        <v>123</v>
      </c>
      <c r="C3284" s="111"/>
      <c r="D3284" s="111"/>
      <c r="E3284" s="111"/>
    </row>
    <row r="3285" spans="1:5" x14ac:dyDescent="0.2">
      <c r="A3285" s="113">
        <v>37983</v>
      </c>
      <c r="B3285" s="111">
        <f t="shared" si="51"/>
        <v>124</v>
      </c>
      <c r="C3285" s="111"/>
      <c r="D3285" s="111"/>
      <c r="E3285" s="111"/>
    </row>
    <row r="3286" spans="1:5" x14ac:dyDescent="0.2">
      <c r="A3286" s="113">
        <v>37984</v>
      </c>
      <c r="B3286" s="111">
        <f t="shared" si="51"/>
        <v>124</v>
      </c>
      <c r="C3286" s="111"/>
      <c r="D3286" s="111"/>
      <c r="E3286" s="111"/>
    </row>
    <row r="3287" spans="1:5" x14ac:dyDescent="0.2">
      <c r="A3287" s="113">
        <v>37985</v>
      </c>
      <c r="B3287" s="111">
        <f t="shared" si="51"/>
        <v>124</v>
      </c>
      <c r="C3287" s="111"/>
      <c r="D3287" s="111"/>
      <c r="E3287" s="111"/>
    </row>
    <row r="3288" spans="1:5" x14ac:dyDescent="0.2">
      <c r="A3288" s="113">
        <v>37986</v>
      </c>
      <c r="B3288" s="111">
        <f t="shared" si="51"/>
        <v>124</v>
      </c>
      <c r="C3288" s="111"/>
      <c r="D3288" s="111"/>
      <c r="E3288" s="111"/>
    </row>
    <row r="3289" spans="1:5" x14ac:dyDescent="0.2">
      <c r="A3289" s="113">
        <v>37987</v>
      </c>
      <c r="B3289" s="111">
        <f t="shared" si="51"/>
        <v>11</v>
      </c>
      <c r="C3289" s="111"/>
      <c r="D3289" s="111"/>
      <c r="E3289" s="111"/>
    </row>
    <row r="3290" spans="1:5" x14ac:dyDescent="0.2">
      <c r="A3290" s="113">
        <v>37988</v>
      </c>
      <c r="B3290" s="111">
        <f t="shared" si="51"/>
        <v>11</v>
      </c>
      <c r="C3290" s="111"/>
      <c r="D3290" s="111"/>
      <c r="E3290" s="111"/>
    </row>
    <row r="3291" spans="1:5" x14ac:dyDescent="0.2">
      <c r="A3291" s="113">
        <v>37989</v>
      </c>
      <c r="B3291" s="111">
        <f t="shared" si="51"/>
        <v>11</v>
      </c>
      <c r="C3291" s="111"/>
      <c r="D3291" s="111"/>
      <c r="E3291" s="111"/>
    </row>
    <row r="3292" spans="1:5" x14ac:dyDescent="0.2">
      <c r="A3292" s="113">
        <v>37990</v>
      </c>
      <c r="B3292" s="111">
        <f t="shared" si="51"/>
        <v>12</v>
      </c>
      <c r="C3292" s="111"/>
      <c r="D3292" s="111"/>
      <c r="E3292" s="111"/>
    </row>
    <row r="3293" spans="1:5" x14ac:dyDescent="0.2">
      <c r="A3293" s="113">
        <v>37991</v>
      </c>
      <c r="B3293" s="111">
        <f t="shared" si="51"/>
        <v>12</v>
      </c>
      <c r="C3293" s="111"/>
      <c r="D3293" s="111"/>
      <c r="E3293" s="111"/>
    </row>
    <row r="3294" spans="1:5" x14ac:dyDescent="0.2">
      <c r="A3294" s="113">
        <v>37992</v>
      </c>
      <c r="B3294" s="111">
        <f t="shared" si="51"/>
        <v>12</v>
      </c>
      <c r="C3294" s="111"/>
      <c r="D3294" s="111"/>
      <c r="E3294" s="111"/>
    </row>
    <row r="3295" spans="1:5" x14ac:dyDescent="0.2">
      <c r="A3295" s="113">
        <v>37993</v>
      </c>
      <c r="B3295" s="111">
        <f t="shared" si="51"/>
        <v>12</v>
      </c>
      <c r="C3295" s="111"/>
      <c r="D3295" s="111"/>
      <c r="E3295" s="111"/>
    </row>
    <row r="3296" spans="1:5" x14ac:dyDescent="0.2">
      <c r="A3296" s="113">
        <v>37994</v>
      </c>
      <c r="B3296" s="111">
        <f t="shared" si="51"/>
        <v>12</v>
      </c>
      <c r="C3296" s="111"/>
      <c r="D3296" s="111"/>
      <c r="E3296" s="111"/>
    </row>
    <row r="3297" spans="1:5" x14ac:dyDescent="0.2">
      <c r="A3297" s="113">
        <v>37995</v>
      </c>
      <c r="B3297" s="111">
        <f t="shared" si="51"/>
        <v>12</v>
      </c>
      <c r="C3297" s="111"/>
      <c r="D3297" s="111"/>
      <c r="E3297" s="111"/>
    </row>
    <row r="3298" spans="1:5" x14ac:dyDescent="0.2">
      <c r="A3298" s="113">
        <v>37996</v>
      </c>
      <c r="B3298" s="111">
        <f t="shared" si="51"/>
        <v>12</v>
      </c>
      <c r="C3298" s="111"/>
      <c r="D3298" s="111"/>
      <c r="E3298" s="111"/>
    </row>
    <row r="3299" spans="1:5" x14ac:dyDescent="0.2">
      <c r="A3299" s="113">
        <v>37997</v>
      </c>
      <c r="B3299" s="111">
        <f t="shared" si="51"/>
        <v>13</v>
      </c>
      <c r="C3299" s="111"/>
      <c r="D3299" s="111"/>
      <c r="E3299" s="111"/>
    </row>
    <row r="3300" spans="1:5" x14ac:dyDescent="0.2">
      <c r="A3300" s="113">
        <v>37998</v>
      </c>
      <c r="B3300" s="111">
        <f t="shared" si="51"/>
        <v>13</v>
      </c>
      <c r="C3300" s="111"/>
      <c r="D3300" s="111"/>
      <c r="E3300" s="111"/>
    </row>
    <row r="3301" spans="1:5" x14ac:dyDescent="0.2">
      <c r="A3301" s="113">
        <v>37999</v>
      </c>
      <c r="B3301" s="111">
        <f t="shared" si="51"/>
        <v>13</v>
      </c>
      <c r="C3301" s="111"/>
      <c r="D3301" s="111"/>
      <c r="E3301" s="111"/>
    </row>
    <row r="3302" spans="1:5" x14ac:dyDescent="0.2">
      <c r="A3302" s="113">
        <v>38000</v>
      </c>
      <c r="B3302" s="111">
        <f t="shared" si="51"/>
        <v>13</v>
      </c>
      <c r="C3302" s="111"/>
      <c r="D3302" s="111"/>
      <c r="E3302" s="111"/>
    </row>
    <row r="3303" spans="1:5" x14ac:dyDescent="0.2">
      <c r="A3303" s="113">
        <v>38001</v>
      </c>
      <c r="B3303" s="111">
        <f t="shared" si="51"/>
        <v>13</v>
      </c>
      <c r="C3303" s="111"/>
      <c r="D3303" s="111"/>
      <c r="E3303" s="111"/>
    </row>
    <row r="3304" spans="1:5" x14ac:dyDescent="0.2">
      <c r="A3304" s="113">
        <v>38002</v>
      </c>
      <c r="B3304" s="111">
        <f t="shared" si="51"/>
        <v>13</v>
      </c>
      <c r="C3304" s="111"/>
      <c r="D3304" s="111"/>
      <c r="E3304" s="111"/>
    </row>
    <row r="3305" spans="1:5" x14ac:dyDescent="0.2">
      <c r="A3305" s="113">
        <v>38003</v>
      </c>
      <c r="B3305" s="111">
        <f t="shared" si="51"/>
        <v>13</v>
      </c>
      <c r="C3305" s="111"/>
      <c r="D3305" s="111"/>
      <c r="E3305" s="111"/>
    </row>
    <row r="3306" spans="1:5" x14ac:dyDescent="0.2">
      <c r="A3306" s="113">
        <v>38004</v>
      </c>
      <c r="B3306" s="111">
        <f t="shared" si="51"/>
        <v>14</v>
      </c>
      <c r="C3306" s="111"/>
      <c r="D3306" s="111"/>
      <c r="E3306" s="111"/>
    </row>
    <row r="3307" spans="1:5" x14ac:dyDescent="0.2">
      <c r="A3307" s="113">
        <v>38005</v>
      </c>
      <c r="B3307" s="111">
        <f t="shared" si="51"/>
        <v>14</v>
      </c>
      <c r="C3307" s="111"/>
      <c r="D3307" s="111"/>
      <c r="E3307" s="111"/>
    </row>
    <row r="3308" spans="1:5" x14ac:dyDescent="0.2">
      <c r="A3308" s="113">
        <v>38006</v>
      </c>
      <c r="B3308" s="111">
        <f t="shared" si="51"/>
        <v>14</v>
      </c>
      <c r="C3308" s="111"/>
      <c r="D3308" s="111"/>
      <c r="E3308" s="111"/>
    </row>
    <row r="3309" spans="1:5" x14ac:dyDescent="0.2">
      <c r="A3309" s="113">
        <v>38007</v>
      </c>
      <c r="B3309" s="111">
        <f t="shared" si="51"/>
        <v>14</v>
      </c>
      <c r="C3309" s="111"/>
      <c r="D3309" s="111"/>
      <c r="E3309" s="111"/>
    </row>
    <row r="3310" spans="1:5" x14ac:dyDescent="0.2">
      <c r="A3310" s="113">
        <v>38008</v>
      </c>
      <c r="B3310" s="111">
        <f t="shared" si="51"/>
        <v>14</v>
      </c>
      <c r="C3310" s="111"/>
      <c r="D3310" s="111"/>
      <c r="E3310" s="111"/>
    </row>
    <row r="3311" spans="1:5" x14ac:dyDescent="0.2">
      <c r="A3311" s="113">
        <v>38009</v>
      </c>
      <c r="B3311" s="111">
        <f t="shared" si="51"/>
        <v>14</v>
      </c>
      <c r="C3311" s="111"/>
      <c r="D3311" s="111"/>
      <c r="E3311" s="111"/>
    </row>
    <row r="3312" spans="1:5" x14ac:dyDescent="0.2">
      <c r="A3312" s="113">
        <v>38010</v>
      </c>
      <c r="B3312" s="111">
        <f t="shared" si="51"/>
        <v>14</v>
      </c>
      <c r="C3312" s="111"/>
      <c r="D3312" s="111"/>
      <c r="E3312" s="111"/>
    </row>
    <row r="3313" spans="1:5" x14ac:dyDescent="0.2">
      <c r="A3313" s="113">
        <v>38011</v>
      </c>
      <c r="B3313" s="111">
        <f t="shared" si="51"/>
        <v>15</v>
      </c>
      <c r="C3313" s="111"/>
      <c r="D3313" s="111"/>
      <c r="E3313" s="111"/>
    </row>
    <row r="3314" spans="1:5" x14ac:dyDescent="0.2">
      <c r="A3314" s="113">
        <v>38012</v>
      </c>
      <c r="B3314" s="111">
        <f t="shared" si="51"/>
        <v>15</v>
      </c>
      <c r="C3314" s="111"/>
      <c r="D3314" s="111"/>
      <c r="E3314" s="111"/>
    </row>
    <row r="3315" spans="1:5" x14ac:dyDescent="0.2">
      <c r="A3315" s="113">
        <v>38013</v>
      </c>
      <c r="B3315" s="111">
        <f t="shared" si="51"/>
        <v>15</v>
      </c>
      <c r="C3315" s="111"/>
      <c r="D3315" s="111"/>
      <c r="E3315" s="111"/>
    </row>
    <row r="3316" spans="1:5" x14ac:dyDescent="0.2">
      <c r="A3316" s="113">
        <v>38014</v>
      </c>
      <c r="B3316" s="111">
        <f t="shared" si="51"/>
        <v>15</v>
      </c>
      <c r="C3316" s="111"/>
      <c r="D3316" s="111"/>
      <c r="E3316" s="111"/>
    </row>
    <row r="3317" spans="1:5" x14ac:dyDescent="0.2">
      <c r="A3317" s="113">
        <v>38015</v>
      </c>
      <c r="B3317" s="111">
        <f t="shared" si="51"/>
        <v>15</v>
      </c>
      <c r="C3317" s="111"/>
      <c r="D3317" s="111"/>
      <c r="E3317" s="111"/>
    </row>
    <row r="3318" spans="1:5" x14ac:dyDescent="0.2">
      <c r="A3318" s="113">
        <v>38016</v>
      </c>
      <c r="B3318" s="111">
        <f t="shared" si="51"/>
        <v>15</v>
      </c>
      <c r="C3318" s="111"/>
      <c r="D3318" s="111"/>
      <c r="E3318" s="111"/>
    </row>
    <row r="3319" spans="1:5" x14ac:dyDescent="0.2">
      <c r="A3319" s="113">
        <v>38017</v>
      </c>
      <c r="B3319" s="111">
        <f t="shared" si="51"/>
        <v>15</v>
      </c>
      <c r="C3319" s="111"/>
      <c r="D3319" s="111"/>
      <c r="E3319" s="111"/>
    </row>
    <row r="3320" spans="1:5" x14ac:dyDescent="0.2">
      <c r="A3320" s="113">
        <v>38018</v>
      </c>
      <c r="B3320" s="111">
        <f t="shared" si="51"/>
        <v>21</v>
      </c>
      <c r="C3320" s="111"/>
      <c r="D3320" s="111"/>
      <c r="E3320" s="111"/>
    </row>
    <row r="3321" spans="1:5" x14ac:dyDescent="0.2">
      <c r="A3321" s="113">
        <v>38019</v>
      </c>
      <c r="B3321" s="111">
        <f t="shared" si="51"/>
        <v>21</v>
      </c>
      <c r="C3321" s="111"/>
      <c r="D3321" s="111"/>
      <c r="E3321" s="111"/>
    </row>
    <row r="3322" spans="1:5" x14ac:dyDescent="0.2">
      <c r="A3322" s="113">
        <v>38020</v>
      </c>
      <c r="B3322" s="111">
        <f t="shared" si="51"/>
        <v>21</v>
      </c>
      <c r="C3322" s="111"/>
      <c r="D3322" s="111"/>
      <c r="E3322" s="111"/>
    </row>
    <row r="3323" spans="1:5" x14ac:dyDescent="0.2">
      <c r="A3323" s="113">
        <v>38021</v>
      </c>
      <c r="B3323" s="111">
        <f t="shared" si="51"/>
        <v>21</v>
      </c>
      <c r="C3323" s="111"/>
      <c r="D3323" s="111"/>
      <c r="E3323" s="111"/>
    </row>
    <row r="3324" spans="1:5" x14ac:dyDescent="0.2">
      <c r="A3324" s="113">
        <v>38022</v>
      </c>
      <c r="B3324" s="111">
        <f t="shared" si="51"/>
        <v>21</v>
      </c>
      <c r="C3324" s="111"/>
      <c r="D3324" s="111"/>
      <c r="E3324" s="111"/>
    </row>
    <row r="3325" spans="1:5" x14ac:dyDescent="0.2">
      <c r="A3325" s="113">
        <v>38023</v>
      </c>
      <c r="B3325" s="111">
        <f t="shared" si="51"/>
        <v>21</v>
      </c>
      <c r="C3325" s="111"/>
      <c r="D3325" s="111"/>
      <c r="E3325" s="111"/>
    </row>
    <row r="3326" spans="1:5" x14ac:dyDescent="0.2">
      <c r="A3326" s="113">
        <v>38024</v>
      </c>
      <c r="B3326" s="111">
        <f t="shared" si="51"/>
        <v>21</v>
      </c>
      <c r="C3326" s="111"/>
      <c r="D3326" s="111"/>
      <c r="E3326" s="111"/>
    </row>
    <row r="3327" spans="1:5" x14ac:dyDescent="0.2">
      <c r="A3327" s="113">
        <v>38025</v>
      </c>
      <c r="B3327" s="111">
        <f t="shared" si="51"/>
        <v>22</v>
      </c>
      <c r="C3327" s="111"/>
      <c r="D3327" s="111"/>
      <c r="E3327" s="111"/>
    </row>
    <row r="3328" spans="1:5" x14ac:dyDescent="0.2">
      <c r="A3328" s="113">
        <v>38026</v>
      </c>
      <c r="B3328" s="111">
        <f t="shared" si="51"/>
        <v>22</v>
      </c>
      <c r="C3328" s="111"/>
      <c r="D3328" s="111"/>
      <c r="E3328" s="111"/>
    </row>
    <row r="3329" spans="1:5" x14ac:dyDescent="0.2">
      <c r="A3329" s="113">
        <v>38027</v>
      </c>
      <c r="B3329" s="111">
        <f t="shared" si="51"/>
        <v>22</v>
      </c>
      <c r="C3329" s="111"/>
      <c r="D3329" s="111"/>
      <c r="E3329" s="111"/>
    </row>
    <row r="3330" spans="1:5" x14ac:dyDescent="0.2">
      <c r="A3330" s="113">
        <v>38028</v>
      </c>
      <c r="B3330" s="111">
        <f t="shared" ref="B3330:B3393" si="52">VLOOKUP(WEEKNUM(A3330),$D$3:$E$58,2)</f>
        <v>22</v>
      </c>
      <c r="C3330" s="111"/>
      <c r="D3330" s="111"/>
      <c r="E3330" s="111"/>
    </row>
    <row r="3331" spans="1:5" x14ac:dyDescent="0.2">
      <c r="A3331" s="113">
        <v>38029</v>
      </c>
      <c r="B3331" s="111">
        <f t="shared" si="52"/>
        <v>22</v>
      </c>
      <c r="C3331" s="111"/>
      <c r="D3331" s="111"/>
      <c r="E3331" s="111"/>
    </row>
    <row r="3332" spans="1:5" x14ac:dyDescent="0.2">
      <c r="A3332" s="113">
        <v>38030</v>
      </c>
      <c r="B3332" s="111">
        <f t="shared" si="52"/>
        <v>22</v>
      </c>
      <c r="C3332" s="111"/>
      <c r="D3332" s="111"/>
      <c r="E3332" s="111"/>
    </row>
    <row r="3333" spans="1:5" x14ac:dyDescent="0.2">
      <c r="A3333" s="113">
        <v>38031</v>
      </c>
      <c r="B3333" s="111">
        <f t="shared" si="52"/>
        <v>22</v>
      </c>
      <c r="C3333" s="111"/>
      <c r="D3333" s="111"/>
      <c r="E3333" s="111"/>
    </row>
    <row r="3334" spans="1:5" x14ac:dyDescent="0.2">
      <c r="A3334" s="113">
        <v>38032</v>
      </c>
      <c r="B3334" s="111">
        <f t="shared" si="52"/>
        <v>23</v>
      </c>
      <c r="C3334" s="111"/>
      <c r="D3334" s="111"/>
      <c r="E3334" s="111"/>
    </row>
    <row r="3335" spans="1:5" x14ac:dyDescent="0.2">
      <c r="A3335" s="113">
        <v>38033</v>
      </c>
      <c r="B3335" s="111">
        <f t="shared" si="52"/>
        <v>23</v>
      </c>
      <c r="C3335" s="111"/>
      <c r="D3335" s="111"/>
      <c r="E3335" s="111"/>
    </row>
    <row r="3336" spans="1:5" x14ac:dyDescent="0.2">
      <c r="A3336" s="113">
        <v>38034</v>
      </c>
      <c r="B3336" s="111">
        <f t="shared" si="52"/>
        <v>23</v>
      </c>
      <c r="C3336" s="111"/>
      <c r="D3336" s="111"/>
      <c r="E3336" s="111"/>
    </row>
    <row r="3337" spans="1:5" x14ac:dyDescent="0.2">
      <c r="A3337" s="113">
        <v>38035</v>
      </c>
      <c r="B3337" s="111">
        <f t="shared" si="52"/>
        <v>23</v>
      </c>
      <c r="C3337" s="111"/>
      <c r="D3337" s="111"/>
      <c r="E3337" s="111"/>
    </row>
    <row r="3338" spans="1:5" x14ac:dyDescent="0.2">
      <c r="A3338" s="113">
        <v>38036</v>
      </c>
      <c r="B3338" s="111">
        <f t="shared" si="52"/>
        <v>23</v>
      </c>
      <c r="C3338" s="111"/>
      <c r="D3338" s="111"/>
      <c r="E3338" s="111"/>
    </row>
    <row r="3339" spans="1:5" x14ac:dyDescent="0.2">
      <c r="A3339" s="113">
        <v>38037</v>
      </c>
      <c r="B3339" s="111">
        <f t="shared" si="52"/>
        <v>23</v>
      </c>
      <c r="C3339" s="111"/>
      <c r="D3339" s="111"/>
      <c r="E3339" s="111"/>
    </row>
    <row r="3340" spans="1:5" x14ac:dyDescent="0.2">
      <c r="A3340" s="113">
        <v>38038</v>
      </c>
      <c r="B3340" s="111">
        <f t="shared" si="52"/>
        <v>23</v>
      </c>
      <c r="C3340" s="111"/>
      <c r="D3340" s="111"/>
      <c r="E3340" s="111"/>
    </row>
    <row r="3341" spans="1:5" x14ac:dyDescent="0.2">
      <c r="A3341" s="113">
        <v>38039</v>
      </c>
      <c r="B3341" s="111">
        <f t="shared" si="52"/>
        <v>24</v>
      </c>
      <c r="C3341" s="111"/>
      <c r="D3341" s="111"/>
      <c r="E3341" s="111"/>
    </row>
    <row r="3342" spans="1:5" x14ac:dyDescent="0.2">
      <c r="A3342" s="113">
        <v>38040</v>
      </c>
      <c r="B3342" s="111">
        <f t="shared" si="52"/>
        <v>24</v>
      </c>
      <c r="C3342" s="111"/>
      <c r="D3342" s="111"/>
      <c r="E3342" s="111"/>
    </row>
    <row r="3343" spans="1:5" x14ac:dyDescent="0.2">
      <c r="A3343" s="113">
        <v>38041</v>
      </c>
      <c r="B3343" s="111">
        <f t="shared" si="52"/>
        <v>24</v>
      </c>
      <c r="C3343" s="111"/>
      <c r="D3343" s="111"/>
      <c r="E3343" s="111"/>
    </row>
    <row r="3344" spans="1:5" x14ac:dyDescent="0.2">
      <c r="A3344" s="113">
        <v>38042</v>
      </c>
      <c r="B3344" s="111">
        <f t="shared" si="52"/>
        <v>24</v>
      </c>
      <c r="C3344" s="111"/>
      <c r="D3344" s="111"/>
      <c r="E3344" s="111"/>
    </row>
    <row r="3345" spans="1:5" x14ac:dyDescent="0.2">
      <c r="A3345" s="113">
        <v>38043</v>
      </c>
      <c r="B3345" s="111">
        <f t="shared" si="52"/>
        <v>24</v>
      </c>
      <c r="C3345" s="111"/>
      <c r="D3345" s="111"/>
      <c r="E3345" s="111"/>
    </row>
    <row r="3346" spans="1:5" x14ac:dyDescent="0.2">
      <c r="A3346" s="113">
        <v>38044</v>
      </c>
      <c r="B3346" s="111">
        <f t="shared" si="52"/>
        <v>24</v>
      </c>
      <c r="C3346" s="111"/>
      <c r="D3346" s="111"/>
      <c r="E3346" s="111"/>
    </row>
    <row r="3347" spans="1:5" x14ac:dyDescent="0.2">
      <c r="A3347" s="113">
        <v>38045</v>
      </c>
      <c r="B3347" s="111">
        <f t="shared" si="52"/>
        <v>24</v>
      </c>
      <c r="C3347" s="111"/>
      <c r="D3347" s="111"/>
      <c r="E3347" s="111"/>
    </row>
    <row r="3348" spans="1:5" x14ac:dyDescent="0.2">
      <c r="A3348" s="113">
        <v>38046</v>
      </c>
      <c r="B3348" s="111">
        <f t="shared" si="52"/>
        <v>31</v>
      </c>
      <c r="C3348" s="111"/>
      <c r="D3348" s="111"/>
      <c r="E3348" s="111"/>
    </row>
    <row r="3349" spans="1:5" x14ac:dyDescent="0.2">
      <c r="A3349" s="113">
        <v>38047</v>
      </c>
      <c r="B3349" s="111">
        <f t="shared" si="52"/>
        <v>31</v>
      </c>
      <c r="C3349" s="111"/>
      <c r="D3349" s="111"/>
      <c r="E3349" s="111"/>
    </row>
    <row r="3350" spans="1:5" x14ac:dyDescent="0.2">
      <c r="A3350" s="113">
        <v>38048</v>
      </c>
      <c r="B3350" s="111">
        <f t="shared" si="52"/>
        <v>31</v>
      </c>
      <c r="C3350" s="111"/>
      <c r="D3350" s="111"/>
      <c r="E3350" s="111"/>
    </row>
    <row r="3351" spans="1:5" x14ac:dyDescent="0.2">
      <c r="A3351" s="113">
        <v>38049</v>
      </c>
      <c r="B3351" s="111">
        <f t="shared" si="52"/>
        <v>31</v>
      </c>
      <c r="C3351" s="111"/>
      <c r="D3351" s="111"/>
      <c r="E3351" s="111"/>
    </row>
    <row r="3352" spans="1:5" x14ac:dyDescent="0.2">
      <c r="A3352" s="113">
        <v>38050</v>
      </c>
      <c r="B3352" s="111">
        <f t="shared" si="52"/>
        <v>31</v>
      </c>
      <c r="C3352" s="111"/>
      <c r="D3352" s="111"/>
      <c r="E3352" s="111"/>
    </row>
    <row r="3353" spans="1:5" x14ac:dyDescent="0.2">
      <c r="A3353" s="113">
        <v>38051</v>
      </c>
      <c r="B3353" s="111">
        <f t="shared" si="52"/>
        <v>31</v>
      </c>
      <c r="C3353" s="111"/>
      <c r="D3353" s="111"/>
      <c r="E3353" s="111"/>
    </row>
    <row r="3354" spans="1:5" x14ac:dyDescent="0.2">
      <c r="A3354" s="113">
        <v>38052</v>
      </c>
      <c r="B3354" s="111">
        <f t="shared" si="52"/>
        <v>31</v>
      </c>
      <c r="C3354" s="111"/>
      <c r="D3354" s="111"/>
      <c r="E3354" s="111"/>
    </row>
    <row r="3355" spans="1:5" x14ac:dyDescent="0.2">
      <c r="A3355" s="113">
        <v>38053</v>
      </c>
      <c r="B3355" s="111">
        <f t="shared" si="52"/>
        <v>32</v>
      </c>
      <c r="C3355" s="111"/>
      <c r="D3355" s="111"/>
      <c r="E3355" s="111"/>
    </row>
    <row r="3356" spans="1:5" x14ac:dyDescent="0.2">
      <c r="A3356" s="113">
        <v>38054</v>
      </c>
      <c r="B3356" s="111">
        <f t="shared" si="52"/>
        <v>32</v>
      </c>
      <c r="C3356" s="111"/>
      <c r="D3356" s="111"/>
      <c r="E3356" s="111"/>
    </row>
    <row r="3357" spans="1:5" x14ac:dyDescent="0.2">
      <c r="A3357" s="113">
        <v>38055</v>
      </c>
      <c r="B3357" s="111">
        <f t="shared" si="52"/>
        <v>32</v>
      </c>
      <c r="C3357" s="111"/>
      <c r="D3357" s="111"/>
      <c r="E3357" s="111"/>
    </row>
    <row r="3358" spans="1:5" x14ac:dyDescent="0.2">
      <c r="A3358" s="113">
        <v>38056</v>
      </c>
      <c r="B3358" s="111">
        <f t="shared" si="52"/>
        <v>32</v>
      </c>
      <c r="C3358" s="111"/>
      <c r="D3358" s="111"/>
      <c r="E3358" s="111"/>
    </row>
    <row r="3359" spans="1:5" x14ac:dyDescent="0.2">
      <c r="A3359" s="113">
        <v>38057</v>
      </c>
      <c r="B3359" s="111">
        <f t="shared" si="52"/>
        <v>32</v>
      </c>
      <c r="C3359" s="111"/>
      <c r="D3359" s="111"/>
      <c r="E3359" s="111"/>
    </row>
    <row r="3360" spans="1:5" x14ac:dyDescent="0.2">
      <c r="A3360" s="113">
        <v>38058</v>
      </c>
      <c r="B3360" s="111">
        <f t="shared" si="52"/>
        <v>32</v>
      </c>
      <c r="C3360" s="111"/>
      <c r="D3360" s="111"/>
      <c r="E3360" s="111"/>
    </row>
    <row r="3361" spans="1:5" x14ac:dyDescent="0.2">
      <c r="A3361" s="113">
        <v>38059</v>
      </c>
      <c r="B3361" s="111">
        <f t="shared" si="52"/>
        <v>32</v>
      </c>
      <c r="C3361" s="111"/>
      <c r="D3361" s="111"/>
      <c r="E3361" s="111"/>
    </row>
    <row r="3362" spans="1:5" x14ac:dyDescent="0.2">
      <c r="A3362" s="113">
        <v>38060</v>
      </c>
      <c r="B3362" s="111">
        <f t="shared" si="52"/>
        <v>33</v>
      </c>
      <c r="C3362" s="111"/>
      <c r="D3362" s="111"/>
      <c r="E3362" s="111"/>
    </row>
    <row r="3363" spans="1:5" x14ac:dyDescent="0.2">
      <c r="A3363" s="113">
        <v>38061</v>
      </c>
      <c r="B3363" s="111">
        <f t="shared" si="52"/>
        <v>33</v>
      </c>
      <c r="C3363" s="111"/>
      <c r="D3363" s="111"/>
      <c r="E3363" s="111"/>
    </row>
    <row r="3364" spans="1:5" x14ac:dyDescent="0.2">
      <c r="A3364" s="113">
        <v>38062</v>
      </c>
      <c r="B3364" s="111">
        <f t="shared" si="52"/>
        <v>33</v>
      </c>
      <c r="C3364" s="111"/>
      <c r="D3364" s="111"/>
      <c r="E3364" s="111"/>
    </row>
    <row r="3365" spans="1:5" x14ac:dyDescent="0.2">
      <c r="A3365" s="113">
        <v>38063</v>
      </c>
      <c r="B3365" s="111">
        <f t="shared" si="52"/>
        <v>33</v>
      </c>
      <c r="C3365" s="111"/>
      <c r="D3365" s="111"/>
      <c r="E3365" s="111"/>
    </row>
    <row r="3366" spans="1:5" x14ac:dyDescent="0.2">
      <c r="A3366" s="113">
        <v>38064</v>
      </c>
      <c r="B3366" s="111">
        <f t="shared" si="52"/>
        <v>33</v>
      </c>
      <c r="C3366" s="111"/>
      <c r="D3366" s="111"/>
      <c r="E3366" s="111"/>
    </row>
    <row r="3367" spans="1:5" x14ac:dyDescent="0.2">
      <c r="A3367" s="113">
        <v>38065</v>
      </c>
      <c r="B3367" s="111">
        <f t="shared" si="52"/>
        <v>33</v>
      </c>
      <c r="C3367" s="111"/>
      <c r="D3367" s="111"/>
      <c r="E3367" s="111"/>
    </row>
    <row r="3368" spans="1:5" x14ac:dyDescent="0.2">
      <c r="A3368" s="113">
        <v>38066</v>
      </c>
      <c r="B3368" s="111">
        <f t="shared" si="52"/>
        <v>33</v>
      </c>
      <c r="C3368" s="111"/>
      <c r="D3368" s="111"/>
      <c r="E3368" s="111"/>
    </row>
    <row r="3369" spans="1:5" x14ac:dyDescent="0.2">
      <c r="A3369" s="113">
        <v>38067</v>
      </c>
      <c r="B3369" s="111">
        <f t="shared" si="52"/>
        <v>34</v>
      </c>
      <c r="C3369" s="111"/>
      <c r="D3369" s="111"/>
      <c r="E3369" s="111"/>
    </row>
    <row r="3370" spans="1:5" x14ac:dyDescent="0.2">
      <c r="A3370" s="113">
        <v>38068</v>
      </c>
      <c r="B3370" s="111">
        <f t="shared" si="52"/>
        <v>34</v>
      </c>
      <c r="C3370" s="111"/>
      <c r="D3370" s="111"/>
      <c r="E3370" s="111"/>
    </row>
    <row r="3371" spans="1:5" x14ac:dyDescent="0.2">
      <c r="A3371" s="113">
        <v>38069</v>
      </c>
      <c r="B3371" s="111">
        <f t="shared" si="52"/>
        <v>34</v>
      </c>
      <c r="C3371" s="111"/>
      <c r="D3371" s="111"/>
      <c r="E3371" s="111"/>
    </row>
    <row r="3372" spans="1:5" x14ac:dyDescent="0.2">
      <c r="A3372" s="113">
        <v>38070</v>
      </c>
      <c r="B3372" s="111">
        <f t="shared" si="52"/>
        <v>34</v>
      </c>
      <c r="C3372" s="111"/>
      <c r="D3372" s="111"/>
      <c r="E3372" s="111"/>
    </row>
    <row r="3373" spans="1:5" x14ac:dyDescent="0.2">
      <c r="A3373" s="113">
        <v>38071</v>
      </c>
      <c r="B3373" s="111">
        <f t="shared" si="52"/>
        <v>34</v>
      </c>
      <c r="C3373" s="111"/>
      <c r="D3373" s="111"/>
      <c r="E3373" s="111"/>
    </row>
    <row r="3374" spans="1:5" x14ac:dyDescent="0.2">
      <c r="A3374" s="113">
        <v>38072</v>
      </c>
      <c r="B3374" s="111">
        <f t="shared" si="52"/>
        <v>34</v>
      </c>
      <c r="C3374" s="111"/>
      <c r="D3374" s="111"/>
      <c r="E3374" s="111"/>
    </row>
    <row r="3375" spans="1:5" x14ac:dyDescent="0.2">
      <c r="A3375" s="113">
        <v>38073</v>
      </c>
      <c r="B3375" s="111">
        <f t="shared" si="52"/>
        <v>34</v>
      </c>
      <c r="C3375" s="111"/>
      <c r="D3375" s="111"/>
      <c r="E3375" s="111"/>
    </row>
    <row r="3376" spans="1:5" x14ac:dyDescent="0.2">
      <c r="A3376" s="113">
        <v>38074</v>
      </c>
      <c r="B3376" s="111">
        <f t="shared" si="52"/>
        <v>41</v>
      </c>
      <c r="C3376" s="111"/>
      <c r="D3376" s="111"/>
      <c r="E3376" s="111"/>
    </row>
    <row r="3377" spans="1:5" x14ac:dyDescent="0.2">
      <c r="A3377" s="113">
        <v>38075</v>
      </c>
      <c r="B3377" s="111">
        <f t="shared" si="52"/>
        <v>41</v>
      </c>
      <c r="C3377" s="111"/>
      <c r="D3377" s="111"/>
      <c r="E3377" s="111"/>
    </row>
    <row r="3378" spans="1:5" x14ac:dyDescent="0.2">
      <c r="A3378" s="113">
        <v>38076</v>
      </c>
      <c r="B3378" s="111">
        <f t="shared" si="52"/>
        <v>41</v>
      </c>
      <c r="C3378" s="111"/>
      <c r="D3378" s="111"/>
      <c r="E3378" s="111"/>
    </row>
    <row r="3379" spans="1:5" x14ac:dyDescent="0.2">
      <c r="A3379" s="113">
        <v>38077</v>
      </c>
      <c r="B3379" s="111">
        <f t="shared" si="52"/>
        <v>41</v>
      </c>
      <c r="C3379" s="111"/>
      <c r="D3379" s="111"/>
      <c r="E3379" s="111"/>
    </row>
    <row r="3380" spans="1:5" x14ac:dyDescent="0.2">
      <c r="A3380" s="113">
        <v>38078</v>
      </c>
      <c r="B3380" s="111">
        <f t="shared" si="52"/>
        <v>41</v>
      </c>
      <c r="C3380" s="111"/>
      <c r="D3380" s="111"/>
      <c r="E3380" s="111"/>
    </row>
    <row r="3381" spans="1:5" x14ac:dyDescent="0.2">
      <c r="A3381" s="113">
        <v>38079</v>
      </c>
      <c r="B3381" s="111">
        <f t="shared" si="52"/>
        <v>41</v>
      </c>
      <c r="C3381" s="111"/>
      <c r="D3381" s="111"/>
      <c r="E3381" s="111"/>
    </row>
    <row r="3382" spans="1:5" x14ac:dyDescent="0.2">
      <c r="A3382" s="113">
        <v>38080</v>
      </c>
      <c r="B3382" s="111">
        <f t="shared" si="52"/>
        <v>41</v>
      </c>
      <c r="C3382" s="111"/>
      <c r="D3382" s="111"/>
      <c r="E3382" s="111"/>
    </row>
    <row r="3383" spans="1:5" x14ac:dyDescent="0.2">
      <c r="A3383" s="113">
        <v>38081</v>
      </c>
      <c r="B3383" s="111">
        <f t="shared" si="52"/>
        <v>42</v>
      </c>
      <c r="C3383" s="111"/>
      <c r="D3383" s="111"/>
      <c r="E3383" s="111"/>
    </row>
    <row r="3384" spans="1:5" x14ac:dyDescent="0.2">
      <c r="A3384" s="113">
        <v>38082</v>
      </c>
      <c r="B3384" s="111">
        <f t="shared" si="52"/>
        <v>42</v>
      </c>
      <c r="C3384" s="111"/>
      <c r="D3384" s="111"/>
      <c r="E3384" s="111"/>
    </row>
    <row r="3385" spans="1:5" x14ac:dyDescent="0.2">
      <c r="A3385" s="113">
        <v>38083</v>
      </c>
      <c r="B3385" s="111">
        <f t="shared" si="52"/>
        <v>42</v>
      </c>
      <c r="C3385" s="111"/>
      <c r="D3385" s="111"/>
      <c r="E3385" s="111"/>
    </row>
    <row r="3386" spans="1:5" x14ac:dyDescent="0.2">
      <c r="A3386" s="113">
        <v>38084</v>
      </c>
      <c r="B3386" s="111">
        <f t="shared" si="52"/>
        <v>42</v>
      </c>
      <c r="C3386" s="111"/>
      <c r="D3386" s="111"/>
      <c r="E3386" s="111"/>
    </row>
    <row r="3387" spans="1:5" x14ac:dyDescent="0.2">
      <c r="A3387" s="113">
        <v>38085</v>
      </c>
      <c r="B3387" s="111">
        <f t="shared" si="52"/>
        <v>42</v>
      </c>
      <c r="C3387" s="111"/>
      <c r="D3387" s="111"/>
      <c r="E3387" s="111"/>
    </row>
    <row r="3388" spans="1:5" x14ac:dyDescent="0.2">
      <c r="A3388" s="113">
        <v>38086</v>
      </c>
      <c r="B3388" s="111">
        <f t="shared" si="52"/>
        <v>42</v>
      </c>
      <c r="C3388" s="111"/>
      <c r="D3388" s="111"/>
      <c r="E3388" s="111"/>
    </row>
    <row r="3389" spans="1:5" x14ac:dyDescent="0.2">
      <c r="A3389" s="113">
        <v>38087</v>
      </c>
      <c r="B3389" s="111">
        <f t="shared" si="52"/>
        <v>42</v>
      </c>
      <c r="C3389" s="111"/>
      <c r="D3389" s="111"/>
      <c r="E3389" s="111"/>
    </row>
    <row r="3390" spans="1:5" x14ac:dyDescent="0.2">
      <c r="A3390" s="113">
        <v>38088</v>
      </c>
      <c r="B3390" s="111">
        <f t="shared" si="52"/>
        <v>43</v>
      </c>
      <c r="C3390" s="111"/>
      <c r="D3390" s="111"/>
      <c r="E3390" s="111"/>
    </row>
    <row r="3391" spans="1:5" x14ac:dyDescent="0.2">
      <c r="A3391" s="113">
        <v>38089</v>
      </c>
      <c r="B3391" s="111">
        <f t="shared" si="52"/>
        <v>43</v>
      </c>
      <c r="C3391" s="111"/>
      <c r="D3391" s="111"/>
      <c r="E3391" s="111"/>
    </row>
    <row r="3392" spans="1:5" x14ac:dyDescent="0.2">
      <c r="A3392" s="113">
        <v>38090</v>
      </c>
      <c r="B3392" s="111">
        <f t="shared" si="52"/>
        <v>43</v>
      </c>
      <c r="C3392" s="111"/>
      <c r="D3392" s="111"/>
      <c r="E3392" s="111"/>
    </row>
    <row r="3393" spans="1:5" x14ac:dyDescent="0.2">
      <c r="A3393" s="113">
        <v>38091</v>
      </c>
      <c r="B3393" s="111">
        <f t="shared" si="52"/>
        <v>43</v>
      </c>
      <c r="C3393" s="111"/>
      <c r="D3393" s="111"/>
      <c r="E3393" s="111"/>
    </row>
    <row r="3394" spans="1:5" x14ac:dyDescent="0.2">
      <c r="A3394" s="113">
        <v>38092</v>
      </c>
      <c r="B3394" s="111">
        <f t="shared" ref="B3394:B3457" si="53">VLOOKUP(WEEKNUM(A3394),$D$3:$E$58,2)</f>
        <v>43</v>
      </c>
      <c r="C3394" s="111"/>
      <c r="D3394" s="111"/>
      <c r="E3394" s="111"/>
    </row>
    <row r="3395" spans="1:5" x14ac:dyDescent="0.2">
      <c r="A3395" s="113">
        <v>38093</v>
      </c>
      <c r="B3395" s="111">
        <f t="shared" si="53"/>
        <v>43</v>
      </c>
      <c r="C3395" s="111"/>
      <c r="D3395" s="111"/>
      <c r="E3395" s="111"/>
    </row>
    <row r="3396" spans="1:5" x14ac:dyDescent="0.2">
      <c r="A3396" s="113">
        <v>38094</v>
      </c>
      <c r="B3396" s="111">
        <f t="shared" si="53"/>
        <v>43</v>
      </c>
      <c r="C3396" s="111"/>
      <c r="D3396" s="111"/>
      <c r="E3396" s="111"/>
    </row>
    <row r="3397" spans="1:5" x14ac:dyDescent="0.2">
      <c r="A3397" s="113">
        <v>38095</v>
      </c>
      <c r="B3397" s="111">
        <f t="shared" si="53"/>
        <v>44</v>
      </c>
      <c r="C3397" s="111"/>
      <c r="D3397" s="111"/>
      <c r="E3397" s="111"/>
    </row>
    <row r="3398" spans="1:5" x14ac:dyDescent="0.2">
      <c r="A3398" s="113">
        <v>38096</v>
      </c>
      <c r="B3398" s="111">
        <f t="shared" si="53"/>
        <v>44</v>
      </c>
      <c r="C3398" s="111"/>
      <c r="D3398" s="111"/>
      <c r="E3398" s="111"/>
    </row>
    <row r="3399" spans="1:5" x14ac:dyDescent="0.2">
      <c r="A3399" s="113">
        <v>38097</v>
      </c>
      <c r="B3399" s="111">
        <f t="shared" si="53"/>
        <v>44</v>
      </c>
      <c r="C3399" s="111"/>
      <c r="D3399" s="111"/>
      <c r="E3399" s="111"/>
    </row>
    <row r="3400" spans="1:5" x14ac:dyDescent="0.2">
      <c r="A3400" s="113">
        <v>38098</v>
      </c>
      <c r="B3400" s="111">
        <f t="shared" si="53"/>
        <v>44</v>
      </c>
      <c r="C3400" s="111"/>
      <c r="D3400" s="111"/>
      <c r="E3400" s="111"/>
    </row>
    <row r="3401" spans="1:5" x14ac:dyDescent="0.2">
      <c r="A3401" s="113">
        <v>38099</v>
      </c>
      <c r="B3401" s="111">
        <f t="shared" si="53"/>
        <v>44</v>
      </c>
      <c r="C3401" s="111"/>
      <c r="D3401" s="111"/>
      <c r="E3401" s="111"/>
    </row>
    <row r="3402" spans="1:5" x14ac:dyDescent="0.2">
      <c r="A3402" s="113">
        <v>38100</v>
      </c>
      <c r="B3402" s="111">
        <f t="shared" si="53"/>
        <v>44</v>
      </c>
      <c r="C3402" s="111"/>
      <c r="D3402" s="111"/>
      <c r="E3402" s="111"/>
    </row>
    <row r="3403" spans="1:5" x14ac:dyDescent="0.2">
      <c r="A3403" s="113">
        <v>38101</v>
      </c>
      <c r="B3403" s="111">
        <f t="shared" si="53"/>
        <v>44</v>
      </c>
      <c r="C3403" s="111"/>
      <c r="D3403" s="111"/>
      <c r="E3403" s="111"/>
    </row>
    <row r="3404" spans="1:5" x14ac:dyDescent="0.2">
      <c r="A3404" s="113">
        <v>38102</v>
      </c>
      <c r="B3404" s="111">
        <f t="shared" si="53"/>
        <v>45</v>
      </c>
      <c r="C3404" s="111"/>
      <c r="D3404" s="111"/>
      <c r="E3404" s="111"/>
    </row>
    <row r="3405" spans="1:5" x14ac:dyDescent="0.2">
      <c r="A3405" s="113">
        <v>38103</v>
      </c>
      <c r="B3405" s="111">
        <f t="shared" si="53"/>
        <v>45</v>
      </c>
      <c r="C3405" s="111"/>
      <c r="D3405" s="111"/>
      <c r="E3405" s="111"/>
    </row>
    <row r="3406" spans="1:5" x14ac:dyDescent="0.2">
      <c r="A3406" s="113">
        <v>38104</v>
      </c>
      <c r="B3406" s="111">
        <f t="shared" si="53"/>
        <v>45</v>
      </c>
      <c r="C3406" s="111"/>
      <c r="D3406" s="111"/>
      <c r="E3406" s="111"/>
    </row>
    <row r="3407" spans="1:5" x14ac:dyDescent="0.2">
      <c r="A3407" s="113">
        <v>38105</v>
      </c>
      <c r="B3407" s="111">
        <f t="shared" si="53"/>
        <v>45</v>
      </c>
      <c r="C3407" s="111"/>
      <c r="D3407" s="111"/>
      <c r="E3407" s="111"/>
    </row>
    <row r="3408" spans="1:5" x14ac:dyDescent="0.2">
      <c r="A3408" s="113">
        <v>38106</v>
      </c>
      <c r="B3408" s="111">
        <f t="shared" si="53"/>
        <v>45</v>
      </c>
      <c r="C3408" s="111"/>
      <c r="D3408" s="111"/>
      <c r="E3408" s="111"/>
    </row>
    <row r="3409" spans="1:5" x14ac:dyDescent="0.2">
      <c r="A3409" s="113">
        <v>38107</v>
      </c>
      <c r="B3409" s="111">
        <f t="shared" si="53"/>
        <v>45</v>
      </c>
      <c r="C3409" s="111"/>
      <c r="D3409" s="111"/>
      <c r="E3409" s="111"/>
    </row>
    <row r="3410" spans="1:5" x14ac:dyDescent="0.2">
      <c r="A3410" s="113">
        <v>38108</v>
      </c>
      <c r="B3410" s="111">
        <f t="shared" si="53"/>
        <v>45</v>
      </c>
      <c r="C3410" s="111"/>
      <c r="D3410" s="111"/>
      <c r="E3410" s="111"/>
    </row>
    <row r="3411" spans="1:5" x14ac:dyDescent="0.2">
      <c r="A3411" s="113">
        <v>38109</v>
      </c>
      <c r="B3411" s="111">
        <f t="shared" si="53"/>
        <v>51</v>
      </c>
      <c r="C3411" s="111"/>
      <c r="D3411" s="111"/>
      <c r="E3411" s="111"/>
    </row>
    <row r="3412" spans="1:5" x14ac:dyDescent="0.2">
      <c r="A3412" s="113">
        <v>38110</v>
      </c>
      <c r="B3412" s="111">
        <f t="shared" si="53"/>
        <v>51</v>
      </c>
      <c r="C3412" s="111"/>
      <c r="D3412" s="111"/>
      <c r="E3412" s="111"/>
    </row>
    <row r="3413" spans="1:5" x14ac:dyDescent="0.2">
      <c r="A3413" s="113">
        <v>38111</v>
      </c>
      <c r="B3413" s="111">
        <f t="shared" si="53"/>
        <v>51</v>
      </c>
      <c r="C3413" s="111"/>
      <c r="D3413" s="111"/>
      <c r="E3413" s="111"/>
    </row>
    <row r="3414" spans="1:5" x14ac:dyDescent="0.2">
      <c r="A3414" s="113">
        <v>38112</v>
      </c>
      <c r="B3414" s="111">
        <f t="shared" si="53"/>
        <v>51</v>
      </c>
      <c r="C3414" s="111"/>
      <c r="D3414" s="111"/>
      <c r="E3414" s="111"/>
    </row>
    <row r="3415" spans="1:5" x14ac:dyDescent="0.2">
      <c r="A3415" s="113">
        <v>38113</v>
      </c>
      <c r="B3415" s="111">
        <f t="shared" si="53"/>
        <v>51</v>
      </c>
      <c r="C3415" s="111"/>
      <c r="D3415" s="111"/>
      <c r="E3415" s="111"/>
    </row>
    <row r="3416" spans="1:5" x14ac:dyDescent="0.2">
      <c r="A3416" s="113">
        <v>38114</v>
      </c>
      <c r="B3416" s="111">
        <f t="shared" si="53"/>
        <v>51</v>
      </c>
      <c r="C3416" s="111"/>
      <c r="D3416" s="111"/>
      <c r="E3416" s="111"/>
    </row>
    <row r="3417" spans="1:5" x14ac:dyDescent="0.2">
      <c r="A3417" s="113">
        <v>38115</v>
      </c>
      <c r="B3417" s="111">
        <f t="shared" si="53"/>
        <v>51</v>
      </c>
      <c r="C3417" s="111"/>
      <c r="D3417" s="111"/>
      <c r="E3417" s="111"/>
    </row>
    <row r="3418" spans="1:5" x14ac:dyDescent="0.2">
      <c r="A3418" s="113">
        <v>38116</v>
      </c>
      <c r="B3418" s="111">
        <f t="shared" si="53"/>
        <v>52</v>
      </c>
      <c r="C3418" s="111"/>
      <c r="D3418" s="111"/>
      <c r="E3418" s="111"/>
    </row>
    <row r="3419" spans="1:5" x14ac:dyDescent="0.2">
      <c r="A3419" s="113">
        <v>38117</v>
      </c>
      <c r="B3419" s="111">
        <f t="shared" si="53"/>
        <v>52</v>
      </c>
      <c r="C3419" s="111"/>
      <c r="D3419" s="111"/>
      <c r="E3419" s="111"/>
    </row>
    <row r="3420" spans="1:5" x14ac:dyDescent="0.2">
      <c r="A3420" s="113">
        <v>38118</v>
      </c>
      <c r="B3420" s="111">
        <f t="shared" si="53"/>
        <v>52</v>
      </c>
      <c r="C3420" s="111"/>
      <c r="D3420" s="111"/>
      <c r="E3420" s="111"/>
    </row>
    <row r="3421" spans="1:5" x14ac:dyDescent="0.2">
      <c r="A3421" s="113">
        <v>38119</v>
      </c>
      <c r="B3421" s="111">
        <f t="shared" si="53"/>
        <v>52</v>
      </c>
      <c r="C3421" s="111"/>
      <c r="D3421" s="111"/>
      <c r="E3421" s="111"/>
    </row>
    <row r="3422" spans="1:5" x14ac:dyDescent="0.2">
      <c r="A3422" s="113">
        <v>38120</v>
      </c>
      <c r="B3422" s="111">
        <f t="shared" si="53"/>
        <v>52</v>
      </c>
      <c r="C3422" s="111"/>
      <c r="D3422" s="111"/>
      <c r="E3422" s="111"/>
    </row>
    <row r="3423" spans="1:5" x14ac:dyDescent="0.2">
      <c r="A3423" s="113">
        <v>38121</v>
      </c>
      <c r="B3423" s="111">
        <f t="shared" si="53"/>
        <v>52</v>
      </c>
      <c r="C3423" s="111"/>
      <c r="D3423" s="111"/>
      <c r="E3423" s="111"/>
    </row>
    <row r="3424" spans="1:5" x14ac:dyDescent="0.2">
      <c r="A3424" s="113">
        <v>38122</v>
      </c>
      <c r="B3424" s="111">
        <f t="shared" si="53"/>
        <v>52</v>
      </c>
      <c r="C3424" s="111"/>
      <c r="D3424" s="111"/>
      <c r="E3424" s="111"/>
    </row>
    <row r="3425" spans="1:5" x14ac:dyDescent="0.2">
      <c r="A3425" s="113">
        <v>38123</v>
      </c>
      <c r="B3425" s="111">
        <f t="shared" si="53"/>
        <v>53</v>
      </c>
      <c r="C3425" s="111"/>
      <c r="D3425" s="111"/>
      <c r="E3425" s="111"/>
    </row>
    <row r="3426" spans="1:5" x14ac:dyDescent="0.2">
      <c r="A3426" s="113">
        <v>38124</v>
      </c>
      <c r="B3426" s="111">
        <f t="shared" si="53"/>
        <v>53</v>
      </c>
      <c r="C3426" s="111"/>
      <c r="D3426" s="111"/>
      <c r="E3426" s="111"/>
    </row>
    <row r="3427" spans="1:5" x14ac:dyDescent="0.2">
      <c r="A3427" s="113">
        <v>38125</v>
      </c>
      <c r="B3427" s="111">
        <f t="shared" si="53"/>
        <v>53</v>
      </c>
      <c r="C3427" s="111"/>
      <c r="D3427" s="111"/>
      <c r="E3427" s="111"/>
    </row>
    <row r="3428" spans="1:5" x14ac:dyDescent="0.2">
      <c r="A3428" s="113">
        <v>38126</v>
      </c>
      <c r="B3428" s="111">
        <f t="shared" si="53"/>
        <v>53</v>
      </c>
      <c r="C3428" s="111"/>
      <c r="D3428" s="111"/>
      <c r="E3428" s="111"/>
    </row>
    <row r="3429" spans="1:5" x14ac:dyDescent="0.2">
      <c r="A3429" s="113">
        <v>38127</v>
      </c>
      <c r="B3429" s="111">
        <f t="shared" si="53"/>
        <v>53</v>
      </c>
      <c r="C3429" s="111"/>
      <c r="D3429" s="111"/>
      <c r="E3429" s="111"/>
    </row>
    <row r="3430" spans="1:5" x14ac:dyDescent="0.2">
      <c r="A3430" s="113">
        <v>38128</v>
      </c>
      <c r="B3430" s="111">
        <f t="shared" si="53"/>
        <v>53</v>
      </c>
      <c r="C3430" s="111"/>
      <c r="D3430" s="111"/>
      <c r="E3430" s="111"/>
    </row>
    <row r="3431" spans="1:5" x14ac:dyDescent="0.2">
      <c r="A3431" s="113">
        <v>38129</v>
      </c>
      <c r="B3431" s="111">
        <f t="shared" si="53"/>
        <v>53</v>
      </c>
      <c r="C3431" s="111"/>
      <c r="D3431" s="111"/>
      <c r="E3431" s="111"/>
    </row>
    <row r="3432" spans="1:5" x14ac:dyDescent="0.2">
      <c r="A3432" s="113">
        <v>38130</v>
      </c>
      <c r="B3432" s="111">
        <f t="shared" si="53"/>
        <v>54</v>
      </c>
      <c r="C3432" s="111"/>
      <c r="D3432" s="111"/>
      <c r="E3432" s="111"/>
    </row>
    <row r="3433" spans="1:5" x14ac:dyDescent="0.2">
      <c r="A3433" s="113">
        <v>38131</v>
      </c>
      <c r="B3433" s="111">
        <f t="shared" si="53"/>
        <v>54</v>
      </c>
      <c r="C3433" s="111"/>
      <c r="D3433" s="111"/>
      <c r="E3433" s="111"/>
    </row>
    <row r="3434" spans="1:5" x14ac:dyDescent="0.2">
      <c r="A3434" s="113">
        <v>38132</v>
      </c>
      <c r="B3434" s="111">
        <f t="shared" si="53"/>
        <v>54</v>
      </c>
      <c r="C3434" s="111"/>
      <c r="D3434" s="111"/>
      <c r="E3434" s="111"/>
    </row>
    <row r="3435" spans="1:5" x14ac:dyDescent="0.2">
      <c r="A3435" s="113">
        <v>38133</v>
      </c>
      <c r="B3435" s="111">
        <f t="shared" si="53"/>
        <v>54</v>
      </c>
      <c r="C3435" s="111"/>
      <c r="D3435" s="111"/>
      <c r="E3435" s="111"/>
    </row>
    <row r="3436" spans="1:5" x14ac:dyDescent="0.2">
      <c r="A3436" s="113">
        <v>38134</v>
      </c>
      <c r="B3436" s="111">
        <f t="shared" si="53"/>
        <v>54</v>
      </c>
      <c r="C3436" s="111"/>
      <c r="D3436" s="111"/>
      <c r="E3436" s="111"/>
    </row>
    <row r="3437" spans="1:5" x14ac:dyDescent="0.2">
      <c r="A3437" s="113">
        <v>38135</v>
      </c>
      <c r="B3437" s="111">
        <f t="shared" si="53"/>
        <v>54</v>
      </c>
      <c r="C3437" s="111"/>
      <c r="D3437" s="111"/>
      <c r="E3437" s="111"/>
    </row>
    <row r="3438" spans="1:5" x14ac:dyDescent="0.2">
      <c r="A3438" s="113">
        <v>38136</v>
      </c>
      <c r="B3438" s="111">
        <f t="shared" si="53"/>
        <v>54</v>
      </c>
      <c r="C3438" s="111"/>
      <c r="D3438" s="111"/>
      <c r="E3438" s="111"/>
    </row>
    <row r="3439" spans="1:5" x14ac:dyDescent="0.2">
      <c r="A3439" s="113">
        <v>38137</v>
      </c>
      <c r="B3439" s="111">
        <f t="shared" si="53"/>
        <v>61</v>
      </c>
      <c r="C3439" s="111"/>
      <c r="D3439" s="111"/>
      <c r="E3439" s="111"/>
    </row>
    <row r="3440" spans="1:5" x14ac:dyDescent="0.2">
      <c r="A3440" s="113">
        <v>38138</v>
      </c>
      <c r="B3440" s="111">
        <f t="shared" si="53"/>
        <v>61</v>
      </c>
      <c r="C3440" s="111"/>
      <c r="D3440" s="111"/>
      <c r="E3440" s="111"/>
    </row>
    <row r="3441" spans="1:5" x14ac:dyDescent="0.2">
      <c r="A3441" s="113">
        <v>38139</v>
      </c>
      <c r="B3441" s="111">
        <f t="shared" si="53"/>
        <v>61</v>
      </c>
      <c r="C3441" s="111"/>
      <c r="D3441" s="111"/>
      <c r="E3441" s="111"/>
    </row>
    <row r="3442" spans="1:5" x14ac:dyDescent="0.2">
      <c r="A3442" s="113">
        <v>38140</v>
      </c>
      <c r="B3442" s="111">
        <f t="shared" si="53"/>
        <v>61</v>
      </c>
      <c r="C3442" s="111"/>
      <c r="D3442" s="111"/>
      <c r="E3442" s="111"/>
    </row>
    <row r="3443" spans="1:5" x14ac:dyDescent="0.2">
      <c r="A3443" s="113">
        <v>38141</v>
      </c>
      <c r="B3443" s="111">
        <f t="shared" si="53"/>
        <v>61</v>
      </c>
      <c r="C3443" s="111"/>
      <c r="D3443" s="111"/>
      <c r="E3443" s="111"/>
    </row>
    <row r="3444" spans="1:5" x14ac:dyDescent="0.2">
      <c r="A3444" s="113">
        <v>38142</v>
      </c>
      <c r="B3444" s="111">
        <f t="shared" si="53"/>
        <v>61</v>
      </c>
      <c r="C3444" s="111"/>
      <c r="D3444" s="111"/>
      <c r="E3444" s="111"/>
    </row>
    <row r="3445" spans="1:5" x14ac:dyDescent="0.2">
      <c r="A3445" s="113">
        <v>38143</v>
      </c>
      <c r="B3445" s="111">
        <f t="shared" si="53"/>
        <v>61</v>
      </c>
      <c r="C3445" s="111"/>
      <c r="D3445" s="111"/>
      <c r="E3445" s="111"/>
    </row>
    <row r="3446" spans="1:5" x14ac:dyDescent="0.2">
      <c r="A3446" s="113">
        <v>38144</v>
      </c>
      <c r="B3446" s="111">
        <f t="shared" si="53"/>
        <v>62</v>
      </c>
      <c r="C3446" s="111"/>
      <c r="D3446" s="111"/>
      <c r="E3446" s="111"/>
    </row>
    <row r="3447" spans="1:5" x14ac:dyDescent="0.2">
      <c r="A3447" s="113">
        <v>38145</v>
      </c>
      <c r="B3447" s="111">
        <f t="shared" si="53"/>
        <v>62</v>
      </c>
      <c r="C3447" s="111"/>
      <c r="D3447" s="111"/>
      <c r="E3447" s="111"/>
    </row>
    <row r="3448" spans="1:5" x14ac:dyDescent="0.2">
      <c r="A3448" s="113">
        <v>38146</v>
      </c>
      <c r="B3448" s="111">
        <f t="shared" si="53"/>
        <v>62</v>
      </c>
      <c r="C3448" s="111"/>
      <c r="D3448" s="111"/>
      <c r="E3448" s="111"/>
    </row>
    <row r="3449" spans="1:5" x14ac:dyDescent="0.2">
      <c r="A3449" s="113">
        <v>38147</v>
      </c>
      <c r="B3449" s="111">
        <f t="shared" si="53"/>
        <v>62</v>
      </c>
      <c r="C3449" s="111"/>
      <c r="D3449" s="111"/>
      <c r="E3449" s="111"/>
    </row>
    <row r="3450" spans="1:5" x14ac:dyDescent="0.2">
      <c r="A3450" s="113">
        <v>38148</v>
      </c>
      <c r="B3450" s="111">
        <f t="shared" si="53"/>
        <v>62</v>
      </c>
      <c r="C3450" s="111"/>
      <c r="D3450" s="111"/>
      <c r="E3450" s="111"/>
    </row>
    <row r="3451" spans="1:5" x14ac:dyDescent="0.2">
      <c r="A3451" s="113">
        <v>38149</v>
      </c>
      <c r="B3451" s="111">
        <f t="shared" si="53"/>
        <v>62</v>
      </c>
      <c r="C3451" s="111"/>
      <c r="D3451" s="111"/>
      <c r="E3451" s="111"/>
    </row>
    <row r="3452" spans="1:5" x14ac:dyDescent="0.2">
      <c r="A3452" s="113">
        <v>38150</v>
      </c>
      <c r="B3452" s="111">
        <f t="shared" si="53"/>
        <v>62</v>
      </c>
      <c r="C3452" s="111"/>
      <c r="D3452" s="111"/>
      <c r="E3452" s="111"/>
    </row>
    <row r="3453" spans="1:5" x14ac:dyDescent="0.2">
      <c r="A3453" s="113">
        <v>38151</v>
      </c>
      <c r="B3453" s="111">
        <f t="shared" si="53"/>
        <v>63</v>
      </c>
      <c r="C3453" s="111"/>
      <c r="D3453" s="111"/>
      <c r="E3453" s="111"/>
    </row>
    <row r="3454" spans="1:5" x14ac:dyDescent="0.2">
      <c r="A3454" s="113">
        <v>38152</v>
      </c>
      <c r="B3454" s="111">
        <f t="shared" si="53"/>
        <v>63</v>
      </c>
      <c r="C3454" s="111"/>
      <c r="D3454" s="111"/>
      <c r="E3454" s="111"/>
    </row>
    <row r="3455" spans="1:5" x14ac:dyDescent="0.2">
      <c r="A3455" s="113">
        <v>38153</v>
      </c>
      <c r="B3455" s="111">
        <f t="shared" si="53"/>
        <v>63</v>
      </c>
      <c r="C3455" s="111"/>
      <c r="D3455" s="111"/>
      <c r="E3455" s="111"/>
    </row>
    <row r="3456" spans="1:5" x14ac:dyDescent="0.2">
      <c r="A3456" s="113">
        <v>38154</v>
      </c>
      <c r="B3456" s="111">
        <f t="shared" si="53"/>
        <v>63</v>
      </c>
      <c r="C3456" s="111"/>
      <c r="D3456" s="111"/>
      <c r="E3456" s="111"/>
    </row>
    <row r="3457" spans="1:5" x14ac:dyDescent="0.2">
      <c r="A3457" s="113">
        <v>38155</v>
      </c>
      <c r="B3457" s="111">
        <f t="shared" si="53"/>
        <v>63</v>
      </c>
      <c r="C3457" s="111"/>
      <c r="D3457" s="111"/>
      <c r="E3457" s="111"/>
    </row>
    <row r="3458" spans="1:5" x14ac:dyDescent="0.2">
      <c r="A3458" s="113">
        <v>38156</v>
      </c>
      <c r="B3458" s="111">
        <f t="shared" ref="B3458:B3521" si="54">VLOOKUP(WEEKNUM(A3458),$D$3:$E$58,2)</f>
        <v>63</v>
      </c>
      <c r="C3458" s="111"/>
      <c r="D3458" s="111"/>
      <c r="E3458" s="111"/>
    </row>
    <row r="3459" spans="1:5" x14ac:dyDescent="0.2">
      <c r="A3459" s="113">
        <v>38157</v>
      </c>
      <c r="B3459" s="111">
        <f t="shared" si="54"/>
        <v>63</v>
      </c>
      <c r="C3459" s="111"/>
      <c r="D3459" s="111"/>
      <c r="E3459" s="111"/>
    </row>
    <row r="3460" spans="1:5" x14ac:dyDescent="0.2">
      <c r="A3460" s="113">
        <v>38158</v>
      </c>
      <c r="B3460" s="111">
        <f t="shared" si="54"/>
        <v>64</v>
      </c>
      <c r="C3460" s="111"/>
      <c r="D3460" s="111"/>
      <c r="E3460" s="111"/>
    </row>
    <row r="3461" spans="1:5" x14ac:dyDescent="0.2">
      <c r="A3461" s="113">
        <v>38159</v>
      </c>
      <c r="B3461" s="111">
        <f t="shared" si="54"/>
        <v>64</v>
      </c>
      <c r="C3461" s="111"/>
      <c r="D3461" s="111"/>
      <c r="E3461" s="111"/>
    </row>
    <row r="3462" spans="1:5" x14ac:dyDescent="0.2">
      <c r="A3462" s="113">
        <v>38160</v>
      </c>
      <c r="B3462" s="111">
        <f t="shared" si="54"/>
        <v>64</v>
      </c>
      <c r="C3462" s="111"/>
      <c r="D3462" s="111"/>
      <c r="E3462" s="111"/>
    </row>
    <row r="3463" spans="1:5" x14ac:dyDescent="0.2">
      <c r="A3463" s="113">
        <v>38161</v>
      </c>
      <c r="B3463" s="111">
        <f t="shared" si="54"/>
        <v>64</v>
      </c>
      <c r="C3463" s="111"/>
      <c r="D3463" s="111"/>
      <c r="E3463" s="111"/>
    </row>
    <row r="3464" spans="1:5" x14ac:dyDescent="0.2">
      <c r="A3464" s="113">
        <v>38162</v>
      </c>
      <c r="B3464" s="111">
        <f t="shared" si="54"/>
        <v>64</v>
      </c>
      <c r="C3464" s="111"/>
      <c r="D3464" s="111"/>
      <c r="E3464" s="111"/>
    </row>
    <row r="3465" spans="1:5" x14ac:dyDescent="0.2">
      <c r="A3465" s="113">
        <v>38163</v>
      </c>
      <c r="B3465" s="111">
        <f t="shared" si="54"/>
        <v>64</v>
      </c>
      <c r="C3465" s="111"/>
      <c r="D3465" s="111"/>
      <c r="E3465" s="111"/>
    </row>
    <row r="3466" spans="1:5" x14ac:dyDescent="0.2">
      <c r="A3466" s="113">
        <v>38164</v>
      </c>
      <c r="B3466" s="111">
        <f t="shared" si="54"/>
        <v>64</v>
      </c>
      <c r="C3466" s="111"/>
      <c r="D3466" s="111"/>
      <c r="E3466" s="111"/>
    </row>
    <row r="3467" spans="1:5" x14ac:dyDescent="0.2">
      <c r="A3467" s="113">
        <v>38165</v>
      </c>
      <c r="B3467" s="111">
        <f t="shared" si="54"/>
        <v>71</v>
      </c>
      <c r="C3467" s="111"/>
      <c r="D3467" s="111"/>
      <c r="E3467" s="111"/>
    </row>
    <row r="3468" spans="1:5" x14ac:dyDescent="0.2">
      <c r="A3468" s="113">
        <v>38166</v>
      </c>
      <c r="B3468" s="111">
        <f t="shared" si="54"/>
        <v>71</v>
      </c>
      <c r="C3468" s="111"/>
      <c r="D3468" s="111"/>
      <c r="E3468" s="111"/>
    </row>
    <row r="3469" spans="1:5" x14ac:dyDescent="0.2">
      <c r="A3469" s="113">
        <v>38167</v>
      </c>
      <c r="B3469" s="111">
        <f t="shared" si="54"/>
        <v>71</v>
      </c>
      <c r="C3469" s="111"/>
      <c r="D3469" s="111"/>
      <c r="E3469" s="111"/>
    </row>
    <row r="3470" spans="1:5" x14ac:dyDescent="0.2">
      <c r="A3470" s="113">
        <v>38168</v>
      </c>
      <c r="B3470" s="111">
        <f t="shared" si="54"/>
        <v>71</v>
      </c>
      <c r="C3470" s="111"/>
      <c r="D3470" s="111"/>
      <c r="E3470" s="111"/>
    </row>
    <row r="3471" spans="1:5" x14ac:dyDescent="0.2">
      <c r="A3471" s="113">
        <v>38169</v>
      </c>
      <c r="B3471" s="111">
        <f t="shared" si="54"/>
        <v>71</v>
      </c>
      <c r="C3471" s="111"/>
      <c r="D3471" s="111"/>
      <c r="E3471" s="111"/>
    </row>
    <row r="3472" spans="1:5" x14ac:dyDescent="0.2">
      <c r="A3472" s="113">
        <v>38170</v>
      </c>
      <c r="B3472" s="111">
        <f t="shared" si="54"/>
        <v>71</v>
      </c>
      <c r="C3472" s="111"/>
      <c r="D3472" s="111"/>
      <c r="E3472" s="111"/>
    </row>
    <row r="3473" spans="1:5" x14ac:dyDescent="0.2">
      <c r="A3473" s="113">
        <v>38171</v>
      </c>
      <c r="B3473" s="111">
        <f t="shared" si="54"/>
        <v>71</v>
      </c>
      <c r="C3473" s="111"/>
      <c r="D3473" s="111"/>
      <c r="E3473" s="111"/>
    </row>
    <row r="3474" spans="1:5" x14ac:dyDescent="0.2">
      <c r="A3474" s="113">
        <v>38172</v>
      </c>
      <c r="B3474" s="111">
        <f t="shared" si="54"/>
        <v>72</v>
      </c>
      <c r="C3474" s="111"/>
      <c r="D3474" s="111"/>
      <c r="E3474" s="111"/>
    </row>
    <row r="3475" spans="1:5" x14ac:dyDescent="0.2">
      <c r="A3475" s="113">
        <v>38173</v>
      </c>
      <c r="B3475" s="111">
        <f t="shared" si="54"/>
        <v>72</v>
      </c>
      <c r="C3475" s="111"/>
      <c r="D3475" s="111"/>
      <c r="E3475" s="111"/>
    </row>
    <row r="3476" spans="1:5" x14ac:dyDescent="0.2">
      <c r="A3476" s="113">
        <v>38174</v>
      </c>
      <c r="B3476" s="111">
        <f t="shared" si="54"/>
        <v>72</v>
      </c>
      <c r="C3476" s="111"/>
      <c r="D3476" s="111"/>
      <c r="E3476" s="111"/>
    </row>
    <row r="3477" spans="1:5" x14ac:dyDescent="0.2">
      <c r="A3477" s="113">
        <v>38175</v>
      </c>
      <c r="B3477" s="111">
        <f t="shared" si="54"/>
        <v>72</v>
      </c>
      <c r="C3477" s="111"/>
      <c r="D3477" s="111"/>
      <c r="E3477" s="111"/>
    </row>
    <row r="3478" spans="1:5" x14ac:dyDescent="0.2">
      <c r="A3478" s="113">
        <v>38176</v>
      </c>
      <c r="B3478" s="111">
        <f t="shared" si="54"/>
        <v>72</v>
      </c>
      <c r="C3478" s="111"/>
      <c r="D3478" s="111"/>
      <c r="E3478" s="111"/>
    </row>
    <row r="3479" spans="1:5" x14ac:dyDescent="0.2">
      <c r="A3479" s="113">
        <v>38177</v>
      </c>
      <c r="B3479" s="111">
        <f t="shared" si="54"/>
        <v>72</v>
      </c>
      <c r="C3479" s="111"/>
      <c r="D3479" s="111"/>
      <c r="E3479" s="111"/>
    </row>
    <row r="3480" spans="1:5" x14ac:dyDescent="0.2">
      <c r="A3480" s="113">
        <v>38178</v>
      </c>
      <c r="B3480" s="111">
        <f t="shared" si="54"/>
        <v>72</v>
      </c>
      <c r="C3480" s="111"/>
      <c r="D3480" s="111"/>
      <c r="E3480" s="111"/>
    </row>
    <row r="3481" spans="1:5" x14ac:dyDescent="0.2">
      <c r="A3481" s="113">
        <v>38179</v>
      </c>
      <c r="B3481" s="111">
        <f t="shared" si="54"/>
        <v>73</v>
      </c>
      <c r="C3481" s="111"/>
      <c r="D3481" s="111"/>
      <c r="E3481" s="111"/>
    </row>
    <row r="3482" spans="1:5" x14ac:dyDescent="0.2">
      <c r="A3482" s="113">
        <v>38180</v>
      </c>
      <c r="B3482" s="111">
        <f t="shared" si="54"/>
        <v>73</v>
      </c>
      <c r="C3482" s="111"/>
      <c r="D3482" s="111"/>
      <c r="E3482" s="111"/>
    </row>
    <row r="3483" spans="1:5" x14ac:dyDescent="0.2">
      <c r="A3483" s="113">
        <v>38181</v>
      </c>
      <c r="B3483" s="111">
        <f t="shared" si="54"/>
        <v>73</v>
      </c>
      <c r="C3483" s="111"/>
      <c r="D3483" s="111"/>
      <c r="E3483" s="111"/>
    </row>
    <row r="3484" spans="1:5" x14ac:dyDescent="0.2">
      <c r="A3484" s="113">
        <v>38182</v>
      </c>
      <c r="B3484" s="111">
        <f t="shared" si="54"/>
        <v>73</v>
      </c>
      <c r="C3484" s="111"/>
      <c r="D3484" s="111"/>
      <c r="E3484" s="111"/>
    </row>
    <row r="3485" spans="1:5" x14ac:dyDescent="0.2">
      <c r="A3485" s="113">
        <v>38183</v>
      </c>
      <c r="B3485" s="111">
        <f t="shared" si="54"/>
        <v>73</v>
      </c>
      <c r="C3485" s="111"/>
      <c r="D3485" s="111"/>
      <c r="E3485" s="111"/>
    </row>
    <row r="3486" spans="1:5" x14ac:dyDescent="0.2">
      <c r="A3486" s="113">
        <v>38184</v>
      </c>
      <c r="B3486" s="111">
        <f t="shared" si="54"/>
        <v>73</v>
      </c>
      <c r="C3486" s="111"/>
      <c r="D3486" s="111"/>
      <c r="E3486" s="111"/>
    </row>
    <row r="3487" spans="1:5" x14ac:dyDescent="0.2">
      <c r="A3487" s="113">
        <v>38185</v>
      </c>
      <c r="B3487" s="111">
        <f t="shared" si="54"/>
        <v>73</v>
      </c>
      <c r="C3487" s="111"/>
      <c r="D3487" s="111"/>
      <c r="E3487" s="111"/>
    </row>
    <row r="3488" spans="1:5" x14ac:dyDescent="0.2">
      <c r="A3488" s="113">
        <v>38186</v>
      </c>
      <c r="B3488" s="111">
        <f t="shared" si="54"/>
        <v>74</v>
      </c>
      <c r="C3488" s="111"/>
      <c r="D3488" s="111"/>
      <c r="E3488" s="111"/>
    </row>
    <row r="3489" spans="1:5" x14ac:dyDescent="0.2">
      <c r="A3489" s="113">
        <v>38187</v>
      </c>
      <c r="B3489" s="111">
        <f t="shared" si="54"/>
        <v>74</v>
      </c>
      <c r="C3489" s="111"/>
      <c r="D3489" s="111"/>
      <c r="E3489" s="111"/>
    </row>
    <row r="3490" spans="1:5" x14ac:dyDescent="0.2">
      <c r="A3490" s="113">
        <v>38188</v>
      </c>
      <c r="B3490" s="111">
        <f t="shared" si="54"/>
        <v>74</v>
      </c>
      <c r="C3490" s="111"/>
      <c r="D3490" s="111"/>
      <c r="E3490" s="111"/>
    </row>
    <row r="3491" spans="1:5" x14ac:dyDescent="0.2">
      <c r="A3491" s="113">
        <v>38189</v>
      </c>
      <c r="B3491" s="111">
        <f t="shared" si="54"/>
        <v>74</v>
      </c>
      <c r="C3491" s="111"/>
      <c r="D3491" s="111"/>
      <c r="E3491" s="111"/>
    </row>
    <row r="3492" spans="1:5" x14ac:dyDescent="0.2">
      <c r="A3492" s="113">
        <v>38190</v>
      </c>
      <c r="B3492" s="111">
        <f t="shared" si="54"/>
        <v>74</v>
      </c>
      <c r="C3492" s="111"/>
      <c r="D3492" s="111"/>
      <c r="E3492" s="111"/>
    </row>
    <row r="3493" spans="1:5" x14ac:dyDescent="0.2">
      <c r="A3493" s="113">
        <v>38191</v>
      </c>
      <c r="B3493" s="111">
        <f t="shared" si="54"/>
        <v>74</v>
      </c>
      <c r="C3493" s="111"/>
      <c r="D3493" s="111"/>
      <c r="E3493" s="111"/>
    </row>
    <row r="3494" spans="1:5" x14ac:dyDescent="0.2">
      <c r="A3494" s="113">
        <v>38192</v>
      </c>
      <c r="B3494" s="111">
        <f t="shared" si="54"/>
        <v>74</v>
      </c>
      <c r="C3494" s="111"/>
      <c r="D3494" s="111"/>
      <c r="E3494" s="111"/>
    </row>
    <row r="3495" spans="1:5" x14ac:dyDescent="0.2">
      <c r="A3495" s="113">
        <v>38193</v>
      </c>
      <c r="B3495" s="111">
        <f t="shared" si="54"/>
        <v>75</v>
      </c>
      <c r="C3495" s="111"/>
      <c r="D3495" s="111"/>
      <c r="E3495" s="111"/>
    </row>
    <row r="3496" spans="1:5" x14ac:dyDescent="0.2">
      <c r="A3496" s="113">
        <v>38194</v>
      </c>
      <c r="B3496" s="111">
        <f t="shared" si="54"/>
        <v>75</v>
      </c>
      <c r="C3496" s="111"/>
      <c r="D3496" s="111"/>
      <c r="E3496" s="111"/>
    </row>
    <row r="3497" spans="1:5" x14ac:dyDescent="0.2">
      <c r="A3497" s="113">
        <v>38195</v>
      </c>
      <c r="B3497" s="111">
        <f t="shared" si="54"/>
        <v>75</v>
      </c>
      <c r="C3497" s="111"/>
      <c r="D3497" s="111"/>
      <c r="E3497" s="111"/>
    </row>
    <row r="3498" spans="1:5" x14ac:dyDescent="0.2">
      <c r="A3498" s="113">
        <v>38196</v>
      </c>
      <c r="B3498" s="111">
        <f t="shared" si="54"/>
        <v>75</v>
      </c>
      <c r="C3498" s="111"/>
      <c r="D3498" s="111"/>
      <c r="E3498" s="111"/>
    </row>
    <row r="3499" spans="1:5" x14ac:dyDescent="0.2">
      <c r="A3499" s="113">
        <v>38197</v>
      </c>
      <c r="B3499" s="111">
        <f t="shared" si="54"/>
        <v>75</v>
      </c>
      <c r="C3499" s="111"/>
      <c r="D3499" s="111"/>
      <c r="E3499" s="111"/>
    </row>
    <row r="3500" spans="1:5" x14ac:dyDescent="0.2">
      <c r="A3500" s="113">
        <v>38198</v>
      </c>
      <c r="B3500" s="111">
        <f t="shared" si="54"/>
        <v>75</v>
      </c>
      <c r="C3500" s="111"/>
      <c r="D3500" s="111"/>
      <c r="E3500" s="111"/>
    </row>
    <row r="3501" spans="1:5" x14ac:dyDescent="0.2">
      <c r="A3501" s="113">
        <v>38199</v>
      </c>
      <c r="B3501" s="111">
        <f t="shared" si="54"/>
        <v>75</v>
      </c>
      <c r="C3501" s="111"/>
      <c r="D3501" s="111"/>
      <c r="E3501" s="111"/>
    </row>
    <row r="3502" spans="1:5" x14ac:dyDescent="0.2">
      <c r="A3502" s="113">
        <v>38200</v>
      </c>
      <c r="B3502" s="111">
        <f t="shared" si="54"/>
        <v>81</v>
      </c>
      <c r="C3502" s="111"/>
      <c r="D3502" s="111"/>
      <c r="E3502" s="111"/>
    </row>
    <row r="3503" spans="1:5" x14ac:dyDescent="0.2">
      <c r="A3503" s="113">
        <v>38201</v>
      </c>
      <c r="B3503" s="111">
        <f t="shared" si="54"/>
        <v>81</v>
      </c>
      <c r="C3503" s="111"/>
      <c r="D3503" s="111"/>
      <c r="E3503" s="111"/>
    </row>
    <row r="3504" spans="1:5" x14ac:dyDescent="0.2">
      <c r="A3504" s="113">
        <v>38202</v>
      </c>
      <c r="B3504" s="111">
        <f t="shared" si="54"/>
        <v>81</v>
      </c>
      <c r="C3504" s="111"/>
      <c r="D3504" s="111"/>
      <c r="E3504" s="111"/>
    </row>
    <row r="3505" spans="1:5" x14ac:dyDescent="0.2">
      <c r="A3505" s="113">
        <v>38203</v>
      </c>
      <c r="B3505" s="111">
        <f t="shared" si="54"/>
        <v>81</v>
      </c>
      <c r="C3505" s="111"/>
      <c r="D3505" s="111"/>
      <c r="E3505" s="111"/>
    </row>
    <row r="3506" spans="1:5" x14ac:dyDescent="0.2">
      <c r="A3506" s="113">
        <v>38204</v>
      </c>
      <c r="B3506" s="111">
        <f t="shared" si="54"/>
        <v>81</v>
      </c>
      <c r="C3506" s="111"/>
      <c r="D3506" s="111"/>
      <c r="E3506" s="111"/>
    </row>
    <row r="3507" spans="1:5" x14ac:dyDescent="0.2">
      <c r="A3507" s="113">
        <v>38205</v>
      </c>
      <c r="B3507" s="111">
        <f t="shared" si="54"/>
        <v>81</v>
      </c>
      <c r="C3507" s="111"/>
      <c r="D3507" s="111"/>
      <c r="E3507" s="111"/>
    </row>
    <row r="3508" spans="1:5" x14ac:dyDescent="0.2">
      <c r="A3508" s="113">
        <v>38206</v>
      </c>
      <c r="B3508" s="111">
        <f t="shared" si="54"/>
        <v>81</v>
      </c>
      <c r="C3508" s="111"/>
      <c r="D3508" s="111"/>
      <c r="E3508" s="111"/>
    </row>
    <row r="3509" spans="1:5" x14ac:dyDescent="0.2">
      <c r="A3509" s="113">
        <v>38207</v>
      </c>
      <c r="B3509" s="111">
        <f t="shared" si="54"/>
        <v>82</v>
      </c>
      <c r="C3509" s="111"/>
      <c r="D3509" s="111"/>
      <c r="E3509" s="111"/>
    </row>
    <row r="3510" spans="1:5" x14ac:dyDescent="0.2">
      <c r="A3510" s="113">
        <v>38208</v>
      </c>
      <c r="B3510" s="111">
        <f t="shared" si="54"/>
        <v>82</v>
      </c>
      <c r="C3510" s="111"/>
      <c r="D3510" s="111"/>
      <c r="E3510" s="111"/>
    </row>
    <row r="3511" spans="1:5" x14ac:dyDescent="0.2">
      <c r="A3511" s="113">
        <v>38209</v>
      </c>
      <c r="B3511" s="111">
        <f t="shared" si="54"/>
        <v>82</v>
      </c>
      <c r="C3511" s="111"/>
      <c r="D3511" s="111"/>
      <c r="E3511" s="111"/>
    </row>
    <row r="3512" spans="1:5" x14ac:dyDescent="0.2">
      <c r="A3512" s="113">
        <v>38210</v>
      </c>
      <c r="B3512" s="111">
        <f t="shared" si="54"/>
        <v>82</v>
      </c>
      <c r="C3512" s="111"/>
      <c r="D3512" s="111"/>
      <c r="E3512" s="111"/>
    </row>
    <row r="3513" spans="1:5" x14ac:dyDescent="0.2">
      <c r="A3513" s="113">
        <v>38211</v>
      </c>
      <c r="B3513" s="111">
        <f t="shared" si="54"/>
        <v>82</v>
      </c>
      <c r="C3513" s="111"/>
      <c r="D3513" s="111"/>
      <c r="E3513" s="111"/>
    </row>
    <row r="3514" spans="1:5" x14ac:dyDescent="0.2">
      <c r="A3514" s="113">
        <v>38212</v>
      </c>
      <c r="B3514" s="111">
        <f t="shared" si="54"/>
        <v>82</v>
      </c>
      <c r="C3514" s="111"/>
      <c r="D3514" s="111"/>
      <c r="E3514" s="111"/>
    </row>
    <row r="3515" spans="1:5" x14ac:dyDescent="0.2">
      <c r="A3515" s="113">
        <v>38213</v>
      </c>
      <c r="B3515" s="111">
        <f t="shared" si="54"/>
        <v>82</v>
      </c>
      <c r="C3515" s="111"/>
      <c r="D3515" s="111"/>
      <c r="E3515" s="111"/>
    </row>
    <row r="3516" spans="1:5" x14ac:dyDescent="0.2">
      <c r="A3516" s="113">
        <v>38214</v>
      </c>
      <c r="B3516" s="111">
        <f t="shared" si="54"/>
        <v>83</v>
      </c>
      <c r="C3516" s="111"/>
      <c r="D3516" s="111"/>
      <c r="E3516" s="111"/>
    </row>
    <row r="3517" spans="1:5" x14ac:dyDescent="0.2">
      <c r="A3517" s="113">
        <v>38215</v>
      </c>
      <c r="B3517" s="111">
        <f t="shared" si="54"/>
        <v>83</v>
      </c>
      <c r="C3517" s="111"/>
      <c r="D3517" s="111"/>
      <c r="E3517" s="111"/>
    </row>
    <row r="3518" spans="1:5" x14ac:dyDescent="0.2">
      <c r="A3518" s="113">
        <v>38216</v>
      </c>
      <c r="B3518" s="111">
        <f t="shared" si="54"/>
        <v>83</v>
      </c>
      <c r="C3518" s="111"/>
      <c r="D3518" s="111"/>
      <c r="E3518" s="111"/>
    </row>
    <row r="3519" spans="1:5" x14ac:dyDescent="0.2">
      <c r="A3519" s="113">
        <v>38217</v>
      </c>
      <c r="B3519" s="111">
        <f t="shared" si="54"/>
        <v>83</v>
      </c>
      <c r="C3519" s="111"/>
      <c r="D3519" s="111"/>
      <c r="E3519" s="111"/>
    </row>
    <row r="3520" spans="1:5" x14ac:dyDescent="0.2">
      <c r="A3520" s="113">
        <v>38218</v>
      </c>
      <c r="B3520" s="111">
        <f t="shared" si="54"/>
        <v>83</v>
      </c>
      <c r="C3520" s="111"/>
      <c r="D3520" s="111"/>
      <c r="E3520" s="111"/>
    </row>
    <row r="3521" spans="1:5" x14ac:dyDescent="0.2">
      <c r="A3521" s="113">
        <v>38219</v>
      </c>
      <c r="B3521" s="111">
        <f t="shared" si="54"/>
        <v>83</v>
      </c>
      <c r="C3521" s="111"/>
      <c r="D3521" s="111"/>
      <c r="E3521" s="111"/>
    </row>
    <row r="3522" spans="1:5" x14ac:dyDescent="0.2">
      <c r="A3522" s="113">
        <v>38220</v>
      </c>
      <c r="B3522" s="111">
        <f t="shared" ref="B3522:B3585" si="55">VLOOKUP(WEEKNUM(A3522),$D$3:$E$58,2)</f>
        <v>83</v>
      </c>
      <c r="C3522" s="111"/>
      <c r="D3522" s="111"/>
      <c r="E3522" s="111"/>
    </row>
    <row r="3523" spans="1:5" x14ac:dyDescent="0.2">
      <c r="A3523" s="113">
        <v>38221</v>
      </c>
      <c r="B3523" s="111">
        <f t="shared" si="55"/>
        <v>84</v>
      </c>
      <c r="C3523" s="111"/>
      <c r="D3523" s="111"/>
      <c r="E3523" s="111"/>
    </row>
    <row r="3524" spans="1:5" x14ac:dyDescent="0.2">
      <c r="A3524" s="113">
        <v>38222</v>
      </c>
      <c r="B3524" s="111">
        <f t="shared" si="55"/>
        <v>84</v>
      </c>
      <c r="C3524" s="111"/>
      <c r="D3524" s="111"/>
      <c r="E3524" s="111"/>
    </row>
    <row r="3525" spans="1:5" x14ac:dyDescent="0.2">
      <c r="A3525" s="113">
        <v>38223</v>
      </c>
      <c r="B3525" s="111">
        <f t="shared" si="55"/>
        <v>84</v>
      </c>
      <c r="C3525" s="111"/>
      <c r="D3525" s="111"/>
      <c r="E3525" s="111"/>
    </row>
    <row r="3526" spans="1:5" x14ac:dyDescent="0.2">
      <c r="A3526" s="113">
        <v>38224</v>
      </c>
      <c r="B3526" s="111">
        <f t="shared" si="55"/>
        <v>84</v>
      </c>
      <c r="C3526" s="111"/>
      <c r="D3526" s="111"/>
      <c r="E3526" s="111"/>
    </row>
    <row r="3527" spans="1:5" x14ac:dyDescent="0.2">
      <c r="A3527" s="113">
        <v>38225</v>
      </c>
      <c r="B3527" s="111">
        <f t="shared" si="55"/>
        <v>84</v>
      </c>
      <c r="C3527" s="111"/>
      <c r="D3527" s="111"/>
      <c r="E3527" s="111"/>
    </row>
    <row r="3528" spans="1:5" x14ac:dyDescent="0.2">
      <c r="A3528" s="113">
        <v>38226</v>
      </c>
      <c r="B3528" s="111">
        <f t="shared" si="55"/>
        <v>84</v>
      </c>
      <c r="C3528" s="111"/>
      <c r="D3528" s="111"/>
      <c r="E3528" s="111"/>
    </row>
    <row r="3529" spans="1:5" x14ac:dyDescent="0.2">
      <c r="A3529" s="113">
        <v>38227</v>
      </c>
      <c r="B3529" s="111">
        <f t="shared" si="55"/>
        <v>84</v>
      </c>
      <c r="C3529" s="111"/>
      <c r="D3529" s="111"/>
      <c r="E3529" s="111"/>
    </row>
    <row r="3530" spans="1:5" x14ac:dyDescent="0.2">
      <c r="A3530" s="113">
        <v>38228</v>
      </c>
      <c r="B3530" s="111">
        <f t="shared" si="55"/>
        <v>91</v>
      </c>
      <c r="C3530" s="111"/>
      <c r="D3530" s="111"/>
      <c r="E3530" s="111"/>
    </row>
    <row r="3531" spans="1:5" x14ac:dyDescent="0.2">
      <c r="A3531" s="113">
        <v>38229</v>
      </c>
      <c r="B3531" s="111">
        <f t="shared" si="55"/>
        <v>91</v>
      </c>
      <c r="C3531" s="111"/>
      <c r="D3531" s="111"/>
      <c r="E3531" s="111"/>
    </row>
    <row r="3532" spans="1:5" x14ac:dyDescent="0.2">
      <c r="A3532" s="113">
        <v>38230</v>
      </c>
      <c r="B3532" s="111">
        <f t="shared" si="55"/>
        <v>91</v>
      </c>
      <c r="C3532" s="111"/>
      <c r="D3532" s="111"/>
      <c r="E3532" s="111"/>
    </row>
    <row r="3533" spans="1:5" x14ac:dyDescent="0.2">
      <c r="A3533" s="113">
        <v>38231</v>
      </c>
      <c r="B3533" s="111">
        <f t="shared" si="55"/>
        <v>91</v>
      </c>
      <c r="C3533" s="111"/>
      <c r="D3533" s="111"/>
      <c r="E3533" s="111"/>
    </row>
    <row r="3534" spans="1:5" x14ac:dyDescent="0.2">
      <c r="A3534" s="113">
        <v>38232</v>
      </c>
      <c r="B3534" s="111">
        <f t="shared" si="55"/>
        <v>91</v>
      </c>
      <c r="C3534" s="111"/>
      <c r="D3534" s="111"/>
      <c r="E3534" s="111"/>
    </row>
    <row r="3535" spans="1:5" x14ac:dyDescent="0.2">
      <c r="A3535" s="113">
        <v>38233</v>
      </c>
      <c r="B3535" s="111">
        <f t="shared" si="55"/>
        <v>91</v>
      </c>
      <c r="C3535" s="111"/>
      <c r="D3535" s="111"/>
      <c r="E3535" s="111"/>
    </row>
    <row r="3536" spans="1:5" x14ac:dyDescent="0.2">
      <c r="A3536" s="113">
        <v>38234</v>
      </c>
      <c r="B3536" s="111">
        <f t="shared" si="55"/>
        <v>91</v>
      </c>
      <c r="C3536" s="111"/>
      <c r="D3536" s="111"/>
      <c r="E3536" s="111"/>
    </row>
    <row r="3537" spans="1:5" x14ac:dyDescent="0.2">
      <c r="A3537" s="113">
        <v>38235</v>
      </c>
      <c r="B3537" s="111">
        <f t="shared" si="55"/>
        <v>92</v>
      </c>
      <c r="C3537" s="111"/>
      <c r="D3537" s="111"/>
      <c r="E3537" s="111"/>
    </row>
    <row r="3538" spans="1:5" x14ac:dyDescent="0.2">
      <c r="A3538" s="113">
        <v>38236</v>
      </c>
      <c r="B3538" s="111">
        <f t="shared" si="55"/>
        <v>92</v>
      </c>
      <c r="C3538" s="111"/>
      <c r="D3538" s="111"/>
      <c r="E3538" s="111"/>
    </row>
    <row r="3539" spans="1:5" x14ac:dyDescent="0.2">
      <c r="A3539" s="113">
        <v>38237</v>
      </c>
      <c r="B3539" s="111">
        <f t="shared" si="55"/>
        <v>92</v>
      </c>
      <c r="C3539" s="111"/>
      <c r="D3539" s="111"/>
      <c r="E3539" s="111"/>
    </row>
    <row r="3540" spans="1:5" x14ac:dyDescent="0.2">
      <c r="A3540" s="113">
        <v>38238</v>
      </c>
      <c r="B3540" s="111">
        <f t="shared" si="55"/>
        <v>92</v>
      </c>
      <c r="C3540" s="111"/>
      <c r="D3540" s="111"/>
      <c r="E3540" s="111"/>
    </row>
    <row r="3541" spans="1:5" x14ac:dyDescent="0.2">
      <c r="A3541" s="113">
        <v>38239</v>
      </c>
      <c r="B3541" s="111">
        <f t="shared" si="55"/>
        <v>92</v>
      </c>
      <c r="C3541" s="111"/>
      <c r="D3541" s="111"/>
      <c r="E3541" s="111"/>
    </row>
    <row r="3542" spans="1:5" x14ac:dyDescent="0.2">
      <c r="A3542" s="113">
        <v>38240</v>
      </c>
      <c r="B3542" s="111">
        <f t="shared" si="55"/>
        <v>92</v>
      </c>
      <c r="C3542" s="111"/>
      <c r="D3542" s="111"/>
      <c r="E3542" s="111"/>
    </row>
    <row r="3543" spans="1:5" x14ac:dyDescent="0.2">
      <c r="A3543" s="113">
        <v>38241</v>
      </c>
      <c r="B3543" s="111">
        <f t="shared" si="55"/>
        <v>92</v>
      </c>
      <c r="C3543" s="111"/>
      <c r="D3543" s="111"/>
      <c r="E3543" s="111"/>
    </row>
    <row r="3544" spans="1:5" x14ac:dyDescent="0.2">
      <c r="A3544" s="113">
        <v>38242</v>
      </c>
      <c r="B3544" s="111">
        <f t="shared" si="55"/>
        <v>93</v>
      </c>
      <c r="C3544" s="111"/>
      <c r="D3544" s="111"/>
      <c r="E3544" s="111"/>
    </row>
    <row r="3545" spans="1:5" x14ac:dyDescent="0.2">
      <c r="A3545" s="113">
        <v>38243</v>
      </c>
      <c r="B3545" s="111">
        <f t="shared" si="55"/>
        <v>93</v>
      </c>
      <c r="C3545" s="111"/>
      <c r="D3545" s="111"/>
      <c r="E3545" s="111"/>
    </row>
    <row r="3546" spans="1:5" x14ac:dyDescent="0.2">
      <c r="A3546" s="113">
        <v>38244</v>
      </c>
      <c r="B3546" s="111">
        <f t="shared" si="55"/>
        <v>93</v>
      </c>
      <c r="C3546" s="111"/>
      <c r="D3546" s="111"/>
      <c r="E3546" s="111"/>
    </row>
    <row r="3547" spans="1:5" x14ac:dyDescent="0.2">
      <c r="A3547" s="113">
        <v>38245</v>
      </c>
      <c r="B3547" s="111">
        <f t="shared" si="55"/>
        <v>93</v>
      </c>
      <c r="C3547" s="111"/>
      <c r="D3547" s="111"/>
      <c r="E3547" s="111"/>
    </row>
    <row r="3548" spans="1:5" x14ac:dyDescent="0.2">
      <c r="A3548" s="113">
        <v>38246</v>
      </c>
      <c r="B3548" s="111">
        <f t="shared" si="55"/>
        <v>93</v>
      </c>
      <c r="C3548" s="111"/>
      <c r="D3548" s="111"/>
      <c r="E3548" s="111"/>
    </row>
    <row r="3549" spans="1:5" x14ac:dyDescent="0.2">
      <c r="A3549" s="113">
        <v>38247</v>
      </c>
      <c r="B3549" s="111">
        <f t="shared" si="55"/>
        <v>93</v>
      </c>
      <c r="C3549" s="111"/>
      <c r="D3549" s="111"/>
      <c r="E3549" s="111"/>
    </row>
    <row r="3550" spans="1:5" x14ac:dyDescent="0.2">
      <c r="A3550" s="113">
        <v>38248</v>
      </c>
      <c r="B3550" s="111">
        <f t="shared" si="55"/>
        <v>93</v>
      </c>
      <c r="C3550" s="111"/>
      <c r="D3550" s="111"/>
      <c r="E3550" s="111"/>
    </row>
    <row r="3551" spans="1:5" x14ac:dyDescent="0.2">
      <c r="A3551" s="113">
        <v>38249</v>
      </c>
      <c r="B3551" s="111">
        <f t="shared" si="55"/>
        <v>94</v>
      </c>
      <c r="C3551" s="111"/>
      <c r="D3551" s="111"/>
      <c r="E3551" s="111"/>
    </row>
    <row r="3552" spans="1:5" x14ac:dyDescent="0.2">
      <c r="A3552" s="113">
        <v>38250</v>
      </c>
      <c r="B3552" s="111">
        <f t="shared" si="55"/>
        <v>94</v>
      </c>
      <c r="C3552" s="111"/>
      <c r="D3552" s="111"/>
      <c r="E3552" s="111"/>
    </row>
    <row r="3553" spans="1:5" x14ac:dyDescent="0.2">
      <c r="A3553" s="113">
        <v>38251</v>
      </c>
      <c r="B3553" s="111">
        <f t="shared" si="55"/>
        <v>94</v>
      </c>
      <c r="C3553" s="111"/>
      <c r="D3553" s="111"/>
      <c r="E3553" s="111"/>
    </row>
    <row r="3554" spans="1:5" x14ac:dyDescent="0.2">
      <c r="A3554" s="113">
        <v>38252</v>
      </c>
      <c r="B3554" s="111">
        <f t="shared" si="55"/>
        <v>94</v>
      </c>
      <c r="C3554" s="111"/>
      <c r="D3554" s="111"/>
      <c r="E3554" s="111"/>
    </row>
    <row r="3555" spans="1:5" x14ac:dyDescent="0.2">
      <c r="A3555" s="113">
        <v>38253</v>
      </c>
      <c r="B3555" s="111">
        <f t="shared" si="55"/>
        <v>94</v>
      </c>
      <c r="C3555" s="111"/>
      <c r="D3555" s="111"/>
      <c r="E3555" s="111"/>
    </row>
    <row r="3556" spans="1:5" x14ac:dyDescent="0.2">
      <c r="A3556" s="113">
        <v>38254</v>
      </c>
      <c r="B3556" s="111">
        <f t="shared" si="55"/>
        <v>94</v>
      </c>
      <c r="C3556" s="111"/>
      <c r="D3556" s="111"/>
      <c r="E3556" s="111"/>
    </row>
    <row r="3557" spans="1:5" x14ac:dyDescent="0.2">
      <c r="A3557" s="113">
        <v>38255</v>
      </c>
      <c r="B3557" s="111">
        <f t="shared" si="55"/>
        <v>94</v>
      </c>
      <c r="C3557" s="111"/>
      <c r="D3557" s="111"/>
      <c r="E3557" s="111"/>
    </row>
    <row r="3558" spans="1:5" x14ac:dyDescent="0.2">
      <c r="A3558" s="113">
        <v>38256</v>
      </c>
      <c r="B3558" s="111">
        <f t="shared" si="55"/>
        <v>101</v>
      </c>
      <c r="C3558" s="111"/>
      <c r="D3558" s="111"/>
      <c r="E3558" s="111"/>
    </row>
    <row r="3559" spans="1:5" x14ac:dyDescent="0.2">
      <c r="A3559" s="113">
        <v>38257</v>
      </c>
      <c r="B3559" s="111">
        <f t="shared" si="55"/>
        <v>101</v>
      </c>
      <c r="C3559" s="111"/>
      <c r="D3559" s="111"/>
      <c r="E3559" s="111"/>
    </row>
    <row r="3560" spans="1:5" x14ac:dyDescent="0.2">
      <c r="A3560" s="113">
        <v>38258</v>
      </c>
      <c r="B3560" s="111">
        <f t="shared" si="55"/>
        <v>101</v>
      </c>
      <c r="C3560" s="111"/>
      <c r="D3560" s="111"/>
      <c r="E3560" s="111"/>
    </row>
    <row r="3561" spans="1:5" x14ac:dyDescent="0.2">
      <c r="A3561" s="113">
        <v>38259</v>
      </c>
      <c r="B3561" s="111">
        <f t="shared" si="55"/>
        <v>101</v>
      </c>
      <c r="C3561" s="111"/>
      <c r="D3561" s="111"/>
      <c r="E3561" s="111"/>
    </row>
    <row r="3562" spans="1:5" x14ac:dyDescent="0.2">
      <c r="A3562" s="113">
        <v>38260</v>
      </c>
      <c r="B3562" s="111">
        <f t="shared" si="55"/>
        <v>101</v>
      </c>
      <c r="C3562" s="111"/>
      <c r="D3562" s="111"/>
      <c r="E3562" s="111"/>
    </row>
    <row r="3563" spans="1:5" x14ac:dyDescent="0.2">
      <c r="A3563" s="113">
        <v>38261</v>
      </c>
      <c r="B3563" s="111">
        <f t="shared" si="55"/>
        <v>101</v>
      </c>
      <c r="C3563" s="111"/>
      <c r="D3563" s="111"/>
      <c r="E3563" s="111"/>
    </row>
    <row r="3564" spans="1:5" x14ac:dyDescent="0.2">
      <c r="A3564" s="113">
        <v>38262</v>
      </c>
      <c r="B3564" s="111">
        <f t="shared" si="55"/>
        <v>101</v>
      </c>
      <c r="C3564" s="111"/>
      <c r="D3564" s="111"/>
      <c r="E3564" s="111"/>
    </row>
    <row r="3565" spans="1:5" x14ac:dyDescent="0.2">
      <c r="A3565" s="113">
        <v>38263</v>
      </c>
      <c r="B3565" s="111">
        <f t="shared" si="55"/>
        <v>102</v>
      </c>
      <c r="C3565" s="111"/>
      <c r="D3565" s="111"/>
      <c r="E3565" s="111"/>
    </row>
    <row r="3566" spans="1:5" x14ac:dyDescent="0.2">
      <c r="A3566" s="113">
        <v>38264</v>
      </c>
      <c r="B3566" s="111">
        <f t="shared" si="55"/>
        <v>102</v>
      </c>
      <c r="C3566" s="111"/>
      <c r="D3566" s="111"/>
      <c r="E3566" s="111"/>
    </row>
    <row r="3567" spans="1:5" x14ac:dyDescent="0.2">
      <c r="A3567" s="113">
        <v>38265</v>
      </c>
      <c r="B3567" s="111">
        <f t="shared" si="55"/>
        <v>102</v>
      </c>
      <c r="C3567" s="111"/>
      <c r="D3567" s="111"/>
      <c r="E3567" s="111"/>
    </row>
    <row r="3568" spans="1:5" x14ac:dyDescent="0.2">
      <c r="A3568" s="113">
        <v>38266</v>
      </c>
      <c r="B3568" s="111">
        <f t="shared" si="55"/>
        <v>102</v>
      </c>
      <c r="C3568" s="111"/>
      <c r="D3568" s="111"/>
      <c r="E3568" s="111"/>
    </row>
    <row r="3569" spans="1:5" x14ac:dyDescent="0.2">
      <c r="A3569" s="113">
        <v>38267</v>
      </c>
      <c r="B3569" s="111">
        <f t="shared" si="55"/>
        <v>102</v>
      </c>
      <c r="C3569" s="111"/>
      <c r="D3569" s="111"/>
      <c r="E3569" s="111"/>
    </row>
    <row r="3570" spans="1:5" x14ac:dyDescent="0.2">
      <c r="A3570" s="113">
        <v>38268</v>
      </c>
      <c r="B3570" s="111">
        <f t="shared" si="55"/>
        <v>102</v>
      </c>
      <c r="C3570" s="111"/>
      <c r="D3570" s="111"/>
      <c r="E3570" s="111"/>
    </row>
    <row r="3571" spans="1:5" x14ac:dyDescent="0.2">
      <c r="A3571" s="113">
        <v>38269</v>
      </c>
      <c r="B3571" s="111">
        <f t="shared" si="55"/>
        <v>102</v>
      </c>
      <c r="C3571" s="111"/>
      <c r="D3571" s="111"/>
      <c r="E3571" s="111"/>
    </row>
    <row r="3572" spans="1:5" x14ac:dyDescent="0.2">
      <c r="A3572" s="113">
        <v>38270</v>
      </c>
      <c r="B3572" s="111">
        <f t="shared" si="55"/>
        <v>103</v>
      </c>
      <c r="C3572" s="111"/>
      <c r="D3572" s="111"/>
      <c r="E3572" s="111"/>
    </row>
    <row r="3573" spans="1:5" x14ac:dyDescent="0.2">
      <c r="A3573" s="113">
        <v>38271</v>
      </c>
      <c r="B3573" s="111">
        <f t="shared" si="55"/>
        <v>103</v>
      </c>
      <c r="C3573" s="111"/>
      <c r="D3573" s="111"/>
      <c r="E3573" s="111"/>
    </row>
    <row r="3574" spans="1:5" x14ac:dyDescent="0.2">
      <c r="A3574" s="113">
        <v>38272</v>
      </c>
      <c r="B3574" s="111">
        <f t="shared" si="55"/>
        <v>103</v>
      </c>
      <c r="C3574" s="111"/>
      <c r="D3574" s="111"/>
      <c r="E3574" s="111"/>
    </row>
    <row r="3575" spans="1:5" x14ac:dyDescent="0.2">
      <c r="A3575" s="113">
        <v>38273</v>
      </c>
      <c r="B3575" s="111">
        <f t="shared" si="55"/>
        <v>103</v>
      </c>
      <c r="C3575" s="111"/>
      <c r="D3575" s="111"/>
      <c r="E3575" s="111"/>
    </row>
    <row r="3576" spans="1:5" x14ac:dyDescent="0.2">
      <c r="A3576" s="113">
        <v>38274</v>
      </c>
      <c r="B3576" s="111">
        <f t="shared" si="55"/>
        <v>103</v>
      </c>
      <c r="C3576" s="111"/>
      <c r="D3576" s="111"/>
      <c r="E3576" s="111"/>
    </row>
    <row r="3577" spans="1:5" x14ac:dyDescent="0.2">
      <c r="A3577" s="113">
        <v>38275</v>
      </c>
      <c r="B3577" s="111">
        <f t="shared" si="55"/>
        <v>103</v>
      </c>
      <c r="C3577" s="111"/>
      <c r="D3577" s="111"/>
      <c r="E3577" s="111"/>
    </row>
    <row r="3578" spans="1:5" x14ac:dyDescent="0.2">
      <c r="A3578" s="113">
        <v>38276</v>
      </c>
      <c r="B3578" s="111">
        <f t="shared" si="55"/>
        <v>103</v>
      </c>
      <c r="C3578" s="111"/>
      <c r="D3578" s="111"/>
      <c r="E3578" s="111"/>
    </row>
    <row r="3579" spans="1:5" x14ac:dyDescent="0.2">
      <c r="A3579" s="113">
        <v>38277</v>
      </c>
      <c r="B3579" s="111">
        <f t="shared" si="55"/>
        <v>104</v>
      </c>
      <c r="C3579" s="111"/>
      <c r="D3579" s="111"/>
      <c r="E3579" s="111"/>
    </row>
    <row r="3580" spans="1:5" x14ac:dyDescent="0.2">
      <c r="A3580" s="113">
        <v>38278</v>
      </c>
      <c r="B3580" s="111">
        <f t="shared" si="55"/>
        <v>104</v>
      </c>
      <c r="C3580" s="111"/>
      <c r="D3580" s="111"/>
      <c r="E3580" s="111"/>
    </row>
    <row r="3581" spans="1:5" x14ac:dyDescent="0.2">
      <c r="A3581" s="113">
        <v>38279</v>
      </c>
      <c r="B3581" s="111">
        <f t="shared" si="55"/>
        <v>104</v>
      </c>
      <c r="C3581" s="111"/>
      <c r="D3581" s="111"/>
      <c r="E3581" s="111"/>
    </row>
    <row r="3582" spans="1:5" x14ac:dyDescent="0.2">
      <c r="A3582" s="113">
        <v>38280</v>
      </c>
      <c r="B3582" s="111">
        <f t="shared" si="55"/>
        <v>104</v>
      </c>
      <c r="C3582" s="111"/>
      <c r="D3582" s="111"/>
      <c r="E3582" s="111"/>
    </row>
    <row r="3583" spans="1:5" x14ac:dyDescent="0.2">
      <c r="A3583" s="113">
        <v>38281</v>
      </c>
      <c r="B3583" s="111">
        <f t="shared" si="55"/>
        <v>104</v>
      </c>
      <c r="C3583" s="111"/>
      <c r="D3583" s="111"/>
      <c r="E3583" s="111"/>
    </row>
    <row r="3584" spans="1:5" x14ac:dyDescent="0.2">
      <c r="A3584" s="113">
        <v>38282</v>
      </c>
      <c r="B3584" s="111">
        <f t="shared" si="55"/>
        <v>104</v>
      </c>
      <c r="C3584" s="111"/>
      <c r="D3584" s="111"/>
      <c r="E3584" s="111"/>
    </row>
    <row r="3585" spans="1:5" x14ac:dyDescent="0.2">
      <c r="A3585" s="113">
        <v>38283</v>
      </c>
      <c r="B3585" s="111">
        <f t="shared" si="55"/>
        <v>104</v>
      </c>
      <c r="C3585" s="111"/>
      <c r="D3585" s="111"/>
      <c r="E3585" s="111"/>
    </row>
    <row r="3586" spans="1:5" x14ac:dyDescent="0.2">
      <c r="A3586" s="113">
        <v>38284</v>
      </c>
      <c r="B3586" s="111">
        <f t="shared" ref="B3586:B3649" si="56">VLOOKUP(WEEKNUM(A3586),$D$3:$E$58,2)</f>
        <v>105</v>
      </c>
      <c r="C3586" s="111"/>
      <c r="D3586" s="111"/>
      <c r="E3586" s="111"/>
    </row>
    <row r="3587" spans="1:5" x14ac:dyDescent="0.2">
      <c r="A3587" s="113">
        <v>38285</v>
      </c>
      <c r="B3587" s="111">
        <f t="shared" si="56"/>
        <v>105</v>
      </c>
      <c r="C3587" s="111"/>
      <c r="D3587" s="111"/>
      <c r="E3587" s="111"/>
    </row>
    <row r="3588" spans="1:5" x14ac:dyDescent="0.2">
      <c r="A3588" s="113">
        <v>38286</v>
      </c>
      <c r="B3588" s="111">
        <f t="shared" si="56"/>
        <v>105</v>
      </c>
      <c r="C3588" s="111"/>
      <c r="D3588" s="111"/>
      <c r="E3588" s="111"/>
    </row>
    <row r="3589" spans="1:5" x14ac:dyDescent="0.2">
      <c r="A3589" s="113">
        <v>38287</v>
      </c>
      <c r="B3589" s="111">
        <f t="shared" si="56"/>
        <v>105</v>
      </c>
      <c r="C3589" s="111"/>
      <c r="D3589" s="111"/>
      <c r="E3589" s="111"/>
    </row>
    <row r="3590" spans="1:5" x14ac:dyDescent="0.2">
      <c r="A3590" s="113">
        <v>38288</v>
      </c>
      <c r="B3590" s="111">
        <f t="shared" si="56"/>
        <v>105</v>
      </c>
      <c r="C3590" s="111"/>
      <c r="D3590" s="111"/>
      <c r="E3590" s="111"/>
    </row>
    <row r="3591" spans="1:5" x14ac:dyDescent="0.2">
      <c r="A3591" s="113">
        <v>38289</v>
      </c>
      <c r="B3591" s="111">
        <f t="shared" si="56"/>
        <v>105</v>
      </c>
      <c r="C3591" s="111"/>
      <c r="D3591" s="111"/>
      <c r="E3591" s="111"/>
    </row>
    <row r="3592" spans="1:5" x14ac:dyDescent="0.2">
      <c r="A3592" s="113">
        <v>38290</v>
      </c>
      <c r="B3592" s="111">
        <f t="shared" si="56"/>
        <v>105</v>
      </c>
      <c r="C3592" s="111"/>
      <c r="D3592" s="111"/>
      <c r="E3592" s="111"/>
    </row>
    <row r="3593" spans="1:5" x14ac:dyDescent="0.2">
      <c r="A3593" s="113">
        <v>38291</v>
      </c>
      <c r="B3593" s="111">
        <f t="shared" si="56"/>
        <v>111</v>
      </c>
      <c r="C3593" s="111"/>
      <c r="D3593" s="111"/>
      <c r="E3593" s="111"/>
    </row>
    <row r="3594" spans="1:5" x14ac:dyDescent="0.2">
      <c r="A3594" s="113">
        <v>38292</v>
      </c>
      <c r="B3594" s="111">
        <f t="shared" si="56"/>
        <v>111</v>
      </c>
      <c r="C3594" s="111"/>
      <c r="D3594" s="111"/>
      <c r="E3594" s="111"/>
    </row>
    <row r="3595" spans="1:5" x14ac:dyDescent="0.2">
      <c r="A3595" s="113">
        <v>38293</v>
      </c>
      <c r="B3595" s="111">
        <f t="shared" si="56"/>
        <v>111</v>
      </c>
      <c r="C3595" s="111"/>
      <c r="D3595" s="111"/>
      <c r="E3595" s="111"/>
    </row>
    <row r="3596" spans="1:5" x14ac:dyDescent="0.2">
      <c r="A3596" s="113">
        <v>38294</v>
      </c>
      <c r="B3596" s="111">
        <f t="shared" si="56"/>
        <v>111</v>
      </c>
      <c r="C3596" s="111"/>
      <c r="D3596" s="111"/>
      <c r="E3596" s="111"/>
    </row>
    <row r="3597" spans="1:5" x14ac:dyDescent="0.2">
      <c r="A3597" s="113">
        <v>38295</v>
      </c>
      <c r="B3597" s="111">
        <f t="shared" si="56"/>
        <v>111</v>
      </c>
      <c r="C3597" s="111"/>
      <c r="D3597" s="111"/>
      <c r="E3597" s="111"/>
    </row>
    <row r="3598" spans="1:5" x14ac:dyDescent="0.2">
      <c r="A3598" s="113">
        <v>38296</v>
      </c>
      <c r="B3598" s="111">
        <f t="shared" si="56"/>
        <v>111</v>
      </c>
      <c r="C3598" s="111"/>
      <c r="D3598" s="111"/>
      <c r="E3598" s="111"/>
    </row>
    <row r="3599" spans="1:5" x14ac:dyDescent="0.2">
      <c r="A3599" s="113">
        <v>38297</v>
      </c>
      <c r="B3599" s="111">
        <f t="shared" si="56"/>
        <v>111</v>
      </c>
      <c r="C3599" s="111"/>
      <c r="D3599" s="111"/>
      <c r="E3599" s="111"/>
    </row>
    <row r="3600" spans="1:5" x14ac:dyDescent="0.2">
      <c r="A3600" s="113">
        <v>38298</v>
      </c>
      <c r="B3600" s="111">
        <f t="shared" si="56"/>
        <v>112</v>
      </c>
      <c r="C3600" s="111"/>
      <c r="D3600" s="111"/>
      <c r="E3600" s="111"/>
    </row>
    <row r="3601" spans="1:5" x14ac:dyDescent="0.2">
      <c r="A3601" s="113">
        <v>38299</v>
      </c>
      <c r="B3601" s="111">
        <f t="shared" si="56"/>
        <v>112</v>
      </c>
      <c r="C3601" s="111"/>
      <c r="D3601" s="111"/>
      <c r="E3601" s="111"/>
    </row>
    <row r="3602" spans="1:5" x14ac:dyDescent="0.2">
      <c r="A3602" s="113">
        <v>38300</v>
      </c>
      <c r="B3602" s="111">
        <f t="shared" si="56"/>
        <v>112</v>
      </c>
      <c r="C3602" s="111"/>
      <c r="D3602" s="111"/>
      <c r="E3602" s="111"/>
    </row>
    <row r="3603" spans="1:5" x14ac:dyDescent="0.2">
      <c r="A3603" s="113">
        <v>38301</v>
      </c>
      <c r="B3603" s="111">
        <f t="shared" si="56"/>
        <v>112</v>
      </c>
      <c r="C3603" s="111"/>
      <c r="D3603" s="111"/>
      <c r="E3603" s="111"/>
    </row>
    <row r="3604" spans="1:5" x14ac:dyDescent="0.2">
      <c r="A3604" s="113">
        <v>38302</v>
      </c>
      <c r="B3604" s="111">
        <f t="shared" si="56"/>
        <v>112</v>
      </c>
      <c r="C3604" s="111"/>
      <c r="D3604" s="111"/>
      <c r="E3604" s="111"/>
    </row>
    <row r="3605" spans="1:5" x14ac:dyDescent="0.2">
      <c r="A3605" s="113">
        <v>38303</v>
      </c>
      <c r="B3605" s="111">
        <f t="shared" si="56"/>
        <v>112</v>
      </c>
      <c r="C3605" s="111"/>
      <c r="D3605" s="111"/>
      <c r="E3605" s="111"/>
    </row>
    <row r="3606" spans="1:5" x14ac:dyDescent="0.2">
      <c r="A3606" s="113">
        <v>38304</v>
      </c>
      <c r="B3606" s="111">
        <f t="shared" si="56"/>
        <v>112</v>
      </c>
      <c r="C3606" s="111"/>
      <c r="D3606" s="111"/>
      <c r="E3606" s="111"/>
    </row>
    <row r="3607" spans="1:5" x14ac:dyDescent="0.2">
      <c r="A3607" s="113">
        <v>38305</v>
      </c>
      <c r="B3607" s="111">
        <f t="shared" si="56"/>
        <v>113</v>
      </c>
      <c r="C3607" s="111"/>
      <c r="D3607" s="111"/>
      <c r="E3607" s="111"/>
    </row>
    <row r="3608" spans="1:5" x14ac:dyDescent="0.2">
      <c r="A3608" s="113">
        <v>38306</v>
      </c>
      <c r="B3608" s="111">
        <f t="shared" si="56"/>
        <v>113</v>
      </c>
      <c r="C3608" s="111"/>
      <c r="D3608" s="111"/>
      <c r="E3608" s="111"/>
    </row>
    <row r="3609" spans="1:5" x14ac:dyDescent="0.2">
      <c r="A3609" s="113">
        <v>38307</v>
      </c>
      <c r="B3609" s="111">
        <f t="shared" si="56"/>
        <v>113</v>
      </c>
      <c r="C3609" s="111"/>
      <c r="D3609" s="111"/>
      <c r="E3609" s="111"/>
    </row>
    <row r="3610" spans="1:5" x14ac:dyDescent="0.2">
      <c r="A3610" s="113">
        <v>38308</v>
      </c>
      <c r="B3610" s="111">
        <f t="shared" si="56"/>
        <v>113</v>
      </c>
      <c r="C3610" s="111"/>
      <c r="D3610" s="111"/>
      <c r="E3610" s="111"/>
    </row>
    <row r="3611" spans="1:5" x14ac:dyDescent="0.2">
      <c r="A3611" s="113">
        <v>38309</v>
      </c>
      <c r="B3611" s="111">
        <f t="shared" si="56"/>
        <v>113</v>
      </c>
      <c r="C3611" s="111"/>
      <c r="D3611" s="111"/>
      <c r="E3611" s="111"/>
    </row>
    <row r="3612" spans="1:5" x14ac:dyDescent="0.2">
      <c r="A3612" s="113">
        <v>38310</v>
      </c>
      <c r="B3612" s="111">
        <f t="shared" si="56"/>
        <v>113</v>
      </c>
      <c r="C3612" s="111"/>
      <c r="D3612" s="111"/>
      <c r="E3612" s="111"/>
    </row>
    <row r="3613" spans="1:5" x14ac:dyDescent="0.2">
      <c r="A3613" s="113">
        <v>38311</v>
      </c>
      <c r="B3613" s="111">
        <f t="shared" si="56"/>
        <v>113</v>
      </c>
      <c r="C3613" s="111"/>
      <c r="D3613" s="111"/>
      <c r="E3613" s="111"/>
    </row>
    <row r="3614" spans="1:5" x14ac:dyDescent="0.2">
      <c r="A3614" s="113">
        <v>38312</v>
      </c>
      <c r="B3614" s="111">
        <f t="shared" si="56"/>
        <v>114</v>
      </c>
      <c r="C3614" s="111"/>
      <c r="D3614" s="111"/>
      <c r="E3614" s="111"/>
    </row>
    <row r="3615" spans="1:5" x14ac:dyDescent="0.2">
      <c r="A3615" s="113">
        <v>38313</v>
      </c>
      <c r="B3615" s="111">
        <f t="shared" si="56"/>
        <v>114</v>
      </c>
      <c r="C3615" s="111"/>
      <c r="D3615" s="111"/>
      <c r="E3615" s="111"/>
    </row>
    <row r="3616" spans="1:5" x14ac:dyDescent="0.2">
      <c r="A3616" s="113">
        <v>38314</v>
      </c>
      <c r="B3616" s="111">
        <f t="shared" si="56"/>
        <v>114</v>
      </c>
      <c r="C3616" s="111"/>
      <c r="D3616" s="111"/>
      <c r="E3616" s="111"/>
    </row>
    <row r="3617" spans="1:5" x14ac:dyDescent="0.2">
      <c r="A3617" s="113">
        <v>38315</v>
      </c>
      <c r="B3617" s="111">
        <f t="shared" si="56"/>
        <v>114</v>
      </c>
      <c r="C3617" s="111"/>
      <c r="D3617" s="111"/>
      <c r="E3617" s="111"/>
    </row>
    <row r="3618" spans="1:5" x14ac:dyDescent="0.2">
      <c r="A3618" s="113">
        <v>38316</v>
      </c>
      <c r="B3618" s="111">
        <f t="shared" si="56"/>
        <v>114</v>
      </c>
      <c r="C3618" s="111"/>
      <c r="D3618" s="111"/>
      <c r="E3618" s="111"/>
    </row>
    <row r="3619" spans="1:5" x14ac:dyDescent="0.2">
      <c r="A3619" s="113">
        <v>38317</v>
      </c>
      <c r="B3619" s="111">
        <f t="shared" si="56"/>
        <v>114</v>
      </c>
      <c r="C3619" s="111"/>
      <c r="D3619" s="111"/>
      <c r="E3619" s="111"/>
    </row>
    <row r="3620" spans="1:5" x14ac:dyDescent="0.2">
      <c r="A3620" s="113">
        <v>38318</v>
      </c>
      <c r="B3620" s="111">
        <f t="shared" si="56"/>
        <v>114</v>
      </c>
      <c r="C3620" s="111"/>
      <c r="D3620" s="111"/>
      <c r="E3620" s="111"/>
    </row>
    <row r="3621" spans="1:5" x14ac:dyDescent="0.2">
      <c r="A3621" s="113">
        <v>38319</v>
      </c>
      <c r="B3621" s="111">
        <f t="shared" si="56"/>
        <v>115</v>
      </c>
      <c r="C3621" s="111"/>
      <c r="D3621" s="111"/>
      <c r="E3621" s="111"/>
    </row>
    <row r="3622" spans="1:5" x14ac:dyDescent="0.2">
      <c r="A3622" s="113">
        <v>38320</v>
      </c>
      <c r="B3622" s="111">
        <f t="shared" si="56"/>
        <v>115</v>
      </c>
      <c r="C3622" s="111"/>
      <c r="D3622" s="111"/>
      <c r="E3622" s="111"/>
    </row>
    <row r="3623" spans="1:5" x14ac:dyDescent="0.2">
      <c r="A3623" s="113">
        <v>38321</v>
      </c>
      <c r="B3623" s="111">
        <f t="shared" si="56"/>
        <v>115</v>
      </c>
      <c r="C3623" s="111"/>
      <c r="D3623" s="111"/>
      <c r="E3623" s="111"/>
    </row>
    <row r="3624" spans="1:5" x14ac:dyDescent="0.2">
      <c r="A3624" s="113">
        <v>38322</v>
      </c>
      <c r="B3624" s="111">
        <f t="shared" si="56"/>
        <v>115</v>
      </c>
      <c r="C3624" s="111"/>
      <c r="D3624" s="111"/>
      <c r="E3624" s="111"/>
    </row>
    <row r="3625" spans="1:5" x14ac:dyDescent="0.2">
      <c r="A3625" s="113">
        <v>38323</v>
      </c>
      <c r="B3625" s="111">
        <f t="shared" si="56"/>
        <v>115</v>
      </c>
      <c r="C3625" s="111"/>
      <c r="D3625" s="111"/>
      <c r="E3625" s="111"/>
    </row>
    <row r="3626" spans="1:5" x14ac:dyDescent="0.2">
      <c r="A3626" s="113">
        <v>38324</v>
      </c>
      <c r="B3626" s="111">
        <f t="shared" si="56"/>
        <v>115</v>
      </c>
      <c r="C3626" s="111"/>
      <c r="D3626" s="111"/>
      <c r="E3626" s="111"/>
    </row>
    <row r="3627" spans="1:5" x14ac:dyDescent="0.2">
      <c r="A3627" s="113">
        <v>38325</v>
      </c>
      <c r="B3627" s="111">
        <f t="shared" si="56"/>
        <v>115</v>
      </c>
      <c r="C3627" s="111"/>
      <c r="D3627" s="111"/>
      <c r="E3627" s="111"/>
    </row>
    <row r="3628" spans="1:5" x14ac:dyDescent="0.2">
      <c r="A3628" s="113">
        <v>38326</v>
      </c>
      <c r="B3628" s="111">
        <f t="shared" si="56"/>
        <v>121</v>
      </c>
      <c r="C3628" s="111"/>
      <c r="D3628" s="111"/>
      <c r="E3628" s="111"/>
    </row>
    <row r="3629" spans="1:5" x14ac:dyDescent="0.2">
      <c r="A3629" s="113">
        <v>38327</v>
      </c>
      <c r="B3629" s="111">
        <f t="shared" si="56"/>
        <v>121</v>
      </c>
      <c r="C3629" s="111"/>
      <c r="D3629" s="111"/>
      <c r="E3629" s="111"/>
    </row>
    <row r="3630" spans="1:5" x14ac:dyDescent="0.2">
      <c r="A3630" s="113">
        <v>38328</v>
      </c>
      <c r="B3630" s="111">
        <f t="shared" si="56"/>
        <v>121</v>
      </c>
      <c r="C3630" s="111"/>
      <c r="D3630" s="111"/>
      <c r="E3630" s="111"/>
    </row>
    <row r="3631" spans="1:5" x14ac:dyDescent="0.2">
      <c r="A3631" s="113">
        <v>38329</v>
      </c>
      <c r="B3631" s="111">
        <f t="shared" si="56"/>
        <v>121</v>
      </c>
      <c r="C3631" s="111"/>
      <c r="D3631" s="111"/>
      <c r="E3631" s="111"/>
    </row>
    <row r="3632" spans="1:5" x14ac:dyDescent="0.2">
      <c r="A3632" s="113">
        <v>38330</v>
      </c>
      <c r="B3632" s="111">
        <f t="shared" si="56"/>
        <v>121</v>
      </c>
      <c r="C3632" s="111"/>
      <c r="D3632" s="111"/>
      <c r="E3632" s="111"/>
    </row>
    <row r="3633" spans="1:5" x14ac:dyDescent="0.2">
      <c r="A3633" s="113">
        <v>38331</v>
      </c>
      <c r="B3633" s="111">
        <f t="shared" si="56"/>
        <v>121</v>
      </c>
      <c r="C3633" s="111"/>
      <c r="D3633" s="111"/>
      <c r="E3633" s="111"/>
    </row>
    <row r="3634" spans="1:5" x14ac:dyDescent="0.2">
      <c r="A3634" s="113">
        <v>38332</v>
      </c>
      <c r="B3634" s="111">
        <f t="shared" si="56"/>
        <v>121</v>
      </c>
      <c r="C3634" s="111"/>
      <c r="D3634" s="111"/>
      <c r="E3634" s="111"/>
    </row>
    <row r="3635" spans="1:5" x14ac:dyDescent="0.2">
      <c r="A3635" s="113">
        <v>38333</v>
      </c>
      <c r="B3635" s="111">
        <f t="shared" si="56"/>
        <v>122</v>
      </c>
      <c r="C3635" s="111"/>
      <c r="D3635" s="111"/>
      <c r="E3635" s="111"/>
    </row>
    <row r="3636" spans="1:5" x14ac:dyDescent="0.2">
      <c r="A3636" s="113">
        <v>38334</v>
      </c>
      <c r="B3636" s="111">
        <f t="shared" si="56"/>
        <v>122</v>
      </c>
      <c r="C3636" s="111"/>
      <c r="D3636" s="111"/>
      <c r="E3636" s="111"/>
    </row>
    <row r="3637" spans="1:5" x14ac:dyDescent="0.2">
      <c r="A3637" s="113">
        <v>38335</v>
      </c>
      <c r="B3637" s="111">
        <f t="shared" si="56"/>
        <v>122</v>
      </c>
      <c r="C3637" s="111"/>
      <c r="D3637" s="111"/>
      <c r="E3637" s="111"/>
    </row>
    <row r="3638" spans="1:5" x14ac:dyDescent="0.2">
      <c r="A3638" s="113">
        <v>38336</v>
      </c>
      <c r="B3638" s="111">
        <f t="shared" si="56"/>
        <v>122</v>
      </c>
      <c r="C3638" s="111"/>
      <c r="D3638" s="111"/>
      <c r="E3638" s="111"/>
    </row>
    <row r="3639" spans="1:5" x14ac:dyDescent="0.2">
      <c r="A3639" s="113">
        <v>38337</v>
      </c>
      <c r="B3639" s="111">
        <f t="shared" si="56"/>
        <v>122</v>
      </c>
      <c r="C3639" s="111"/>
      <c r="D3639" s="111"/>
      <c r="E3639" s="111"/>
    </row>
    <row r="3640" spans="1:5" x14ac:dyDescent="0.2">
      <c r="A3640" s="113">
        <v>38338</v>
      </c>
      <c r="B3640" s="111">
        <f t="shared" si="56"/>
        <v>122</v>
      </c>
      <c r="C3640" s="111"/>
      <c r="D3640" s="111"/>
      <c r="E3640" s="111"/>
    </row>
    <row r="3641" spans="1:5" x14ac:dyDescent="0.2">
      <c r="A3641" s="113">
        <v>38339</v>
      </c>
      <c r="B3641" s="111">
        <f t="shared" si="56"/>
        <v>122</v>
      </c>
      <c r="C3641" s="111"/>
      <c r="D3641" s="111"/>
      <c r="E3641" s="111"/>
    </row>
    <row r="3642" spans="1:5" x14ac:dyDescent="0.2">
      <c r="A3642" s="113">
        <v>38340</v>
      </c>
      <c r="B3642" s="111">
        <f t="shared" si="56"/>
        <v>123</v>
      </c>
      <c r="C3642" s="111"/>
      <c r="D3642" s="111"/>
      <c r="E3642" s="111"/>
    </row>
    <row r="3643" spans="1:5" x14ac:dyDescent="0.2">
      <c r="A3643" s="113">
        <v>38341</v>
      </c>
      <c r="B3643" s="111">
        <f t="shared" si="56"/>
        <v>123</v>
      </c>
      <c r="C3643" s="111"/>
      <c r="D3643" s="111"/>
      <c r="E3643" s="111"/>
    </row>
    <row r="3644" spans="1:5" x14ac:dyDescent="0.2">
      <c r="A3644" s="113">
        <v>38342</v>
      </c>
      <c r="B3644" s="111">
        <f t="shared" si="56"/>
        <v>123</v>
      </c>
      <c r="C3644" s="111"/>
      <c r="D3644" s="111"/>
      <c r="E3644" s="111"/>
    </row>
    <row r="3645" spans="1:5" x14ac:dyDescent="0.2">
      <c r="A3645" s="113">
        <v>38343</v>
      </c>
      <c r="B3645" s="111">
        <f t="shared" si="56"/>
        <v>123</v>
      </c>
      <c r="C3645" s="111"/>
      <c r="D3645" s="111"/>
      <c r="E3645" s="111"/>
    </row>
    <row r="3646" spans="1:5" x14ac:dyDescent="0.2">
      <c r="A3646" s="113">
        <v>38344</v>
      </c>
      <c r="B3646" s="111">
        <f t="shared" si="56"/>
        <v>123</v>
      </c>
      <c r="C3646" s="111"/>
      <c r="D3646" s="111"/>
      <c r="E3646" s="111"/>
    </row>
    <row r="3647" spans="1:5" x14ac:dyDescent="0.2">
      <c r="A3647" s="113">
        <v>38345</v>
      </c>
      <c r="B3647" s="111">
        <f t="shared" si="56"/>
        <v>123</v>
      </c>
      <c r="C3647" s="111"/>
      <c r="D3647" s="111"/>
      <c r="E3647" s="111"/>
    </row>
    <row r="3648" spans="1:5" x14ac:dyDescent="0.2">
      <c r="A3648" s="113">
        <v>38346</v>
      </c>
      <c r="B3648" s="111">
        <f t="shared" si="56"/>
        <v>123</v>
      </c>
      <c r="C3648" s="111"/>
      <c r="D3648" s="111"/>
      <c r="E3648" s="111"/>
    </row>
    <row r="3649" spans="1:5" x14ac:dyDescent="0.2">
      <c r="A3649" s="113">
        <v>38347</v>
      </c>
      <c r="B3649" s="111">
        <f t="shared" si="56"/>
        <v>124</v>
      </c>
      <c r="C3649" s="111"/>
      <c r="D3649" s="111"/>
      <c r="E3649" s="111"/>
    </row>
    <row r="3650" spans="1:5" x14ac:dyDescent="0.2">
      <c r="A3650" s="113">
        <v>38348</v>
      </c>
      <c r="B3650" s="111">
        <f t="shared" ref="B3650:B3713" si="57">VLOOKUP(WEEKNUM(A3650),$D$3:$E$58,2)</f>
        <v>124</v>
      </c>
      <c r="C3650" s="111"/>
      <c r="D3650" s="111"/>
      <c r="E3650" s="111"/>
    </row>
    <row r="3651" spans="1:5" x14ac:dyDescent="0.2">
      <c r="A3651" s="113">
        <v>38349</v>
      </c>
      <c r="B3651" s="111">
        <f t="shared" si="57"/>
        <v>124</v>
      </c>
      <c r="C3651" s="111"/>
      <c r="D3651" s="111"/>
      <c r="E3651" s="111"/>
    </row>
    <row r="3652" spans="1:5" x14ac:dyDescent="0.2">
      <c r="A3652" s="113">
        <v>38350</v>
      </c>
      <c r="B3652" s="111">
        <f t="shared" si="57"/>
        <v>124</v>
      </c>
      <c r="C3652" s="111"/>
      <c r="D3652" s="111"/>
      <c r="E3652" s="111"/>
    </row>
    <row r="3653" spans="1:5" x14ac:dyDescent="0.2">
      <c r="A3653" s="113">
        <v>38351</v>
      </c>
      <c r="B3653" s="111">
        <f t="shared" si="57"/>
        <v>124</v>
      </c>
      <c r="C3653" s="111"/>
      <c r="D3653" s="111"/>
      <c r="E3653" s="111"/>
    </row>
    <row r="3654" spans="1:5" x14ac:dyDescent="0.2">
      <c r="A3654" s="113">
        <v>38352</v>
      </c>
      <c r="B3654" s="111">
        <f t="shared" si="57"/>
        <v>124</v>
      </c>
      <c r="C3654" s="111"/>
      <c r="D3654" s="111"/>
      <c r="E3654" s="111"/>
    </row>
    <row r="3655" spans="1:5" x14ac:dyDescent="0.2">
      <c r="A3655" s="113">
        <v>38353</v>
      </c>
      <c r="B3655" s="111">
        <f t="shared" si="57"/>
        <v>11</v>
      </c>
      <c r="C3655" s="111"/>
      <c r="D3655" s="111"/>
      <c r="E3655" s="111"/>
    </row>
    <row r="3656" spans="1:5" x14ac:dyDescent="0.2">
      <c r="A3656" s="113">
        <v>38354</v>
      </c>
      <c r="B3656" s="111">
        <f t="shared" si="57"/>
        <v>12</v>
      </c>
      <c r="C3656" s="111"/>
      <c r="D3656" s="111"/>
      <c r="E3656" s="111"/>
    </row>
    <row r="3657" spans="1:5" x14ac:dyDescent="0.2">
      <c r="A3657" s="113">
        <v>38355</v>
      </c>
      <c r="B3657" s="111">
        <f t="shared" si="57"/>
        <v>12</v>
      </c>
      <c r="C3657" s="111"/>
      <c r="D3657" s="111"/>
      <c r="E3657" s="111"/>
    </row>
    <row r="3658" spans="1:5" x14ac:dyDescent="0.2">
      <c r="A3658" s="113">
        <v>38356</v>
      </c>
      <c r="B3658" s="111">
        <f t="shared" si="57"/>
        <v>12</v>
      </c>
      <c r="C3658" s="111"/>
      <c r="D3658" s="111"/>
      <c r="E3658" s="111"/>
    </row>
    <row r="3659" spans="1:5" x14ac:dyDescent="0.2">
      <c r="A3659" s="113">
        <v>38357</v>
      </c>
      <c r="B3659" s="111">
        <f t="shared" si="57"/>
        <v>12</v>
      </c>
      <c r="C3659" s="111"/>
      <c r="D3659" s="111"/>
      <c r="E3659" s="111"/>
    </row>
    <row r="3660" spans="1:5" x14ac:dyDescent="0.2">
      <c r="A3660" s="113">
        <v>38358</v>
      </c>
      <c r="B3660" s="111">
        <f t="shared" si="57"/>
        <v>12</v>
      </c>
      <c r="C3660" s="111"/>
      <c r="D3660" s="111"/>
      <c r="E3660" s="111"/>
    </row>
    <row r="3661" spans="1:5" x14ac:dyDescent="0.2">
      <c r="A3661" s="113">
        <v>38359</v>
      </c>
      <c r="B3661" s="111">
        <f t="shared" si="57"/>
        <v>12</v>
      </c>
      <c r="C3661" s="111"/>
      <c r="D3661" s="111"/>
      <c r="E3661" s="111"/>
    </row>
    <row r="3662" spans="1:5" x14ac:dyDescent="0.2">
      <c r="A3662" s="113">
        <v>38360</v>
      </c>
      <c r="B3662" s="111">
        <f t="shared" si="57"/>
        <v>12</v>
      </c>
      <c r="C3662" s="111"/>
      <c r="D3662" s="111"/>
      <c r="E3662" s="111"/>
    </row>
    <row r="3663" spans="1:5" x14ac:dyDescent="0.2">
      <c r="A3663" s="113">
        <v>38361</v>
      </c>
      <c r="B3663" s="111">
        <f t="shared" si="57"/>
        <v>13</v>
      </c>
      <c r="C3663" s="111"/>
      <c r="D3663" s="111"/>
      <c r="E3663" s="111"/>
    </row>
    <row r="3664" spans="1:5" x14ac:dyDescent="0.2">
      <c r="A3664" s="113">
        <v>38362</v>
      </c>
      <c r="B3664" s="111">
        <f t="shared" si="57"/>
        <v>13</v>
      </c>
      <c r="C3664" s="111"/>
      <c r="D3664" s="111"/>
      <c r="E3664" s="111"/>
    </row>
    <row r="3665" spans="1:5" x14ac:dyDescent="0.2">
      <c r="A3665" s="113">
        <v>38363</v>
      </c>
      <c r="B3665" s="111">
        <f t="shared" si="57"/>
        <v>13</v>
      </c>
      <c r="C3665" s="111"/>
      <c r="D3665" s="111"/>
      <c r="E3665" s="111"/>
    </row>
    <row r="3666" spans="1:5" x14ac:dyDescent="0.2">
      <c r="A3666" s="113">
        <v>38364</v>
      </c>
      <c r="B3666" s="111">
        <f t="shared" si="57"/>
        <v>13</v>
      </c>
      <c r="C3666" s="111"/>
      <c r="D3666" s="111"/>
      <c r="E3666" s="111"/>
    </row>
    <row r="3667" spans="1:5" x14ac:dyDescent="0.2">
      <c r="A3667" s="113">
        <v>38365</v>
      </c>
      <c r="B3667" s="111">
        <f t="shared" si="57"/>
        <v>13</v>
      </c>
      <c r="C3667" s="111"/>
      <c r="D3667" s="111"/>
      <c r="E3667" s="111"/>
    </row>
    <row r="3668" spans="1:5" x14ac:dyDescent="0.2">
      <c r="A3668" s="113">
        <v>38366</v>
      </c>
      <c r="B3668" s="111">
        <f t="shared" si="57"/>
        <v>13</v>
      </c>
      <c r="C3668" s="111"/>
      <c r="D3668" s="111"/>
      <c r="E3668" s="111"/>
    </row>
    <row r="3669" spans="1:5" x14ac:dyDescent="0.2">
      <c r="A3669" s="113">
        <v>38367</v>
      </c>
      <c r="B3669" s="111">
        <f t="shared" si="57"/>
        <v>13</v>
      </c>
      <c r="C3669" s="111"/>
      <c r="D3669" s="111"/>
      <c r="E3669" s="111"/>
    </row>
    <row r="3670" spans="1:5" x14ac:dyDescent="0.2">
      <c r="A3670" s="113">
        <v>38368</v>
      </c>
      <c r="B3670" s="111">
        <f t="shared" si="57"/>
        <v>14</v>
      </c>
      <c r="C3670" s="111"/>
      <c r="D3670" s="111"/>
      <c r="E3670" s="111"/>
    </row>
    <row r="3671" spans="1:5" x14ac:dyDescent="0.2">
      <c r="A3671" s="113">
        <v>38369</v>
      </c>
      <c r="B3671" s="111">
        <f t="shared" si="57"/>
        <v>14</v>
      </c>
      <c r="C3671" s="111"/>
      <c r="D3671" s="111"/>
      <c r="E3671" s="111"/>
    </row>
    <row r="3672" spans="1:5" x14ac:dyDescent="0.2">
      <c r="A3672" s="113">
        <v>38370</v>
      </c>
      <c r="B3672" s="111">
        <f t="shared" si="57"/>
        <v>14</v>
      </c>
      <c r="C3672" s="111"/>
      <c r="D3672" s="111"/>
      <c r="E3672" s="111"/>
    </row>
    <row r="3673" spans="1:5" x14ac:dyDescent="0.2">
      <c r="A3673" s="113">
        <v>38371</v>
      </c>
      <c r="B3673" s="111">
        <f t="shared" si="57"/>
        <v>14</v>
      </c>
      <c r="C3673" s="111"/>
      <c r="D3673" s="111"/>
      <c r="E3673" s="111"/>
    </row>
    <row r="3674" spans="1:5" x14ac:dyDescent="0.2">
      <c r="A3674" s="113">
        <v>38372</v>
      </c>
      <c r="B3674" s="111">
        <f t="shared" si="57"/>
        <v>14</v>
      </c>
      <c r="C3674" s="111"/>
      <c r="D3674" s="111"/>
      <c r="E3674" s="111"/>
    </row>
    <row r="3675" spans="1:5" x14ac:dyDescent="0.2">
      <c r="A3675" s="113">
        <v>38373</v>
      </c>
      <c r="B3675" s="111">
        <f t="shared" si="57"/>
        <v>14</v>
      </c>
      <c r="C3675" s="111"/>
      <c r="D3675" s="111"/>
      <c r="E3675" s="111"/>
    </row>
    <row r="3676" spans="1:5" x14ac:dyDescent="0.2">
      <c r="A3676" s="113">
        <v>38374</v>
      </c>
      <c r="B3676" s="111">
        <f t="shared" si="57"/>
        <v>14</v>
      </c>
      <c r="C3676" s="111"/>
      <c r="D3676" s="111"/>
      <c r="E3676" s="111"/>
    </row>
    <row r="3677" spans="1:5" x14ac:dyDescent="0.2">
      <c r="A3677" s="113">
        <v>38375</v>
      </c>
      <c r="B3677" s="111">
        <f t="shared" si="57"/>
        <v>15</v>
      </c>
      <c r="C3677" s="111"/>
      <c r="D3677" s="111"/>
      <c r="E3677" s="111"/>
    </row>
    <row r="3678" spans="1:5" x14ac:dyDescent="0.2">
      <c r="A3678" s="113">
        <v>38376</v>
      </c>
      <c r="B3678" s="111">
        <f t="shared" si="57"/>
        <v>15</v>
      </c>
      <c r="C3678" s="111"/>
      <c r="D3678" s="111"/>
      <c r="E3678" s="111"/>
    </row>
    <row r="3679" spans="1:5" x14ac:dyDescent="0.2">
      <c r="A3679" s="113">
        <v>38377</v>
      </c>
      <c r="B3679" s="111">
        <f t="shared" si="57"/>
        <v>15</v>
      </c>
      <c r="C3679" s="111"/>
      <c r="D3679" s="111"/>
      <c r="E3679" s="111"/>
    </row>
    <row r="3680" spans="1:5" x14ac:dyDescent="0.2">
      <c r="A3680" s="113">
        <v>38378</v>
      </c>
      <c r="B3680" s="111">
        <f t="shared" si="57"/>
        <v>15</v>
      </c>
      <c r="C3680" s="111"/>
      <c r="D3680" s="111"/>
      <c r="E3680" s="111"/>
    </row>
    <row r="3681" spans="1:5" x14ac:dyDescent="0.2">
      <c r="A3681" s="113">
        <v>38379</v>
      </c>
      <c r="B3681" s="111">
        <f t="shared" si="57"/>
        <v>15</v>
      </c>
      <c r="C3681" s="111"/>
      <c r="D3681" s="111"/>
      <c r="E3681" s="111"/>
    </row>
    <row r="3682" spans="1:5" x14ac:dyDescent="0.2">
      <c r="A3682" s="113">
        <v>38380</v>
      </c>
      <c r="B3682" s="111">
        <f t="shared" si="57"/>
        <v>15</v>
      </c>
      <c r="C3682" s="111"/>
      <c r="D3682" s="111"/>
      <c r="E3682" s="111"/>
    </row>
    <row r="3683" spans="1:5" x14ac:dyDescent="0.2">
      <c r="A3683" s="113">
        <v>38381</v>
      </c>
      <c r="B3683" s="111">
        <f t="shared" si="57"/>
        <v>15</v>
      </c>
      <c r="C3683" s="111"/>
      <c r="D3683" s="111"/>
      <c r="E3683" s="111"/>
    </row>
    <row r="3684" spans="1:5" x14ac:dyDescent="0.2">
      <c r="A3684" s="113">
        <v>38382</v>
      </c>
      <c r="B3684" s="111">
        <f t="shared" si="57"/>
        <v>21</v>
      </c>
      <c r="C3684" s="111"/>
      <c r="D3684" s="111"/>
      <c r="E3684" s="111"/>
    </row>
    <row r="3685" spans="1:5" x14ac:dyDescent="0.2">
      <c r="A3685" s="113">
        <v>38383</v>
      </c>
      <c r="B3685" s="111">
        <f t="shared" si="57"/>
        <v>21</v>
      </c>
      <c r="C3685" s="111"/>
      <c r="D3685" s="111"/>
      <c r="E3685" s="111"/>
    </row>
    <row r="3686" spans="1:5" x14ac:dyDescent="0.2">
      <c r="A3686" s="113">
        <v>38384</v>
      </c>
      <c r="B3686" s="111">
        <f t="shared" si="57"/>
        <v>21</v>
      </c>
      <c r="C3686" s="111"/>
      <c r="D3686" s="111"/>
      <c r="E3686" s="111"/>
    </row>
    <row r="3687" spans="1:5" x14ac:dyDescent="0.2">
      <c r="A3687" s="113">
        <v>38385</v>
      </c>
      <c r="B3687" s="111">
        <f t="shared" si="57"/>
        <v>21</v>
      </c>
      <c r="C3687" s="111"/>
      <c r="D3687" s="111"/>
      <c r="E3687" s="111"/>
    </row>
    <row r="3688" spans="1:5" x14ac:dyDescent="0.2">
      <c r="A3688" s="113">
        <v>38386</v>
      </c>
      <c r="B3688" s="111">
        <f t="shared" si="57"/>
        <v>21</v>
      </c>
      <c r="C3688" s="111"/>
      <c r="D3688" s="111"/>
      <c r="E3688" s="111"/>
    </row>
    <row r="3689" spans="1:5" x14ac:dyDescent="0.2">
      <c r="A3689" s="113">
        <v>38387</v>
      </c>
      <c r="B3689" s="111">
        <f t="shared" si="57"/>
        <v>21</v>
      </c>
      <c r="C3689" s="111"/>
      <c r="D3689" s="111"/>
      <c r="E3689" s="111"/>
    </row>
    <row r="3690" spans="1:5" x14ac:dyDescent="0.2">
      <c r="A3690" s="113">
        <v>38388</v>
      </c>
      <c r="B3690" s="111">
        <f t="shared" si="57"/>
        <v>21</v>
      </c>
      <c r="C3690" s="111"/>
      <c r="D3690" s="111"/>
      <c r="E3690" s="111"/>
    </row>
    <row r="3691" spans="1:5" x14ac:dyDescent="0.2">
      <c r="A3691" s="113">
        <v>38389</v>
      </c>
      <c r="B3691" s="111">
        <f t="shared" si="57"/>
        <v>22</v>
      </c>
      <c r="C3691" s="111"/>
      <c r="D3691" s="111"/>
      <c r="E3691" s="111"/>
    </row>
    <row r="3692" spans="1:5" x14ac:dyDescent="0.2">
      <c r="A3692" s="113">
        <v>38390</v>
      </c>
      <c r="B3692" s="111">
        <f t="shared" si="57"/>
        <v>22</v>
      </c>
      <c r="C3692" s="111"/>
      <c r="D3692" s="111"/>
      <c r="E3692" s="111"/>
    </row>
    <row r="3693" spans="1:5" x14ac:dyDescent="0.2">
      <c r="A3693" s="113">
        <v>38391</v>
      </c>
      <c r="B3693" s="111">
        <f t="shared" si="57"/>
        <v>22</v>
      </c>
      <c r="C3693" s="111"/>
      <c r="D3693" s="111"/>
      <c r="E3693" s="111"/>
    </row>
    <row r="3694" spans="1:5" x14ac:dyDescent="0.2">
      <c r="A3694" s="113">
        <v>38392</v>
      </c>
      <c r="B3694" s="111">
        <f t="shared" si="57"/>
        <v>22</v>
      </c>
      <c r="C3694" s="111"/>
      <c r="D3694" s="111"/>
      <c r="E3694" s="111"/>
    </row>
    <row r="3695" spans="1:5" x14ac:dyDescent="0.2">
      <c r="A3695" s="113">
        <v>38393</v>
      </c>
      <c r="B3695" s="111">
        <f t="shared" si="57"/>
        <v>22</v>
      </c>
      <c r="C3695" s="111"/>
      <c r="D3695" s="111"/>
      <c r="E3695" s="111"/>
    </row>
    <row r="3696" spans="1:5" x14ac:dyDescent="0.2">
      <c r="A3696" s="113">
        <v>38394</v>
      </c>
      <c r="B3696" s="111">
        <f t="shared" si="57"/>
        <v>22</v>
      </c>
      <c r="C3696" s="111"/>
      <c r="D3696" s="111"/>
      <c r="E3696" s="111"/>
    </row>
    <row r="3697" spans="1:5" x14ac:dyDescent="0.2">
      <c r="A3697" s="113">
        <v>38395</v>
      </c>
      <c r="B3697" s="111">
        <f t="shared" si="57"/>
        <v>22</v>
      </c>
      <c r="C3697" s="111"/>
      <c r="D3697" s="111"/>
      <c r="E3697" s="111"/>
    </row>
    <row r="3698" spans="1:5" x14ac:dyDescent="0.2">
      <c r="A3698" s="113">
        <v>38396</v>
      </c>
      <c r="B3698" s="111">
        <f t="shared" si="57"/>
        <v>23</v>
      </c>
      <c r="C3698" s="111"/>
      <c r="D3698" s="111"/>
      <c r="E3698" s="111"/>
    </row>
    <row r="3699" spans="1:5" x14ac:dyDescent="0.2">
      <c r="A3699" s="113">
        <v>38397</v>
      </c>
      <c r="B3699" s="111">
        <f t="shared" si="57"/>
        <v>23</v>
      </c>
      <c r="C3699" s="111"/>
      <c r="D3699" s="111"/>
      <c r="E3699" s="111"/>
    </row>
    <row r="3700" spans="1:5" x14ac:dyDescent="0.2">
      <c r="A3700" s="113">
        <v>38398</v>
      </c>
      <c r="B3700" s="111">
        <f t="shared" si="57"/>
        <v>23</v>
      </c>
      <c r="C3700" s="111"/>
      <c r="D3700" s="111"/>
      <c r="E3700" s="111"/>
    </row>
    <row r="3701" spans="1:5" x14ac:dyDescent="0.2">
      <c r="A3701" s="113">
        <v>38399</v>
      </c>
      <c r="B3701" s="111">
        <f t="shared" si="57"/>
        <v>23</v>
      </c>
      <c r="C3701" s="111"/>
      <c r="D3701" s="111"/>
      <c r="E3701" s="111"/>
    </row>
    <row r="3702" spans="1:5" x14ac:dyDescent="0.2">
      <c r="A3702" s="113">
        <v>38400</v>
      </c>
      <c r="B3702" s="111">
        <f t="shared" si="57"/>
        <v>23</v>
      </c>
      <c r="C3702" s="111"/>
      <c r="D3702" s="111"/>
      <c r="E3702" s="111"/>
    </row>
    <row r="3703" spans="1:5" x14ac:dyDescent="0.2">
      <c r="A3703" s="113">
        <v>38401</v>
      </c>
      <c r="B3703" s="111">
        <f t="shared" si="57"/>
        <v>23</v>
      </c>
      <c r="C3703" s="111"/>
      <c r="D3703" s="111"/>
      <c r="E3703" s="111"/>
    </row>
    <row r="3704" spans="1:5" x14ac:dyDescent="0.2">
      <c r="A3704" s="113">
        <v>38402</v>
      </c>
      <c r="B3704" s="111">
        <f t="shared" si="57"/>
        <v>23</v>
      </c>
      <c r="C3704" s="111"/>
      <c r="D3704" s="111"/>
      <c r="E3704" s="111"/>
    </row>
    <row r="3705" spans="1:5" x14ac:dyDescent="0.2">
      <c r="A3705" s="113">
        <v>38403</v>
      </c>
      <c r="B3705" s="111">
        <f t="shared" si="57"/>
        <v>24</v>
      </c>
      <c r="C3705" s="111"/>
      <c r="D3705" s="111"/>
      <c r="E3705" s="111"/>
    </row>
    <row r="3706" spans="1:5" x14ac:dyDescent="0.2">
      <c r="A3706" s="113">
        <v>38404</v>
      </c>
      <c r="B3706" s="111">
        <f t="shared" si="57"/>
        <v>24</v>
      </c>
      <c r="C3706" s="111"/>
      <c r="D3706" s="111"/>
      <c r="E3706" s="111"/>
    </row>
    <row r="3707" spans="1:5" x14ac:dyDescent="0.2">
      <c r="A3707" s="113">
        <v>38405</v>
      </c>
      <c r="B3707" s="111">
        <f t="shared" si="57"/>
        <v>24</v>
      </c>
      <c r="C3707" s="111"/>
      <c r="D3707" s="111"/>
      <c r="E3707" s="111"/>
    </row>
    <row r="3708" spans="1:5" x14ac:dyDescent="0.2">
      <c r="A3708" s="113">
        <v>38406</v>
      </c>
      <c r="B3708" s="111">
        <f t="shared" si="57"/>
        <v>24</v>
      </c>
      <c r="C3708" s="111"/>
      <c r="D3708" s="111"/>
      <c r="E3708" s="111"/>
    </row>
    <row r="3709" spans="1:5" x14ac:dyDescent="0.2">
      <c r="A3709" s="113">
        <v>38407</v>
      </c>
      <c r="B3709" s="111">
        <f t="shared" si="57"/>
        <v>24</v>
      </c>
      <c r="C3709" s="111"/>
      <c r="D3709" s="111"/>
      <c r="E3709" s="111"/>
    </row>
    <row r="3710" spans="1:5" x14ac:dyDescent="0.2">
      <c r="A3710" s="113">
        <v>38408</v>
      </c>
      <c r="B3710" s="111">
        <f t="shared" si="57"/>
        <v>24</v>
      </c>
      <c r="C3710" s="111"/>
      <c r="D3710" s="111"/>
      <c r="E3710" s="111"/>
    </row>
    <row r="3711" spans="1:5" x14ac:dyDescent="0.2">
      <c r="A3711" s="113">
        <v>38409</v>
      </c>
      <c r="B3711" s="111">
        <f t="shared" si="57"/>
        <v>24</v>
      </c>
      <c r="C3711" s="111"/>
      <c r="D3711" s="111"/>
      <c r="E3711" s="111"/>
    </row>
    <row r="3712" spans="1:5" x14ac:dyDescent="0.2">
      <c r="A3712" s="113">
        <v>38410</v>
      </c>
      <c r="B3712" s="111">
        <f t="shared" si="57"/>
        <v>31</v>
      </c>
      <c r="C3712" s="111"/>
      <c r="D3712" s="111"/>
      <c r="E3712" s="111"/>
    </row>
    <row r="3713" spans="1:5" x14ac:dyDescent="0.2">
      <c r="A3713" s="113">
        <v>38411</v>
      </c>
      <c r="B3713" s="111">
        <f t="shared" si="57"/>
        <v>31</v>
      </c>
      <c r="C3713" s="111"/>
      <c r="D3713" s="111"/>
      <c r="E3713" s="111"/>
    </row>
    <row r="3714" spans="1:5" x14ac:dyDescent="0.2">
      <c r="A3714" s="113">
        <v>38412</v>
      </c>
      <c r="B3714" s="111">
        <f t="shared" ref="B3714:B3777" si="58">VLOOKUP(WEEKNUM(A3714),$D$3:$E$58,2)</f>
        <v>31</v>
      </c>
      <c r="C3714" s="111"/>
      <c r="D3714" s="111"/>
      <c r="E3714" s="111"/>
    </row>
    <row r="3715" spans="1:5" x14ac:dyDescent="0.2">
      <c r="A3715" s="113">
        <v>38413</v>
      </c>
      <c r="B3715" s="111">
        <f t="shared" si="58"/>
        <v>31</v>
      </c>
      <c r="C3715" s="111"/>
      <c r="D3715" s="111"/>
      <c r="E3715" s="111"/>
    </row>
    <row r="3716" spans="1:5" x14ac:dyDescent="0.2">
      <c r="A3716" s="113">
        <v>38414</v>
      </c>
      <c r="B3716" s="111">
        <f t="shared" si="58"/>
        <v>31</v>
      </c>
      <c r="C3716" s="111"/>
      <c r="D3716" s="111"/>
      <c r="E3716" s="111"/>
    </row>
    <row r="3717" spans="1:5" x14ac:dyDescent="0.2">
      <c r="A3717" s="113">
        <v>38415</v>
      </c>
      <c r="B3717" s="111">
        <f t="shared" si="58"/>
        <v>31</v>
      </c>
      <c r="C3717" s="111"/>
      <c r="D3717" s="111"/>
      <c r="E3717" s="111"/>
    </row>
    <row r="3718" spans="1:5" x14ac:dyDescent="0.2">
      <c r="A3718" s="113">
        <v>38416</v>
      </c>
      <c r="B3718" s="111">
        <f t="shared" si="58"/>
        <v>31</v>
      </c>
      <c r="C3718" s="111"/>
      <c r="D3718" s="111"/>
      <c r="E3718" s="111"/>
    </row>
    <row r="3719" spans="1:5" x14ac:dyDescent="0.2">
      <c r="A3719" s="113">
        <v>38417</v>
      </c>
      <c r="B3719" s="111">
        <f t="shared" si="58"/>
        <v>32</v>
      </c>
      <c r="C3719" s="111"/>
      <c r="D3719" s="111"/>
      <c r="E3719" s="111"/>
    </row>
    <row r="3720" spans="1:5" x14ac:dyDescent="0.2">
      <c r="A3720" s="113">
        <v>38418</v>
      </c>
      <c r="B3720" s="111">
        <f t="shared" si="58"/>
        <v>32</v>
      </c>
      <c r="C3720" s="111"/>
      <c r="D3720" s="111"/>
      <c r="E3720" s="111"/>
    </row>
    <row r="3721" spans="1:5" x14ac:dyDescent="0.2">
      <c r="A3721" s="113">
        <v>38419</v>
      </c>
      <c r="B3721" s="111">
        <f t="shared" si="58"/>
        <v>32</v>
      </c>
      <c r="C3721" s="111"/>
      <c r="D3721" s="111"/>
      <c r="E3721" s="111"/>
    </row>
    <row r="3722" spans="1:5" x14ac:dyDescent="0.2">
      <c r="A3722" s="113">
        <v>38420</v>
      </c>
      <c r="B3722" s="111">
        <f t="shared" si="58"/>
        <v>32</v>
      </c>
      <c r="C3722" s="111"/>
      <c r="D3722" s="111"/>
      <c r="E3722" s="111"/>
    </row>
    <row r="3723" spans="1:5" x14ac:dyDescent="0.2">
      <c r="A3723" s="113">
        <v>38421</v>
      </c>
      <c r="B3723" s="111">
        <f t="shared" si="58"/>
        <v>32</v>
      </c>
      <c r="C3723" s="111"/>
      <c r="D3723" s="111"/>
      <c r="E3723" s="111"/>
    </row>
    <row r="3724" spans="1:5" x14ac:dyDescent="0.2">
      <c r="A3724" s="113">
        <v>38422</v>
      </c>
      <c r="B3724" s="111">
        <f t="shared" si="58"/>
        <v>32</v>
      </c>
      <c r="C3724" s="111"/>
      <c r="D3724" s="111"/>
      <c r="E3724" s="111"/>
    </row>
    <row r="3725" spans="1:5" x14ac:dyDescent="0.2">
      <c r="A3725" s="113">
        <v>38423</v>
      </c>
      <c r="B3725" s="111">
        <f t="shared" si="58"/>
        <v>32</v>
      </c>
      <c r="C3725" s="111"/>
      <c r="D3725" s="111"/>
      <c r="E3725" s="111"/>
    </row>
    <row r="3726" spans="1:5" x14ac:dyDescent="0.2">
      <c r="A3726" s="113">
        <v>38424</v>
      </c>
      <c r="B3726" s="111">
        <f t="shared" si="58"/>
        <v>33</v>
      </c>
      <c r="C3726" s="111"/>
      <c r="D3726" s="111"/>
      <c r="E3726" s="111"/>
    </row>
    <row r="3727" spans="1:5" x14ac:dyDescent="0.2">
      <c r="A3727" s="113">
        <v>38425</v>
      </c>
      <c r="B3727" s="111">
        <f t="shared" si="58"/>
        <v>33</v>
      </c>
      <c r="C3727" s="111"/>
      <c r="D3727" s="111"/>
      <c r="E3727" s="111"/>
    </row>
    <row r="3728" spans="1:5" x14ac:dyDescent="0.2">
      <c r="A3728" s="113">
        <v>38426</v>
      </c>
      <c r="B3728" s="111">
        <f t="shared" si="58"/>
        <v>33</v>
      </c>
      <c r="C3728" s="111"/>
      <c r="D3728" s="111"/>
      <c r="E3728" s="111"/>
    </row>
    <row r="3729" spans="1:5" x14ac:dyDescent="0.2">
      <c r="A3729" s="113">
        <v>38427</v>
      </c>
      <c r="B3729" s="111">
        <f t="shared" si="58"/>
        <v>33</v>
      </c>
      <c r="C3729" s="111"/>
      <c r="D3729" s="111"/>
      <c r="E3729" s="111"/>
    </row>
    <row r="3730" spans="1:5" x14ac:dyDescent="0.2">
      <c r="A3730" s="113">
        <v>38428</v>
      </c>
      <c r="B3730" s="111">
        <f t="shared" si="58"/>
        <v>33</v>
      </c>
      <c r="C3730" s="111"/>
      <c r="D3730" s="111"/>
      <c r="E3730" s="111"/>
    </row>
    <row r="3731" spans="1:5" x14ac:dyDescent="0.2">
      <c r="A3731" s="113">
        <v>38429</v>
      </c>
      <c r="B3731" s="111">
        <f t="shared" si="58"/>
        <v>33</v>
      </c>
      <c r="C3731" s="111"/>
      <c r="D3731" s="111"/>
      <c r="E3731" s="111"/>
    </row>
    <row r="3732" spans="1:5" x14ac:dyDescent="0.2">
      <c r="A3732" s="113">
        <v>38430</v>
      </c>
      <c r="B3732" s="111">
        <f t="shared" si="58"/>
        <v>33</v>
      </c>
      <c r="C3732" s="111"/>
      <c r="D3732" s="111"/>
      <c r="E3732" s="111"/>
    </row>
    <row r="3733" spans="1:5" x14ac:dyDescent="0.2">
      <c r="A3733" s="113">
        <v>38431</v>
      </c>
      <c r="B3733" s="111">
        <f t="shared" si="58"/>
        <v>34</v>
      </c>
      <c r="C3733" s="111"/>
      <c r="D3733" s="111"/>
      <c r="E3733" s="111"/>
    </row>
    <row r="3734" spans="1:5" x14ac:dyDescent="0.2">
      <c r="A3734" s="113">
        <v>38432</v>
      </c>
      <c r="B3734" s="111">
        <f t="shared" si="58"/>
        <v>34</v>
      </c>
      <c r="C3734" s="111"/>
      <c r="D3734" s="111"/>
      <c r="E3734" s="111"/>
    </row>
    <row r="3735" spans="1:5" x14ac:dyDescent="0.2">
      <c r="A3735" s="113">
        <v>38433</v>
      </c>
      <c r="B3735" s="111">
        <f t="shared" si="58"/>
        <v>34</v>
      </c>
      <c r="C3735" s="111"/>
      <c r="D3735" s="111"/>
      <c r="E3735" s="111"/>
    </row>
    <row r="3736" spans="1:5" x14ac:dyDescent="0.2">
      <c r="A3736" s="113">
        <v>38434</v>
      </c>
      <c r="B3736" s="111">
        <f t="shared" si="58"/>
        <v>34</v>
      </c>
      <c r="C3736" s="111"/>
      <c r="D3736" s="111"/>
      <c r="E3736" s="111"/>
    </row>
    <row r="3737" spans="1:5" x14ac:dyDescent="0.2">
      <c r="A3737" s="113">
        <v>38435</v>
      </c>
      <c r="B3737" s="111">
        <f t="shared" si="58"/>
        <v>34</v>
      </c>
      <c r="C3737" s="111"/>
      <c r="D3737" s="111"/>
      <c r="E3737" s="111"/>
    </row>
    <row r="3738" spans="1:5" x14ac:dyDescent="0.2">
      <c r="A3738" s="113">
        <v>38436</v>
      </c>
      <c r="B3738" s="111">
        <f t="shared" si="58"/>
        <v>34</v>
      </c>
      <c r="C3738" s="111"/>
      <c r="D3738" s="111"/>
      <c r="E3738" s="111"/>
    </row>
    <row r="3739" spans="1:5" x14ac:dyDescent="0.2">
      <c r="A3739" s="113">
        <v>38437</v>
      </c>
      <c r="B3739" s="111">
        <f t="shared" si="58"/>
        <v>34</v>
      </c>
      <c r="C3739" s="111"/>
      <c r="D3739" s="111"/>
      <c r="E3739" s="111"/>
    </row>
    <row r="3740" spans="1:5" x14ac:dyDescent="0.2">
      <c r="A3740" s="113">
        <v>38438</v>
      </c>
      <c r="B3740" s="111">
        <f t="shared" si="58"/>
        <v>41</v>
      </c>
      <c r="C3740" s="111"/>
      <c r="D3740" s="111"/>
      <c r="E3740" s="111"/>
    </row>
    <row r="3741" spans="1:5" x14ac:dyDescent="0.2">
      <c r="A3741" s="113">
        <v>38439</v>
      </c>
      <c r="B3741" s="111">
        <f t="shared" si="58"/>
        <v>41</v>
      </c>
      <c r="C3741" s="111"/>
      <c r="D3741" s="111"/>
      <c r="E3741" s="111"/>
    </row>
    <row r="3742" spans="1:5" x14ac:dyDescent="0.2">
      <c r="A3742" s="113">
        <v>38440</v>
      </c>
      <c r="B3742" s="111">
        <f t="shared" si="58"/>
        <v>41</v>
      </c>
      <c r="C3742" s="111"/>
      <c r="D3742" s="111"/>
      <c r="E3742" s="111"/>
    </row>
    <row r="3743" spans="1:5" x14ac:dyDescent="0.2">
      <c r="A3743" s="113">
        <v>38441</v>
      </c>
      <c r="B3743" s="111">
        <f t="shared" si="58"/>
        <v>41</v>
      </c>
      <c r="C3743" s="111"/>
      <c r="D3743" s="111"/>
      <c r="E3743" s="111"/>
    </row>
    <row r="3744" spans="1:5" x14ac:dyDescent="0.2">
      <c r="A3744" s="113">
        <v>38442</v>
      </c>
      <c r="B3744" s="111">
        <f t="shared" si="58"/>
        <v>41</v>
      </c>
      <c r="C3744" s="111"/>
      <c r="D3744" s="111"/>
      <c r="E3744" s="111"/>
    </row>
    <row r="3745" spans="1:5" x14ac:dyDescent="0.2">
      <c r="A3745" s="113">
        <v>38443</v>
      </c>
      <c r="B3745" s="111">
        <f t="shared" si="58"/>
        <v>41</v>
      </c>
      <c r="C3745" s="111"/>
      <c r="D3745" s="111"/>
      <c r="E3745" s="111"/>
    </row>
    <row r="3746" spans="1:5" x14ac:dyDescent="0.2">
      <c r="A3746" s="113">
        <v>38444</v>
      </c>
      <c r="B3746" s="111">
        <f t="shared" si="58"/>
        <v>41</v>
      </c>
      <c r="C3746" s="111"/>
      <c r="D3746" s="111"/>
      <c r="E3746" s="111"/>
    </row>
    <row r="3747" spans="1:5" x14ac:dyDescent="0.2">
      <c r="A3747" s="113">
        <v>38445</v>
      </c>
      <c r="B3747" s="111">
        <f t="shared" si="58"/>
        <v>42</v>
      </c>
      <c r="C3747" s="111"/>
      <c r="D3747" s="111"/>
      <c r="E3747" s="111"/>
    </row>
    <row r="3748" spans="1:5" x14ac:dyDescent="0.2">
      <c r="A3748" s="113">
        <v>38446</v>
      </c>
      <c r="B3748" s="111">
        <f t="shared" si="58"/>
        <v>42</v>
      </c>
      <c r="C3748" s="111"/>
      <c r="D3748" s="111"/>
      <c r="E3748" s="111"/>
    </row>
    <row r="3749" spans="1:5" x14ac:dyDescent="0.2">
      <c r="A3749" s="113">
        <v>38447</v>
      </c>
      <c r="B3749" s="111">
        <f t="shared" si="58"/>
        <v>42</v>
      </c>
      <c r="C3749" s="111"/>
      <c r="D3749" s="111"/>
      <c r="E3749" s="111"/>
    </row>
    <row r="3750" spans="1:5" x14ac:dyDescent="0.2">
      <c r="A3750" s="113">
        <v>38448</v>
      </c>
      <c r="B3750" s="111">
        <f t="shared" si="58"/>
        <v>42</v>
      </c>
      <c r="C3750" s="111"/>
      <c r="D3750" s="111"/>
      <c r="E3750" s="111"/>
    </row>
    <row r="3751" spans="1:5" x14ac:dyDescent="0.2">
      <c r="A3751" s="113">
        <v>38449</v>
      </c>
      <c r="B3751" s="111">
        <f t="shared" si="58"/>
        <v>42</v>
      </c>
      <c r="C3751" s="111"/>
      <c r="D3751" s="111"/>
      <c r="E3751" s="111"/>
    </row>
    <row r="3752" spans="1:5" x14ac:dyDescent="0.2">
      <c r="A3752" s="113">
        <v>38450</v>
      </c>
      <c r="B3752" s="111">
        <f t="shared" si="58"/>
        <v>42</v>
      </c>
      <c r="C3752" s="111"/>
      <c r="D3752" s="111"/>
      <c r="E3752" s="111"/>
    </row>
    <row r="3753" spans="1:5" x14ac:dyDescent="0.2">
      <c r="A3753" s="113">
        <v>38451</v>
      </c>
      <c r="B3753" s="111">
        <f t="shared" si="58"/>
        <v>42</v>
      </c>
      <c r="C3753" s="111"/>
      <c r="D3753" s="111"/>
      <c r="E3753" s="111"/>
    </row>
    <row r="3754" spans="1:5" x14ac:dyDescent="0.2">
      <c r="A3754" s="113">
        <v>38452</v>
      </c>
      <c r="B3754" s="111">
        <f t="shared" si="58"/>
        <v>43</v>
      </c>
      <c r="C3754" s="111"/>
      <c r="D3754" s="111"/>
      <c r="E3754" s="111"/>
    </row>
    <row r="3755" spans="1:5" x14ac:dyDescent="0.2">
      <c r="A3755" s="113">
        <v>38453</v>
      </c>
      <c r="B3755" s="111">
        <f t="shared" si="58"/>
        <v>43</v>
      </c>
      <c r="C3755" s="111"/>
      <c r="D3755" s="111"/>
      <c r="E3755" s="111"/>
    </row>
    <row r="3756" spans="1:5" x14ac:dyDescent="0.2">
      <c r="A3756" s="113">
        <v>38454</v>
      </c>
      <c r="B3756" s="111">
        <f t="shared" si="58"/>
        <v>43</v>
      </c>
      <c r="C3756" s="111"/>
      <c r="D3756" s="111"/>
      <c r="E3756" s="111"/>
    </row>
    <row r="3757" spans="1:5" x14ac:dyDescent="0.2">
      <c r="A3757" s="113">
        <v>38455</v>
      </c>
      <c r="B3757" s="111">
        <f t="shared" si="58"/>
        <v>43</v>
      </c>
      <c r="C3757" s="111"/>
      <c r="D3757" s="111"/>
      <c r="E3757" s="111"/>
    </row>
    <row r="3758" spans="1:5" x14ac:dyDescent="0.2">
      <c r="A3758" s="113">
        <v>38456</v>
      </c>
      <c r="B3758" s="111">
        <f t="shared" si="58"/>
        <v>43</v>
      </c>
      <c r="C3758" s="111"/>
      <c r="D3758" s="111"/>
      <c r="E3758" s="111"/>
    </row>
    <row r="3759" spans="1:5" x14ac:dyDescent="0.2">
      <c r="A3759" s="113">
        <v>38457</v>
      </c>
      <c r="B3759" s="111">
        <f t="shared" si="58"/>
        <v>43</v>
      </c>
      <c r="C3759" s="111"/>
      <c r="D3759" s="111"/>
      <c r="E3759" s="111"/>
    </row>
    <row r="3760" spans="1:5" x14ac:dyDescent="0.2">
      <c r="A3760" s="113">
        <v>38458</v>
      </c>
      <c r="B3760" s="111">
        <f t="shared" si="58"/>
        <v>43</v>
      </c>
      <c r="C3760" s="111"/>
      <c r="D3760" s="111"/>
      <c r="E3760" s="111"/>
    </row>
    <row r="3761" spans="1:5" x14ac:dyDescent="0.2">
      <c r="A3761" s="113">
        <v>38459</v>
      </c>
      <c r="B3761" s="111">
        <f t="shared" si="58"/>
        <v>44</v>
      </c>
      <c r="C3761" s="111"/>
      <c r="D3761" s="111"/>
      <c r="E3761" s="111"/>
    </row>
    <row r="3762" spans="1:5" x14ac:dyDescent="0.2">
      <c r="A3762" s="113">
        <v>38460</v>
      </c>
      <c r="B3762" s="111">
        <f t="shared" si="58"/>
        <v>44</v>
      </c>
      <c r="C3762" s="111"/>
      <c r="D3762" s="111"/>
      <c r="E3762" s="111"/>
    </row>
    <row r="3763" spans="1:5" x14ac:dyDescent="0.2">
      <c r="A3763" s="113">
        <v>38461</v>
      </c>
      <c r="B3763" s="111">
        <f t="shared" si="58"/>
        <v>44</v>
      </c>
      <c r="C3763" s="111"/>
      <c r="D3763" s="111"/>
      <c r="E3763" s="111"/>
    </row>
    <row r="3764" spans="1:5" x14ac:dyDescent="0.2">
      <c r="A3764" s="113">
        <v>38462</v>
      </c>
      <c r="B3764" s="111">
        <f t="shared" si="58"/>
        <v>44</v>
      </c>
      <c r="C3764" s="111"/>
      <c r="D3764" s="111"/>
      <c r="E3764" s="111"/>
    </row>
    <row r="3765" spans="1:5" x14ac:dyDescent="0.2">
      <c r="A3765" s="113">
        <v>38463</v>
      </c>
      <c r="B3765" s="111">
        <f t="shared" si="58"/>
        <v>44</v>
      </c>
      <c r="C3765" s="111"/>
      <c r="D3765" s="111"/>
      <c r="E3765" s="111"/>
    </row>
    <row r="3766" spans="1:5" x14ac:dyDescent="0.2">
      <c r="A3766" s="113">
        <v>38464</v>
      </c>
      <c r="B3766" s="111">
        <f t="shared" si="58"/>
        <v>44</v>
      </c>
      <c r="C3766" s="111"/>
      <c r="D3766" s="111"/>
      <c r="E3766" s="111"/>
    </row>
    <row r="3767" spans="1:5" x14ac:dyDescent="0.2">
      <c r="A3767" s="113">
        <v>38465</v>
      </c>
      <c r="B3767" s="111">
        <f t="shared" si="58"/>
        <v>44</v>
      </c>
      <c r="C3767" s="111"/>
      <c r="D3767" s="111"/>
      <c r="E3767" s="111"/>
    </row>
    <row r="3768" spans="1:5" x14ac:dyDescent="0.2">
      <c r="A3768" s="113">
        <v>38466</v>
      </c>
      <c r="B3768" s="111">
        <f t="shared" si="58"/>
        <v>45</v>
      </c>
      <c r="C3768" s="111"/>
      <c r="D3768" s="111"/>
      <c r="E3768" s="111"/>
    </row>
    <row r="3769" spans="1:5" x14ac:dyDescent="0.2">
      <c r="A3769" s="113">
        <v>38467</v>
      </c>
      <c r="B3769" s="111">
        <f t="shared" si="58"/>
        <v>45</v>
      </c>
      <c r="C3769" s="111"/>
      <c r="D3769" s="111"/>
      <c r="E3769" s="111"/>
    </row>
    <row r="3770" spans="1:5" x14ac:dyDescent="0.2">
      <c r="A3770" s="113">
        <v>38468</v>
      </c>
      <c r="B3770" s="111">
        <f t="shared" si="58"/>
        <v>45</v>
      </c>
      <c r="C3770" s="111"/>
      <c r="D3770" s="111"/>
      <c r="E3770" s="111"/>
    </row>
    <row r="3771" spans="1:5" x14ac:dyDescent="0.2">
      <c r="A3771" s="113">
        <v>38469</v>
      </c>
      <c r="B3771" s="111">
        <f t="shared" si="58"/>
        <v>45</v>
      </c>
      <c r="C3771" s="111"/>
      <c r="D3771" s="111"/>
      <c r="E3771" s="111"/>
    </row>
    <row r="3772" spans="1:5" x14ac:dyDescent="0.2">
      <c r="A3772" s="113">
        <v>38470</v>
      </c>
      <c r="B3772" s="111">
        <f t="shared" si="58"/>
        <v>45</v>
      </c>
      <c r="C3772" s="111"/>
      <c r="D3772" s="111"/>
      <c r="E3772" s="111"/>
    </row>
    <row r="3773" spans="1:5" x14ac:dyDescent="0.2">
      <c r="A3773" s="113">
        <v>38471</v>
      </c>
      <c r="B3773" s="111">
        <f t="shared" si="58"/>
        <v>45</v>
      </c>
      <c r="C3773" s="111"/>
      <c r="D3773" s="111"/>
      <c r="E3773" s="111"/>
    </row>
    <row r="3774" spans="1:5" x14ac:dyDescent="0.2">
      <c r="A3774" s="113">
        <v>38472</v>
      </c>
      <c r="B3774" s="111">
        <f t="shared" si="58"/>
        <v>45</v>
      </c>
      <c r="C3774" s="111"/>
      <c r="D3774" s="111"/>
      <c r="E3774" s="111"/>
    </row>
    <row r="3775" spans="1:5" x14ac:dyDescent="0.2">
      <c r="A3775" s="113">
        <v>38473</v>
      </c>
      <c r="B3775" s="111">
        <f t="shared" si="58"/>
        <v>51</v>
      </c>
      <c r="C3775" s="111"/>
      <c r="D3775" s="111"/>
      <c r="E3775" s="111"/>
    </row>
    <row r="3776" spans="1:5" x14ac:dyDescent="0.2">
      <c r="A3776" s="113">
        <v>38474</v>
      </c>
      <c r="B3776" s="111">
        <f t="shared" si="58"/>
        <v>51</v>
      </c>
      <c r="C3776" s="111"/>
      <c r="D3776" s="111"/>
      <c r="E3776" s="111"/>
    </row>
    <row r="3777" spans="1:5" x14ac:dyDescent="0.2">
      <c r="A3777" s="113">
        <v>38475</v>
      </c>
      <c r="B3777" s="111">
        <f t="shared" si="58"/>
        <v>51</v>
      </c>
      <c r="C3777" s="111"/>
      <c r="D3777" s="111"/>
      <c r="E3777" s="111"/>
    </row>
    <row r="3778" spans="1:5" x14ac:dyDescent="0.2">
      <c r="A3778" s="113">
        <v>38476</v>
      </c>
      <c r="B3778" s="111">
        <f t="shared" ref="B3778:B3841" si="59">VLOOKUP(WEEKNUM(A3778),$D$3:$E$58,2)</f>
        <v>51</v>
      </c>
      <c r="C3778" s="111"/>
      <c r="D3778" s="111"/>
      <c r="E3778" s="111"/>
    </row>
    <row r="3779" spans="1:5" x14ac:dyDescent="0.2">
      <c r="A3779" s="113">
        <v>38477</v>
      </c>
      <c r="B3779" s="111">
        <f t="shared" si="59"/>
        <v>51</v>
      </c>
      <c r="C3779" s="111"/>
      <c r="D3779" s="111"/>
      <c r="E3779" s="111"/>
    </row>
    <row r="3780" spans="1:5" x14ac:dyDescent="0.2">
      <c r="A3780" s="113">
        <v>38478</v>
      </c>
      <c r="B3780" s="111">
        <f t="shared" si="59"/>
        <v>51</v>
      </c>
      <c r="C3780" s="111"/>
      <c r="D3780" s="111"/>
      <c r="E3780" s="111"/>
    </row>
    <row r="3781" spans="1:5" x14ac:dyDescent="0.2">
      <c r="A3781" s="113">
        <v>38479</v>
      </c>
      <c r="B3781" s="111">
        <f t="shared" si="59"/>
        <v>51</v>
      </c>
      <c r="C3781" s="111"/>
      <c r="D3781" s="111"/>
      <c r="E3781" s="111"/>
    </row>
    <row r="3782" spans="1:5" x14ac:dyDescent="0.2">
      <c r="A3782" s="113">
        <v>38480</v>
      </c>
      <c r="B3782" s="111">
        <f t="shared" si="59"/>
        <v>52</v>
      </c>
      <c r="C3782" s="111"/>
      <c r="D3782" s="111"/>
      <c r="E3782" s="111"/>
    </row>
    <row r="3783" spans="1:5" x14ac:dyDescent="0.2">
      <c r="A3783" s="113">
        <v>38481</v>
      </c>
      <c r="B3783" s="111">
        <f t="shared" si="59"/>
        <v>52</v>
      </c>
      <c r="C3783" s="111"/>
      <c r="D3783" s="111"/>
      <c r="E3783" s="111"/>
    </row>
    <row r="3784" spans="1:5" x14ac:dyDescent="0.2">
      <c r="A3784" s="113">
        <v>38482</v>
      </c>
      <c r="B3784" s="111">
        <f t="shared" si="59"/>
        <v>52</v>
      </c>
      <c r="C3784" s="111"/>
      <c r="D3784" s="111"/>
      <c r="E3784" s="111"/>
    </row>
    <row r="3785" spans="1:5" x14ac:dyDescent="0.2">
      <c r="A3785" s="113">
        <v>38483</v>
      </c>
      <c r="B3785" s="111">
        <f t="shared" si="59"/>
        <v>52</v>
      </c>
      <c r="C3785" s="111"/>
      <c r="D3785" s="111"/>
      <c r="E3785" s="111"/>
    </row>
    <row r="3786" spans="1:5" x14ac:dyDescent="0.2">
      <c r="A3786" s="113">
        <v>38484</v>
      </c>
      <c r="B3786" s="111">
        <f t="shared" si="59"/>
        <v>52</v>
      </c>
      <c r="C3786" s="111"/>
      <c r="D3786" s="111"/>
      <c r="E3786" s="111"/>
    </row>
    <row r="3787" spans="1:5" x14ac:dyDescent="0.2">
      <c r="A3787" s="113">
        <v>38485</v>
      </c>
      <c r="B3787" s="111">
        <f t="shared" si="59"/>
        <v>52</v>
      </c>
      <c r="C3787" s="111"/>
      <c r="D3787" s="111"/>
      <c r="E3787" s="111"/>
    </row>
    <row r="3788" spans="1:5" x14ac:dyDescent="0.2">
      <c r="A3788" s="113">
        <v>38486</v>
      </c>
      <c r="B3788" s="111">
        <f t="shared" si="59"/>
        <v>52</v>
      </c>
      <c r="C3788" s="111"/>
      <c r="D3788" s="111"/>
      <c r="E3788" s="111"/>
    </row>
    <row r="3789" spans="1:5" x14ac:dyDescent="0.2">
      <c r="A3789" s="113">
        <v>38487</v>
      </c>
      <c r="B3789" s="111">
        <f t="shared" si="59"/>
        <v>53</v>
      </c>
      <c r="C3789" s="111"/>
      <c r="D3789" s="111"/>
      <c r="E3789" s="111"/>
    </row>
    <row r="3790" spans="1:5" x14ac:dyDescent="0.2">
      <c r="A3790" s="113">
        <v>38488</v>
      </c>
      <c r="B3790" s="111">
        <f t="shared" si="59"/>
        <v>53</v>
      </c>
      <c r="C3790" s="111"/>
      <c r="D3790" s="111"/>
      <c r="E3790" s="111"/>
    </row>
    <row r="3791" spans="1:5" x14ac:dyDescent="0.2">
      <c r="A3791" s="113">
        <v>38489</v>
      </c>
      <c r="B3791" s="111">
        <f t="shared" si="59"/>
        <v>53</v>
      </c>
      <c r="C3791" s="111"/>
      <c r="D3791" s="111"/>
      <c r="E3791" s="111"/>
    </row>
    <row r="3792" spans="1:5" x14ac:dyDescent="0.2">
      <c r="A3792" s="113">
        <v>38490</v>
      </c>
      <c r="B3792" s="111">
        <f t="shared" si="59"/>
        <v>53</v>
      </c>
      <c r="C3792" s="111"/>
      <c r="D3792" s="111"/>
      <c r="E3792" s="111"/>
    </row>
    <row r="3793" spans="1:5" x14ac:dyDescent="0.2">
      <c r="A3793" s="113">
        <v>38491</v>
      </c>
      <c r="B3793" s="111">
        <f t="shared" si="59"/>
        <v>53</v>
      </c>
      <c r="C3793" s="111"/>
      <c r="D3793" s="111"/>
      <c r="E3793" s="111"/>
    </row>
    <row r="3794" spans="1:5" x14ac:dyDescent="0.2">
      <c r="A3794" s="113">
        <v>38492</v>
      </c>
      <c r="B3794" s="111">
        <f t="shared" si="59"/>
        <v>53</v>
      </c>
      <c r="C3794" s="111"/>
      <c r="D3794" s="111"/>
      <c r="E3794" s="111"/>
    </row>
    <row r="3795" spans="1:5" x14ac:dyDescent="0.2">
      <c r="A3795" s="113">
        <v>38493</v>
      </c>
      <c r="B3795" s="111">
        <f t="shared" si="59"/>
        <v>53</v>
      </c>
      <c r="C3795" s="111"/>
      <c r="D3795" s="111"/>
      <c r="E3795" s="111"/>
    </row>
    <row r="3796" spans="1:5" x14ac:dyDescent="0.2">
      <c r="A3796" s="113">
        <v>38494</v>
      </c>
      <c r="B3796" s="111">
        <f t="shared" si="59"/>
        <v>54</v>
      </c>
      <c r="C3796" s="111"/>
      <c r="D3796" s="111"/>
      <c r="E3796" s="111"/>
    </row>
    <row r="3797" spans="1:5" x14ac:dyDescent="0.2">
      <c r="A3797" s="113">
        <v>38495</v>
      </c>
      <c r="B3797" s="111">
        <f t="shared" si="59"/>
        <v>54</v>
      </c>
      <c r="C3797" s="111"/>
      <c r="D3797" s="111"/>
      <c r="E3797" s="111"/>
    </row>
    <row r="3798" spans="1:5" x14ac:dyDescent="0.2">
      <c r="A3798" s="113">
        <v>38496</v>
      </c>
      <c r="B3798" s="111">
        <f t="shared" si="59"/>
        <v>54</v>
      </c>
      <c r="C3798" s="111"/>
      <c r="D3798" s="111"/>
      <c r="E3798" s="111"/>
    </row>
    <row r="3799" spans="1:5" x14ac:dyDescent="0.2">
      <c r="A3799" s="113">
        <v>38497</v>
      </c>
      <c r="B3799" s="111">
        <f t="shared" si="59"/>
        <v>54</v>
      </c>
      <c r="C3799" s="111"/>
      <c r="D3799" s="111"/>
      <c r="E3799" s="111"/>
    </row>
    <row r="3800" spans="1:5" x14ac:dyDescent="0.2">
      <c r="A3800" s="113">
        <v>38498</v>
      </c>
      <c r="B3800" s="111">
        <f t="shared" si="59"/>
        <v>54</v>
      </c>
      <c r="C3800" s="111"/>
      <c r="D3800" s="111"/>
      <c r="E3800" s="111"/>
    </row>
    <row r="3801" spans="1:5" x14ac:dyDescent="0.2">
      <c r="A3801" s="113">
        <v>38499</v>
      </c>
      <c r="B3801" s="111">
        <f t="shared" si="59"/>
        <v>54</v>
      </c>
      <c r="C3801" s="111"/>
      <c r="D3801" s="111"/>
      <c r="E3801" s="111"/>
    </row>
    <row r="3802" spans="1:5" x14ac:dyDescent="0.2">
      <c r="A3802" s="113">
        <v>38500</v>
      </c>
      <c r="B3802" s="111">
        <f t="shared" si="59"/>
        <v>54</v>
      </c>
      <c r="C3802" s="111"/>
      <c r="D3802" s="111"/>
      <c r="E3802" s="111"/>
    </row>
    <row r="3803" spans="1:5" x14ac:dyDescent="0.2">
      <c r="A3803" s="113">
        <v>38501</v>
      </c>
      <c r="B3803" s="111">
        <f t="shared" si="59"/>
        <v>61</v>
      </c>
      <c r="C3803" s="111"/>
      <c r="D3803" s="111"/>
      <c r="E3803" s="111"/>
    </row>
    <row r="3804" spans="1:5" x14ac:dyDescent="0.2">
      <c r="A3804" s="113">
        <v>38502</v>
      </c>
      <c r="B3804" s="111">
        <f t="shared" si="59"/>
        <v>61</v>
      </c>
      <c r="C3804" s="111"/>
      <c r="D3804" s="111"/>
      <c r="E3804" s="111"/>
    </row>
    <row r="3805" spans="1:5" x14ac:dyDescent="0.2">
      <c r="A3805" s="113">
        <v>38503</v>
      </c>
      <c r="B3805" s="111">
        <f t="shared" si="59"/>
        <v>61</v>
      </c>
      <c r="C3805" s="111"/>
      <c r="D3805" s="111"/>
      <c r="E3805" s="111"/>
    </row>
    <row r="3806" spans="1:5" x14ac:dyDescent="0.2">
      <c r="A3806" s="113">
        <v>38504</v>
      </c>
      <c r="B3806" s="111">
        <f t="shared" si="59"/>
        <v>61</v>
      </c>
      <c r="C3806" s="111"/>
      <c r="D3806" s="111"/>
      <c r="E3806" s="111"/>
    </row>
    <row r="3807" spans="1:5" x14ac:dyDescent="0.2">
      <c r="A3807" s="113">
        <v>38505</v>
      </c>
      <c r="B3807" s="111">
        <f t="shared" si="59"/>
        <v>61</v>
      </c>
      <c r="C3807" s="111"/>
      <c r="D3807" s="111"/>
      <c r="E3807" s="111"/>
    </row>
    <row r="3808" spans="1:5" x14ac:dyDescent="0.2">
      <c r="A3808" s="113">
        <v>38506</v>
      </c>
      <c r="B3808" s="111">
        <f t="shared" si="59"/>
        <v>61</v>
      </c>
      <c r="C3808" s="111"/>
      <c r="D3808" s="111"/>
      <c r="E3808" s="111"/>
    </row>
    <row r="3809" spans="1:5" x14ac:dyDescent="0.2">
      <c r="A3809" s="113">
        <v>38507</v>
      </c>
      <c r="B3809" s="111">
        <f t="shared" si="59"/>
        <v>61</v>
      </c>
      <c r="C3809" s="111"/>
      <c r="D3809" s="111"/>
      <c r="E3809" s="111"/>
    </row>
    <row r="3810" spans="1:5" x14ac:dyDescent="0.2">
      <c r="A3810" s="113">
        <v>38508</v>
      </c>
      <c r="B3810" s="111">
        <f t="shared" si="59"/>
        <v>62</v>
      </c>
      <c r="C3810" s="111"/>
      <c r="D3810" s="111"/>
      <c r="E3810" s="111"/>
    </row>
    <row r="3811" spans="1:5" x14ac:dyDescent="0.2">
      <c r="A3811" s="113">
        <v>38509</v>
      </c>
      <c r="B3811" s="111">
        <f t="shared" si="59"/>
        <v>62</v>
      </c>
      <c r="C3811" s="111"/>
      <c r="D3811" s="111"/>
      <c r="E3811" s="111"/>
    </row>
    <row r="3812" spans="1:5" x14ac:dyDescent="0.2">
      <c r="A3812" s="113">
        <v>38510</v>
      </c>
      <c r="B3812" s="111">
        <f t="shared" si="59"/>
        <v>62</v>
      </c>
      <c r="C3812" s="111"/>
      <c r="D3812" s="111"/>
      <c r="E3812" s="111"/>
    </row>
    <row r="3813" spans="1:5" x14ac:dyDescent="0.2">
      <c r="A3813" s="113">
        <v>38511</v>
      </c>
      <c r="B3813" s="111">
        <f t="shared" si="59"/>
        <v>62</v>
      </c>
      <c r="C3813" s="111"/>
      <c r="D3813" s="111"/>
      <c r="E3813" s="111"/>
    </row>
    <row r="3814" spans="1:5" x14ac:dyDescent="0.2">
      <c r="A3814" s="113">
        <v>38512</v>
      </c>
      <c r="B3814" s="111">
        <f t="shared" si="59"/>
        <v>62</v>
      </c>
      <c r="C3814" s="111"/>
      <c r="D3814" s="111"/>
      <c r="E3814" s="111"/>
    </row>
    <row r="3815" spans="1:5" x14ac:dyDescent="0.2">
      <c r="A3815" s="113">
        <v>38513</v>
      </c>
      <c r="B3815" s="111">
        <f t="shared" si="59"/>
        <v>62</v>
      </c>
      <c r="C3815" s="111"/>
      <c r="D3815" s="111"/>
      <c r="E3815" s="111"/>
    </row>
    <row r="3816" spans="1:5" x14ac:dyDescent="0.2">
      <c r="A3816" s="113">
        <v>38514</v>
      </c>
      <c r="B3816" s="111">
        <f t="shared" si="59"/>
        <v>62</v>
      </c>
      <c r="C3816" s="111"/>
      <c r="D3816" s="111"/>
      <c r="E3816" s="111"/>
    </row>
    <row r="3817" spans="1:5" x14ac:dyDescent="0.2">
      <c r="A3817" s="113">
        <v>38515</v>
      </c>
      <c r="B3817" s="111">
        <f t="shared" si="59"/>
        <v>63</v>
      </c>
      <c r="C3817" s="111"/>
      <c r="D3817" s="111"/>
      <c r="E3817" s="111"/>
    </row>
    <row r="3818" spans="1:5" x14ac:dyDescent="0.2">
      <c r="A3818" s="113">
        <v>38516</v>
      </c>
      <c r="B3818" s="111">
        <f t="shared" si="59"/>
        <v>63</v>
      </c>
      <c r="C3818" s="111"/>
      <c r="D3818" s="111"/>
      <c r="E3818" s="111"/>
    </row>
    <row r="3819" spans="1:5" x14ac:dyDescent="0.2">
      <c r="A3819" s="113">
        <v>38517</v>
      </c>
      <c r="B3819" s="111">
        <f t="shared" si="59"/>
        <v>63</v>
      </c>
      <c r="C3819" s="111"/>
      <c r="D3819" s="111"/>
      <c r="E3819" s="111"/>
    </row>
    <row r="3820" spans="1:5" x14ac:dyDescent="0.2">
      <c r="A3820" s="113">
        <v>38518</v>
      </c>
      <c r="B3820" s="111">
        <f t="shared" si="59"/>
        <v>63</v>
      </c>
      <c r="C3820" s="111"/>
      <c r="D3820" s="111"/>
      <c r="E3820" s="111"/>
    </row>
    <row r="3821" spans="1:5" x14ac:dyDescent="0.2">
      <c r="A3821" s="113">
        <v>38519</v>
      </c>
      <c r="B3821" s="111">
        <f t="shared" si="59"/>
        <v>63</v>
      </c>
      <c r="C3821" s="111"/>
      <c r="D3821" s="111"/>
      <c r="E3821" s="111"/>
    </row>
    <row r="3822" spans="1:5" x14ac:dyDescent="0.2">
      <c r="A3822" s="113">
        <v>38520</v>
      </c>
      <c r="B3822" s="111">
        <f t="shared" si="59"/>
        <v>63</v>
      </c>
      <c r="C3822" s="111"/>
      <c r="D3822" s="111"/>
      <c r="E3822" s="111"/>
    </row>
    <row r="3823" spans="1:5" x14ac:dyDescent="0.2">
      <c r="A3823" s="113">
        <v>38521</v>
      </c>
      <c r="B3823" s="111">
        <f t="shared" si="59"/>
        <v>63</v>
      </c>
      <c r="C3823" s="111"/>
      <c r="D3823" s="111"/>
      <c r="E3823" s="111"/>
    </row>
    <row r="3824" spans="1:5" x14ac:dyDescent="0.2">
      <c r="A3824" s="113">
        <v>38522</v>
      </c>
      <c r="B3824" s="111">
        <f t="shared" si="59"/>
        <v>64</v>
      </c>
      <c r="C3824" s="111"/>
      <c r="D3824" s="111"/>
      <c r="E3824" s="111"/>
    </row>
    <row r="3825" spans="1:5" x14ac:dyDescent="0.2">
      <c r="A3825" s="113">
        <v>38523</v>
      </c>
      <c r="B3825" s="111">
        <f t="shared" si="59"/>
        <v>64</v>
      </c>
      <c r="C3825" s="111"/>
      <c r="D3825" s="111"/>
      <c r="E3825" s="111"/>
    </row>
    <row r="3826" spans="1:5" x14ac:dyDescent="0.2">
      <c r="A3826" s="113">
        <v>38524</v>
      </c>
      <c r="B3826" s="111">
        <f t="shared" si="59"/>
        <v>64</v>
      </c>
      <c r="C3826" s="111"/>
      <c r="D3826" s="111"/>
      <c r="E3826" s="111"/>
    </row>
    <row r="3827" spans="1:5" x14ac:dyDescent="0.2">
      <c r="A3827" s="113">
        <v>38525</v>
      </c>
      <c r="B3827" s="111">
        <f t="shared" si="59"/>
        <v>64</v>
      </c>
      <c r="C3827" s="111"/>
      <c r="D3827" s="111"/>
      <c r="E3827" s="111"/>
    </row>
    <row r="3828" spans="1:5" x14ac:dyDescent="0.2">
      <c r="A3828" s="113">
        <v>38526</v>
      </c>
      <c r="B3828" s="111">
        <f t="shared" si="59"/>
        <v>64</v>
      </c>
      <c r="C3828" s="111"/>
      <c r="D3828" s="111"/>
      <c r="E3828" s="111"/>
    </row>
    <row r="3829" spans="1:5" x14ac:dyDescent="0.2">
      <c r="A3829" s="113">
        <v>38527</v>
      </c>
      <c r="B3829" s="111">
        <f t="shared" si="59"/>
        <v>64</v>
      </c>
      <c r="C3829" s="111"/>
      <c r="D3829" s="111"/>
      <c r="E3829" s="111"/>
    </row>
    <row r="3830" spans="1:5" x14ac:dyDescent="0.2">
      <c r="A3830" s="113">
        <v>38528</v>
      </c>
      <c r="B3830" s="111">
        <f t="shared" si="59"/>
        <v>64</v>
      </c>
      <c r="C3830" s="111"/>
      <c r="D3830" s="111"/>
      <c r="E3830" s="111"/>
    </row>
    <row r="3831" spans="1:5" x14ac:dyDescent="0.2">
      <c r="A3831" s="113">
        <v>38529</v>
      </c>
      <c r="B3831" s="111">
        <f t="shared" si="59"/>
        <v>71</v>
      </c>
      <c r="C3831" s="111"/>
      <c r="D3831" s="111"/>
      <c r="E3831" s="111"/>
    </row>
    <row r="3832" spans="1:5" x14ac:dyDescent="0.2">
      <c r="A3832" s="113">
        <v>38530</v>
      </c>
      <c r="B3832" s="111">
        <f t="shared" si="59"/>
        <v>71</v>
      </c>
      <c r="C3832" s="111"/>
      <c r="D3832" s="111"/>
      <c r="E3832" s="111"/>
    </row>
    <row r="3833" spans="1:5" x14ac:dyDescent="0.2">
      <c r="A3833" s="113">
        <v>38531</v>
      </c>
      <c r="B3833" s="111">
        <f t="shared" si="59"/>
        <v>71</v>
      </c>
      <c r="C3833" s="111"/>
      <c r="D3833" s="111"/>
      <c r="E3833" s="111"/>
    </row>
    <row r="3834" spans="1:5" x14ac:dyDescent="0.2">
      <c r="A3834" s="113">
        <v>38532</v>
      </c>
      <c r="B3834" s="111">
        <f t="shared" si="59"/>
        <v>71</v>
      </c>
      <c r="C3834" s="111"/>
      <c r="D3834" s="111"/>
      <c r="E3834" s="111"/>
    </row>
    <row r="3835" spans="1:5" x14ac:dyDescent="0.2">
      <c r="A3835" s="113">
        <v>38533</v>
      </c>
      <c r="B3835" s="111">
        <f t="shared" si="59"/>
        <v>71</v>
      </c>
      <c r="C3835" s="111"/>
      <c r="D3835" s="111"/>
      <c r="E3835" s="111"/>
    </row>
    <row r="3836" spans="1:5" x14ac:dyDescent="0.2">
      <c r="A3836" s="113">
        <v>38534</v>
      </c>
      <c r="B3836" s="111">
        <f t="shared" si="59"/>
        <v>71</v>
      </c>
      <c r="C3836" s="111"/>
      <c r="D3836" s="111"/>
      <c r="E3836" s="111"/>
    </row>
    <row r="3837" spans="1:5" x14ac:dyDescent="0.2">
      <c r="A3837" s="113">
        <v>38535</v>
      </c>
      <c r="B3837" s="111">
        <f t="shared" si="59"/>
        <v>71</v>
      </c>
      <c r="C3837" s="111"/>
      <c r="D3837" s="111"/>
      <c r="E3837" s="111"/>
    </row>
    <row r="3838" spans="1:5" x14ac:dyDescent="0.2">
      <c r="A3838" s="113">
        <v>38536</v>
      </c>
      <c r="B3838" s="111">
        <f t="shared" si="59"/>
        <v>72</v>
      </c>
      <c r="C3838" s="111"/>
      <c r="D3838" s="111"/>
      <c r="E3838" s="111"/>
    </row>
    <row r="3839" spans="1:5" x14ac:dyDescent="0.2">
      <c r="A3839" s="113">
        <v>38537</v>
      </c>
      <c r="B3839" s="111">
        <f t="shared" si="59"/>
        <v>72</v>
      </c>
      <c r="C3839" s="111"/>
      <c r="D3839" s="111"/>
      <c r="E3839" s="111"/>
    </row>
    <row r="3840" spans="1:5" x14ac:dyDescent="0.2">
      <c r="A3840" s="113">
        <v>38538</v>
      </c>
      <c r="B3840" s="111">
        <f t="shared" si="59"/>
        <v>72</v>
      </c>
      <c r="C3840" s="111"/>
      <c r="D3840" s="111"/>
      <c r="E3840" s="111"/>
    </row>
    <row r="3841" spans="1:5" x14ac:dyDescent="0.2">
      <c r="A3841" s="113">
        <v>38539</v>
      </c>
      <c r="B3841" s="111">
        <f t="shared" si="59"/>
        <v>72</v>
      </c>
      <c r="C3841" s="111"/>
      <c r="D3841" s="111"/>
      <c r="E3841" s="111"/>
    </row>
    <row r="3842" spans="1:5" x14ac:dyDescent="0.2">
      <c r="A3842" s="113">
        <v>38540</v>
      </c>
      <c r="B3842" s="111">
        <f t="shared" ref="B3842:B3905" si="60">VLOOKUP(WEEKNUM(A3842),$D$3:$E$58,2)</f>
        <v>72</v>
      </c>
      <c r="C3842" s="111"/>
      <c r="D3842" s="111"/>
      <c r="E3842" s="111"/>
    </row>
    <row r="3843" spans="1:5" x14ac:dyDescent="0.2">
      <c r="A3843" s="113">
        <v>38541</v>
      </c>
      <c r="B3843" s="111">
        <f t="shared" si="60"/>
        <v>72</v>
      </c>
      <c r="C3843" s="111"/>
      <c r="D3843" s="111"/>
      <c r="E3843" s="111"/>
    </row>
    <row r="3844" spans="1:5" x14ac:dyDescent="0.2">
      <c r="A3844" s="113">
        <v>38542</v>
      </c>
      <c r="B3844" s="111">
        <f t="shared" si="60"/>
        <v>72</v>
      </c>
      <c r="C3844" s="111"/>
      <c r="D3844" s="111"/>
      <c r="E3844" s="111"/>
    </row>
    <row r="3845" spans="1:5" x14ac:dyDescent="0.2">
      <c r="A3845" s="113">
        <v>38543</v>
      </c>
      <c r="B3845" s="111">
        <f t="shared" si="60"/>
        <v>73</v>
      </c>
      <c r="C3845" s="111"/>
      <c r="D3845" s="111"/>
      <c r="E3845" s="111"/>
    </row>
    <row r="3846" spans="1:5" x14ac:dyDescent="0.2">
      <c r="A3846" s="113">
        <v>38544</v>
      </c>
      <c r="B3846" s="111">
        <f t="shared" si="60"/>
        <v>73</v>
      </c>
      <c r="C3846" s="111"/>
      <c r="D3846" s="111"/>
      <c r="E3846" s="111"/>
    </row>
    <row r="3847" spans="1:5" x14ac:dyDescent="0.2">
      <c r="A3847" s="113">
        <v>38545</v>
      </c>
      <c r="B3847" s="111">
        <f t="shared" si="60"/>
        <v>73</v>
      </c>
      <c r="C3847" s="111"/>
      <c r="D3847" s="111"/>
      <c r="E3847" s="111"/>
    </row>
    <row r="3848" spans="1:5" x14ac:dyDescent="0.2">
      <c r="A3848" s="113">
        <v>38546</v>
      </c>
      <c r="B3848" s="111">
        <f t="shared" si="60"/>
        <v>73</v>
      </c>
      <c r="C3848" s="111"/>
      <c r="D3848" s="111"/>
      <c r="E3848" s="111"/>
    </row>
    <row r="3849" spans="1:5" x14ac:dyDescent="0.2">
      <c r="A3849" s="113">
        <v>38547</v>
      </c>
      <c r="B3849" s="111">
        <f t="shared" si="60"/>
        <v>73</v>
      </c>
      <c r="C3849" s="111"/>
      <c r="D3849" s="111"/>
      <c r="E3849" s="111"/>
    </row>
    <row r="3850" spans="1:5" x14ac:dyDescent="0.2">
      <c r="A3850" s="113">
        <v>38548</v>
      </c>
      <c r="B3850" s="111">
        <f t="shared" si="60"/>
        <v>73</v>
      </c>
      <c r="C3850" s="111"/>
      <c r="D3850" s="111"/>
      <c r="E3850" s="111"/>
    </row>
    <row r="3851" spans="1:5" x14ac:dyDescent="0.2">
      <c r="A3851" s="113">
        <v>38549</v>
      </c>
      <c r="B3851" s="111">
        <f t="shared" si="60"/>
        <v>73</v>
      </c>
      <c r="C3851" s="111"/>
      <c r="D3851" s="111"/>
      <c r="E3851" s="111"/>
    </row>
    <row r="3852" spans="1:5" x14ac:dyDescent="0.2">
      <c r="A3852" s="113">
        <v>38550</v>
      </c>
      <c r="B3852" s="111">
        <f t="shared" si="60"/>
        <v>74</v>
      </c>
      <c r="C3852" s="111"/>
      <c r="D3852" s="111"/>
      <c r="E3852" s="111"/>
    </row>
    <row r="3853" spans="1:5" x14ac:dyDescent="0.2">
      <c r="A3853" s="113">
        <v>38551</v>
      </c>
      <c r="B3853" s="111">
        <f t="shared" si="60"/>
        <v>74</v>
      </c>
      <c r="C3853" s="111"/>
      <c r="D3853" s="111"/>
      <c r="E3853" s="111"/>
    </row>
    <row r="3854" spans="1:5" x14ac:dyDescent="0.2">
      <c r="A3854" s="113">
        <v>38552</v>
      </c>
      <c r="B3854" s="111">
        <f t="shared" si="60"/>
        <v>74</v>
      </c>
      <c r="C3854" s="111"/>
      <c r="D3854" s="111"/>
      <c r="E3854" s="111"/>
    </row>
    <row r="3855" spans="1:5" x14ac:dyDescent="0.2">
      <c r="A3855" s="113">
        <v>38553</v>
      </c>
      <c r="B3855" s="111">
        <f t="shared" si="60"/>
        <v>74</v>
      </c>
      <c r="C3855" s="111"/>
      <c r="D3855" s="111"/>
      <c r="E3855" s="111"/>
    </row>
    <row r="3856" spans="1:5" x14ac:dyDescent="0.2">
      <c r="A3856" s="113">
        <v>38554</v>
      </c>
      <c r="B3856" s="111">
        <f t="shared" si="60"/>
        <v>74</v>
      </c>
      <c r="C3856" s="111"/>
      <c r="D3856" s="111"/>
      <c r="E3856" s="111"/>
    </row>
    <row r="3857" spans="1:5" x14ac:dyDescent="0.2">
      <c r="A3857" s="113">
        <v>38555</v>
      </c>
      <c r="B3857" s="111">
        <f t="shared" si="60"/>
        <v>74</v>
      </c>
      <c r="C3857" s="111"/>
      <c r="D3857" s="111"/>
      <c r="E3857" s="111"/>
    </row>
    <row r="3858" spans="1:5" x14ac:dyDescent="0.2">
      <c r="A3858" s="113">
        <v>38556</v>
      </c>
      <c r="B3858" s="111">
        <f t="shared" si="60"/>
        <v>74</v>
      </c>
      <c r="C3858" s="111"/>
      <c r="D3858" s="111"/>
      <c r="E3858" s="111"/>
    </row>
    <row r="3859" spans="1:5" x14ac:dyDescent="0.2">
      <c r="A3859" s="113">
        <v>38557</v>
      </c>
      <c r="B3859" s="111">
        <f t="shared" si="60"/>
        <v>75</v>
      </c>
      <c r="C3859" s="111"/>
      <c r="D3859" s="111"/>
      <c r="E3859" s="111"/>
    </row>
    <row r="3860" spans="1:5" x14ac:dyDescent="0.2">
      <c r="A3860" s="113">
        <v>38558</v>
      </c>
      <c r="B3860" s="111">
        <f t="shared" si="60"/>
        <v>75</v>
      </c>
      <c r="C3860" s="111"/>
      <c r="D3860" s="111"/>
      <c r="E3860" s="111"/>
    </row>
    <row r="3861" spans="1:5" x14ac:dyDescent="0.2">
      <c r="A3861" s="113">
        <v>38559</v>
      </c>
      <c r="B3861" s="111">
        <f t="shared" si="60"/>
        <v>75</v>
      </c>
      <c r="C3861" s="111"/>
      <c r="D3861" s="111"/>
      <c r="E3861" s="111"/>
    </row>
    <row r="3862" spans="1:5" x14ac:dyDescent="0.2">
      <c r="A3862" s="113">
        <v>38560</v>
      </c>
      <c r="B3862" s="111">
        <f t="shared" si="60"/>
        <v>75</v>
      </c>
      <c r="C3862" s="111"/>
      <c r="D3862" s="111"/>
      <c r="E3862" s="111"/>
    </row>
    <row r="3863" spans="1:5" x14ac:dyDescent="0.2">
      <c r="A3863" s="113">
        <v>38561</v>
      </c>
      <c r="B3863" s="111">
        <f t="shared" si="60"/>
        <v>75</v>
      </c>
      <c r="C3863" s="111"/>
      <c r="D3863" s="111"/>
      <c r="E3863" s="111"/>
    </row>
    <row r="3864" spans="1:5" x14ac:dyDescent="0.2">
      <c r="A3864" s="113">
        <v>38562</v>
      </c>
      <c r="B3864" s="111">
        <f t="shared" si="60"/>
        <v>75</v>
      </c>
      <c r="C3864" s="111"/>
      <c r="D3864" s="111"/>
      <c r="E3864" s="111"/>
    </row>
    <row r="3865" spans="1:5" x14ac:dyDescent="0.2">
      <c r="A3865" s="113">
        <v>38563</v>
      </c>
      <c r="B3865" s="111">
        <f t="shared" si="60"/>
        <v>75</v>
      </c>
      <c r="C3865" s="111"/>
      <c r="D3865" s="111"/>
      <c r="E3865" s="111"/>
    </row>
    <row r="3866" spans="1:5" x14ac:dyDescent="0.2">
      <c r="A3866" s="113">
        <v>38564</v>
      </c>
      <c r="B3866" s="111">
        <f t="shared" si="60"/>
        <v>81</v>
      </c>
      <c r="C3866" s="111"/>
      <c r="D3866" s="111"/>
      <c r="E3866" s="111"/>
    </row>
    <row r="3867" spans="1:5" x14ac:dyDescent="0.2">
      <c r="A3867" s="113">
        <v>38565</v>
      </c>
      <c r="B3867" s="111">
        <f t="shared" si="60"/>
        <v>81</v>
      </c>
      <c r="C3867" s="111"/>
      <c r="D3867" s="111"/>
      <c r="E3867" s="111"/>
    </row>
    <row r="3868" spans="1:5" x14ac:dyDescent="0.2">
      <c r="A3868" s="113">
        <v>38566</v>
      </c>
      <c r="B3868" s="111">
        <f t="shared" si="60"/>
        <v>81</v>
      </c>
      <c r="C3868" s="111"/>
      <c r="D3868" s="111"/>
      <c r="E3868" s="111"/>
    </row>
    <row r="3869" spans="1:5" x14ac:dyDescent="0.2">
      <c r="A3869" s="113">
        <v>38567</v>
      </c>
      <c r="B3869" s="111">
        <f t="shared" si="60"/>
        <v>81</v>
      </c>
      <c r="C3869" s="111"/>
      <c r="D3869" s="111"/>
      <c r="E3869" s="111"/>
    </row>
    <row r="3870" spans="1:5" x14ac:dyDescent="0.2">
      <c r="A3870" s="113">
        <v>38568</v>
      </c>
      <c r="B3870" s="111">
        <f t="shared" si="60"/>
        <v>81</v>
      </c>
      <c r="C3870" s="111"/>
      <c r="D3870" s="111"/>
      <c r="E3870" s="111"/>
    </row>
    <row r="3871" spans="1:5" x14ac:dyDescent="0.2">
      <c r="A3871" s="113">
        <v>38569</v>
      </c>
      <c r="B3871" s="111">
        <f t="shared" si="60"/>
        <v>81</v>
      </c>
      <c r="C3871" s="111"/>
      <c r="D3871" s="111"/>
      <c r="E3871" s="111"/>
    </row>
    <row r="3872" spans="1:5" x14ac:dyDescent="0.2">
      <c r="A3872" s="113">
        <v>38570</v>
      </c>
      <c r="B3872" s="111">
        <f t="shared" si="60"/>
        <v>81</v>
      </c>
      <c r="C3872" s="111"/>
      <c r="D3872" s="111"/>
      <c r="E3872" s="111"/>
    </row>
    <row r="3873" spans="1:5" x14ac:dyDescent="0.2">
      <c r="A3873" s="113">
        <v>38571</v>
      </c>
      <c r="B3873" s="111">
        <f t="shared" si="60"/>
        <v>82</v>
      </c>
      <c r="C3873" s="111"/>
      <c r="D3873" s="111"/>
      <c r="E3873" s="111"/>
    </row>
    <row r="3874" spans="1:5" x14ac:dyDescent="0.2">
      <c r="A3874" s="113">
        <v>38572</v>
      </c>
      <c r="B3874" s="111">
        <f t="shared" si="60"/>
        <v>82</v>
      </c>
      <c r="C3874" s="111"/>
      <c r="D3874" s="111"/>
      <c r="E3874" s="111"/>
    </row>
    <row r="3875" spans="1:5" x14ac:dyDescent="0.2">
      <c r="A3875" s="113">
        <v>38573</v>
      </c>
      <c r="B3875" s="111">
        <f t="shared" si="60"/>
        <v>82</v>
      </c>
      <c r="C3875" s="111"/>
      <c r="D3875" s="111"/>
      <c r="E3875" s="111"/>
    </row>
    <row r="3876" spans="1:5" x14ac:dyDescent="0.2">
      <c r="A3876" s="113">
        <v>38574</v>
      </c>
      <c r="B3876" s="111">
        <f t="shared" si="60"/>
        <v>82</v>
      </c>
      <c r="C3876" s="111"/>
      <c r="D3876" s="111"/>
      <c r="E3876" s="111"/>
    </row>
    <row r="3877" spans="1:5" x14ac:dyDescent="0.2">
      <c r="A3877" s="113">
        <v>38575</v>
      </c>
      <c r="B3877" s="111">
        <f t="shared" si="60"/>
        <v>82</v>
      </c>
      <c r="C3877" s="111"/>
      <c r="D3877" s="111"/>
      <c r="E3877" s="111"/>
    </row>
    <row r="3878" spans="1:5" x14ac:dyDescent="0.2">
      <c r="A3878" s="113">
        <v>38576</v>
      </c>
      <c r="B3878" s="111">
        <f t="shared" si="60"/>
        <v>82</v>
      </c>
      <c r="C3878" s="111"/>
      <c r="D3878" s="111"/>
      <c r="E3878" s="111"/>
    </row>
    <row r="3879" spans="1:5" x14ac:dyDescent="0.2">
      <c r="A3879" s="113">
        <v>38577</v>
      </c>
      <c r="B3879" s="111">
        <f t="shared" si="60"/>
        <v>82</v>
      </c>
      <c r="C3879" s="111"/>
      <c r="D3879" s="111"/>
      <c r="E3879" s="111"/>
    </row>
    <row r="3880" spans="1:5" x14ac:dyDescent="0.2">
      <c r="A3880" s="113">
        <v>38578</v>
      </c>
      <c r="B3880" s="111">
        <f t="shared" si="60"/>
        <v>83</v>
      </c>
      <c r="C3880" s="111"/>
      <c r="D3880" s="111"/>
      <c r="E3880" s="111"/>
    </row>
    <row r="3881" spans="1:5" x14ac:dyDescent="0.2">
      <c r="A3881" s="113">
        <v>38579</v>
      </c>
      <c r="B3881" s="111">
        <f t="shared" si="60"/>
        <v>83</v>
      </c>
      <c r="C3881" s="111"/>
      <c r="D3881" s="111"/>
      <c r="E3881" s="111"/>
    </row>
    <row r="3882" spans="1:5" x14ac:dyDescent="0.2">
      <c r="A3882" s="113">
        <v>38580</v>
      </c>
      <c r="B3882" s="111">
        <f t="shared" si="60"/>
        <v>83</v>
      </c>
      <c r="C3882" s="111"/>
      <c r="D3882" s="111"/>
      <c r="E3882" s="111"/>
    </row>
    <row r="3883" spans="1:5" x14ac:dyDescent="0.2">
      <c r="A3883" s="113">
        <v>38581</v>
      </c>
      <c r="B3883" s="111">
        <f t="shared" si="60"/>
        <v>83</v>
      </c>
      <c r="C3883" s="111"/>
      <c r="D3883" s="111"/>
      <c r="E3883" s="111"/>
    </row>
    <row r="3884" spans="1:5" x14ac:dyDescent="0.2">
      <c r="A3884" s="113">
        <v>38582</v>
      </c>
      <c r="B3884" s="111">
        <f t="shared" si="60"/>
        <v>83</v>
      </c>
      <c r="C3884" s="111"/>
      <c r="D3884" s="111"/>
      <c r="E3884" s="111"/>
    </row>
    <row r="3885" spans="1:5" x14ac:dyDescent="0.2">
      <c r="A3885" s="113">
        <v>38583</v>
      </c>
      <c r="B3885" s="111">
        <f t="shared" si="60"/>
        <v>83</v>
      </c>
      <c r="C3885" s="111"/>
      <c r="D3885" s="111"/>
      <c r="E3885" s="111"/>
    </row>
    <row r="3886" spans="1:5" x14ac:dyDescent="0.2">
      <c r="A3886" s="113">
        <v>38584</v>
      </c>
      <c r="B3886" s="111">
        <f t="shared" si="60"/>
        <v>83</v>
      </c>
      <c r="C3886" s="111"/>
      <c r="D3886" s="111"/>
      <c r="E3886" s="111"/>
    </row>
    <row r="3887" spans="1:5" x14ac:dyDescent="0.2">
      <c r="A3887" s="113">
        <v>38585</v>
      </c>
      <c r="B3887" s="111">
        <f t="shared" si="60"/>
        <v>84</v>
      </c>
      <c r="C3887" s="111"/>
      <c r="D3887" s="111"/>
      <c r="E3887" s="111"/>
    </row>
    <row r="3888" spans="1:5" x14ac:dyDescent="0.2">
      <c r="A3888" s="113">
        <v>38586</v>
      </c>
      <c r="B3888" s="111">
        <f t="shared" si="60"/>
        <v>84</v>
      </c>
      <c r="C3888" s="111"/>
      <c r="D3888" s="111"/>
      <c r="E3888" s="111"/>
    </row>
    <row r="3889" spans="1:5" x14ac:dyDescent="0.2">
      <c r="A3889" s="113">
        <v>38587</v>
      </c>
      <c r="B3889" s="111">
        <f t="shared" si="60"/>
        <v>84</v>
      </c>
      <c r="C3889" s="111"/>
      <c r="D3889" s="111"/>
      <c r="E3889" s="111"/>
    </row>
    <row r="3890" spans="1:5" x14ac:dyDescent="0.2">
      <c r="A3890" s="113">
        <v>38588</v>
      </c>
      <c r="B3890" s="111">
        <f t="shared" si="60"/>
        <v>84</v>
      </c>
      <c r="C3890" s="111"/>
      <c r="D3890" s="111"/>
      <c r="E3890" s="111"/>
    </row>
    <row r="3891" spans="1:5" x14ac:dyDescent="0.2">
      <c r="A3891" s="113">
        <v>38589</v>
      </c>
      <c r="B3891" s="111">
        <f t="shared" si="60"/>
        <v>84</v>
      </c>
      <c r="C3891" s="111"/>
      <c r="D3891" s="111"/>
      <c r="E3891" s="111"/>
    </row>
    <row r="3892" spans="1:5" x14ac:dyDescent="0.2">
      <c r="A3892" s="113">
        <v>38590</v>
      </c>
      <c r="B3892" s="111">
        <f t="shared" si="60"/>
        <v>84</v>
      </c>
      <c r="C3892" s="111"/>
      <c r="D3892" s="111"/>
      <c r="E3892" s="111"/>
    </row>
    <row r="3893" spans="1:5" x14ac:dyDescent="0.2">
      <c r="A3893" s="113">
        <v>38591</v>
      </c>
      <c r="B3893" s="111">
        <f t="shared" si="60"/>
        <v>84</v>
      </c>
      <c r="C3893" s="111"/>
      <c r="D3893" s="111"/>
      <c r="E3893" s="111"/>
    </row>
    <row r="3894" spans="1:5" x14ac:dyDescent="0.2">
      <c r="A3894" s="113">
        <v>38592</v>
      </c>
      <c r="B3894" s="111">
        <f t="shared" si="60"/>
        <v>91</v>
      </c>
      <c r="C3894" s="111"/>
      <c r="D3894" s="111"/>
      <c r="E3894" s="111"/>
    </row>
    <row r="3895" spans="1:5" x14ac:dyDescent="0.2">
      <c r="A3895" s="113">
        <v>38593</v>
      </c>
      <c r="B3895" s="111">
        <f t="shared" si="60"/>
        <v>91</v>
      </c>
      <c r="C3895" s="111"/>
      <c r="D3895" s="111"/>
      <c r="E3895" s="111"/>
    </row>
    <row r="3896" spans="1:5" x14ac:dyDescent="0.2">
      <c r="A3896" s="113">
        <v>38594</v>
      </c>
      <c r="B3896" s="111">
        <f t="shared" si="60"/>
        <v>91</v>
      </c>
      <c r="C3896" s="111"/>
      <c r="D3896" s="111"/>
      <c r="E3896" s="111"/>
    </row>
    <row r="3897" spans="1:5" x14ac:dyDescent="0.2">
      <c r="A3897" s="113">
        <v>38595</v>
      </c>
      <c r="B3897" s="111">
        <f t="shared" si="60"/>
        <v>91</v>
      </c>
      <c r="C3897" s="111"/>
      <c r="D3897" s="111"/>
      <c r="E3897" s="111"/>
    </row>
    <row r="3898" spans="1:5" x14ac:dyDescent="0.2">
      <c r="A3898" s="113">
        <v>38596</v>
      </c>
      <c r="B3898" s="111">
        <f t="shared" si="60"/>
        <v>91</v>
      </c>
      <c r="C3898" s="111"/>
      <c r="D3898" s="111"/>
      <c r="E3898" s="111"/>
    </row>
    <row r="3899" spans="1:5" x14ac:dyDescent="0.2">
      <c r="A3899" s="113">
        <v>38597</v>
      </c>
      <c r="B3899" s="111">
        <f t="shared" si="60"/>
        <v>91</v>
      </c>
      <c r="C3899" s="111"/>
      <c r="D3899" s="111"/>
      <c r="E3899" s="111"/>
    </row>
    <row r="3900" spans="1:5" x14ac:dyDescent="0.2">
      <c r="A3900" s="113">
        <v>38598</v>
      </c>
      <c r="B3900" s="111">
        <f t="shared" si="60"/>
        <v>91</v>
      </c>
      <c r="C3900" s="111"/>
      <c r="D3900" s="111"/>
      <c r="E3900" s="111"/>
    </row>
    <row r="3901" spans="1:5" x14ac:dyDescent="0.2">
      <c r="A3901" s="113">
        <v>38599</v>
      </c>
      <c r="B3901" s="111">
        <f t="shared" si="60"/>
        <v>92</v>
      </c>
      <c r="C3901" s="111"/>
      <c r="D3901" s="111"/>
      <c r="E3901" s="111"/>
    </row>
    <row r="3902" spans="1:5" x14ac:dyDescent="0.2">
      <c r="A3902" s="113">
        <v>38600</v>
      </c>
      <c r="B3902" s="111">
        <f t="shared" si="60"/>
        <v>92</v>
      </c>
      <c r="C3902" s="111"/>
      <c r="D3902" s="111"/>
      <c r="E3902" s="111"/>
    </row>
    <row r="3903" spans="1:5" x14ac:dyDescent="0.2">
      <c r="A3903" s="113">
        <v>38601</v>
      </c>
      <c r="B3903" s="111">
        <f t="shared" si="60"/>
        <v>92</v>
      </c>
      <c r="C3903" s="111"/>
      <c r="D3903" s="111"/>
      <c r="E3903" s="111"/>
    </row>
    <row r="3904" spans="1:5" x14ac:dyDescent="0.2">
      <c r="A3904" s="113">
        <v>38602</v>
      </c>
      <c r="B3904" s="111">
        <f t="shared" si="60"/>
        <v>92</v>
      </c>
      <c r="C3904" s="111"/>
      <c r="D3904" s="111"/>
      <c r="E3904" s="111"/>
    </row>
    <row r="3905" spans="1:5" x14ac:dyDescent="0.2">
      <c r="A3905" s="113">
        <v>38603</v>
      </c>
      <c r="B3905" s="111">
        <f t="shared" si="60"/>
        <v>92</v>
      </c>
      <c r="C3905" s="111"/>
      <c r="D3905" s="111"/>
      <c r="E3905" s="111"/>
    </row>
    <row r="3906" spans="1:5" x14ac:dyDescent="0.2">
      <c r="A3906" s="113">
        <v>38604</v>
      </c>
      <c r="B3906" s="111">
        <f t="shared" ref="B3906:B3969" si="61">VLOOKUP(WEEKNUM(A3906),$D$3:$E$58,2)</f>
        <v>92</v>
      </c>
      <c r="C3906" s="111"/>
      <c r="D3906" s="111"/>
      <c r="E3906" s="111"/>
    </row>
    <row r="3907" spans="1:5" x14ac:dyDescent="0.2">
      <c r="A3907" s="113">
        <v>38605</v>
      </c>
      <c r="B3907" s="111">
        <f t="shared" si="61"/>
        <v>92</v>
      </c>
      <c r="C3907" s="111"/>
      <c r="D3907" s="111"/>
      <c r="E3907" s="111"/>
    </row>
    <row r="3908" spans="1:5" x14ac:dyDescent="0.2">
      <c r="A3908" s="113">
        <v>38606</v>
      </c>
      <c r="B3908" s="111">
        <f t="shared" si="61"/>
        <v>93</v>
      </c>
      <c r="C3908" s="111"/>
      <c r="D3908" s="111"/>
      <c r="E3908" s="111"/>
    </row>
    <row r="3909" spans="1:5" x14ac:dyDescent="0.2">
      <c r="A3909" s="113">
        <v>38607</v>
      </c>
      <c r="B3909" s="111">
        <f t="shared" si="61"/>
        <v>93</v>
      </c>
      <c r="C3909" s="111"/>
      <c r="D3909" s="111"/>
      <c r="E3909" s="111"/>
    </row>
    <row r="3910" spans="1:5" x14ac:dyDescent="0.2">
      <c r="A3910" s="113">
        <v>38608</v>
      </c>
      <c r="B3910" s="111">
        <f t="shared" si="61"/>
        <v>93</v>
      </c>
      <c r="C3910" s="111"/>
      <c r="D3910" s="111"/>
      <c r="E3910" s="111"/>
    </row>
    <row r="3911" spans="1:5" x14ac:dyDescent="0.2">
      <c r="A3911" s="113">
        <v>38609</v>
      </c>
      <c r="B3911" s="111">
        <f t="shared" si="61"/>
        <v>93</v>
      </c>
      <c r="C3911" s="111"/>
      <c r="D3911" s="111"/>
      <c r="E3911" s="111"/>
    </row>
    <row r="3912" spans="1:5" x14ac:dyDescent="0.2">
      <c r="A3912" s="113">
        <v>38610</v>
      </c>
      <c r="B3912" s="111">
        <f t="shared" si="61"/>
        <v>93</v>
      </c>
      <c r="C3912" s="111"/>
      <c r="D3912" s="111"/>
      <c r="E3912" s="111"/>
    </row>
    <row r="3913" spans="1:5" x14ac:dyDescent="0.2">
      <c r="A3913" s="113">
        <v>38611</v>
      </c>
      <c r="B3913" s="111">
        <f t="shared" si="61"/>
        <v>93</v>
      </c>
      <c r="C3913" s="111"/>
      <c r="D3913" s="111"/>
      <c r="E3913" s="111"/>
    </row>
    <row r="3914" spans="1:5" x14ac:dyDescent="0.2">
      <c r="A3914" s="113">
        <v>38612</v>
      </c>
      <c r="B3914" s="111">
        <f t="shared" si="61"/>
        <v>93</v>
      </c>
      <c r="C3914" s="111"/>
      <c r="D3914" s="111"/>
      <c r="E3914" s="111"/>
    </row>
    <row r="3915" spans="1:5" x14ac:dyDescent="0.2">
      <c r="A3915" s="113">
        <v>38613</v>
      </c>
      <c r="B3915" s="111">
        <f t="shared" si="61"/>
        <v>94</v>
      </c>
      <c r="C3915" s="111"/>
      <c r="D3915" s="111"/>
      <c r="E3915" s="111"/>
    </row>
    <row r="3916" spans="1:5" x14ac:dyDescent="0.2">
      <c r="A3916" s="113">
        <v>38614</v>
      </c>
      <c r="B3916" s="111">
        <f t="shared" si="61"/>
        <v>94</v>
      </c>
      <c r="C3916" s="111"/>
      <c r="D3916" s="111"/>
      <c r="E3916" s="111"/>
    </row>
    <row r="3917" spans="1:5" x14ac:dyDescent="0.2">
      <c r="A3917" s="113">
        <v>38615</v>
      </c>
      <c r="B3917" s="111">
        <f t="shared" si="61"/>
        <v>94</v>
      </c>
      <c r="C3917" s="111"/>
      <c r="D3917" s="111"/>
      <c r="E3917" s="111"/>
    </row>
    <row r="3918" spans="1:5" x14ac:dyDescent="0.2">
      <c r="A3918" s="113">
        <v>38616</v>
      </c>
      <c r="B3918" s="111">
        <f t="shared" si="61"/>
        <v>94</v>
      </c>
      <c r="C3918" s="111"/>
      <c r="D3918" s="111"/>
      <c r="E3918" s="111"/>
    </row>
    <row r="3919" spans="1:5" x14ac:dyDescent="0.2">
      <c r="A3919" s="113">
        <v>38617</v>
      </c>
      <c r="B3919" s="111">
        <f t="shared" si="61"/>
        <v>94</v>
      </c>
      <c r="C3919" s="111"/>
      <c r="D3919" s="111"/>
      <c r="E3919" s="111"/>
    </row>
    <row r="3920" spans="1:5" x14ac:dyDescent="0.2">
      <c r="A3920" s="113">
        <v>38618</v>
      </c>
      <c r="B3920" s="111">
        <f t="shared" si="61"/>
        <v>94</v>
      </c>
      <c r="C3920" s="111"/>
      <c r="D3920" s="111"/>
      <c r="E3920" s="111"/>
    </row>
    <row r="3921" spans="1:5" x14ac:dyDescent="0.2">
      <c r="A3921" s="113">
        <v>38619</v>
      </c>
      <c r="B3921" s="111">
        <f t="shared" si="61"/>
        <v>94</v>
      </c>
      <c r="C3921" s="111"/>
      <c r="D3921" s="111"/>
      <c r="E3921" s="111"/>
    </row>
    <row r="3922" spans="1:5" x14ac:dyDescent="0.2">
      <c r="A3922" s="113">
        <v>38620</v>
      </c>
      <c r="B3922" s="111">
        <f t="shared" si="61"/>
        <v>101</v>
      </c>
      <c r="C3922" s="111"/>
      <c r="D3922" s="111"/>
      <c r="E3922" s="111"/>
    </row>
    <row r="3923" spans="1:5" x14ac:dyDescent="0.2">
      <c r="A3923" s="113">
        <v>38621</v>
      </c>
      <c r="B3923" s="111">
        <f t="shared" si="61"/>
        <v>101</v>
      </c>
      <c r="C3923" s="111"/>
      <c r="D3923" s="111"/>
      <c r="E3923" s="111"/>
    </row>
    <row r="3924" spans="1:5" x14ac:dyDescent="0.2">
      <c r="A3924" s="113">
        <v>38622</v>
      </c>
      <c r="B3924" s="111">
        <f t="shared" si="61"/>
        <v>101</v>
      </c>
      <c r="C3924" s="111"/>
      <c r="D3924" s="111"/>
      <c r="E3924" s="111"/>
    </row>
    <row r="3925" spans="1:5" x14ac:dyDescent="0.2">
      <c r="A3925" s="113">
        <v>38623</v>
      </c>
      <c r="B3925" s="111">
        <f t="shared" si="61"/>
        <v>101</v>
      </c>
      <c r="C3925" s="111"/>
      <c r="D3925" s="111"/>
      <c r="E3925" s="111"/>
    </row>
    <row r="3926" spans="1:5" x14ac:dyDescent="0.2">
      <c r="A3926" s="113">
        <v>38624</v>
      </c>
      <c r="B3926" s="111">
        <f t="shared" si="61"/>
        <v>101</v>
      </c>
      <c r="C3926" s="111"/>
      <c r="D3926" s="111"/>
      <c r="E3926" s="111"/>
    </row>
    <row r="3927" spans="1:5" x14ac:dyDescent="0.2">
      <c r="A3927" s="113">
        <v>38625</v>
      </c>
      <c r="B3927" s="111">
        <f t="shared" si="61"/>
        <v>101</v>
      </c>
      <c r="C3927" s="111"/>
      <c r="D3927" s="111"/>
      <c r="E3927" s="111"/>
    </row>
    <row r="3928" spans="1:5" x14ac:dyDescent="0.2">
      <c r="A3928" s="113">
        <v>38626</v>
      </c>
      <c r="B3928" s="111">
        <f t="shared" si="61"/>
        <v>101</v>
      </c>
      <c r="C3928" s="111"/>
      <c r="D3928" s="111"/>
      <c r="E3928" s="111"/>
    </row>
    <row r="3929" spans="1:5" x14ac:dyDescent="0.2">
      <c r="A3929" s="113">
        <v>38627</v>
      </c>
      <c r="B3929" s="111">
        <f t="shared" si="61"/>
        <v>102</v>
      </c>
      <c r="C3929" s="111"/>
      <c r="D3929" s="111"/>
      <c r="E3929" s="111"/>
    </row>
    <row r="3930" spans="1:5" x14ac:dyDescent="0.2">
      <c r="A3930" s="113">
        <v>38628</v>
      </c>
      <c r="B3930" s="111">
        <f t="shared" si="61"/>
        <v>102</v>
      </c>
      <c r="C3930" s="111"/>
      <c r="D3930" s="111"/>
      <c r="E3930" s="111"/>
    </row>
    <row r="3931" spans="1:5" x14ac:dyDescent="0.2">
      <c r="A3931" s="113">
        <v>38629</v>
      </c>
      <c r="B3931" s="111">
        <f t="shared" si="61"/>
        <v>102</v>
      </c>
      <c r="C3931" s="111"/>
      <c r="D3931" s="111"/>
      <c r="E3931" s="111"/>
    </row>
    <row r="3932" spans="1:5" x14ac:dyDescent="0.2">
      <c r="A3932" s="113">
        <v>38630</v>
      </c>
      <c r="B3932" s="111">
        <f t="shared" si="61"/>
        <v>102</v>
      </c>
      <c r="C3932" s="111"/>
      <c r="D3932" s="111"/>
      <c r="E3932" s="111"/>
    </row>
    <row r="3933" spans="1:5" x14ac:dyDescent="0.2">
      <c r="A3933" s="113">
        <v>38631</v>
      </c>
      <c r="B3933" s="111">
        <f t="shared" si="61"/>
        <v>102</v>
      </c>
      <c r="C3933" s="111"/>
      <c r="D3933" s="111"/>
      <c r="E3933" s="111"/>
    </row>
    <row r="3934" spans="1:5" x14ac:dyDescent="0.2">
      <c r="A3934" s="113">
        <v>38632</v>
      </c>
      <c r="B3934" s="111">
        <f t="shared" si="61"/>
        <v>102</v>
      </c>
      <c r="C3934" s="111"/>
      <c r="D3934" s="111"/>
      <c r="E3934" s="111"/>
    </row>
    <row r="3935" spans="1:5" x14ac:dyDescent="0.2">
      <c r="A3935" s="113">
        <v>38633</v>
      </c>
      <c r="B3935" s="111">
        <f t="shared" si="61"/>
        <v>102</v>
      </c>
      <c r="C3935" s="111"/>
      <c r="D3935" s="111"/>
      <c r="E3935" s="111"/>
    </row>
    <row r="3936" spans="1:5" x14ac:dyDescent="0.2">
      <c r="A3936" s="113">
        <v>38634</v>
      </c>
      <c r="B3936" s="111">
        <f t="shared" si="61"/>
        <v>103</v>
      </c>
      <c r="C3936" s="111"/>
      <c r="D3936" s="111"/>
      <c r="E3936" s="111"/>
    </row>
    <row r="3937" spans="1:5" x14ac:dyDescent="0.2">
      <c r="A3937" s="113">
        <v>38635</v>
      </c>
      <c r="B3937" s="111">
        <f t="shared" si="61"/>
        <v>103</v>
      </c>
      <c r="C3937" s="111"/>
      <c r="D3937" s="111"/>
      <c r="E3937" s="111"/>
    </row>
    <row r="3938" spans="1:5" x14ac:dyDescent="0.2">
      <c r="A3938" s="113">
        <v>38636</v>
      </c>
      <c r="B3938" s="111">
        <f t="shared" si="61"/>
        <v>103</v>
      </c>
      <c r="C3938" s="111"/>
      <c r="D3938" s="111"/>
      <c r="E3938" s="111"/>
    </row>
    <row r="3939" spans="1:5" x14ac:dyDescent="0.2">
      <c r="A3939" s="113">
        <v>38637</v>
      </c>
      <c r="B3939" s="111">
        <f t="shared" si="61"/>
        <v>103</v>
      </c>
      <c r="C3939" s="111"/>
      <c r="D3939" s="111"/>
      <c r="E3939" s="111"/>
    </row>
    <row r="3940" spans="1:5" x14ac:dyDescent="0.2">
      <c r="A3940" s="113">
        <v>38638</v>
      </c>
      <c r="B3940" s="111">
        <f t="shared" si="61"/>
        <v>103</v>
      </c>
      <c r="C3940" s="111"/>
      <c r="D3940" s="111"/>
      <c r="E3940" s="111"/>
    </row>
    <row r="3941" spans="1:5" x14ac:dyDescent="0.2">
      <c r="A3941" s="113">
        <v>38639</v>
      </c>
      <c r="B3941" s="111">
        <f t="shared" si="61"/>
        <v>103</v>
      </c>
      <c r="C3941" s="111"/>
      <c r="D3941" s="111"/>
      <c r="E3941" s="111"/>
    </row>
    <row r="3942" spans="1:5" x14ac:dyDescent="0.2">
      <c r="A3942" s="113">
        <v>38640</v>
      </c>
      <c r="B3942" s="111">
        <f t="shared" si="61"/>
        <v>103</v>
      </c>
      <c r="C3942" s="111"/>
      <c r="D3942" s="111"/>
      <c r="E3942" s="111"/>
    </row>
    <row r="3943" spans="1:5" x14ac:dyDescent="0.2">
      <c r="A3943" s="113">
        <v>38641</v>
      </c>
      <c r="B3943" s="111">
        <f t="shared" si="61"/>
        <v>104</v>
      </c>
      <c r="C3943" s="111"/>
      <c r="D3943" s="111"/>
      <c r="E3943" s="111"/>
    </row>
    <row r="3944" spans="1:5" x14ac:dyDescent="0.2">
      <c r="A3944" s="113">
        <v>38642</v>
      </c>
      <c r="B3944" s="111">
        <f t="shared" si="61"/>
        <v>104</v>
      </c>
      <c r="C3944" s="111"/>
      <c r="D3944" s="111"/>
      <c r="E3944" s="111"/>
    </row>
    <row r="3945" spans="1:5" x14ac:dyDescent="0.2">
      <c r="A3945" s="113">
        <v>38643</v>
      </c>
      <c r="B3945" s="111">
        <f t="shared" si="61"/>
        <v>104</v>
      </c>
      <c r="C3945" s="111"/>
      <c r="D3945" s="111"/>
      <c r="E3945" s="111"/>
    </row>
    <row r="3946" spans="1:5" x14ac:dyDescent="0.2">
      <c r="A3946" s="113">
        <v>38644</v>
      </c>
      <c r="B3946" s="111">
        <f t="shared" si="61"/>
        <v>104</v>
      </c>
      <c r="C3946" s="111"/>
      <c r="D3946" s="111"/>
      <c r="E3946" s="111"/>
    </row>
    <row r="3947" spans="1:5" x14ac:dyDescent="0.2">
      <c r="A3947" s="113">
        <v>38645</v>
      </c>
      <c r="B3947" s="111">
        <f t="shared" si="61"/>
        <v>104</v>
      </c>
      <c r="C3947" s="111"/>
      <c r="D3947" s="111"/>
      <c r="E3947" s="111"/>
    </row>
    <row r="3948" spans="1:5" x14ac:dyDescent="0.2">
      <c r="A3948" s="113">
        <v>38646</v>
      </c>
      <c r="B3948" s="111">
        <f t="shared" si="61"/>
        <v>104</v>
      </c>
      <c r="C3948" s="111"/>
      <c r="D3948" s="111"/>
      <c r="E3948" s="111"/>
    </row>
    <row r="3949" spans="1:5" x14ac:dyDescent="0.2">
      <c r="A3949" s="113">
        <v>38647</v>
      </c>
      <c r="B3949" s="111">
        <f t="shared" si="61"/>
        <v>104</v>
      </c>
      <c r="C3949" s="111"/>
      <c r="D3949" s="111"/>
      <c r="E3949" s="111"/>
    </row>
    <row r="3950" spans="1:5" x14ac:dyDescent="0.2">
      <c r="A3950" s="113">
        <v>38648</v>
      </c>
      <c r="B3950" s="111">
        <f t="shared" si="61"/>
        <v>105</v>
      </c>
      <c r="C3950" s="111"/>
      <c r="D3950" s="111"/>
      <c r="E3950" s="111"/>
    </row>
    <row r="3951" spans="1:5" x14ac:dyDescent="0.2">
      <c r="A3951" s="113">
        <v>38649</v>
      </c>
      <c r="B3951" s="111">
        <f t="shared" si="61"/>
        <v>105</v>
      </c>
      <c r="C3951" s="111"/>
      <c r="D3951" s="111"/>
      <c r="E3951" s="111"/>
    </row>
    <row r="3952" spans="1:5" x14ac:dyDescent="0.2">
      <c r="A3952" s="113">
        <v>38650</v>
      </c>
      <c r="B3952" s="111">
        <f t="shared" si="61"/>
        <v>105</v>
      </c>
      <c r="C3952" s="111"/>
      <c r="D3952" s="111"/>
      <c r="E3952" s="111"/>
    </row>
    <row r="3953" spans="1:5" x14ac:dyDescent="0.2">
      <c r="A3953" s="113">
        <v>38651</v>
      </c>
      <c r="B3953" s="111">
        <f t="shared" si="61"/>
        <v>105</v>
      </c>
      <c r="C3953" s="111"/>
      <c r="D3953" s="111"/>
      <c r="E3953" s="111"/>
    </row>
    <row r="3954" spans="1:5" x14ac:dyDescent="0.2">
      <c r="A3954" s="113">
        <v>38652</v>
      </c>
      <c r="B3954" s="111">
        <f t="shared" si="61"/>
        <v>105</v>
      </c>
      <c r="C3954" s="111"/>
      <c r="D3954" s="111"/>
      <c r="E3954" s="111"/>
    </row>
    <row r="3955" spans="1:5" x14ac:dyDescent="0.2">
      <c r="A3955" s="113">
        <v>38653</v>
      </c>
      <c r="B3955" s="111">
        <f t="shared" si="61"/>
        <v>105</v>
      </c>
      <c r="C3955" s="111"/>
      <c r="D3955" s="111"/>
      <c r="E3955" s="111"/>
    </row>
    <row r="3956" spans="1:5" x14ac:dyDescent="0.2">
      <c r="A3956" s="113">
        <v>38654</v>
      </c>
      <c r="B3956" s="111">
        <f t="shared" si="61"/>
        <v>105</v>
      </c>
      <c r="C3956" s="111"/>
      <c r="D3956" s="111"/>
      <c r="E3956" s="111"/>
    </row>
    <row r="3957" spans="1:5" x14ac:dyDescent="0.2">
      <c r="A3957" s="113">
        <v>38655</v>
      </c>
      <c r="B3957" s="111">
        <f t="shared" si="61"/>
        <v>111</v>
      </c>
      <c r="C3957" s="111"/>
      <c r="D3957" s="111"/>
      <c r="E3957" s="111"/>
    </row>
    <row r="3958" spans="1:5" x14ac:dyDescent="0.2">
      <c r="A3958" s="113">
        <v>38656</v>
      </c>
      <c r="B3958" s="111">
        <f t="shared" si="61"/>
        <v>111</v>
      </c>
      <c r="C3958" s="111"/>
      <c r="D3958" s="111"/>
      <c r="E3958" s="111"/>
    </row>
    <row r="3959" spans="1:5" x14ac:dyDescent="0.2">
      <c r="A3959" s="113">
        <v>38657</v>
      </c>
      <c r="B3959" s="111">
        <f t="shared" si="61"/>
        <v>111</v>
      </c>
      <c r="C3959" s="111"/>
      <c r="D3959" s="111"/>
      <c r="E3959" s="111"/>
    </row>
    <row r="3960" spans="1:5" x14ac:dyDescent="0.2">
      <c r="A3960" s="113">
        <v>38658</v>
      </c>
      <c r="B3960" s="111">
        <f t="shared" si="61"/>
        <v>111</v>
      </c>
      <c r="C3960" s="111"/>
      <c r="D3960" s="111"/>
      <c r="E3960" s="111"/>
    </row>
    <row r="3961" spans="1:5" x14ac:dyDescent="0.2">
      <c r="A3961" s="113">
        <v>38659</v>
      </c>
      <c r="B3961" s="111">
        <f t="shared" si="61"/>
        <v>111</v>
      </c>
      <c r="C3961" s="111"/>
      <c r="D3961" s="111"/>
      <c r="E3961" s="111"/>
    </row>
    <row r="3962" spans="1:5" x14ac:dyDescent="0.2">
      <c r="A3962" s="113">
        <v>38660</v>
      </c>
      <c r="B3962" s="111">
        <f t="shared" si="61"/>
        <v>111</v>
      </c>
      <c r="C3962" s="111"/>
      <c r="D3962" s="111"/>
      <c r="E3962" s="111"/>
    </row>
    <row r="3963" spans="1:5" x14ac:dyDescent="0.2">
      <c r="A3963" s="113">
        <v>38661</v>
      </c>
      <c r="B3963" s="111">
        <f t="shared" si="61"/>
        <v>111</v>
      </c>
      <c r="C3963" s="111"/>
      <c r="D3963" s="111"/>
      <c r="E3963" s="111"/>
    </row>
    <row r="3964" spans="1:5" x14ac:dyDescent="0.2">
      <c r="A3964" s="113">
        <v>38662</v>
      </c>
      <c r="B3964" s="111">
        <f t="shared" si="61"/>
        <v>112</v>
      </c>
      <c r="C3964" s="111"/>
      <c r="D3964" s="111"/>
      <c r="E3964" s="111"/>
    </row>
    <row r="3965" spans="1:5" x14ac:dyDescent="0.2">
      <c r="A3965" s="113">
        <v>38663</v>
      </c>
      <c r="B3965" s="111">
        <f t="shared" si="61"/>
        <v>112</v>
      </c>
      <c r="C3965" s="111"/>
      <c r="D3965" s="111"/>
      <c r="E3965" s="111"/>
    </row>
    <row r="3966" spans="1:5" x14ac:dyDescent="0.2">
      <c r="A3966" s="113">
        <v>38664</v>
      </c>
      <c r="B3966" s="111">
        <f t="shared" si="61"/>
        <v>112</v>
      </c>
      <c r="C3966" s="111"/>
      <c r="D3966" s="111"/>
      <c r="E3966" s="111"/>
    </row>
    <row r="3967" spans="1:5" x14ac:dyDescent="0.2">
      <c r="A3967" s="113">
        <v>38665</v>
      </c>
      <c r="B3967" s="111">
        <f t="shared" si="61"/>
        <v>112</v>
      </c>
      <c r="C3967" s="111"/>
      <c r="D3967" s="111"/>
      <c r="E3967" s="111"/>
    </row>
    <row r="3968" spans="1:5" x14ac:dyDescent="0.2">
      <c r="A3968" s="113">
        <v>38666</v>
      </c>
      <c r="B3968" s="111">
        <f t="shared" si="61"/>
        <v>112</v>
      </c>
      <c r="C3968" s="111"/>
      <c r="D3968" s="111"/>
      <c r="E3968" s="111"/>
    </row>
    <row r="3969" spans="1:5" x14ac:dyDescent="0.2">
      <c r="A3969" s="113">
        <v>38667</v>
      </c>
      <c r="B3969" s="111">
        <f t="shared" si="61"/>
        <v>112</v>
      </c>
      <c r="C3969" s="111"/>
      <c r="D3969" s="111"/>
      <c r="E3969" s="111"/>
    </row>
    <row r="3970" spans="1:5" x14ac:dyDescent="0.2">
      <c r="A3970" s="113">
        <v>38668</v>
      </c>
      <c r="B3970" s="111">
        <f t="shared" ref="B3970:B4033" si="62">VLOOKUP(WEEKNUM(A3970),$D$3:$E$58,2)</f>
        <v>112</v>
      </c>
      <c r="C3970" s="111"/>
      <c r="D3970" s="111"/>
      <c r="E3970" s="111"/>
    </row>
    <row r="3971" spans="1:5" x14ac:dyDescent="0.2">
      <c r="A3971" s="113">
        <v>38669</v>
      </c>
      <c r="B3971" s="111">
        <f t="shared" si="62"/>
        <v>113</v>
      </c>
      <c r="C3971" s="111"/>
      <c r="D3971" s="111"/>
      <c r="E3971" s="111"/>
    </row>
    <row r="3972" spans="1:5" x14ac:dyDescent="0.2">
      <c r="A3972" s="113">
        <v>38670</v>
      </c>
      <c r="B3972" s="111">
        <f t="shared" si="62"/>
        <v>113</v>
      </c>
      <c r="C3972" s="111"/>
      <c r="D3972" s="111"/>
      <c r="E3972" s="111"/>
    </row>
    <row r="3973" spans="1:5" x14ac:dyDescent="0.2">
      <c r="A3973" s="113">
        <v>38671</v>
      </c>
      <c r="B3973" s="111">
        <f t="shared" si="62"/>
        <v>113</v>
      </c>
      <c r="C3973" s="111"/>
      <c r="D3973" s="111"/>
      <c r="E3973" s="111"/>
    </row>
    <row r="3974" spans="1:5" x14ac:dyDescent="0.2">
      <c r="A3974" s="113">
        <v>38672</v>
      </c>
      <c r="B3974" s="111">
        <f t="shared" si="62"/>
        <v>113</v>
      </c>
      <c r="C3974" s="111"/>
      <c r="D3974" s="111"/>
      <c r="E3974" s="111"/>
    </row>
    <row r="3975" spans="1:5" x14ac:dyDescent="0.2">
      <c r="A3975" s="113">
        <v>38673</v>
      </c>
      <c r="B3975" s="111">
        <f t="shared" si="62"/>
        <v>113</v>
      </c>
      <c r="C3975" s="111"/>
      <c r="D3975" s="111"/>
      <c r="E3975" s="111"/>
    </row>
    <row r="3976" spans="1:5" x14ac:dyDescent="0.2">
      <c r="A3976" s="113">
        <v>38674</v>
      </c>
      <c r="B3976" s="111">
        <f t="shared" si="62"/>
        <v>113</v>
      </c>
      <c r="C3976" s="111"/>
      <c r="D3976" s="111"/>
      <c r="E3976" s="111"/>
    </row>
    <row r="3977" spans="1:5" x14ac:dyDescent="0.2">
      <c r="A3977" s="113">
        <v>38675</v>
      </c>
      <c r="B3977" s="111">
        <f t="shared" si="62"/>
        <v>113</v>
      </c>
      <c r="C3977" s="111"/>
      <c r="D3977" s="111"/>
      <c r="E3977" s="111"/>
    </row>
    <row r="3978" spans="1:5" x14ac:dyDescent="0.2">
      <c r="A3978" s="113">
        <v>38676</v>
      </c>
      <c r="B3978" s="111">
        <f t="shared" si="62"/>
        <v>114</v>
      </c>
      <c r="C3978" s="111"/>
      <c r="D3978" s="111"/>
      <c r="E3978" s="111"/>
    </row>
    <row r="3979" spans="1:5" x14ac:dyDescent="0.2">
      <c r="A3979" s="113">
        <v>38677</v>
      </c>
      <c r="B3979" s="111">
        <f t="shared" si="62"/>
        <v>114</v>
      </c>
      <c r="C3979" s="111"/>
      <c r="D3979" s="111"/>
      <c r="E3979" s="111"/>
    </row>
    <row r="3980" spans="1:5" x14ac:dyDescent="0.2">
      <c r="A3980" s="113">
        <v>38678</v>
      </c>
      <c r="B3980" s="111">
        <f t="shared" si="62"/>
        <v>114</v>
      </c>
      <c r="C3980" s="111"/>
      <c r="D3980" s="111"/>
      <c r="E3980" s="111"/>
    </row>
    <row r="3981" spans="1:5" x14ac:dyDescent="0.2">
      <c r="A3981" s="113">
        <v>38679</v>
      </c>
      <c r="B3981" s="111">
        <f t="shared" si="62"/>
        <v>114</v>
      </c>
      <c r="C3981" s="111"/>
      <c r="D3981" s="111"/>
      <c r="E3981" s="111"/>
    </row>
    <row r="3982" spans="1:5" x14ac:dyDescent="0.2">
      <c r="A3982" s="113">
        <v>38680</v>
      </c>
      <c r="B3982" s="111">
        <f t="shared" si="62"/>
        <v>114</v>
      </c>
      <c r="C3982" s="111"/>
      <c r="D3982" s="111"/>
      <c r="E3982" s="111"/>
    </row>
    <row r="3983" spans="1:5" x14ac:dyDescent="0.2">
      <c r="A3983" s="113">
        <v>38681</v>
      </c>
      <c r="B3983" s="111">
        <f t="shared" si="62"/>
        <v>114</v>
      </c>
      <c r="C3983" s="111"/>
      <c r="D3983" s="111"/>
      <c r="E3983" s="111"/>
    </row>
    <row r="3984" spans="1:5" x14ac:dyDescent="0.2">
      <c r="A3984" s="113">
        <v>38682</v>
      </c>
      <c r="B3984" s="111">
        <f t="shared" si="62"/>
        <v>114</v>
      </c>
      <c r="C3984" s="111"/>
      <c r="D3984" s="111"/>
      <c r="E3984" s="111"/>
    </row>
    <row r="3985" spans="1:5" x14ac:dyDescent="0.2">
      <c r="A3985" s="113">
        <v>38683</v>
      </c>
      <c r="B3985" s="111">
        <f t="shared" si="62"/>
        <v>115</v>
      </c>
      <c r="C3985" s="111"/>
      <c r="D3985" s="111"/>
      <c r="E3985" s="111"/>
    </row>
    <row r="3986" spans="1:5" x14ac:dyDescent="0.2">
      <c r="A3986" s="113">
        <v>38684</v>
      </c>
      <c r="B3986" s="111">
        <f t="shared" si="62"/>
        <v>115</v>
      </c>
      <c r="C3986" s="111"/>
      <c r="D3986" s="111"/>
      <c r="E3986" s="111"/>
    </row>
    <row r="3987" spans="1:5" x14ac:dyDescent="0.2">
      <c r="A3987" s="113">
        <v>38685</v>
      </c>
      <c r="B3987" s="111">
        <f t="shared" si="62"/>
        <v>115</v>
      </c>
      <c r="C3987" s="111"/>
      <c r="D3987" s="111"/>
      <c r="E3987" s="111"/>
    </row>
    <row r="3988" spans="1:5" x14ac:dyDescent="0.2">
      <c r="A3988" s="113">
        <v>38686</v>
      </c>
      <c r="B3988" s="111">
        <f t="shared" si="62"/>
        <v>115</v>
      </c>
      <c r="C3988" s="111"/>
      <c r="D3988" s="111"/>
      <c r="E3988" s="111"/>
    </row>
    <row r="3989" spans="1:5" x14ac:dyDescent="0.2">
      <c r="A3989" s="113">
        <v>38687</v>
      </c>
      <c r="B3989" s="111">
        <f t="shared" si="62"/>
        <v>115</v>
      </c>
      <c r="C3989" s="111"/>
      <c r="D3989" s="111"/>
      <c r="E3989" s="111"/>
    </row>
    <row r="3990" spans="1:5" x14ac:dyDescent="0.2">
      <c r="A3990" s="113">
        <v>38688</v>
      </c>
      <c r="B3990" s="111">
        <f t="shared" si="62"/>
        <v>115</v>
      </c>
      <c r="C3990" s="111"/>
      <c r="D3990" s="111"/>
      <c r="E3990" s="111"/>
    </row>
    <row r="3991" spans="1:5" x14ac:dyDescent="0.2">
      <c r="A3991" s="113">
        <v>38689</v>
      </c>
      <c r="B3991" s="111">
        <f t="shared" si="62"/>
        <v>115</v>
      </c>
      <c r="C3991" s="111"/>
      <c r="D3991" s="111"/>
      <c r="E3991" s="111"/>
    </row>
    <row r="3992" spans="1:5" x14ac:dyDescent="0.2">
      <c r="A3992" s="113">
        <v>38690</v>
      </c>
      <c r="B3992" s="111">
        <f t="shared" si="62"/>
        <v>121</v>
      </c>
      <c r="C3992" s="111"/>
      <c r="D3992" s="111"/>
      <c r="E3992" s="111"/>
    </row>
    <row r="3993" spans="1:5" x14ac:dyDescent="0.2">
      <c r="A3993" s="113">
        <v>38691</v>
      </c>
      <c r="B3993" s="111">
        <f t="shared" si="62"/>
        <v>121</v>
      </c>
      <c r="C3993" s="111"/>
      <c r="D3993" s="111"/>
      <c r="E3993" s="111"/>
    </row>
    <row r="3994" spans="1:5" x14ac:dyDescent="0.2">
      <c r="A3994" s="113">
        <v>38692</v>
      </c>
      <c r="B3994" s="111">
        <f t="shared" si="62"/>
        <v>121</v>
      </c>
      <c r="C3994" s="111"/>
      <c r="D3994" s="111"/>
      <c r="E3994" s="111"/>
    </row>
    <row r="3995" spans="1:5" x14ac:dyDescent="0.2">
      <c r="A3995" s="113">
        <v>38693</v>
      </c>
      <c r="B3995" s="111">
        <f t="shared" si="62"/>
        <v>121</v>
      </c>
      <c r="C3995" s="111"/>
      <c r="D3995" s="111"/>
      <c r="E3995" s="111"/>
    </row>
    <row r="3996" spans="1:5" x14ac:dyDescent="0.2">
      <c r="A3996" s="113">
        <v>38694</v>
      </c>
      <c r="B3996" s="111">
        <f t="shared" si="62"/>
        <v>121</v>
      </c>
      <c r="C3996" s="111"/>
      <c r="D3996" s="111"/>
      <c r="E3996" s="111"/>
    </row>
    <row r="3997" spans="1:5" x14ac:dyDescent="0.2">
      <c r="A3997" s="113">
        <v>38695</v>
      </c>
      <c r="B3997" s="111">
        <f t="shared" si="62"/>
        <v>121</v>
      </c>
      <c r="C3997" s="111"/>
      <c r="D3997" s="111"/>
      <c r="E3997" s="111"/>
    </row>
    <row r="3998" spans="1:5" x14ac:dyDescent="0.2">
      <c r="A3998" s="113">
        <v>38696</v>
      </c>
      <c r="B3998" s="111">
        <f t="shared" si="62"/>
        <v>121</v>
      </c>
      <c r="C3998" s="111"/>
      <c r="D3998" s="111"/>
      <c r="E3998" s="111"/>
    </row>
    <row r="3999" spans="1:5" x14ac:dyDescent="0.2">
      <c r="A3999" s="113">
        <v>38697</v>
      </c>
      <c r="B3999" s="111">
        <f t="shared" si="62"/>
        <v>122</v>
      </c>
      <c r="C3999" s="111"/>
      <c r="D3999" s="111"/>
      <c r="E3999" s="111"/>
    </row>
    <row r="4000" spans="1:5" x14ac:dyDescent="0.2">
      <c r="A4000" s="113">
        <v>38698</v>
      </c>
      <c r="B4000" s="111">
        <f t="shared" si="62"/>
        <v>122</v>
      </c>
      <c r="C4000" s="111"/>
      <c r="D4000" s="111"/>
      <c r="E4000" s="111"/>
    </row>
    <row r="4001" spans="1:5" x14ac:dyDescent="0.2">
      <c r="A4001" s="113">
        <v>38699</v>
      </c>
      <c r="B4001" s="111">
        <f t="shared" si="62"/>
        <v>122</v>
      </c>
      <c r="C4001" s="111"/>
      <c r="D4001" s="111"/>
      <c r="E4001" s="111"/>
    </row>
    <row r="4002" spans="1:5" x14ac:dyDescent="0.2">
      <c r="A4002" s="113">
        <v>38700</v>
      </c>
      <c r="B4002" s="111">
        <f t="shared" si="62"/>
        <v>122</v>
      </c>
      <c r="C4002" s="111"/>
      <c r="D4002" s="111"/>
      <c r="E4002" s="111"/>
    </row>
    <row r="4003" spans="1:5" x14ac:dyDescent="0.2">
      <c r="A4003" s="113">
        <v>38701</v>
      </c>
      <c r="B4003" s="111">
        <f t="shared" si="62"/>
        <v>122</v>
      </c>
      <c r="C4003" s="111"/>
      <c r="D4003" s="111"/>
      <c r="E4003" s="111"/>
    </row>
    <row r="4004" spans="1:5" x14ac:dyDescent="0.2">
      <c r="A4004" s="113">
        <v>38702</v>
      </c>
      <c r="B4004" s="111">
        <f t="shared" si="62"/>
        <v>122</v>
      </c>
      <c r="C4004" s="111"/>
      <c r="D4004" s="111"/>
      <c r="E4004" s="111"/>
    </row>
    <row r="4005" spans="1:5" x14ac:dyDescent="0.2">
      <c r="A4005" s="113">
        <v>38703</v>
      </c>
      <c r="B4005" s="111">
        <f t="shared" si="62"/>
        <v>122</v>
      </c>
      <c r="C4005" s="111"/>
      <c r="D4005" s="111"/>
      <c r="E4005" s="111"/>
    </row>
    <row r="4006" spans="1:5" x14ac:dyDescent="0.2">
      <c r="A4006" s="113">
        <v>38704</v>
      </c>
      <c r="B4006" s="111">
        <f t="shared" si="62"/>
        <v>123</v>
      </c>
      <c r="C4006" s="111"/>
      <c r="D4006" s="111"/>
      <c r="E4006" s="111"/>
    </row>
    <row r="4007" spans="1:5" x14ac:dyDescent="0.2">
      <c r="A4007" s="113">
        <v>38705</v>
      </c>
      <c r="B4007" s="111">
        <f t="shared" si="62"/>
        <v>123</v>
      </c>
      <c r="C4007" s="111"/>
      <c r="D4007" s="111"/>
      <c r="E4007" s="111"/>
    </row>
    <row r="4008" spans="1:5" x14ac:dyDescent="0.2">
      <c r="A4008" s="113">
        <v>38706</v>
      </c>
      <c r="B4008" s="111">
        <f t="shared" si="62"/>
        <v>123</v>
      </c>
      <c r="C4008" s="111"/>
      <c r="D4008" s="111"/>
      <c r="E4008" s="111"/>
    </row>
    <row r="4009" spans="1:5" x14ac:dyDescent="0.2">
      <c r="A4009" s="113">
        <v>38707</v>
      </c>
      <c r="B4009" s="111">
        <f t="shared" si="62"/>
        <v>123</v>
      </c>
      <c r="C4009" s="111"/>
      <c r="D4009" s="111"/>
      <c r="E4009" s="111"/>
    </row>
    <row r="4010" spans="1:5" x14ac:dyDescent="0.2">
      <c r="A4010" s="113">
        <v>38708</v>
      </c>
      <c r="B4010" s="111">
        <f t="shared" si="62"/>
        <v>123</v>
      </c>
      <c r="C4010" s="111"/>
      <c r="D4010" s="111"/>
      <c r="E4010" s="111"/>
    </row>
    <row r="4011" spans="1:5" x14ac:dyDescent="0.2">
      <c r="A4011" s="113">
        <v>38709</v>
      </c>
      <c r="B4011" s="111">
        <f t="shared" si="62"/>
        <v>123</v>
      </c>
      <c r="C4011" s="111"/>
      <c r="D4011" s="111"/>
      <c r="E4011" s="111"/>
    </row>
    <row r="4012" spans="1:5" x14ac:dyDescent="0.2">
      <c r="A4012" s="113">
        <v>38710</v>
      </c>
      <c r="B4012" s="111">
        <f t="shared" si="62"/>
        <v>123</v>
      </c>
      <c r="C4012" s="111"/>
      <c r="D4012" s="111"/>
      <c r="E4012" s="111"/>
    </row>
    <row r="4013" spans="1:5" x14ac:dyDescent="0.2">
      <c r="A4013" s="113">
        <v>38711</v>
      </c>
      <c r="B4013" s="111">
        <f t="shared" si="62"/>
        <v>124</v>
      </c>
      <c r="C4013" s="111"/>
      <c r="D4013" s="111"/>
      <c r="E4013" s="111"/>
    </row>
    <row r="4014" spans="1:5" x14ac:dyDescent="0.2">
      <c r="A4014" s="113">
        <v>38712</v>
      </c>
      <c r="B4014" s="111">
        <f t="shared" si="62"/>
        <v>124</v>
      </c>
      <c r="C4014" s="111"/>
      <c r="D4014" s="111"/>
      <c r="E4014" s="111"/>
    </row>
    <row r="4015" spans="1:5" x14ac:dyDescent="0.2">
      <c r="A4015" s="113">
        <v>38713</v>
      </c>
      <c r="B4015" s="111">
        <f t="shared" si="62"/>
        <v>124</v>
      </c>
      <c r="C4015" s="111"/>
      <c r="D4015" s="111"/>
      <c r="E4015" s="111"/>
    </row>
    <row r="4016" spans="1:5" x14ac:dyDescent="0.2">
      <c r="A4016" s="113">
        <v>38714</v>
      </c>
      <c r="B4016" s="111">
        <f t="shared" si="62"/>
        <v>124</v>
      </c>
      <c r="C4016" s="111"/>
      <c r="D4016" s="111"/>
      <c r="E4016" s="111"/>
    </row>
    <row r="4017" spans="1:5" x14ac:dyDescent="0.2">
      <c r="A4017" s="113">
        <v>38715</v>
      </c>
      <c r="B4017" s="111">
        <f t="shared" si="62"/>
        <v>124</v>
      </c>
      <c r="C4017" s="111"/>
      <c r="D4017" s="111"/>
      <c r="E4017" s="111"/>
    </row>
    <row r="4018" spans="1:5" x14ac:dyDescent="0.2">
      <c r="A4018" s="113">
        <v>38716</v>
      </c>
      <c r="B4018" s="111">
        <f t="shared" si="62"/>
        <v>124</v>
      </c>
      <c r="C4018" s="111"/>
      <c r="D4018" s="111"/>
      <c r="E4018" s="111"/>
    </row>
    <row r="4019" spans="1:5" x14ac:dyDescent="0.2">
      <c r="A4019" s="113">
        <v>38717</v>
      </c>
      <c r="B4019" s="111">
        <f t="shared" si="62"/>
        <v>124</v>
      </c>
      <c r="C4019" s="111"/>
      <c r="D4019" s="111"/>
      <c r="E4019" s="111"/>
    </row>
    <row r="4020" spans="1:5" x14ac:dyDescent="0.2">
      <c r="A4020" s="113">
        <v>38718</v>
      </c>
      <c r="B4020" s="111">
        <f t="shared" si="62"/>
        <v>11</v>
      </c>
      <c r="C4020" s="111"/>
      <c r="D4020" s="111"/>
      <c r="E4020" s="111"/>
    </row>
    <row r="4021" spans="1:5" x14ac:dyDescent="0.2">
      <c r="A4021" s="113">
        <v>38719</v>
      </c>
      <c r="B4021" s="111">
        <f t="shared" si="62"/>
        <v>11</v>
      </c>
      <c r="C4021" s="111"/>
      <c r="D4021" s="111"/>
      <c r="E4021" s="111"/>
    </row>
    <row r="4022" spans="1:5" x14ac:dyDescent="0.2">
      <c r="A4022" s="113">
        <v>38720</v>
      </c>
      <c r="B4022" s="111">
        <f t="shared" si="62"/>
        <v>11</v>
      </c>
      <c r="C4022" s="111"/>
      <c r="D4022" s="111"/>
      <c r="E4022" s="111"/>
    </row>
    <row r="4023" spans="1:5" x14ac:dyDescent="0.2">
      <c r="A4023" s="113">
        <v>38721</v>
      </c>
      <c r="B4023" s="111">
        <f t="shared" si="62"/>
        <v>11</v>
      </c>
      <c r="C4023" s="111"/>
      <c r="D4023" s="111"/>
      <c r="E4023" s="111"/>
    </row>
    <row r="4024" spans="1:5" x14ac:dyDescent="0.2">
      <c r="A4024" s="113">
        <v>38722</v>
      </c>
      <c r="B4024" s="111">
        <f t="shared" si="62"/>
        <v>11</v>
      </c>
      <c r="C4024" s="111"/>
      <c r="D4024" s="111"/>
      <c r="E4024" s="111"/>
    </row>
    <row r="4025" spans="1:5" x14ac:dyDescent="0.2">
      <c r="A4025" s="113">
        <v>38723</v>
      </c>
      <c r="B4025" s="111">
        <f t="shared" si="62"/>
        <v>11</v>
      </c>
      <c r="C4025" s="111"/>
      <c r="D4025" s="111"/>
      <c r="E4025" s="111"/>
    </row>
    <row r="4026" spans="1:5" x14ac:dyDescent="0.2">
      <c r="A4026" s="113">
        <v>38724</v>
      </c>
      <c r="B4026" s="111">
        <f t="shared" si="62"/>
        <v>11</v>
      </c>
      <c r="C4026" s="111"/>
      <c r="D4026" s="111"/>
      <c r="E4026" s="111"/>
    </row>
    <row r="4027" spans="1:5" x14ac:dyDescent="0.2">
      <c r="A4027" s="113">
        <v>38725</v>
      </c>
      <c r="B4027" s="111">
        <f t="shared" si="62"/>
        <v>12</v>
      </c>
      <c r="C4027" s="111"/>
      <c r="D4027" s="111"/>
      <c r="E4027" s="111"/>
    </row>
    <row r="4028" spans="1:5" x14ac:dyDescent="0.2">
      <c r="A4028" s="113">
        <v>38726</v>
      </c>
      <c r="B4028" s="111">
        <f t="shared" si="62"/>
        <v>12</v>
      </c>
      <c r="C4028" s="111"/>
      <c r="D4028" s="111"/>
      <c r="E4028" s="111"/>
    </row>
    <row r="4029" spans="1:5" x14ac:dyDescent="0.2">
      <c r="A4029" s="113">
        <v>38727</v>
      </c>
      <c r="B4029" s="111">
        <f t="shared" si="62"/>
        <v>12</v>
      </c>
      <c r="C4029" s="111"/>
      <c r="D4029" s="111"/>
      <c r="E4029" s="111"/>
    </row>
    <row r="4030" spans="1:5" x14ac:dyDescent="0.2">
      <c r="A4030" s="113">
        <v>38728</v>
      </c>
      <c r="B4030" s="111">
        <f t="shared" si="62"/>
        <v>12</v>
      </c>
      <c r="C4030" s="111"/>
      <c r="D4030" s="111"/>
      <c r="E4030" s="111"/>
    </row>
    <row r="4031" spans="1:5" x14ac:dyDescent="0.2">
      <c r="A4031" s="113">
        <v>38729</v>
      </c>
      <c r="B4031" s="111">
        <f t="shared" si="62"/>
        <v>12</v>
      </c>
      <c r="C4031" s="111"/>
      <c r="D4031" s="111"/>
      <c r="E4031" s="111"/>
    </row>
    <row r="4032" spans="1:5" x14ac:dyDescent="0.2">
      <c r="A4032" s="113">
        <v>38730</v>
      </c>
      <c r="B4032" s="111">
        <f t="shared" si="62"/>
        <v>12</v>
      </c>
      <c r="C4032" s="111"/>
      <c r="D4032" s="111"/>
      <c r="E4032" s="111"/>
    </row>
    <row r="4033" spans="1:5" x14ac:dyDescent="0.2">
      <c r="A4033" s="113">
        <v>38731</v>
      </c>
      <c r="B4033" s="111">
        <f t="shared" si="62"/>
        <v>12</v>
      </c>
      <c r="C4033" s="111"/>
      <c r="D4033" s="111"/>
      <c r="E4033" s="111"/>
    </row>
    <row r="4034" spans="1:5" x14ac:dyDescent="0.2">
      <c r="A4034" s="113">
        <v>38732</v>
      </c>
      <c r="B4034" s="111">
        <f t="shared" ref="B4034:B4097" si="63">VLOOKUP(WEEKNUM(A4034),$D$3:$E$58,2)</f>
        <v>13</v>
      </c>
      <c r="C4034" s="111"/>
      <c r="D4034" s="111"/>
      <c r="E4034" s="111"/>
    </row>
    <row r="4035" spans="1:5" x14ac:dyDescent="0.2">
      <c r="A4035" s="113">
        <v>38733</v>
      </c>
      <c r="B4035" s="111">
        <f t="shared" si="63"/>
        <v>13</v>
      </c>
      <c r="C4035" s="111"/>
      <c r="D4035" s="111"/>
      <c r="E4035" s="111"/>
    </row>
    <row r="4036" spans="1:5" x14ac:dyDescent="0.2">
      <c r="A4036" s="113">
        <v>38734</v>
      </c>
      <c r="B4036" s="111">
        <f t="shared" si="63"/>
        <v>13</v>
      </c>
      <c r="C4036" s="111"/>
      <c r="D4036" s="111"/>
      <c r="E4036" s="111"/>
    </row>
    <row r="4037" spans="1:5" x14ac:dyDescent="0.2">
      <c r="A4037" s="113">
        <v>38735</v>
      </c>
      <c r="B4037" s="111">
        <f t="shared" si="63"/>
        <v>13</v>
      </c>
      <c r="C4037" s="111"/>
      <c r="D4037" s="111"/>
      <c r="E4037" s="111"/>
    </row>
    <row r="4038" spans="1:5" x14ac:dyDescent="0.2">
      <c r="A4038" s="113">
        <v>38736</v>
      </c>
      <c r="B4038" s="111">
        <f t="shared" si="63"/>
        <v>13</v>
      </c>
      <c r="C4038" s="111"/>
      <c r="D4038" s="111"/>
      <c r="E4038" s="111"/>
    </row>
    <row r="4039" spans="1:5" x14ac:dyDescent="0.2">
      <c r="A4039" s="113">
        <v>38737</v>
      </c>
      <c r="B4039" s="111">
        <f t="shared" si="63"/>
        <v>13</v>
      </c>
      <c r="C4039" s="111"/>
      <c r="D4039" s="111"/>
      <c r="E4039" s="111"/>
    </row>
    <row r="4040" spans="1:5" x14ac:dyDescent="0.2">
      <c r="A4040" s="113">
        <v>38738</v>
      </c>
      <c r="B4040" s="111">
        <f t="shared" si="63"/>
        <v>13</v>
      </c>
      <c r="C4040" s="111"/>
      <c r="D4040" s="111"/>
      <c r="E4040" s="111"/>
    </row>
    <row r="4041" spans="1:5" x14ac:dyDescent="0.2">
      <c r="A4041" s="113">
        <v>38739</v>
      </c>
      <c r="B4041" s="111">
        <f t="shared" si="63"/>
        <v>14</v>
      </c>
      <c r="C4041" s="111"/>
      <c r="D4041" s="111"/>
      <c r="E4041" s="111"/>
    </row>
    <row r="4042" spans="1:5" x14ac:dyDescent="0.2">
      <c r="A4042" s="113">
        <v>38740</v>
      </c>
      <c r="B4042" s="111">
        <f t="shared" si="63"/>
        <v>14</v>
      </c>
      <c r="C4042" s="111"/>
      <c r="D4042" s="111"/>
      <c r="E4042" s="111"/>
    </row>
    <row r="4043" spans="1:5" x14ac:dyDescent="0.2">
      <c r="A4043" s="113">
        <v>38741</v>
      </c>
      <c r="B4043" s="111">
        <f t="shared" si="63"/>
        <v>14</v>
      </c>
      <c r="C4043" s="111"/>
      <c r="D4043" s="111"/>
      <c r="E4043" s="111"/>
    </row>
    <row r="4044" spans="1:5" x14ac:dyDescent="0.2">
      <c r="A4044" s="113">
        <v>38742</v>
      </c>
      <c r="B4044" s="111">
        <f t="shared" si="63"/>
        <v>14</v>
      </c>
      <c r="C4044" s="111"/>
      <c r="D4044" s="111"/>
      <c r="E4044" s="111"/>
    </row>
    <row r="4045" spans="1:5" x14ac:dyDescent="0.2">
      <c r="A4045" s="113">
        <v>38743</v>
      </c>
      <c r="B4045" s="111">
        <f t="shared" si="63"/>
        <v>14</v>
      </c>
      <c r="C4045" s="111"/>
      <c r="D4045" s="111"/>
      <c r="E4045" s="111"/>
    </row>
    <row r="4046" spans="1:5" x14ac:dyDescent="0.2">
      <c r="A4046" s="113">
        <v>38744</v>
      </c>
      <c r="B4046" s="111">
        <f t="shared" si="63"/>
        <v>14</v>
      </c>
      <c r="C4046" s="111"/>
      <c r="D4046" s="111"/>
      <c r="E4046" s="111"/>
    </row>
    <row r="4047" spans="1:5" x14ac:dyDescent="0.2">
      <c r="A4047" s="113">
        <v>38745</v>
      </c>
      <c r="B4047" s="111">
        <f t="shared" si="63"/>
        <v>14</v>
      </c>
      <c r="C4047" s="111"/>
      <c r="D4047" s="111"/>
      <c r="E4047" s="111"/>
    </row>
    <row r="4048" spans="1:5" x14ac:dyDescent="0.2">
      <c r="A4048" s="113">
        <v>38746</v>
      </c>
      <c r="B4048" s="111">
        <f t="shared" si="63"/>
        <v>15</v>
      </c>
      <c r="C4048" s="111"/>
      <c r="D4048" s="111"/>
      <c r="E4048" s="111"/>
    </row>
    <row r="4049" spans="1:5" x14ac:dyDescent="0.2">
      <c r="A4049" s="113">
        <v>38747</v>
      </c>
      <c r="B4049" s="111">
        <f t="shared" si="63"/>
        <v>15</v>
      </c>
      <c r="C4049" s="111"/>
      <c r="D4049" s="111"/>
      <c r="E4049" s="111"/>
    </row>
    <row r="4050" spans="1:5" x14ac:dyDescent="0.2">
      <c r="A4050" s="113">
        <v>38748</v>
      </c>
      <c r="B4050" s="111">
        <f t="shared" si="63"/>
        <v>15</v>
      </c>
      <c r="C4050" s="111"/>
      <c r="D4050" s="111"/>
      <c r="E4050" s="111"/>
    </row>
    <row r="4051" spans="1:5" x14ac:dyDescent="0.2">
      <c r="A4051" s="113">
        <v>38749</v>
      </c>
      <c r="B4051" s="111">
        <f t="shared" si="63"/>
        <v>15</v>
      </c>
      <c r="C4051" s="111"/>
      <c r="D4051" s="111"/>
      <c r="E4051" s="111"/>
    </row>
    <row r="4052" spans="1:5" x14ac:dyDescent="0.2">
      <c r="A4052" s="113">
        <v>38750</v>
      </c>
      <c r="B4052" s="111">
        <f t="shared" si="63"/>
        <v>15</v>
      </c>
      <c r="C4052" s="111"/>
      <c r="D4052" s="111"/>
      <c r="E4052" s="111"/>
    </row>
    <row r="4053" spans="1:5" x14ac:dyDescent="0.2">
      <c r="A4053" s="113">
        <v>38751</v>
      </c>
      <c r="B4053" s="111">
        <f t="shared" si="63"/>
        <v>15</v>
      </c>
      <c r="C4053" s="111"/>
      <c r="D4053" s="111"/>
      <c r="E4053" s="111"/>
    </row>
    <row r="4054" spans="1:5" x14ac:dyDescent="0.2">
      <c r="A4054" s="113">
        <v>38752</v>
      </c>
      <c r="B4054" s="111">
        <f t="shared" si="63"/>
        <v>15</v>
      </c>
      <c r="C4054" s="111"/>
      <c r="D4054" s="111"/>
      <c r="E4054" s="111"/>
    </row>
    <row r="4055" spans="1:5" x14ac:dyDescent="0.2">
      <c r="A4055" s="113">
        <v>38753</v>
      </c>
      <c r="B4055" s="111">
        <f t="shared" si="63"/>
        <v>21</v>
      </c>
      <c r="C4055" s="111"/>
      <c r="D4055" s="111"/>
      <c r="E4055" s="111"/>
    </row>
    <row r="4056" spans="1:5" x14ac:dyDescent="0.2">
      <c r="A4056" s="113">
        <v>38754</v>
      </c>
      <c r="B4056" s="111">
        <f t="shared" si="63"/>
        <v>21</v>
      </c>
      <c r="C4056" s="111"/>
      <c r="D4056" s="111"/>
      <c r="E4056" s="111"/>
    </row>
    <row r="4057" spans="1:5" x14ac:dyDescent="0.2">
      <c r="A4057" s="113">
        <v>38755</v>
      </c>
      <c r="B4057" s="111">
        <f t="shared" si="63"/>
        <v>21</v>
      </c>
      <c r="C4057" s="111"/>
      <c r="D4057" s="111"/>
      <c r="E4057" s="111"/>
    </row>
    <row r="4058" spans="1:5" x14ac:dyDescent="0.2">
      <c r="A4058" s="113">
        <v>38756</v>
      </c>
      <c r="B4058" s="111">
        <f t="shared" si="63"/>
        <v>21</v>
      </c>
      <c r="C4058" s="111"/>
      <c r="D4058" s="111"/>
      <c r="E4058" s="111"/>
    </row>
    <row r="4059" spans="1:5" x14ac:dyDescent="0.2">
      <c r="A4059" s="113">
        <v>38757</v>
      </c>
      <c r="B4059" s="111">
        <f t="shared" si="63"/>
        <v>21</v>
      </c>
      <c r="C4059" s="111"/>
      <c r="D4059" s="111"/>
      <c r="E4059" s="111"/>
    </row>
    <row r="4060" spans="1:5" x14ac:dyDescent="0.2">
      <c r="A4060" s="113">
        <v>38758</v>
      </c>
      <c r="B4060" s="111">
        <f t="shared" si="63"/>
        <v>21</v>
      </c>
      <c r="C4060" s="111"/>
      <c r="D4060" s="111"/>
      <c r="E4060" s="111"/>
    </row>
    <row r="4061" spans="1:5" x14ac:dyDescent="0.2">
      <c r="A4061" s="113">
        <v>38759</v>
      </c>
      <c r="B4061" s="111">
        <f t="shared" si="63"/>
        <v>21</v>
      </c>
      <c r="C4061" s="111"/>
      <c r="D4061" s="111"/>
      <c r="E4061" s="111"/>
    </row>
    <row r="4062" spans="1:5" x14ac:dyDescent="0.2">
      <c r="A4062" s="113">
        <v>38760</v>
      </c>
      <c r="B4062" s="111">
        <f t="shared" si="63"/>
        <v>22</v>
      </c>
      <c r="C4062" s="111"/>
      <c r="D4062" s="111"/>
      <c r="E4062" s="111"/>
    </row>
    <row r="4063" spans="1:5" x14ac:dyDescent="0.2">
      <c r="A4063" s="113">
        <v>38761</v>
      </c>
      <c r="B4063" s="111">
        <f t="shared" si="63"/>
        <v>22</v>
      </c>
      <c r="C4063" s="111"/>
      <c r="D4063" s="111"/>
      <c r="E4063" s="111"/>
    </row>
    <row r="4064" spans="1:5" x14ac:dyDescent="0.2">
      <c r="A4064" s="113">
        <v>38762</v>
      </c>
      <c r="B4064" s="111">
        <f t="shared" si="63"/>
        <v>22</v>
      </c>
      <c r="C4064" s="111"/>
      <c r="D4064" s="111"/>
      <c r="E4064" s="111"/>
    </row>
    <row r="4065" spans="1:5" x14ac:dyDescent="0.2">
      <c r="A4065" s="113">
        <v>38763</v>
      </c>
      <c r="B4065" s="111">
        <f t="shared" si="63"/>
        <v>22</v>
      </c>
      <c r="C4065" s="111"/>
      <c r="D4065" s="111"/>
      <c r="E4065" s="111"/>
    </row>
    <row r="4066" spans="1:5" x14ac:dyDescent="0.2">
      <c r="A4066" s="113">
        <v>38764</v>
      </c>
      <c r="B4066" s="111">
        <f t="shared" si="63"/>
        <v>22</v>
      </c>
      <c r="C4066" s="111"/>
      <c r="D4066" s="111"/>
      <c r="E4066" s="111"/>
    </row>
    <row r="4067" spans="1:5" x14ac:dyDescent="0.2">
      <c r="A4067" s="113">
        <v>38765</v>
      </c>
      <c r="B4067" s="111">
        <f t="shared" si="63"/>
        <v>22</v>
      </c>
      <c r="C4067" s="111"/>
      <c r="D4067" s="111"/>
      <c r="E4067" s="111"/>
    </row>
    <row r="4068" spans="1:5" x14ac:dyDescent="0.2">
      <c r="A4068" s="113">
        <v>38766</v>
      </c>
      <c r="B4068" s="111">
        <f t="shared" si="63"/>
        <v>22</v>
      </c>
      <c r="C4068" s="111"/>
      <c r="D4068" s="111"/>
      <c r="E4068" s="111"/>
    </row>
    <row r="4069" spans="1:5" x14ac:dyDescent="0.2">
      <c r="A4069" s="113">
        <v>38767</v>
      </c>
      <c r="B4069" s="111">
        <f t="shared" si="63"/>
        <v>23</v>
      </c>
      <c r="C4069" s="111"/>
      <c r="D4069" s="111"/>
      <c r="E4069" s="111"/>
    </row>
    <row r="4070" spans="1:5" x14ac:dyDescent="0.2">
      <c r="A4070" s="113">
        <v>38768</v>
      </c>
      <c r="B4070" s="111">
        <f t="shared" si="63"/>
        <v>23</v>
      </c>
      <c r="C4070" s="111"/>
      <c r="D4070" s="111"/>
      <c r="E4070" s="111"/>
    </row>
    <row r="4071" spans="1:5" x14ac:dyDescent="0.2">
      <c r="A4071" s="113">
        <v>38769</v>
      </c>
      <c r="B4071" s="111">
        <f t="shared" si="63"/>
        <v>23</v>
      </c>
      <c r="C4071" s="111"/>
      <c r="D4071" s="111"/>
      <c r="E4071" s="111"/>
    </row>
    <row r="4072" spans="1:5" x14ac:dyDescent="0.2">
      <c r="A4072" s="113">
        <v>38770</v>
      </c>
      <c r="B4072" s="111">
        <f t="shared" si="63"/>
        <v>23</v>
      </c>
      <c r="C4072" s="111"/>
      <c r="D4072" s="111"/>
      <c r="E4072" s="111"/>
    </row>
    <row r="4073" spans="1:5" x14ac:dyDescent="0.2">
      <c r="A4073" s="113">
        <v>38771</v>
      </c>
      <c r="B4073" s="111">
        <f t="shared" si="63"/>
        <v>23</v>
      </c>
      <c r="C4073" s="111"/>
      <c r="D4073" s="111"/>
      <c r="E4073" s="111"/>
    </row>
    <row r="4074" spans="1:5" x14ac:dyDescent="0.2">
      <c r="A4074" s="113">
        <v>38772</v>
      </c>
      <c r="B4074" s="111">
        <f t="shared" si="63"/>
        <v>23</v>
      </c>
      <c r="C4074" s="111"/>
      <c r="D4074" s="111"/>
      <c r="E4074" s="111"/>
    </row>
    <row r="4075" spans="1:5" x14ac:dyDescent="0.2">
      <c r="A4075" s="113">
        <v>38773</v>
      </c>
      <c r="B4075" s="111">
        <f t="shared" si="63"/>
        <v>23</v>
      </c>
      <c r="C4075" s="111"/>
      <c r="D4075" s="111"/>
      <c r="E4075" s="111"/>
    </row>
    <row r="4076" spans="1:5" x14ac:dyDescent="0.2">
      <c r="A4076" s="113">
        <v>38774</v>
      </c>
      <c r="B4076" s="111">
        <f t="shared" si="63"/>
        <v>24</v>
      </c>
      <c r="C4076" s="111"/>
      <c r="D4076" s="111"/>
      <c r="E4076" s="111"/>
    </row>
    <row r="4077" spans="1:5" x14ac:dyDescent="0.2">
      <c r="A4077" s="113">
        <v>38775</v>
      </c>
      <c r="B4077" s="111">
        <f t="shared" si="63"/>
        <v>24</v>
      </c>
      <c r="C4077" s="111"/>
      <c r="D4077" s="111"/>
      <c r="E4077" s="111"/>
    </row>
    <row r="4078" spans="1:5" x14ac:dyDescent="0.2">
      <c r="A4078" s="113">
        <v>38776</v>
      </c>
      <c r="B4078" s="111">
        <f t="shared" si="63"/>
        <v>24</v>
      </c>
      <c r="C4078" s="111"/>
      <c r="D4078" s="111"/>
      <c r="E4078" s="111"/>
    </row>
    <row r="4079" spans="1:5" x14ac:dyDescent="0.2">
      <c r="A4079" s="113">
        <v>38777</v>
      </c>
      <c r="B4079" s="111">
        <f t="shared" si="63"/>
        <v>24</v>
      </c>
      <c r="C4079" s="111"/>
      <c r="D4079" s="111"/>
      <c r="E4079" s="111"/>
    </row>
    <row r="4080" spans="1:5" x14ac:dyDescent="0.2">
      <c r="A4080" s="113">
        <v>38778</v>
      </c>
      <c r="B4080" s="111">
        <f t="shared" si="63"/>
        <v>24</v>
      </c>
      <c r="C4080" s="111"/>
      <c r="D4080" s="111"/>
      <c r="E4080" s="111"/>
    </row>
    <row r="4081" spans="1:5" x14ac:dyDescent="0.2">
      <c r="A4081" s="113">
        <v>38779</v>
      </c>
      <c r="B4081" s="111">
        <f t="shared" si="63"/>
        <v>24</v>
      </c>
      <c r="C4081" s="111"/>
      <c r="D4081" s="111"/>
      <c r="E4081" s="111"/>
    </row>
    <row r="4082" spans="1:5" x14ac:dyDescent="0.2">
      <c r="A4082" s="113">
        <v>38780</v>
      </c>
      <c r="B4082" s="111">
        <f t="shared" si="63"/>
        <v>24</v>
      </c>
      <c r="C4082" s="111"/>
      <c r="D4082" s="111"/>
      <c r="E4082" s="111"/>
    </row>
    <row r="4083" spans="1:5" x14ac:dyDescent="0.2">
      <c r="A4083" s="113">
        <v>38781</v>
      </c>
      <c r="B4083" s="111">
        <f t="shared" si="63"/>
        <v>31</v>
      </c>
      <c r="C4083" s="111"/>
      <c r="D4083" s="111"/>
      <c r="E4083" s="111"/>
    </row>
    <row r="4084" spans="1:5" x14ac:dyDescent="0.2">
      <c r="A4084" s="113">
        <v>38782</v>
      </c>
      <c r="B4084" s="111">
        <f t="shared" si="63"/>
        <v>31</v>
      </c>
      <c r="C4084" s="111"/>
      <c r="D4084" s="111"/>
      <c r="E4084" s="111"/>
    </row>
    <row r="4085" spans="1:5" x14ac:dyDescent="0.2">
      <c r="A4085" s="113">
        <v>38783</v>
      </c>
      <c r="B4085" s="111">
        <f t="shared" si="63"/>
        <v>31</v>
      </c>
      <c r="C4085" s="111"/>
      <c r="D4085" s="111"/>
      <c r="E4085" s="111"/>
    </row>
    <row r="4086" spans="1:5" x14ac:dyDescent="0.2">
      <c r="A4086" s="113">
        <v>38784</v>
      </c>
      <c r="B4086" s="111">
        <f t="shared" si="63"/>
        <v>31</v>
      </c>
      <c r="C4086" s="111"/>
      <c r="D4086" s="111"/>
      <c r="E4086" s="111"/>
    </row>
    <row r="4087" spans="1:5" x14ac:dyDescent="0.2">
      <c r="A4087" s="113">
        <v>38785</v>
      </c>
      <c r="B4087" s="111">
        <f t="shared" si="63"/>
        <v>31</v>
      </c>
      <c r="C4087" s="111"/>
      <c r="D4087" s="111"/>
      <c r="E4087" s="111"/>
    </row>
    <row r="4088" spans="1:5" x14ac:dyDescent="0.2">
      <c r="A4088" s="113">
        <v>38786</v>
      </c>
      <c r="B4088" s="111">
        <f t="shared" si="63"/>
        <v>31</v>
      </c>
      <c r="C4088" s="111"/>
      <c r="D4088" s="111"/>
      <c r="E4088" s="111"/>
    </row>
    <row r="4089" spans="1:5" x14ac:dyDescent="0.2">
      <c r="A4089" s="113">
        <v>38787</v>
      </c>
      <c r="B4089" s="111">
        <f t="shared" si="63"/>
        <v>31</v>
      </c>
      <c r="C4089" s="111"/>
      <c r="D4089" s="111"/>
      <c r="E4089" s="111"/>
    </row>
    <row r="4090" spans="1:5" x14ac:dyDescent="0.2">
      <c r="A4090" s="113">
        <v>38788</v>
      </c>
      <c r="B4090" s="111">
        <f t="shared" si="63"/>
        <v>32</v>
      </c>
      <c r="C4090" s="111"/>
      <c r="D4090" s="111"/>
      <c r="E4090" s="111"/>
    </row>
    <row r="4091" spans="1:5" x14ac:dyDescent="0.2">
      <c r="A4091" s="113">
        <v>38789</v>
      </c>
      <c r="B4091" s="111">
        <f t="shared" si="63"/>
        <v>32</v>
      </c>
      <c r="C4091" s="111"/>
      <c r="D4091" s="111"/>
      <c r="E4091" s="111"/>
    </row>
    <row r="4092" spans="1:5" x14ac:dyDescent="0.2">
      <c r="A4092" s="113">
        <v>38790</v>
      </c>
      <c r="B4092" s="111">
        <f t="shared" si="63"/>
        <v>32</v>
      </c>
      <c r="C4092" s="111"/>
      <c r="D4092" s="111"/>
      <c r="E4092" s="111"/>
    </row>
    <row r="4093" spans="1:5" x14ac:dyDescent="0.2">
      <c r="A4093" s="113">
        <v>38791</v>
      </c>
      <c r="B4093" s="111">
        <f t="shared" si="63"/>
        <v>32</v>
      </c>
      <c r="C4093" s="111"/>
      <c r="D4093" s="111"/>
      <c r="E4093" s="111"/>
    </row>
    <row r="4094" spans="1:5" x14ac:dyDescent="0.2">
      <c r="A4094" s="113">
        <v>38792</v>
      </c>
      <c r="B4094" s="111">
        <f t="shared" si="63"/>
        <v>32</v>
      </c>
      <c r="C4094" s="111"/>
      <c r="D4094" s="111"/>
      <c r="E4094" s="111"/>
    </row>
    <row r="4095" spans="1:5" x14ac:dyDescent="0.2">
      <c r="A4095" s="113">
        <v>38793</v>
      </c>
      <c r="B4095" s="111">
        <f t="shared" si="63"/>
        <v>32</v>
      </c>
      <c r="C4095" s="111"/>
      <c r="D4095" s="111"/>
      <c r="E4095" s="111"/>
    </row>
    <row r="4096" spans="1:5" x14ac:dyDescent="0.2">
      <c r="A4096" s="113">
        <v>38794</v>
      </c>
      <c r="B4096" s="111">
        <f t="shared" si="63"/>
        <v>32</v>
      </c>
      <c r="C4096" s="111"/>
      <c r="D4096" s="111"/>
      <c r="E4096" s="111"/>
    </row>
    <row r="4097" spans="1:5" x14ac:dyDescent="0.2">
      <c r="A4097" s="113">
        <v>38795</v>
      </c>
      <c r="B4097" s="111">
        <f t="shared" si="63"/>
        <v>33</v>
      </c>
      <c r="C4097" s="111"/>
      <c r="D4097" s="111"/>
      <c r="E4097" s="111"/>
    </row>
    <row r="4098" spans="1:5" x14ac:dyDescent="0.2">
      <c r="A4098" s="113">
        <v>38796</v>
      </c>
      <c r="B4098" s="111">
        <f t="shared" ref="B4098:B4161" si="64">VLOOKUP(WEEKNUM(A4098),$D$3:$E$58,2)</f>
        <v>33</v>
      </c>
      <c r="C4098" s="111"/>
      <c r="D4098" s="111"/>
      <c r="E4098" s="111"/>
    </row>
    <row r="4099" spans="1:5" x14ac:dyDescent="0.2">
      <c r="A4099" s="113">
        <v>38797</v>
      </c>
      <c r="B4099" s="111">
        <f t="shared" si="64"/>
        <v>33</v>
      </c>
      <c r="C4099" s="111"/>
      <c r="D4099" s="111"/>
      <c r="E4099" s="111"/>
    </row>
    <row r="4100" spans="1:5" x14ac:dyDescent="0.2">
      <c r="A4100" s="113">
        <v>38798</v>
      </c>
      <c r="B4100" s="111">
        <f t="shared" si="64"/>
        <v>33</v>
      </c>
      <c r="C4100" s="111"/>
      <c r="D4100" s="111"/>
      <c r="E4100" s="111"/>
    </row>
    <row r="4101" spans="1:5" x14ac:dyDescent="0.2">
      <c r="A4101" s="113">
        <v>38799</v>
      </c>
      <c r="B4101" s="111">
        <f t="shared" si="64"/>
        <v>33</v>
      </c>
      <c r="C4101" s="111"/>
      <c r="D4101" s="111"/>
      <c r="E4101" s="111"/>
    </row>
    <row r="4102" spans="1:5" x14ac:dyDescent="0.2">
      <c r="A4102" s="113">
        <v>38800</v>
      </c>
      <c r="B4102" s="111">
        <f t="shared" si="64"/>
        <v>33</v>
      </c>
      <c r="C4102" s="111"/>
      <c r="D4102" s="111"/>
      <c r="E4102" s="111"/>
    </row>
    <row r="4103" spans="1:5" x14ac:dyDescent="0.2">
      <c r="A4103" s="113">
        <v>38801</v>
      </c>
      <c r="B4103" s="111">
        <f t="shared" si="64"/>
        <v>33</v>
      </c>
      <c r="C4103" s="111"/>
      <c r="D4103" s="111"/>
      <c r="E4103" s="111"/>
    </row>
    <row r="4104" spans="1:5" x14ac:dyDescent="0.2">
      <c r="A4104" s="113">
        <v>38802</v>
      </c>
      <c r="B4104" s="111">
        <f t="shared" si="64"/>
        <v>34</v>
      </c>
      <c r="C4104" s="111"/>
      <c r="D4104" s="111"/>
      <c r="E4104" s="111"/>
    </row>
    <row r="4105" spans="1:5" x14ac:dyDescent="0.2">
      <c r="A4105" s="113">
        <v>38803</v>
      </c>
      <c r="B4105" s="111">
        <f t="shared" si="64"/>
        <v>34</v>
      </c>
      <c r="C4105" s="111"/>
      <c r="D4105" s="111"/>
      <c r="E4105" s="111"/>
    </row>
    <row r="4106" spans="1:5" x14ac:dyDescent="0.2">
      <c r="A4106" s="113">
        <v>38804</v>
      </c>
      <c r="B4106" s="111">
        <f t="shared" si="64"/>
        <v>34</v>
      </c>
      <c r="C4106" s="111"/>
      <c r="D4106" s="111"/>
      <c r="E4106" s="111"/>
    </row>
    <row r="4107" spans="1:5" x14ac:dyDescent="0.2">
      <c r="A4107" s="113">
        <v>38805</v>
      </c>
      <c r="B4107" s="111">
        <f t="shared" si="64"/>
        <v>34</v>
      </c>
      <c r="C4107" s="111"/>
      <c r="D4107" s="111"/>
      <c r="E4107" s="111"/>
    </row>
    <row r="4108" spans="1:5" x14ac:dyDescent="0.2">
      <c r="A4108" s="113">
        <v>38806</v>
      </c>
      <c r="B4108" s="111">
        <f t="shared" si="64"/>
        <v>34</v>
      </c>
      <c r="C4108" s="111"/>
      <c r="D4108" s="111"/>
      <c r="E4108" s="111"/>
    </row>
    <row r="4109" spans="1:5" x14ac:dyDescent="0.2">
      <c r="A4109" s="113">
        <v>38807</v>
      </c>
      <c r="B4109" s="111">
        <f t="shared" si="64"/>
        <v>34</v>
      </c>
      <c r="C4109" s="111"/>
      <c r="D4109" s="111"/>
      <c r="E4109" s="111"/>
    </row>
    <row r="4110" spans="1:5" x14ac:dyDescent="0.2">
      <c r="A4110" s="113">
        <v>38808</v>
      </c>
      <c r="B4110" s="111">
        <f t="shared" si="64"/>
        <v>34</v>
      </c>
      <c r="C4110" s="111"/>
      <c r="D4110" s="111"/>
      <c r="E4110" s="111"/>
    </row>
    <row r="4111" spans="1:5" x14ac:dyDescent="0.2">
      <c r="A4111" s="113">
        <v>38809</v>
      </c>
      <c r="B4111" s="111">
        <f t="shared" si="64"/>
        <v>41</v>
      </c>
      <c r="C4111" s="111"/>
      <c r="D4111" s="111"/>
      <c r="E4111" s="111"/>
    </row>
    <row r="4112" spans="1:5" x14ac:dyDescent="0.2">
      <c r="A4112" s="113">
        <v>38810</v>
      </c>
      <c r="B4112" s="111">
        <f t="shared" si="64"/>
        <v>41</v>
      </c>
      <c r="C4112" s="111"/>
      <c r="D4112" s="111"/>
      <c r="E4112" s="111"/>
    </row>
    <row r="4113" spans="1:5" x14ac:dyDescent="0.2">
      <c r="A4113" s="113">
        <v>38811</v>
      </c>
      <c r="B4113" s="111">
        <f t="shared" si="64"/>
        <v>41</v>
      </c>
      <c r="C4113" s="111"/>
      <c r="D4113" s="111"/>
      <c r="E4113" s="111"/>
    </row>
    <row r="4114" spans="1:5" x14ac:dyDescent="0.2">
      <c r="A4114" s="113">
        <v>38812</v>
      </c>
      <c r="B4114" s="111">
        <f t="shared" si="64"/>
        <v>41</v>
      </c>
      <c r="C4114" s="111"/>
      <c r="D4114" s="111"/>
      <c r="E4114" s="111"/>
    </row>
    <row r="4115" spans="1:5" x14ac:dyDescent="0.2">
      <c r="A4115" s="113">
        <v>38813</v>
      </c>
      <c r="B4115" s="111">
        <f t="shared" si="64"/>
        <v>41</v>
      </c>
      <c r="C4115" s="111"/>
      <c r="D4115" s="111"/>
      <c r="E4115" s="111"/>
    </row>
    <row r="4116" spans="1:5" x14ac:dyDescent="0.2">
      <c r="A4116" s="113">
        <v>38814</v>
      </c>
      <c r="B4116" s="111">
        <f t="shared" si="64"/>
        <v>41</v>
      </c>
      <c r="C4116" s="111"/>
      <c r="D4116" s="111"/>
      <c r="E4116" s="111"/>
    </row>
    <row r="4117" spans="1:5" x14ac:dyDescent="0.2">
      <c r="A4117" s="113">
        <v>38815</v>
      </c>
      <c r="B4117" s="111">
        <f t="shared" si="64"/>
        <v>41</v>
      </c>
      <c r="C4117" s="111"/>
      <c r="D4117" s="111"/>
      <c r="E4117" s="111"/>
    </row>
    <row r="4118" spans="1:5" x14ac:dyDescent="0.2">
      <c r="A4118" s="113">
        <v>38816</v>
      </c>
      <c r="B4118" s="111">
        <f t="shared" si="64"/>
        <v>42</v>
      </c>
      <c r="C4118" s="111"/>
      <c r="D4118" s="111"/>
      <c r="E4118" s="111"/>
    </row>
    <row r="4119" spans="1:5" x14ac:dyDescent="0.2">
      <c r="A4119" s="113">
        <v>38817</v>
      </c>
      <c r="B4119" s="111">
        <f t="shared" si="64"/>
        <v>42</v>
      </c>
      <c r="C4119" s="111"/>
      <c r="D4119" s="111"/>
      <c r="E4119" s="111"/>
    </row>
    <row r="4120" spans="1:5" x14ac:dyDescent="0.2">
      <c r="A4120" s="113">
        <v>38818</v>
      </c>
      <c r="B4120" s="111">
        <f t="shared" si="64"/>
        <v>42</v>
      </c>
      <c r="C4120" s="111"/>
      <c r="D4120" s="111"/>
      <c r="E4120" s="111"/>
    </row>
    <row r="4121" spans="1:5" x14ac:dyDescent="0.2">
      <c r="A4121" s="113">
        <v>38819</v>
      </c>
      <c r="B4121" s="111">
        <f t="shared" si="64"/>
        <v>42</v>
      </c>
      <c r="C4121" s="111"/>
      <c r="D4121" s="111"/>
      <c r="E4121" s="111"/>
    </row>
    <row r="4122" spans="1:5" x14ac:dyDescent="0.2">
      <c r="A4122" s="113">
        <v>38820</v>
      </c>
      <c r="B4122" s="111">
        <f t="shared" si="64"/>
        <v>42</v>
      </c>
      <c r="C4122" s="111"/>
      <c r="D4122" s="111"/>
      <c r="E4122" s="111"/>
    </row>
    <row r="4123" spans="1:5" x14ac:dyDescent="0.2">
      <c r="A4123" s="113">
        <v>38821</v>
      </c>
      <c r="B4123" s="111">
        <f t="shared" si="64"/>
        <v>42</v>
      </c>
      <c r="C4123" s="111"/>
      <c r="D4123" s="111"/>
      <c r="E4123" s="111"/>
    </row>
    <row r="4124" spans="1:5" x14ac:dyDescent="0.2">
      <c r="A4124" s="113">
        <v>38822</v>
      </c>
      <c r="B4124" s="111">
        <f t="shared" si="64"/>
        <v>42</v>
      </c>
      <c r="C4124" s="111"/>
      <c r="D4124" s="111"/>
      <c r="E4124" s="111"/>
    </row>
    <row r="4125" spans="1:5" x14ac:dyDescent="0.2">
      <c r="A4125" s="113">
        <v>38823</v>
      </c>
      <c r="B4125" s="111">
        <f t="shared" si="64"/>
        <v>43</v>
      </c>
      <c r="C4125" s="111"/>
      <c r="D4125" s="111"/>
      <c r="E4125" s="111"/>
    </row>
    <row r="4126" spans="1:5" x14ac:dyDescent="0.2">
      <c r="A4126" s="113">
        <v>38824</v>
      </c>
      <c r="B4126" s="111">
        <f t="shared" si="64"/>
        <v>43</v>
      </c>
      <c r="C4126" s="111"/>
      <c r="D4126" s="111"/>
      <c r="E4126" s="111"/>
    </row>
    <row r="4127" spans="1:5" x14ac:dyDescent="0.2">
      <c r="A4127" s="113">
        <v>38825</v>
      </c>
      <c r="B4127" s="111">
        <f t="shared" si="64"/>
        <v>43</v>
      </c>
      <c r="C4127" s="111"/>
      <c r="D4127" s="111"/>
      <c r="E4127" s="111"/>
    </row>
    <row r="4128" spans="1:5" x14ac:dyDescent="0.2">
      <c r="A4128" s="113">
        <v>38826</v>
      </c>
      <c r="B4128" s="111">
        <f t="shared" si="64"/>
        <v>43</v>
      </c>
      <c r="C4128" s="111"/>
      <c r="D4128" s="111"/>
      <c r="E4128" s="111"/>
    </row>
    <row r="4129" spans="1:5" x14ac:dyDescent="0.2">
      <c r="A4129" s="113">
        <v>38827</v>
      </c>
      <c r="B4129" s="111">
        <f t="shared" si="64"/>
        <v>43</v>
      </c>
      <c r="C4129" s="111"/>
      <c r="D4129" s="111"/>
      <c r="E4129" s="111"/>
    </row>
    <row r="4130" spans="1:5" x14ac:dyDescent="0.2">
      <c r="A4130" s="113">
        <v>38828</v>
      </c>
      <c r="B4130" s="111">
        <f t="shared" si="64"/>
        <v>43</v>
      </c>
      <c r="C4130" s="111"/>
      <c r="D4130" s="111"/>
      <c r="E4130" s="111"/>
    </row>
    <row r="4131" spans="1:5" x14ac:dyDescent="0.2">
      <c r="A4131" s="113">
        <v>38829</v>
      </c>
      <c r="B4131" s="111">
        <f t="shared" si="64"/>
        <v>43</v>
      </c>
      <c r="C4131" s="111"/>
      <c r="D4131" s="111"/>
      <c r="E4131" s="111"/>
    </row>
    <row r="4132" spans="1:5" x14ac:dyDescent="0.2">
      <c r="A4132" s="113">
        <v>38830</v>
      </c>
      <c r="B4132" s="111">
        <f t="shared" si="64"/>
        <v>44</v>
      </c>
      <c r="C4132" s="111"/>
      <c r="D4132" s="111"/>
      <c r="E4132" s="111"/>
    </row>
    <row r="4133" spans="1:5" x14ac:dyDescent="0.2">
      <c r="A4133" s="113">
        <v>38831</v>
      </c>
      <c r="B4133" s="111">
        <f t="shared" si="64"/>
        <v>44</v>
      </c>
      <c r="C4133" s="111"/>
      <c r="D4133" s="111"/>
      <c r="E4133" s="111"/>
    </row>
    <row r="4134" spans="1:5" x14ac:dyDescent="0.2">
      <c r="A4134" s="113">
        <v>38832</v>
      </c>
      <c r="B4134" s="111">
        <f t="shared" si="64"/>
        <v>44</v>
      </c>
      <c r="C4134" s="111"/>
      <c r="D4134" s="111"/>
      <c r="E4134" s="111"/>
    </row>
    <row r="4135" spans="1:5" x14ac:dyDescent="0.2">
      <c r="A4135" s="113">
        <v>38833</v>
      </c>
      <c r="B4135" s="111">
        <f t="shared" si="64"/>
        <v>44</v>
      </c>
      <c r="C4135" s="111"/>
      <c r="D4135" s="111"/>
      <c r="E4135" s="111"/>
    </row>
    <row r="4136" spans="1:5" x14ac:dyDescent="0.2">
      <c r="A4136" s="113">
        <v>38834</v>
      </c>
      <c r="B4136" s="111">
        <f t="shared" si="64"/>
        <v>44</v>
      </c>
      <c r="C4136" s="111"/>
      <c r="D4136" s="111"/>
      <c r="E4136" s="111"/>
    </row>
    <row r="4137" spans="1:5" x14ac:dyDescent="0.2">
      <c r="A4137" s="113">
        <v>38835</v>
      </c>
      <c r="B4137" s="111">
        <f t="shared" si="64"/>
        <v>44</v>
      </c>
      <c r="C4137" s="111"/>
      <c r="D4137" s="111"/>
      <c r="E4137" s="111"/>
    </row>
    <row r="4138" spans="1:5" x14ac:dyDescent="0.2">
      <c r="A4138" s="113">
        <v>38836</v>
      </c>
      <c r="B4138" s="111">
        <f t="shared" si="64"/>
        <v>44</v>
      </c>
      <c r="C4138" s="111"/>
      <c r="D4138" s="111"/>
      <c r="E4138" s="111"/>
    </row>
    <row r="4139" spans="1:5" x14ac:dyDescent="0.2">
      <c r="A4139" s="113">
        <v>38837</v>
      </c>
      <c r="B4139" s="111">
        <f t="shared" si="64"/>
        <v>45</v>
      </c>
      <c r="C4139" s="111"/>
      <c r="D4139" s="111"/>
      <c r="E4139" s="111"/>
    </row>
    <row r="4140" spans="1:5" x14ac:dyDescent="0.2">
      <c r="A4140" s="113">
        <v>38838</v>
      </c>
      <c r="B4140" s="111">
        <f t="shared" si="64"/>
        <v>45</v>
      </c>
      <c r="C4140" s="111"/>
      <c r="D4140" s="111"/>
      <c r="E4140" s="111"/>
    </row>
    <row r="4141" spans="1:5" x14ac:dyDescent="0.2">
      <c r="A4141" s="113">
        <v>38839</v>
      </c>
      <c r="B4141" s="111">
        <f t="shared" si="64"/>
        <v>45</v>
      </c>
      <c r="C4141" s="111"/>
      <c r="D4141" s="111"/>
      <c r="E4141" s="111"/>
    </row>
    <row r="4142" spans="1:5" x14ac:dyDescent="0.2">
      <c r="A4142" s="113">
        <v>38840</v>
      </c>
      <c r="B4142" s="111">
        <f t="shared" si="64"/>
        <v>45</v>
      </c>
      <c r="C4142" s="111"/>
      <c r="D4142" s="111"/>
      <c r="E4142" s="111"/>
    </row>
    <row r="4143" spans="1:5" x14ac:dyDescent="0.2">
      <c r="A4143" s="113">
        <v>38841</v>
      </c>
      <c r="B4143" s="111">
        <f t="shared" si="64"/>
        <v>45</v>
      </c>
      <c r="C4143" s="111"/>
      <c r="D4143" s="111"/>
      <c r="E4143" s="111"/>
    </row>
    <row r="4144" spans="1:5" x14ac:dyDescent="0.2">
      <c r="A4144" s="113">
        <v>38842</v>
      </c>
      <c r="B4144" s="111">
        <f t="shared" si="64"/>
        <v>45</v>
      </c>
      <c r="C4144" s="111"/>
      <c r="D4144" s="111"/>
      <c r="E4144" s="111"/>
    </row>
    <row r="4145" spans="1:5" x14ac:dyDescent="0.2">
      <c r="A4145" s="113">
        <v>38843</v>
      </c>
      <c r="B4145" s="111">
        <f t="shared" si="64"/>
        <v>45</v>
      </c>
      <c r="C4145" s="111"/>
      <c r="D4145" s="111"/>
      <c r="E4145" s="111"/>
    </row>
    <row r="4146" spans="1:5" x14ac:dyDescent="0.2">
      <c r="A4146" s="113">
        <v>38844</v>
      </c>
      <c r="B4146" s="111">
        <f t="shared" si="64"/>
        <v>51</v>
      </c>
      <c r="C4146" s="111"/>
      <c r="D4146" s="111"/>
      <c r="E4146" s="111"/>
    </row>
    <row r="4147" spans="1:5" x14ac:dyDescent="0.2">
      <c r="A4147" s="113">
        <v>38845</v>
      </c>
      <c r="B4147" s="111">
        <f t="shared" si="64"/>
        <v>51</v>
      </c>
      <c r="C4147" s="111"/>
      <c r="D4147" s="111"/>
      <c r="E4147" s="111"/>
    </row>
    <row r="4148" spans="1:5" x14ac:dyDescent="0.2">
      <c r="A4148" s="113">
        <v>38846</v>
      </c>
      <c r="B4148" s="111">
        <f t="shared" si="64"/>
        <v>51</v>
      </c>
      <c r="C4148" s="111"/>
      <c r="D4148" s="111"/>
      <c r="E4148" s="111"/>
    </row>
    <row r="4149" spans="1:5" x14ac:dyDescent="0.2">
      <c r="A4149" s="113">
        <v>38847</v>
      </c>
      <c r="B4149" s="111">
        <f t="shared" si="64"/>
        <v>51</v>
      </c>
      <c r="C4149" s="111"/>
      <c r="D4149" s="111"/>
      <c r="E4149" s="111"/>
    </row>
    <row r="4150" spans="1:5" x14ac:dyDescent="0.2">
      <c r="A4150" s="113">
        <v>38848</v>
      </c>
      <c r="B4150" s="111">
        <f t="shared" si="64"/>
        <v>51</v>
      </c>
      <c r="C4150" s="111"/>
      <c r="D4150" s="111"/>
      <c r="E4150" s="111"/>
    </row>
    <row r="4151" spans="1:5" x14ac:dyDescent="0.2">
      <c r="A4151" s="113">
        <v>38849</v>
      </c>
      <c r="B4151" s="111">
        <f t="shared" si="64"/>
        <v>51</v>
      </c>
      <c r="C4151" s="111"/>
      <c r="D4151" s="111"/>
      <c r="E4151" s="111"/>
    </row>
    <row r="4152" spans="1:5" x14ac:dyDescent="0.2">
      <c r="A4152" s="113">
        <v>38850</v>
      </c>
      <c r="B4152" s="111">
        <f t="shared" si="64"/>
        <v>51</v>
      </c>
      <c r="C4152" s="111"/>
      <c r="D4152" s="111"/>
      <c r="E4152" s="111"/>
    </row>
    <row r="4153" spans="1:5" x14ac:dyDescent="0.2">
      <c r="A4153" s="113">
        <v>38851</v>
      </c>
      <c r="B4153" s="111">
        <f t="shared" si="64"/>
        <v>52</v>
      </c>
      <c r="C4153" s="111"/>
      <c r="D4153" s="111"/>
      <c r="E4153" s="111"/>
    </row>
    <row r="4154" spans="1:5" x14ac:dyDescent="0.2">
      <c r="A4154" s="113">
        <v>38852</v>
      </c>
      <c r="B4154" s="111">
        <f t="shared" si="64"/>
        <v>52</v>
      </c>
      <c r="C4154" s="111"/>
      <c r="D4154" s="111"/>
      <c r="E4154" s="111"/>
    </row>
    <row r="4155" spans="1:5" x14ac:dyDescent="0.2">
      <c r="A4155" s="113">
        <v>38853</v>
      </c>
      <c r="B4155" s="111">
        <f t="shared" si="64"/>
        <v>52</v>
      </c>
      <c r="C4155" s="111"/>
      <c r="D4155" s="111"/>
      <c r="E4155" s="111"/>
    </row>
    <row r="4156" spans="1:5" x14ac:dyDescent="0.2">
      <c r="A4156" s="113">
        <v>38854</v>
      </c>
      <c r="B4156" s="111">
        <f t="shared" si="64"/>
        <v>52</v>
      </c>
      <c r="C4156" s="111"/>
      <c r="D4156" s="111"/>
      <c r="E4156" s="111"/>
    </row>
    <row r="4157" spans="1:5" x14ac:dyDescent="0.2">
      <c r="A4157" s="113">
        <v>38855</v>
      </c>
      <c r="B4157" s="111">
        <f t="shared" si="64"/>
        <v>52</v>
      </c>
      <c r="C4157" s="111"/>
      <c r="D4157" s="111"/>
      <c r="E4157" s="111"/>
    </row>
    <row r="4158" spans="1:5" x14ac:dyDescent="0.2">
      <c r="A4158" s="113">
        <v>38856</v>
      </c>
      <c r="B4158" s="111">
        <f t="shared" si="64"/>
        <v>52</v>
      </c>
      <c r="C4158" s="111"/>
      <c r="D4158" s="111"/>
      <c r="E4158" s="111"/>
    </row>
    <row r="4159" spans="1:5" x14ac:dyDescent="0.2">
      <c r="A4159" s="113">
        <v>38857</v>
      </c>
      <c r="B4159" s="111">
        <f t="shared" si="64"/>
        <v>52</v>
      </c>
      <c r="C4159" s="111"/>
      <c r="D4159" s="111"/>
      <c r="E4159" s="111"/>
    </row>
    <row r="4160" spans="1:5" x14ac:dyDescent="0.2">
      <c r="A4160" s="113">
        <v>38858</v>
      </c>
      <c r="B4160" s="111">
        <f t="shared" si="64"/>
        <v>53</v>
      </c>
      <c r="C4160" s="111"/>
      <c r="D4160" s="111"/>
      <c r="E4160" s="111"/>
    </row>
    <row r="4161" spans="1:5" x14ac:dyDescent="0.2">
      <c r="A4161" s="113">
        <v>38859</v>
      </c>
      <c r="B4161" s="111">
        <f t="shared" si="64"/>
        <v>53</v>
      </c>
      <c r="C4161" s="111"/>
      <c r="D4161" s="111"/>
      <c r="E4161" s="111"/>
    </row>
    <row r="4162" spans="1:5" x14ac:dyDescent="0.2">
      <c r="A4162" s="113">
        <v>38860</v>
      </c>
      <c r="B4162" s="111">
        <f t="shared" ref="B4162:B4225" si="65">VLOOKUP(WEEKNUM(A4162),$D$3:$E$58,2)</f>
        <v>53</v>
      </c>
      <c r="C4162" s="111"/>
      <c r="D4162" s="111"/>
      <c r="E4162" s="111"/>
    </row>
    <row r="4163" spans="1:5" x14ac:dyDescent="0.2">
      <c r="A4163" s="113">
        <v>38861</v>
      </c>
      <c r="B4163" s="111">
        <f t="shared" si="65"/>
        <v>53</v>
      </c>
      <c r="C4163" s="111"/>
      <c r="D4163" s="111"/>
      <c r="E4163" s="111"/>
    </row>
    <row r="4164" spans="1:5" x14ac:dyDescent="0.2">
      <c r="A4164" s="113">
        <v>38862</v>
      </c>
      <c r="B4164" s="111">
        <f t="shared" si="65"/>
        <v>53</v>
      </c>
      <c r="C4164" s="111"/>
      <c r="D4164" s="111"/>
      <c r="E4164" s="111"/>
    </row>
    <row r="4165" spans="1:5" x14ac:dyDescent="0.2">
      <c r="A4165" s="113">
        <v>38863</v>
      </c>
      <c r="B4165" s="111">
        <f t="shared" si="65"/>
        <v>53</v>
      </c>
      <c r="C4165" s="111"/>
      <c r="D4165" s="111"/>
      <c r="E4165" s="111"/>
    </row>
    <row r="4166" spans="1:5" x14ac:dyDescent="0.2">
      <c r="A4166" s="113">
        <v>38864</v>
      </c>
      <c r="B4166" s="111">
        <f t="shared" si="65"/>
        <v>53</v>
      </c>
      <c r="C4166" s="111"/>
      <c r="D4166" s="111"/>
      <c r="E4166" s="111"/>
    </row>
    <row r="4167" spans="1:5" x14ac:dyDescent="0.2">
      <c r="A4167" s="113">
        <v>38865</v>
      </c>
      <c r="B4167" s="111">
        <f t="shared" si="65"/>
        <v>54</v>
      </c>
      <c r="C4167" s="111"/>
      <c r="D4167" s="111"/>
      <c r="E4167" s="111"/>
    </row>
    <row r="4168" spans="1:5" x14ac:dyDescent="0.2">
      <c r="A4168" s="113">
        <v>38866</v>
      </c>
      <c r="B4168" s="111">
        <f t="shared" si="65"/>
        <v>54</v>
      </c>
      <c r="C4168" s="111"/>
      <c r="D4168" s="111"/>
      <c r="E4168" s="111"/>
    </row>
    <row r="4169" spans="1:5" x14ac:dyDescent="0.2">
      <c r="A4169" s="113">
        <v>38867</v>
      </c>
      <c r="B4169" s="111">
        <f t="shared" si="65"/>
        <v>54</v>
      </c>
      <c r="C4169" s="111"/>
      <c r="D4169" s="111"/>
      <c r="E4169" s="111"/>
    </row>
    <row r="4170" spans="1:5" x14ac:dyDescent="0.2">
      <c r="A4170" s="113">
        <v>38868</v>
      </c>
      <c r="B4170" s="111">
        <f t="shared" si="65"/>
        <v>54</v>
      </c>
      <c r="C4170" s="111"/>
      <c r="D4170" s="111"/>
      <c r="E4170" s="111"/>
    </row>
    <row r="4171" spans="1:5" x14ac:dyDescent="0.2">
      <c r="A4171" s="113">
        <v>38869</v>
      </c>
      <c r="B4171" s="111">
        <f t="shared" si="65"/>
        <v>54</v>
      </c>
      <c r="C4171" s="111"/>
      <c r="D4171" s="111"/>
      <c r="E4171" s="111"/>
    </row>
    <row r="4172" spans="1:5" x14ac:dyDescent="0.2">
      <c r="A4172" s="113">
        <v>38870</v>
      </c>
      <c r="B4172" s="111">
        <f t="shared" si="65"/>
        <v>54</v>
      </c>
      <c r="C4172" s="111"/>
      <c r="D4172" s="111"/>
      <c r="E4172" s="111"/>
    </row>
    <row r="4173" spans="1:5" x14ac:dyDescent="0.2">
      <c r="A4173" s="113">
        <v>38871</v>
      </c>
      <c r="B4173" s="111">
        <f t="shared" si="65"/>
        <v>54</v>
      </c>
      <c r="C4173" s="111"/>
      <c r="D4173" s="111"/>
      <c r="E4173" s="111"/>
    </row>
    <row r="4174" spans="1:5" x14ac:dyDescent="0.2">
      <c r="A4174" s="113">
        <v>38872</v>
      </c>
      <c r="B4174" s="111">
        <f t="shared" si="65"/>
        <v>61</v>
      </c>
      <c r="C4174" s="111"/>
      <c r="D4174" s="111"/>
      <c r="E4174" s="111"/>
    </row>
    <row r="4175" spans="1:5" x14ac:dyDescent="0.2">
      <c r="A4175" s="113">
        <v>38873</v>
      </c>
      <c r="B4175" s="111">
        <f t="shared" si="65"/>
        <v>61</v>
      </c>
      <c r="C4175" s="111"/>
      <c r="D4175" s="111"/>
      <c r="E4175" s="111"/>
    </row>
    <row r="4176" spans="1:5" x14ac:dyDescent="0.2">
      <c r="A4176" s="113">
        <v>38874</v>
      </c>
      <c r="B4176" s="111">
        <f t="shared" si="65"/>
        <v>61</v>
      </c>
      <c r="C4176" s="111"/>
      <c r="D4176" s="111"/>
      <c r="E4176" s="111"/>
    </row>
    <row r="4177" spans="1:5" x14ac:dyDescent="0.2">
      <c r="A4177" s="113">
        <v>38875</v>
      </c>
      <c r="B4177" s="111">
        <f t="shared" si="65"/>
        <v>61</v>
      </c>
      <c r="C4177" s="111"/>
      <c r="D4177" s="111"/>
      <c r="E4177" s="111"/>
    </row>
    <row r="4178" spans="1:5" x14ac:dyDescent="0.2">
      <c r="A4178" s="113">
        <v>38876</v>
      </c>
      <c r="B4178" s="111">
        <f t="shared" si="65"/>
        <v>61</v>
      </c>
      <c r="C4178" s="111"/>
      <c r="D4178" s="111"/>
      <c r="E4178" s="111"/>
    </row>
    <row r="4179" spans="1:5" x14ac:dyDescent="0.2">
      <c r="A4179" s="113">
        <v>38877</v>
      </c>
      <c r="B4179" s="111">
        <f t="shared" si="65"/>
        <v>61</v>
      </c>
      <c r="C4179" s="111"/>
      <c r="D4179" s="111"/>
      <c r="E4179" s="111"/>
    </row>
    <row r="4180" spans="1:5" x14ac:dyDescent="0.2">
      <c r="A4180" s="113">
        <v>38878</v>
      </c>
      <c r="B4180" s="111">
        <f t="shared" si="65"/>
        <v>61</v>
      </c>
      <c r="C4180" s="111"/>
      <c r="D4180" s="111"/>
      <c r="E4180" s="111"/>
    </row>
    <row r="4181" spans="1:5" x14ac:dyDescent="0.2">
      <c r="A4181" s="113">
        <v>38879</v>
      </c>
      <c r="B4181" s="111">
        <f t="shared" si="65"/>
        <v>62</v>
      </c>
      <c r="C4181" s="111"/>
      <c r="D4181" s="111"/>
      <c r="E4181" s="111"/>
    </row>
    <row r="4182" spans="1:5" x14ac:dyDescent="0.2">
      <c r="A4182" s="113">
        <v>38880</v>
      </c>
      <c r="B4182" s="111">
        <f t="shared" si="65"/>
        <v>62</v>
      </c>
      <c r="C4182" s="111"/>
      <c r="D4182" s="111"/>
      <c r="E4182" s="111"/>
    </row>
    <row r="4183" spans="1:5" x14ac:dyDescent="0.2">
      <c r="A4183" s="113">
        <v>38881</v>
      </c>
      <c r="B4183" s="111">
        <f t="shared" si="65"/>
        <v>62</v>
      </c>
      <c r="C4183" s="111"/>
      <c r="D4183" s="111"/>
      <c r="E4183" s="111"/>
    </row>
    <row r="4184" spans="1:5" x14ac:dyDescent="0.2">
      <c r="A4184" s="113">
        <v>38882</v>
      </c>
      <c r="B4184" s="111">
        <f t="shared" si="65"/>
        <v>62</v>
      </c>
      <c r="C4184" s="111"/>
      <c r="D4184" s="111"/>
      <c r="E4184" s="111"/>
    </row>
    <row r="4185" spans="1:5" x14ac:dyDescent="0.2">
      <c r="A4185" s="113">
        <v>38883</v>
      </c>
      <c r="B4185" s="111">
        <f t="shared" si="65"/>
        <v>62</v>
      </c>
      <c r="C4185" s="111"/>
      <c r="D4185" s="111"/>
      <c r="E4185" s="111"/>
    </row>
    <row r="4186" spans="1:5" x14ac:dyDescent="0.2">
      <c r="A4186" s="113">
        <v>38884</v>
      </c>
      <c r="B4186" s="111">
        <f t="shared" si="65"/>
        <v>62</v>
      </c>
      <c r="C4186" s="111"/>
      <c r="D4186" s="111"/>
      <c r="E4186" s="111"/>
    </row>
    <row r="4187" spans="1:5" x14ac:dyDescent="0.2">
      <c r="A4187" s="113">
        <v>38885</v>
      </c>
      <c r="B4187" s="111">
        <f t="shared" si="65"/>
        <v>62</v>
      </c>
      <c r="C4187" s="111"/>
      <c r="D4187" s="111"/>
      <c r="E4187" s="111"/>
    </row>
    <row r="4188" spans="1:5" x14ac:dyDescent="0.2">
      <c r="A4188" s="113">
        <v>38886</v>
      </c>
      <c r="B4188" s="111">
        <f t="shared" si="65"/>
        <v>63</v>
      </c>
      <c r="C4188" s="111"/>
      <c r="D4188" s="111"/>
      <c r="E4188" s="111"/>
    </row>
    <row r="4189" spans="1:5" x14ac:dyDescent="0.2">
      <c r="A4189" s="113">
        <v>38887</v>
      </c>
      <c r="B4189" s="111">
        <f t="shared" si="65"/>
        <v>63</v>
      </c>
      <c r="C4189" s="111"/>
      <c r="D4189" s="111"/>
      <c r="E4189" s="111"/>
    </row>
    <row r="4190" spans="1:5" x14ac:dyDescent="0.2">
      <c r="A4190" s="113">
        <v>38888</v>
      </c>
      <c r="B4190" s="111">
        <f t="shared" si="65"/>
        <v>63</v>
      </c>
      <c r="C4190" s="111"/>
      <c r="D4190" s="111"/>
      <c r="E4190" s="111"/>
    </row>
    <row r="4191" spans="1:5" x14ac:dyDescent="0.2">
      <c r="A4191" s="113">
        <v>38889</v>
      </c>
      <c r="B4191" s="111">
        <f t="shared" si="65"/>
        <v>63</v>
      </c>
      <c r="C4191" s="111"/>
      <c r="D4191" s="111"/>
      <c r="E4191" s="111"/>
    </row>
    <row r="4192" spans="1:5" x14ac:dyDescent="0.2">
      <c r="A4192" s="113">
        <v>38890</v>
      </c>
      <c r="B4192" s="111">
        <f t="shared" si="65"/>
        <v>63</v>
      </c>
      <c r="C4192" s="111"/>
      <c r="D4192" s="111"/>
      <c r="E4192" s="111"/>
    </row>
    <row r="4193" spans="1:5" x14ac:dyDescent="0.2">
      <c r="A4193" s="113">
        <v>38891</v>
      </c>
      <c r="B4193" s="111">
        <f t="shared" si="65"/>
        <v>63</v>
      </c>
      <c r="C4193" s="111"/>
      <c r="D4193" s="111"/>
      <c r="E4193" s="111"/>
    </row>
    <row r="4194" spans="1:5" x14ac:dyDescent="0.2">
      <c r="A4194" s="113">
        <v>38892</v>
      </c>
      <c r="B4194" s="111">
        <f t="shared" si="65"/>
        <v>63</v>
      </c>
      <c r="C4194" s="111"/>
      <c r="D4194" s="111"/>
      <c r="E4194" s="111"/>
    </row>
    <row r="4195" spans="1:5" x14ac:dyDescent="0.2">
      <c r="A4195" s="113">
        <v>38893</v>
      </c>
      <c r="B4195" s="111">
        <f t="shared" si="65"/>
        <v>64</v>
      </c>
      <c r="C4195" s="111"/>
      <c r="D4195" s="111"/>
      <c r="E4195" s="111"/>
    </row>
    <row r="4196" spans="1:5" x14ac:dyDescent="0.2">
      <c r="A4196" s="113">
        <v>38894</v>
      </c>
      <c r="B4196" s="111">
        <f t="shared" si="65"/>
        <v>64</v>
      </c>
      <c r="C4196" s="111"/>
      <c r="D4196" s="111"/>
      <c r="E4196" s="111"/>
    </row>
    <row r="4197" spans="1:5" x14ac:dyDescent="0.2">
      <c r="A4197" s="113">
        <v>38895</v>
      </c>
      <c r="B4197" s="111">
        <f t="shared" si="65"/>
        <v>64</v>
      </c>
      <c r="C4197" s="111"/>
      <c r="D4197" s="111"/>
      <c r="E4197" s="111"/>
    </row>
    <row r="4198" spans="1:5" x14ac:dyDescent="0.2">
      <c r="A4198" s="113">
        <v>38896</v>
      </c>
      <c r="B4198" s="111">
        <f t="shared" si="65"/>
        <v>64</v>
      </c>
      <c r="C4198" s="111"/>
      <c r="D4198" s="111"/>
      <c r="E4198" s="111"/>
    </row>
    <row r="4199" spans="1:5" x14ac:dyDescent="0.2">
      <c r="A4199" s="113">
        <v>38897</v>
      </c>
      <c r="B4199" s="111">
        <f t="shared" si="65"/>
        <v>64</v>
      </c>
      <c r="C4199" s="111"/>
      <c r="D4199" s="111"/>
      <c r="E4199" s="111"/>
    </row>
    <row r="4200" spans="1:5" x14ac:dyDescent="0.2">
      <c r="A4200" s="113">
        <v>38898</v>
      </c>
      <c r="B4200" s="111">
        <f t="shared" si="65"/>
        <v>64</v>
      </c>
      <c r="C4200" s="111"/>
      <c r="D4200" s="111"/>
      <c r="E4200" s="111"/>
    </row>
    <row r="4201" spans="1:5" x14ac:dyDescent="0.2">
      <c r="A4201" s="113">
        <v>38899</v>
      </c>
      <c r="B4201" s="111">
        <f t="shared" si="65"/>
        <v>64</v>
      </c>
      <c r="C4201" s="111"/>
      <c r="D4201" s="111"/>
      <c r="E4201" s="111"/>
    </row>
    <row r="4202" spans="1:5" x14ac:dyDescent="0.2">
      <c r="A4202" s="113">
        <v>38900</v>
      </c>
      <c r="B4202" s="111">
        <f t="shared" si="65"/>
        <v>71</v>
      </c>
      <c r="C4202" s="111"/>
      <c r="D4202" s="111"/>
      <c r="E4202" s="111"/>
    </row>
    <row r="4203" spans="1:5" x14ac:dyDescent="0.2">
      <c r="A4203" s="113">
        <v>38901</v>
      </c>
      <c r="B4203" s="111">
        <f t="shared" si="65"/>
        <v>71</v>
      </c>
      <c r="C4203" s="111"/>
      <c r="D4203" s="111"/>
      <c r="E4203" s="111"/>
    </row>
    <row r="4204" spans="1:5" x14ac:dyDescent="0.2">
      <c r="A4204" s="113">
        <v>38902</v>
      </c>
      <c r="B4204" s="111">
        <f t="shared" si="65"/>
        <v>71</v>
      </c>
      <c r="C4204" s="111"/>
      <c r="D4204" s="111"/>
      <c r="E4204" s="111"/>
    </row>
    <row r="4205" spans="1:5" x14ac:dyDescent="0.2">
      <c r="A4205" s="113">
        <v>38903</v>
      </c>
      <c r="B4205" s="111">
        <f t="shared" si="65"/>
        <v>71</v>
      </c>
      <c r="C4205" s="111"/>
      <c r="D4205" s="111"/>
      <c r="E4205" s="111"/>
    </row>
    <row r="4206" spans="1:5" x14ac:dyDescent="0.2">
      <c r="A4206" s="113">
        <v>38904</v>
      </c>
      <c r="B4206" s="111">
        <f t="shared" si="65"/>
        <v>71</v>
      </c>
      <c r="C4206" s="111"/>
      <c r="D4206" s="111"/>
      <c r="E4206" s="111"/>
    </row>
    <row r="4207" spans="1:5" x14ac:dyDescent="0.2">
      <c r="A4207" s="113">
        <v>38905</v>
      </c>
      <c r="B4207" s="111">
        <f t="shared" si="65"/>
        <v>71</v>
      </c>
      <c r="C4207" s="111"/>
      <c r="D4207" s="111"/>
      <c r="E4207" s="111"/>
    </row>
    <row r="4208" spans="1:5" x14ac:dyDescent="0.2">
      <c r="A4208" s="113">
        <v>38906</v>
      </c>
      <c r="B4208" s="111">
        <f t="shared" si="65"/>
        <v>71</v>
      </c>
      <c r="C4208" s="111"/>
      <c r="D4208" s="111"/>
      <c r="E4208" s="111"/>
    </row>
    <row r="4209" spans="1:5" x14ac:dyDescent="0.2">
      <c r="A4209" s="113">
        <v>38907</v>
      </c>
      <c r="B4209" s="111">
        <f t="shared" si="65"/>
        <v>72</v>
      </c>
      <c r="C4209" s="111"/>
      <c r="D4209" s="111"/>
      <c r="E4209" s="111"/>
    </row>
    <row r="4210" spans="1:5" x14ac:dyDescent="0.2">
      <c r="A4210" s="113">
        <v>38908</v>
      </c>
      <c r="B4210" s="111">
        <f t="shared" si="65"/>
        <v>72</v>
      </c>
      <c r="C4210" s="111"/>
      <c r="D4210" s="111"/>
      <c r="E4210" s="111"/>
    </row>
    <row r="4211" spans="1:5" x14ac:dyDescent="0.2">
      <c r="A4211" s="113">
        <v>38909</v>
      </c>
      <c r="B4211" s="111">
        <f t="shared" si="65"/>
        <v>72</v>
      </c>
      <c r="C4211" s="111"/>
      <c r="D4211" s="111"/>
      <c r="E4211" s="111"/>
    </row>
    <row r="4212" spans="1:5" x14ac:dyDescent="0.2">
      <c r="A4212" s="113">
        <v>38910</v>
      </c>
      <c r="B4212" s="111">
        <f t="shared" si="65"/>
        <v>72</v>
      </c>
      <c r="C4212" s="111"/>
      <c r="D4212" s="111"/>
      <c r="E4212" s="111"/>
    </row>
    <row r="4213" spans="1:5" x14ac:dyDescent="0.2">
      <c r="A4213" s="113">
        <v>38911</v>
      </c>
      <c r="B4213" s="111">
        <f t="shared" si="65"/>
        <v>72</v>
      </c>
      <c r="C4213" s="111"/>
      <c r="D4213" s="111"/>
      <c r="E4213" s="111"/>
    </row>
    <row r="4214" spans="1:5" x14ac:dyDescent="0.2">
      <c r="A4214" s="113">
        <v>38912</v>
      </c>
      <c r="B4214" s="111">
        <f t="shared" si="65"/>
        <v>72</v>
      </c>
      <c r="C4214" s="111"/>
      <c r="D4214" s="111"/>
      <c r="E4214" s="111"/>
    </row>
    <row r="4215" spans="1:5" x14ac:dyDescent="0.2">
      <c r="A4215" s="113">
        <v>38913</v>
      </c>
      <c r="B4215" s="111">
        <f t="shared" si="65"/>
        <v>72</v>
      </c>
      <c r="C4215" s="111"/>
      <c r="D4215" s="111"/>
      <c r="E4215" s="111"/>
    </row>
    <row r="4216" spans="1:5" x14ac:dyDescent="0.2">
      <c r="A4216" s="113">
        <v>38914</v>
      </c>
      <c r="B4216" s="111">
        <f t="shared" si="65"/>
        <v>73</v>
      </c>
      <c r="C4216" s="111"/>
      <c r="D4216" s="111"/>
      <c r="E4216" s="111"/>
    </row>
    <row r="4217" spans="1:5" x14ac:dyDescent="0.2">
      <c r="A4217" s="113">
        <v>38915</v>
      </c>
      <c r="B4217" s="111">
        <f t="shared" si="65"/>
        <v>73</v>
      </c>
      <c r="C4217" s="111"/>
      <c r="D4217" s="111"/>
      <c r="E4217" s="111"/>
    </row>
    <row r="4218" spans="1:5" x14ac:dyDescent="0.2">
      <c r="A4218" s="113">
        <v>38916</v>
      </c>
      <c r="B4218" s="111">
        <f t="shared" si="65"/>
        <v>73</v>
      </c>
      <c r="C4218" s="111"/>
      <c r="D4218" s="111"/>
      <c r="E4218" s="111"/>
    </row>
    <row r="4219" spans="1:5" x14ac:dyDescent="0.2">
      <c r="A4219" s="113">
        <v>38917</v>
      </c>
      <c r="B4219" s="111">
        <f t="shared" si="65"/>
        <v>73</v>
      </c>
      <c r="C4219" s="111"/>
      <c r="D4219" s="111"/>
      <c r="E4219" s="111"/>
    </row>
    <row r="4220" spans="1:5" x14ac:dyDescent="0.2">
      <c r="A4220" s="113">
        <v>38918</v>
      </c>
      <c r="B4220" s="111">
        <f t="shared" si="65"/>
        <v>73</v>
      </c>
      <c r="C4220" s="111"/>
      <c r="D4220" s="111"/>
      <c r="E4220" s="111"/>
    </row>
    <row r="4221" spans="1:5" x14ac:dyDescent="0.2">
      <c r="A4221" s="113">
        <v>38919</v>
      </c>
      <c r="B4221" s="111">
        <f t="shared" si="65"/>
        <v>73</v>
      </c>
      <c r="C4221" s="111"/>
      <c r="D4221" s="111"/>
      <c r="E4221" s="111"/>
    </row>
    <row r="4222" spans="1:5" x14ac:dyDescent="0.2">
      <c r="A4222" s="113">
        <v>38920</v>
      </c>
      <c r="B4222" s="111">
        <f t="shared" si="65"/>
        <v>73</v>
      </c>
      <c r="C4222" s="111"/>
      <c r="D4222" s="111"/>
      <c r="E4222" s="111"/>
    </row>
    <row r="4223" spans="1:5" x14ac:dyDescent="0.2">
      <c r="A4223" s="113">
        <v>38921</v>
      </c>
      <c r="B4223" s="111">
        <f t="shared" si="65"/>
        <v>74</v>
      </c>
      <c r="C4223" s="111"/>
      <c r="D4223" s="111"/>
      <c r="E4223" s="111"/>
    </row>
    <row r="4224" spans="1:5" x14ac:dyDescent="0.2">
      <c r="A4224" s="113">
        <v>38922</v>
      </c>
      <c r="B4224" s="111">
        <f t="shared" si="65"/>
        <v>74</v>
      </c>
      <c r="C4224" s="111"/>
      <c r="D4224" s="111"/>
      <c r="E4224" s="111"/>
    </row>
    <row r="4225" spans="1:5" x14ac:dyDescent="0.2">
      <c r="A4225" s="113">
        <v>38923</v>
      </c>
      <c r="B4225" s="111">
        <f t="shared" si="65"/>
        <v>74</v>
      </c>
      <c r="C4225" s="111"/>
      <c r="D4225" s="111"/>
      <c r="E4225" s="111"/>
    </row>
    <row r="4226" spans="1:5" x14ac:dyDescent="0.2">
      <c r="A4226" s="113">
        <v>38924</v>
      </c>
      <c r="B4226" s="111">
        <f t="shared" ref="B4226:B4289" si="66">VLOOKUP(WEEKNUM(A4226),$D$3:$E$58,2)</f>
        <v>74</v>
      </c>
      <c r="C4226" s="111"/>
      <c r="D4226" s="111"/>
      <c r="E4226" s="111"/>
    </row>
    <row r="4227" spans="1:5" x14ac:dyDescent="0.2">
      <c r="A4227" s="113">
        <v>38925</v>
      </c>
      <c r="B4227" s="111">
        <f t="shared" si="66"/>
        <v>74</v>
      </c>
      <c r="C4227" s="111"/>
      <c r="D4227" s="111"/>
      <c r="E4227" s="111"/>
    </row>
    <row r="4228" spans="1:5" x14ac:dyDescent="0.2">
      <c r="A4228" s="113">
        <v>38926</v>
      </c>
      <c r="B4228" s="111">
        <f t="shared" si="66"/>
        <v>74</v>
      </c>
      <c r="C4228" s="111"/>
      <c r="D4228" s="111"/>
      <c r="E4228" s="111"/>
    </row>
    <row r="4229" spans="1:5" x14ac:dyDescent="0.2">
      <c r="A4229" s="113">
        <v>38927</v>
      </c>
      <c r="B4229" s="111">
        <f t="shared" si="66"/>
        <v>74</v>
      </c>
      <c r="C4229" s="111"/>
      <c r="D4229" s="111"/>
      <c r="E4229" s="111"/>
    </row>
    <row r="4230" spans="1:5" x14ac:dyDescent="0.2">
      <c r="A4230" s="113">
        <v>38928</v>
      </c>
      <c r="B4230" s="111">
        <f t="shared" si="66"/>
        <v>75</v>
      </c>
      <c r="C4230" s="111"/>
      <c r="D4230" s="111"/>
      <c r="E4230" s="111"/>
    </row>
    <row r="4231" spans="1:5" x14ac:dyDescent="0.2">
      <c r="A4231" s="113">
        <v>38929</v>
      </c>
      <c r="B4231" s="111">
        <f t="shared" si="66"/>
        <v>75</v>
      </c>
      <c r="C4231" s="111"/>
      <c r="D4231" s="111"/>
      <c r="E4231" s="111"/>
    </row>
    <row r="4232" spans="1:5" x14ac:dyDescent="0.2">
      <c r="A4232" s="113">
        <v>38930</v>
      </c>
      <c r="B4232" s="111">
        <f t="shared" si="66"/>
        <v>75</v>
      </c>
      <c r="C4232" s="111"/>
      <c r="D4232" s="111"/>
      <c r="E4232" s="111"/>
    </row>
    <row r="4233" spans="1:5" x14ac:dyDescent="0.2">
      <c r="A4233" s="113">
        <v>38931</v>
      </c>
      <c r="B4233" s="111">
        <f t="shared" si="66"/>
        <v>75</v>
      </c>
      <c r="C4233" s="111"/>
      <c r="D4233" s="111"/>
      <c r="E4233" s="111"/>
    </row>
    <row r="4234" spans="1:5" x14ac:dyDescent="0.2">
      <c r="A4234" s="113">
        <v>38932</v>
      </c>
      <c r="B4234" s="111">
        <f t="shared" si="66"/>
        <v>75</v>
      </c>
      <c r="C4234" s="111"/>
      <c r="D4234" s="111"/>
      <c r="E4234" s="111"/>
    </row>
    <row r="4235" spans="1:5" x14ac:dyDescent="0.2">
      <c r="A4235" s="113">
        <v>38933</v>
      </c>
      <c r="B4235" s="111">
        <f t="shared" si="66"/>
        <v>75</v>
      </c>
      <c r="C4235" s="111"/>
      <c r="D4235" s="111"/>
      <c r="E4235" s="111"/>
    </row>
    <row r="4236" spans="1:5" x14ac:dyDescent="0.2">
      <c r="A4236" s="113">
        <v>38934</v>
      </c>
      <c r="B4236" s="111">
        <f t="shared" si="66"/>
        <v>75</v>
      </c>
      <c r="C4236" s="111"/>
      <c r="D4236" s="111"/>
      <c r="E4236" s="111"/>
    </row>
    <row r="4237" spans="1:5" x14ac:dyDescent="0.2">
      <c r="A4237" s="113">
        <v>38935</v>
      </c>
      <c r="B4237" s="111">
        <f t="shared" si="66"/>
        <v>81</v>
      </c>
      <c r="C4237" s="111"/>
      <c r="D4237" s="111"/>
      <c r="E4237" s="111"/>
    </row>
    <row r="4238" spans="1:5" x14ac:dyDescent="0.2">
      <c r="A4238" s="113">
        <v>38936</v>
      </c>
      <c r="B4238" s="111">
        <f t="shared" si="66"/>
        <v>81</v>
      </c>
      <c r="C4238" s="111"/>
      <c r="D4238" s="111"/>
      <c r="E4238" s="111"/>
    </row>
    <row r="4239" spans="1:5" x14ac:dyDescent="0.2">
      <c r="A4239" s="113">
        <v>38937</v>
      </c>
      <c r="B4239" s="111">
        <f t="shared" si="66"/>
        <v>81</v>
      </c>
      <c r="C4239" s="111"/>
      <c r="D4239" s="111"/>
      <c r="E4239" s="111"/>
    </row>
    <row r="4240" spans="1:5" x14ac:dyDescent="0.2">
      <c r="A4240" s="113">
        <v>38938</v>
      </c>
      <c r="B4240" s="111">
        <f t="shared" si="66"/>
        <v>81</v>
      </c>
      <c r="C4240" s="111"/>
      <c r="D4240" s="111"/>
      <c r="E4240" s="111"/>
    </row>
    <row r="4241" spans="1:5" x14ac:dyDescent="0.2">
      <c r="A4241" s="113">
        <v>38939</v>
      </c>
      <c r="B4241" s="111">
        <f t="shared" si="66"/>
        <v>81</v>
      </c>
      <c r="C4241" s="111"/>
      <c r="D4241" s="111"/>
      <c r="E4241" s="111"/>
    </row>
    <row r="4242" spans="1:5" x14ac:dyDescent="0.2">
      <c r="A4242" s="113">
        <v>38940</v>
      </c>
      <c r="B4242" s="111">
        <f t="shared" si="66"/>
        <v>81</v>
      </c>
      <c r="C4242" s="111"/>
      <c r="D4242" s="111"/>
      <c r="E4242" s="111"/>
    </row>
    <row r="4243" spans="1:5" x14ac:dyDescent="0.2">
      <c r="A4243" s="113">
        <v>38941</v>
      </c>
      <c r="B4243" s="111">
        <f t="shared" si="66"/>
        <v>81</v>
      </c>
      <c r="C4243" s="111"/>
      <c r="D4243" s="111"/>
      <c r="E4243" s="111"/>
    </row>
    <row r="4244" spans="1:5" x14ac:dyDescent="0.2">
      <c r="A4244" s="113">
        <v>38942</v>
      </c>
      <c r="B4244" s="111">
        <f t="shared" si="66"/>
        <v>82</v>
      </c>
      <c r="C4244" s="111"/>
      <c r="D4244" s="111"/>
      <c r="E4244" s="111"/>
    </row>
    <row r="4245" spans="1:5" x14ac:dyDescent="0.2">
      <c r="A4245" s="113">
        <v>38943</v>
      </c>
      <c r="B4245" s="111">
        <f t="shared" si="66"/>
        <v>82</v>
      </c>
      <c r="C4245" s="111"/>
      <c r="D4245" s="111"/>
      <c r="E4245" s="111"/>
    </row>
    <row r="4246" spans="1:5" x14ac:dyDescent="0.2">
      <c r="A4246" s="113">
        <v>38944</v>
      </c>
      <c r="B4246" s="111">
        <f t="shared" si="66"/>
        <v>82</v>
      </c>
      <c r="C4246" s="111"/>
      <c r="D4246" s="111"/>
      <c r="E4246" s="111"/>
    </row>
    <row r="4247" spans="1:5" x14ac:dyDescent="0.2">
      <c r="A4247" s="113">
        <v>38945</v>
      </c>
      <c r="B4247" s="111">
        <f t="shared" si="66"/>
        <v>82</v>
      </c>
      <c r="C4247" s="111"/>
      <c r="D4247" s="111"/>
      <c r="E4247" s="111"/>
    </row>
    <row r="4248" spans="1:5" x14ac:dyDescent="0.2">
      <c r="A4248" s="113">
        <v>38946</v>
      </c>
      <c r="B4248" s="111">
        <f t="shared" si="66"/>
        <v>82</v>
      </c>
      <c r="C4248" s="111"/>
      <c r="D4248" s="111"/>
      <c r="E4248" s="111"/>
    </row>
    <row r="4249" spans="1:5" x14ac:dyDescent="0.2">
      <c r="A4249" s="113">
        <v>38947</v>
      </c>
      <c r="B4249" s="111">
        <f t="shared" si="66"/>
        <v>82</v>
      </c>
      <c r="C4249" s="111"/>
      <c r="D4249" s="111"/>
      <c r="E4249" s="111"/>
    </row>
    <row r="4250" spans="1:5" x14ac:dyDescent="0.2">
      <c r="A4250" s="113">
        <v>38948</v>
      </c>
      <c r="B4250" s="111">
        <f t="shared" si="66"/>
        <v>82</v>
      </c>
      <c r="C4250" s="111"/>
      <c r="D4250" s="111"/>
      <c r="E4250" s="111"/>
    </row>
    <row r="4251" spans="1:5" x14ac:dyDescent="0.2">
      <c r="A4251" s="113">
        <v>38949</v>
      </c>
      <c r="B4251" s="111">
        <f t="shared" si="66"/>
        <v>83</v>
      </c>
      <c r="C4251" s="111"/>
      <c r="D4251" s="111"/>
      <c r="E4251" s="111"/>
    </row>
    <row r="4252" spans="1:5" x14ac:dyDescent="0.2">
      <c r="A4252" s="113">
        <v>38950</v>
      </c>
      <c r="B4252" s="111">
        <f t="shared" si="66"/>
        <v>83</v>
      </c>
      <c r="C4252" s="111"/>
      <c r="D4252" s="111"/>
      <c r="E4252" s="111"/>
    </row>
    <row r="4253" spans="1:5" x14ac:dyDescent="0.2">
      <c r="A4253" s="113">
        <v>38951</v>
      </c>
      <c r="B4253" s="111">
        <f t="shared" si="66"/>
        <v>83</v>
      </c>
      <c r="C4253" s="111"/>
      <c r="D4253" s="111"/>
      <c r="E4253" s="111"/>
    </row>
    <row r="4254" spans="1:5" x14ac:dyDescent="0.2">
      <c r="A4254" s="113">
        <v>38952</v>
      </c>
      <c r="B4254" s="111">
        <f t="shared" si="66"/>
        <v>83</v>
      </c>
      <c r="C4254" s="111"/>
      <c r="D4254" s="111"/>
      <c r="E4254" s="111"/>
    </row>
    <row r="4255" spans="1:5" x14ac:dyDescent="0.2">
      <c r="A4255" s="113">
        <v>38953</v>
      </c>
      <c r="B4255" s="111">
        <f t="shared" si="66"/>
        <v>83</v>
      </c>
      <c r="C4255" s="111"/>
      <c r="D4255" s="111"/>
      <c r="E4255" s="111"/>
    </row>
    <row r="4256" spans="1:5" x14ac:dyDescent="0.2">
      <c r="A4256" s="113">
        <v>38954</v>
      </c>
      <c r="B4256" s="111">
        <f t="shared" si="66"/>
        <v>83</v>
      </c>
      <c r="C4256" s="111"/>
      <c r="D4256" s="111"/>
      <c r="E4256" s="111"/>
    </row>
    <row r="4257" spans="1:5" x14ac:dyDescent="0.2">
      <c r="A4257" s="113">
        <v>38955</v>
      </c>
      <c r="B4257" s="111">
        <f t="shared" si="66"/>
        <v>83</v>
      </c>
      <c r="C4257" s="111"/>
      <c r="D4257" s="111"/>
      <c r="E4257" s="111"/>
    </row>
    <row r="4258" spans="1:5" x14ac:dyDescent="0.2">
      <c r="A4258" s="113">
        <v>38956</v>
      </c>
      <c r="B4258" s="111">
        <f t="shared" si="66"/>
        <v>84</v>
      </c>
      <c r="C4258" s="111"/>
      <c r="D4258" s="111"/>
      <c r="E4258" s="111"/>
    </row>
    <row r="4259" spans="1:5" x14ac:dyDescent="0.2">
      <c r="A4259" s="113">
        <v>38957</v>
      </c>
      <c r="B4259" s="111">
        <f t="shared" si="66"/>
        <v>84</v>
      </c>
      <c r="C4259" s="111"/>
      <c r="D4259" s="111"/>
      <c r="E4259" s="111"/>
    </row>
    <row r="4260" spans="1:5" x14ac:dyDescent="0.2">
      <c r="A4260" s="113">
        <v>38958</v>
      </c>
      <c r="B4260" s="111">
        <f t="shared" si="66"/>
        <v>84</v>
      </c>
      <c r="C4260" s="111"/>
      <c r="D4260" s="111"/>
      <c r="E4260" s="111"/>
    </row>
    <row r="4261" spans="1:5" x14ac:dyDescent="0.2">
      <c r="A4261" s="113">
        <v>38959</v>
      </c>
      <c r="B4261" s="111">
        <f t="shared" si="66"/>
        <v>84</v>
      </c>
      <c r="C4261" s="111"/>
      <c r="D4261" s="111"/>
      <c r="E4261" s="111"/>
    </row>
    <row r="4262" spans="1:5" x14ac:dyDescent="0.2">
      <c r="A4262" s="113">
        <v>38960</v>
      </c>
      <c r="B4262" s="111">
        <f t="shared" si="66"/>
        <v>84</v>
      </c>
      <c r="C4262" s="111"/>
      <c r="D4262" s="111"/>
      <c r="E4262" s="111"/>
    </row>
    <row r="4263" spans="1:5" x14ac:dyDescent="0.2">
      <c r="A4263" s="113">
        <v>38961</v>
      </c>
      <c r="B4263" s="111">
        <f t="shared" si="66"/>
        <v>84</v>
      </c>
      <c r="C4263" s="111"/>
      <c r="D4263" s="111"/>
      <c r="E4263" s="111"/>
    </row>
    <row r="4264" spans="1:5" x14ac:dyDescent="0.2">
      <c r="A4264" s="113">
        <v>38962</v>
      </c>
      <c r="B4264" s="111">
        <f t="shared" si="66"/>
        <v>84</v>
      </c>
      <c r="C4264" s="111"/>
      <c r="D4264" s="111"/>
      <c r="E4264" s="111"/>
    </row>
    <row r="4265" spans="1:5" x14ac:dyDescent="0.2">
      <c r="A4265" s="113">
        <v>38963</v>
      </c>
      <c r="B4265" s="111">
        <f t="shared" si="66"/>
        <v>91</v>
      </c>
      <c r="C4265" s="111"/>
      <c r="D4265" s="111"/>
      <c r="E4265" s="111"/>
    </row>
    <row r="4266" spans="1:5" x14ac:dyDescent="0.2">
      <c r="A4266" s="113">
        <v>38964</v>
      </c>
      <c r="B4266" s="111">
        <f t="shared" si="66"/>
        <v>91</v>
      </c>
      <c r="C4266" s="111"/>
      <c r="D4266" s="111"/>
      <c r="E4266" s="111"/>
    </row>
    <row r="4267" spans="1:5" x14ac:dyDescent="0.2">
      <c r="A4267" s="113">
        <v>38965</v>
      </c>
      <c r="B4267" s="111">
        <f t="shared" si="66"/>
        <v>91</v>
      </c>
      <c r="C4267" s="111"/>
      <c r="D4267" s="111"/>
      <c r="E4267" s="111"/>
    </row>
    <row r="4268" spans="1:5" x14ac:dyDescent="0.2">
      <c r="A4268" s="113">
        <v>38966</v>
      </c>
      <c r="B4268" s="111">
        <f t="shared" si="66"/>
        <v>91</v>
      </c>
      <c r="C4268" s="111"/>
      <c r="D4268" s="111"/>
      <c r="E4268" s="111"/>
    </row>
    <row r="4269" spans="1:5" x14ac:dyDescent="0.2">
      <c r="A4269" s="113">
        <v>38967</v>
      </c>
      <c r="B4269" s="111">
        <f t="shared" si="66"/>
        <v>91</v>
      </c>
      <c r="C4269" s="111"/>
      <c r="D4269" s="111"/>
      <c r="E4269" s="111"/>
    </row>
    <row r="4270" spans="1:5" x14ac:dyDescent="0.2">
      <c r="A4270" s="113">
        <v>38968</v>
      </c>
      <c r="B4270" s="111">
        <f t="shared" si="66"/>
        <v>91</v>
      </c>
      <c r="C4270" s="111"/>
      <c r="D4270" s="111"/>
      <c r="E4270" s="111"/>
    </row>
    <row r="4271" spans="1:5" x14ac:dyDescent="0.2">
      <c r="A4271" s="113">
        <v>38969</v>
      </c>
      <c r="B4271" s="111">
        <f t="shared" si="66"/>
        <v>91</v>
      </c>
      <c r="C4271" s="111"/>
      <c r="D4271" s="111"/>
      <c r="E4271" s="111"/>
    </row>
    <row r="4272" spans="1:5" x14ac:dyDescent="0.2">
      <c r="A4272" s="113">
        <v>38970</v>
      </c>
      <c r="B4272" s="111">
        <f t="shared" si="66"/>
        <v>92</v>
      </c>
      <c r="C4272" s="111"/>
      <c r="D4272" s="111"/>
      <c r="E4272" s="111"/>
    </row>
    <row r="4273" spans="1:5" x14ac:dyDescent="0.2">
      <c r="A4273" s="113">
        <v>38971</v>
      </c>
      <c r="B4273" s="111">
        <f t="shared" si="66"/>
        <v>92</v>
      </c>
      <c r="C4273" s="111"/>
      <c r="D4273" s="111"/>
      <c r="E4273" s="111"/>
    </row>
    <row r="4274" spans="1:5" x14ac:dyDescent="0.2">
      <c r="A4274" s="113">
        <v>38972</v>
      </c>
      <c r="B4274" s="111">
        <f t="shared" si="66"/>
        <v>92</v>
      </c>
      <c r="C4274" s="111"/>
      <c r="D4274" s="111"/>
      <c r="E4274" s="111"/>
    </row>
    <row r="4275" spans="1:5" x14ac:dyDescent="0.2">
      <c r="A4275" s="113">
        <v>38973</v>
      </c>
      <c r="B4275" s="111">
        <f t="shared" si="66"/>
        <v>92</v>
      </c>
      <c r="C4275" s="111"/>
      <c r="D4275" s="111"/>
      <c r="E4275" s="111"/>
    </row>
    <row r="4276" spans="1:5" x14ac:dyDescent="0.2">
      <c r="A4276" s="113">
        <v>38974</v>
      </c>
      <c r="B4276" s="111">
        <f t="shared" si="66"/>
        <v>92</v>
      </c>
      <c r="C4276" s="111"/>
      <c r="D4276" s="111"/>
      <c r="E4276" s="111"/>
    </row>
    <row r="4277" spans="1:5" x14ac:dyDescent="0.2">
      <c r="A4277" s="113">
        <v>38975</v>
      </c>
      <c r="B4277" s="111">
        <f t="shared" si="66"/>
        <v>92</v>
      </c>
      <c r="C4277" s="111"/>
      <c r="D4277" s="111"/>
      <c r="E4277" s="111"/>
    </row>
    <row r="4278" spans="1:5" x14ac:dyDescent="0.2">
      <c r="A4278" s="113">
        <v>38976</v>
      </c>
      <c r="B4278" s="111">
        <f t="shared" si="66"/>
        <v>92</v>
      </c>
      <c r="C4278" s="111"/>
      <c r="D4278" s="111"/>
      <c r="E4278" s="111"/>
    </row>
    <row r="4279" spans="1:5" x14ac:dyDescent="0.2">
      <c r="A4279" s="113">
        <v>38977</v>
      </c>
      <c r="B4279" s="111">
        <f t="shared" si="66"/>
        <v>93</v>
      </c>
      <c r="C4279" s="111"/>
      <c r="D4279" s="111"/>
      <c r="E4279" s="111"/>
    </row>
    <row r="4280" spans="1:5" x14ac:dyDescent="0.2">
      <c r="A4280" s="113">
        <v>38978</v>
      </c>
      <c r="B4280" s="111">
        <f t="shared" si="66"/>
        <v>93</v>
      </c>
      <c r="C4280" s="111"/>
      <c r="D4280" s="111"/>
      <c r="E4280" s="111"/>
    </row>
    <row r="4281" spans="1:5" x14ac:dyDescent="0.2">
      <c r="A4281" s="113">
        <v>38979</v>
      </c>
      <c r="B4281" s="111">
        <f t="shared" si="66"/>
        <v>93</v>
      </c>
      <c r="C4281" s="111"/>
      <c r="D4281" s="111"/>
      <c r="E4281" s="111"/>
    </row>
    <row r="4282" spans="1:5" x14ac:dyDescent="0.2">
      <c r="A4282" s="113">
        <v>38980</v>
      </c>
      <c r="B4282" s="111">
        <f t="shared" si="66"/>
        <v>93</v>
      </c>
      <c r="C4282" s="111"/>
      <c r="D4282" s="111"/>
      <c r="E4282" s="111"/>
    </row>
    <row r="4283" spans="1:5" x14ac:dyDescent="0.2">
      <c r="A4283" s="113">
        <v>38981</v>
      </c>
      <c r="B4283" s="111">
        <f t="shared" si="66"/>
        <v>93</v>
      </c>
      <c r="C4283" s="111"/>
      <c r="D4283" s="111"/>
      <c r="E4283" s="111"/>
    </row>
    <row r="4284" spans="1:5" x14ac:dyDescent="0.2">
      <c r="A4284" s="113">
        <v>38982</v>
      </c>
      <c r="B4284" s="111">
        <f t="shared" si="66"/>
        <v>93</v>
      </c>
      <c r="C4284" s="111"/>
      <c r="D4284" s="111"/>
      <c r="E4284" s="111"/>
    </row>
    <row r="4285" spans="1:5" x14ac:dyDescent="0.2">
      <c r="A4285" s="113">
        <v>38983</v>
      </c>
      <c r="B4285" s="111">
        <f t="shared" si="66"/>
        <v>93</v>
      </c>
      <c r="C4285" s="111"/>
      <c r="D4285" s="111"/>
      <c r="E4285" s="111"/>
    </row>
    <row r="4286" spans="1:5" x14ac:dyDescent="0.2">
      <c r="A4286" s="113">
        <v>38984</v>
      </c>
      <c r="B4286" s="111">
        <f t="shared" si="66"/>
        <v>94</v>
      </c>
      <c r="C4286" s="111"/>
      <c r="D4286" s="111"/>
      <c r="E4286" s="111"/>
    </row>
    <row r="4287" spans="1:5" x14ac:dyDescent="0.2">
      <c r="A4287" s="113">
        <v>38985</v>
      </c>
      <c r="B4287" s="111">
        <f t="shared" si="66"/>
        <v>94</v>
      </c>
      <c r="C4287" s="111"/>
      <c r="D4287" s="111"/>
      <c r="E4287" s="111"/>
    </row>
    <row r="4288" spans="1:5" x14ac:dyDescent="0.2">
      <c r="A4288" s="113">
        <v>38986</v>
      </c>
      <c r="B4288" s="111">
        <f t="shared" si="66"/>
        <v>94</v>
      </c>
      <c r="C4288" s="111"/>
      <c r="D4288" s="111"/>
      <c r="E4288" s="111"/>
    </row>
    <row r="4289" spans="1:5" x14ac:dyDescent="0.2">
      <c r="A4289" s="113">
        <v>38987</v>
      </c>
      <c r="B4289" s="111">
        <f t="shared" si="66"/>
        <v>94</v>
      </c>
      <c r="C4289" s="111"/>
      <c r="D4289" s="111"/>
      <c r="E4289" s="111"/>
    </row>
    <row r="4290" spans="1:5" x14ac:dyDescent="0.2">
      <c r="A4290" s="113">
        <v>38988</v>
      </c>
      <c r="B4290" s="111">
        <f t="shared" ref="B4290:B4353" si="67">VLOOKUP(WEEKNUM(A4290),$D$3:$E$58,2)</f>
        <v>94</v>
      </c>
      <c r="C4290" s="111"/>
      <c r="D4290" s="111"/>
      <c r="E4290" s="111"/>
    </row>
    <row r="4291" spans="1:5" x14ac:dyDescent="0.2">
      <c r="A4291" s="113">
        <v>38989</v>
      </c>
      <c r="B4291" s="111">
        <f t="shared" si="67"/>
        <v>94</v>
      </c>
      <c r="C4291" s="111"/>
      <c r="D4291" s="111"/>
      <c r="E4291" s="111"/>
    </row>
    <row r="4292" spans="1:5" x14ac:dyDescent="0.2">
      <c r="A4292" s="113">
        <v>38990</v>
      </c>
      <c r="B4292" s="111">
        <f t="shared" si="67"/>
        <v>94</v>
      </c>
      <c r="C4292" s="111"/>
      <c r="D4292" s="111"/>
      <c r="E4292" s="111"/>
    </row>
    <row r="4293" spans="1:5" x14ac:dyDescent="0.2">
      <c r="A4293" s="113">
        <v>38991</v>
      </c>
      <c r="B4293" s="111">
        <f t="shared" si="67"/>
        <v>101</v>
      </c>
      <c r="C4293" s="111"/>
      <c r="D4293" s="111"/>
      <c r="E4293" s="111"/>
    </row>
    <row r="4294" spans="1:5" x14ac:dyDescent="0.2">
      <c r="A4294" s="113">
        <v>38992</v>
      </c>
      <c r="B4294" s="111">
        <f t="shared" si="67"/>
        <v>101</v>
      </c>
      <c r="C4294" s="111"/>
      <c r="D4294" s="111"/>
      <c r="E4294" s="111"/>
    </row>
    <row r="4295" spans="1:5" x14ac:dyDescent="0.2">
      <c r="A4295" s="113">
        <v>38993</v>
      </c>
      <c r="B4295" s="111">
        <f t="shared" si="67"/>
        <v>101</v>
      </c>
      <c r="C4295" s="111"/>
      <c r="D4295" s="111"/>
      <c r="E4295" s="111"/>
    </row>
    <row r="4296" spans="1:5" x14ac:dyDescent="0.2">
      <c r="A4296" s="113">
        <v>38994</v>
      </c>
      <c r="B4296" s="111">
        <f t="shared" si="67"/>
        <v>101</v>
      </c>
      <c r="C4296" s="111"/>
      <c r="D4296" s="111"/>
      <c r="E4296" s="111"/>
    </row>
    <row r="4297" spans="1:5" x14ac:dyDescent="0.2">
      <c r="A4297" s="113">
        <v>38995</v>
      </c>
      <c r="B4297" s="111">
        <f t="shared" si="67"/>
        <v>101</v>
      </c>
      <c r="C4297" s="111"/>
      <c r="D4297" s="111"/>
      <c r="E4297" s="111"/>
    </row>
    <row r="4298" spans="1:5" x14ac:dyDescent="0.2">
      <c r="A4298" s="113">
        <v>38996</v>
      </c>
      <c r="B4298" s="111">
        <f t="shared" si="67"/>
        <v>101</v>
      </c>
      <c r="C4298" s="111"/>
      <c r="D4298" s="111"/>
      <c r="E4298" s="111"/>
    </row>
    <row r="4299" spans="1:5" x14ac:dyDescent="0.2">
      <c r="A4299" s="113">
        <v>38997</v>
      </c>
      <c r="B4299" s="111">
        <f t="shared" si="67"/>
        <v>101</v>
      </c>
      <c r="C4299" s="111"/>
      <c r="D4299" s="111"/>
      <c r="E4299" s="111"/>
    </row>
    <row r="4300" spans="1:5" x14ac:dyDescent="0.2">
      <c r="A4300" s="113">
        <v>38998</v>
      </c>
      <c r="B4300" s="111">
        <f t="shared" si="67"/>
        <v>102</v>
      </c>
      <c r="C4300" s="111"/>
      <c r="D4300" s="111"/>
      <c r="E4300" s="111"/>
    </row>
    <row r="4301" spans="1:5" x14ac:dyDescent="0.2">
      <c r="A4301" s="113">
        <v>38999</v>
      </c>
      <c r="B4301" s="111">
        <f t="shared" si="67"/>
        <v>102</v>
      </c>
      <c r="C4301" s="111"/>
      <c r="D4301" s="111"/>
      <c r="E4301" s="111"/>
    </row>
    <row r="4302" spans="1:5" x14ac:dyDescent="0.2">
      <c r="A4302" s="113">
        <v>39000</v>
      </c>
      <c r="B4302" s="111">
        <f t="shared" si="67"/>
        <v>102</v>
      </c>
      <c r="C4302" s="111"/>
      <c r="D4302" s="111"/>
      <c r="E4302" s="111"/>
    </row>
    <row r="4303" spans="1:5" x14ac:dyDescent="0.2">
      <c r="A4303" s="113">
        <v>39001</v>
      </c>
      <c r="B4303" s="111">
        <f t="shared" si="67"/>
        <v>102</v>
      </c>
      <c r="C4303" s="111"/>
      <c r="D4303" s="111"/>
      <c r="E4303" s="111"/>
    </row>
    <row r="4304" spans="1:5" x14ac:dyDescent="0.2">
      <c r="A4304" s="113">
        <v>39002</v>
      </c>
      <c r="B4304" s="111">
        <f t="shared" si="67"/>
        <v>102</v>
      </c>
      <c r="C4304" s="111"/>
      <c r="D4304" s="111"/>
      <c r="E4304" s="111"/>
    </row>
    <row r="4305" spans="1:5" x14ac:dyDescent="0.2">
      <c r="A4305" s="113">
        <v>39003</v>
      </c>
      <c r="B4305" s="111">
        <f t="shared" si="67"/>
        <v>102</v>
      </c>
      <c r="C4305" s="111"/>
      <c r="D4305" s="111"/>
      <c r="E4305" s="111"/>
    </row>
    <row r="4306" spans="1:5" x14ac:dyDescent="0.2">
      <c r="A4306" s="113">
        <v>39004</v>
      </c>
      <c r="B4306" s="111">
        <f t="shared" si="67"/>
        <v>102</v>
      </c>
      <c r="C4306" s="111"/>
      <c r="D4306" s="111"/>
      <c r="E4306" s="111"/>
    </row>
    <row r="4307" spans="1:5" x14ac:dyDescent="0.2">
      <c r="A4307" s="113">
        <v>39005</v>
      </c>
      <c r="B4307" s="111">
        <f t="shared" si="67"/>
        <v>103</v>
      </c>
      <c r="C4307" s="111"/>
      <c r="D4307" s="111"/>
      <c r="E4307" s="111"/>
    </row>
    <row r="4308" spans="1:5" x14ac:dyDescent="0.2">
      <c r="A4308" s="113">
        <v>39006</v>
      </c>
      <c r="B4308" s="111">
        <f t="shared" si="67"/>
        <v>103</v>
      </c>
      <c r="C4308" s="111"/>
      <c r="D4308" s="111"/>
      <c r="E4308" s="111"/>
    </row>
    <row r="4309" spans="1:5" x14ac:dyDescent="0.2">
      <c r="A4309" s="113">
        <v>39007</v>
      </c>
      <c r="B4309" s="111">
        <f t="shared" si="67"/>
        <v>103</v>
      </c>
      <c r="C4309" s="111"/>
      <c r="D4309" s="111"/>
      <c r="E4309" s="111"/>
    </row>
    <row r="4310" spans="1:5" x14ac:dyDescent="0.2">
      <c r="A4310" s="113">
        <v>39008</v>
      </c>
      <c r="B4310" s="111">
        <f t="shared" si="67"/>
        <v>103</v>
      </c>
      <c r="C4310" s="111"/>
      <c r="D4310" s="111"/>
      <c r="E4310" s="111"/>
    </row>
    <row r="4311" spans="1:5" x14ac:dyDescent="0.2">
      <c r="A4311" s="113">
        <v>39009</v>
      </c>
      <c r="B4311" s="111">
        <f t="shared" si="67"/>
        <v>103</v>
      </c>
      <c r="C4311" s="111"/>
      <c r="D4311" s="111"/>
      <c r="E4311" s="111"/>
    </row>
    <row r="4312" spans="1:5" x14ac:dyDescent="0.2">
      <c r="A4312" s="113">
        <v>39010</v>
      </c>
      <c r="B4312" s="111">
        <f t="shared" si="67"/>
        <v>103</v>
      </c>
      <c r="C4312" s="111"/>
      <c r="D4312" s="111"/>
      <c r="E4312" s="111"/>
    </row>
    <row r="4313" spans="1:5" x14ac:dyDescent="0.2">
      <c r="A4313" s="113">
        <v>39011</v>
      </c>
      <c r="B4313" s="111">
        <f t="shared" si="67"/>
        <v>103</v>
      </c>
      <c r="C4313" s="111"/>
      <c r="D4313" s="111"/>
      <c r="E4313" s="111"/>
    </row>
    <row r="4314" spans="1:5" x14ac:dyDescent="0.2">
      <c r="A4314" s="113">
        <v>39012</v>
      </c>
      <c r="B4314" s="111">
        <f t="shared" si="67"/>
        <v>104</v>
      </c>
      <c r="C4314" s="111"/>
      <c r="D4314" s="111"/>
      <c r="E4314" s="111"/>
    </row>
    <row r="4315" spans="1:5" x14ac:dyDescent="0.2">
      <c r="A4315" s="113">
        <v>39013</v>
      </c>
      <c r="B4315" s="111">
        <f t="shared" si="67"/>
        <v>104</v>
      </c>
      <c r="C4315" s="111"/>
      <c r="D4315" s="111"/>
      <c r="E4315" s="111"/>
    </row>
    <row r="4316" spans="1:5" x14ac:dyDescent="0.2">
      <c r="A4316" s="113">
        <v>39014</v>
      </c>
      <c r="B4316" s="111">
        <f t="shared" si="67"/>
        <v>104</v>
      </c>
      <c r="C4316" s="111"/>
      <c r="D4316" s="111"/>
      <c r="E4316" s="111"/>
    </row>
    <row r="4317" spans="1:5" x14ac:dyDescent="0.2">
      <c r="A4317" s="113">
        <v>39015</v>
      </c>
      <c r="B4317" s="111">
        <f t="shared" si="67"/>
        <v>104</v>
      </c>
      <c r="C4317" s="111"/>
      <c r="D4317" s="111"/>
      <c r="E4317" s="111"/>
    </row>
    <row r="4318" spans="1:5" x14ac:dyDescent="0.2">
      <c r="A4318" s="113">
        <v>39016</v>
      </c>
      <c r="B4318" s="111">
        <f t="shared" si="67"/>
        <v>104</v>
      </c>
      <c r="C4318" s="111"/>
      <c r="D4318" s="111"/>
      <c r="E4318" s="111"/>
    </row>
    <row r="4319" spans="1:5" x14ac:dyDescent="0.2">
      <c r="A4319" s="113">
        <v>39017</v>
      </c>
      <c r="B4319" s="111">
        <f t="shared" si="67"/>
        <v>104</v>
      </c>
      <c r="C4319" s="111"/>
      <c r="D4319" s="111"/>
      <c r="E4319" s="111"/>
    </row>
    <row r="4320" spans="1:5" x14ac:dyDescent="0.2">
      <c r="A4320" s="113">
        <v>39018</v>
      </c>
      <c r="B4320" s="111">
        <f t="shared" si="67"/>
        <v>104</v>
      </c>
      <c r="C4320" s="111"/>
      <c r="D4320" s="111"/>
      <c r="E4320" s="111"/>
    </row>
    <row r="4321" spans="1:5" x14ac:dyDescent="0.2">
      <c r="A4321" s="113">
        <v>39019</v>
      </c>
      <c r="B4321" s="111">
        <f t="shared" si="67"/>
        <v>105</v>
      </c>
      <c r="C4321" s="111"/>
      <c r="D4321" s="111"/>
      <c r="E4321" s="111"/>
    </row>
    <row r="4322" spans="1:5" x14ac:dyDescent="0.2">
      <c r="A4322" s="113">
        <v>39020</v>
      </c>
      <c r="B4322" s="111">
        <f t="shared" si="67"/>
        <v>105</v>
      </c>
      <c r="C4322" s="111"/>
      <c r="D4322" s="111"/>
      <c r="E4322" s="111"/>
    </row>
    <row r="4323" spans="1:5" x14ac:dyDescent="0.2">
      <c r="A4323" s="113">
        <v>39021</v>
      </c>
      <c r="B4323" s="111">
        <f t="shared" si="67"/>
        <v>105</v>
      </c>
      <c r="C4323" s="111"/>
      <c r="D4323" s="111"/>
      <c r="E4323" s="111"/>
    </row>
    <row r="4324" spans="1:5" x14ac:dyDescent="0.2">
      <c r="A4324" s="113">
        <v>39022</v>
      </c>
      <c r="B4324" s="111">
        <f t="shared" si="67"/>
        <v>105</v>
      </c>
      <c r="C4324" s="111"/>
      <c r="D4324" s="111"/>
      <c r="E4324" s="111"/>
    </row>
    <row r="4325" spans="1:5" x14ac:dyDescent="0.2">
      <c r="A4325" s="113">
        <v>39023</v>
      </c>
      <c r="B4325" s="111">
        <f t="shared" si="67"/>
        <v>105</v>
      </c>
      <c r="C4325" s="111"/>
      <c r="D4325" s="111"/>
      <c r="E4325" s="111"/>
    </row>
    <row r="4326" spans="1:5" x14ac:dyDescent="0.2">
      <c r="A4326" s="113">
        <v>39024</v>
      </c>
      <c r="B4326" s="111">
        <f t="shared" si="67"/>
        <v>105</v>
      </c>
      <c r="C4326" s="111"/>
      <c r="D4326" s="111"/>
      <c r="E4326" s="111"/>
    </row>
    <row r="4327" spans="1:5" x14ac:dyDescent="0.2">
      <c r="A4327" s="113">
        <v>39025</v>
      </c>
      <c r="B4327" s="111">
        <f t="shared" si="67"/>
        <v>105</v>
      </c>
      <c r="C4327" s="111"/>
      <c r="D4327" s="111"/>
      <c r="E4327" s="111"/>
    </row>
    <row r="4328" spans="1:5" x14ac:dyDescent="0.2">
      <c r="A4328" s="113">
        <v>39026</v>
      </c>
      <c r="B4328" s="111">
        <f t="shared" si="67"/>
        <v>111</v>
      </c>
      <c r="C4328" s="111"/>
      <c r="D4328" s="111"/>
      <c r="E4328" s="111"/>
    </row>
    <row r="4329" spans="1:5" x14ac:dyDescent="0.2">
      <c r="A4329" s="113">
        <v>39027</v>
      </c>
      <c r="B4329" s="111">
        <f t="shared" si="67"/>
        <v>111</v>
      </c>
      <c r="C4329" s="111"/>
      <c r="D4329" s="111"/>
      <c r="E4329" s="111"/>
    </row>
    <row r="4330" spans="1:5" x14ac:dyDescent="0.2">
      <c r="A4330" s="113">
        <v>39028</v>
      </c>
      <c r="B4330" s="111">
        <f t="shared" si="67"/>
        <v>111</v>
      </c>
      <c r="C4330" s="111"/>
      <c r="D4330" s="111"/>
      <c r="E4330" s="111"/>
    </row>
    <row r="4331" spans="1:5" x14ac:dyDescent="0.2">
      <c r="A4331" s="113">
        <v>39029</v>
      </c>
      <c r="B4331" s="111">
        <f t="shared" si="67"/>
        <v>111</v>
      </c>
      <c r="C4331" s="111"/>
      <c r="D4331" s="111"/>
      <c r="E4331" s="111"/>
    </row>
    <row r="4332" spans="1:5" x14ac:dyDescent="0.2">
      <c r="A4332" s="113">
        <v>39030</v>
      </c>
      <c r="B4332" s="111">
        <f t="shared" si="67"/>
        <v>111</v>
      </c>
      <c r="C4332" s="111"/>
      <c r="D4332" s="111"/>
      <c r="E4332" s="111"/>
    </row>
    <row r="4333" spans="1:5" x14ac:dyDescent="0.2">
      <c r="A4333" s="113">
        <v>39031</v>
      </c>
      <c r="B4333" s="111">
        <f t="shared" si="67"/>
        <v>111</v>
      </c>
      <c r="C4333" s="111"/>
      <c r="D4333" s="111"/>
      <c r="E4333" s="111"/>
    </row>
    <row r="4334" spans="1:5" x14ac:dyDescent="0.2">
      <c r="A4334" s="113">
        <v>39032</v>
      </c>
      <c r="B4334" s="111">
        <f t="shared" si="67"/>
        <v>111</v>
      </c>
      <c r="C4334" s="111"/>
      <c r="D4334" s="111"/>
      <c r="E4334" s="111"/>
    </row>
    <row r="4335" spans="1:5" x14ac:dyDescent="0.2">
      <c r="A4335" s="113">
        <v>39033</v>
      </c>
      <c r="B4335" s="111">
        <f t="shared" si="67"/>
        <v>112</v>
      </c>
      <c r="C4335" s="111"/>
      <c r="D4335" s="111"/>
      <c r="E4335" s="111"/>
    </row>
    <row r="4336" spans="1:5" x14ac:dyDescent="0.2">
      <c r="A4336" s="113">
        <v>39034</v>
      </c>
      <c r="B4336" s="111">
        <f t="shared" si="67"/>
        <v>112</v>
      </c>
      <c r="C4336" s="111"/>
      <c r="D4336" s="111"/>
      <c r="E4336" s="111"/>
    </row>
    <row r="4337" spans="1:5" x14ac:dyDescent="0.2">
      <c r="A4337" s="113">
        <v>39035</v>
      </c>
      <c r="B4337" s="111">
        <f t="shared" si="67"/>
        <v>112</v>
      </c>
      <c r="C4337" s="111"/>
      <c r="D4337" s="111"/>
      <c r="E4337" s="111"/>
    </row>
    <row r="4338" spans="1:5" x14ac:dyDescent="0.2">
      <c r="A4338" s="113">
        <v>39036</v>
      </c>
      <c r="B4338" s="111">
        <f t="shared" si="67"/>
        <v>112</v>
      </c>
      <c r="C4338" s="111"/>
      <c r="D4338" s="111"/>
      <c r="E4338" s="111"/>
    </row>
    <row r="4339" spans="1:5" x14ac:dyDescent="0.2">
      <c r="A4339" s="113">
        <v>39037</v>
      </c>
      <c r="B4339" s="111">
        <f t="shared" si="67"/>
        <v>112</v>
      </c>
      <c r="C4339" s="111"/>
      <c r="D4339" s="111"/>
      <c r="E4339" s="111"/>
    </row>
    <row r="4340" spans="1:5" x14ac:dyDescent="0.2">
      <c r="A4340" s="113">
        <v>39038</v>
      </c>
      <c r="B4340" s="111">
        <f t="shared" si="67"/>
        <v>112</v>
      </c>
      <c r="C4340" s="111"/>
      <c r="D4340" s="111"/>
      <c r="E4340" s="111"/>
    </row>
    <row r="4341" spans="1:5" x14ac:dyDescent="0.2">
      <c r="A4341" s="113">
        <v>39039</v>
      </c>
      <c r="B4341" s="111">
        <f t="shared" si="67"/>
        <v>112</v>
      </c>
      <c r="C4341" s="111"/>
      <c r="D4341" s="111"/>
      <c r="E4341" s="111"/>
    </row>
    <row r="4342" spans="1:5" x14ac:dyDescent="0.2">
      <c r="A4342" s="113">
        <v>39040</v>
      </c>
      <c r="B4342" s="111">
        <f t="shared" si="67"/>
        <v>113</v>
      </c>
      <c r="C4342" s="111"/>
      <c r="D4342" s="111"/>
      <c r="E4342" s="111"/>
    </row>
    <row r="4343" spans="1:5" x14ac:dyDescent="0.2">
      <c r="A4343" s="113">
        <v>39041</v>
      </c>
      <c r="B4343" s="111">
        <f t="shared" si="67"/>
        <v>113</v>
      </c>
      <c r="C4343" s="111"/>
      <c r="D4343" s="111"/>
      <c r="E4343" s="111"/>
    </row>
    <row r="4344" spans="1:5" x14ac:dyDescent="0.2">
      <c r="A4344" s="113">
        <v>39042</v>
      </c>
      <c r="B4344" s="111">
        <f t="shared" si="67"/>
        <v>113</v>
      </c>
      <c r="C4344" s="111"/>
      <c r="D4344" s="111"/>
      <c r="E4344" s="111"/>
    </row>
    <row r="4345" spans="1:5" x14ac:dyDescent="0.2">
      <c r="A4345" s="113">
        <v>39043</v>
      </c>
      <c r="B4345" s="111">
        <f t="shared" si="67"/>
        <v>113</v>
      </c>
      <c r="C4345" s="111"/>
      <c r="D4345" s="111"/>
      <c r="E4345" s="111"/>
    </row>
    <row r="4346" spans="1:5" x14ac:dyDescent="0.2">
      <c r="A4346" s="113">
        <v>39044</v>
      </c>
      <c r="B4346" s="111">
        <f t="shared" si="67"/>
        <v>113</v>
      </c>
      <c r="C4346" s="111"/>
      <c r="D4346" s="111"/>
      <c r="E4346" s="111"/>
    </row>
    <row r="4347" spans="1:5" x14ac:dyDescent="0.2">
      <c r="A4347" s="113">
        <v>39045</v>
      </c>
      <c r="B4347" s="111">
        <f t="shared" si="67"/>
        <v>113</v>
      </c>
      <c r="C4347" s="111"/>
      <c r="D4347" s="111"/>
      <c r="E4347" s="111"/>
    </row>
    <row r="4348" spans="1:5" x14ac:dyDescent="0.2">
      <c r="A4348" s="113">
        <v>39046</v>
      </c>
      <c r="B4348" s="111">
        <f t="shared" si="67"/>
        <v>113</v>
      </c>
      <c r="C4348" s="111"/>
      <c r="D4348" s="111"/>
      <c r="E4348" s="111"/>
    </row>
    <row r="4349" spans="1:5" x14ac:dyDescent="0.2">
      <c r="A4349" s="113">
        <v>39047</v>
      </c>
      <c r="B4349" s="111">
        <f t="shared" si="67"/>
        <v>114</v>
      </c>
      <c r="C4349" s="111"/>
      <c r="D4349" s="111"/>
      <c r="E4349" s="111"/>
    </row>
    <row r="4350" spans="1:5" x14ac:dyDescent="0.2">
      <c r="A4350" s="113">
        <v>39048</v>
      </c>
      <c r="B4350" s="111">
        <f t="shared" si="67"/>
        <v>114</v>
      </c>
      <c r="C4350" s="111"/>
      <c r="D4350" s="111"/>
      <c r="E4350" s="111"/>
    </row>
    <row r="4351" spans="1:5" x14ac:dyDescent="0.2">
      <c r="A4351" s="113">
        <v>39049</v>
      </c>
      <c r="B4351" s="111">
        <f t="shared" si="67"/>
        <v>114</v>
      </c>
      <c r="C4351" s="111"/>
      <c r="D4351" s="111"/>
      <c r="E4351" s="111"/>
    </row>
    <row r="4352" spans="1:5" x14ac:dyDescent="0.2">
      <c r="A4352" s="113">
        <v>39050</v>
      </c>
      <c r="B4352" s="111">
        <f t="shared" si="67"/>
        <v>114</v>
      </c>
      <c r="C4352" s="111"/>
      <c r="D4352" s="111"/>
      <c r="E4352" s="111"/>
    </row>
    <row r="4353" spans="1:5" x14ac:dyDescent="0.2">
      <c r="A4353" s="113">
        <v>39051</v>
      </c>
      <c r="B4353" s="111">
        <f t="shared" si="67"/>
        <v>114</v>
      </c>
      <c r="C4353" s="111"/>
      <c r="D4353" s="111"/>
      <c r="E4353" s="111"/>
    </row>
    <row r="4354" spans="1:5" x14ac:dyDescent="0.2">
      <c r="A4354" s="113">
        <v>39052</v>
      </c>
      <c r="B4354" s="111">
        <f t="shared" ref="B4354:B4417" si="68">VLOOKUP(WEEKNUM(A4354),$D$3:$E$58,2)</f>
        <v>114</v>
      </c>
      <c r="C4354" s="111"/>
      <c r="D4354" s="111"/>
      <c r="E4354" s="111"/>
    </row>
    <row r="4355" spans="1:5" x14ac:dyDescent="0.2">
      <c r="A4355" s="113">
        <v>39053</v>
      </c>
      <c r="B4355" s="111">
        <f t="shared" si="68"/>
        <v>114</v>
      </c>
      <c r="C4355" s="111"/>
      <c r="D4355" s="111"/>
      <c r="E4355" s="111"/>
    </row>
    <row r="4356" spans="1:5" x14ac:dyDescent="0.2">
      <c r="A4356" s="113">
        <v>39054</v>
      </c>
      <c r="B4356" s="111">
        <f t="shared" si="68"/>
        <v>115</v>
      </c>
      <c r="C4356" s="111"/>
      <c r="D4356" s="111"/>
      <c r="E4356" s="111"/>
    </row>
    <row r="4357" spans="1:5" x14ac:dyDescent="0.2">
      <c r="A4357" s="113">
        <v>39055</v>
      </c>
      <c r="B4357" s="111">
        <f t="shared" si="68"/>
        <v>115</v>
      </c>
      <c r="C4357" s="111"/>
      <c r="D4357" s="111"/>
      <c r="E4357" s="111"/>
    </row>
    <row r="4358" spans="1:5" x14ac:dyDescent="0.2">
      <c r="A4358" s="113">
        <v>39056</v>
      </c>
      <c r="B4358" s="111">
        <f t="shared" si="68"/>
        <v>115</v>
      </c>
      <c r="C4358" s="111"/>
      <c r="D4358" s="111"/>
      <c r="E4358" s="111"/>
    </row>
    <row r="4359" spans="1:5" x14ac:dyDescent="0.2">
      <c r="A4359" s="113">
        <v>39057</v>
      </c>
      <c r="B4359" s="111">
        <f t="shared" si="68"/>
        <v>115</v>
      </c>
      <c r="C4359" s="111"/>
      <c r="D4359" s="111"/>
      <c r="E4359" s="111"/>
    </row>
    <row r="4360" spans="1:5" x14ac:dyDescent="0.2">
      <c r="A4360" s="113">
        <v>39058</v>
      </c>
      <c r="B4360" s="111">
        <f t="shared" si="68"/>
        <v>115</v>
      </c>
      <c r="C4360" s="111"/>
      <c r="D4360" s="111"/>
      <c r="E4360" s="111"/>
    </row>
    <row r="4361" spans="1:5" x14ac:dyDescent="0.2">
      <c r="A4361" s="113">
        <v>39059</v>
      </c>
      <c r="B4361" s="111">
        <f t="shared" si="68"/>
        <v>115</v>
      </c>
      <c r="C4361" s="111"/>
      <c r="D4361" s="111"/>
      <c r="E4361" s="111"/>
    </row>
    <row r="4362" spans="1:5" x14ac:dyDescent="0.2">
      <c r="A4362" s="113">
        <v>39060</v>
      </c>
      <c r="B4362" s="111">
        <f t="shared" si="68"/>
        <v>115</v>
      </c>
      <c r="C4362" s="111"/>
      <c r="D4362" s="111"/>
      <c r="E4362" s="111"/>
    </row>
    <row r="4363" spans="1:5" x14ac:dyDescent="0.2">
      <c r="A4363" s="113">
        <v>39061</v>
      </c>
      <c r="B4363" s="111">
        <f t="shared" si="68"/>
        <v>121</v>
      </c>
      <c r="C4363" s="111"/>
      <c r="D4363" s="111"/>
      <c r="E4363" s="111"/>
    </row>
    <row r="4364" spans="1:5" x14ac:dyDescent="0.2">
      <c r="A4364" s="113">
        <v>39062</v>
      </c>
      <c r="B4364" s="111">
        <f t="shared" si="68"/>
        <v>121</v>
      </c>
      <c r="C4364" s="111"/>
      <c r="D4364" s="111"/>
      <c r="E4364" s="111"/>
    </row>
    <row r="4365" spans="1:5" x14ac:dyDescent="0.2">
      <c r="A4365" s="113">
        <v>39063</v>
      </c>
      <c r="B4365" s="111">
        <f t="shared" si="68"/>
        <v>121</v>
      </c>
      <c r="C4365" s="111"/>
      <c r="D4365" s="111"/>
      <c r="E4365" s="111"/>
    </row>
    <row r="4366" spans="1:5" x14ac:dyDescent="0.2">
      <c r="A4366" s="113">
        <v>39064</v>
      </c>
      <c r="B4366" s="111">
        <f t="shared" si="68"/>
        <v>121</v>
      </c>
      <c r="C4366" s="111"/>
      <c r="D4366" s="111"/>
      <c r="E4366" s="111"/>
    </row>
    <row r="4367" spans="1:5" x14ac:dyDescent="0.2">
      <c r="A4367" s="113">
        <v>39065</v>
      </c>
      <c r="B4367" s="111">
        <f t="shared" si="68"/>
        <v>121</v>
      </c>
      <c r="C4367" s="111"/>
      <c r="D4367" s="111"/>
      <c r="E4367" s="111"/>
    </row>
    <row r="4368" spans="1:5" x14ac:dyDescent="0.2">
      <c r="A4368" s="113">
        <v>39066</v>
      </c>
      <c r="B4368" s="111">
        <f t="shared" si="68"/>
        <v>121</v>
      </c>
      <c r="C4368" s="111"/>
      <c r="D4368" s="111"/>
      <c r="E4368" s="111"/>
    </row>
    <row r="4369" spans="1:5" x14ac:dyDescent="0.2">
      <c r="A4369" s="113">
        <v>39067</v>
      </c>
      <c r="B4369" s="111">
        <f t="shared" si="68"/>
        <v>121</v>
      </c>
      <c r="C4369" s="111"/>
      <c r="D4369" s="111"/>
      <c r="E4369" s="111"/>
    </row>
    <row r="4370" spans="1:5" x14ac:dyDescent="0.2">
      <c r="A4370" s="113">
        <v>39068</v>
      </c>
      <c r="B4370" s="111">
        <f t="shared" si="68"/>
        <v>122</v>
      </c>
      <c r="C4370" s="111"/>
      <c r="D4370" s="111"/>
      <c r="E4370" s="111"/>
    </row>
    <row r="4371" spans="1:5" x14ac:dyDescent="0.2">
      <c r="A4371" s="113">
        <v>39069</v>
      </c>
      <c r="B4371" s="111">
        <f t="shared" si="68"/>
        <v>122</v>
      </c>
      <c r="C4371" s="111"/>
      <c r="D4371" s="111"/>
      <c r="E4371" s="111"/>
    </row>
    <row r="4372" spans="1:5" x14ac:dyDescent="0.2">
      <c r="A4372" s="113">
        <v>39070</v>
      </c>
      <c r="B4372" s="111">
        <f t="shared" si="68"/>
        <v>122</v>
      </c>
      <c r="C4372" s="111"/>
      <c r="D4372" s="111"/>
      <c r="E4372" s="111"/>
    </row>
    <row r="4373" spans="1:5" x14ac:dyDescent="0.2">
      <c r="A4373" s="113">
        <v>39071</v>
      </c>
      <c r="B4373" s="111">
        <f t="shared" si="68"/>
        <v>122</v>
      </c>
      <c r="C4373" s="111"/>
      <c r="D4373" s="111"/>
      <c r="E4373" s="111"/>
    </row>
    <row r="4374" spans="1:5" x14ac:dyDescent="0.2">
      <c r="A4374" s="113">
        <v>39072</v>
      </c>
      <c r="B4374" s="111">
        <f t="shared" si="68"/>
        <v>122</v>
      </c>
      <c r="C4374" s="111"/>
      <c r="D4374" s="111"/>
      <c r="E4374" s="111"/>
    </row>
    <row r="4375" spans="1:5" x14ac:dyDescent="0.2">
      <c r="A4375" s="113">
        <v>39073</v>
      </c>
      <c r="B4375" s="111">
        <f t="shared" si="68"/>
        <v>122</v>
      </c>
      <c r="C4375" s="111"/>
      <c r="D4375" s="111"/>
      <c r="E4375" s="111"/>
    </row>
    <row r="4376" spans="1:5" x14ac:dyDescent="0.2">
      <c r="A4376" s="113">
        <v>39074</v>
      </c>
      <c r="B4376" s="111">
        <f t="shared" si="68"/>
        <v>122</v>
      </c>
      <c r="C4376" s="111"/>
      <c r="D4376" s="111"/>
      <c r="E4376" s="111"/>
    </row>
    <row r="4377" spans="1:5" x14ac:dyDescent="0.2">
      <c r="A4377" s="113">
        <v>39075</v>
      </c>
      <c r="B4377" s="111">
        <f t="shared" si="68"/>
        <v>123</v>
      </c>
      <c r="C4377" s="111"/>
      <c r="D4377" s="111"/>
      <c r="E4377" s="111"/>
    </row>
    <row r="4378" spans="1:5" x14ac:dyDescent="0.2">
      <c r="A4378" s="113">
        <v>39076</v>
      </c>
      <c r="B4378" s="111">
        <f t="shared" si="68"/>
        <v>123</v>
      </c>
      <c r="C4378" s="111"/>
      <c r="D4378" s="111"/>
      <c r="E4378" s="111"/>
    </row>
    <row r="4379" spans="1:5" x14ac:dyDescent="0.2">
      <c r="A4379" s="113">
        <v>39077</v>
      </c>
      <c r="B4379" s="111">
        <f t="shared" si="68"/>
        <v>123</v>
      </c>
      <c r="C4379" s="111"/>
      <c r="D4379" s="111"/>
      <c r="E4379" s="111"/>
    </row>
    <row r="4380" spans="1:5" x14ac:dyDescent="0.2">
      <c r="A4380" s="113">
        <v>39078</v>
      </c>
      <c r="B4380" s="111">
        <f t="shared" si="68"/>
        <v>123</v>
      </c>
      <c r="C4380" s="111"/>
      <c r="D4380" s="111"/>
      <c r="E4380" s="111"/>
    </row>
    <row r="4381" spans="1:5" x14ac:dyDescent="0.2">
      <c r="A4381" s="113">
        <v>39079</v>
      </c>
      <c r="B4381" s="111">
        <f t="shared" si="68"/>
        <v>123</v>
      </c>
      <c r="C4381" s="111"/>
      <c r="D4381" s="111"/>
      <c r="E4381" s="111"/>
    </row>
    <row r="4382" spans="1:5" x14ac:dyDescent="0.2">
      <c r="A4382" s="113">
        <v>39080</v>
      </c>
      <c r="B4382" s="111">
        <f t="shared" si="68"/>
        <v>123</v>
      </c>
      <c r="C4382" s="111"/>
      <c r="D4382" s="111"/>
      <c r="E4382" s="111"/>
    </row>
    <row r="4383" spans="1:5" x14ac:dyDescent="0.2">
      <c r="A4383" s="113">
        <v>39081</v>
      </c>
      <c r="B4383" s="111">
        <f t="shared" si="68"/>
        <v>123</v>
      </c>
      <c r="C4383" s="111"/>
      <c r="D4383" s="111"/>
      <c r="E4383" s="111"/>
    </row>
    <row r="4384" spans="1:5" x14ac:dyDescent="0.2">
      <c r="A4384" s="113">
        <v>39082</v>
      </c>
      <c r="B4384" s="111">
        <f t="shared" si="68"/>
        <v>124</v>
      </c>
      <c r="C4384" s="111"/>
      <c r="D4384" s="111"/>
      <c r="E4384" s="111"/>
    </row>
    <row r="4385" spans="1:5" x14ac:dyDescent="0.2">
      <c r="A4385" s="113">
        <v>39083</v>
      </c>
      <c r="B4385" s="111">
        <f t="shared" si="68"/>
        <v>11</v>
      </c>
      <c r="C4385" s="111"/>
      <c r="D4385" s="111"/>
      <c r="E4385" s="111"/>
    </row>
    <row r="4386" spans="1:5" x14ac:dyDescent="0.2">
      <c r="A4386" s="113">
        <v>39084</v>
      </c>
      <c r="B4386" s="111">
        <f t="shared" si="68"/>
        <v>11</v>
      </c>
      <c r="C4386" s="111"/>
      <c r="D4386" s="111"/>
      <c r="E4386" s="111"/>
    </row>
    <row r="4387" spans="1:5" x14ac:dyDescent="0.2">
      <c r="A4387" s="113">
        <v>39085</v>
      </c>
      <c r="B4387" s="111">
        <f t="shared" si="68"/>
        <v>11</v>
      </c>
      <c r="C4387" s="111"/>
      <c r="D4387" s="111"/>
      <c r="E4387" s="111"/>
    </row>
    <row r="4388" spans="1:5" x14ac:dyDescent="0.2">
      <c r="A4388" s="113">
        <v>39086</v>
      </c>
      <c r="B4388" s="111">
        <f t="shared" si="68"/>
        <v>11</v>
      </c>
      <c r="C4388" s="111"/>
      <c r="D4388" s="111"/>
      <c r="E4388" s="111"/>
    </row>
    <row r="4389" spans="1:5" x14ac:dyDescent="0.2">
      <c r="A4389" s="113">
        <v>39087</v>
      </c>
      <c r="B4389" s="111">
        <f t="shared" si="68"/>
        <v>11</v>
      </c>
      <c r="C4389" s="111"/>
      <c r="D4389" s="111"/>
      <c r="E4389" s="111"/>
    </row>
    <row r="4390" spans="1:5" x14ac:dyDescent="0.2">
      <c r="A4390" s="113">
        <v>39088</v>
      </c>
      <c r="B4390" s="111">
        <f t="shared" si="68"/>
        <v>11</v>
      </c>
      <c r="C4390" s="111"/>
      <c r="D4390" s="111"/>
      <c r="E4390" s="111"/>
    </row>
    <row r="4391" spans="1:5" x14ac:dyDescent="0.2">
      <c r="A4391" s="113">
        <v>39089</v>
      </c>
      <c r="B4391" s="111">
        <f t="shared" si="68"/>
        <v>12</v>
      </c>
      <c r="C4391" s="111"/>
      <c r="D4391" s="111"/>
      <c r="E4391" s="111"/>
    </row>
    <row r="4392" spans="1:5" x14ac:dyDescent="0.2">
      <c r="A4392" s="113">
        <v>39090</v>
      </c>
      <c r="B4392" s="111">
        <f t="shared" si="68"/>
        <v>12</v>
      </c>
      <c r="C4392" s="111"/>
      <c r="D4392" s="111"/>
      <c r="E4392" s="111"/>
    </row>
    <row r="4393" spans="1:5" x14ac:dyDescent="0.2">
      <c r="A4393" s="113">
        <v>39091</v>
      </c>
      <c r="B4393" s="111">
        <f t="shared" si="68"/>
        <v>12</v>
      </c>
      <c r="C4393" s="111"/>
      <c r="D4393" s="111"/>
      <c r="E4393" s="111"/>
    </row>
    <row r="4394" spans="1:5" x14ac:dyDescent="0.2">
      <c r="A4394" s="113">
        <v>39092</v>
      </c>
      <c r="B4394" s="111">
        <f t="shared" si="68"/>
        <v>12</v>
      </c>
      <c r="C4394" s="111"/>
      <c r="D4394" s="111"/>
      <c r="E4394" s="111"/>
    </row>
    <row r="4395" spans="1:5" x14ac:dyDescent="0.2">
      <c r="A4395" s="113">
        <v>39093</v>
      </c>
      <c r="B4395" s="111">
        <f t="shared" si="68"/>
        <v>12</v>
      </c>
      <c r="C4395" s="111"/>
      <c r="D4395" s="111"/>
      <c r="E4395" s="111"/>
    </row>
    <row r="4396" spans="1:5" x14ac:dyDescent="0.2">
      <c r="A4396" s="113">
        <v>39094</v>
      </c>
      <c r="B4396" s="111">
        <f t="shared" si="68"/>
        <v>12</v>
      </c>
      <c r="C4396" s="111"/>
      <c r="D4396" s="111"/>
      <c r="E4396" s="111"/>
    </row>
    <row r="4397" spans="1:5" x14ac:dyDescent="0.2">
      <c r="A4397" s="113">
        <v>39095</v>
      </c>
      <c r="B4397" s="111">
        <f t="shared" si="68"/>
        <v>12</v>
      </c>
      <c r="C4397" s="111"/>
      <c r="D4397" s="111"/>
      <c r="E4397" s="111"/>
    </row>
    <row r="4398" spans="1:5" x14ac:dyDescent="0.2">
      <c r="A4398" s="113">
        <v>39096</v>
      </c>
      <c r="B4398" s="111">
        <f t="shared" si="68"/>
        <v>13</v>
      </c>
      <c r="C4398" s="111"/>
      <c r="D4398" s="111"/>
      <c r="E4398" s="111"/>
    </row>
    <row r="4399" spans="1:5" x14ac:dyDescent="0.2">
      <c r="A4399" s="113">
        <v>39097</v>
      </c>
      <c r="B4399" s="111">
        <f t="shared" si="68"/>
        <v>13</v>
      </c>
      <c r="C4399" s="111"/>
      <c r="D4399" s="111"/>
      <c r="E4399" s="111"/>
    </row>
    <row r="4400" spans="1:5" x14ac:dyDescent="0.2">
      <c r="A4400" s="113">
        <v>39098</v>
      </c>
      <c r="B4400" s="111">
        <f t="shared" si="68"/>
        <v>13</v>
      </c>
      <c r="C4400" s="111"/>
      <c r="D4400" s="111"/>
      <c r="E4400" s="111"/>
    </row>
    <row r="4401" spans="1:5" x14ac:dyDescent="0.2">
      <c r="A4401" s="113">
        <v>39099</v>
      </c>
      <c r="B4401" s="111">
        <f t="shared" si="68"/>
        <v>13</v>
      </c>
      <c r="C4401" s="111"/>
      <c r="D4401" s="111"/>
      <c r="E4401" s="111"/>
    </row>
    <row r="4402" spans="1:5" x14ac:dyDescent="0.2">
      <c r="A4402" s="113">
        <v>39100</v>
      </c>
      <c r="B4402" s="111">
        <f t="shared" si="68"/>
        <v>13</v>
      </c>
      <c r="C4402" s="111"/>
      <c r="D4402" s="111"/>
      <c r="E4402" s="111"/>
    </row>
    <row r="4403" spans="1:5" x14ac:dyDescent="0.2">
      <c r="A4403" s="113">
        <v>39101</v>
      </c>
      <c r="B4403" s="111">
        <f t="shared" si="68"/>
        <v>13</v>
      </c>
      <c r="C4403" s="111"/>
      <c r="D4403" s="111"/>
      <c r="E4403" s="111"/>
    </row>
    <row r="4404" spans="1:5" x14ac:dyDescent="0.2">
      <c r="A4404" s="113">
        <v>39102</v>
      </c>
      <c r="B4404" s="111">
        <f t="shared" si="68"/>
        <v>13</v>
      </c>
      <c r="C4404" s="111"/>
      <c r="D4404" s="111"/>
      <c r="E4404" s="111"/>
    </row>
    <row r="4405" spans="1:5" x14ac:dyDescent="0.2">
      <c r="A4405" s="113">
        <v>39103</v>
      </c>
      <c r="B4405" s="111">
        <f t="shared" si="68"/>
        <v>14</v>
      </c>
      <c r="C4405" s="111"/>
      <c r="D4405" s="111"/>
      <c r="E4405" s="111"/>
    </row>
    <row r="4406" spans="1:5" x14ac:dyDescent="0.2">
      <c r="A4406" s="113">
        <v>39104</v>
      </c>
      <c r="B4406" s="111">
        <f t="shared" si="68"/>
        <v>14</v>
      </c>
      <c r="C4406" s="111"/>
      <c r="D4406" s="111"/>
      <c r="E4406" s="111"/>
    </row>
    <row r="4407" spans="1:5" x14ac:dyDescent="0.2">
      <c r="A4407" s="113">
        <v>39105</v>
      </c>
      <c r="B4407" s="111">
        <f t="shared" si="68"/>
        <v>14</v>
      </c>
      <c r="C4407" s="111"/>
      <c r="D4407" s="111"/>
      <c r="E4407" s="111"/>
    </row>
    <row r="4408" spans="1:5" x14ac:dyDescent="0.2">
      <c r="A4408" s="113">
        <v>39106</v>
      </c>
      <c r="B4408" s="111">
        <f t="shared" si="68"/>
        <v>14</v>
      </c>
      <c r="C4408" s="111"/>
      <c r="D4408" s="111"/>
      <c r="E4408" s="111"/>
    </row>
    <row r="4409" spans="1:5" x14ac:dyDescent="0.2">
      <c r="A4409" s="113">
        <v>39107</v>
      </c>
      <c r="B4409" s="111">
        <f t="shared" si="68"/>
        <v>14</v>
      </c>
      <c r="C4409" s="111"/>
      <c r="D4409" s="111"/>
      <c r="E4409" s="111"/>
    </row>
    <row r="4410" spans="1:5" x14ac:dyDescent="0.2">
      <c r="A4410" s="113">
        <v>39108</v>
      </c>
      <c r="B4410" s="111">
        <f t="shared" si="68"/>
        <v>14</v>
      </c>
      <c r="C4410" s="111"/>
      <c r="D4410" s="111"/>
      <c r="E4410" s="111"/>
    </row>
    <row r="4411" spans="1:5" x14ac:dyDescent="0.2">
      <c r="A4411" s="113">
        <v>39109</v>
      </c>
      <c r="B4411" s="111">
        <f t="shared" si="68"/>
        <v>14</v>
      </c>
      <c r="C4411" s="111"/>
      <c r="D4411" s="111"/>
      <c r="E4411" s="111"/>
    </row>
    <row r="4412" spans="1:5" x14ac:dyDescent="0.2">
      <c r="A4412" s="113">
        <v>39110</v>
      </c>
      <c r="B4412" s="111">
        <f t="shared" si="68"/>
        <v>15</v>
      </c>
      <c r="C4412" s="111"/>
      <c r="D4412" s="111"/>
      <c r="E4412" s="111"/>
    </row>
    <row r="4413" spans="1:5" x14ac:dyDescent="0.2">
      <c r="A4413" s="113">
        <v>39111</v>
      </c>
      <c r="B4413" s="111">
        <f t="shared" si="68"/>
        <v>15</v>
      </c>
      <c r="C4413" s="111"/>
      <c r="D4413" s="111"/>
      <c r="E4413" s="111"/>
    </row>
    <row r="4414" spans="1:5" x14ac:dyDescent="0.2">
      <c r="A4414" s="113">
        <v>39112</v>
      </c>
      <c r="B4414" s="111">
        <f t="shared" si="68"/>
        <v>15</v>
      </c>
      <c r="C4414" s="111"/>
      <c r="D4414" s="111"/>
      <c r="E4414" s="111"/>
    </row>
    <row r="4415" spans="1:5" x14ac:dyDescent="0.2">
      <c r="A4415" s="113">
        <v>39113</v>
      </c>
      <c r="B4415" s="111">
        <f t="shared" si="68"/>
        <v>15</v>
      </c>
      <c r="C4415" s="111"/>
      <c r="D4415" s="111"/>
      <c r="E4415" s="111"/>
    </row>
    <row r="4416" spans="1:5" x14ac:dyDescent="0.2">
      <c r="A4416" s="113">
        <v>39114</v>
      </c>
      <c r="B4416" s="111">
        <f t="shared" si="68"/>
        <v>15</v>
      </c>
      <c r="C4416" s="111"/>
      <c r="D4416" s="111"/>
      <c r="E4416" s="111"/>
    </row>
    <row r="4417" spans="1:5" x14ac:dyDescent="0.2">
      <c r="A4417" s="113">
        <v>39115</v>
      </c>
      <c r="B4417" s="111">
        <f t="shared" si="68"/>
        <v>15</v>
      </c>
      <c r="C4417" s="111"/>
      <c r="D4417" s="111"/>
      <c r="E4417" s="111"/>
    </row>
    <row r="4418" spans="1:5" x14ac:dyDescent="0.2">
      <c r="A4418" s="113">
        <v>39116</v>
      </c>
      <c r="B4418" s="111">
        <f t="shared" ref="B4418:B4481" si="69">VLOOKUP(WEEKNUM(A4418),$D$3:$E$58,2)</f>
        <v>15</v>
      </c>
      <c r="C4418" s="111"/>
      <c r="D4418" s="111"/>
      <c r="E4418" s="111"/>
    </row>
    <row r="4419" spans="1:5" x14ac:dyDescent="0.2">
      <c r="A4419" s="113">
        <v>39117</v>
      </c>
      <c r="B4419" s="111">
        <f t="shared" si="69"/>
        <v>21</v>
      </c>
      <c r="C4419" s="111"/>
      <c r="D4419" s="111"/>
      <c r="E4419" s="111"/>
    </row>
    <row r="4420" spans="1:5" x14ac:dyDescent="0.2">
      <c r="A4420" s="113">
        <v>39118</v>
      </c>
      <c r="B4420" s="111">
        <f t="shared" si="69"/>
        <v>21</v>
      </c>
      <c r="C4420" s="111"/>
      <c r="D4420" s="111"/>
      <c r="E4420" s="111"/>
    </row>
    <row r="4421" spans="1:5" x14ac:dyDescent="0.2">
      <c r="A4421" s="113">
        <v>39119</v>
      </c>
      <c r="B4421" s="111">
        <f t="shared" si="69"/>
        <v>21</v>
      </c>
      <c r="C4421" s="111"/>
      <c r="D4421" s="111"/>
      <c r="E4421" s="111"/>
    </row>
    <row r="4422" spans="1:5" x14ac:dyDescent="0.2">
      <c r="A4422" s="113">
        <v>39120</v>
      </c>
      <c r="B4422" s="111">
        <f t="shared" si="69"/>
        <v>21</v>
      </c>
      <c r="C4422" s="111"/>
      <c r="D4422" s="111"/>
      <c r="E4422" s="111"/>
    </row>
    <row r="4423" spans="1:5" x14ac:dyDescent="0.2">
      <c r="A4423" s="113">
        <v>39121</v>
      </c>
      <c r="B4423" s="111">
        <f t="shared" si="69"/>
        <v>21</v>
      </c>
      <c r="C4423" s="111"/>
      <c r="D4423" s="111"/>
      <c r="E4423" s="111"/>
    </row>
    <row r="4424" spans="1:5" x14ac:dyDescent="0.2">
      <c r="A4424" s="113">
        <v>39122</v>
      </c>
      <c r="B4424" s="111">
        <f t="shared" si="69"/>
        <v>21</v>
      </c>
      <c r="C4424" s="111"/>
      <c r="D4424" s="111"/>
      <c r="E4424" s="111"/>
    </row>
    <row r="4425" spans="1:5" x14ac:dyDescent="0.2">
      <c r="A4425" s="113">
        <v>39123</v>
      </c>
      <c r="B4425" s="111">
        <f t="shared" si="69"/>
        <v>21</v>
      </c>
      <c r="C4425" s="111"/>
      <c r="D4425" s="111"/>
      <c r="E4425" s="111"/>
    </row>
    <row r="4426" spans="1:5" x14ac:dyDescent="0.2">
      <c r="A4426" s="113">
        <v>39124</v>
      </c>
      <c r="B4426" s="111">
        <f t="shared" si="69"/>
        <v>22</v>
      </c>
      <c r="C4426" s="111"/>
      <c r="D4426" s="111"/>
      <c r="E4426" s="111"/>
    </row>
    <row r="4427" spans="1:5" x14ac:dyDescent="0.2">
      <c r="A4427" s="113">
        <v>39125</v>
      </c>
      <c r="B4427" s="111">
        <f t="shared" si="69"/>
        <v>22</v>
      </c>
      <c r="C4427" s="111"/>
      <c r="D4427" s="111"/>
      <c r="E4427" s="111"/>
    </row>
    <row r="4428" spans="1:5" x14ac:dyDescent="0.2">
      <c r="A4428" s="113">
        <v>39126</v>
      </c>
      <c r="B4428" s="111">
        <f t="shared" si="69"/>
        <v>22</v>
      </c>
      <c r="C4428" s="111"/>
      <c r="D4428" s="111"/>
      <c r="E4428" s="111"/>
    </row>
    <row r="4429" spans="1:5" x14ac:dyDescent="0.2">
      <c r="A4429" s="113">
        <v>39127</v>
      </c>
      <c r="B4429" s="111">
        <f t="shared" si="69"/>
        <v>22</v>
      </c>
      <c r="C4429" s="111"/>
      <c r="D4429" s="111"/>
      <c r="E4429" s="111"/>
    </row>
    <row r="4430" spans="1:5" x14ac:dyDescent="0.2">
      <c r="A4430" s="113">
        <v>39128</v>
      </c>
      <c r="B4430" s="111">
        <f t="shared" si="69"/>
        <v>22</v>
      </c>
      <c r="C4430" s="111"/>
      <c r="D4430" s="111"/>
      <c r="E4430" s="111"/>
    </row>
    <row r="4431" spans="1:5" x14ac:dyDescent="0.2">
      <c r="A4431" s="113">
        <v>39129</v>
      </c>
      <c r="B4431" s="111">
        <f t="shared" si="69"/>
        <v>22</v>
      </c>
      <c r="C4431" s="111"/>
      <c r="D4431" s="111"/>
      <c r="E4431" s="111"/>
    </row>
    <row r="4432" spans="1:5" x14ac:dyDescent="0.2">
      <c r="A4432" s="113">
        <v>39130</v>
      </c>
      <c r="B4432" s="111">
        <f t="shared" si="69"/>
        <v>22</v>
      </c>
      <c r="C4432" s="111"/>
      <c r="D4432" s="111"/>
      <c r="E4432" s="111"/>
    </row>
    <row r="4433" spans="1:5" x14ac:dyDescent="0.2">
      <c r="A4433" s="113">
        <v>39131</v>
      </c>
      <c r="B4433" s="111">
        <f t="shared" si="69"/>
        <v>23</v>
      </c>
      <c r="C4433" s="111"/>
      <c r="D4433" s="111"/>
      <c r="E4433" s="111"/>
    </row>
    <row r="4434" spans="1:5" x14ac:dyDescent="0.2">
      <c r="A4434" s="113">
        <v>39132</v>
      </c>
      <c r="B4434" s="111">
        <f t="shared" si="69"/>
        <v>23</v>
      </c>
      <c r="C4434" s="111"/>
      <c r="D4434" s="111"/>
      <c r="E4434" s="111"/>
    </row>
    <row r="4435" spans="1:5" x14ac:dyDescent="0.2">
      <c r="A4435" s="113">
        <v>39133</v>
      </c>
      <c r="B4435" s="111">
        <f t="shared" si="69"/>
        <v>23</v>
      </c>
      <c r="C4435" s="111"/>
      <c r="D4435" s="111"/>
      <c r="E4435" s="111"/>
    </row>
    <row r="4436" spans="1:5" x14ac:dyDescent="0.2">
      <c r="A4436" s="113">
        <v>39134</v>
      </c>
      <c r="B4436" s="111">
        <f t="shared" si="69"/>
        <v>23</v>
      </c>
      <c r="C4436" s="111"/>
      <c r="D4436" s="111"/>
      <c r="E4436" s="111"/>
    </row>
    <row r="4437" spans="1:5" x14ac:dyDescent="0.2">
      <c r="A4437" s="113">
        <v>39135</v>
      </c>
      <c r="B4437" s="111">
        <f t="shared" si="69"/>
        <v>23</v>
      </c>
      <c r="C4437" s="111"/>
      <c r="D4437" s="111"/>
      <c r="E4437" s="111"/>
    </row>
    <row r="4438" spans="1:5" x14ac:dyDescent="0.2">
      <c r="A4438" s="113">
        <v>39136</v>
      </c>
      <c r="B4438" s="111">
        <f t="shared" si="69"/>
        <v>23</v>
      </c>
      <c r="C4438" s="111"/>
      <c r="D4438" s="111"/>
      <c r="E4438" s="111"/>
    </row>
    <row r="4439" spans="1:5" x14ac:dyDescent="0.2">
      <c r="A4439" s="113">
        <v>39137</v>
      </c>
      <c r="B4439" s="111">
        <f t="shared" si="69"/>
        <v>23</v>
      </c>
      <c r="C4439" s="111"/>
      <c r="D4439" s="111"/>
      <c r="E4439" s="111"/>
    </row>
    <row r="4440" spans="1:5" x14ac:dyDescent="0.2">
      <c r="A4440" s="113">
        <v>39138</v>
      </c>
      <c r="B4440" s="111">
        <f t="shared" si="69"/>
        <v>24</v>
      </c>
      <c r="C4440" s="111"/>
      <c r="D4440" s="111"/>
      <c r="E4440" s="111"/>
    </row>
    <row r="4441" spans="1:5" x14ac:dyDescent="0.2">
      <c r="A4441" s="113">
        <v>39139</v>
      </c>
      <c r="B4441" s="111">
        <f t="shared" si="69"/>
        <v>24</v>
      </c>
      <c r="C4441" s="111"/>
      <c r="D4441" s="111"/>
      <c r="E4441" s="111"/>
    </row>
    <row r="4442" spans="1:5" x14ac:dyDescent="0.2">
      <c r="A4442" s="113">
        <v>39140</v>
      </c>
      <c r="B4442" s="111">
        <f t="shared" si="69"/>
        <v>24</v>
      </c>
      <c r="C4442" s="111"/>
      <c r="D4442" s="111"/>
      <c r="E4442" s="111"/>
    </row>
    <row r="4443" spans="1:5" x14ac:dyDescent="0.2">
      <c r="A4443" s="113">
        <v>39141</v>
      </c>
      <c r="B4443" s="111">
        <f t="shared" si="69"/>
        <v>24</v>
      </c>
      <c r="C4443" s="111"/>
      <c r="D4443" s="111"/>
      <c r="E4443" s="111"/>
    </row>
    <row r="4444" spans="1:5" x14ac:dyDescent="0.2">
      <c r="A4444" s="113">
        <v>39142</v>
      </c>
      <c r="B4444" s="111">
        <f t="shared" si="69"/>
        <v>24</v>
      </c>
      <c r="C4444" s="111"/>
      <c r="D4444" s="111"/>
      <c r="E4444" s="111"/>
    </row>
    <row r="4445" spans="1:5" x14ac:dyDescent="0.2">
      <c r="A4445" s="113">
        <v>39143</v>
      </c>
      <c r="B4445" s="111">
        <f t="shared" si="69"/>
        <v>24</v>
      </c>
      <c r="C4445" s="111"/>
      <c r="D4445" s="111"/>
      <c r="E4445" s="111"/>
    </row>
    <row r="4446" spans="1:5" x14ac:dyDescent="0.2">
      <c r="A4446" s="113">
        <v>39144</v>
      </c>
      <c r="B4446" s="111">
        <f t="shared" si="69"/>
        <v>24</v>
      </c>
      <c r="C4446" s="111"/>
      <c r="D4446" s="111"/>
      <c r="E4446" s="111"/>
    </row>
    <row r="4447" spans="1:5" x14ac:dyDescent="0.2">
      <c r="A4447" s="113">
        <v>39145</v>
      </c>
      <c r="B4447" s="111">
        <f t="shared" si="69"/>
        <v>31</v>
      </c>
      <c r="C4447" s="111"/>
      <c r="D4447" s="111"/>
      <c r="E4447" s="111"/>
    </row>
    <row r="4448" spans="1:5" x14ac:dyDescent="0.2">
      <c r="A4448" s="113">
        <v>39146</v>
      </c>
      <c r="B4448" s="111">
        <f t="shared" si="69"/>
        <v>31</v>
      </c>
      <c r="C4448" s="111"/>
      <c r="D4448" s="111"/>
      <c r="E4448" s="111"/>
    </row>
    <row r="4449" spans="1:5" x14ac:dyDescent="0.2">
      <c r="A4449" s="113">
        <v>39147</v>
      </c>
      <c r="B4449" s="111">
        <f t="shared" si="69"/>
        <v>31</v>
      </c>
      <c r="C4449" s="111"/>
      <c r="D4449" s="111"/>
      <c r="E4449" s="111"/>
    </row>
    <row r="4450" spans="1:5" x14ac:dyDescent="0.2">
      <c r="A4450" s="113">
        <v>39148</v>
      </c>
      <c r="B4450" s="111">
        <f t="shared" si="69"/>
        <v>31</v>
      </c>
      <c r="C4450" s="111"/>
      <c r="D4450" s="111"/>
      <c r="E4450" s="111"/>
    </row>
    <row r="4451" spans="1:5" x14ac:dyDescent="0.2">
      <c r="A4451" s="113">
        <v>39149</v>
      </c>
      <c r="B4451" s="111">
        <f t="shared" si="69"/>
        <v>31</v>
      </c>
      <c r="C4451" s="111"/>
      <c r="D4451" s="111"/>
      <c r="E4451" s="111"/>
    </row>
    <row r="4452" spans="1:5" x14ac:dyDescent="0.2">
      <c r="A4452" s="113">
        <v>39150</v>
      </c>
      <c r="B4452" s="111">
        <f t="shared" si="69"/>
        <v>31</v>
      </c>
      <c r="C4452" s="111"/>
      <c r="D4452" s="111"/>
      <c r="E4452" s="111"/>
    </row>
    <row r="4453" spans="1:5" x14ac:dyDescent="0.2">
      <c r="A4453" s="113">
        <v>39151</v>
      </c>
      <c r="B4453" s="111">
        <f t="shared" si="69"/>
        <v>31</v>
      </c>
      <c r="C4453" s="111"/>
      <c r="D4453" s="111"/>
      <c r="E4453" s="111"/>
    </row>
    <row r="4454" spans="1:5" x14ac:dyDescent="0.2">
      <c r="A4454" s="113">
        <v>39152</v>
      </c>
      <c r="B4454" s="111">
        <f t="shared" si="69"/>
        <v>32</v>
      </c>
      <c r="C4454" s="111"/>
      <c r="D4454" s="111"/>
      <c r="E4454" s="111"/>
    </row>
    <row r="4455" spans="1:5" x14ac:dyDescent="0.2">
      <c r="A4455" s="113">
        <v>39153</v>
      </c>
      <c r="B4455" s="111">
        <f t="shared" si="69"/>
        <v>32</v>
      </c>
      <c r="C4455" s="111"/>
      <c r="D4455" s="111"/>
      <c r="E4455" s="111"/>
    </row>
    <row r="4456" spans="1:5" x14ac:dyDescent="0.2">
      <c r="A4456" s="113">
        <v>39154</v>
      </c>
      <c r="B4456" s="111">
        <f t="shared" si="69"/>
        <v>32</v>
      </c>
      <c r="C4456" s="111"/>
      <c r="D4456" s="111"/>
      <c r="E4456" s="111"/>
    </row>
    <row r="4457" spans="1:5" x14ac:dyDescent="0.2">
      <c r="A4457" s="113">
        <v>39155</v>
      </c>
      <c r="B4457" s="111">
        <f t="shared" si="69"/>
        <v>32</v>
      </c>
      <c r="C4457" s="111"/>
      <c r="D4457" s="111"/>
      <c r="E4457" s="111"/>
    </row>
    <row r="4458" spans="1:5" x14ac:dyDescent="0.2">
      <c r="A4458" s="113">
        <v>39156</v>
      </c>
      <c r="B4458" s="111">
        <f t="shared" si="69"/>
        <v>32</v>
      </c>
      <c r="C4458" s="111"/>
      <c r="D4458" s="111"/>
      <c r="E4458" s="111"/>
    </row>
    <row r="4459" spans="1:5" x14ac:dyDescent="0.2">
      <c r="A4459" s="113">
        <v>39157</v>
      </c>
      <c r="B4459" s="111">
        <f t="shared" si="69"/>
        <v>32</v>
      </c>
      <c r="C4459" s="111"/>
      <c r="D4459" s="111"/>
      <c r="E4459" s="111"/>
    </row>
    <row r="4460" spans="1:5" x14ac:dyDescent="0.2">
      <c r="A4460" s="113">
        <v>39158</v>
      </c>
      <c r="B4460" s="111">
        <f t="shared" si="69"/>
        <v>32</v>
      </c>
      <c r="C4460" s="111"/>
      <c r="D4460" s="111"/>
      <c r="E4460" s="111"/>
    </row>
    <row r="4461" spans="1:5" x14ac:dyDescent="0.2">
      <c r="A4461" s="113">
        <v>39159</v>
      </c>
      <c r="B4461" s="111">
        <f t="shared" si="69"/>
        <v>33</v>
      </c>
      <c r="C4461" s="111"/>
      <c r="D4461" s="111"/>
      <c r="E4461" s="111"/>
    </row>
    <row r="4462" spans="1:5" x14ac:dyDescent="0.2">
      <c r="A4462" s="113">
        <v>39160</v>
      </c>
      <c r="B4462" s="111">
        <f t="shared" si="69"/>
        <v>33</v>
      </c>
      <c r="C4462" s="111"/>
      <c r="D4462" s="111"/>
      <c r="E4462" s="111"/>
    </row>
    <row r="4463" spans="1:5" x14ac:dyDescent="0.2">
      <c r="A4463" s="113">
        <v>39161</v>
      </c>
      <c r="B4463" s="111">
        <f t="shared" si="69"/>
        <v>33</v>
      </c>
      <c r="C4463" s="111"/>
      <c r="D4463" s="111"/>
      <c r="E4463" s="111"/>
    </row>
    <row r="4464" spans="1:5" x14ac:dyDescent="0.2">
      <c r="A4464" s="113">
        <v>39162</v>
      </c>
      <c r="B4464" s="111">
        <f t="shared" si="69"/>
        <v>33</v>
      </c>
      <c r="C4464" s="111"/>
      <c r="D4464" s="111"/>
      <c r="E4464" s="111"/>
    </row>
    <row r="4465" spans="1:5" x14ac:dyDescent="0.2">
      <c r="A4465" s="113">
        <v>39163</v>
      </c>
      <c r="B4465" s="111">
        <f t="shared" si="69"/>
        <v>33</v>
      </c>
      <c r="C4465" s="111"/>
      <c r="D4465" s="111"/>
      <c r="E4465" s="111"/>
    </row>
    <row r="4466" spans="1:5" x14ac:dyDescent="0.2">
      <c r="A4466" s="113">
        <v>39164</v>
      </c>
      <c r="B4466" s="111">
        <f t="shared" si="69"/>
        <v>33</v>
      </c>
      <c r="C4466" s="111"/>
      <c r="D4466" s="111"/>
      <c r="E4466" s="111"/>
    </row>
    <row r="4467" spans="1:5" x14ac:dyDescent="0.2">
      <c r="A4467" s="113">
        <v>39165</v>
      </c>
      <c r="B4467" s="111">
        <f t="shared" si="69"/>
        <v>33</v>
      </c>
      <c r="C4467" s="111"/>
      <c r="D4467" s="111"/>
      <c r="E4467" s="111"/>
    </row>
    <row r="4468" spans="1:5" x14ac:dyDescent="0.2">
      <c r="A4468" s="113">
        <v>39166</v>
      </c>
      <c r="B4468" s="111">
        <f t="shared" si="69"/>
        <v>34</v>
      </c>
      <c r="C4468" s="111"/>
      <c r="D4468" s="111"/>
      <c r="E4468" s="111"/>
    </row>
    <row r="4469" spans="1:5" x14ac:dyDescent="0.2">
      <c r="A4469" s="113">
        <v>39167</v>
      </c>
      <c r="B4469" s="111">
        <f t="shared" si="69"/>
        <v>34</v>
      </c>
      <c r="C4469" s="111"/>
      <c r="D4469" s="111"/>
      <c r="E4469" s="111"/>
    </row>
    <row r="4470" spans="1:5" x14ac:dyDescent="0.2">
      <c r="A4470" s="113">
        <v>39168</v>
      </c>
      <c r="B4470" s="111">
        <f t="shared" si="69"/>
        <v>34</v>
      </c>
      <c r="C4470" s="111"/>
      <c r="D4470" s="111"/>
      <c r="E4470" s="111"/>
    </row>
    <row r="4471" spans="1:5" x14ac:dyDescent="0.2">
      <c r="A4471" s="113">
        <v>39169</v>
      </c>
      <c r="B4471" s="111">
        <f t="shared" si="69"/>
        <v>34</v>
      </c>
      <c r="C4471" s="111"/>
      <c r="D4471" s="111"/>
      <c r="E4471" s="111"/>
    </row>
    <row r="4472" spans="1:5" x14ac:dyDescent="0.2">
      <c r="A4472" s="113">
        <v>39170</v>
      </c>
      <c r="B4472" s="111">
        <f t="shared" si="69"/>
        <v>34</v>
      </c>
      <c r="C4472" s="111"/>
      <c r="D4472" s="111"/>
      <c r="E4472" s="111"/>
    </row>
    <row r="4473" spans="1:5" x14ac:dyDescent="0.2">
      <c r="A4473" s="113">
        <v>39171</v>
      </c>
      <c r="B4473" s="111">
        <f t="shared" si="69"/>
        <v>34</v>
      </c>
      <c r="C4473" s="111"/>
      <c r="D4473" s="111"/>
      <c r="E4473" s="111"/>
    </row>
    <row r="4474" spans="1:5" x14ac:dyDescent="0.2">
      <c r="A4474" s="113">
        <v>39172</v>
      </c>
      <c r="B4474" s="111">
        <f t="shared" si="69"/>
        <v>34</v>
      </c>
      <c r="C4474" s="111"/>
      <c r="D4474" s="111"/>
      <c r="E4474" s="111"/>
    </row>
    <row r="4475" spans="1:5" x14ac:dyDescent="0.2">
      <c r="A4475" s="113">
        <v>39173</v>
      </c>
      <c r="B4475" s="111">
        <f t="shared" si="69"/>
        <v>41</v>
      </c>
      <c r="C4475" s="111"/>
      <c r="D4475" s="111"/>
      <c r="E4475" s="111"/>
    </row>
    <row r="4476" spans="1:5" x14ac:dyDescent="0.2">
      <c r="A4476" s="113">
        <v>39174</v>
      </c>
      <c r="B4476" s="111">
        <f t="shared" si="69"/>
        <v>41</v>
      </c>
      <c r="C4476" s="111"/>
      <c r="D4476" s="111"/>
      <c r="E4476" s="111"/>
    </row>
    <row r="4477" spans="1:5" x14ac:dyDescent="0.2">
      <c r="A4477" s="113">
        <v>39175</v>
      </c>
      <c r="B4477" s="111">
        <f t="shared" si="69"/>
        <v>41</v>
      </c>
      <c r="C4477" s="111"/>
      <c r="D4477" s="111"/>
      <c r="E4477" s="111"/>
    </row>
    <row r="4478" spans="1:5" x14ac:dyDescent="0.2">
      <c r="A4478" s="113">
        <v>39176</v>
      </c>
      <c r="B4478" s="111">
        <f t="shared" si="69"/>
        <v>41</v>
      </c>
      <c r="C4478" s="111"/>
      <c r="D4478" s="111"/>
      <c r="E4478" s="111"/>
    </row>
    <row r="4479" spans="1:5" x14ac:dyDescent="0.2">
      <c r="A4479" s="113">
        <v>39177</v>
      </c>
      <c r="B4479" s="111">
        <f t="shared" si="69"/>
        <v>41</v>
      </c>
      <c r="C4479" s="111"/>
      <c r="D4479" s="111"/>
      <c r="E4479" s="111"/>
    </row>
    <row r="4480" spans="1:5" x14ac:dyDescent="0.2">
      <c r="A4480" s="113">
        <v>39178</v>
      </c>
      <c r="B4480" s="111">
        <f t="shared" si="69"/>
        <v>41</v>
      </c>
      <c r="C4480" s="111"/>
      <c r="D4480" s="111"/>
      <c r="E4480" s="111"/>
    </row>
    <row r="4481" spans="1:5" x14ac:dyDescent="0.2">
      <c r="A4481" s="113">
        <v>39179</v>
      </c>
      <c r="B4481" s="111">
        <f t="shared" si="69"/>
        <v>41</v>
      </c>
      <c r="C4481" s="111"/>
      <c r="D4481" s="111"/>
      <c r="E4481" s="111"/>
    </row>
    <row r="4482" spans="1:5" x14ac:dyDescent="0.2">
      <c r="A4482" s="113">
        <v>39180</v>
      </c>
      <c r="B4482" s="111">
        <f t="shared" ref="B4482:B4545" si="70">VLOOKUP(WEEKNUM(A4482),$D$3:$E$58,2)</f>
        <v>42</v>
      </c>
      <c r="C4482" s="111"/>
      <c r="D4482" s="111"/>
      <c r="E4482" s="111"/>
    </row>
    <row r="4483" spans="1:5" x14ac:dyDescent="0.2">
      <c r="A4483" s="113">
        <v>39181</v>
      </c>
      <c r="B4483" s="111">
        <f t="shared" si="70"/>
        <v>42</v>
      </c>
      <c r="C4483" s="111"/>
      <c r="D4483" s="111"/>
      <c r="E4483" s="111"/>
    </row>
    <row r="4484" spans="1:5" x14ac:dyDescent="0.2">
      <c r="A4484" s="113">
        <v>39182</v>
      </c>
      <c r="B4484" s="111">
        <f t="shared" si="70"/>
        <v>42</v>
      </c>
      <c r="C4484" s="111"/>
      <c r="D4484" s="111"/>
      <c r="E4484" s="111"/>
    </row>
    <row r="4485" spans="1:5" x14ac:dyDescent="0.2">
      <c r="A4485" s="113">
        <v>39183</v>
      </c>
      <c r="B4485" s="111">
        <f t="shared" si="70"/>
        <v>42</v>
      </c>
      <c r="C4485" s="111"/>
      <c r="D4485" s="111"/>
      <c r="E4485" s="111"/>
    </row>
    <row r="4486" spans="1:5" x14ac:dyDescent="0.2">
      <c r="A4486" s="113">
        <v>39184</v>
      </c>
      <c r="B4486" s="111">
        <f t="shared" si="70"/>
        <v>42</v>
      </c>
      <c r="C4486" s="111"/>
      <c r="D4486" s="111"/>
      <c r="E4486" s="111"/>
    </row>
    <row r="4487" spans="1:5" x14ac:dyDescent="0.2">
      <c r="A4487" s="113">
        <v>39185</v>
      </c>
      <c r="B4487" s="111">
        <f t="shared" si="70"/>
        <v>42</v>
      </c>
      <c r="C4487" s="111"/>
      <c r="D4487" s="111"/>
      <c r="E4487" s="111"/>
    </row>
    <row r="4488" spans="1:5" x14ac:dyDescent="0.2">
      <c r="A4488" s="113">
        <v>39186</v>
      </c>
      <c r="B4488" s="111">
        <f t="shared" si="70"/>
        <v>42</v>
      </c>
      <c r="C4488" s="111"/>
      <c r="D4488" s="111"/>
      <c r="E4488" s="111"/>
    </row>
    <row r="4489" spans="1:5" x14ac:dyDescent="0.2">
      <c r="A4489" s="113">
        <v>39187</v>
      </c>
      <c r="B4489" s="111">
        <f t="shared" si="70"/>
        <v>43</v>
      </c>
      <c r="C4489" s="111"/>
      <c r="D4489" s="111"/>
      <c r="E4489" s="111"/>
    </row>
    <row r="4490" spans="1:5" x14ac:dyDescent="0.2">
      <c r="A4490" s="113">
        <v>39188</v>
      </c>
      <c r="B4490" s="111">
        <f t="shared" si="70"/>
        <v>43</v>
      </c>
      <c r="C4490" s="111"/>
      <c r="D4490" s="111"/>
      <c r="E4490" s="111"/>
    </row>
    <row r="4491" spans="1:5" x14ac:dyDescent="0.2">
      <c r="A4491" s="113">
        <v>39189</v>
      </c>
      <c r="B4491" s="111">
        <f t="shared" si="70"/>
        <v>43</v>
      </c>
      <c r="C4491" s="111"/>
      <c r="D4491" s="111"/>
      <c r="E4491" s="111"/>
    </row>
    <row r="4492" spans="1:5" x14ac:dyDescent="0.2">
      <c r="A4492" s="113">
        <v>39190</v>
      </c>
      <c r="B4492" s="111">
        <f t="shared" si="70"/>
        <v>43</v>
      </c>
      <c r="C4492" s="111"/>
      <c r="D4492" s="111"/>
      <c r="E4492" s="111"/>
    </row>
    <row r="4493" spans="1:5" x14ac:dyDescent="0.2">
      <c r="A4493" s="113">
        <v>39191</v>
      </c>
      <c r="B4493" s="111">
        <f t="shared" si="70"/>
        <v>43</v>
      </c>
      <c r="C4493" s="111"/>
      <c r="D4493" s="111"/>
      <c r="E4493" s="111"/>
    </row>
    <row r="4494" spans="1:5" x14ac:dyDescent="0.2">
      <c r="A4494" s="113">
        <v>39192</v>
      </c>
      <c r="B4494" s="111">
        <f t="shared" si="70"/>
        <v>43</v>
      </c>
      <c r="C4494" s="111"/>
      <c r="D4494" s="111"/>
      <c r="E4494" s="111"/>
    </row>
    <row r="4495" spans="1:5" x14ac:dyDescent="0.2">
      <c r="A4495" s="113">
        <v>39193</v>
      </c>
      <c r="B4495" s="111">
        <f t="shared" si="70"/>
        <v>43</v>
      </c>
      <c r="C4495" s="111"/>
      <c r="D4495" s="111"/>
      <c r="E4495" s="111"/>
    </row>
    <row r="4496" spans="1:5" x14ac:dyDescent="0.2">
      <c r="A4496" s="113">
        <v>39194</v>
      </c>
      <c r="B4496" s="111">
        <f t="shared" si="70"/>
        <v>44</v>
      </c>
      <c r="C4496" s="111"/>
      <c r="D4496" s="111"/>
      <c r="E4496" s="111"/>
    </row>
    <row r="4497" spans="1:5" x14ac:dyDescent="0.2">
      <c r="A4497" s="113">
        <v>39195</v>
      </c>
      <c r="B4497" s="111">
        <f t="shared" si="70"/>
        <v>44</v>
      </c>
      <c r="C4497" s="111"/>
      <c r="D4497" s="111"/>
      <c r="E4497" s="111"/>
    </row>
    <row r="4498" spans="1:5" x14ac:dyDescent="0.2">
      <c r="A4498" s="113">
        <v>39196</v>
      </c>
      <c r="B4498" s="111">
        <f t="shared" si="70"/>
        <v>44</v>
      </c>
      <c r="C4498" s="111"/>
      <c r="D4498" s="111"/>
      <c r="E4498" s="111"/>
    </row>
    <row r="4499" spans="1:5" x14ac:dyDescent="0.2">
      <c r="A4499" s="113">
        <v>39197</v>
      </c>
      <c r="B4499" s="111">
        <f t="shared" si="70"/>
        <v>44</v>
      </c>
      <c r="C4499" s="111"/>
      <c r="D4499" s="111"/>
      <c r="E4499" s="111"/>
    </row>
    <row r="4500" spans="1:5" x14ac:dyDescent="0.2">
      <c r="A4500" s="113">
        <v>39198</v>
      </c>
      <c r="B4500" s="111">
        <f t="shared" si="70"/>
        <v>44</v>
      </c>
      <c r="C4500" s="111"/>
      <c r="D4500" s="111"/>
      <c r="E4500" s="111"/>
    </row>
    <row r="4501" spans="1:5" x14ac:dyDescent="0.2">
      <c r="A4501" s="113">
        <v>39199</v>
      </c>
      <c r="B4501" s="111">
        <f t="shared" si="70"/>
        <v>44</v>
      </c>
      <c r="C4501" s="111"/>
      <c r="D4501" s="111"/>
      <c r="E4501" s="111"/>
    </row>
    <row r="4502" spans="1:5" x14ac:dyDescent="0.2">
      <c r="A4502" s="113">
        <v>39200</v>
      </c>
      <c r="B4502" s="111">
        <f t="shared" si="70"/>
        <v>44</v>
      </c>
      <c r="C4502" s="111"/>
      <c r="D4502" s="111"/>
      <c r="E4502" s="111"/>
    </row>
    <row r="4503" spans="1:5" x14ac:dyDescent="0.2">
      <c r="A4503" s="113">
        <v>39201</v>
      </c>
      <c r="B4503" s="111">
        <f t="shared" si="70"/>
        <v>45</v>
      </c>
      <c r="C4503" s="111"/>
      <c r="D4503" s="111"/>
      <c r="E4503" s="111"/>
    </row>
    <row r="4504" spans="1:5" x14ac:dyDescent="0.2">
      <c r="A4504" s="113">
        <v>39202</v>
      </c>
      <c r="B4504" s="111">
        <f t="shared" si="70"/>
        <v>45</v>
      </c>
      <c r="C4504" s="111"/>
      <c r="D4504" s="111"/>
      <c r="E4504" s="111"/>
    </row>
    <row r="4505" spans="1:5" x14ac:dyDescent="0.2">
      <c r="A4505" s="113">
        <v>39203</v>
      </c>
      <c r="B4505" s="111">
        <f t="shared" si="70"/>
        <v>45</v>
      </c>
      <c r="C4505" s="111"/>
      <c r="D4505" s="111"/>
      <c r="E4505" s="111"/>
    </row>
    <row r="4506" spans="1:5" x14ac:dyDescent="0.2">
      <c r="A4506" s="113">
        <v>39204</v>
      </c>
      <c r="B4506" s="111">
        <f t="shared" si="70"/>
        <v>45</v>
      </c>
      <c r="C4506" s="111"/>
      <c r="D4506" s="111"/>
      <c r="E4506" s="111"/>
    </row>
    <row r="4507" spans="1:5" x14ac:dyDescent="0.2">
      <c r="A4507" s="113">
        <v>39205</v>
      </c>
      <c r="B4507" s="111">
        <f t="shared" si="70"/>
        <v>45</v>
      </c>
      <c r="C4507" s="111"/>
      <c r="D4507" s="111"/>
      <c r="E4507" s="111"/>
    </row>
    <row r="4508" spans="1:5" x14ac:dyDescent="0.2">
      <c r="A4508" s="113">
        <v>39206</v>
      </c>
      <c r="B4508" s="111">
        <f t="shared" si="70"/>
        <v>45</v>
      </c>
      <c r="C4508" s="111"/>
      <c r="D4508" s="111"/>
      <c r="E4508" s="111"/>
    </row>
    <row r="4509" spans="1:5" x14ac:dyDescent="0.2">
      <c r="A4509" s="113">
        <v>39207</v>
      </c>
      <c r="B4509" s="111">
        <f t="shared" si="70"/>
        <v>45</v>
      </c>
      <c r="C4509" s="111"/>
      <c r="D4509" s="111"/>
      <c r="E4509" s="111"/>
    </row>
    <row r="4510" spans="1:5" x14ac:dyDescent="0.2">
      <c r="A4510" s="113">
        <v>39208</v>
      </c>
      <c r="B4510" s="111">
        <f t="shared" si="70"/>
        <v>51</v>
      </c>
      <c r="C4510" s="111"/>
      <c r="D4510" s="111"/>
      <c r="E4510" s="111"/>
    </row>
    <row r="4511" spans="1:5" x14ac:dyDescent="0.2">
      <c r="A4511" s="113">
        <v>39209</v>
      </c>
      <c r="B4511" s="111">
        <f t="shared" si="70"/>
        <v>51</v>
      </c>
      <c r="C4511" s="111"/>
      <c r="D4511" s="111"/>
      <c r="E4511" s="111"/>
    </row>
    <row r="4512" spans="1:5" x14ac:dyDescent="0.2">
      <c r="A4512" s="113">
        <v>39210</v>
      </c>
      <c r="B4512" s="111">
        <f t="shared" si="70"/>
        <v>51</v>
      </c>
      <c r="C4512" s="111"/>
      <c r="D4512" s="111"/>
      <c r="E4512" s="111"/>
    </row>
    <row r="4513" spans="1:5" x14ac:dyDescent="0.2">
      <c r="A4513" s="113">
        <v>39211</v>
      </c>
      <c r="B4513" s="111">
        <f t="shared" si="70"/>
        <v>51</v>
      </c>
      <c r="C4513" s="111"/>
      <c r="D4513" s="111"/>
      <c r="E4513" s="111"/>
    </row>
    <row r="4514" spans="1:5" x14ac:dyDescent="0.2">
      <c r="A4514" s="113">
        <v>39212</v>
      </c>
      <c r="B4514" s="111">
        <f t="shared" si="70"/>
        <v>51</v>
      </c>
      <c r="C4514" s="111"/>
      <c r="D4514" s="111"/>
      <c r="E4514" s="111"/>
    </row>
    <row r="4515" spans="1:5" x14ac:dyDescent="0.2">
      <c r="A4515" s="113">
        <v>39213</v>
      </c>
      <c r="B4515" s="111">
        <f t="shared" si="70"/>
        <v>51</v>
      </c>
      <c r="C4515" s="111"/>
      <c r="D4515" s="111"/>
      <c r="E4515" s="111"/>
    </row>
    <row r="4516" spans="1:5" x14ac:dyDescent="0.2">
      <c r="A4516" s="113">
        <v>39214</v>
      </c>
      <c r="B4516" s="111">
        <f t="shared" si="70"/>
        <v>51</v>
      </c>
      <c r="C4516" s="111"/>
      <c r="D4516" s="111"/>
      <c r="E4516" s="111"/>
    </row>
    <row r="4517" spans="1:5" x14ac:dyDescent="0.2">
      <c r="A4517" s="113">
        <v>39215</v>
      </c>
      <c r="B4517" s="111">
        <f t="shared" si="70"/>
        <v>52</v>
      </c>
      <c r="C4517" s="111"/>
      <c r="D4517" s="111"/>
      <c r="E4517" s="111"/>
    </row>
    <row r="4518" spans="1:5" x14ac:dyDescent="0.2">
      <c r="A4518" s="113">
        <v>39216</v>
      </c>
      <c r="B4518" s="111">
        <f t="shared" si="70"/>
        <v>52</v>
      </c>
      <c r="C4518" s="111"/>
      <c r="D4518" s="111"/>
      <c r="E4518" s="111"/>
    </row>
    <row r="4519" spans="1:5" x14ac:dyDescent="0.2">
      <c r="A4519" s="113">
        <v>39217</v>
      </c>
      <c r="B4519" s="111">
        <f t="shared" si="70"/>
        <v>52</v>
      </c>
      <c r="C4519" s="111"/>
      <c r="D4519" s="111"/>
      <c r="E4519" s="111"/>
    </row>
    <row r="4520" spans="1:5" x14ac:dyDescent="0.2">
      <c r="A4520" s="113">
        <v>39218</v>
      </c>
      <c r="B4520" s="111">
        <f t="shared" si="70"/>
        <v>52</v>
      </c>
      <c r="C4520" s="111"/>
      <c r="D4520" s="111"/>
      <c r="E4520" s="111"/>
    </row>
    <row r="4521" spans="1:5" x14ac:dyDescent="0.2">
      <c r="A4521" s="113">
        <v>39219</v>
      </c>
      <c r="B4521" s="111">
        <f t="shared" si="70"/>
        <v>52</v>
      </c>
      <c r="C4521" s="111"/>
      <c r="D4521" s="111"/>
      <c r="E4521" s="111"/>
    </row>
    <row r="4522" spans="1:5" x14ac:dyDescent="0.2">
      <c r="A4522" s="113">
        <v>39220</v>
      </c>
      <c r="B4522" s="111">
        <f t="shared" si="70"/>
        <v>52</v>
      </c>
      <c r="C4522" s="111"/>
      <c r="D4522" s="111"/>
      <c r="E4522" s="111"/>
    </row>
    <row r="4523" spans="1:5" x14ac:dyDescent="0.2">
      <c r="A4523" s="113">
        <v>39221</v>
      </c>
      <c r="B4523" s="111">
        <f t="shared" si="70"/>
        <v>52</v>
      </c>
      <c r="C4523" s="111"/>
      <c r="D4523" s="111"/>
      <c r="E4523" s="111"/>
    </row>
    <row r="4524" spans="1:5" x14ac:dyDescent="0.2">
      <c r="A4524" s="113">
        <v>39222</v>
      </c>
      <c r="B4524" s="111">
        <f t="shared" si="70"/>
        <v>53</v>
      </c>
      <c r="C4524" s="111"/>
      <c r="D4524" s="111"/>
      <c r="E4524" s="111"/>
    </row>
    <row r="4525" spans="1:5" x14ac:dyDescent="0.2">
      <c r="A4525" s="113">
        <v>39223</v>
      </c>
      <c r="B4525" s="111">
        <f t="shared" si="70"/>
        <v>53</v>
      </c>
      <c r="C4525" s="111"/>
      <c r="D4525" s="111"/>
      <c r="E4525" s="111"/>
    </row>
    <row r="4526" spans="1:5" x14ac:dyDescent="0.2">
      <c r="A4526" s="113">
        <v>39224</v>
      </c>
      <c r="B4526" s="111">
        <f t="shared" si="70"/>
        <v>53</v>
      </c>
      <c r="C4526" s="111"/>
      <c r="D4526" s="111"/>
      <c r="E4526" s="111"/>
    </row>
    <row r="4527" spans="1:5" x14ac:dyDescent="0.2">
      <c r="A4527" s="113">
        <v>39225</v>
      </c>
      <c r="B4527" s="111">
        <f t="shared" si="70"/>
        <v>53</v>
      </c>
      <c r="C4527" s="111"/>
      <c r="D4527" s="111"/>
      <c r="E4527" s="111"/>
    </row>
    <row r="4528" spans="1:5" x14ac:dyDescent="0.2">
      <c r="A4528" s="113">
        <v>39226</v>
      </c>
      <c r="B4528" s="111">
        <f t="shared" si="70"/>
        <v>53</v>
      </c>
      <c r="C4528" s="111"/>
      <c r="D4528" s="111"/>
      <c r="E4528" s="111"/>
    </row>
    <row r="4529" spans="1:5" x14ac:dyDescent="0.2">
      <c r="A4529" s="113">
        <v>39227</v>
      </c>
      <c r="B4529" s="111">
        <f t="shared" si="70"/>
        <v>53</v>
      </c>
      <c r="C4529" s="111"/>
      <c r="D4529" s="111"/>
      <c r="E4529" s="111"/>
    </row>
    <row r="4530" spans="1:5" x14ac:dyDescent="0.2">
      <c r="A4530" s="113">
        <v>39228</v>
      </c>
      <c r="B4530" s="111">
        <f t="shared" si="70"/>
        <v>53</v>
      </c>
      <c r="C4530" s="111"/>
      <c r="D4530" s="111"/>
      <c r="E4530" s="111"/>
    </row>
    <row r="4531" spans="1:5" x14ac:dyDescent="0.2">
      <c r="A4531" s="113">
        <v>39229</v>
      </c>
      <c r="B4531" s="111">
        <f t="shared" si="70"/>
        <v>54</v>
      </c>
      <c r="C4531" s="111"/>
      <c r="D4531" s="111"/>
      <c r="E4531" s="111"/>
    </row>
    <row r="4532" spans="1:5" x14ac:dyDescent="0.2">
      <c r="A4532" s="113">
        <v>39230</v>
      </c>
      <c r="B4532" s="111">
        <f t="shared" si="70"/>
        <v>54</v>
      </c>
      <c r="C4532" s="111"/>
      <c r="D4532" s="111"/>
      <c r="E4532" s="111"/>
    </row>
    <row r="4533" spans="1:5" x14ac:dyDescent="0.2">
      <c r="A4533" s="113">
        <v>39231</v>
      </c>
      <c r="B4533" s="111">
        <f t="shared" si="70"/>
        <v>54</v>
      </c>
      <c r="C4533" s="111"/>
      <c r="D4533" s="111"/>
      <c r="E4533" s="111"/>
    </row>
    <row r="4534" spans="1:5" x14ac:dyDescent="0.2">
      <c r="A4534" s="113">
        <v>39232</v>
      </c>
      <c r="B4534" s="111">
        <f t="shared" si="70"/>
        <v>54</v>
      </c>
      <c r="C4534" s="111"/>
      <c r="D4534" s="111"/>
      <c r="E4534" s="111"/>
    </row>
    <row r="4535" spans="1:5" x14ac:dyDescent="0.2">
      <c r="A4535" s="113">
        <v>39233</v>
      </c>
      <c r="B4535" s="111">
        <f t="shared" si="70"/>
        <v>54</v>
      </c>
      <c r="C4535" s="111"/>
      <c r="D4535" s="111"/>
      <c r="E4535" s="111"/>
    </row>
    <row r="4536" spans="1:5" x14ac:dyDescent="0.2">
      <c r="A4536" s="113">
        <v>39234</v>
      </c>
      <c r="B4536" s="111">
        <f t="shared" si="70"/>
        <v>54</v>
      </c>
      <c r="C4536" s="111"/>
      <c r="D4536" s="111"/>
      <c r="E4536" s="111"/>
    </row>
    <row r="4537" spans="1:5" x14ac:dyDescent="0.2">
      <c r="A4537" s="113">
        <v>39235</v>
      </c>
      <c r="B4537" s="111">
        <f t="shared" si="70"/>
        <v>54</v>
      </c>
      <c r="C4537" s="111"/>
      <c r="D4537" s="111"/>
      <c r="E4537" s="111"/>
    </row>
    <row r="4538" spans="1:5" x14ac:dyDescent="0.2">
      <c r="A4538" s="113">
        <v>39236</v>
      </c>
      <c r="B4538" s="111">
        <f t="shared" si="70"/>
        <v>61</v>
      </c>
      <c r="C4538" s="111"/>
      <c r="D4538" s="111"/>
      <c r="E4538" s="111"/>
    </row>
    <row r="4539" spans="1:5" x14ac:dyDescent="0.2">
      <c r="A4539" s="113">
        <v>39237</v>
      </c>
      <c r="B4539" s="111">
        <f t="shared" si="70"/>
        <v>61</v>
      </c>
      <c r="C4539" s="111"/>
      <c r="D4539" s="111"/>
      <c r="E4539" s="111"/>
    </row>
    <row r="4540" spans="1:5" x14ac:dyDescent="0.2">
      <c r="A4540" s="113">
        <v>39238</v>
      </c>
      <c r="B4540" s="111">
        <f t="shared" si="70"/>
        <v>61</v>
      </c>
      <c r="C4540" s="111"/>
      <c r="D4540" s="111"/>
      <c r="E4540" s="111"/>
    </row>
    <row r="4541" spans="1:5" x14ac:dyDescent="0.2">
      <c r="A4541" s="113">
        <v>39239</v>
      </c>
      <c r="B4541" s="111">
        <f t="shared" si="70"/>
        <v>61</v>
      </c>
      <c r="C4541" s="111"/>
      <c r="D4541" s="111"/>
      <c r="E4541" s="111"/>
    </row>
    <row r="4542" spans="1:5" x14ac:dyDescent="0.2">
      <c r="A4542" s="113">
        <v>39240</v>
      </c>
      <c r="B4542" s="111">
        <f t="shared" si="70"/>
        <v>61</v>
      </c>
      <c r="C4542" s="111"/>
      <c r="D4542" s="111"/>
      <c r="E4542" s="111"/>
    </row>
    <row r="4543" spans="1:5" x14ac:dyDescent="0.2">
      <c r="A4543" s="113">
        <v>39241</v>
      </c>
      <c r="B4543" s="111">
        <f t="shared" si="70"/>
        <v>61</v>
      </c>
      <c r="C4543" s="111"/>
      <c r="D4543" s="111"/>
      <c r="E4543" s="111"/>
    </row>
    <row r="4544" spans="1:5" x14ac:dyDescent="0.2">
      <c r="A4544" s="113">
        <v>39242</v>
      </c>
      <c r="B4544" s="111">
        <f t="shared" si="70"/>
        <v>61</v>
      </c>
      <c r="C4544" s="111"/>
      <c r="D4544" s="111"/>
      <c r="E4544" s="111"/>
    </row>
    <row r="4545" spans="1:5" x14ac:dyDescent="0.2">
      <c r="A4545" s="113">
        <v>39243</v>
      </c>
      <c r="B4545" s="111">
        <f t="shared" si="70"/>
        <v>62</v>
      </c>
      <c r="C4545" s="111"/>
      <c r="D4545" s="111"/>
      <c r="E4545" s="111"/>
    </row>
    <row r="4546" spans="1:5" x14ac:dyDescent="0.2">
      <c r="A4546" s="113">
        <v>39244</v>
      </c>
      <c r="B4546" s="111">
        <f t="shared" ref="B4546:B4609" si="71">VLOOKUP(WEEKNUM(A4546),$D$3:$E$58,2)</f>
        <v>62</v>
      </c>
      <c r="C4546" s="111"/>
      <c r="D4546" s="111"/>
      <c r="E4546" s="111"/>
    </row>
    <row r="4547" spans="1:5" x14ac:dyDescent="0.2">
      <c r="A4547" s="113">
        <v>39245</v>
      </c>
      <c r="B4547" s="111">
        <f t="shared" si="71"/>
        <v>62</v>
      </c>
      <c r="C4547" s="111"/>
      <c r="D4547" s="111"/>
      <c r="E4547" s="111"/>
    </row>
    <row r="4548" spans="1:5" x14ac:dyDescent="0.2">
      <c r="A4548" s="113">
        <v>39246</v>
      </c>
      <c r="B4548" s="111">
        <f t="shared" si="71"/>
        <v>62</v>
      </c>
      <c r="C4548" s="111"/>
      <c r="D4548" s="111"/>
      <c r="E4548" s="111"/>
    </row>
    <row r="4549" spans="1:5" x14ac:dyDescent="0.2">
      <c r="A4549" s="113">
        <v>39247</v>
      </c>
      <c r="B4549" s="111">
        <f t="shared" si="71"/>
        <v>62</v>
      </c>
      <c r="C4549" s="111"/>
      <c r="D4549" s="111"/>
      <c r="E4549" s="111"/>
    </row>
    <row r="4550" spans="1:5" x14ac:dyDescent="0.2">
      <c r="A4550" s="113">
        <v>39248</v>
      </c>
      <c r="B4550" s="111">
        <f t="shared" si="71"/>
        <v>62</v>
      </c>
      <c r="C4550" s="111"/>
      <c r="D4550" s="111"/>
      <c r="E4550" s="111"/>
    </row>
    <row r="4551" spans="1:5" x14ac:dyDescent="0.2">
      <c r="A4551" s="113">
        <v>39249</v>
      </c>
      <c r="B4551" s="111">
        <f t="shared" si="71"/>
        <v>62</v>
      </c>
      <c r="C4551" s="111"/>
      <c r="D4551" s="111"/>
      <c r="E4551" s="111"/>
    </row>
    <row r="4552" spans="1:5" x14ac:dyDescent="0.2">
      <c r="A4552" s="113">
        <v>39250</v>
      </c>
      <c r="B4552" s="111">
        <f t="shared" si="71"/>
        <v>63</v>
      </c>
      <c r="C4552" s="111"/>
      <c r="D4552" s="111"/>
      <c r="E4552" s="111"/>
    </row>
    <row r="4553" spans="1:5" x14ac:dyDescent="0.2">
      <c r="A4553" s="113">
        <v>39251</v>
      </c>
      <c r="B4553" s="111">
        <f t="shared" si="71"/>
        <v>63</v>
      </c>
      <c r="C4553" s="111"/>
      <c r="D4553" s="111"/>
      <c r="E4553" s="111"/>
    </row>
    <row r="4554" spans="1:5" x14ac:dyDescent="0.2">
      <c r="A4554" s="113">
        <v>39252</v>
      </c>
      <c r="B4554" s="111">
        <f t="shared" si="71"/>
        <v>63</v>
      </c>
      <c r="C4554" s="111"/>
      <c r="D4554" s="111"/>
      <c r="E4554" s="111"/>
    </row>
    <row r="4555" spans="1:5" x14ac:dyDescent="0.2">
      <c r="A4555" s="113">
        <v>39253</v>
      </c>
      <c r="B4555" s="111">
        <f t="shared" si="71"/>
        <v>63</v>
      </c>
      <c r="C4555" s="111"/>
      <c r="D4555" s="111"/>
      <c r="E4555" s="111"/>
    </row>
    <row r="4556" spans="1:5" x14ac:dyDescent="0.2">
      <c r="A4556" s="113">
        <v>39254</v>
      </c>
      <c r="B4556" s="111">
        <f t="shared" si="71"/>
        <v>63</v>
      </c>
      <c r="C4556" s="111"/>
      <c r="D4556" s="111"/>
      <c r="E4556" s="111"/>
    </row>
    <row r="4557" spans="1:5" x14ac:dyDescent="0.2">
      <c r="A4557" s="113">
        <v>39255</v>
      </c>
      <c r="B4557" s="111">
        <f t="shared" si="71"/>
        <v>63</v>
      </c>
      <c r="C4557" s="111"/>
      <c r="D4557" s="111"/>
      <c r="E4557" s="111"/>
    </row>
    <row r="4558" spans="1:5" x14ac:dyDescent="0.2">
      <c r="A4558" s="113">
        <v>39256</v>
      </c>
      <c r="B4558" s="111">
        <f t="shared" si="71"/>
        <v>63</v>
      </c>
      <c r="C4558" s="111"/>
      <c r="D4558" s="111"/>
      <c r="E4558" s="111"/>
    </row>
    <row r="4559" spans="1:5" x14ac:dyDescent="0.2">
      <c r="A4559" s="113">
        <v>39257</v>
      </c>
      <c r="B4559" s="111">
        <f t="shared" si="71"/>
        <v>64</v>
      </c>
      <c r="C4559" s="111"/>
      <c r="D4559" s="111"/>
      <c r="E4559" s="111"/>
    </row>
    <row r="4560" spans="1:5" x14ac:dyDescent="0.2">
      <c r="A4560" s="113">
        <v>39258</v>
      </c>
      <c r="B4560" s="111">
        <f t="shared" si="71"/>
        <v>64</v>
      </c>
      <c r="C4560" s="111"/>
      <c r="D4560" s="111"/>
      <c r="E4560" s="111"/>
    </row>
    <row r="4561" spans="1:5" x14ac:dyDescent="0.2">
      <c r="A4561" s="113">
        <v>39259</v>
      </c>
      <c r="B4561" s="111">
        <f t="shared" si="71"/>
        <v>64</v>
      </c>
      <c r="C4561" s="111"/>
      <c r="D4561" s="111"/>
      <c r="E4561" s="111"/>
    </row>
    <row r="4562" spans="1:5" x14ac:dyDescent="0.2">
      <c r="A4562" s="113">
        <v>39260</v>
      </c>
      <c r="B4562" s="111">
        <f t="shared" si="71"/>
        <v>64</v>
      </c>
      <c r="C4562" s="111"/>
      <c r="D4562" s="111"/>
      <c r="E4562" s="111"/>
    </row>
    <row r="4563" spans="1:5" x14ac:dyDescent="0.2">
      <c r="A4563" s="113">
        <v>39261</v>
      </c>
      <c r="B4563" s="111">
        <f t="shared" si="71"/>
        <v>64</v>
      </c>
      <c r="C4563" s="111"/>
      <c r="D4563" s="111"/>
      <c r="E4563" s="111"/>
    </row>
    <row r="4564" spans="1:5" x14ac:dyDescent="0.2">
      <c r="A4564" s="113">
        <v>39262</v>
      </c>
      <c r="B4564" s="111">
        <f t="shared" si="71"/>
        <v>64</v>
      </c>
      <c r="C4564" s="111"/>
      <c r="D4564" s="111"/>
      <c r="E4564" s="111"/>
    </row>
    <row r="4565" spans="1:5" x14ac:dyDescent="0.2">
      <c r="A4565" s="113">
        <v>39263</v>
      </c>
      <c r="B4565" s="111">
        <f t="shared" si="71"/>
        <v>64</v>
      </c>
      <c r="C4565" s="111"/>
      <c r="D4565" s="111"/>
      <c r="E4565" s="111"/>
    </row>
    <row r="4566" spans="1:5" x14ac:dyDescent="0.2">
      <c r="A4566" s="113">
        <v>39264</v>
      </c>
      <c r="B4566" s="111">
        <f t="shared" si="71"/>
        <v>71</v>
      </c>
      <c r="C4566" s="111"/>
      <c r="D4566" s="111"/>
      <c r="E4566" s="111"/>
    </row>
    <row r="4567" spans="1:5" x14ac:dyDescent="0.2">
      <c r="A4567" s="113">
        <v>39265</v>
      </c>
      <c r="B4567" s="111">
        <f t="shared" si="71"/>
        <v>71</v>
      </c>
      <c r="C4567" s="111"/>
      <c r="D4567" s="111"/>
      <c r="E4567" s="111"/>
    </row>
    <row r="4568" spans="1:5" x14ac:dyDescent="0.2">
      <c r="A4568" s="113">
        <v>39266</v>
      </c>
      <c r="B4568" s="111">
        <f t="shared" si="71"/>
        <v>71</v>
      </c>
      <c r="C4568" s="111"/>
      <c r="D4568" s="111"/>
      <c r="E4568" s="111"/>
    </row>
    <row r="4569" spans="1:5" x14ac:dyDescent="0.2">
      <c r="A4569" s="113">
        <v>39267</v>
      </c>
      <c r="B4569" s="111">
        <f t="shared" si="71"/>
        <v>71</v>
      </c>
      <c r="C4569" s="111"/>
      <c r="D4569" s="111"/>
      <c r="E4569" s="111"/>
    </row>
    <row r="4570" spans="1:5" x14ac:dyDescent="0.2">
      <c r="A4570" s="113">
        <v>39268</v>
      </c>
      <c r="B4570" s="111">
        <f t="shared" si="71"/>
        <v>71</v>
      </c>
      <c r="C4570" s="111"/>
      <c r="D4570" s="111"/>
      <c r="E4570" s="111"/>
    </row>
    <row r="4571" spans="1:5" x14ac:dyDescent="0.2">
      <c r="A4571" s="113">
        <v>39269</v>
      </c>
      <c r="B4571" s="111">
        <f t="shared" si="71"/>
        <v>71</v>
      </c>
      <c r="C4571" s="111"/>
      <c r="D4571" s="111"/>
      <c r="E4571" s="111"/>
    </row>
    <row r="4572" spans="1:5" x14ac:dyDescent="0.2">
      <c r="A4572" s="113">
        <v>39270</v>
      </c>
      <c r="B4572" s="111">
        <f t="shared" si="71"/>
        <v>71</v>
      </c>
      <c r="C4572" s="111"/>
      <c r="D4572" s="111"/>
      <c r="E4572" s="111"/>
    </row>
    <row r="4573" spans="1:5" x14ac:dyDescent="0.2">
      <c r="A4573" s="113">
        <v>39271</v>
      </c>
      <c r="B4573" s="111">
        <f t="shared" si="71"/>
        <v>72</v>
      </c>
      <c r="C4573" s="111"/>
      <c r="D4573" s="111"/>
      <c r="E4573" s="111"/>
    </row>
    <row r="4574" spans="1:5" x14ac:dyDescent="0.2">
      <c r="A4574" s="113">
        <v>39272</v>
      </c>
      <c r="B4574" s="111">
        <f t="shared" si="71"/>
        <v>72</v>
      </c>
      <c r="C4574" s="111"/>
      <c r="D4574" s="111"/>
      <c r="E4574" s="111"/>
    </row>
    <row r="4575" spans="1:5" x14ac:dyDescent="0.2">
      <c r="A4575" s="113">
        <v>39273</v>
      </c>
      <c r="B4575" s="111">
        <f t="shared" si="71"/>
        <v>72</v>
      </c>
      <c r="C4575" s="111"/>
      <c r="D4575" s="111"/>
      <c r="E4575" s="111"/>
    </row>
    <row r="4576" spans="1:5" x14ac:dyDescent="0.2">
      <c r="A4576" s="113">
        <v>39274</v>
      </c>
      <c r="B4576" s="111">
        <f t="shared" si="71"/>
        <v>72</v>
      </c>
      <c r="C4576" s="111"/>
      <c r="D4576" s="111"/>
      <c r="E4576" s="111"/>
    </row>
    <row r="4577" spans="1:5" x14ac:dyDescent="0.2">
      <c r="A4577" s="113">
        <v>39275</v>
      </c>
      <c r="B4577" s="111">
        <f t="shared" si="71"/>
        <v>72</v>
      </c>
      <c r="C4577" s="111"/>
      <c r="D4577" s="111"/>
      <c r="E4577" s="111"/>
    </row>
    <row r="4578" spans="1:5" x14ac:dyDescent="0.2">
      <c r="A4578" s="113">
        <v>39276</v>
      </c>
      <c r="B4578" s="111">
        <f t="shared" si="71"/>
        <v>72</v>
      </c>
      <c r="C4578" s="111"/>
      <c r="D4578" s="111"/>
      <c r="E4578" s="111"/>
    </row>
    <row r="4579" spans="1:5" x14ac:dyDescent="0.2">
      <c r="A4579" s="113">
        <v>39277</v>
      </c>
      <c r="B4579" s="111">
        <f t="shared" si="71"/>
        <v>72</v>
      </c>
      <c r="C4579" s="111"/>
      <c r="D4579" s="111"/>
      <c r="E4579" s="111"/>
    </row>
    <row r="4580" spans="1:5" x14ac:dyDescent="0.2">
      <c r="A4580" s="113">
        <v>39278</v>
      </c>
      <c r="B4580" s="111">
        <f t="shared" si="71"/>
        <v>73</v>
      </c>
      <c r="C4580" s="111"/>
      <c r="D4580" s="111"/>
      <c r="E4580" s="111"/>
    </row>
    <row r="4581" spans="1:5" x14ac:dyDescent="0.2">
      <c r="A4581" s="113">
        <v>39279</v>
      </c>
      <c r="B4581" s="111">
        <f t="shared" si="71"/>
        <v>73</v>
      </c>
      <c r="C4581" s="111"/>
      <c r="D4581" s="111"/>
      <c r="E4581" s="111"/>
    </row>
    <row r="4582" spans="1:5" x14ac:dyDescent="0.2">
      <c r="A4582" s="113">
        <v>39280</v>
      </c>
      <c r="B4582" s="111">
        <f t="shared" si="71"/>
        <v>73</v>
      </c>
      <c r="C4582" s="111"/>
      <c r="D4582" s="111"/>
      <c r="E4582" s="111"/>
    </row>
    <row r="4583" spans="1:5" x14ac:dyDescent="0.2">
      <c r="A4583" s="113">
        <v>39281</v>
      </c>
      <c r="B4583" s="111">
        <f t="shared" si="71"/>
        <v>73</v>
      </c>
      <c r="C4583" s="111"/>
      <c r="D4583" s="111"/>
      <c r="E4583" s="111"/>
    </row>
    <row r="4584" spans="1:5" x14ac:dyDescent="0.2">
      <c r="A4584" s="113">
        <v>39282</v>
      </c>
      <c r="B4584" s="111">
        <f t="shared" si="71"/>
        <v>73</v>
      </c>
      <c r="C4584" s="111"/>
      <c r="D4584" s="111"/>
      <c r="E4584" s="111"/>
    </row>
    <row r="4585" spans="1:5" x14ac:dyDescent="0.2">
      <c r="A4585" s="113">
        <v>39283</v>
      </c>
      <c r="B4585" s="111">
        <f t="shared" si="71"/>
        <v>73</v>
      </c>
      <c r="C4585" s="111"/>
      <c r="D4585" s="111"/>
      <c r="E4585" s="111"/>
    </row>
    <row r="4586" spans="1:5" x14ac:dyDescent="0.2">
      <c r="A4586" s="113">
        <v>39284</v>
      </c>
      <c r="B4586" s="111">
        <f t="shared" si="71"/>
        <v>73</v>
      </c>
      <c r="C4586" s="111"/>
      <c r="D4586" s="111"/>
      <c r="E4586" s="111"/>
    </row>
    <row r="4587" spans="1:5" x14ac:dyDescent="0.2">
      <c r="A4587" s="113">
        <v>39285</v>
      </c>
      <c r="B4587" s="111">
        <f t="shared" si="71"/>
        <v>74</v>
      </c>
      <c r="C4587" s="111"/>
      <c r="D4587" s="111"/>
      <c r="E4587" s="111"/>
    </row>
    <row r="4588" spans="1:5" x14ac:dyDescent="0.2">
      <c r="A4588" s="113">
        <v>39286</v>
      </c>
      <c r="B4588" s="111">
        <f t="shared" si="71"/>
        <v>74</v>
      </c>
      <c r="C4588" s="111"/>
      <c r="D4588" s="111"/>
      <c r="E4588" s="111"/>
    </row>
    <row r="4589" spans="1:5" x14ac:dyDescent="0.2">
      <c r="A4589" s="113">
        <v>39287</v>
      </c>
      <c r="B4589" s="111">
        <f t="shared" si="71"/>
        <v>74</v>
      </c>
      <c r="C4589" s="111"/>
      <c r="D4589" s="111"/>
      <c r="E4589" s="111"/>
    </row>
    <row r="4590" spans="1:5" x14ac:dyDescent="0.2">
      <c r="A4590" s="113">
        <v>39288</v>
      </c>
      <c r="B4590" s="111">
        <f t="shared" si="71"/>
        <v>74</v>
      </c>
      <c r="C4590" s="111"/>
      <c r="D4590" s="111"/>
      <c r="E4590" s="111"/>
    </row>
    <row r="4591" spans="1:5" x14ac:dyDescent="0.2">
      <c r="A4591" s="113">
        <v>39289</v>
      </c>
      <c r="B4591" s="111">
        <f t="shared" si="71"/>
        <v>74</v>
      </c>
      <c r="C4591" s="111"/>
      <c r="D4591" s="111"/>
      <c r="E4591" s="111"/>
    </row>
    <row r="4592" spans="1:5" x14ac:dyDescent="0.2">
      <c r="A4592" s="113">
        <v>39290</v>
      </c>
      <c r="B4592" s="111">
        <f t="shared" si="71"/>
        <v>74</v>
      </c>
      <c r="C4592" s="111"/>
      <c r="D4592" s="111"/>
      <c r="E4592" s="111"/>
    </row>
    <row r="4593" spans="1:5" x14ac:dyDescent="0.2">
      <c r="A4593" s="113">
        <v>39291</v>
      </c>
      <c r="B4593" s="111">
        <f t="shared" si="71"/>
        <v>74</v>
      </c>
      <c r="C4593" s="111"/>
      <c r="D4593" s="111"/>
      <c r="E4593" s="111"/>
    </row>
    <row r="4594" spans="1:5" x14ac:dyDescent="0.2">
      <c r="A4594" s="113">
        <v>39292</v>
      </c>
      <c r="B4594" s="111">
        <f t="shared" si="71"/>
        <v>75</v>
      </c>
      <c r="C4594" s="111"/>
      <c r="D4594" s="111"/>
      <c r="E4594" s="111"/>
    </row>
    <row r="4595" spans="1:5" x14ac:dyDescent="0.2">
      <c r="A4595" s="113">
        <v>39293</v>
      </c>
      <c r="B4595" s="111">
        <f t="shared" si="71"/>
        <v>75</v>
      </c>
      <c r="C4595" s="111"/>
      <c r="D4595" s="111"/>
      <c r="E4595" s="111"/>
    </row>
    <row r="4596" spans="1:5" x14ac:dyDescent="0.2">
      <c r="A4596" s="113">
        <v>39294</v>
      </c>
      <c r="B4596" s="111">
        <f t="shared" si="71"/>
        <v>75</v>
      </c>
      <c r="C4596" s="111"/>
      <c r="D4596" s="111"/>
      <c r="E4596" s="111"/>
    </row>
    <row r="4597" spans="1:5" x14ac:dyDescent="0.2">
      <c r="A4597" s="113">
        <v>39295</v>
      </c>
      <c r="B4597" s="111">
        <f t="shared" si="71"/>
        <v>75</v>
      </c>
      <c r="C4597" s="111"/>
      <c r="D4597" s="111"/>
      <c r="E4597" s="111"/>
    </row>
    <row r="4598" spans="1:5" x14ac:dyDescent="0.2">
      <c r="A4598" s="113">
        <v>39296</v>
      </c>
      <c r="B4598" s="111">
        <f t="shared" si="71"/>
        <v>75</v>
      </c>
      <c r="C4598" s="111"/>
      <c r="D4598" s="111"/>
      <c r="E4598" s="111"/>
    </row>
    <row r="4599" spans="1:5" x14ac:dyDescent="0.2">
      <c r="A4599" s="113">
        <v>39297</v>
      </c>
      <c r="B4599" s="111">
        <f t="shared" si="71"/>
        <v>75</v>
      </c>
      <c r="C4599" s="111"/>
      <c r="D4599" s="111"/>
      <c r="E4599" s="111"/>
    </row>
    <row r="4600" spans="1:5" x14ac:dyDescent="0.2">
      <c r="A4600" s="113">
        <v>39298</v>
      </c>
      <c r="B4600" s="111">
        <f t="shared" si="71"/>
        <v>75</v>
      </c>
      <c r="C4600" s="111"/>
      <c r="D4600" s="111"/>
      <c r="E4600" s="111"/>
    </row>
    <row r="4601" spans="1:5" x14ac:dyDescent="0.2">
      <c r="A4601" s="113">
        <v>39299</v>
      </c>
      <c r="B4601" s="111">
        <f t="shared" si="71"/>
        <v>81</v>
      </c>
      <c r="C4601" s="111"/>
      <c r="D4601" s="111"/>
      <c r="E4601" s="111"/>
    </row>
    <row r="4602" spans="1:5" x14ac:dyDescent="0.2">
      <c r="A4602" s="113">
        <v>39300</v>
      </c>
      <c r="B4602" s="111">
        <f t="shared" si="71"/>
        <v>81</v>
      </c>
      <c r="C4602" s="111"/>
      <c r="D4602" s="111"/>
      <c r="E4602" s="111"/>
    </row>
    <row r="4603" spans="1:5" x14ac:dyDescent="0.2">
      <c r="A4603" s="113">
        <v>39301</v>
      </c>
      <c r="B4603" s="111">
        <f t="shared" si="71"/>
        <v>81</v>
      </c>
      <c r="C4603" s="111"/>
      <c r="D4603" s="111"/>
      <c r="E4603" s="111"/>
    </row>
    <row r="4604" spans="1:5" x14ac:dyDescent="0.2">
      <c r="A4604" s="113">
        <v>39302</v>
      </c>
      <c r="B4604" s="111">
        <f t="shared" si="71"/>
        <v>81</v>
      </c>
      <c r="C4604" s="111"/>
      <c r="D4604" s="111"/>
      <c r="E4604" s="111"/>
    </row>
    <row r="4605" spans="1:5" x14ac:dyDescent="0.2">
      <c r="A4605" s="113">
        <v>39303</v>
      </c>
      <c r="B4605" s="111">
        <f t="shared" si="71"/>
        <v>81</v>
      </c>
      <c r="C4605" s="111"/>
      <c r="D4605" s="111"/>
      <c r="E4605" s="111"/>
    </row>
    <row r="4606" spans="1:5" x14ac:dyDescent="0.2">
      <c r="A4606" s="113">
        <v>39304</v>
      </c>
      <c r="B4606" s="111">
        <f t="shared" si="71"/>
        <v>81</v>
      </c>
      <c r="C4606" s="111"/>
      <c r="D4606" s="111"/>
      <c r="E4606" s="111"/>
    </row>
    <row r="4607" spans="1:5" x14ac:dyDescent="0.2">
      <c r="A4607" s="113">
        <v>39305</v>
      </c>
      <c r="B4607" s="111">
        <f t="shared" si="71"/>
        <v>81</v>
      </c>
      <c r="C4607" s="111"/>
      <c r="D4607" s="111"/>
      <c r="E4607" s="111"/>
    </row>
    <row r="4608" spans="1:5" x14ac:dyDescent="0.2">
      <c r="A4608" s="113">
        <v>39306</v>
      </c>
      <c r="B4608" s="111">
        <f t="shared" si="71"/>
        <v>82</v>
      </c>
      <c r="C4608" s="111"/>
      <c r="D4608" s="111"/>
      <c r="E4608" s="111"/>
    </row>
    <row r="4609" spans="1:5" x14ac:dyDescent="0.2">
      <c r="A4609" s="113">
        <v>39307</v>
      </c>
      <c r="B4609" s="111">
        <f t="shared" si="71"/>
        <v>82</v>
      </c>
      <c r="C4609" s="111"/>
      <c r="D4609" s="111"/>
      <c r="E4609" s="111"/>
    </row>
    <row r="4610" spans="1:5" x14ac:dyDescent="0.2">
      <c r="A4610" s="113">
        <v>39308</v>
      </c>
      <c r="B4610" s="111">
        <f t="shared" ref="B4610:B4673" si="72">VLOOKUP(WEEKNUM(A4610),$D$3:$E$58,2)</f>
        <v>82</v>
      </c>
      <c r="C4610" s="111"/>
      <c r="D4610" s="111"/>
      <c r="E4610" s="111"/>
    </row>
    <row r="4611" spans="1:5" x14ac:dyDescent="0.2">
      <c r="A4611" s="113">
        <v>39309</v>
      </c>
      <c r="B4611" s="111">
        <f t="shared" si="72"/>
        <v>82</v>
      </c>
      <c r="C4611" s="111"/>
      <c r="D4611" s="111"/>
      <c r="E4611" s="111"/>
    </row>
    <row r="4612" spans="1:5" x14ac:dyDescent="0.2">
      <c r="A4612" s="113">
        <v>39310</v>
      </c>
      <c r="B4612" s="111">
        <f t="shared" si="72"/>
        <v>82</v>
      </c>
      <c r="C4612" s="111"/>
      <c r="D4612" s="111"/>
      <c r="E4612" s="111"/>
    </row>
    <row r="4613" spans="1:5" x14ac:dyDescent="0.2">
      <c r="A4613" s="113">
        <v>39311</v>
      </c>
      <c r="B4613" s="111">
        <f t="shared" si="72"/>
        <v>82</v>
      </c>
      <c r="C4613" s="111"/>
      <c r="D4613" s="111"/>
      <c r="E4613" s="111"/>
    </row>
    <row r="4614" spans="1:5" x14ac:dyDescent="0.2">
      <c r="A4614" s="113">
        <v>39312</v>
      </c>
      <c r="B4614" s="111">
        <f t="shared" si="72"/>
        <v>82</v>
      </c>
      <c r="C4614" s="111"/>
      <c r="D4614" s="111"/>
      <c r="E4614" s="111"/>
    </row>
    <row r="4615" spans="1:5" x14ac:dyDescent="0.2">
      <c r="A4615" s="113">
        <v>39313</v>
      </c>
      <c r="B4615" s="111">
        <f t="shared" si="72"/>
        <v>83</v>
      </c>
      <c r="C4615" s="111"/>
      <c r="D4615" s="111"/>
      <c r="E4615" s="111"/>
    </row>
    <row r="4616" spans="1:5" x14ac:dyDescent="0.2">
      <c r="A4616" s="113">
        <v>39314</v>
      </c>
      <c r="B4616" s="111">
        <f t="shared" si="72"/>
        <v>83</v>
      </c>
      <c r="C4616" s="111"/>
      <c r="D4616" s="111"/>
      <c r="E4616" s="111"/>
    </row>
    <row r="4617" spans="1:5" x14ac:dyDescent="0.2">
      <c r="A4617" s="113">
        <v>39315</v>
      </c>
      <c r="B4617" s="111">
        <f t="shared" si="72"/>
        <v>83</v>
      </c>
      <c r="C4617" s="111"/>
      <c r="D4617" s="111"/>
      <c r="E4617" s="111"/>
    </row>
    <row r="4618" spans="1:5" x14ac:dyDescent="0.2">
      <c r="A4618" s="113">
        <v>39316</v>
      </c>
      <c r="B4618" s="111">
        <f t="shared" si="72"/>
        <v>83</v>
      </c>
      <c r="C4618" s="111"/>
      <c r="D4618" s="111"/>
      <c r="E4618" s="111"/>
    </row>
    <row r="4619" spans="1:5" x14ac:dyDescent="0.2">
      <c r="A4619" s="113">
        <v>39317</v>
      </c>
      <c r="B4619" s="111">
        <f t="shared" si="72"/>
        <v>83</v>
      </c>
      <c r="C4619" s="111"/>
      <c r="D4619" s="111"/>
      <c r="E4619" s="111"/>
    </row>
    <row r="4620" spans="1:5" x14ac:dyDescent="0.2">
      <c r="A4620" s="113">
        <v>39318</v>
      </c>
      <c r="B4620" s="111">
        <f t="shared" si="72"/>
        <v>83</v>
      </c>
      <c r="C4620" s="111"/>
      <c r="D4620" s="111"/>
      <c r="E4620" s="111"/>
    </row>
    <row r="4621" spans="1:5" x14ac:dyDescent="0.2">
      <c r="A4621" s="113">
        <v>39319</v>
      </c>
      <c r="B4621" s="111">
        <f t="shared" si="72"/>
        <v>83</v>
      </c>
      <c r="C4621" s="111"/>
      <c r="D4621" s="111"/>
      <c r="E4621" s="111"/>
    </row>
    <row r="4622" spans="1:5" x14ac:dyDescent="0.2">
      <c r="A4622" s="113">
        <v>39320</v>
      </c>
      <c r="B4622" s="111">
        <f t="shared" si="72"/>
        <v>84</v>
      </c>
      <c r="C4622" s="111"/>
      <c r="D4622" s="111"/>
      <c r="E4622" s="111"/>
    </row>
    <row r="4623" spans="1:5" x14ac:dyDescent="0.2">
      <c r="A4623" s="113">
        <v>39321</v>
      </c>
      <c r="B4623" s="111">
        <f t="shared" si="72"/>
        <v>84</v>
      </c>
      <c r="C4623" s="111"/>
      <c r="D4623" s="111"/>
      <c r="E4623" s="111"/>
    </row>
    <row r="4624" spans="1:5" x14ac:dyDescent="0.2">
      <c r="A4624" s="113">
        <v>39322</v>
      </c>
      <c r="B4624" s="111">
        <f t="shared" si="72"/>
        <v>84</v>
      </c>
      <c r="C4624" s="111"/>
      <c r="D4624" s="111"/>
      <c r="E4624" s="111"/>
    </row>
    <row r="4625" spans="1:5" x14ac:dyDescent="0.2">
      <c r="A4625" s="113">
        <v>39323</v>
      </c>
      <c r="B4625" s="111">
        <f t="shared" si="72"/>
        <v>84</v>
      </c>
      <c r="C4625" s="111"/>
      <c r="D4625" s="111"/>
      <c r="E4625" s="111"/>
    </row>
    <row r="4626" spans="1:5" x14ac:dyDescent="0.2">
      <c r="A4626" s="113">
        <v>39324</v>
      </c>
      <c r="B4626" s="111">
        <f t="shared" si="72"/>
        <v>84</v>
      </c>
      <c r="C4626" s="111"/>
      <c r="D4626" s="111"/>
      <c r="E4626" s="111"/>
    </row>
    <row r="4627" spans="1:5" x14ac:dyDescent="0.2">
      <c r="A4627" s="113">
        <v>39325</v>
      </c>
      <c r="B4627" s="111">
        <f t="shared" si="72"/>
        <v>84</v>
      </c>
      <c r="C4627" s="111"/>
      <c r="D4627" s="111"/>
      <c r="E4627" s="111"/>
    </row>
    <row r="4628" spans="1:5" x14ac:dyDescent="0.2">
      <c r="A4628" s="113">
        <v>39326</v>
      </c>
      <c r="B4628" s="111">
        <f t="shared" si="72"/>
        <v>84</v>
      </c>
      <c r="C4628" s="111"/>
      <c r="D4628" s="111"/>
      <c r="E4628" s="111"/>
    </row>
    <row r="4629" spans="1:5" x14ac:dyDescent="0.2">
      <c r="A4629" s="113">
        <v>39327</v>
      </c>
      <c r="B4629" s="111">
        <f t="shared" si="72"/>
        <v>91</v>
      </c>
      <c r="C4629" s="111"/>
      <c r="D4629" s="111"/>
      <c r="E4629" s="111"/>
    </row>
    <row r="4630" spans="1:5" x14ac:dyDescent="0.2">
      <c r="A4630" s="113">
        <v>39328</v>
      </c>
      <c r="B4630" s="111">
        <f t="shared" si="72"/>
        <v>91</v>
      </c>
      <c r="C4630" s="111"/>
      <c r="D4630" s="111"/>
      <c r="E4630" s="111"/>
    </row>
    <row r="4631" spans="1:5" x14ac:dyDescent="0.2">
      <c r="A4631" s="113">
        <v>39329</v>
      </c>
      <c r="B4631" s="111">
        <f t="shared" si="72"/>
        <v>91</v>
      </c>
      <c r="C4631" s="111"/>
      <c r="D4631" s="111"/>
      <c r="E4631" s="111"/>
    </row>
    <row r="4632" spans="1:5" x14ac:dyDescent="0.2">
      <c r="A4632" s="113">
        <v>39330</v>
      </c>
      <c r="B4632" s="111">
        <f t="shared" si="72"/>
        <v>91</v>
      </c>
      <c r="C4632" s="111"/>
      <c r="D4632" s="111"/>
      <c r="E4632" s="111"/>
    </row>
    <row r="4633" spans="1:5" x14ac:dyDescent="0.2">
      <c r="A4633" s="113">
        <v>39331</v>
      </c>
      <c r="B4633" s="111">
        <f t="shared" si="72"/>
        <v>91</v>
      </c>
      <c r="C4633" s="111"/>
      <c r="D4633" s="111"/>
      <c r="E4633" s="111"/>
    </row>
    <row r="4634" spans="1:5" x14ac:dyDescent="0.2">
      <c r="A4634" s="113">
        <v>39332</v>
      </c>
      <c r="B4634" s="111">
        <f t="shared" si="72"/>
        <v>91</v>
      </c>
      <c r="C4634" s="111"/>
      <c r="D4634" s="111"/>
      <c r="E4634" s="111"/>
    </row>
    <row r="4635" spans="1:5" x14ac:dyDescent="0.2">
      <c r="A4635" s="113">
        <v>39333</v>
      </c>
      <c r="B4635" s="111">
        <f t="shared" si="72"/>
        <v>91</v>
      </c>
      <c r="C4635" s="111"/>
      <c r="D4635" s="111"/>
      <c r="E4635" s="111"/>
    </row>
    <row r="4636" spans="1:5" x14ac:dyDescent="0.2">
      <c r="A4636" s="113">
        <v>39334</v>
      </c>
      <c r="B4636" s="111">
        <f t="shared" si="72"/>
        <v>92</v>
      </c>
      <c r="C4636" s="111"/>
      <c r="D4636" s="111"/>
      <c r="E4636" s="111"/>
    </row>
    <row r="4637" spans="1:5" x14ac:dyDescent="0.2">
      <c r="A4637" s="113">
        <v>39335</v>
      </c>
      <c r="B4637" s="111">
        <f t="shared" si="72"/>
        <v>92</v>
      </c>
      <c r="C4637" s="111"/>
      <c r="D4637" s="111"/>
      <c r="E4637" s="111"/>
    </row>
    <row r="4638" spans="1:5" x14ac:dyDescent="0.2">
      <c r="A4638" s="113">
        <v>39336</v>
      </c>
      <c r="B4638" s="111">
        <f t="shared" si="72"/>
        <v>92</v>
      </c>
      <c r="C4638" s="111"/>
      <c r="D4638" s="111"/>
      <c r="E4638" s="111"/>
    </row>
    <row r="4639" spans="1:5" x14ac:dyDescent="0.2">
      <c r="A4639" s="113">
        <v>39337</v>
      </c>
      <c r="B4639" s="111">
        <f t="shared" si="72"/>
        <v>92</v>
      </c>
      <c r="C4639" s="111"/>
      <c r="D4639" s="111"/>
      <c r="E4639" s="111"/>
    </row>
    <row r="4640" spans="1:5" x14ac:dyDescent="0.2">
      <c r="A4640" s="113">
        <v>39338</v>
      </c>
      <c r="B4640" s="111">
        <f t="shared" si="72"/>
        <v>92</v>
      </c>
      <c r="C4640" s="111"/>
      <c r="D4640" s="111"/>
      <c r="E4640" s="111"/>
    </row>
    <row r="4641" spans="1:5" x14ac:dyDescent="0.2">
      <c r="A4641" s="113">
        <v>39339</v>
      </c>
      <c r="B4641" s="111">
        <f t="shared" si="72"/>
        <v>92</v>
      </c>
      <c r="C4641" s="111"/>
      <c r="D4641" s="111"/>
      <c r="E4641" s="111"/>
    </row>
    <row r="4642" spans="1:5" x14ac:dyDescent="0.2">
      <c r="A4642" s="113">
        <v>39340</v>
      </c>
      <c r="B4642" s="111">
        <f t="shared" si="72"/>
        <v>92</v>
      </c>
      <c r="C4642" s="111"/>
      <c r="D4642" s="111"/>
      <c r="E4642" s="111"/>
    </row>
    <row r="4643" spans="1:5" x14ac:dyDescent="0.2">
      <c r="A4643" s="113">
        <v>39341</v>
      </c>
      <c r="B4643" s="111">
        <f t="shared" si="72"/>
        <v>93</v>
      </c>
      <c r="C4643" s="111"/>
      <c r="D4643" s="111"/>
      <c r="E4643" s="111"/>
    </row>
    <row r="4644" spans="1:5" x14ac:dyDescent="0.2">
      <c r="A4644" s="113">
        <v>39342</v>
      </c>
      <c r="B4644" s="111">
        <f t="shared" si="72"/>
        <v>93</v>
      </c>
      <c r="C4644" s="111"/>
      <c r="D4644" s="111"/>
      <c r="E4644" s="111"/>
    </row>
    <row r="4645" spans="1:5" x14ac:dyDescent="0.2">
      <c r="A4645" s="113">
        <v>39343</v>
      </c>
      <c r="B4645" s="111">
        <f t="shared" si="72"/>
        <v>93</v>
      </c>
      <c r="C4645" s="111"/>
      <c r="D4645" s="111"/>
      <c r="E4645" s="111"/>
    </row>
    <row r="4646" spans="1:5" x14ac:dyDescent="0.2">
      <c r="A4646" s="113">
        <v>39344</v>
      </c>
      <c r="B4646" s="111">
        <f t="shared" si="72"/>
        <v>93</v>
      </c>
      <c r="C4646" s="111"/>
      <c r="D4646" s="111"/>
      <c r="E4646" s="111"/>
    </row>
    <row r="4647" spans="1:5" x14ac:dyDescent="0.2">
      <c r="A4647" s="113">
        <v>39345</v>
      </c>
      <c r="B4647" s="111">
        <f t="shared" si="72"/>
        <v>93</v>
      </c>
      <c r="C4647" s="111"/>
      <c r="D4647" s="111"/>
      <c r="E4647" s="111"/>
    </row>
    <row r="4648" spans="1:5" x14ac:dyDescent="0.2">
      <c r="A4648" s="113">
        <v>39346</v>
      </c>
      <c r="B4648" s="111">
        <f t="shared" si="72"/>
        <v>93</v>
      </c>
      <c r="C4648" s="111"/>
      <c r="D4648" s="111"/>
      <c r="E4648" s="111"/>
    </row>
    <row r="4649" spans="1:5" x14ac:dyDescent="0.2">
      <c r="A4649" s="113">
        <v>39347</v>
      </c>
      <c r="B4649" s="111">
        <f t="shared" si="72"/>
        <v>93</v>
      </c>
      <c r="C4649" s="111"/>
      <c r="D4649" s="111"/>
      <c r="E4649" s="111"/>
    </row>
    <row r="4650" spans="1:5" x14ac:dyDescent="0.2">
      <c r="A4650" s="113">
        <v>39348</v>
      </c>
      <c r="B4650" s="111">
        <f t="shared" si="72"/>
        <v>94</v>
      </c>
      <c r="C4650" s="111"/>
      <c r="D4650" s="111"/>
      <c r="E4650" s="111"/>
    </row>
    <row r="4651" spans="1:5" x14ac:dyDescent="0.2">
      <c r="A4651" s="113">
        <v>39349</v>
      </c>
      <c r="B4651" s="111">
        <f t="shared" si="72"/>
        <v>94</v>
      </c>
      <c r="C4651" s="111"/>
      <c r="D4651" s="111"/>
      <c r="E4651" s="111"/>
    </row>
    <row r="4652" spans="1:5" x14ac:dyDescent="0.2">
      <c r="A4652" s="113">
        <v>39350</v>
      </c>
      <c r="B4652" s="111">
        <f t="shared" si="72"/>
        <v>94</v>
      </c>
      <c r="C4652" s="111"/>
      <c r="D4652" s="111"/>
      <c r="E4652" s="111"/>
    </row>
    <row r="4653" spans="1:5" x14ac:dyDescent="0.2">
      <c r="A4653" s="113">
        <v>39351</v>
      </c>
      <c r="B4653" s="111">
        <f t="shared" si="72"/>
        <v>94</v>
      </c>
      <c r="C4653" s="111"/>
      <c r="D4653" s="111"/>
      <c r="E4653" s="111"/>
    </row>
    <row r="4654" spans="1:5" x14ac:dyDescent="0.2">
      <c r="A4654" s="113">
        <v>39352</v>
      </c>
      <c r="B4654" s="111">
        <f t="shared" si="72"/>
        <v>94</v>
      </c>
      <c r="C4654" s="111"/>
      <c r="D4654" s="111"/>
      <c r="E4654" s="111"/>
    </row>
    <row r="4655" spans="1:5" x14ac:dyDescent="0.2">
      <c r="A4655" s="113">
        <v>39353</v>
      </c>
      <c r="B4655" s="111">
        <f t="shared" si="72"/>
        <v>94</v>
      </c>
      <c r="C4655" s="111"/>
      <c r="D4655" s="111"/>
      <c r="E4655" s="111"/>
    </row>
    <row r="4656" spans="1:5" x14ac:dyDescent="0.2">
      <c r="A4656" s="113">
        <v>39354</v>
      </c>
      <c r="B4656" s="111">
        <f t="shared" si="72"/>
        <v>94</v>
      </c>
      <c r="C4656" s="111"/>
      <c r="D4656" s="111"/>
      <c r="E4656" s="111"/>
    </row>
    <row r="4657" spans="1:5" x14ac:dyDescent="0.2">
      <c r="A4657" s="113">
        <v>39355</v>
      </c>
      <c r="B4657" s="111">
        <f t="shared" si="72"/>
        <v>101</v>
      </c>
      <c r="C4657" s="111"/>
      <c r="D4657" s="111"/>
      <c r="E4657" s="111"/>
    </row>
    <row r="4658" spans="1:5" x14ac:dyDescent="0.2">
      <c r="A4658" s="113">
        <v>39356</v>
      </c>
      <c r="B4658" s="111">
        <f t="shared" si="72"/>
        <v>101</v>
      </c>
      <c r="C4658" s="111"/>
      <c r="D4658" s="111"/>
      <c r="E4658" s="111"/>
    </row>
    <row r="4659" spans="1:5" x14ac:dyDescent="0.2">
      <c r="A4659" s="113">
        <v>39357</v>
      </c>
      <c r="B4659" s="111">
        <f t="shared" si="72"/>
        <v>101</v>
      </c>
      <c r="C4659" s="111"/>
      <c r="D4659" s="111"/>
      <c r="E4659" s="111"/>
    </row>
    <row r="4660" spans="1:5" x14ac:dyDescent="0.2">
      <c r="A4660" s="113">
        <v>39358</v>
      </c>
      <c r="B4660" s="111">
        <f t="shared" si="72"/>
        <v>101</v>
      </c>
      <c r="C4660" s="111"/>
      <c r="D4660" s="111"/>
      <c r="E4660" s="111"/>
    </row>
    <row r="4661" spans="1:5" x14ac:dyDescent="0.2">
      <c r="A4661" s="113">
        <v>39359</v>
      </c>
      <c r="B4661" s="111">
        <f t="shared" si="72"/>
        <v>101</v>
      </c>
      <c r="C4661" s="111"/>
      <c r="D4661" s="111"/>
      <c r="E4661" s="111"/>
    </row>
    <row r="4662" spans="1:5" x14ac:dyDescent="0.2">
      <c r="A4662" s="113">
        <v>39360</v>
      </c>
      <c r="B4662" s="111">
        <f t="shared" si="72"/>
        <v>101</v>
      </c>
      <c r="C4662" s="111"/>
      <c r="D4662" s="111"/>
      <c r="E4662" s="111"/>
    </row>
    <row r="4663" spans="1:5" x14ac:dyDescent="0.2">
      <c r="A4663" s="113">
        <v>39361</v>
      </c>
      <c r="B4663" s="111">
        <f t="shared" si="72"/>
        <v>101</v>
      </c>
      <c r="C4663" s="111"/>
      <c r="D4663" s="111"/>
      <c r="E4663" s="111"/>
    </row>
    <row r="4664" spans="1:5" x14ac:dyDescent="0.2">
      <c r="A4664" s="113">
        <v>39362</v>
      </c>
      <c r="B4664" s="111">
        <f t="shared" si="72"/>
        <v>102</v>
      </c>
      <c r="C4664" s="111"/>
      <c r="D4664" s="111"/>
      <c r="E4664" s="111"/>
    </row>
    <row r="4665" spans="1:5" x14ac:dyDescent="0.2">
      <c r="A4665" s="113">
        <v>39363</v>
      </c>
      <c r="B4665" s="111">
        <f t="shared" si="72"/>
        <v>102</v>
      </c>
      <c r="C4665" s="111"/>
      <c r="D4665" s="111"/>
      <c r="E4665" s="111"/>
    </row>
    <row r="4666" spans="1:5" x14ac:dyDescent="0.2">
      <c r="A4666" s="113">
        <v>39364</v>
      </c>
      <c r="B4666" s="111">
        <f t="shared" si="72"/>
        <v>102</v>
      </c>
      <c r="C4666" s="111"/>
      <c r="D4666" s="111"/>
      <c r="E4666" s="111"/>
    </row>
    <row r="4667" spans="1:5" x14ac:dyDescent="0.2">
      <c r="A4667" s="113">
        <v>39365</v>
      </c>
      <c r="B4667" s="111">
        <f t="shared" si="72"/>
        <v>102</v>
      </c>
      <c r="C4667" s="111"/>
      <c r="D4667" s="111"/>
      <c r="E4667" s="111"/>
    </row>
    <row r="4668" spans="1:5" x14ac:dyDescent="0.2">
      <c r="A4668" s="113">
        <v>39366</v>
      </c>
      <c r="B4668" s="111">
        <f t="shared" si="72"/>
        <v>102</v>
      </c>
      <c r="C4668" s="111"/>
      <c r="D4668" s="111"/>
      <c r="E4668" s="111"/>
    </row>
    <row r="4669" spans="1:5" x14ac:dyDescent="0.2">
      <c r="A4669" s="113">
        <v>39367</v>
      </c>
      <c r="B4669" s="111">
        <f t="shared" si="72"/>
        <v>102</v>
      </c>
      <c r="C4669" s="111"/>
      <c r="D4669" s="111"/>
      <c r="E4669" s="111"/>
    </row>
    <row r="4670" spans="1:5" x14ac:dyDescent="0.2">
      <c r="A4670" s="113">
        <v>39368</v>
      </c>
      <c r="B4670" s="111">
        <f t="shared" si="72"/>
        <v>102</v>
      </c>
      <c r="C4670" s="111"/>
      <c r="D4670" s="111"/>
      <c r="E4670" s="111"/>
    </row>
    <row r="4671" spans="1:5" x14ac:dyDescent="0.2">
      <c r="A4671" s="113">
        <v>39369</v>
      </c>
      <c r="B4671" s="111">
        <f t="shared" si="72"/>
        <v>103</v>
      </c>
      <c r="C4671" s="111"/>
      <c r="D4671" s="111"/>
      <c r="E4671" s="111"/>
    </row>
    <row r="4672" spans="1:5" x14ac:dyDescent="0.2">
      <c r="A4672" s="113">
        <v>39370</v>
      </c>
      <c r="B4672" s="111">
        <f t="shared" si="72"/>
        <v>103</v>
      </c>
      <c r="C4672" s="111"/>
      <c r="D4672" s="111"/>
      <c r="E4672" s="111"/>
    </row>
    <row r="4673" spans="1:5" x14ac:dyDescent="0.2">
      <c r="A4673" s="113">
        <v>39371</v>
      </c>
      <c r="B4673" s="111">
        <f t="shared" si="72"/>
        <v>103</v>
      </c>
      <c r="C4673" s="111"/>
      <c r="D4673" s="111"/>
      <c r="E4673" s="111"/>
    </row>
    <row r="4674" spans="1:5" x14ac:dyDescent="0.2">
      <c r="A4674" s="113">
        <v>39372</v>
      </c>
      <c r="B4674" s="111">
        <f t="shared" ref="B4674:B4737" si="73">VLOOKUP(WEEKNUM(A4674),$D$3:$E$58,2)</f>
        <v>103</v>
      </c>
      <c r="C4674" s="111"/>
      <c r="D4674" s="111"/>
      <c r="E4674" s="111"/>
    </row>
    <row r="4675" spans="1:5" x14ac:dyDescent="0.2">
      <c r="A4675" s="113">
        <v>39373</v>
      </c>
      <c r="B4675" s="111">
        <f t="shared" si="73"/>
        <v>103</v>
      </c>
      <c r="C4675" s="111"/>
      <c r="D4675" s="111"/>
      <c r="E4675" s="111"/>
    </row>
    <row r="4676" spans="1:5" x14ac:dyDescent="0.2">
      <c r="A4676" s="113">
        <v>39374</v>
      </c>
      <c r="B4676" s="111">
        <f t="shared" si="73"/>
        <v>103</v>
      </c>
      <c r="C4676" s="111"/>
      <c r="D4676" s="111"/>
      <c r="E4676" s="111"/>
    </row>
    <row r="4677" spans="1:5" x14ac:dyDescent="0.2">
      <c r="A4677" s="113">
        <v>39375</v>
      </c>
      <c r="B4677" s="111">
        <f t="shared" si="73"/>
        <v>103</v>
      </c>
      <c r="C4677" s="111"/>
      <c r="D4677" s="111"/>
      <c r="E4677" s="111"/>
    </row>
    <row r="4678" spans="1:5" x14ac:dyDescent="0.2">
      <c r="A4678" s="113">
        <v>39376</v>
      </c>
      <c r="B4678" s="111">
        <f t="shared" si="73"/>
        <v>104</v>
      </c>
      <c r="C4678" s="111"/>
      <c r="D4678" s="111"/>
      <c r="E4678" s="111"/>
    </row>
    <row r="4679" spans="1:5" x14ac:dyDescent="0.2">
      <c r="A4679" s="113">
        <v>39377</v>
      </c>
      <c r="B4679" s="111">
        <f t="shared" si="73"/>
        <v>104</v>
      </c>
      <c r="C4679" s="111"/>
      <c r="D4679" s="111"/>
      <c r="E4679" s="111"/>
    </row>
    <row r="4680" spans="1:5" x14ac:dyDescent="0.2">
      <c r="A4680" s="113">
        <v>39378</v>
      </c>
      <c r="B4680" s="111">
        <f t="shared" si="73"/>
        <v>104</v>
      </c>
      <c r="C4680" s="111"/>
      <c r="D4680" s="111"/>
      <c r="E4680" s="111"/>
    </row>
    <row r="4681" spans="1:5" x14ac:dyDescent="0.2">
      <c r="A4681" s="113">
        <v>39379</v>
      </c>
      <c r="B4681" s="111">
        <f t="shared" si="73"/>
        <v>104</v>
      </c>
      <c r="C4681" s="111"/>
      <c r="D4681" s="111"/>
      <c r="E4681" s="111"/>
    </row>
    <row r="4682" spans="1:5" x14ac:dyDescent="0.2">
      <c r="A4682" s="113">
        <v>39380</v>
      </c>
      <c r="B4682" s="111">
        <f t="shared" si="73"/>
        <v>104</v>
      </c>
      <c r="C4682" s="111"/>
      <c r="D4682" s="111"/>
      <c r="E4682" s="111"/>
    </row>
    <row r="4683" spans="1:5" x14ac:dyDescent="0.2">
      <c r="A4683" s="113">
        <v>39381</v>
      </c>
      <c r="B4683" s="111">
        <f t="shared" si="73"/>
        <v>104</v>
      </c>
      <c r="C4683" s="111"/>
      <c r="D4683" s="111"/>
      <c r="E4683" s="111"/>
    </row>
    <row r="4684" spans="1:5" x14ac:dyDescent="0.2">
      <c r="A4684" s="113">
        <v>39382</v>
      </c>
      <c r="B4684" s="111">
        <f t="shared" si="73"/>
        <v>104</v>
      </c>
      <c r="C4684" s="111"/>
      <c r="D4684" s="111"/>
      <c r="E4684" s="111"/>
    </row>
    <row r="4685" spans="1:5" x14ac:dyDescent="0.2">
      <c r="A4685" s="113">
        <v>39383</v>
      </c>
      <c r="B4685" s="111">
        <f t="shared" si="73"/>
        <v>105</v>
      </c>
      <c r="C4685" s="111"/>
      <c r="D4685" s="111"/>
      <c r="E4685" s="111"/>
    </row>
    <row r="4686" spans="1:5" x14ac:dyDescent="0.2">
      <c r="A4686" s="113">
        <v>39384</v>
      </c>
      <c r="B4686" s="111">
        <f t="shared" si="73"/>
        <v>105</v>
      </c>
      <c r="C4686" s="111"/>
      <c r="D4686" s="111"/>
      <c r="E4686" s="111"/>
    </row>
    <row r="4687" spans="1:5" x14ac:dyDescent="0.2">
      <c r="A4687" s="113">
        <v>39385</v>
      </c>
      <c r="B4687" s="111">
        <f t="shared" si="73"/>
        <v>105</v>
      </c>
      <c r="C4687" s="111"/>
      <c r="D4687" s="111"/>
      <c r="E4687" s="111"/>
    </row>
    <row r="4688" spans="1:5" x14ac:dyDescent="0.2">
      <c r="A4688" s="113">
        <v>39386</v>
      </c>
      <c r="B4688" s="111">
        <f t="shared" si="73"/>
        <v>105</v>
      </c>
      <c r="C4688" s="111"/>
      <c r="D4688" s="111"/>
      <c r="E4688" s="111"/>
    </row>
    <row r="4689" spans="1:5" x14ac:dyDescent="0.2">
      <c r="A4689" s="113">
        <v>39387</v>
      </c>
      <c r="B4689" s="111">
        <f t="shared" si="73"/>
        <v>105</v>
      </c>
      <c r="C4689" s="111"/>
      <c r="D4689" s="111"/>
      <c r="E4689" s="111"/>
    </row>
    <row r="4690" spans="1:5" x14ac:dyDescent="0.2">
      <c r="A4690" s="113">
        <v>39388</v>
      </c>
      <c r="B4690" s="111">
        <f t="shared" si="73"/>
        <v>105</v>
      </c>
      <c r="C4690" s="111"/>
      <c r="D4690" s="111"/>
      <c r="E4690" s="111"/>
    </row>
    <row r="4691" spans="1:5" x14ac:dyDescent="0.2">
      <c r="A4691" s="113">
        <v>39389</v>
      </c>
      <c r="B4691" s="111">
        <f t="shared" si="73"/>
        <v>105</v>
      </c>
      <c r="C4691" s="111"/>
      <c r="D4691" s="111"/>
      <c r="E4691" s="111"/>
    </row>
    <row r="4692" spans="1:5" x14ac:dyDescent="0.2">
      <c r="A4692" s="113">
        <v>39390</v>
      </c>
      <c r="B4692" s="111">
        <f t="shared" si="73"/>
        <v>111</v>
      </c>
      <c r="C4692" s="111"/>
      <c r="D4692" s="111"/>
      <c r="E4692" s="111"/>
    </row>
    <row r="4693" spans="1:5" x14ac:dyDescent="0.2">
      <c r="A4693" s="113">
        <v>39391</v>
      </c>
      <c r="B4693" s="111">
        <f t="shared" si="73"/>
        <v>111</v>
      </c>
      <c r="C4693" s="111"/>
      <c r="D4693" s="111"/>
      <c r="E4693" s="111"/>
    </row>
    <row r="4694" spans="1:5" x14ac:dyDescent="0.2">
      <c r="A4694" s="113">
        <v>39392</v>
      </c>
      <c r="B4694" s="111">
        <f t="shared" si="73"/>
        <v>111</v>
      </c>
      <c r="C4694" s="111"/>
      <c r="D4694" s="111"/>
      <c r="E4694" s="111"/>
    </row>
    <row r="4695" spans="1:5" x14ac:dyDescent="0.2">
      <c r="A4695" s="113">
        <v>39393</v>
      </c>
      <c r="B4695" s="111">
        <f t="shared" si="73"/>
        <v>111</v>
      </c>
      <c r="C4695" s="111"/>
      <c r="D4695" s="111"/>
      <c r="E4695" s="111"/>
    </row>
    <row r="4696" spans="1:5" x14ac:dyDescent="0.2">
      <c r="A4696" s="113">
        <v>39394</v>
      </c>
      <c r="B4696" s="111">
        <f t="shared" si="73"/>
        <v>111</v>
      </c>
      <c r="C4696" s="111"/>
      <c r="D4696" s="111"/>
      <c r="E4696" s="111"/>
    </row>
    <row r="4697" spans="1:5" x14ac:dyDescent="0.2">
      <c r="A4697" s="113">
        <v>39395</v>
      </c>
      <c r="B4697" s="111">
        <f t="shared" si="73"/>
        <v>111</v>
      </c>
      <c r="C4697" s="111"/>
      <c r="D4697" s="111"/>
      <c r="E4697" s="111"/>
    </row>
    <row r="4698" spans="1:5" x14ac:dyDescent="0.2">
      <c r="A4698" s="113">
        <v>39396</v>
      </c>
      <c r="B4698" s="111">
        <f t="shared" si="73"/>
        <v>111</v>
      </c>
      <c r="C4698" s="111"/>
      <c r="D4698" s="111"/>
      <c r="E4698" s="111"/>
    </row>
    <row r="4699" spans="1:5" x14ac:dyDescent="0.2">
      <c r="A4699" s="113">
        <v>39397</v>
      </c>
      <c r="B4699" s="111">
        <f t="shared" si="73"/>
        <v>112</v>
      </c>
      <c r="C4699" s="111"/>
      <c r="D4699" s="111"/>
      <c r="E4699" s="111"/>
    </row>
    <row r="4700" spans="1:5" x14ac:dyDescent="0.2">
      <c r="A4700" s="113">
        <v>39398</v>
      </c>
      <c r="B4700" s="111">
        <f t="shared" si="73"/>
        <v>112</v>
      </c>
      <c r="C4700" s="111"/>
      <c r="D4700" s="111"/>
      <c r="E4700" s="111"/>
    </row>
    <row r="4701" spans="1:5" x14ac:dyDescent="0.2">
      <c r="A4701" s="113">
        <v>39399</v>
      </c>
      <c r="B4701" s="111">
        <f t="shared" si="73"/>
        <v>112</v>
      </c>
      <c r="C4701" s="111"/>
      <c r="D4701" s="111"/>
      <c r="E4701" s="111"/>
    </row>
    <row r="4702" spans="1:5" x14ac:dyDescent="0.2">
      <c r="A4702" s="113">
        <v>39400</v>
      </c>
      <c r="B4702" s="111">
        <f t="shared" si="73"/>
        <v>112</v>
      </c>
      <c r="C4702" s="111"/>
      <c r="D4702" s="111"/>
      <c r="E4702" s="111"/>
    </row>
    <row r="4703" spans="1:5" x14ac:dyDescent="0.2">
      <c r="A4703" s="113">
        <v>39401</v>
      </c>
      <c r="B4703" s="111">
        <f t="shared" si="73"/>
        <v>112</v>
      </c>
      <c r="C4703" s="111"/>
      <c r="D4703" s="111"/>
      <c r="E4703" s="111"/>
    </row>
    <row r="4704" spans="1:5" x14ac:dyDescent="0.2">
      <c r="A4704" s="113">
        <v>39402</v>
      </c>
      <c r="B4704" s="111">
        <f t="shared" si="73"/>
        <v>112</v>
      </c>
      <c r="C4704" s="111"/>
      <c r="D4704" s="111"/>
      <c r="E4704" s="111"/>
    </row>
    <row r="4705" spans="1:5" x14ac:dyDescent="0.2">
      <c r="A4705" s="113">
        <v>39403</v>
      </c>
      <c r="B4705" s="111">
        <f t="shared" si="73"/>
        <v>112</v>
      </c>
      <c r="C4705" s="111"/>
      <c r="D4705" s="111"/>
      <c r="E4705" s="111"/>
    </row>
    <row r="4706" spans="1:5" x14ac:dyDescent="0.2">
      <c r="A4706" s="113">
        <v>39404</v>
      </c>
      <c r="B4706" s="111">
        <f t="shared" si="73"/>
        <v>113</v>
      </c>
      <c r="C4706" s="111"/>
      <c r="D4706" s="111"/>
      <c r="E4706" s="111"/>
    </row>
    <row r="4707" spans="1:5" x14ac:dyDescent="0.2">
      <c r="A4707" s="113">
        <v>39405</v>
      </c>
      <c r="B4707" s="111">
        <f t="shared" si="73"/>
        <v>113</v>
      </c>
      <c r="C4707" s="111"/>
      <c r="D4707" s="111"/>
      <c r="E4707" s="111"/>
    </row>
    <row r="4708" spans="1:5" x14ac:dyDescent="0.2">
      <c r="A4708" s="113">
        <v>39406</v>
      </c>
      <c r="B4708" s="111">
        <f t="shared" si="73"/>
        <v>113</v>
      </c>
      <c r="C4708" s="111"/>
      <c r="D4708" s="111"/>
      <c r="E4708" s="111"/>
    </row>
    <row r="4709" spans="1:5" x14ac:dyDescent="0.2">
      <c r="A4709" s="113">
        <v>39407</v>
      </c>
      <c r="B4709" s="111">
        <f t="shared" si="73"/>
        <v>113</v>
      </c>
      <c r="C4709" s="111"/>
      <c r="D4709" s="111"/>
      <c r="E4709" s="111"/>
    </row>
    <row r="4710" spans="1:5" x14ac:dyDescent="0.2">
      <c r="A4710" s="113">
        <v>39408</v>
      </c>
      <c r="B4710" s="111">
        <f t="shared" si="73"/>
        <v>113</v>
      </c>
      <c r="C4710" s="111"/>
      <c r="D4710" s="111"/>
      <c r="E4710" s="111"/>
    </row>
    <row r="4711" spans="1:5" x14ac:dyDescent="0.2">
      <c r="A4711" s="113">
        <v>39409</v>
      </c>
      <c r="B4711" s="111">
        <f t="shared" si="73"/>
        <v>113</v>
      </c>
      <c r="C4711" s="111"/>
      <c r="D4711" s="111"/>
      <c r="E4711" s="111"/>
    </row>
    <row r="4712" spans="1:5" x14ac:dyDescent="0.2">
      <c r="A4712" s="113">
        <v>39410</v>
      </c>
      <c r="B4712" s="111">
        <f t="shared" si="73"/>
        <v>113</v>
      </c>
      <c r="C4712" s="111"/>
      <c r="D4712" s="111"/>
      <c r="E4712" s="111"/>
    </row>
    <row r="4713" spans="1:5" x14ac:dyDescent="0.2">
      <c r="A4713" s="113">
        <v>39411</v>
      </c>
      <c r="B4713" s="111">
        <f t="shared" si="73"/>
        <v>114</v>
      </c>
      <c r="C4713" s="111"/>
      <c r="D4713" s="111"/>
      <c r="E4713" s="111"/>
    </row>
    <row r="4714" spans="1:5" x14ac:dyDescent="0.2">
      <c r="A4714" s="113">
        <v>39412</v>
      </c>
      <c r="B4714" s="111">
        <f t="shared" si="73"/>
        <v>114</v>
      </c>
      <c r="C4714" s="111"/>
      <c r="D4714" s="111"/>
      <c r="E4714" s="111"/>
    </row>
    <row r="4715" spans="1:5" x14ac:dyDescent="0.2">
      <c r="A4715" s="113">
        <v>39413</v>
      </c>
      <c r="B4715" s="111">
        <f t="shared" si="73"/>
        <v>114</v>
      </c>
      <c r="C4715" s="111"/>
      <c r="D4715" s="111"/>
      <c r="E4715" s="111"/>
    </row>
    <row r="4716" spans="1:5" x14ac:dyDescent="0.2">
      <c r="A4716" s="113">
        <v>39414</v>
      </c>
      <c r="B4716" s="111">
        <f t="shared" si="73"/>
        <v>114</v>
      </c>
      <c r="C4716" s="111"/>
      <c r="D4716" s="111"/>
      <c r="E4716" s="111"/>
    </row>
    <row r="4717" spans="1:5" x14ac:dyDescent="0.2">
      <c r="A4717" s="113">
        <v>39415</v>
      </c>
      <c r="B4717" s="111">
        <f t="shared" si="73"/>
        <v>114</v>
      </c>
      <c r="C4717" s="111"/>
      <c r="D4717" s="111"/>
      <c r="E4717" s="111"/>
    </row>
    <row r="4718" spans="1:5" x14ac:dyDescent="0.2">
      <c r="A4718" s="113">
        <v>39416</v>
      </c>
      <c r="B4718" s="111">
        <f t="shared" si="73"/>
        <v>114</v>
      </c>
      <c r="C4718" s="111"/>
      <c r="D4718" s="111"/>
      <c r="E4718" s="111"/>
    </row>
    <row r="4719" spans="1:5" x14ac:dyDescent="0.2">
      <c r="A4719" s="113">
        <v>39417</v>
      </c>
      <c r="B4719" s="111">
        <f t="shared" si="73"/>
        <v>114</v>
      </c>
      <c r="C4719" s="111"/>
      <c r="D4719" s="111"/>
      <c r="E4719" s="111"/>
    </row>
    <row r="4720" spans="1:5" x14ac:dyDescent="0.2">
      <c r="A4720" s="113">
        <v>39418</v>
      </c>
      <c r="B4720" s="111">
        <f t="shared" si="73"/>
        <v>115</v>
      </c>
      <c r="C4720" s="111"/>
      <c r="D4720" s="111"/>
      <c r="E4720" s="111"/>
    </row>
    <row r="4721" spans="1:5" x14ac:dyDescent="0.2">
      <c r="A4721" s="113">
        <v>39419</v>
      </c>
      <c r="B4721" s="111">
        <f t="shared" si="73"/>
        <v>115</v>
      </c>
      <c r="C4721" s="111"/>
      <c r="D4721" s="111"/>
      <c r="E4721" s="111"/>
    </row>
    <row r="4722" spans="1:5" x14ac:dyDescent="0.2">
      <c r="A4722" s="113">
        <v>39420</v>
      </c>
      <c r="B4722" s="111">
        <f t="shared" si="73"/>
        <v>115</v>
      </c>
      <c r="C4722" s="111"/>
      <c r="D4722" s="111"/>
      <c r="E4722" s="111"/>
    </row>
    <row r="4723" spans="1:5" x14ac:dyDescent="0.2">
      <c r="A4723" s="113">
        <v>39421</v>
      </c>
      <c r="B4723" s="111">
        <f t="shared" si="73"/>
        <v>115</v>
      </c>
      <c r="C4723" s="111"/>
      <c r="D4723" s="111"/>
      <c r="E4723" s="111"/>
    </row>
    <row r="4724" spans="1:5" x14ac:dyDescent="0.2">
      <c r="A4724" s="113">
        <v>39422</v>
      </c>
      <c r="B4724" s="111">
        <f t="shared" si="73"/>
        <v>115</v>
      </c>
      <c r="C4724" s="111"/>
      <c r="D4724" s="111"/>
      <c r="E4724" s="111"/>
    </row>
    <row r="4725" spans="1:5" x14ac:dyDescent="0.2">
      <c r="A4725" s="113">
        <v>39423</v>
      </c>
      <c r="B4725" s="111">
        <f t="shared" si="73"/>
        <v>115</v>
      </c>
      <c r="C4725" s="111"/>
      <c r="D4725" s="111"/>
      <c r="E4725" s="111"/>
    </row>
    <row r="4726" spans="1:5" x14ac:dyDescent="0.2">
      <c r="A4726" s="113">
        <v>39424</v>
      </c>
      <c r="B4726" s="111">
        <f t="shared" si="73"/>
        <v>115</v>
      </c>
      <c r="C4726" s="111"/>
      <c r="D4726" s="111"/>
      <c r="E4726" s="111"/>
    </row>
    <row r="4727" spans="1:5" x14ac:dyDescent="0.2">
      <c r="A4727" s="113">
        <v>39425</v>
      </c>
      <c r="B4727" s="111">
        <f t="shared" si="73"/>
        <v>121</v>
      </c>
      <c r="C4727" s="111"/>
      <c r="D4727" s="111"/>
      <c r="E4727" s="111"/>
    </row>
    <row r="4728" spans="1:5" x14ac:dyDescent="0.2">
      <c r="A4728" s="113">
        <v>39426</v>
      </c>
      <c r="B4728" s="111">
        <f t="shared" si="73"/>
        <v>121</v>
      </c>
      <c r="C4728" s="111"/>
      <c r="D4728" s="111"/>
      <c r="E4728" s="111"/>
    </row>
    <row r="4729" spans="1:5" x14ac:dyDescent="0.2">
      <c r="A4729" s="113">
        <v>39427</v>
      </c>
      <c r="B4729" s="111">
        <f t="shared" si="73"/>
        <v>121</v>
      </c>
      <c r="C4729" s="111"/>
      <c r="D4729" s="111"/>
      <c r="E4729" s="111"/>
    </row>
    <row r="4730" spans="1:5" x14ac:dyDescent="0.2">
      <c r="A4730" s="113">
        <v>39428</v>
      </c>
      <c r="B4730" s="111">
        <f t="shared" si="73"/>
        <v>121</v>
      </c>
      <c r="C4730" s="111"/>
      <c r="D4730" s="111"/>
      <c r="E4730" s="111"/>
    </row>
    <row r="4731" spans="1:5" x14ac:dyDescent="0.2">
      <c r="A4731" s="113">
        <v>39429</v>
      </c>
      <c r="B4731" s="111">
        <f t="shared" si="73"/>
        <v>121</v>
      </c>
      <c r="C4731" s="111"/>
      <c r="D4731" s="111"/>
      <c r="E4731" s="111"/>
    </row>
    <row r="4732" spans="1:5" x14ac:dyDescent="0.2">
      <c r="A4732" s="113">
        <v>39430</v>
      </c>
      <c r="B4732" s="111">
        <f t="shared" si="73"/>
        <v>121</v>
      </c>
      <c r="C4732" s="111"/>
      <c r="D4732" s="111"/>
      <c r="E4732" s="111"/>
    </row>
    <row r="4733" spans="1:5" x14ac:dyDescent="0.2">
      <c r="A4733" s="113">
        <v>39431</v>
      </c>
      <c r="B4733" s="111">
        <f t="shared" si="73"/>
        <v>121</v>
      </c>
      <c r="C4733" s="111"/>
      <c r="D4733" s="111"/>
      <c r="E4733" s="111"/>
    </row>
    <row r="4734" spans="1:5" x14ac:dyDescent="0.2">
      <c r="A4734" s="113">
        <v>39432</v>
      </c>
      <c r="B4734" s="111">
        <f t="shared" si="73"/>
        <v>122</v>
      </c>
      <c r="C4734" s="111"/>
      <c r="D4734" s="111"/>
      <c r="E4734" s="111"/>
    </row>
    <row r="4735" spans="1:5" x14ac:dyDescent="0.2">
      <c r="A4735" s="113">
        <v>39433</v>
      </c>
      <c r="B4735" s="111">
        <f t="shared" si="73"/>
        <v>122</v>
      </c>
      <c r="C4735" s="111"/>
      <c r="D4735" s="111"/>
      <c r="E4735" s="111"/>
    </row>
    <row r="4736" spans="1:5" x14ac:dyDescent="0.2">
      <c r="A4736" s="113">
        <v>39434</v>
      </c>
      <c r="B4736" s="111">
        <f t="shared" si="73"/>
        <v>122</v>
      </c>
      <c r="C4736" s="111"/>
      <c r="D4736" s="111"/>
      <c r="E4736" s="111"/>
    </row>
    <row r="4737" spans="1:5" x14ac:dyDescent="0.2">
      <c r="A4737" s="113">
        <v>39435</v>
      </c>
      <c r="B4737" s="111">
        <f t="shared" si="73"/>
        <v>122</v>
      </c>
      <c r="C4737" s="111"/>
      <c r="D4737" s="111"/>
      <c r="E4737" s="111"/>
    </row>
    <row r="4738" spans="1:5" x14ac:dyDescent="0.2">
      <c r="A4738" s="113">
        <v>39436</v>
      </c>
      <c r="B4738" s="111">
        <f t="shared" ref="B4738:B4801" si="74">VLOOKUP(WEEKNUM(A4738),$D$3:$E$58,2)</f>
        <v>122</v>
      </c>
      <c r="C4738" s="111"/>
      <c r="D4738" s="111"/>
      <c r="E4738" s="111"/>
    </row>
    <row r="4739" spans="1:5" x14ac:dyDescent="0.2">
      <c r="A4739" s="113">
        <v>39437</v>
      </c>
      <c r="B4739" s="111">
        <f t="shared" si="74"/>
        <v>122</v>
      </c>
      <c r="C4739" s="111"/>
      <c r="D4739" s="111"/>
      <c r="E4739" s="111"/>
    </row>
    <row r="4740" spans="1:5" x14ac:dyDescent="0.2">
      <c r="A4740" s="113">
        <v>39438</v>
      </c>
      <c r="B4740" s="111">
        <f t="shared" si="74"/>
        <v>122</v>
      </c>
      <c r="C4740" s="111"/>
      <c r="D4740" s="111"/>
      <c r="E4740" s="111"/>
    </row>
    <row r="4741" spans="1:5" x14ac:dyDescent="0.2">
      <c r="A4741" s="113">
        <v>39439</v>
      </c>
      <c r="B4741" s="111">
        <f t="shared" si="74"/>
        <v>123</v>
      </c>
      <c r="C4741" s="111"/>
      <c r="D4741" s="111"/>
      <c r="E4741" s="111"/>
    </row>
    <row r="4742" spans="1:5" x14ac:dyDescent="0.2">
      <c r="A4742" s="113">
        <v>39440</v>
      </c>
      <c r="B4742" s="111">
        <f t="shared" si="74"/>
        <v>123</v>
      </c>
      <c r="C4742" s="111"/>
      <c r="D4742" s="111"/>
      <c r="E4742" s="111"/>
    </row>
    <row r="4743" spans="1:5" x14ac:dyDescent="0.2">
      <c r="A4743" s="113">
        <v>39441</v>
      </c>
      <c r="B4743" s="111">
        <f t="shared" si="74"/>
        <v>123</v>
      </c>
      <c r="C4743" s="111"/>
      <c r="D4743" s="111"/>
      <c r="E4743" s="111"/>
    </row>
    <row r="4744" spans="1:5" x14ac:dyDescent="0.2">
      <c r="A4744" s="113">
        <v>39442</v>
      </c>
      <c r="B4744" s="111">
        <f t="shared" si="74"/>
        <v>123</v>
      </c>
      <c r="C4744" s="111"/>
      <c r="D4744" s="111"/>
      <c r="E4744" s="111"/>
    </row>
    <row r="4745" spans="1:5" x14ac:dyDescent="0.2">
      <c r="A4745" s="113">
        <v>39443</v>
      </c>
      <c r="B4745" s="111">
        <f t="shared" si="74"/>
        <v>123</v>
      </c>
      <c r="C4745" s="111"/>
      <c r="D4745" s="111"/>
      <c r="E4745" s="111"/>
    </row>
    <row r="4746" spans="1:5" x14ac:dyDescent="0.2">
      <c r="A4746" s="113">
        <v>39444</v>
      </c>
      <c r="B4746" s="111">
        <f t="shared" si="74"/>
        <v>123</v>
      </c>
      <c r="C4746" s="111"/>
      <c r="D4746" s="111"/>
      <c r="E4746" s="111"/>
    </row>
    <row r="4747" spans="1:5" x14ac:dyDescent="0.2">
      <c r="A4747" s="113">
        <v>39445</v>
      </c>
      <c r="B4747" s="111">
        <f t="shared" si="74"/>
        <v>123</v>
      </c>
      <c r="C4747" s="111"/>
      <c r="D4747" s="111"/>
      <c r="E4747" s="111"/>
    </row>
    <row r="4748" spans="1:5" x14ac:dyDescent="0.2">
      <c r="A4748" s="113">
        <v>39446</v>
      </c>
      <c r="B4748" s="111">
        <f t="shared" si="74"/>
        <v>124</v>
      </c>
      <c r="C4748" s="111"/>
      <c r="D4748" s="111"/>
      <c r="E4748" s="111"/>
    </row>
    <row r="4749" spans="1:5" x14ac:dyDescent="0.2">
      <c r="A4749" s="113">
        <v>39447</v>
      </c>
      <c r="B4749" s="111">
        <f t="shared" si="74"/>
        <v>124</v>
      </c>
      <c r="C4749" s="111"/>
      <c r="D4749" s="111"/>
      <c r="E4749" s="111"/>
    </row>
    <row r="4750" spans="1:5" x14ac:dyDescent="0.2">
      <c r="A4750" s="113">
        <v>39448</v>
      </c>
      <c r="B4750" s="111">
        <f t="shared" si="74"/>
        <v>11</v>
      </c>
      <c r="C4750" s="111"/>
      <c r="D4750" s="111"/>
      <c r="E4750" s="111"/>
    </row>
    <row r="4751" spans="1:5" x14ac:dyDescent="0.2">
      <c r="A4751" s="113">
        <v>39449</v>
      </c>
      <c r="B4751" s="111">
        <f t="shared" si="74"/>
        <v>11</v>
      </c>
      <c r="C4751" s="111"/>
      <c r="D4751" s="111"/>
      <c r="E4751" s="111"/>
    </row>
    <row r="4752" spans="1:5" x14ac:dyDescent="0.2">
      <c r="A4752" s="113">
        <v>39450</v>
      </c>
      <c r="B4752" s="111">
        <f t="shared" si="74"/>
        <v>11</v>
      </c>
      <c r="C4752" s="111"/>
      <c r="D4752" s="111"/>
      <c r="E4752" s="111"/>
    </row>
    <row r="4753" spans="1:5" x14ac:dyDescent="0.2">
      <c r="A4753" s="113">
        <v>39451</v>
      </c>
      <c r="B4753" s="111">
        <f t="shared" si="74"/>
        <v>11</v>
      </c>
      <c r="C4753" s="111"/>
      <c r="D4753" s="111"/>
      <c r="E4753" s="111"/>
    </row>
    <row r="4754" spans="1:5" x14ac:dyDescent="0.2">
      <c r="A4754" s="113">
        <v>39452</v>
      </c>
      <c r="B4754" s="111">
        <f t="shared" si="74"/>
        <v>11</v>
      </c>
      <c r="C4754" s="111"/>
      <c r="D4754" s="111"/>
      <c r="E4754" s="111"/>
    </row>
    <row r="4755" spans="1:5" x14ac:dyDescent="0.2">
      <c r="A4755" s="113">
        <v>39453</v>
      </c>
      <c r="B4755" s="111">
        <f t="shared" si="74"/>
        <v>12</v>
      </c>
      <c r="C4755" s="111"/>
      <c r="D4755" s="111"/>
      <c r="E4755" s="111"/>
    </row>
    <row r="4756" spans="1:5" x14ac:dyDescent="0.2">
      <c r="A4756" s="113">
        <v>39454</v>
      </c>
      <c r="B4756" s="111">
        <f t="shared" si="74"/>
        <v>12</v>
      </c>
      <c r="C4756" s="111"/>
      <c r="D4756" s="111"/>
      <c r="E4756" s="111"/>
    </row>
    <row r="4757" spans="1:5" x14ac:dyDescent="0.2">
      <c r="A4757" s="113">
        <v>39455</v>
      </c>
      <c r="B4757" s="111">
        <f t="shared" si="74"/>
        <v>12</v>
      </c>
      <c r="C4757" s="111"/>
      <c r="D4757" s="111"/>
      <c r="E4757" s="111"/>
    </row>
    <row r="4758" spans="1:5" x14ac:dyDescent="0.2">
      <c r="A4758" s="113">
        <v>39456</v>
      </c>
      <c r="B4758" s="111">
        <f t="shared" si="74"/>
        <v>12</v>
      </c>
      <c r="C4758" s="111"/>
      <c r="D4758" s="111"/>
      <c r="E4758" s="111"/>
    </row>
    <row r="4759" spans="1:5" x14ac:dyDescent="0.2">
      <c r="A4759" s="113">
        <v>39457</v>
      </c>
      <c r="B4759" s="111">
        <f t="shared" si="74"/>
        <v>12</v>
      </c>
      <c r="C4759" s="111"/>
      <c r="D4759" s="111"/>
      <c r="E4759" s="111"/>
    </row>
    <row r="4760" spans="1:5" x14ac:dyDescent="0.2">
      <c r="A4760" s="113">
        <v>39458</v>
      </c>
      <c r="B4760" s="111">
        <f t="shared" si="74"/>
        <v>12</v>
      </c>
      <c r="C4760" s="111"/>
      <c r="D4760" s="111"/>
      <c r="E4760" s="111"/>
    </row>
    <row r="4761" spans="1:5" x14ac:dyDescent="0.2">
      <c r="A4761" s="113">
        <v>39459</v>
      </c>
      <c r="B4761" s="111">
        <f t="shared" si="74"/>
        <v>12</v>
      </c>
      <c r="C4761" s="111"/>
      <c r="D4761" s="111"/>
      <c r="E4761" s="111"/>
    </row>
    <row r="4762" spans="1:5" x14ac:dyDescent="0.2">
      <c r="A4762" s="113">
        <v>39460</v>
      </c>
      <c r="B4762" s="111">
        <f t="shared" si="74"/>
        <v>13</v>
      </c>
      <c r="C4762" s="111"/>
      <c r="D4762" s="111"/>
      <c r="E4762" s="111"/>
    </row>
    <row r="4763" spans="1:5" x14ac:dyDescent="0.2">
      <c r="A4763" s="113">
        <v>39461</v>
      </c>
      <c r="B4763" s="111">
        <f t="shared" si="74"/>
        <v>13</v>
      </c>
      <c r="C4763" s="111"/>
      <c r="D4763" s="111"/>
      <c r="E4763" s="111"/>
    </row>
    <row r="4764" spans="1:5" x14ac:dyDescent="0.2">
      <c r="A4764" s="113">
        <v>39462</v>
      </c>
      <c r="B4764" s="111">
        <f t="shared" si="74"/>
        <v>13</v>
      </c>
      <c r="C4764" s="111"/>
      <c r="D4764" s="111"/>
      <c r="E4764" s="111"/>
    </row>
    <row r="4765" spans="1:5" x14ac:dyDescent="0.2">
      <c r="A4765" s="113">
        <v>39463</v>
      </c>
      <c r="B4765" s="111">
        <f t="shared" si="74"/>
        <v>13</v>
      </c>
      <c r="C4765" s="111"/>
      <c r="D4765" s="111"/>
      <c r="E4765" s="111"/>
    </row>
    <row r="4766" spans="1:5" x14ac:dyDescent="0.2">
      <c r="A4766" s="113">
        <v>39464</v>
      </c>
      <c r="B4766" s="111">
        <f t="shared" si="74"/>
        <v>13</v>
      </c>
      <c r="C4766" s="111"/>
      <c r="D4766" s="111"/>
      <c r="E4766" s="111"/>
    </row>
    <row r="4767" spans="1:5" x14ac:dyDescent="0.2">
      <c r="A4767" s="113">
        <v>39465</v>
      </c>
      <c r="B4767" s="111">
        <f t="shared" si="74"/>
        <v>13</v>
      </c>
      <c r="C4767" s="111"/>
      <c r="D4767" s="111"/>
      <c r="E4767" s="111"/>
    </row>
    <row r="4768" spans="1:5" x14ac:dyDescent="0.2">
      <c r="A4768" s="113">
        <v>39466</v>
      </c>
      <c r="B4768" s="111">
        <f t="shared" si="74"/>
        <v>13</v>
      </c>
      <c r="C4768" s="111"/>
      <c r="D4768" s="111"/>
      <c r="E4768" s="111"/>
    </row>
    <row r="4769" spans="1:5" x14ac:dyDescent="0.2">
      <c r="A4769" s="113">
        <v>39467</v>
      </c>
      <c r="B4769" s="111">
        <f t="shared" si="74"/>
        <v>14</v>
      </c>
      <c r="C4769" s="111"/>
      <c r="D4769" s="111"/>
      <c r="E4769" s="111"/>
    </row>
    <row r="4770" spans="1:5" x14ac:dyDescent="0.2">
      <c r="A4770" s="113">
        <v>39468</v>
      </c>
      <c r="B4770" s="111">
        <f t="shared" si="74"/>
        <v>14</v>
      </c>
      <c r="C4770" s="111"/>
      <c r="D4770" s="111"/>
      <c r="E4770" s="111"/>
    </row>
    <row r="4771" spans="1:5" x14ac:dyDescent="0.2">
      <c r="A4771" s="113">
        <v>39469</v>
      </c>
      <c r="B4771" s="111">
        <f t="shared" si="74"/>
        <v>14</v>
      </c>
      <c r="C4771" s="111"/>
      <c r="D4771" s="111"/>
      <c r="E4771" s="111"/>
    </row>
    <row r="4772" spans="1:5" x14ac:dyDescent="0.2">
      <c r="A4772" s="113">
        <v>39470</v>
      </c>
      <c r="B4772" s="111">
        <f t="shared" si="74"/>
        <v>14</v>
      </c>
      <c r="C4772" s="111"/>
      <c r="D4772" s="111"/>
      <c r="E4772" s="111"/>
    </row>
    <row r="4773" spans="1:5" x14ac:dyDescent="0.2">
      <c r="A4773" s="113">
        <v>39471</v>
      </c>
      <c r="B4773" s="111">
        <f t="shared" si="74"/>
        <v>14</v>
      </c>
      <c r="C4773" s="111"/>
      <c r="D4773" s="111"/>
      <c r="E4773" s="111"/>
    </row>
    <row r="4774" spans="1:5" x14ac:dyDescent="0.2">
      <c r="A4774" s="113">
        <v>39472</v>
      </c>
      <c r="B4774" s="111">
        <f t="shared" si="74"/>
        <v>14</v>
      </c>
      <c r="C4774" s="111"/>
      <c r="D4774" s="111"/>
      <c r="E4774" s="111"/>
    </row>
    <row r="4775" spans="1:5" x14ac:dyDescent="0.2">
      <c r="A4775" s="113">
        <v>39473</v>
      </c>
      <c r="B4775" s="111">
        <f t="shared" si="74"/>
        <v>14</v>
      </c>
      <c r="C4775" s="111"/>
      <c r="D4775" s="111"/>
      <c r="E4775" s="111"/>
    </row>
    <row r="4776" spans="1:5" x14ac:dyDescent="0.2">
      <c r="A4776" s="113">
        <v>39474</v>
      </c>
      <c r="B4776" s="111">
        <f t="shared" si="74"/>
        <v>15</v>
      </c>
      <c r="C4776" s="111"/>
      <c r="D4776" s="111"/>
      <c r="E4776" s="111"/>
    </row>
    <row r="4777" spans="1:5" x14ac:dyDescent="0.2">
      <c r="A4777" s="113">
        <v>39475</v>
      </c>
      <c r="B4777" s="111">
        <f t="shared" si="74"/>
        <v>15</v>
      </c>
      <c r="C4777" s="111"/>
      <c r="D4777" s="111"/>
      <c r="E4777" s="111"/>
    </row>
    <row r="4778" spans="1:5" x14ac:dyDescent="0.2">
      <c r="A4778" s="113">
        <v>39476</v>
      </c>
      <c r="B4778" s="111">
        <f t="shared" si="74"/>
        <v>15</v>
      </c>
      <c r="C4778" s="111"/>
      <c r="D4778" s="111"/>
      <c r="E4778" s="111"/>
    </row>
    <row r="4779" spans="1:5" x14ac:dyDescent="0.2">
      <c r="A4779" s="113">
        <v>39477</v>
      </c>
      <c r="B4779" s="111">
        <f t="shared" si="74"/>
        <v>15</v>
      </c>
      <c r="C4779" s="111"/>
      <c r="D4779" s="111"/>
      <c r="E4779" s="111"/>
    </row>
    <row r="4780" spans="1:5" x14ac:dyDescent="0.2">
      <c r="A4780" s="113">
        <v>39478</v>
      </c>
      <c r="B4780" s="111">
        <f t="shared" si="74"/>
        <v>15</v>
      </c>
      <c r="C4780" s="111"/>
      <c r="D4780" s="111"/>
      <c r="E4780" s="111"/>
    </row>
    <row r="4781" spans="1:5" x14ac:dyDescent="0.2">
      <c r="A4781" s="113">
        <v>39479</v>
      </c>
      <c r="B4781" s="111">
        <f t="shared" si="74"/>
        <v>15</v>
      </c>
      <c r="C4781" s="111"/>
      <c r="D4781" s="111"/>
      <c r="E4781" s="111"/>
    </row>
    <row r="4782" spans="1:5" x14ac:dyDescent="0.2">
      <c r="A4782" s="113">
        <v>39480</v>
      </c>
      <c r="B4782" s="111">
        <f t="shared" si="74"/>
        <v>15</v>
      </c>
      <c r="C4782" s="111"/>
      <c r="D4782" s="111"/>
      <c r="E4782" s="111"/>
    </row>
    <row r="4783" spans="1:5" x14ac:dyDescent="0.2">
      <c r="A4783" s="113">
        <v>39481</v>
      </c>
      <c r="B4783" s="111">
        <f t="shared" si="74"/>
        <v>21</v>
      </c>
      <c r="C4783" s="111"/>
      <c r="D4783" s="111"/>
      <c r="E4783" s="111"/>
    </row>
    <row r="4784" spans="1:5" x14ac:dyDescent="0.2">
      <c r="A4784" s="113">
        <v>39482</v>
      </c>
      <c r="B4784" s="111">
        <f t="shared" si="74"/>
        <v>21</v>
      </c>
      <c r="C4784" s="111"/>
      <c r="D4784" s="111"/>
      <c r="E4784" s="111"/>
    </row>
    <row r="4785" spans="1:5" x14ac:dyDescent="0.2">
      <c r="A4785" s="113">
        <v>39483</v>
      </c>
      <c r="B4785" s="111">
        <f t="shared" si="74"/>
        <v>21</v>
      </c>
      <c r="C4785" s="111"/>
      <c r="D4785" s="111"/>
      <c r="E4785" s="111"/>
    </row>
    <row r="4786" spans="1:5" x14ac:dyDescent="0.2">
      <c r="A4786" s="113">
        <v>39484</v>
      </c>
      <c r="B4786" s="111">
        <f t="shared" si="74"/>
        <v>21</v>
      </c>
      <c r="C4786" s="111"/>
      <c r="D4786" s="111"/>
      <c r="E4786" s="111"/>
    </row>
    <row r="4787" spans="1:5" x14ac:dyDescent="0.2">
      <c r="A4787" s="113">
        <v>39485</v>
      </c>
      <c r="B4787" s="111">
        <f t="shared" si="74"/>
        <v>21</v>
      </c>
      <c r="C4787" s="111"/>
      <c r="D4787" s="111"/>
      <c r="E4787" s="111"/>
    </row>
    <row r="4788" spans="1:5" x14ac:dyDescent="0.2">
      <c r="A4788" s="113">
        <v>39486</v>
      </c>
      <c r="B4788" s="111">
        <f t="shared" si="74"/>
        <v>21</v>
      </c>
      <c r="C4788" s="111"/>
      <c r="D4788" s="111"/>
      <c r="E4788" s="111"/>
    </row>
    <row r="4789" spans="1:5" x14ac:dyDescent="0.2">
      <c r="A4789" s="113">
        <v>39487</v>
      </c>
      <c r="B4789" s="111">
        <f t="shared" si="74"/>
        <v>21</v>
      </c>
      <c r="C4789" s="111"/>
      <c r="D4789" s="111"/>
      <c r="E4789" s="111"/>
    </row>
    <row r="4790" spans="1:5" x14ac:dyDescent="0.2">
      <c r="A4790" s="113">
        <v>39488</v>
      </c>
      <c r="B4790" s="111">
        <f t="shared" si="74"/>
        <v>22</v>
      </c>
      <c r="C4790" s="111"/>
      <c r="D4790" s="111"/>
      <c r="E4790" s="111"/>
    </row>
    <row r="4791" spans="1:5" x14ac:dyDescent="0.2">
      <c r="A4791" s="113">
        <v>39489</v>
      </c>
      <c r="B4791" s="111">
        <f t="shared" si="74"/>
        <v>22</v>
      </c>
      <c r="C4791" s="111"/>
      <c r="D4791" s="111"/>
      <c r="E4791" s="111"/>
    </row>
    <row r="4792" spans="1:5" x14ac:dyDescent="0.2">
      <c r="A4792" s="113">
        <v>39490</v>
      </c>
      <c r="B4792" s="111">
        <f t="shared" si="74"/>
        <v>22</v>
      </c>
      <c r="C4792" s="111"/>
      <c r="D4792" s="111"/>
      <c r="E4792" s="111"/>
    </row>
    <row r="4793" spans="1:5" x14ac:dyDescent="0.2">
      <c r="A4793" s="113">
        <v>39491</v>
      </c>
      <c r="B4793" s="111">
        <f t="shared" si="74"/>
        <v>22</v>
      </c>
      <c r="C4793" s="111"/>
      <c r="D4793" s="111"/>
      <c r="E4793" s="111"/>
    </row>
    <row r="4794" spans="1:5" x14ac:dyDescent="0.2">
      <c r="A4794" s="113">
        <v>39492</v>
      </c>
      <c r="B4794" s="111">
        <f t="shared" si="74"/>
        <v>22</v>
      </c>
      <c r="C4794" s="111"/>
      <c r="D4794" s="111"/>
      <c r="E4794" s="111"/>
    </row>
    <row r="4795" spans="1:5" x14ac:dyDescent="0.2">
      <c r="A4795" s="113">
        <v>39493</v>
      </c>
      <c r="B4795" s="111">
        <f t="shared" si="74"/>
        <v>22</v>
      </c>
      <c r="C4795" s="111"/>
      <c r="D4795" s="111"/>
      <c r="E4795" s="111"/>
    </row>
    <row r="4796" spans="1:5" x14ac:dyDescent="0.2">
      <c r="A4796" s="113">
        <v>39494</v>
      </c>
      <c r="B4796" s="111">
        <f t="shared" si="74"/>
        <v>22</v>
      </c>
      <c r="C4796" s="111"/>
      <c r="D4796" s="111"/>
      <c r="E4796" s="111"/>
    </row>
    <row r="4797" spans="1:5" x14ac:dyDescent="0.2">
      <c r="A4797" s="113">
        <v>39495</v>
      </c>
      <c r="B4797" s="111">
        <f t="shared" si="74"/>
        <v>23</v>
      </c>
      <c r="C4797" s="111"/>
      <c r="D4797" s="111"/>
      <c r="E4797" s="111"/>
    </row>
    <row r="4798" spans="1:5" x14ac:dyDescent="0.2">
      <c r="A4798" s="113">
        <v>39496</v>
      </c>
      <c r="B4798" s="111">
        <f t="shared" si="74"/>
        <v>23</v>
      </c>
      <c r="C4798" s="111"/>
      <c r="D4798" s="111"/>
      <c r="E4798" s="111"/>
    </row>
    <row r="4799" spans="1:5" x14ac:dyDescent="0.2">
      <c r="A4799" s="113">
        <v>39497</v>
      </c>
      <c r="B4799" s="111">
        <f t="shared" si="74"/>
        <v>23</v>
      </c>
      <c r="C4799" s="111"/>
      <c r="D4799" s="111"/>
      <c r="E4799" s="111"/>
    </row>
    <row r="4800" spans="1:5" x14ac:dyDescent="0.2">
      <c r="A4800" s="113">
        <v>39498</v>
      </c>
      <c r="B4800" s="111">
        <f t="shared" si="74"/>
        <v>23</v>
      </c>
      <c r="C4800" s="111"/>
      <c r="D4800" s="111"/>
      <c r="E4800" s="111"/>
    </row>
    <row r="4801" spans="1:5" x14ac:dyDescent="0.2">
      <c r="A4801" s="113">
        <v>39499</v>
      </c>
      <c r="B4801" s="111">
        <f t="shared" si="74"/>
        <v>23</v>
      </c>
      <c r="C4801" s="111"/>
      <c r="D4801" s="111"/>
      <c r="E4801" s="111"/>
    </row>
    <row r="4802" spans="1:5" x14ac:dyDescent="0.2">
      <c r="A4802" s="113">
        <v>39500</v>
      </c>
      <c r="B4802" s="111">
        <f t="shared" ref="B4802:B4865" si="75">VLOOKUP(WEEKNUM(A4802),$D$3:$E$58,2)</f>
        <v>23</v>
      </c>
      <c r="C4802" s="111"/>
      <c r="D4802" s="111"/>
      <c r="E4802" s="111"/>
    </row>
    <row r="4803" spans="1:5" x14ac:dyDescent="0.2">
      <c r="A4803" s="113">
        <v>39501</v>
      </c>
      <c r="B4803" s="111">
        <f t="shared" si="75"/>
        <v>23</v>
      </c>
      <c r="C4803" s="111"/>
      <c r="D4803" s="111"/>
      <c r="E4803" s="111"/>
    </row>
    <row r="4804" spans="1:5" x14ac:dyDescent="0.2">
      <c r="A4804" s="113">
        <v>39502</v>
      </c>
      <c r="B4804" s="111">
        <f t="shared" si="75"/>
        <v>24</v>
      </c>
      <c r="C4804" s="111"/>
      <c r="D4804" s="111"/>
      <c r="E4804" s="111"/>
    </row>
    <row r="4805" spans="1:5" x14ac:dyDescent="0.2">
      <c r="A4805" s="113">
        <v>39503</v>
      </c>
      <c r="B4805" s="111">
        <f t="shared" si="75"/>
        <v>24</v>
      </c>
      <c r="C4805" s="111"/>
      <c r="D4805" s="111"/>
      <c r="E4805" s="111"/>
    </row>
    <row r="4806" spans="1:5" x14ac:dyDescent="0.2">
      <c r="A4806" s="113">
        <v>39504</v>
      </c>
      <c r="B4806" s="111">
        <f t="shared" si="75"/>
        <v>24</v>
      </c>
      <c r="C4806" s="111"/>
      <c r="D4806" s="111"/>
      <c r="E4806" s="111"/>
    </row>
    <row r="4807" spans="1:5" x14ac:dyDescent="0.2">
      <c r="A4807" s="113">
        <v>39505</v>
      </c>
      <c r="B4807" s="111">
        <f t="shared" si="75"/>
        <v>24</v>
      </c>
      <c r="C4807" s="111"/>
      <c r="D4807" s="111"/>
      <c r="E4807" s="111"/>
    </row>
    <row r="4808" spans="1:5" x14ac:dyDescent="0.2">
      <c r="A4808" s="113">
        <v>39506</v>
      </c>
      <c r="B4808" s="111">
        <f t="shared" si="75"/>
        <v>24</v>
      </c>
      <c r="C4808" s="111"/>
      <c r="D4808" s="111"/>
      <c r="E4808" s="111"/>
    </row>
    <row r="4809" spans="1:5" x14ac:dyDescent="0.2">
      <c r="A4809" s="113">
        <v>39507</v>
      </c>
      <c r="B4809" s="111">
        <f t="shared" si="75"/>
        <v>24</v>
      </c>
      <c r="C4809" s="111"/>
      <c r="D4809" s="111"/>
      <c r="E4809" s="111"/>
    </row>
    <row r="4810" spans="1:5" x14ac:dyDescent="0.2">
      <c r="A4810" s="113">
        <v>39508</v>
      </c>
      <c r="B4810" s="111">
        <f t="shared" si="75"/>
        <v>24</v>
      </c>
      <c r="C4810" s="111"/>
      <c r="D4810" s="111"/>
      <c r="E4810" s="111"/>
    </row>
    <row r="4811" spans="1:5" x14ac:dyDescent="0.2">
      <c r="A4811" s="113">
        <v>39509</v>
      </c>
      <c r="B4811" s="111">
        <f t="shared" si="75"/>
        <v>31</v>
      </c>
      <c r="C4811" s="111"/>
      <c r="D4811" s="111"/>
      <c r="E4811" s="111"/>
    </row>
    <row r="4812" spans="1:5" x14ac:dyDescent="0.2">
      <c r="A4812" s="113">
        <v>39510</v>
      </c>
      <c r="B4812" s="111">
        <f t="shared" si="75"/>
        <v>31</v>
      </c>
      <c r="C4812" s="111"/>
      <c r="D4812" s="111"/>
      <c r="E4812" s="111"/>
    </row>
    <row r="4813" spans="1:5" x14ac:dyDescent="0.2">
      <c r="A4813" s="113">
        <v>39511</v>
      </c>
      <c r="B4813" s="111">
        <f t="shared" si="75"/>
        <v>31</v>
      </c>
      <c r="C4813" s="111"/>
      <c r="D4813" s="111"/>
      <c r="E4813" s="111"/>
    </row>
    <row r="4814" spans="1:5" x14ac:dyDescent="0.2">
      <c r="A4814" s="113">
        <v>39512</v>
      </c>
      <c r="B4814" s="111">
        <f t="shared" si="75"/>
        <v>31</v>
      </c>
      <c r="C4814" s="111"/>
      <c r="D4814" s="111"/>
      <c r="E4814" s="111"/>
    </row>
    <row r="4815" spans="1:5" x14ac:dyDescent="0.2">
      <c r="A4815" s="113">
        <v>39513</v>
      </c>
      <c r="B4815" s="111">
        <f t="shared" si="75"/>
        <v>31</v>
      </c>
      <c r="C4815" s="111"/>
      <c r="D4815" s="111"/>
      <c r="E4815" s="111"/>
    </row>
    <row r="4816" spans="1:5" x14ac:dyDescent="0.2">
      <c r="A4816" s="113">
        <v>39514</v>
      </c>
      <c r="B4816" s="111">
        <f t="shared" si="75"/>
        <v>31</v>
      </c>
      <c r="C4816" s="111"/>
      <c r="D4816" s="111"/>
      <c r="E4816" s="111"/>
    </row>
    <row r="4817" spans="1:5" x14ac:dyDescent="0.2">
      <c r="A4817" s="113">
        <v>39515</v>
      </c>
      <c r="B4817" s="111">
        <f t="shared" si="75"/>
        <v>31</v>
      </c>
      <c r="C4817" s="111"/>
      <c r="D4817" s="111"/>
      <c r="E4817" s="111"/>
    </row>
    <row r="4818" spans="1:5" x14ac:dyDescent="0.2">
      <c r="A4818" s="113">
        <v>39516</v>
      </c>
      <c r="B4818" s="111">
        <f t="shared" si="75"/>
        <v>32</v>
      </c>
      <c r="C4818" s="111"/>
      <c r="D4818" s="111"/>
      <c r="E4818" s="111"/>
    </row>
    <row r="4819" spans="1:5" x14ac:dyDescent="0.2">
      <c r="A4819" s="113">
        <v>39517</v>
      </c>
      <c r="B4819" s="111">
        <f t="shared" si="75"/>
        <v>32</v>
      </c>
      <c r="C4819" s="111"/>
      <c r="D4819" s="111"/>
      <c r="E4819" s="111"/>
    </row>
    <row r="4820" spans="1:5" x14ac:dyDescent="0.2">
      <c r="A4820" s="113">
        <v>39518</v>
      </c>
      <c r="B4820" s="111">
        <f t="shared" si="75"/>
        <v>32</v>
      </c>
      <c r="C4820" s="111"/>
      <c r="D4820" s="111"/>
      <c r="E4820" s="111"/>
    </row>
    <row r="4821" spans="1:5" x14ac:dyDescent="0.2">
      <c r="A4821" s="113">
        <v>39519</v>
      </c>
      <c r="B4821" s="111">
        <f t="shared" si="75"/>
        <v>32</v>
      </c>
      <c r="C4821" s="111"/>
      <c r="D4821" s="111"/>
      <c r="E4821" s="111"/>
    </row>
    <row r="4822" spans="1:5" x14ac:dyDescent="0.2">
      <c r="A4822" s="113">
        <v>39520</v>
      </c>
      <c r="B4822" s="111">
        <f t="shared" si="75"/>
        <v>32</v>
      </c>
      <c r="C4822" s="111"/>
      <c r="D4822" s="111"/>
      <c r="E4822" s="111"/>
    </row>
    <row r="4823" spans="1:5" x14ac:dyDescent="0.2">
      <c r="A4823" s="113">
        <v>39521</v>
      </c>
      <c r="B4823" s="111">
        <f t="shared" si="75"/>
        <v>32</v>
      </c>
      <c r="C4823" s="111"/>
      <c r="D4823" s="111"/>
      <c r="E4823" s="111"/>
    </row>
    <row r="4824" spans="1:5" x14ac:dyDescent="0.2">
      <c r="A4824" s="113">
        <v>39522</v>
      </c>
      <c r="B4824" s="111">
        <f t="shared" si="75"/>
        <v>32</v>
      </c>
      <c r="C4824" s="111"/>
      <c r="D4824" s="111"/>
      <c r="E4824" s="111"/>
    </row>
    <row r="4825" spans="1:5" x14ac:dyDescent="0.2">
      <c r="A4825" s="113">
        <v>39523</v>
      </c>
      <c r="B4825" s="111">
        <f t="shared" si="75"/>
        <v>33</v>
      </c>
      <c r="C4825" s="111"/>
      <c r="D4825" s="111"/>
      <c r="E4825" s="111"/>
    </row>
    <row r="4826" spans="1:5" x14ac:dyDescent="0.2">
      <c r="A4826" s="113">
        <v>39524</v>
      </c>
      <c r="B4826" s="111">
        <f t="shared" si="75"/>
        <v>33</v>
      </c>
      <c r="C4826" s="111"/>
      <c r="D4826" s="111"/>
      <c r="E4826" s="111"/>
    </row>
    <row r="4827" spans="1:5" x14ac:dyDescent="0.2">
      <c r="A4827" s="113">
        <v>39525</v>
      </c>
      <c r="B4827" s="111">
        <f t="shared" si="75"/>
        <v>33</v>
      </c>
      <c r="C4827" s="111"/>
      <c r="D4827" s="111"/>
      <c r="E4827" s="111"/>
    </row>
    <row r="4828" spans="1:5" x14ac:dyDescent="0.2">
      <c r="A4828" s="113">
        <v>39526</v>
      </c>
      <c r="B4828" s="111">
        <f t="shared" si="75"/>
        <v>33</v>
      </c>
      <c r="C4828" s="111"/>
      <c r="D4828" s="111"/>
      <c r="E4828" s="111"/>
    </row>
    <row r="4829" spans="1:5" x14ac:dyDescent="0.2">
      <c r="A4829" s="113">
        <v>39527</v>
      </c>
      <c r="B4829" s="111">
        <f t="shared" si="75"/>
        <v>33</v>
      </c>
      <c r="C4829" s="111"/>
      <c r="D4829" s="111"/>
      <c r="E4829" s="111"/>
    </row>
    <row r="4830" spans="1:5" x14ac:dyDescent="0.2">
      <c r="A4830" s="113">
        <v>39528</v>
      </c>
      <c r="B4830" s="111">
        <f t="shared" si="75"/>
        <v>33</v>
      </c>
      <c r="C4830" s="111"/>
      <c r="D4830" s="111"/>
      <c r="E4830" s="111"/>
    </row>
    <row r="4831" spans="1:5" x14ac:dyDescent="0.2">
      <c r="A4831" s="113">
        <v>39529</v>
      </c>
      <c r="B4831" s="111">
        <f t="shared" si="75"/>
        <v>33</v>
      </c>
      <c r="C4831" s="111"/>
      <c r="D4831" s="111"/>
      <c r="E4831" s="111"/>
    </row>
    <row r="4832" spans="1:5" x14ac:dyDescent="0.2">
      <c r="A4832" s="113">
        <v>39530</v>
      </c>
      <c r="B4832" s="111">
        <f t="shared" si="75"/>
        <v>34</v>
      </c>
      <c r="C4832" s="111"/>
      <c r="D4832" s="111"/>
      <c r="E4832" s="111"/>
    </row>
    <row r="4833" spans="1:5" x14ac:dyDescent="0.2">
      <c r="A4833" s="113">
        <v>39531</v>
      </c>
      <c r="B4833" s="111">
        <f t="shared" si="75"/>
        <v>34</v>
      </c>
      <c r="C4833" s="111"/>
      <c r="D4833" s="111"/>
      <c r="E4833" s="111"/>
    </row>
    <row r="4834" spans="1:5" x14ac:dyDescent="0.2">
      <c r="A4834" s="113">
        <v>39532</v>
      </c>
      <c r="B4834" s="111">
        <f t="shared" si="75"/>
        <v>34</v>
      </c>
      <c r="C4834" s="111"/>
      <c r="D4834" s="111"/>
      <c r="E4834" s="111"/>
    </row>
    <row r="4835" spans="1:5" x14ac:dyDescent="0.2">
      <c r="A4835" s="113">
        <v>39533</v>
      </c>
      <c r="B4835" s="111">
        <f t="shared" si="75"/>
        <v>34</v>
      </c>
      <c r="C4835" s="111"/>
      <c r="D4835" s="111"/>
      <c r="E4835" s="111"/>
    </row>
    <row r="4836" spans="1:5" x14ac:dyDescent="0.2">
      <c r="A4836" s="113">
        <v>39534</v>
      </c>
      <c r="B4836" s="111">
        <f t="shared" si="75"/>
        <v>34</v>
      </c>
      <c r="C4836" s="111"/>
      <c r="D4836" s="111"/>
      <c r="E4836" s="111"/>
    </row>
    <row r="4837" spans="1:5" x14ac:dyDescent="0.2">
      <c r="A4837" s="113">
        <v>39535</v>
      </c>
      <c r="B4837" s="111">
        <f t="shared" si="75"/>
        <v>34</v>
      </c>
      <c r="C4837" s="111"/>
      <c r="D4837" s="111"/>
      <c r="E4837" s="111"/>
    </row>
    <row r="4838" spans="1:5" x14ac:dyDescent="0.2">
      <c r="A4838" s="113">
        <v>39536</v>
      </c>
      <c r="B4838" s="111">
        <f t="shared" si="75"/>
        <v>34</v>
      </c>
      <c r="C4838" s="111"/>
      <c r="D4838" s="111"/>
      <c r="E4838" s="111"/>
    </row>
    <row r="4839" spans="1:5" x14ac:dyDescent="0.2">
      <c r="A4839" s="113">
        <v>39537</v>
      </c>
      <c r="B4839" s="111">
        <f t="shared" si="75"/>
        <v>41</v>
      </c>
      <c r="C4839" s="111"/>
      <c r="D4839" s="111"/>
      <c r="E4839" s="111"/>
    </row>
    <row r="4840" spans="1:5" x14ac:dyDescent="0.2">
      <c r="A4840" s="113">
        <v>39538</v>
      </c>
      <c r="B4840" s="111">
        <f t="shared" si="75"/>
        <v>41</v>
      </c>
      <c r="C4840" s="111"/>
      <c r="D4840" s="111"/>
      <c r="E4840" s="111"/>
    </row>
    <row r="4841" spans="1:5" x14ac:dyDescent="0.2">
      <c r="A4841" s="113">
        <v>39539</v>
      </c>
      <c r="B4841" s="111">
        <f t="shared" si="75"/>
        <v>41</v>
      </c>
      <c r="C4841" s="111"/>
      <c r="D4841" s="111"/>
      <c r="E4841" s="111"/>
    </row>
    <row r="4842" spans="1:5" x14ac:dyDescent="0.2">
      <c r="A4842" s="113">
        <v>39540</v>
      </c>
      <c r="B4842" s="111">
        <f t="shared" si="75"/>
        <v>41</v>
      </c>
      <c r="C4842" s="111"/>
      <c r="D4842" s="111"/>
      <c r="E4842" s="111"/>
    </row>
    <row r="4843" spans="1:5" x14ac:dyDescent="0.2">
      <c r="A4843" s="113">
        <v>39541</v>
      </c>
      <c r="B4843" s="111">
        <f t="shared" si="75"/>
        <v>41</v>
      </c>
      <c r="C4843" s="111"/>
      <c r="D4843" s="111"/>
      <c r="E4843" s="111"/>
    </row>
    <row r="4844" spans="1:5" x14ac:dyDescent="0.2">
      <c r="A4844" s="113">
        <v>39542</v>
      </c>
      <c r="B4844" s="111">
        <f t="shared" si="75"/>
        <v>41</v>
      </c>
      <c r="C4844" s="111"/>
      <c r="D4844" s="111"/>
      <c r="E4844" s="111"/>
    </row>
    <row r="4845" spans="1:5" x14ac:dyDescent="0.2">
      <c r="A4845" s="113">
        <v>39543</v>
      </c>
      <c r="B4845" s="111">
        <f t="shared" si="75"/>
        <v>41</v>
      </c>
      <c r="C4845" s="111"/>
      <c r="D4845" s="111"/>
      <c r="E4845" s="111"/>
    </row>
    <row r="4846" spans="1:5" x14ac:dyDescent="0.2">
      <c r="A4846" s="113">
        <v>39544</v>
      </c>
      <c r="B4846" s="111">
        <f t="shared" si="75"/>
        <v>42</v>
      </c>
      <c r="C4846" s="111"/>
      <c r="D4846" s="111"/>
      <c r="E4846" s="111"/>
    </row>
    <row r="4847" spans="1:5" x14ac:dyDescent="0.2">
      <c r="A4847" s="113">
        <v>39545</v>
      </c>
      <c r="B4847" s="111">
        <f t="shared" si="75"/>
        <v>42</v>
      </c>
      <c r="C4847" s="111"/>
      <c r="D4847" s="111"/>
      <c r="E4847" s="111"/>
    </row>
    <row r="4848" spans="1:5" x14ac:dyDescent="0.2">
      <c r="A4848" s="113">
        <v>39546</v>
      </c>
      <c r="B4848" s="111">
        <f t="shared" si="75"/>
        <v>42</v>
      </c>
      <c r="C4848" s="111"/>
      <c r="D4848" s="111"/>
      <c r="E4848" s="111"/>
    </row>
    <row r="4849" spans="1:5" x14ac:dyDescent="0.2">
      <c r="A4849" s="113">
        <v>39547</v>
      </c>
      <c r="B4849" s="111">
        <f t="shared" si="75"/>
        <v>42</v>
      </c>
      <c r="C4849" s="111"/>
      <c r="D4849" s="111"/>
      <c r="E4849" s="111"/>
    </row>
    <row r="4850" spans="1:5" x14ac:dyDescent="0.2">
      <c r="A4850" s="113">
        <v>39548</v>
      </c>
      <c r="B4850" s="111">
        <f t="shared" si="75"/>
        <v>42</v>
      </c>
      <c r="C4850" s="111"/>
      <c r="D4850" s="111"/>
      <c r="E4850" s="111"/>
    </row>
    <row r="4851" spans="1:5" x14ac:dyDescent="0.2">
      <c r="A4851" s="113">
        <v>39549</v>
      </c>
      <c r="B4851" s="111">
        <f t="shared" si="75"/>
        <v>42</v>
      </c>
      <c r="C4851" s="111"/>
      <c r="D4851" s="111"/>
      <c r="E4851" s="111"/>
    </row>
    <row r="4852" spans="1:5" x14ac:dyDescent="0.2">
      <c r="A4852" s="113">
        <v>39550</v>
      </c>
      <c r="B4852" s="111">
        <f t="shared" si="75"/>
        <v>42</v>
      </c>
      <c r="C4852" s="111"/>
      <c r="D4852" s="111"/>
      <c r="E4852" s="111"/>
    </row>
    <row r="4853" spans="1:5" x14ac:dyDescent="0.2">
      <c r="A4853" s="113">
        <v>39551</v>
      </c>
      <c r="B4853" s="111">
        <f t="shared" si="75"/>
        <v>43</v>
      </c>
      <c r="C4853" s="111"/>
      <c r="D4853" s="111"/>
      <c r="E4853" s="111"/>
    </row>
    <row r="4854" spans="1:5" x14ac:dyDescent="0.2">
      <c r="A4854" s="113">
        <v>39552</v>
      </c>
      <c r="B4854" s="111">
        <f t="shared" si="75"/>
        <v>43</v>
      </c>
      <c r="C4854" s="111"/>
      <c r="D4854" s="111"/>
      <c r="E4854" s="111"/>
    </row>
    <row r="4855" spans="1:5" x14ac:dyDescent="0.2">
      <c r="A4855" s="113">
        <v>39553</v>
      </c>
      <c r="B4855" s="111">
        <f t="shared" si="75"/>
        <v>43</v>
      </c>
      <c r="C4855" s="111"/>
      <c r="D4855" s="111"/>
      <c r="E4855" s="111"/>
    </row>
    <row r="4856" spans="1:5" x14ac:dyDescent="0.2">
      <c r="A4856" s="113">
        <v>39554</v>
      </c>
      <c r="B4856" s="111">
        <f t="shared" si="75"/>
        <v>43</v>
      </c>
      <c r="C4856" s="111"/>
      <c r="D4856" s="111"/>
      <c r="E4856" s="111"/>
    </row>
    <row r="4857" spans="1:5" x14ac:dyDescent="0.2">
      <c r="A4857" s="113">
        <v>39555</v>
      </c>
      <c r="B4857" s="111">
        <f t="shared" si="75"/>
        <v>43</v>
      </c>
      <c r="C4857" s="111"/>
      <c r="D4857" s="111"/>
      <c r="E4857" s="111"/>
    </row>
    <row r="4858" spans="1:5" x14ac:dyDescent="0.2">
      <c r="A4858" s="113">
        <v>39556</v>
      </c>
      <c r="B4858" s="111">
        <f t="shared" si="75"/>
        <v>43</v>
      </c>
      <c r="C4858" s="111"/>
      <c r="D4858" s="111"/>
      <c r="E4858" s="111"/>
    </row>
    <row r="4859" spans="1:5" x14ac:dyDescent="0.2">
      <c r="A4859" s="113">
        <v>39557</v>
      </c>
      <c r="B4859" s="111">
        <f t="shared" si="75"/>
        <v>43</v>
      </c>
      <c r="C4859" s="111"/>
      <c r="D4859" s="111"/>
      <c r="E4859" s="111"/>
    </row>
    <row r="4860" spans="1:5" x14ac:dyDescent="0.2">
      <c r="A4860" s="113">
        <v>39558</v>
      </c>
      <c r="B4860" s="111">
        <f t="shared" si="75"/>
        <v>44</v>
      </c>
      <c r="C4860" s="111"/>
      <c r="D4860" s="111"/>
      <c r="E4860" s="111"/>
    </row>
    <row r="4861" spans="1:5" x14ac:dyDescent="0.2">
      <c r="A4861" s="113">
        <v>39559</v>
      </c>
      <c r="B4861" s="111">
        <f t="shared" si="75"/>
        <v>44</v>
      </c>
      <c r="C4861" s="111"/>
      <c r="D4861" s="111"/>
      <c r="E4861" s="111"/>
    </row>
    <row r="4862" spans="1:5" x14ac:dyDescent="0.2">
      <c r="A4862" s="113">
        <v>39560</v>
      </c>
      <c r="B4862" s="111">
        <f t="shared" si="75"/>
        <v>44</v>
      </c>
      <c r="C4862" s="111"/>
      <c r="D4862" s="111"/>
      <c r="E4862" s="111"/>
    </row>
    <row r="4863" spans="1:5" x14ac:dyDescent="0.2">
      <c r="A4863" s="113">
        <v>39561</v>
      </c>
      <c r="B4863" s="111">
        <f t="shared" si="75"/>
        <v>44</v>
      </c>
      <c r="C4863" s="111"/>
      <c r="D4863" s="111"/>
      <c r="E4863" s="111"/>
    </row>
    <row r="4864" spans="1:5" x14ac:dyDescent="0.2">
      <c r="A4864" s="113">
        <v>39562</v>
      </c>
      <c r="B4864" s="111">
        <f t="shared" si="75"/>
        <v>44</v>
      </c>
      <c r="C4864" s="111"/>
      <c r="D4864" s="111"/>
      <c r="E4864" s="111"/>
    </row>
    <row r="4865" spans="1:5" x14ac:dyDescent="0.2">
      <c r="A4865" s="113">
        <v>39563</v>
      </c>
      <c r="B4865" s="111">
        <f t="shared" si="75"/>
        <v>44</v>
      </c>
      <c r="C4865" s="111"/>
      <c r="D4865" s="111"/>
      <c r="E4865" s="111"/>
    </row>
    <row r="4866" spans="1:5" x14ac:dyDescent="0.2">
      <c r="A4866" s="113">
        <v>39564</v>
      </c>
      <c r="B4866" s="111">
        <f t="shared" ref="B4866:B4929" si="76">VLOOKUP(WEEKNUM(A4866),$D$3:$E$58,2)</f>
        <v>44</v>
      </c>
      <c r="C4866" s="111"/>
      <c r="D4866" s="111"/>
      <c r="E4866" s="111"/>
    </row>
    <row r="4867" spans="1:5" x14ac:dyDescent="0.2">
      <c r="A4867" s="113">
        <v>39565</v>
      </c>
      <c r="B4867" s="111">
        <f t="shared" si="76"/>
        <v>45</v>
      </c>
      <c r="C4867" s="111"/>
      <c r="D4867" s="111"/>
      <c r="E4867" s="111"/>
    </row>
    <row r="4868" spans="1:5" x14ac:dyDescent="0.2">
      <c r="A4868" s="113">
        <v>39566</v>
      </c>
      <c r="B4868" s="111">
        <f t="shared" si="76"/>
        <v>45</v>
      </c>
      <c r="C4868" s="111"/>
      <c r="D4868" s="111"/>
      <c r="E4868" s="111"/>
    </row>
    <row r="4869" spans="1:5" x14ac:dyDescent="0.2">
      <c r="A4869" s="113">
        <v>39567</v>
      </c>
      <c r="B4869" s="111">
        <f t="shared" si="76"/>
        <v>45</v>
      </c>
      <c r="C4869" s="111"/>
      <c r="D4869" s="111"/>
      <c r="E4869" s="111"/>
    </row>
    <row r="4870" spans="1:5" x14ac:dyDescent="0.2">
      <c r="A4870" s="113">
        <v>39568</v>
      </c>
      <c r="B4870" s="111">
        <f t="shared" si="76"/>
        <v>45</v>
      </c>
      <c r="C4870" s="111"/>
      <c r="D4870" s="111"/>
      <c r="E4870" s="111"/>
    </row>
    <row r="4871" spans="1:5" x14ac:dyDescent="0.2">
      <c r="A4871" s="113">
        <v>39569</v>
      </c>
      <c r="B4871" s="111">
        <f t="shared" si="76"/>
        <v>45</v>
      </c>
      <c r="C4871" s="111"/>
      <c r="D4871" s="111"/>
      <c r="E4871" s="111"/>
    </row>
    <row r="4872" spans="1:5" x14ac:dyDescent="0.2">
      <c r="A4872" s="113">
        <v>39570</v>
      </c>
      <c r="B4872" s="111">
        <f t="shared" si="76"/>
        <v>45</v>
      </c>
      <c r="C4872" s="111"/>
      <c r="D4872" s="111"/>
      <c r="E4872" s="111"/>
    </row>
    <row r="4873" spans="1:5" x14ac:dyDescent="0.2">
      <c r="A4873" s="113">
        <v>39571</v>
      </c>
      <c r="B4873" s="111">
        <f t="shared" si="76"/>
        <v>45</v>
      </c>
      <c r="C4873" s="111"/>
      <c r="D4873" s="111"/>
      <c r="E4873" s="111"/>
    </row>
    <row r="4874" spans="1:5" x14ac:dyDescent="0.2">
      <c r="A4874" s="113">
        <v>39572</v>
      </c>
      <c r="B4874" s="111">
        <f t="shared" si="76"/>
        <v>51</v>
      </c>
      <c r="C4874" s="111"/>
      <c r="D4874" s="111"/>
      <c r="E4874" s="111"/>
    </row>
    <row r="4875" spans="1:5" x14ac:dyDescent="0.2">
      <c r="A4875" s="113">
        <v>39573</v>
      </c>
      <c r="B4875" s="111">
        <f t="shared" si="76"/>
        <v>51</v>
      </c>
      <c r="C4875" s="111"/>
      <c r="D4875" s="111"/>
      <c r="E4875" s="111"/>
    </row>
    <row r="4876" spans="1:5" x14ac:dyDescent="0.2">
      <c r="A4876" s="113">
        <v>39574</v>
      </c>
      <c r="B4876" s="111">
        <f t="shared" si="76"/>
        <v>51</v>
      </c>
      <c r="C4876" s="111"/>
      <c r="D4876" s="111"/>
      <c r="E4876" s="111"/>
    </row>
    <row r="4877" spans="1:5" x14ac:dyDescent="0.2">
      <c r="A4877" s="113">
        <v>39575</v>
      </c>
      <c r="B4877" s="111">
        <f t="shared" si="76"/>
        <v>51</v>
      </c>
      <c r="C4877" s="111"/>
      <c r="D4877" s="111"/>
      <c r="E4877" s="111"/>
    </row>
    <row r="4878" spans="1:5" x14ac:dyDescent="0.2">
      <c r="A4878" s="113">
        <v>39576</v>
      </c>
      <c r="B4878" s="111">
        <f t="shared" si="76"/>
        <v>51</v>
      </c>
      <c r="C4878" s="111"/>
      <c r="D4878" s="111"/>
      <c r="E4878" s="111"/>
    </row>
    <row r="4879" spans="1:5" x14ac:dyDescent="0.2">
      <c r="A4879" s="113">
        <v>39577</v>
      </c>
      <c r="B4879" s="111">
        <f t="shared" si="76"/>
        <v>51</v>
      </c>
      <c r="C4879" s="111"/>
      <c r="D4879" s="111"/>
      <c r="E4879" s="111"/>
    </row>
    <row r="4880" spans="1:5" x14ac:dyDescent="0.2">
      <c r="A4880" s="113">
        <v>39578</v>
      </c>
      <c r="B4880" s="111">
        <f t="shared" si="76"/>
        <v>51</v>
      </c>
      <c r="C4880" s="111"/>
      <c r="D4880" s="111"/>
      <c r="E4880" s="111"/>
    </row>
    <row r="4881" spans="1:5" x14ac:dyDescent="0.2">
      <c r="A4881" s="113">
        <v>39579</v>
      </c>
      <c r="B4881" s="111">
        <f t="shared" si="76"/>
        <v>52</v>
      </c>
      <c r="C4881" s="111"/>
      <c r="D4881" s="111"/>
      <c r="E4881" s="111"/>
    </row>
    <row r="4882" spans="1:5" x14ac:dyDescent="0.2">
      <c r="A4882" s="113">
        <v>39580</v>
      </c>
      <c r="B4882" s="111">
        <f t="shared" si="76"/>
        <v>52</v>
      </c>
      <c r="C4882" s="111"/>
      <c r="D4882" s="111"/>
      <c r="E4882" s="111"/>
    </row>
    <row r="4883" spans="1:5" x14ac:dyDescent="0.2">
      <c r="A4883" s="113">
        <v>39581</v>
      </c>
      <c r="B4883" s="111">
        <f t="shared" si="76"/>
        <v>52</v>
      </c>
      <c r="C4883" s="111"/>
      <c r="D4883" s="111"/>
      <c r="E4883" s="111"/>
    </row>
    <row r="4884" spans="1:5" x14ac:dyDescent="0.2">
      <c r="A4884" s="113">
        <v>39582</v>
      </c>
      <c r="B4884" s="111">
        <f t="shared" si="76"/>
        <v>52</v>
      </c>
      <c r="C4884" s="111"/>
      <c r="D4884" s="111"/>
      <c r="E4884" s="111"/>
    </row>
    <row r="4885" spans="1:5" x14ac:dyDescent="0.2">
      <c r="A4885" s="113">
        <v>39583</v>
      </c>
      <c r="B4885" s="111">
        <f t="shared" si="76"/>
        <v>52</v>
      </c>
      <c r="C4885" s="111"/>
      <c r="D4885" s="111"/>
      <c r="E4885" s="111"/>
    </row>
    <row r="4886" spans="1:5" x14ac:dyDescent="0.2">
      <c r="A4886" s="113">
        <v>39584</v>
      </c>
      <c r="B4886" s="111">
        <f t="shared" si="76"/>
        <v>52</v>
      </c>
      <c r="C4886" s="111"/>
      <c r="D4886" s="111"/>
      <c r="E4886" s="111"/>
    </row>
    <row r="4887" spans="1:5" x14ac:dyDescent="0.2">
      <c r="A4887" s="113">
        <v>39585</v>
      </c>
      <c r="B4887" s="111">
        <f t="shared" si="76"/>
        <v>52</v>
      </c>
      <c r="C4887" s="111"/>
      <c r="D4887" s="111"/>
      <c r="E4887" s="111"/>
    </row>
    <row r="4888" spans="1:5" x14ac:dyDescent="0.2">
      <c r="A4888" s="113">
        <v>39586</v>
      </c>
      <c r="B4888" s="111">
        <f t="shared" si="76"/>
        <v>53</v>
      </c>
      <c r="C4888" s="111"/>
      <c r="D4888" s="111"/>
      <c r="E4888" s="111"/>
    </row>
    <row r="4889" spans="1:5" x14ac:dyDescent="0.2">
      <c r="A4889" s="113">
        <v>39587</v>
      </c>
      <c r="B4889" s="111">
        <f t="shared" si="76"/>
        <v>53</v>
      </c>
      <c r="C4889" s="111"/>
      <c r="D4889" s="111"/>
      <c r="E4889" s="111"/>
    </row>
    <row r="4890" spans="1:5" x14ac:dyDescent="0.2">
      <c r="A4890" s="113">
        <v>39588</v>
      </c>
      <c r="B4890" s="111">
        <f t="shared" si="76"/>
        <v>53</v>
      </c>
      <c r="C4890" s="111"/>
      <c r="D4890" s="111"/>
      <c r="E4890" s="111"/>
    </row>
    <row r="4891" spans="1:5" x14ac:dyDescent="0.2">
      <c r="A4891" s="113">
        <v>39589</v>
      </c>
      <c r="B4891" s="111">
        <f t="shared" si="76"/>
        <v>53</v>
      </c>
      <c r="C4891" s="111"/>
      <c r="D4891" s="111"/>
      <c r="E4891" s="111"/>
    </row>
    <row r="4892" spans="1:5" x14ac:dyDescent="0.2">
      <c r="A4892" s="113">
        <v>39590</v>
      </c>
      <c r="B4892" s="111">
        <f t="shared" si="76"/>
        <v>53</v>
      </c>
      <c r="C4892" s="111"/>
      <c r="D4892" s="111"/>
      <c r="E4892" s="111"/>
    </row>
    <row r="4893" spans="1:5" x14ac:dyDescent="0.2">
      <c r="A4893" s="113">
        <v>39591</v>
      </c>
      <c r="B4893" s="111">
        <f t="shared" si="76"/>
        <v>53</v>
      </c>
      <c r="C4893" s="111"/>
      <c r="D4893" s="111"/>
      <c r="E4893" s="111"/>
    </row>
    <row r="4894" spans="1:5" x14ac:dyDescent="0.2">
      <c r="A4894" s="113">
        <v>39592</v>
      </c>
      <c r="B4894" s="111">
        <f t="shared" si="76"/>
        <v>53</v>
      </c>
      <c r="C4894" s="111"/>
      <c r="D4894" s="111"/>
      <c r="E4894" s="111"/>
    </row>
    <row r="4895" spans="1:5" x14ac:dyDescent="0.2">
      <c r="A4895" s="113">
        <v>39593</v>
      </c>
      <c r="B4895" s="111">
        <f t="shared" si="76"/>
        <v>54</v>
      </c>
      <c r="C4895" s="111"/>
      <c r="D4895" s="111"/>
      <c r="E4895" s="111"/>
    </row>
    <row r="4896" spans="1:5" x14ac:dyDescent="0.2">
      <c r="A4896" s="113">
        <v>39594</v>
      </c>
      <c r="B4896" s="111">
        <f t="shared" si="76"/>
        <v>54</v>
      </c>
      <c r="C4896" s="111"/>
      <c r="D4896" s="111"/>
      <c r="E4896" s="111"/>
    </row>
    <row r="4897" spans="1:5" x14ac:dyDescent="0.2">
      <c r="A4897" s="113">
        <v>39595</v>
      </c>
      <c r="B4897" s="111">
        <f t="shared" si="76"/>
        <v>54</v>
      </c>
      <c r="C4897" s="111"/>
      <c r="D4897" s="111"/>
      <c r="E4897" s="111"/>
    </row>
    <row r="4898" spans="1:5" x14ac:dyDescent="0.2">
      <c r="A4898" s="113">
        <v>39596</v>
      </c>
      <c r="B4898" s="111">
        <f t="shared" si="76"/>
        <v>54</v>
      </c>
      <c r="C4898" s="111"/>
      <c r="D4898" s="111"/>
      <c r="E4898" s="111"/>
    </row>
    <row r="4899" spans="1:5" x14ac:dyDescent="0.2">
      <c r="A4899" s="113">
        <v>39597</v>
      </c>
      <c r="B4899" s="111">
        <f t="shared" si="76"/>
        <v>54</v>
      </c>
      <c r="C4899" s="111"/>
      <c r="D4899" s="111"/>
      <c r="E4899" s="111"/>
    </row>
    <row r="4900" spans="1:5" x14ac:dyDescent="0.2">
      <c r="A4900" s="113">
        <v>39598</v>
      </c>
      <c r="B4900" s="111">
        <f t="shared" si="76"/>
        <v>54</v>
      </c>
      <c r="C4900" s="111"/>
      <c r="D4900" s="111"/>
      <c r="E4900" s="111"/>
    </row>
    <row r="4901" spans="1:5" x14ac:dyDescent="0.2">
      <c r="A4901" s="113">
        <v>39599</v>
      </c>
      <c r="B4901" s="111">
        <f t="shared" si="76"/>
        <v>54</v>
      </c>
      <c r="C4901" s="111"/>
      <c r="D4901" s="111"/>
      <c r="E4901" s="111"/>
    </row>
    <row r="4902" spans="1:5" x14ac:dyDescent="0.2">
      <c r="A4902" s="113">
        <v>39600</v>
      </c>
      <c r="B4902" s="111">
        <f t="shared" si="76"/>
        <v>61</v>
      </c>
      <c r="C4902" s="111"/>
      <c r="D4902" s="111"/>
      <c r="E4902" s="111"/>
    </row>
    <row r="4903" spans="1:5" x14ac:dyDescent="0.2">
      <c r="A4903" s="113">
        <v>39601</v>
      </c>
      <c r="B4903" s="111">
        <f t="shared" si="76"/>
        <v>61</v>
      </c>
      <c r="C4903" s="111"/>
      <c r="D4903" s="111"/>
      <c r="E4903" s="111"/>
    </row>
    <row r="4904" spans="1:5" x14ac:dyDescent="0.2">
      <c r="A4904" s="113">
        <v>39602</v>
      </c>
      <c r="B4904" s="111">
        <f t="shared" si="76"/>
        <v>61</v>
      </c>
      <c r="C4904" s="111"/>
      <c r="D4904" s="111"/>
      <c r="E4904" s="111"/>
    </row>
    <row r="4905" spans="1:5" x14ac:dyDescent="0.2">
      <c r="A4905" s="113">
        <v>39603</v>
      </c>
      <c r="B4905" s="111">
        <f t="shared" si="76"/>
        <v>61</v>
      </c>
      <c r="C4905" s="111"/>
      <c r="D4905" s="111"/>
      <c r="E4905" s="111"/>
    </row>
    <row r="4906" spans="1:5" x14ac:dyDescent="0.2">
      <c r="A4906" s="113">
        <v>39604</v>
      </c>
      <c r="B4906" s="111">
        <f t="shared" si="76"/>
        <v>61</v>
      </c>
      <c r="C4906" s="111"/>
      <c r="D4906" s="111"/>
      <c r="E4906" s="111"/>
    </row>
    <row r="4907" spans="1:5" x14ac:dyDescent="0.2">
      <c r="A4907" s="113">
        <v>39605</v>
      </c>
      <c r="B4907" s="111">
        <f t="shared" si="76"/>
        <v>61</v>
      </c>
      <c r="C4907" s="111"/>
      <c r="D4907" s="111"/>
      <c r="E4907" s="111"/>
    </row>
    <row r="4908" spans="1:5" x14ac:dyDescent="0.2">
      <c r="A4908" s="113">
        <v>39606</v>
      </c>
      <c r="B4908" s="111">
        <f t="shared" si="76"/>
        <v>61</v>
      </c>
      <c r="C4908" s="111"/>
      <c r="D4908" s="111"/>
      <c r="E4908" s="111"/>
    </row>
    <row r="4909" spans="1:5" x14ac:dyDescent="0.2">
      <c r="A4909" s="113">
        <v>39607</v>
      </c>
      <c r="B4909" s="111">
        <f t="shared" si="76"/>
        <v>62</v>
      </c>
      <c r="C4909" s="111"/>
      <c r="D4909" s="111"/>
      <c r="E4909" s="111"/>
    </row>
    <row r="4910" spans="1:5" x14ac:dyDescent="0.2">
      <c r="A4910" s="113">
        <v>39608</v>
      </c>
      <c r="B4910" s="111">
        <f t="shared" si="76"/>
        <v>62</v>
      </c>
      <c r="C4910" s="111"/>
      <c r="D4910" s="111"/>
      <c r="E4910" s="111"/>
    </row>
    <row r="4911" spans="1:5" x14ac:dyDescent="0.2">
      <c r="A4911" s="113">
        <v>39609</v>
      </c>
      <c r="B4911" s="111">
        <f t="shared" si="76"/>
        <v>62</v>
      </c>
      <c r="C4911" s="111"/>
      <c r="D4911" s="111"/>
      <c r="E4911" s="111"/>
    </row>
    <row r="4912" spans="1:5" x14ac:dyDescent="0.2">
      <c r="A4912" s="113">
        <v>39610</v>
      </c>
      <c r="B4912" s="111">
        <f t="shared" si="76"/>
        <v>62</v>
      </c>
      <c r="C4912" s="111"/>
      <c r="D4912" s="111"/>
      <c r="E4912" s="111"/>
    </row>
    <row r="4913" spans="1:5" x14ac:dyDescent="0.2">
      <c r="A4913" s="113">
        <v>39611</v>
      </c>
      <c r="B4913" s="111">
        <f t="shared" si="76"/>
        <v>62</v>
      </c>
      <c r="C4913" s="111"/>
      <c r="D4913" s="111"/>
      <c r="E4913" s="111"/>
    </row>
    <row r="4914" spans="1:5" x14ac:dyDescent="0.2">
      <c r="A4914" s="113">
        <v>39612</v>
      </c>
      <c r="B4914" s="111">
        <f t="shared" si="76"/>
        <v>62</v>
      </c>
      <c r="C4914" s="111"/>
      <c r="D4914" s="111"/>
      <c r="E4914" s="111"/>
    </row>
    <row r="4915" spans="1:5" x14ac:dyDescent="0.2">
      <c r="A4915" s="113">
        <v>39613</v>
      </c>
      <c r="B4915" s="111">
        <f t="shared" si="76"/>
        <v>62</v>
      </c>
      <c r="C4915" s="111"/>
      <c r="D4915" s="111"/>
      <c r="E4915" s="111"/>
    </row>
    <row r="4916" spans="1:5" x14ac:dyDescent="0.2">
      <c r="A4916" s="113">
        <v>39614</v>
      </c>
      <c r="B4916" s="111">
        <f t="shared" si="76"/>
        <v>63</v>
      </c>
      <c r="C4916" s="111"/>
      <c r="D4916" s="111"/>
      <c r="E4916" s="111"/>
    </row>
    <row r="4917" spans="1:5" x14ac:dyDescent="0.2">
      <c r="A4917" s="113">
        <v>39615</v>
      </c>
      <c r="B4917" s="111">
        <f t="shared" si="76"/>
        <v>63</v>
      </c>
      <c r="C4917" s="111"/>
      <c r="D4917" s="111"/>
      <c r="E4917" s="111"/>
    </row>
    <row r="4918" spans="1:5" x14ac:dyDescent="0.2">
      <c r="A4918" s="113">
        <v>39616</v>
      </c>
      <c r="B4918" s="111">
        <f t="shared" si="76"/>
        <v>63</v>
      </c>
      <c r="C4918" s="111"/>
      <c r="D4918" s="111"/>
      <c r="E4918" s="111"/>
    </row>
    <row r="4919" spans="1:5" x14ac:dyDescent="0.2">
      <c r="A4919" s="113">
        <v>39617</v>
      </c>
      <c r="B4919" s="111">
        <f t="shared" si="76"/>
        <v>63</v>
      </c>
      <c r="C4919" s="111"/>
      <c r="D4919" s="111"/>
      <c r="E4919" s="111"/>
    </row>
    <row r="4920" spans="1:5" x14ac:dyDescent="0.2">
      <c r="A4920" s="113">
        <v>39618</v>
      </c>
      <c r="B4920" s="111">
        <f t="shared" si="76"/>
        <v>63</v>
      </c>
      <c r="C4920" s="111"/>
      <c r="D4920" s="111"/>
      <c r="E4920" s="111"/>
    </row>
    <row r="4921" spans="1:5" x14ac:dyDescent="0.2">
      <c r="A4921" s="113">
        <v>39619</v>
      </c>
      <c r="B4921" s="111">
        <f t="shared" si="76"/>
        <v>63</v>
      </c>
      <c r="C4921" s="111"/>
      <c r="D4921" s="111"/>
      <c r="E4921" s="111"/>
    </row>
    <row r="4922" spans="1:5" x14ac:dyDescent="0.2">
      <c r="A4922" s="113">
        <v>39620</v>
      </c>
      <c r="B4922" s="111">
        <f t="shared" si="76"/>
        <v>63</v>
      </c>
      <c r="C4922" s="111"/>
      <c r="D4922" s="111"/>
      <c r="E4922" s="111"/>
    </row>
    <row r="4923" spans="1:5" x14ac:dyDescent="0.2">
      <c r="A4923" s="113">
        <v>39621</v>
      </c>
      <c r="B4923" s="111">
        <f t="shared" si="76"/>
        <v>64</v>
      </c>
      <c r="C4923" s="111"/>
      <c r="D4923" s="111"/>
      <c r="E4923" s="111"/>
    </row>
    <row r="4924" spans="1:5" x14ac:dyDescent="0.2">
      <c r="A4924" s="113">
        <v>39622</v>
      </c>
      <c r="B4924" s="111">
        <f t="shared" si="76"/>
        <v>64</v>
      </c>
      <c r="C4924" s="111"/>
      <c r="D4924" s="111"/>
      <c r="E4924" s="111"/>
    </row>
    <row r="4925" spans="1:5" x14ac:dyDescent="0.2">
      <c r="A4925" s="113">
        <v>39623</v>
      </c>
      <c r="B4925" s="111">
        <f t="shared" si="76"/>
        <v>64</v>
      </c>
      <c r="C4925" s="111"/>
      <c r="D4925" s="111"/>
      <c r="E4925" s="111"/>
    </row>
    <row r="4926" spans="1:5" x14ac:dyDescent="0.2">
      <c r="A4926" s="113">
        <v>39624</v>
      </c>
      <c r="B4926" s="111">
        <f t="shared" si="76"/>
        <v>64</v>
      </c>
      <c r="C4926" s="111"/>
      <c r="D4926" s="111"/>
      <c r="E4926" s="111"/>
    </row>
    <row r="4927" spans="1:5" x14ac:dyDescent="0.2">
      <c r="A4927" s="113">
        <v>39625</v>
      </c>
      <c r="B4927" s="111">
        <f t="shared" si="76"/>
        <v>64</v>
      </c>
      <c r="C4927" s="111"/>
      <c r="D4927" s="111"/>
      <c r="E4927" s="111"/>
    </row>
    <row r="4928" spans="1:5" x14ac:dyDescent="0.2">
      <c r="A4928" s="113">
        <v>39626</v>
      </c>
      <c r="B4928" s="111">
        <f t="shared" si="76"/>
        <v>64</v>
      </c>
      <c r="C4928" s="111"/>
      <c r="D4928" s="111"/>
      <c r="E4928" s="111"/>
    </row>
    <row r="4929" spans="1:5" x14ac:dyDescent="0.2">
      <c r="A4929" s="113">
        <v>39627</v>
      </c>
      <c r="B4929" s="111">
        <f t="shared" si="76"/>
        <v>64</v>
      </c>
      <c r="C4929" s="111"/>
      <c r="D4929" s="111"/>
      <c r="E4929" s="111"/>
    </row>
    <row r="4930" spans="1:5" x14ac:dyDescent="0.2">
      <c r="A4930" s="113">
        <v>39628</v>
      </c>
      <c r="B4930" s="111">
        <f t="shared" ref="B4930:B4993" si="77">VLOOKUP(WEEKNUM(A4930),$D$3:$E$58,2)</f>
        <v>71</v>
      </c>
      <c r="C4930" s="111"/>
      <c r="D4930" s="111"/>
      <c r="E4930" s="111"/>
    </row>
    <row r="4931" spans="1:5" x14ac:dyDescent="0.2">
      <c r="A4931" s="113">
        <v>39629</v>
      </c>
      <c r="B4931" s="111">
        <f t="shared" si="77"/>
        <v>71</v>
      </c>
      <c r="C4931" s="111"/>
      <c r="D4931" s="111"/>
      <c r="E4931" s="111"/>
    </row>
    <row r="4932" spans="1:5" x14ac:dyDescent="0.2">
      <c r="A4932" s="113">
        <v>39630</v>
      </c>
      <c r="B4932" s="111">
        <f t="shared" si="77"/>
        <v>71</v>
      </c>
      <c r="C4932" s="111"/>
      <c r="D4932" s="111"/>
      <c r="E4932" s="111"/>
    </row>
    <row r="4933" spans="1:5" x14ac:dyDescent="0.2">
      <c r="A4933" s="113">
        <v>39631</v>
      </c>
      <c r="B4933" s="111">
        <f t="shared" si="77"/>
        <v>71</v>
      </c>
      <c r="C4933" s="111"/>
      <c r="D4933" s="111"/>
      <c r="E4933" s="111"/>
    </row>
    <row r="4934" spans="1:5" x14ac:dyDescent="0.2">
      <c r="A4934" s="113">
        <v>39632</v>
      </c>
      <c r="B4934" s="111">
        <f t="shared" si="77"/>
        <v>71</v>
      </c>
      <c r="C4934" s="111"/>
      <c r="D4934" s="111"/>
      <c r="E4934" s="111"/>
    </row>
    <row r="4935" spans="1:5" x14ac:dyDescent="0.2">
      <c r="A4935" s="113">
        <v>39633</v>
      </c>
      <c r="B4935" s="111">
        <f t="shared" si="77"/>
        <v>71</v>
      </c>
      <c r="C4935" s="111"/>
      <c r="D4935" s="111"/>
      <c r="E4935" s="111"/>
    </row>
    <row r="4936" spans="1:5" x14ac:dyDescent="0.2">
      <c r="A4936" s="113">
        <v>39634</v>
      </c>
      <c r="B4936" s="111">
        <f t="shared" si="77"/>
        <v>71</v>
      </c>
      <c r="C4936" s="111"/>
      <c r="D4936" s="111"/>
      <c r="E4936" s="111"/>
    </row>
    <row r="4937" spans="1:5" x14ac:dyDescent="0.2">
      <c r="A4937" s="113">
        <v>39635</v>
      </c>
      <c r="B4937" s="111">
        <f t="shared" si="77"/>
        <v>72</v>
      </c>
      <c r="C4937" s="111"/>
      <c r="D4937" s="111"/>
      <c r="E4937" s="111"/>
    </row>
    <row r="4938" spans="1:5" x14ac:dyDescent="0.2">
      <c r="A4938" s="113">
        <v>39636</v>
      </c>
      <c r="B4938" s="111">
        <f t="shared" si="77"/>
        <v>72</v>
      </c>
      <c r="C4938" s="111"/>
      <c r="D4938" s="111"/>
      <c r="E4938" s="111"/>
    </row>
    <row r="4939" spans="1:5" x14ac:dyDescent="0.2">
      <c r="A4939" s="113">
        <v>39637</v>
      </c>
      <c r="B4939" s="111">
        <f t="shared" si="77"/>
        <v>72</v>
      </c>
      <c r="C4939" s="111"/>
      <c r="D4939" s="111"/>
      <c r="E4939" s="111"/>
    </row>
    <row r="4940" spans="1:5" x14ac:dyDescent="0.2">
      <c r="A4940" s="113">
        <v>39638</v>
      </c>
      <c r="B4940" s="111">
        <f t="shared" si="77"/>
        <v>72</v>
      </c>
      <c r="C4940" s="111"/>
      <c r="D4940" s="111"/>
      <c r="E4940" s="111"/>
    </row>
    <row r="4941" spans="1:5" x14ac:dyDescent="0.2">
      <c r="A4941" s="113">
        <v>39639</v>
      </c>
      <c r="B4941" s="111">
        <f t="shared" si="77"/>
        <v>72</v>
      </c>
      <c r="C4941" s="111"/>
      <c r="D4941" s="111"/>
      <c r="E4941" s="111"/>
    </row>
    <row r="4942" spans="1:5" x14ac:dyDescent="0.2">
      <c r="A4942" s="113">
        <v>39640</v>
      </c>
      <c r="B4942" s="111">
        <f t="shared" si="77"/>
        <v>72</v>
      </c>
      <c r="C4942" s="111"/>
      <c r="D4942" s="111"/>
      <c r="E4942" s="111"/>
    </row>
    <row r="4943" spans="1:5" x14ac:dyDescent="0.2">
      <c r="A4943" s="113">
        <v>39641</v>
      </c>
      <c r="B4943" s="111">
        <f t="shared" si="77"/>
        <v>72</v>
      </c>
      <c r="C4943" s="111"/>
      <c r="D4943" s="111"/>
      <c r="E4943" s="111"/>
    </row>
    <row r="4944" spans="1:5" x14ac:dyDescent="0.2">
      <c r="A4944" s="113">
        <v>39642</v>
      </c>
      <c r="B4944" s="111">
        <f t="shared" si="77"/>
        <v>73</v>
      </c>
      <c r="C4944" s="111"/>
      <c r="D4944" s="111"/>
      <c r="E4944" s="111"/>
    </row>
    <row r="4945" spans="1:5" x14ac:dyDescent="0.2">
      <c r="A4945" s="113">
        <v>39643</v>
      </c>
      <c r="B4945" s="111">
        <f t="shared" si="77"/>
        <v>73</v>
      </c>
      <c r="C4945" s="111"/>
      <c r="D4945" s="111"/>
      <c r="E4945" s="111"/>
    </row>
    <row r="4946" spans="1:5" x14ac:dyDescent="0.2">
      <c r="A4946" s="113">
        <v>39644</v>
      </c>
      <c r="B4946" s="111">
        <f t="shared" si="77"/>
        <v>73</v>
      </c>
      <c r="C4946" s="111"/>
      <c r="D4946" s="111"/>
      <c r="E4946" s="111"/>
    </row>
    <row r="4947" spans="1:5" x14ac:dyDescent="0.2">
      <c r="A4947" s="113">
        <v>39645</v>
      </c>
      <c r="B4947" s="111">
        <f t="shared" si="77"/>
        <v>73</v>
      </c>
      <c r="C4947" s="111"/>
      <c r="D4947" s="111"/>
      <c r="E4947" s="111"/>
    </row>
    <row r="4948" spans="1:5" x14ac:dyDescent="0.2">
      <c r="A4948" s="113">
        <v>39646</v>
      </c>
      <c r="B4948" s="111">
        <f t="shared" si="77"/>
        <v>73</v>
      </c>
      <c r="C4948" s="111"/>
      <c r="D4948" s="111"/>
      <c r="E4948" s="111"/>
    </row>
    <row r="4949" spans="1:5" x14ac:dyDescent="0.2">
      <c r="A4949" s="113">
        <v>39647</v>
      </c>
      <c r="B4949" s="111">
        <f t="shared" si="77"/>
        <v>73</v>
      </c>
      <c r="C4949" s="111"/>
      <c r="D4949" s="111"/>
      <c r="E4949" s="111"/>
    </row>
    <row r="4950" spans="1:5" x14ac:dyDescent="0.2">
      <c r="A4950" s="113">
        <v>39648</v>
      </c>
      <c r="B4950" s="111">
        <f t="shared" si="77"/>
        <v>73</v>
      </c>
      <c r="C4950" s="111"/>
      <c r="D4950" s="111"/>
      <c r="E4950" s="111"/>
    </row>
    <row r="4951" spans="1:5" x14ac:dyDescent="0.2">
      <c r="A4951" s="113">
        <v>39649</v>
      </c>
      <c r="B4951" s="111">
        <f t="shared" si="77"/>
        <v>74</v>
      </c>
      <c r="C4951" s="111"/>
      <c r="D4951" s="111"/>
      <c r="E4951" s="111"/>
    </row>
    <row r="4952" spans="1:5" x14ac:dyDescent="0.2">
      <c r="A4952" s="113">
        <v>39650</v>
      </c>
      <c r="B4952" s="111">
        <f t="shared" si="77"/>
        <v>74</v>
      </c>
      <c r="C4952" s="111"/>
      <c r="D4952" s="111"/>
      <c r="E4952" s="111"/>
    </row>
    <row r="4953" spans="1:5" x14ac:dyDescent="0.2">
      <c r="A4953" s="113">
        <v>39651</v>
      </c>
      <c r="B4953" s="111">
        <f t="shared" si="77"/>
        <v>74</v>
      </c>
      <c r="C4953" s="111"/>
      <c r="D4953" s="111"/>
      <c r="E4953" s="111"/>
    </row>
    <row r="4954" spans="1:5" x14ac:dyDescent="0.2">
      <c r="A4954" s="113">
        <v>39652</v>
      </c>
      <c r="B4954" s="111">
        <f t="shared" si="77"/>
        <v>74</v>
      </c>
      <c r="C4954" s="111"/>
      <c r="D4954" s="111"/>
      <c r="E4954" s="111"/>
    </row>
    <row r="4955" spans="1:5" x14ac:dyDescent="0.2">
      <c r="A4955" s="113">
        <v>39653</v>
      </c>
      <c r="B4955" s="111">
        <f t="shared" si="77"/>
        <v>74</v>
      </c>
      <c r="C4955" s="111"/>
      <c r="D4955" s="111"/>
      <c r="E4955" s="111"/>
    </row>
    <row r="4956" spans="1:5" x14ac:dyDescent="0.2">
      <c r="A4956" s="113">
        <v>39654</v>
      </c>
      <c r="B4956" s="111">
        <f t="shared" si="77"/>
        <v>74</v>
      </c>
      <c r="C4956" s="111"/>
      <c r="D4956" s="111"/>
      <c r="E4956" s="111"/>
    </row>
    <row r="4957" spans="1:5" x14ac:dyDescent="0.2">
      <c r="A4957" s="113">
        <v>39655</v>
      </c>
      <c r="B4957" s="111">
        <f t="shared" si="77"/>
        <v>74</v>
      </c>
      <c r="C4957" s="111"/>
      <c r="D4957" s="111"/>
      <c r="E4957" s="111"/>
    </row>
    <row r="4958" spans="1:5" x14ac:dyDescent="0.2">
      <c r="A4958" s="113">
        <v>39656</v>
      </c>
      <c r="B4958" s="111">
        <f t="shared" si="77"/>
        <v>75</v>
      </c>
      <c r="C4958" s="111"/>
      <c r="D4958" s="111"/>
      <c r="E4958" s="111"/>
    </row>
    <row r="4959" spans="1:5" x14ac:dyDescent="0.2">
      <c r="A4959" s="113">
        <v>39657</v>
      </c>
      <c r="B4959" s="111">
        <f t="shared" si="77"/>
        <v>75</v>
      </c>
      <c r="C4959" s="111"/>
      <c r="D4959" s="111"/>
      <c r="E4959" s="111"/>
    </row>
    <row r="4960" spans="1:5" x14ac:dyDescent="0.2">
      <c r="A4960" s="113">
        <v>39658</v>
      </c>
      <c r="B4960" s="111">
        <f t="shared" si="77"/>
        <v>75</v>
      </c>
      <c r="C4960" s="111"/>
      <c r="D4960" s="111"/>
      <c r="E4960" s="111"/>
    </row>
    <row r="4961" spans="1:5" x14ac:dyDescent="0.2">
      <c r="A4961" s="113">
        <v>39659</v>
      </c>
      <c r="B4961" s="111">
        <f t="shared" si="77"/>
        <v>75</v>
      </c>
      <c r="C4961" s="111"/>
      <c r="D4961" s="111"/>
      <c r="E4961" s="111"/>
    </row>
    <row r="4962" spans="1:5" x14ac:dyDescent="0.2">
      <c r="A4962" s="113">
        <v>39660</v>
      </c>
      <c r="B4962" s="111">
        <f t="shared" si="77"/>
        <v>75</v>
      </c>
      <c r="C4962" s="111"/>
      <c r="D4962" s="111"/>
      <c r="E4962" s="111"/>
    </row>
    <row r="4963" spans="1:5" x14ac:dyDescent="0.2">
      <c r="A4963" s="113">
        <v>39661</v>
      </c>
      <c r="B4963" s="111">
        <f t="shared" si="77"/>
        <v>75</v>
      </c>
      <c r="C4963" s="111"/>
      <c r="D4963" s="111"/>
      <c r="E4963" s="111"/>
    </row>
    <row r="4964" spans="1:5" x14ac:dyDescent="0.2">
      <c r="A4964" s="113">
        <v>39662</v>
      </c>
      <c r="B4964" s="111">
        <f t="shared" si="77"/>
        <v>75</v>
      </c>
      <c r="C4964" s="111"/>
      <c r="D4964" s="111"/>
      <c r="E4964" s="111"/>
    </row>
    <row r="4965" spans="1:5" x14ac:dyDescent="0.2">
      <c r="A4965" s="113">
        <v>39663</v>
      </c>
      <c r="B4965" s="111">
        <f t="shared" si="77"/>
        <v>81</v>
      </c>
      <c r="C4965" s="111"/>
      <c r="D4965" s="111"/>
      <c r="E4965" s="111"/>
    </row>
    <row r="4966" spans="1:5" x14ac:dyDescent="0.2">
      <c r="A4966" s="113">
        <v>39664</v>
      </c>
      <c r="B4966" s="111">
        <f t="shared" si="77"/>
        <v>81</v>
      </c>
      <c r="C4966" s="111"/>
      <c r="D4966" s="111"/>
      <c r="E4966" s="111"/>
    </row>
    <row r="4967" spans="1:5" x14ac:dyDescent="0.2">
      <c r="A4967" s="113">
        <v>39665</v>
      </c>
      <c r="B4967" s="111">
        <f t="shared" si="77"/>
        <v>81</v>
      </c>
      <c r="C4967" s="111"/>
      <c r="D4967" s="111"/>
      <c r="E4967" s="111"/>
    </row>
    <row r="4968" spans="1:5" x14ac:dyDescent="0.2">
      <c r="A4968" s="113">
        <v>39666</v>
      </c>
      <c r="B4968" s="111">
        <f t="shared" si="77"/>
        <v>81</v>
      </c>
      <c r="C4968" s="111"/>
      <c r="D4968" s="111"/>
      <c r="E4968" s="111"/>
    </row>
    <row r="4969" spans="1:5" x14ac:dyDescent="0.2">
      <c r="A4969" s="113">
        <v>39667</v>
      </c>
      <c r="B4969" s="111">
        <f t="shared" si="77"/>
        <v>81</v>
      </c>
      <c r="C4969" s="111"/>
      <c r="D4969" s="111"/>
      <c r="E4969" s="111"/>
    </row>
    <row r="4970" spans="1:5" x14ac:dyDescent="0.2">
      <c r="A4970" s="113">
        <v>39668</v>
      </c>
      <c r="B4970" s="111">
        <f t="shared" si="77"/>
        <v>81</v>
      </c>
      <c r="C4970" s="111"/>
      <c r="D4970" s="111"/>
      <c r="E4970" s="111"/>
    </row>
    <row r="4971" spans="1:5" x14ac:dyDescent="0.2">
      <c r="A4971" s="113">
        <v>39669</v>
      </c>
      <c r="B4971" s="111">
        <f t="shared" si="77"/>
        <v>81</v>
      </c>
      <c r="C4971" s="111"/>
      <c r="D4971" s="111"/>
      <c r="E4971" s="111"/>
    </row>
    <row r="4972" spans="1:5" x14ac:dyDescent="0.2">
      <c r="A4972" s="113">
        <v>39670</v>
      </c>
      <c r="B4972" s="111">
        <f t="shared" si="77"/>
        <v>82</v>
      </c>
      <c r="C4972" s="111"/>
      <c r="D4972" s="111"/>
      <c r="E4972" s="111"/>
    </row>
    <row r="4973" spans="1:5" x14ac:dyDescent="0.2">
      <c r="A4973" s="113">
        <v>39671</v>
      </c>
      <c r="B4973" s="111">
        <f t="shared" si="77"/>
        <v>82</v>
      </c>
      <c r="C4973" s="111"/>
      <c r="D4973" s="111"/>
      <c r="E4973" s="111"/>
    </row>
    <row r="4974" spans="1:5" x14ac:dyDescent="0.2">
      <c r="A4974" s="113">
        <v>39672</v>
      </c>
      <c r="B4974" s="111">
        <f t="shared" si="77"/>
        <v>82</v>
      </c>
      <c r="C4974" s="111"/>
      <c r="D4974" s="111"/>
      <c r="E4974" s="111"/>
    </row>
    <row r="4975" spans="1:5" x14ac:dyDescent="0.2">
      <c r="A4975" s="113">
        <v>39673</v>
      </c>
      <c r="B4975" s="111">
        <f t="shared" si="77"/>
        <v>82</v>
      </c>
      <c r="C4975" s="111"/>
      <c r="D4975" s="111"/>
      <c r="E4975" s="111"/>
    </row>
    <row r="4976" spans="1:5" x14ac:dyDescent="0.2">
      <c r="A4976" s="113">
        <v>39674</v>
      </c>
      <c r="B4976" s="111">
        <f t="shared" si="77"/>
        <v>82</v>
      </c>
      <c r="C4976" s="111"/>
      <c r="D4976" s="111"/>
      <c r="E4976" s="111"/>
    </row>
    <row r="4977" spans="1:5" x14ac:dyDescent="0.2">
      <c r="A4977" s="113">
        <v>39675</v>
      </c>
      <c r="B4977" s="111">
        <f t="shared" si="77"/>
        <v>82</v>
      </c>
      <c r="C4977" s="111"/>
      <c r="D4977" s="111"/>
      <c r="E4977" s="111"/>
    </row>
    <row r="4978" spans="1:5" x14ac:dyDescent="0.2">
      <c r="A4978" s="113">
        <v>39676</v>
      </c>
      <c r="B4978" s="111">
        <f t="shared" si="77"/>
        <v>82</v>
      </c>
      <c r="C4978" s="111"/>
      <c r="D4978" s="111"/>
      <c r="E4978" s="111"/>
    </row>
    <row r="4979" spans="1:5" x14ac:dyDescent="0.2">
      <c r="A4979" s="113">
        <v>39677</v>
      </c>
      <c r="B4979" s="111">
        <f t="shared" si="77"/>
        <v>83</v>
      </c>
      <c r="C4979" s="111"/>
      <c r="D4979" s="111"/>
      <c r="E4979" s="111"/>
    </row>
    <row r="4980" spans="1:5" x14ac:dyDescent="0.2">
      <c r="A4980" s="113">
        <v>39678</v>
      </c>
      <c r="B4980" s="111">
        <f t="shared" si="77"/>
        <v>83</v>
      </c>
      <c r="C4980" s="111"/>
      <c r="D4980" s="111"/>
      <c r="E4980" s="111"/>
    </row>
    <row r="4981" spans="1:5" x14ac:dyDescent="0.2">
      <c r="A4981" s="113">
        <v>39679</v>
      </c>
      <c r="B4981" s="111">
        <f t="shared" si="77"/>
        <v>83</v>
      </c>
      <c r="C4981" s="111"/>
      <c r="D4981" s="111"/>
      <c r="E4981" s="111"/>
    </row>
    <row r="4982" spans="1:5" x14ac:dyDescent="0.2">
      <c r="A4982" s="113">
        <v>39680</v>
      </c>
      <c r="B4982" s="111">
        <f t="shared" si="77"/>
        <v>83</v>
      </c>
      <c r="C4982" s="111"/>
      <c r="D4982" s="111"/>
      <c r="E4982" s="111"/>
    </row>
    <row r="4983" spans="1:5" x14ac:dyDescent="0.2">
      <c r="A4983" s="113">
        <v>39681</v>
      </c>
      <c r="B4983" s="111">
        <f t="shared" si="77"/>
        <v>83</v>
      </c>
      <c r="C4983" s="111"/>
      <c r="D4983" s="111"/>
      <c r="E4983" s="111"/>
    </row>
    <row r="4984" spans="1:5" x14ac:dyDescent="0.2">
      <c r="A4984" s="113">
        <v>39682</v>
      </c>
      <c r="B4984" s="111">
        <f t="shared" si="77"/>
        <v>83</v>
      </c>
      <c r="C4984" s="111"/>
      <c r="D4984" s="111"/>
      <c r="E4984" s="111"/>
    </row>
    <row r="4985" spans="1:5" x14ac:dyDescent="0.2">
      <c r="A4985" s="113">
        <v>39683</v>
      </c>
      <c r="B4985" s="111">
        <f t="shared" si="77"/>
        <v>83</v>
      </c>
      <c r="C4985" s="111"/>
      <c r="D4985" s="111"/>
      <c r="E4985" s="111"/>
    </row>
    <row r="4986" spans="1:5" x14ac:dyDescent="0.2">
      <c r="A4986" s="113">
        <v>39684</v>
      </c>
      <c r="B4986" s="111">
        <f t="shared" si="77"/>
        <v>84</v>
      </c>
      <c r="C4986" s="111"/>
      <c r="D4986" s="111"/>
      <c r="E4986" s="111"/>
    </row>
    <row r="4987" spans="1:5" x14ac:dyDescent="0.2">
      <c r="A4987" s="113">
        <v>39685</v>
      </c>
      <c r="B4987" s="111">
        <f t="shared" si="77"/>
        <v>84</v>
      </c>
      <c r="C4987" s="111"/>
      <c r="D4987" s="111"/>
      <c r="E4987" s="111"/>
    </row>
    <row r="4988" spans="1:5" x14ac:dyDescent="0.2">
      <c r="A4988" s="113">
        <v>39686</v>
      </c>
      <c r="B4988" s="111">
        <f t="shared" si="77"/>
        <v>84</v>
      </c>
      <c r="C4988" s="111"/>
      <c r="D4988" s="111"/>
      <c r="E4988" s="111"/>
    </row>
    <row r="4989" spans="1:5" x14ac:dyDescent="0.2">
      <c r="A4989" s="113">
        <v>39687</v>
      </c>
      <c r="B4989" s="111">
        <f t="shared" si="77"/>
        <v>84</v>
      </c>
      <c r="C4989" s="111"/>
      <c r="D4989" s="111"/>
      <c r="E4989" s="111"/>
    </row>
    <row r="4990" spans="1:5" x14ac:dyDescent="0.2">
      <c r="A4990" s="113">
        <v>39688</v>
      </c>
      <c r="B4990" s="111">
        <f t="shared" si="77"/>
        <v>84</v>
      </c>
      <c r="C4990" s="111"/>
      <c r="D4990" s="111"/>
      <c r="E4990" s="111"/>
    </row>
    <row r="4991" spans="1:5" x14ac:dyDescent="0.2">
      <c r="A4991" s="113">
        <v>39689</v>
      </c>
      <c r="B4991" s="111">
        <f t="shared" si="77"/>
        <v>84</v>
      </c>
      <c r="C4991" s="111"/>
      <c r="D4991" s="111"/>
      <c r="E4991" s="111"/>
    </row>
    <row r="4992" spans="1:5" x14ac:dyDescent="0.2">
      <c r="A4992" s="113">
        <v>39690</v>
      </c>
      <c r="B4992" s="111">
        <f t="shared" si="77"/>
        <v>84</v>
      </c>
      <c r="C4992" s="111"/>
      <c r="D4992" s="111"/>
      <c r="E4992" s="111"/>
    </row>
    <row r="4993" spans="1:5" x14ac:dyDescent="0.2">
      <c r="A4993" s="113">
        <v>39691</v>
      </c>
      <c r="B4993" s="111">
        <f t="shared" si="77"/>
        <v>91</v>
      </c>
      <c r="C4993" s="111"/>
      <c r="D4993" s="111"/>
      <c r="E4993" s="111"/>
    </row>
    <row r="4994" spans="1:5" x14ac:dyDescent="0.2">
      <c r="A4994" s="113">
        <v>39692</v>
      </c>
      <c r="B4994" s="111">
        <f t="shared" ref="B4994:B5057" si="78">VLOOKUP(WEEKNUM(A4994),$D$3:$E$58,2)</f>
        <v>91</v>
      </c>
      <c r="C4994" s="111"/>
      <c r="D4994" s="111"/>
      <c r="E4994" s="111"/>
    </row>
    <row r="4995" spans="1:5" x14ac:dyDescent="0.2">
      <c r="A4995" s="113">
        <v>39693</v>
      </c>
      <c r="B4995" s="111">
        <f t="shared" si="78"/>
        <v>91</v>
      </c>
      <c r="C4995" s="111"/>
      <c r="D4995" s="111"/>
      <c r="E4995" s="111"/>
    </row>
    <row r="4996" spans="1:5" x14ac:dyDescent="0.2">
      <c r="A4996" s="113">
        <v>39694</v>
      </c>
      <c r="B4996" s="111">
        <f t="shared" si="78"/>
        <v>91</v>
      </c>
      <c r="C4996" s="111"/>
      <c r="D4996" s="111"/>
      <c r="E4996" s="111"/>
    </row>
    <row r="4997" spans="1:5" x14ac:dyDescent="0.2">
      <c r="A4997" s="113">
        <v>39695</v>
      </c>
      <c r="B4997" s="111">
        <f t="shared" si="78"/>
        <v>91</v>
      </c>
      <c r="C4997" s="111"/>
      <c r="D4997" s="111"/>
      <c r="E4997" s="111"/>
    </row>
    <row r="4998" spans="1:5" x14ac:dyDescent="0.2">
      <c r="A4998" s="113">
        <v>39696</v>
      </c>
      <c r="B4998" s="111">
        <f t="shared" si="78"/>
        <v>91</v>
      </c>
      <c r="C4998" s="111"/>
      <c r="D4998" s="111"/>
      <c r="E4998" s="111"/>
    </row>
    <row r="4999" spans="1:5" x14ac:dyDescent="0.2">
      <c r="A4999" s="113">
        <v>39697</v>
      </c>
      <c r="B4999" s="111">
        <f t="shared" si="78"/>
        <v>91</v>
      </c>
      <c r="C4999" s="111"/>
      <c r="D4999" s="111"/>
      <c r="E4999" s="111"/>
    </row>
    <row r="5000" spans="1:5" x14ac:dyDescent="0.2">
      <c r="A5000" s="113">
        <v>39698</v>
      </c>
      <c r="B5000" s="111">
        <f t="shared" si="78"/>
        <v>92</v>
      </c>
      <c r="C5000" s="111"/>
      <c r="D5000" s="111"/>
      <c r="E5000" s="111"/>
    </row>
    <row r="5001" spans="1:5" x14ac:dyDescent="0.2">
      <c r="A5001" s="113">
        <v>39699</v>
      </c>
      <c r="B5001" s="111">
        <f t="shared" si="78"/>
        <v>92</v>
      </c>
      <c r="C5001" s="111"/>
      <c r="D5001" s="111"/>
      <c r="E5001" s="111"/>
    </row>
    <row r="5002" spans="1:5" x14ac:dyDescent="0.2">
      <c r="A5002" s="113">
        <v>39700</v>
      </c>
      <c r="B5002" s="111">
        <f t="shared" si="78"/>
        <v>92</v>
      </c>
      <c r="C5002" s="111"/>
      <c r="D5002" s="111"/>
      <c r="E5002" s="111"/>
    </row>
    <row r="5003" spans="1:5" x14ac:dyDescent="0.2">
      <c r="A5003" s="113">
        <v>39701</v>
      </c>
      <c r="B5003" s="111">
        <f t="shared" si="78"/>
        <v>92</v>
      </c>
      <c r="C5003" s="111"/>
      <c r="D5003" s="111"/>
      <c r="E5003" s="111"/>
    </row>
    <row r="5004" spans="1:5" x14ac:dyDescent="0.2">
      <c r="A5004" s="113">
        <v>39702</v>
      </c>
      <c r="B5004" s="111">
        <f t="shared" si="78"/>
        <v>92</v>
      </c>
      <c r="C5004" s="111"/>
      <c r="D5004" s="111"/>
      <c r="E5004" s="111"/>
    </row>
    <row r="5005" spans="1:5" x14ac:dyDescent="0.2">
      <c r="A5005" s="113">
        <v>39703</v>
      </c>
      <c r="B5005" s="111">
        <f t="shared" si="78"/>
        <v>92</v>
      </c>
      <c r="C5005" s="111"/>
      <c r="D5005" s="111"/>
      <c r="E5005" s="111"/>
    </row>
    <row r="5006" spans="1:5" x14ac:dyDescent="0.2">
      <c r="A5006" s="113">
        <v>39704</v>
      </c>
      <c r="B5006" s="111">
        <f t="shared" si="78"/>
        <v>92</v>
      </c>
      <c r="C5006" s="111"/>
      <c r="D5006" s="111"/>
      <c r="E5006" s="111"/>
    </row>
    <row r="5007" spans="1:5" x14ac:dyDescent="0.2">
      <c r="A5007" s="113">
        <v>39705</v>
      </c>
      <c r="B5007" s="111">
        <f t="shared" si="78"/>
        <v>93</v>
      </c>
      <c r="C5007" s="111"/>
      <c r="D5007" s="111"/>
      <c r="E5007" s="111"/>
    </row>
    <row r="5008" spans="1:5" x14ac:dyDescent="0.2">
      <c r="A5008" s="113">
        <v>39706</v>
      </c>
      <c r="B5008" s="111">
        <f t="shared" si="78"/>
        <v>93</v>
      </c>
      <c r="C5008" s="111"/>
      <c r="D5008" s="111"/>
      <c r="E5008" s="111"/>
    </row>
    <row r="5009" spans="1:5" x14ac:dyDescent="0.2">
      <c r="A5009" s="113">
        <v>39707</v>
      </c>
      <c r="B5009" s="111">
        <f t="shared" si="78"/>
        <v>93</v>
      </c>
      <c r="C5009" s="111"/>
      <c r="D5009" s="111"/>
      <c r="E5009" s="111"/>
    </row>
    <row r="5010" spans="1:5" x14ac:dyDescent="0.2">
      <c r="A5010" s="113">
        <v>39708</v>
      </c>
      <c r="B5010" s="111">
        <f t="shared" si="78"/>
        <v>93</v>
      </c>
      <c r="C5010" s="111"/>
      <c r="D5010" s="111"/>
      <c r="E5010" s="111"/>
    </row>
    <row r="5011" spans="1:5" x14ac:dyDescent="0.2">
      <c r="A5011" s="113">
        <v>39709</v>
      </c>
      <c r="B5011" s="111">
        <f t="shared" si="78"/>
        <v>93</v>
      </c>
      <c r="C5011" s="111"/>
      <c r="D5011" s="111"/>
      <c r="E5011" s="111"/>
    </row>
    <row r="5012" spans="1:5" x14ac:dyDescent="0.2">
      <c r="A5012" s="113">
        <v>39710</v>
      </c>
      <c r="B5012" s="111">
        <f t="shared" si="78"/>
        <v>93</v>
      </c>
      <c r="C5012" s="111"/>
      <c r="D5012" s="111"/>
      <c r="E5012" s="111"/>
    </row>
    <row r="5013" spans="1:5" x14ac:dyDescent="0.2">
      <c r="A5013" s="113">
        <v>39711</v>
      </c>
      <c r="B5013" s="111">
        <f t="shared" si="78"/>
        <v>93</v>
      </c>
      <c r="C5013" s="111"/>
      <c r="D5013" s="111"/>
      <c r="E5013" s="111"/>
    </row>
    <row r="5014" spans="1:5" x14ac:dyDescent="0.2">
      <c r="A5014" s="113">
        <v>39712</v>
      </c>
      <c r="B5014" s="111">
        <f t="shared" si="78"/>
        <v>94</v>
      </c>
      <c r="C5014" s="111"/>
      <c r="D5014" s="111"/>
      <c r="E5014" s="111"/>
    </row>
    <row r="5015" spans="1:5" x14ac:dyDescent="0.2">
      <c r="A5015" s="113">
        <v>39713</v>
      </c>
      <c r="B5015" s="111">
        <f t="shared" si="78"/>
        <v>94</v>
      </c>
      <c r="C5015" s="111"/>
      <c r="D5015" s="111"/>
      <c r="E5015" s="111"/>
    </row>
    <row r="5016" spans="1:5" x14ac:dyDescent="0.2">
      <c r="A5016" s="113">
        <v>39714</v>
      </c>
      <c r="B5016" s="111">
        <f t="shared" si="78"/>
        <v>94</v>
      </c>
      <c r="C5016" s="111"/>
      <c r="D5016" s="111"/>
      <c r="E5016" s="111"/>
    </row>
    <row r="5017" spans="1:5" x14ac:dyDescent="0.2">
      <c r="A5017" s="113">
        <v>39715</v>
      </c>
      <c r="B5017" s="111">
        <f t="shared" si="78"/>
        <v>94</v>
      </c>
      <c r="C5017" s="111"/>
      <c r="D5017" s="111"/>
      <c r="E5017" s="111"/>
    </row>
    <row r="5018" spans="1:5" x14ac:dyDescent="0.2">
      <c r="A5018" s="113">
        <v>39716</v>
      </c>
      <c r="B5018" s="111">
        <f t="shared" si="78"/>
        <v>94</v>
      </c>
      <c r="C5018" s="111"/>
      <c r="D5018" s="111"/>
      <c r="E5018" s="111"/>
    </row>
    <row r="5019" spans="1:5" x14ac:dyDescent="0.2">
      <c r="A5019" s="113">
        <v>39717</v>
      </c>
      <c r="B5019" s="111">
        <f t="shared" si="78"/>
        <v>94</v>
      </c>
      <c r="C5019" s="111"/>
      <c r="D5019" s="111"/>
      <c r="E5019" s="111"/>
    </row>
    <row r="5020" spans="1:5" x14ac:dyDescent="0.2">
      <c r="A5020" s="113">
        <v>39718</v>
      </c>
      <c r="B5020" s="111">
        <f t="shared" si="78"/>
        <v>94</v>
      </c>
      <c r="C5020" s="111"/>
      <c r="D5020" s="111"/>
      <c r="E5020" s="111"/>
    </row>
    <row r="5021" spans="1:5" x14ac:dyDescent="0.2">
      <c r="A5021" s="113">
        <v>39719</v>
      </c>
      <c r="B5021" s="111">
        <f t="shared" si="78"/>
        <v>101</v>
      </c>
      <c r="C5021" s="111"/>
      <c r="D5021" s="111"/>
      <c r="E5021" s="111"/>
    </row>
    <row r="5022" spans="1:5" x14ac:dyDescent="0.2">
      <c r="A5022" s="113">
        <v>39720</v>
      </c>
      <c r="B5022" s="111">
        <f t="shared" si="78"/>
        <v>101</v>
      </c>
      <c r="C5022" s="111"/>
      <c r="D5022" s="111"/>
      <c r="E5022" s="111"/>
    </row>
    <row r="5023" spans="1:5" x14ac:dyDescent="0.2">
      <c r="A5023" s="113">
        <v>39721</v>
      </c>
      <c r="B5023" s="111">
        <f t="shared" si="78"/>
        <v>101</v>
      </c>
      <c r="C5023" s="111"/>
      <c r="D5023" s="111"/>
      <c r="E5023" s="111"/>
    </row>
    <row r="5024" spans="1:5" x14ac:dyDescent="0.2">
      <c r="A5024" s="113">
        <v>39722</v>
      </c>
      <c r="B5024" s="111">
        <f t="shared" si="78"/>
        <v>101</v>
      </c>
      <c r="C5024" s="111"/>
      <c r="D5024" s="111"/>
      <c r="E5024" s="111"/>
    </row>
    <row r="5025" spans="1:5" x14ac:dyDescent="0.2">
      <c r="A5025" s="113">
        <v>39723</v>
      </c>
      <c r="B5025" s="111">
        <f t="shared" si="78"/>
        <v>101</v>
      </c>
      <c r="C5025" s="111"/>
      <c r="D5025" s="111"/>
      <c r="E5025" s="111"/>
    </row>
    <row r="5026" spans="1:5" x14ac:dyDescent="0.2">
      <c r="A5026" s="113">
        <v>39724</v>
      </c>
      <c r="B5026" s="111">
        <f t="shared" si="78"/>
        <v>101</v>
      </c>
      <c r="C5026" s="111"/>
      <c r="D5026" s="111"/>
      <c r="E5026" s="111"/>
    </row>
    <row r="5027" spans="1:5" x14ac:dyDescent="0.2">
      <c r="A5027" s="113">
        <v>39725</v>
      </c>
      <c r="B5027" s="111">
        <f t="shared" si="78"/>
        <v>101</v>
      </c>
      <c r="C5027" s="111"/>
      <c r="D5027" s="111"/>
      <c r="E5027" s="111"/>
    </row>
    <row r="5028" spans="1:5" x14ac:dyDescent="0.2">
      <c r="A5028" s="113">
        <v>39726</v>
      </c>
      <c r="B5028" s="111">
        <f t="shared" si="78"/>
        <v>102</v>
      </c>
      <c r="C5028" s="111"/>
      <c r="D5028" s="111"/>
      <c r="E5028" s="111"/>
    </row>
    <row r="5029" spans="1:5" x14ac:dyDescent="0.2">
      <c r="A5029" s="113">
        <v>39727</v>
      </c>
      <c r="B5029" s="111">
        <f t="shared" si="78"/>
        <v>102</v>
      </c>
      <c r="C5029" s="111"/>
      <c r="D5029" s="111"/>
      <c r="E5029" s="111"/>
    </row>
    <row r="5030" spans="1:5" x14ac:dyDescent="0.2">
      <c r="A5030" s="113">
        <v>39728</v>
      </c>
      <c r="B5030" s="111">
        <f t="shared" si="78"/>
        <v>102</v>
      </c>
      <c r="C5030" s="111"/>
      <c r="D5030" s="111"/>
      <c r="E5030" s="111"/>
    </row>
    <row r="5031" spans="1:5" x14ac:dyDescent="0.2">
      <c r="A5031" s="113">
        <v>39729</v>
      </c>
      <c r="B5031" s="111">
        <f t="shared" si="78"/>
        <v>102</v>
      </c>
      <c r="C5031" s="111"/>
      <c r="D5031" s="111"/>
      <c r="E5031" s="111"/>
    </row>
    <row r="5032" spans="1:5" x14ac:dyDescent="0.2">
      <c r="A5032" s="113">
        <v>39730</v>
      </c>
      <c r="B5032" s="111">
        <f t="shared" si="78"/>
        <v>102</v>
      </c>
      <c r="C5032" s="111"/>
      <c r="D5032" s="111"/>
      <c r="E5032" s="111"/>
    </row>
    <row r="5033" spans="1:5" x14ac:dyDescent="0.2">
      <c r="A5033" s="113">
        <v>39731</v>
      </c>
      <c r="B5033" s="111">
        <f t="shared" si="78"/>
        <v>102</v>
      </c>
      <c r="C5033" s="111"/>
      <c r="D5033" s="111"/>
      <c r="E5033" s="111"/>
    </row>
    <row r="5034" spans="1:5" x14ac:dyDescent="0.2">
      <c r="A5034" s="113">
        <v>39732</v>
      </c>
      <c r="B5034" s="111">
        <f t="shared" si="78"/>
        <v>102</v>
      </c>
      <c r="C5034" s="111"/>
      <c r="D5034" s="111"/>
      <c r="E5034" s="111"/>
    </row>
    <row r="5035" spans="1:5" x14ac:dyDescent="0.2">
      <c r="A5035" s="113">
        <v>39733</v>
      </c>
      <c r="B5035" s="111">
        <f t="shared" si="78"/>
        <v>103</v>
      </c>
      <c r="C5035" s="111"/>
      <c r="D5035" s="111"/>
      <c r="E5035" s="111"/>
    </row>
    <row r="5036" spans="1:5" x14ac:dyDescent="0.2">
      <c r="A5036" s="113">
        <v>39734</v>
      </c>
      <c r="B5036" s="111">
        <f t="shared" si="78"/>
        <v>103</v>
      </c>
      <c r="C5036" s="111"/>
      <c r="D5036" s="111"/>
      <c r="E5036" s="111"/>
    </row>
    <row r="5037" spans="1:5" x14ac:dyDescent="0.2">
      <c r="A5037" s="113">
        <v>39735</v>
      </c>
      <c r="B5037" s="111">
        <f t="shared" si="78"/>
        <v>103</v>
      </c>
      <c r="C5037" s="111"/>
      <c r="D5037" s="111"/>
      <c r="E5037" s="111"/>
    </row>
    <row r="5038" spans="1:5" x14ac:dyDescent="0.2">
      <c r="A5038" s="113">
        <v>39736</v>
      </c>
      <c r="B5038" s="111">
        <f t="shared" si="78"/>
        <v>103</v>
      </c>
      <c r="C5038" s="111"/>
      <c r="D5038" s="111"/>
      <c r="E5038" s="111"/>
    </row>
    <row r="5039" spans="1:5" x14ac:dyDescent="0.2">
      <c r="A5039" s="113">
        <v>39737</v>
      </c>
      <c r="B5039" s="111">
        <f t="shared" si="78"/>
        <v>103</v>
      </c>
      <c r="C5039" s="111"/>
      <c r="D5039" s="111"/>
      <c r="E5039" s="111"/>
    </row>
    <row r="5040" spans="1:5" x14ac:dyDescent="0.2">
      <c r="A5040" s="113">
        <v>39738</v>
      </c>
      <c r="B5040" s="111">
        <f t="shared" si="78"/>
        <v>103</v>
      </c>
      <c r="C5040" s="111"/>
      <c r="D5040" s="111"/>
      <c r="E5040" s="111"/>
    </row>
    <row r="5041" spans="1:5" x14ac:dyDescent="0.2">
      <c r="A5041" s="113">
        <v>39739</v>
      </c>
      <c r="B5041" s="111">
        <f t="shared" si="78"/>
        <v>103</v>
      </c>
      <c r="C5041" s="111"/>
      <c r="D5041" s="111"/>
      <c r="E5041" s="111"/>
    </row>
    <row r="5042" spans="1:5" x14ac:dyDescent="0.2">
      <c r="A5042" s="113">
        <v>39740</v>
      </c>
      <c r="B5042" s="111">
        <f t="shared" si="78"/>
        <v>104</v>
      </c>
      <c r="C5042" s="111"/>
      <c r="D5042" s="111"/>
      <c r="E5042" s="111"/>
    </row>
    <row r="5043" spans="1:5" x14ac:dyDescent="0.2">
      <c r="A5043" s="113">
        <v>39741</v>
      </c>
      <c r="B5043" s="111">
        <f t="shared" si="78"/>
        <v>104</v>
      </c>
      <c r="C5043" s="111"/>
      <c r="D5043" s="111"/>
      <c r="E5043" s="111"/>
    </row>
    <row r="5044" spans="1:5" x14ac:dyDescent="0.2">
      <c r="A5044" s="113">
        <v>39742</v>
      </c>
      <c r="B5044" s="111">
        <f t="shared" si="78"/>
        <v>104</v>
      </c>
      <c r="C5044" s="111"/>
      <c r="D5044" s="111"/>
      <c r="E5044" s="111"/>
    </row>
    <row r="5045" spans="1:5" x14ac:dyDescent="0.2">
      <c r="A5045" s="113">
        <v>39743</v>
      </c>
      <c r="B5045" s="111">
        <f t="shared" si="78"/>
        <v>104</v>
      </c>
      <c r="C5045" s="111"/>
      <c r="D5045" s="111"/>
      <c r="E5045" s="111"/>
    </row>
    <row r="5046" spans="1:5" x14ac:dyDescent="0.2">
      <c r="A5046" s="113">
        <v>39744</v>
      </c>
      <c r="B5046" s="111">
        <f t="shared" si="78"/>
        <v>104</v>
      </c>
      <c r="C5046" s="111"/>
      <c r="D5046" s="111"/>
      <c r="E5046" s="111"/>
    </row>
    <row r="5047" spans="1:5" x14ac:dyDescent="0.2">
      <c r="A5047" s="113">
        <v>39745</v>
      </c>
      <c r="B5047" s="111">
        <f t="shared" si="78"/>
        <v>104</v>
      </c>
      <c r="C5047" s="111"/>
      <c r="D5047" s="111"/>
      <c r="E5047" s="111"/>
    </row>
    <row r="5048" spans="1:5" x14ac:dyDescent="0.2">
      <c r="A5048" s="113">
        <v>39746</v>
      </c>
      <c r="B5048" s="111">
        <f t="shared" si="78"/>
        <v>104</v>
      </c>
      <c r="C5048" s="111"/>
      <c r="D5048" s="111"/>
      <c r="E5048" s="111"/>
    </row>
    <row r="5049" spans="1:5" x14ac:dyDescent="0.2">
      <c r="A5049" s="113">
        <v>39747</v>
      </c>
      <c r="B5049" s="111">
        <f t="shared" si="78"/>
        <v>105</v>
      </c>
      <c r="C5049" s="111"/>
      <c r="D5049" s="111"/>
      <c r="E5049" s="111"/>
    </row>
    <row r="5050" spans="1:5" x14ac:dyDescent="0.2">
      <c r="A5050" s="113">
        <v>39748</v>
      </c>
      <c r="B5050" s="111">
        <f t="shared" si="78"/>
        <v>105</v>
      </c>
      <c r="C5050" s="111"/>
      <c r="D5050" s="111"/>
      <c r="E5050" s="111"/>
    </row>
    <row r="5051" spans="1:5" x14ac:dyDescent="0.2">
      <c r="A5051" s="113">
        <v>39749</v>
      </c>
      <c r="B5051" s="111">
        <f t="shared" si="78"/>
        <v>105</v>
      </c>
      <c r="C5051" s="111"/>
      <c r="D5051" s="111"/>
      <c r="E5051" s="111"/>
    </row>
    <row r="5052" spans="1:5" x14ac:dyDescent="0.2">
      <c r="A5052" s="113">
        <v>39750</v>
      </c>
      <c r="B5052" s="111">
        <f t="shared" si="78"/>
        <v>105</v>
      </c>
      <c r="C5052" s="111"/>
      <c r="D5052" s="111"/>
      <c r="E5052" s="111"/>
    </row>
    <row r="5053" spans="1:5" x14ac:dyDescent="0.2">
      <c r="A5053" s="113">
        <v>39751</v>
      </c>
      <c r="B5053" s="111">
        <f t="shared" si="78"/>
        <v>105</v>
      </c>
      <c r="C5053" s="111"/>
      <c r="D5053" s="111"/>
      <c r="E5053" s="111"/>
    </row>
    <row r="5054" spans="1:5" x14ac:dyDescent="0.2">
      <c r="A5054" s="113">
        <v>39752</v>
      </c>
      <c r="B5054" s="111">
        <f t="shared" si="78"/>
        <v>105</v>
      </c>
      <c r="C5054" s="111"/>
      <c r="D5054" s="111"/>
      <c r="E5054" s="111"/>
    </row>
    <row r="5055" spans="1:5" x14ac:dyDescent="0.2">
      <c r="A5055" s="113">
        <v>39753</v>
      </c>
      <c r="B5055" s="111">
        <f t="shared" si="78"/>
        <v>105</v>
      </c>
      <c r="C5055" s="111"/>
      <c r="D5055" s="111"/>
      <c r="E5055" s="111"/>
    </row>
    <row r="5056" spans="1:5" x14ac:dyDescent="0.2">
      <c r="A5056" s="113">
        <v>39754</v>
      </c>
      <c r="B5056" s="111">
        <f t="shared" si="78"/>
        <v>111</v>
      </c>
      <c r="C5056" s="111"/>
      <c r="D5056" s="111"/>
      <c r="E5056" s="111"/>
    </row>
    <row r="5057" spans="1:5" x14ac:dyDescent="0.2">
      <c r="A5057" s="113">
        <v>39755</v>
      </c>
      <c r="B5057" s="111">
        <f t="shared" si="78"/>
        <v>111</v>
      </c>
      <c r="C5057" s="111"/>
      <c r="D5057" s="111"/>
      <c r="E5057" s="111"/>
    </row>
    <row r="5058" spans="1:5" x14ac:dyDescent="0.2">
      <c r="A5058" s="113">
        <v>39756</v>
      </c>
      <c r="B5058" s="111">
        <f t="shared" ref="B5058:B5121" si="79">VLOOKUP(WEEKNUM(A5058),$D$3:$E$58,2)</f>
        <v>111</v>
      </c>
      <c r="C5058" s="111"/>
      <c r="D5058" s="111"/>
      <c r="E5058" s="111"/>
    </row>
    <row r="5059" spans="1:5" x14ac:dyDescent="0.2">
      <c r="A5059" s="113">
        <v>39757</v>
      </c>
      <c r="B5059" s="111">
        <f t="shared" si="79"/>
        <v>111</v>
      </c>
      <c r="C5059" s="111"/>
      <c r="D5059" s="111"/>
      <c r="E5059" s="111"/>
    </row>
    <row r="5060" spans="1:5" x14ac:dyDescent="0.2">
      <c r="A5060" s="113">
        <v>39758</v>
      </c>
      <c r="B5060" s="111">
        <f t="shared" si="79"/>
        <v>111</v>
      </c>
      <c r="C5060" s="111"/>
      <c r="D5060" s="111"/>
      <c r="E5060" s="111"/>
    </row>
    <row r="5061" spans="1:5" x14ac:dyDescent="0.2">
      <c r="A5061" s="113">
        <v>39759</v>
      </c>
      <c r="B5061" s="111">
        <f t="shared" si="79"/>
        <v>111</v>
      </c>
      <c r="C5061" s="111"/>
      <c r="D5061" s="111"/>
      <c r="E5061" s="111"/>
    </row>
    <row r="5062" spans="1:5" x14ac:dyDescent="0.2">
      <c r="A5062" s="113">
        <v>39760</v>
      </c>
      <c r="B5062" s="111">
        <f t="shared" si="79"/>
        <v>111</v>
      </c>
      <c r="C5062" s="111"/>
      <c r="D5062" s="111"/>
      <c r="E5062" s="111"/>
    </row>
    <row r="5063" spans="1:5" x14ac:dyDescent="0.2">
      <c r="A5063" s="113">
        <v>39761</v>
      </c>
      <c r="B5063" s="111">
        <f t="shared" si="79"/>
        <v>112</v>
      </c>
      <c r="C5063" s="111"/>
      <c r="D5063" s="111"/>
      <c r="E5063" s="111"/>
    </row>
    <row r="5064" spans="1:5" x14ac:dyDescent="0.2">
      <c r="A5064" s="113">
        <v>39762</v>
      </c>
      <c r="B5064" s="111">
        <f t="shared" si="79"/>
        <v>112</v>
      </c>
      <c r="C5064" s="111"/>
      <c r="D5064" s="111"/>
      <c r="E5064" s="111"/>
    </row>
    <row r="5065" spans="1:5" x14ac:dyDescent="0.2">
      <c r="A5065" s="113">
        <v>39763</v>
      </c>
      <c r="B5065" s="111">
        <f t="shared" si="79"/>
        <v>112</v>
      </c>
      <c r="C5065" s="111"/>
      <c r="D5065" s="111"/>
      <c r="E5065" s="111"/>
    </row>
    <row r="5066" spans="1:5" x14ac:dyDescent="0.2">
      <c r="A5066" s="113">
        <v>39764</v>
      </c>
      <c r="B5066" s="111">
        <f t="shared" si="79"/>
        <v>112</v>
      </c>
      <c r="C5066" s="111"/>
      <c r="D5066" s="111"/>
      <c r="E5066" s="111"/>
    </row>
    <row r="5067" spans="1:5" x14ac:dyDescent="0.2">
      <c r="A5067" s="113">
        <v>39765</v>
      </c>
      <c r="B5067" s="111">
        <f t="shared" si="79"/>
        <v>112</v>
      </c>
      <c r="C5067" s="111"/>
      <c r="D5067" s="111"/>
      <c r="E5067" s="111"/>
    </row>
    <row r="5068" spans="1:5" x14ac:dyDescent="0.2">
      <c r="A5068" s="113">
        <v>39766</v>
      </c>
      <c r="B5068" s="111">
        <f t="shared" si="79"/>
        <v>112</v>
      </c>
      <c r="C5068" s="111"/>
      <c r="D5068" s="111"/>
      <c r="E5068" s="111"/>
    </row>
    <row r="5069" spans="1:5" x14ac:dyDescent="0.2">
      <c r="A5069" s="113">
        <v>39767</v>
      </c>
      <c r="B5069" s="111">
        <f t="shared" si="79"/>
        <v>112</v>
      </c>
      <c r="C5069" s="111"/>
      <c r="D5069" s="111"/>
      <c r="E5069" s="111"/>
    </row>
    <row r="5070" spans="1:5" x14ac:dyDescent="0.2">
      <c r="A5070" s="113">
        <v>39768</v>
      </c>
      <c r="B5070" s="111">
        <f t="shared" si="79"/>
        <v>113</v>
      </c>
      <c r="C5070" s="111"/>
      <c r="D5070" s="111"/>
      <c r="E5070" s="111"/>
    </row>
    <row r="5071" spans="1:5" x14ac:dyDescent="0.2">
      <c r="A5071" s="113">
        <v>39769</v>
      </c>
      <c r="B5071" s="111">
        <f t="shared" si="79"/>
        <v>113</v>
      </c>
      <c r="C5071" s="111"/>
      <c r="D5071" s="111"/>
      <c r="E5071" s="111"/>
    </row>
    <row r="5072" spans="1:5" x14ac:dyDescent="0.2">
      <c r="A5072" s="113">
        <v>39770</v>
      </c>
      <c r="B5072" s="111">
        <f t="shared" si="79"/>
        <v>113</v>
      </c>
      <c r="C5072" s="111"/>
      <c r="D5072" s="111"/>
      <c r="E5072" s="111"/>
    </row>
    <row r="5073" spans="1:5" x14ac:dyDescent="0.2">
      <c r="A5073" s="113">
        <v>39771</v>
      </c>
      <c r="B5073" s="111">
        <f t="shared" si="79"/>
        <v>113</v>
      </c>
      <c r="C5073" s="111"/>
      <c r="D5073" s="111"/>
      <c r="E5073" s="111"/>
    </row>
    <row r="5074" spans="1:5" x14ac:dyDescent="0.2">
      <c r="A5074" s="113">
        <v>39772</v>
      </c>
      <c r="B5074" s="111">
        <f t="shared" si="79"/>
        <v>113</v>
      </c>
      <c r="C5074" s="111"/>
      <c r="D5074" s="111"/>
      <c r="E5074" s="111"/>
    </row>
    <row r="5075" spans="1:5" x14ac:dyDescent="0.2">
      <c r="A5075" s="113">
        <v>39773</v>
      </c>
      <c r="B5075" s="111">
        <f t="shared" si="79"/>
        <v>113</v>
      </c>
      <c r="C5075" s="111"/>
      <c r="D5075" s="111"/>
      <c r="E5075" s="111"/>
    </row>
    <row r="5076" spans="1:5" x14ac:dyDescent="0.2">
      <c r="A5076" s="113">
        <v>39774</v>
      </c>
      <c r="B5076" s="111">
        <f t="shared" si="79"/>
        <v>113</v>
      </c>
      <c r="C5076" s="111"/>
      <c r="D5076" s="111"/>
      <c r="E5076" s="111"/>
    </row>
    <row r="5077" spans="1:5" x14ac:dyDescent="0.2">
      <c r="A5077" s="113">
        <v>39775</v>
      </c>
      <c r="B5077" s="111">
        <f t="shared" si="79"/>
        <v>114</v>
      </c>
      <c r="C5077" s="111"/>
      <c r="D5077" s="111"/>
      <c r="E5077" s="111"/>
    </row>
    <row r="5078" spans="1:5" x14ac:dyDescent="0.2">
      <c r="A5078" s="113">
        <v>39776</v>
      </c>
      <c r="B5078" s="111">
        <f t="shared" si="79"/>
        <v>114</v>
      </c>
      <c r="C5078" s="111"/>
      <c r="D5078" s="111"/>
      <c r="E5078" s="111"/>
    </row>
    <row r="5079" spans="1:5" x14ac:dyDescent="0.2">
      <c r="A5079" s="113">
        <v>39777</v>
      </c>
      <c r="B5079" s="111">
        <f t="shared" si="79"/>
        <v>114</v>
      </c>
      <c r="C5079" s="111"/>
      <c r="D5079" s="111"/>
      <c r="E5079" s="111"/>
    </row>
    <row r="5080" spans="1:5" x14ac:dyDescent="0.2">
      <c r="A5080" s="113">
        <v>39778</v>
      </c>
      <c r="B5080" s="111">
        <f t="shared" si="79"/>
        <v>114</v>
      </c>
      <c r="C5080" s="111"/>
      <c r="D5080" s="111"/>
      <c r="E5080" s="111"/>
    </row>
    <row r="5081" spans="1:5" x14ac:dyDescent="0.2">
      <c r="A5081" s="113">
        <v>39779</v>
      </c>
      <c r="B5081" s="111">
        <f t="shared" si="79"/>
        <v>114</v>
      </c>
      <c r="C5081" s="111"/>
      <c r="D5081" s="111"/>
      <c r="E5081" s="111"/>
    </row>
    <row r="5082" spans="1:5" x14ac:dyDescent="0.2">
      <c r="A5082" s="113">
        <v>39780</v>
      </c>
      <c r="B5082" s="111">
        <f t="shared" si="79"/>
        <v>114</v>
      </c>
      <c r="C5082" s="111"/>
      <c r="D5082" s="111"/>
      <c r="E5082" s="111"/>
    </row>
    <row r="5083" spans="1:5" x14ac:dyDescent="0.2">
      <c r="A5083" s="113">
        <v>39781</v>
      </c>
      <c r="B5083" s="111">
        <f t="shared" si="79"/>
        <v>114</v>
      </c>
      <c r="C5083" s="111"/>
      <c r="D5083" s="111"/>
      <c r="E5083" s="111"/>
    </row>
    <row r="5084" spans="1:5" x14ac:dyDescent="0.2">
      <c r="A5084" s="113">
        <v>39782</v>
      </c>
      <c r="B5084" s="111">
        <f t="shared" si="79"/>
        <v>115</v>
      </c>
      <c r="C5084" s="111"/>
      <c r="D5084" s="111"/>
      <c r="E5084" s="111"/>
    </row>
    <row r="5085" spans="1:5" x14ac:dyDescent="0.2">
      <c r="A5085" s="113">
        <v>39783</v>
      </c>
      <c r="B5085" s="111">
        <f t="shared" si="79"/>
        <v>115</v>
      </c>
      <c r="C5085" s="111"/>
      <c r="D5085" s="111"/>
      <c r="E5085" s="111"/>
    </row>
    <row r="5086" spans="1:5" x14ac:dyDescent="0.2">
      <c r="A5086" s="113">
        <v>39784</v>
      </c>
      <c r="B5086" s="111">
        <f t="shared" si="79"/>
        <v>115</v>
      </c>
      <c r="C5086" s="111"/>
      <c r="D5086" s="111"/>
      <c r="E5086" s="111"/>
    </row>
    <row r="5087" spans="1:5" x14ac:dyDescent="0.2">
      <c r="A5087" s="113">
        <v>39785</v>
      </c>
      <c r="B5087" s="111">
        <f t="shared" si="79"/>
        <v>115</v>
      </c>
      <c r="C5087" s="111"/>
      <c r="D5087" s="111"/>
      <c r="E5087" s="111"/>
    </row>
    <row r="5088" spans="1:5" x14ac:dyDescent="0.2">
      <c r="A5088" s="113">
        <v>39786</v>
      </c>
      <c r="B5088" s="111">
        <f t="shared" si="79"/>
        <v>115</v>
      </c>
      <c r="C5088" s="111"/>
      <c r="D5088" s="111"/>
      <c r="E5088" s="111"/>
    </row>
    <row r="5089" spans="1:5" x14ac:dyDescent="0.2">
      <c r="A5089" s="113">
        <v>39787</v>
      </c>
      <c r="B5089" s="111">
        <f t="shared" si="79"/>
        <v>115</v>
      </c>
      <c r="C5089" s="111"/>
      <c r="D5089" s="111"/>
      <c r="E5089" s="111"/>
    </row>
    <row r="5090" spans="1:5" x14ac:dyDescent="0.2">
      <c r="A5090" s="113">
        <v>39788</v>
      </c>
      <c r="B5090" s="111">
        <f t="shared" si="79"/>
        <v>115</v>
      </c>
      <c r="C5090" s="111"/>
      <c r="D5090" s="111"/>
      <c r="E5090" s="111"/>
    </row>
    <row r="5091" spans="1:5" x14ac:dyDescent="0.2">
      <c r="A5091" s="113">
        <v>39789</v>
      </c>
      <c r="B5091" s="111">
        <f t="shared" si="79"/>
        <v>121</v>
      </c>
      <c r="C5091" s="111"/>
      <c r="D5091" s="111"/>
      <c r="E5091" s="111"/>
    </row>
    <row r="5092" spans="1:5" x14ac:dyDescent="0.2">
      <c r="A5092" s="113">
        <v>39790</v>
      </c>
      <c r="B5092" s="111">
        <f t="shared" si="79"/>
        <v>121</v>
      </c>
      <c r="C5092" s="111"/>
      <c r="D5092" s="111"/>
      <c r="E5092" s="111"/>
    </row>
    <row r="5093" spans="1:5" x14ac:dyDescent="0.2">
      <c r="A5093" s="113">
        <v>39791</v>
      </c>
      <c r="B5093" s="111">
        <f t="shared" si="79"/>
        <v>121</v>
      </c>
      <c r="C5093" s="111"/>
      <c r="D5093" s="111"/>
      <c r="E5093" s="111"/>
    </row>
    <row r="5094" spans="1:5" x14ac:dyDescent="0.2">
      <c r="A5094" s="113">
        <v>39792</v>
      </c>
      <c r="B5094" s="111">
        <f t="shared" si="79"/>
        <v>121</v>
      </c>
      <c r="C5094" s="111"/>
      <c r="D5094" s="111"/>
      <c r="E5094" s="111"/>
    </row>
    <row r="5095" spans="1:5" x14ac:dyDescent="0.2">
      <c r="A5095" s="113">
        <v>39793</v>
      </c>
      <c r="B5095" s="111">
        <f t="shared" si="79"/>
        <v>121</v>
      </c>
      <c r="C5095" s="111"/>
      <c r="D5095" s="111"/>
      <c r="E5095" s="111"/>
    </row>
    <row r="5096" spans="1:5" x14ac:dyDescent="0.2">
      <c r="A5096" s="113">
        <v>39794</v>
      </c>
      <c r="B5096" s="111">
        <f t="shared" si="79"/>
        <v>121</v>
      </c>
      <c r="C5096" s="111"/>
      <c r="D5096" s="111"/>
      <c r="E5096" s="111"/>
    </row>
    <row r="5097" spans="1:5" x14ac:dyDescent="0.2">
      <c r="A5097" s="113">
        <v>39795</v>
      </c>
      <c r="B5097" s="111">
        <f t="shared" si="79"/>
        <v>121</v>
      </c>
      <c r="C5097" s="111"/>
      <c r="D5097" s="111"/>
      <c r="E5097" s="111"/>
    </row>
    <row r="5098" spans="1:5" x14ac:dyDescent="0.2">
      <c r="A5098" s="113">
        <v>39796</v>
      </c>
      <c r="B5098" s="111">
        <f t="shared" si="79"/>
        <v>122</v>
      </c>
      <c r="C5098" s="111"/>
      <c r="D5098" s="111"/>
      <c r="E5098" s="111"/>
    </row>
    <row r="5099" spans="1:5" x14ac:dyDescent="0.2">
      <c r="A5099" s="113">
        <v>39797</v>
      </c>
      <c r="B5099" s="111">
        <f t="shared" si="79"/>
        <v>122</v>
      </c>
      <c r="C5099" s="111"/>
      <c r="D5099" s="111"/>
      <c r="E5099" s="111"/>
    </row>
    <row r="5100" spans="1:5" x14ac:dyDescent="0.2">
      <c r="A5100" s="113">
        <v>39798</v>
      </c>
      <c r="B5100" s="111">
        <f t="shared" si="79"/>
        <v>122</v>
      </c>
      <c r="C5100" s="111"/>
      <c r="D5100" s="111"/>
      <c r="E5100" s="111"/>
    </row>
    <row r="5101" spans="1:5" x14ac:dyDescent="0.2">
      <c r="A5101" s="113">
        <v>39799</v>
      </c>
      <c r="B5101" s="111">
        <f t="shared" si="79"/>
        <v>122</v>
      </c>
      <c r="C5101" s="111"/>
      <c r="D5101" s="111"/>
      <c r="E5101" s="111"/>
    </row>
    <row r="5102" spans="1:5" x14ac:dyDescent="0.2">
      <c r="A5102" s="113">
        <v>39800</v>
      </c>
      <c r="B5102" s="111">
        <f t="shared" si="79"/>
        <v>122</v>
      </c>
      <c r="C5102" s="111"/>
      <c r="D5102" s="111"/>
      <c r="E5102" s="111"/>
    </row>
    <row r="5103" spans="1:5" x14ac:dyDescent="0.2">
      <c r="A5103" s="113">
        <v>39801</v>
      </c>
      <c r="B5103" s="111">
        <f t="shared" si="79"/>
        <v>122</v>
      </c>
      <c r="C5103" s="111"/>
      <c r="D5103" s="111"/>
      <c r="E5103" s="111"/>
    </row>
    <row r="5104" spans="1:5" x14ac:dyDescent="0.2">
      <c r="A5104" s="113">
        <v>39802</v>
      </c>
      <c r="B5104" s="111">
        <f t="shared" si="79"/>
        <v>122</v>
      </c>
      <c r="C5104" s="111"/>
      <c r="D5104" s="111"/>
      <c r="E5104" s="111"/>
    </row>
    <row r="5105" spans="1:5" x14ac:dyDescent="0.2">
      <c r="A5105" s="113">
        <v>39803</v>
      </c>
      <c r="B5105" s="111">
        <f t="shared" si="79"/>
        <v>123</v>
      </c>
      <c r="C5105" s="111"/>
      <c r="D5105" s="111"/>
      <c r="E5105" s="111"/>
    </row>
    <row r="5106" spans="1:5" x14ac:dyDescent="0.2">
      <c r="A5106" s="113">
        <v>39804</v>
      </c>
      <c r="B5106" s="111">
        <f t="shared" si="79"/>
        <v>123</v>
      </c>
      <c r="C5106" s="111"/>
      <c r="D5106" s="111"/>
      <c r="E5106" s="111"/>
    </row>
    <row r="5107" spans="1:5" x14ac:dyDescent="0.2">
      <c r="A5107" s="113">
        <v>39805</v>
      </c>
      <c r="B5107" s="111">
        <f t="shared" si="79"/>
        <v>123</v>
      </c>
      <c r="C5107" s="111"/>
      <c r="D5107" s="111"/>
      <c r="E5107" s="111"/>
    </row>
    <row r="5108" spans="1:5" x14ac:dyDescent="0.2">
      <c r="A5108" s="113">
        <v>39806</v>
      </c>
      <c r="B5108" s="111">
        <f t="shared" si="79"/>
        <v>123</v>
      </c>
      <c r="C5108" s="111"/>
      <c r="D5108" s="111"/>
      <c r="E5108" s="111"/>
    </row>
    <row r="5109" spans="1:5" x14ac:dyDescent="0.2">
      <c r="A5109" s="113">
        <v>39807</v>
      </c>
      <c r="B5109" s="111">
        <f t="shared" si="79"/>
        <v>123</v>
      </c>
      <c r="C5109" s="111"/>
      <c r="D5109" s="111"/>
      <c r="E5109" s="111"/>
    </row>
    <row r="5110" spans="1:5" x14ac:dyDescent="0.2">
      <c r="A5110" s="113">
        <v>39808</v>
      </c>
      <c r="B5110" s="111">
        <f t="shared" si="79"/>
        <v>123</v>
      </c>
      <c r="C5110" s="111"/>
      <c r="D5110" s="111"/>
      <c r="E5110" s="111"/>
    </row>
    <row r="5111" spans="1:5" x14ac:dyDescent="0.2">
      <c r="A5111" s="113">
        <v>39809</v>
      </c>
      <c r="B5111" s="111">
        <f t="shared" si="79"/>
        <v>123</v>
      </c>
      <c r="C5111" s="111"/>
      <c r="D5111" s="111"/>
      <c r="E5111" s="111"/>
    </row>
    <row r="5112" spans="1:5" x14ac:dyDescent="0.2">
      <c r="A5112" s="113">
        <v>39810</v>
      </c>
      <c r="B5112" s="111">
        <f t="shared" si="79"/>
        <v>124</v>
      </c>
      <c r="C5112" s="111"/>
      <c r="D5112" s="111"/>
      <c r="E5112" s="111"/>
    </row>
    <row r="5113" spans="1:5" x14ac:dyDescent="0.2">
      <c r="A5113" s="113">
        <v>39811</v>
      </c>
      <c r="B5113" s="111">
        <f t="shared" si="79"/>
        <v>124</v>
      </c>
      <c r="C5113" s="111"/>
      <c r="D5113" s="111"/>
      <c r="E5113" s="111"/>
    </row>
    <row r="5114" spans="1:5" x14ac:dyDescent="0.2">
      <c r="A5114" s="113">
        <v>39812</v>
      </c>
      <c r="B5114" s="111">
        <f t="shared" si="79"/>
        <v>124</v>
      </c>
      <c r="C5114" s="111"/>
      <c r="D5114" s="111"/>
      <c r="E5114" s="111"/>
    </row>
    <row r="5115" spans="1:5" x14ac:dyDescent="0.2">
      <c r="A5115" s="113">
        <v>39813</v>
      </c>
      <c r="B5115" s="111">
        <f t="shared" si="79"/>
        <v>124</v>
      </c>
      <c r="C5115" s="111"/>
      <c r="D5115" s="111"/>
      <c r="E5115" s="111"/>
    </row>
    <row r="5116" spans="1:5" x14ac:dyDescent="0.2">
      <c r="A5116" s="113">
        <v>39814</v>
      </c>
      <c r="B5116" s="111">
        <f t="shared" si="79"/>
        <v>11</v>
      </c>
      <c r="C5116" s="111"/>
      <c r="D5116" s="111"/>
      <c r="E5116" s="111"/>
    </row>
    <row r="5117" spans="1:5" x14ac:dyDescent="0.2">
      <c r="A5117" s="113">
        <v>39815</v>
      </c>
      <c r="B5117" s="111">
        <f t="shared" si="79"/>
        <v>11</v>
      </c>
      <c r="C5117" s="111"/>
      <c r="D5117" s="111"/>
      <c r="E5117" s="111"/>
    </row>
    <row r="5118" spans="1:5" x14ac:dyDescent="0.2">
      <c r="A5118" s="113">
        <v>39816</v>
      </c>
      <c r="B5118" s="111">
        <f t="shared" si="79"/>
        <v>11</v>
      </c>
      <c r="C5118" s="111"/>
      <c r="D5118" s="111"/>
      <c r="E5118" s="111"/>
    </row>
    <row r="5119" spans="1:5" x14ac:dyDescent="0.2">
      <c r="A5119" s="113">
        <v>39817</v>
      </c>
      <c r="B5119" s="111">
        <f t="shared" si="79"/>
        <v>12</v>
      </c>
      <c r="C5119" s="111"/>
      <c r="D5119" s="111"/>
      <c r="E5119" s="111"/>
    </row>
    <row r="5120" spans="1:5" x14ac:dyDescent="0.2">
      <c r="A5120" s="113">
        <v>39818</v>
      </c>
      <c r="B5120" s="111">
        <f t="shared" si="79"/>
        <v>12</v>
      </c>
      <c r="C5120" s="111"/>
      <c r="D5120" s="111"/>
      <c r="E5120" s="111"/>
    </row>
    <row r="5121" spans="1:5" x14ac:dyDescent="0.2">
      <c r="A5121" s="113">
        <v>39819</v>
      </c>
      <c r="B5121" s="111">
        <f t="shared" si="79"/>
        <v>12</v>
      </c>
      <c r="C5121" s="111"/>
      <c r="D5121" s="111"/>
      <c r="E5121" s="111"/>
    </row>
    <row r="5122" spans="1:5" x14ac:dyDescent="0.2">
      <c r="A5122" s="113">
        <v>39820</v>
      </c>
      <c r="B5122" s="111">
        <f t="shared" ref="B5122:B5185" si="80">VLOOKUP(WEEKNUM(A5122),$D$3:$E$58,2)</f>
        <v>12</v>
      </c>
      <c r="C5122" s="111"/>
      <c r="D5122" s="111"/>
      <c r="E5122" s="111"/>
    </row>
    <row r="5123" spans="1:5" x14ac:dyDescent="0.2">
      <c r="A5123" s="113">
        <v>39821</v>
      </c>
      <c r="B5123" s="111">
        <f t="shared" si="80"/>
        <v>12</v>
      </c>
      <c r="C5123" s="111"/>
      <c r="D5123" s="111"/>
      <c r="E5123" s="111"/>
    </row>
    <row r="5124" spans="1:5" x14ac:dyDescent="0.2">
      <c r="A5124" s="113">
        <v>39822</v>
      </c>
      <c r="B5124" s="111">
        <f t="shared" si="80"/>
        <v>12</v>
      </c>
      <c r="C5124" s="111"/>
      <c r="D5124" s="111"/>
      <c r="E5124" s="111"/>
    </row>
    <row r="5125" spans="1:5" x14ac:dyDescent="0.2">
      <c r="A5125" s="113">
        <v>39823</v>
      </c>
      <c r="B5125" s="111">
        <f t="shared" si="80"/>
        <v>12</v>
      </c>
      <c r="C5125" s="111"/>
      <c r="D5125" s="111"/>
      <c r="E5125" s="111"/>
    </row>
    <row r="5126" spans="1:5" x14ac:dyDescent="0.2">
      <c r="A5126" s="113">
        <v>39824</v>
      </c>
      <c r="B5126" s="111">
        <f t="shared" si="80"/>
        <v>13</v>
      </c>
      <c r="C5126" s="111"/>
      <c r="D5126" s="111"/>
      <c r="E5126" s="111"/>
    </row>
    <row r="5127" spans="1:5" x14ac:dyDescent="0.2">
      <c r="A5127" s="113">
        <v>39825</v>
      </c>
      <c r="B5127" s="111">
        <f t="shared" si="80"/>
        <v>13</v>
      </c>
      <c r="C5127" s="111"/>
      <c r="D5127" s="111"/>
      <c r="E5127" s="111"/>
    </row>
    <row r="5128" spans="1:5" x14ac:dyDescent="0.2">
      <c r="A5128" s="113">
        <v>39826</v>
      </c>
      <c r="B5128" s="111">
        <f t="shared" si="80"/>
        <v>13</v>
      </c>
      <c r="C5128" s="111"/>
      <c r="D5128" s="111"/>
      <c r="E5128" s="111"/>
    </row>
    <row r="5129" spans="1:5" x14ac:dyDescent="0.2">
      <c r="A5129" s="113">
        <v>39827</v>
      </c>
      <c r="B5129" s="111">
        <f t="shared" si="80"/>
        <v>13</v>
      </c>
      <c r="C5129" s="111"/>
      <c r="D5129" s="111"/>
      <c r="E5129" s="111"/>
    </row>
    <row r="5130" spans="1:5" x14ac:dyDescent="0.2">
      <c r="A5130" s="113">
        <v>39828</v>
      </c>
      <c r="B5130" s="111">
        <f t="shared" si="80"/>
        <v>13</v>
      </c>
      <c r="C5130" s="111"/>
      <c r="D5130" s="111"/>
      <c r="E5130" s="111"/>
    </row>
    <row r="5131" spans="1:5" x14ac:dyDescent="0.2">
      <c r="A5131" s="113">
        <v>39829</v>
      </c>
      <c r="B5131" s="111">
        <f t="shared" si="80"/>
        <v>13</v>
      </c>
      <c r="C5131" s="111"/>
      <c r="D5131" s="111"/>
      <c r="E5131" s="111"/>
    </row>
    <row r="5132" spans="1:5" x14ac:dyDescent="0.2">
      <c r="A5132" s="113">
        <v>39830</v>
      </c>
      <c r="B5132" s="111">
        <f t="shared" si="80"/>
        <v>13</v>
      </c>
      <c r="C5132" s="111"/>
      <c r="D5132" s="111"/>
      <c r="E5132" s="111"/>
    </row>
    <row r="5133" spans="1:5" x14ac:dyDescent="0.2">
      <c r="A5133" s="113">
        <v>39831</v>
      </c>
      <c r="B5133" s="111">
        <f t="shared" si="80"/>
        <v>14</v>
      </c>
      <c r="C5133" s="111"/>
      <c r="D5133" s="111"/>
      <c r="E5133" s="111"/>
    </row>
    <row r="5134" spans="1:5" x14ac:dyDescent="0.2">
      <c r="A5134" s="113">
        <v>39832</v>
      </c>
      <c r="B5134" s="111">
        <f t="shared" si="80"/>
        <v>14</v>
      </c>
      <c r="C5134" s="111"/>
      <c r="D5134" s="111"/>
      <c r="E5134" s="111"/>
    </row>
    <row r="5135" spans="1:5" x14ac:dyDescent="0.2">
      <c r="A5135" s="113">
        <v>39833</v>
      </c>
      <c r="B5135" s="111">
        <f t="shared" si="80"/>
        <v>14</v>
      </c>
      <c r="C5135" s="111"/>
      <c r="D5135" s="111"/>
      <c r="E5135" s="111"/>
    </row>
    <row r="5136" spans="1:5" x14ac:dyDescent="0.2">
      <c r="A5136" s="113">
        <v>39834</v>
      </c>
      <c r="B5136" s="111">
        <f t="shared" si="80"/>
        <v>14</v>
      </c>
      <c r="C5136" s="111"/>
      <c r="D5136" s="111"/>
      <c r="E5136" s="111"/>
    </row>
    <row r="5137" spans="1:5" x14ac:dyDescent="0.2">
      <c r="A5137" s="113">
        <v>39835</v>
      </c>
      <c r="B5137" s="111">
        <f t="shared" si="80"/>
        <v>14</v>
      </c>
      <c r="C5137" s="111"/>
      <c r="D5137" s="111"/>
      <c r="E5137" s="111"/>
    </row>
    <row r="5138" spans="1:5" x14ac:dyDescent="0.2">
      <c r="A5138" s="113">
        <v>39836</v>
      </c>
      <c r="B5138" s="111">
        <f t="shared" si="80"/>
        <v>14</v>
      </c>
      <c r="C5138" s="111"/>
      <c r="D5138" s="111"/>
      <c r="E5138" s="111"/>
    </row>
    <row r="5139" spans="1:5" x14ac:dyDescent="0.2">
      <c r="A5139" s="113">
        <v>39837</v>
      </c>
      <c r="B5139" s="111">
        <f t="shared" si="80"/>
        <v>14</v>
      </c>
      <c r="C5139" s="111"/>
      <c r="D5139" s="111"/>
      <c r="E5139" s="111"/>
    </row>
    <row r="5140" spans="1:5" x14ac:dyDescent="0.2">
      <c r="A5140" s="113">
        <v>39838</v>
      </c>
      <c r="B5140" s="111">
        <f t="shared" si="80"/>
        <v>15</v>
      </c>
      <c r="C5140" s="111"/>
      <c r="D5140" s="111"/>
      <c r="E5140" s="111"/>
    </row>
    <row r="5141" spans="1:5" x14ac:dyDescent="0.2">
      <c r="A5141" s="113">
        <v>39839</v>
      </c>
      <c r="B5141" s="111">
        <f t="shared" si="80"/>
        <v>15</v>
      </c>
      <c r="C5141" s="111"/>
      <c r="D5141" s="111"/>
      <c r="E5141" s="111"/>
    </row>
    <row r="5142" spans="1:5" x14ac:dyDescent="0.2">
      <c r="A5142" s="113">
        <v>39840</v>
      </c>
      <c r="B5142" s="111">
        <f t="shared" si="80"/>
        <v>15</v>
      </c>
      <c r="C5142" s="111"/>
      <c r="D5142" s="111"/>
      <c r="E5142" s="111"/>
    </row>
    <row r="5143" spans="1:5" x14ac:dyDescent="0.2">
      <c r="A5143" s="113">
        <v>39841</v>
      </c>
      <c r="B5143" s="111">
        <f t="shared" si="80"/>
        <v>15</v>
      </c>
      <c r="C5143" s="111"/>
      <c r="D5143" s="111"/>
      <c r="E5143" s="111"/>
    </row>
    <row r="5144" spans="1:5" x14ac:dyDescent="0.2">
      <c r="A5144" s="113">
        <v>39842</v>
      </c>
      <c r="B5144" s="111">
        <f t="shared" si="80"/>
        <v>15</v>
      </c>
      <c r="C5144" s="111"/>
      <c r="D5144" s="111"/>
      <c r="E5144" s="111"/>
    </row>
    <row r="5145" spans="1:5" x14ac:dyDescent="0.2">
      <c r="A5145" s="113">
        <v>39843</v>
      </c>
      <c r="B5145" s="111">
        <f t="shared" si="80"/>
        <v>15</v>
      </c>
      <c r="C5145" s="111"/>
      <c r="D5145" s="111"/>
      <c r="E5145" s="111"/>
    </row>
    <row r="5146" spans="1:5" x14ac:dyDescent="0.2">
      <c r="A5146" s="113">
        <v>39844</v>
      </c>
      <c r="B5146" s="111">
        <f t="shared" si="80"/>
        <v>15</v>
      </c>
      <c r="C5146" s="111"/>
      <c r="D5146" s="111"/>
      <c r="E5146" s="111"/>
    </row>
    <row r="5147" spans="1:5" x14ac:dyDescent="0.2">
      <c r="A5147" s="113">
        <v>39845</v>
      </c>
      <c r="B5147" s="111">
        <f t="shared" si="80"/>
        <v>21</v>
      </c>
      <c r="C5147" s="111"/>
      <c r="D5147" s="111"/>
      <c r="E5147" s="111"/>
    </row>
    <row r="5148" spans="1:5" x14ac:dyDescent="0.2">
      <c r="A5148" s="113">
        <v>39846</v>
      </c>
      <c r="B5148" s="111">
        <f t="shared" si="80"/>
        <v>21</v>
      </c>
      <c r="C5148" s="111"/>
      <c r="D5148" s="111"/>
      <c r="E5148" s="111"/>
    </row>
    <row r="5149" spans="1:5" x14ac:dyDescent="0.2">
      <c r="A5149" s="113">
        <v>39847</v>
      </c>
      <c r="B5149" s="111">
        <f t="shared" si="80"/>
        <v>21</v>
      </c>
      <c r="C5149" s="111"/>
      <c r="D5149" s="111"/>
      <c r="E5149" s="111"/>
    </row>
    <row r="5150" spans="1:5" x14ac:dyDescent="0.2">
      <c r="A5150" s="113">
        <v>39848</v>
      </c>
      <c r="B5150" s="111">
        <f t="shared" si="80"/>
        <v>21</v>
      </c>
      <c r="C5150" s="111"/>
      <c r="D5150" s="111"/>
      <c r="E5150" s="111"/>
    </row>
    <row r="5151" spans="1:5" x14ac:dyDescent="0.2">
      <c r="A5151" s="113">
        <v>39849</v>
      </c>
      <c r="B5151" s="111">
        <f t="shared" si="80"/>
        <v>21</v>
      </c>
      <c r="C5151" s="111"/>
      <c r="D5151" s="111"/>
      <c r="E5151" s="111"/>
    </row>
    <row r="5152" spans="1:5" x14ac:dyDescent="0.2">
      <c r="A5152" s="113">
        <v>39850</v>
      </c>
      <c r="B5152" s="111">
        <f t="shared" si="80"/>
        <v>21</v>
      </c>
      <c r="C5152" s="111"/>
      <c r="D5152" s="111"/>
      <c r="E5152" s="111"/>
    </row>
    <row r="5153" spans="1:5" x14ac:dyDescent="0.2">
      <c r="A5153" s="113">
        <v>39851</v>
      </c>
      <c r="B5153" s="111">
        <f t="shared" si="80"/>
        <v>21</v>
      </c>
      <c r="C5153" s="111"/>
      <c r="D5153" s="111"/>
      <c r="E5153" s="111"/>
    </row>
    <row r="5154" spans="1:5" x14ac:dyDescent="0.2">
      <c r="A5154" s="113">
        <v>39852</v>
      </c>
      <c r="B5154" s="111">
        <f t="shared" si="80"/>
        <v>22</v>
      </c>
      <c r="C5154" s="111"/>
      <c r="D5154" s="111"/>
      <c r="E5154" s="111"/>
    </row>
    <row r="5155" spans="1:5" x14ac:dyDescent="0.2">
      <c r="A5155" s="113">
        <v>39853</v>
      </c>
      <c r="B5155" s="111">
        <f t="shared" si="80"/>
        <v>22</v>
      </c>
      <c r="C5155" s="111"/>
      <c r="D5155" s="111"/>
      <c r="E5155" s="111"/>
    </row>
    <row r="5156" spans="1:5" x14ac:dyDescent="0.2">
      <c r="A5156" s="113">
        <v>39854</v>
      </c>
      <c r="B5156" s="111">
        <f t="shared" si="80"/>
        <v>22</v>
      </c>
      <c r="C5156" s="111"/>
      <c r="D5156" s="111"/>
      <c r="E5156" s="111"/>
    </row>
    <row r="5157" spans="1:5" x14ac:dyDescent="0.2">
      <c r="A5157" s="113">
        <v>39855</v>
      </c>
      <c r="B5157" s="111">
        <f t="shared" si="80"/>
        <v>22</v>
      </c>
      <c r="C5157" s="111"/>
      <c r="D5157" s="111"/>
      <c r="E5157" s="111"/>
    </row>
    <row r="5158" spans="1:5" x14ac:dyDescent="0.2">
      <c r="A5158" s="113">
        <v>39856</v>
      </c>
      <c r="B5158" s="111">
        <f t="shared" si="80"/>
        <v>22</v>
      </c>
      <c r="C5158" s="111"/>
      <c r="D5158" s="111"/>
      <c r="E5158" s="111"/>
    </row>
    <row r="5159" spans="1:5" x14ac:dyDescent="0.2">
      <c r="A5159" s="113">
        <v>39857</v>
      </c>
      <c r="B5159" s="111">
        <f t="shared" si="80"/>
        <v>22</v>
      </c>
      <c r="C5159" s="111"/>
      <c r="D5159" s="111"/>
      <c r="E5159" s="111"/>
    </row>
    <row r="5160" spans="1:5" x14ac:dyDescent="0.2">
      <c r="A5160" s="113">
        <v>39858</v>
      </c>
      <c r="B5160" s="111">
        <f t="shared" si="80"/>
        <v>22</v>
      </c>
      <c r="C5160" s="111"/>
      <c r="D5160" s="111"/>
      <c r="E5160" s="111"/>
    </row>
    <row r="5161" spans="1:5" x14ac:dyDescent="0.2">
      <c r="A5161" s="113">
        <v>39859</v>
      </c>
      <c r="B5161" s="111">
        <f t="shared" si="80"/>
        <v>23</v>
      </c>
      <c r="C5161" s="111"/>
      <c r="D5161" s="111"/>
      <c r="E5161" s="111"/>
    </row>
    <row r="5162" spans="1:5" x14ac:dyDescent="0.2">
      <c r="A5162" s="113">
        <v>39860</v>
      </c>
      <c r="B5162" s="111">
        <f t="shared" si="80"/>
        <v>23</v>
      </c>
      <c r="C5162" s="111"/>
      <c r="D5162" s="111"/>
      <c r="E5162" s="111"/>
    </row>
    <row r="5163" spans="1:5" x14ac:dyDescent="0.2">
      <c r="A5163" s="113">
        <v>39861</v>
      </c>
      <c r="B5163" s="111">
        <f t="shared" si="80"/>
        <v>23</v>
      </c>
      <c r="C5163" s="111"/>
      <c r="D5163" s="111"/>
      <c r="E5163" s="111"/>
    </row>
    <row r="5164" spans="1:5" x14ac:dyDescent="0.2">
      <c r="A5164" s="113">
        <v>39862</v>
      </c>
      <c r="B5164" s="111">
        <f t="shared" si="80"/>
        <v>23</v>
      </c>
      <c r="C5164" s="111"/>
      <c r="D5164" s="111"/>
      <c r="E5164" s="111"/>
    </row>
    <row r="5165" spans="1:5" x14ac:dyDescent="0.2">
      <c r="A5165" s="113">
        <v>39863</v>
      </c>
      <c r="B5165" s="111">
        <f t="shared" si="80"/>
        <v>23</v>
      </c>
      <c r="C5165" s="111"/>
      <c r="D5165" s="111"/>
      <c r="E5165" s="111"/>
    </row>
    <row r="5166" spans="1:5" x14ac:dyDescent="0.2">
      <c r="A5166" s="113">
        <v>39864</v>
      </c>
      <c r="B5166" s="111">
        <f t="shared" si="80"/>
        <v>23</v>
      </c>
      <c r="C5166" s="111"/>
      <c r="D5166" s="111"/>
      <c r="E5166" s="111"/>
    </row>
    <row r="5167" spans="1:5" x14ac:dyDescent="0.2">
      <c r="A5167" s="113">
        <v>39865</v>
      </c>
      <c r="B5167" s="111">
        <f t="shared" si="80"/>
        <v>23</v>
      </c>
      <c r="C5167" s="111"/>
      <c r="D5167" s="111"/>
      <c r="E5167" s="111"/>
    </row>
    <row r="5168" spans="1:5" x14ac:dyDescent="0.2">
      <c r="A5168" s="113">
        <v>39866</v>
      </c>
      <c r="B5168" s="111">
        <f t="shared" si="80"/>
        <v>24</v>
      </c>
      <c r="C5168" s="111"/>
      <c r="D5168" s="111"/>
      <c r="E5168" s="111"/>
    </row>
    <row r="5169" spans="1:5" x14ac:dyDescent="0.2">
      <c r="A5169" s="113">
        <v>39867</v>
      </c>
      <c r="B5169" s="111">
        <f t="shared" si="80"/>
        <v>24</v>
      </c>
      <c r="C5169" s="111"/>
      <c r="D5169" s="111"/>
      <c r="E5169" s="111"/>
    </row>
    <row r="5170" spans="1:5" x14ac:dyDescent="0.2">
      <c r="A5170" s="113">
        <v>39868</v>
      </c>
      <c r="B5170" s="111">
        <f t="shared" si="80"/>
        <v>24</v>
      </c>
      <c r="C5170" s="111"/>
      <c r="D5170" s="111"/>
      <c r="E5170" s="111"/>
    </row>
    <row r="5171" spans="1:5" x14ac:dyDescent="0.2">
      <c r="A5171" s="113">
        <v>39869</v>
      </c>
      <c r="B5171" s="111">
        <f t="shared" si="80"/>
        <v>24</v>
      </c>
      <c r="C5171" s="111"/>
      <c r="D5171" s="111"/>
      <c r="E5171" s="111"/>
    </row>
    <row r="5172" spans="1:5" x14ac:dyDescent="0.2">
      <c r="A5172" s="113">
        <v>39870</v>
      </c>
      <c r="B5172" s="111">
        <f t="shared" si="80"/>
        <v>24</v>
      </c>
      <c r="C5172" s="111"/>
      <c r="D5172" s="111"/>
      <c r="E5172" s="111"/>
    </row>
    <row r="5173" spans="1:5" x14ac:dyDescent="0.2">
      <c r="A5173" s="113">
        <v>39871</v>
      </c>
      <c r="B5173" s="111">
        <f t="shared" si="80"/>
        <v>24</v>
      </c>
      <c r="C5173" s="111"/>
      <c r="D5173" s="111"/>
      <c r="E5173" s="111"/>
    </row>
    <row r="5174" spans="1:5" x14ac:dyDescent="0.2">
      <c r="A5174" s="113">
        <v>39872</v>
      </c>
      <c r="B5174" s="111">
        <f t="shared" si="80"/>
        <v>24</v>
      </c>
      <c r="C5174" s="111"/>
      <c r="D5174" s="111"/>
      <c r="E5174" s="111"/>
    </row>
    <row r="5175" spans="1:5" x14ac:dyDescent="0.2">
      <c r="A5175" s="113">
        <v>39873</v>
      </c>
      <c r="B5175" s="111">
        <f t="shared" si="80"/>
        <v>31</v>
      </c>
      <c r="C5175" s="111"/>
      <c r="D5175" s="111"/>
      <c r="E5175" s="111"/>
    </row>
    <row r="5176" spans="1:5" x14ac:dyDescent="0.2">
      <c r="A5176" s="113">
        <v>39874</v>
      </c>
      <c r="B5176" s="111">
        <f t="shared" si="80"/>
        <v>31</v>
      </c>
      <c r="C5176" s="111"/>
      <c r="D5176" s="111"/>
      <c r="E5176" s="111"/>
    </row>
    <row r="5177" spans="1:5" x14ac:dyDescent="0.2">
      <c r="A5177" s="113">
        <v>39875</v>
      </c>
      <c r="B5177" s="111">
        <f t="shared" si="80"/>
        <v>31</v>
      </c>
      <c r="C5177" s="111"/>
      <c r="D5177" s="111"/>
      <c r="E5177" s="111"/>
    </row>
    <row r="5178" spans="1:5" x14ac:dyDescent="0.2">
      <c r="A5178" s="113">
        <v>39876</v>
      </c>
      <c r="B5178" s="111">
        <f t="shared" si="80"/>
        <v>31</v>
      </c>
      <c r="C5178" s="111"/>
      <c r="D5178" s="111"/>
      <c r="E5178" s="111"/>
    </row>
    <row r="5179" spans="1:5" x14ac:dyDescent="0.2">
      <c r="A5179" s="113">
        <v>39877</v>
      </c>
      <c r="B5179" s="111">
        <f t="shared" si="80"/>
        <v>31</v>
      </c>
      <c r="C5179" s="111"/>
      <c r="D5179" s="111"/>
      <c r="E5179" s="111"/>
    </row>
    <row r="5180" spans="1:5" x14ac:dyDescent="0.2">
      <c r="A5180" s="113">
        <v>39878</v>
      </c>
      <c r="B5180" s="111">
        <f t="shared" si="80"/>
        <v>31</v>
      </c>
      <c r="C5180" s="111"/>
      <c r="D5180" s="111"/>
      <c r="E5180" s="111"/>
    </row>
    <row r="5181" spans="1:5" x14ac:dyDescent="0.2">
      <c r="A5181" s="113">
        <v>39879</v>
      </c>
      <c r="B5181" s="111">
        <f t="shared" si="80"/>
        <v>31</v>
      </c>
      <c r="C5181" s="111"/>
      <c r="D5181" s="111"/>
      <c r="E5181" s="111"/>
    </row>
    <row r="5182" spans="1:5" x14ac:dyDescent="0.2">
      <c r="A5182" s="113">
        <v>39880</v>
      </c>
      <c r="B5182" s="111">
        <f t="shared" si="80"/>
        <v>32</v>
      </c>
      <c r="C5182" s="111"/>
      <c r="D5182" s="111"/>
      <c r="E5182" s="111"/>
    </row>
    <row r="5183" spans="1:5" x14ac:dyDescent="0.2">
      <c r="A5183" s="113">
        <v>39881</v>
      </c>
      <c r="B5183" s="111">
        <f t="shared" si="80"/>
        <v>32</v>
      </c>
      <c r="C5183" s="111"/>
      <c r="D5183" s="111"/>
      <c r="E5183" s="111"/>
    </row>
    <row r="5184" spans="1:5" x14ac:dyDescent="0.2">
      <c r="A5184" s="113">
        <v>39882</v>
      </c>
      <c r="B5184" s="111">
        <f t="shared" si="80"/>
        <v>32</v>
      </c>
      <c r="C5184" s="111"/>
      <c r="D5184" s="111"/>
      <c r="E5184" s="111"/>
    </row>
    <row r="5185" spans="1:5" x14ac:dyDescent="0.2">
      <c r="A5185" s="113">
        <v>39883</v>
      </c>
      <c r="B5185" s="111">
        <f t="shared" si="80"/>
        <v>32</v>
      </c>
      <c r="C5185" s="111"/>
      <c r="D5185" s="111"/>
      <c r="E5185" s="111"/>
    </row>
    <row r="5186" spans="1:5" x14ac:dyDescent="0.2">
      <c r="A5186" s="113">
        <v>39884</v>
      </c>
      <c r="B5186" s="111">
        <f t="shared" ref="B5186:B5249" si="81">VLOOKUP(WEEKNUM(A5186),$D$3:$E$58,2)</f>
        <v>32</v>
      </c>
      <c r="C5186" s="111"/>
      <c r="D5186" s="111"/>
      <c r="E5186" s="111"/>
    </row>
    <row r="5187" spans="1:5" x14ac:dyDescent="0.2">
      <c r="A5187" s="113">
        <v>39885</v>
      </c>
      <c r="B5187" s="111">
        <f t="shared" si="81"/>
        <v>32</v>
      </c>
      <c r="C5187" s="111"/>
      <c r="D5187" s="111"/>
      <c r="E5187" s="111"/>
    </row>
    <row r="5188" spans="1:5" x14ac:dyDescent="0.2">
      <c r="A5188" s="113">
        <v>39886</v>
      </c>
      <c r="B5188" s="111">
        <f t="shared" si="81"/>
        <v>32</v>
      </c>
      <c r="C5188" s="111"/>
      <c r="D5188" s="111"/>
      <c r="E5188" s="111"/>
    </row>
    <row r="5189" spans="1:5" x14ac:dyDescent="0.2">
      <c r="A5189" s="113">
        <v>39887</v>
      </c>
      <c r="B5189" s="111">
        <f t="shared" si="81"/>
        <v>33</v>
      </c>
      <c r="C5189" s="111"/>
      <c r="D5189" s="111"/>
      <c r="E5189" s="111"/>
    </row>
    <row r="5190" spans="1:5" x14ac:dyDescent="0.2">
      <c r="A5190" s="113">
        <v>39888</v>
      </c>
      <c r="B5190" s="111">
        <f t="shared" si="81"/>
        <v>33</v>
      </c>
      <c r="C5190" s="111"/>
      <c r="D5190" s="111"/>
      <c r="E5190" s="111"/>
    </row>
    <row r="5191" spans="1:5" x14ac:dyDescent="0.2">
      <c r="A5191" s="113">
        <v>39889</v>
      </c>
      <c r="B5191" s="111">
        <f t="shared" si="81"/>
        <v>33</v>
      </c>
      <c r="C5191" s="111"/>
      <c r="D5191" s="111"/>
      <c r="E5191" s="111"/>
    </row>
    <row r="5192" spans="1:5" x14ac:dyDescent="0.2">
      <c r="A5192" s="113">
        <v>39890</v>
      </c>
      <c r="B5192" s="111">
        <f t="shared" si="81"/>
        <v>33</v>
      </c>
      <c r="C5192" s="111"/>
      <c r="D5192" s="111"/>
      <c r="E5192" s="111"/>
    </row>
    <row r="5193" spans="1:5" x14ac:dyDescent="0.2">
      <c r="A5193" s="113">
        <v>39891</v>
      </c>
      <c r="B5193" s="111">
        <f t="shared" si="81"/>
        <v>33</v>
      </c>
      <c r="C5193" s="111"/>
      <c r="D5193" s="111"/>
      <c r="E5193" s="111"/>
    </row>
    <row r="5194" spans="1:5" x14ac:dyDescent="0.2">
      <c r="A5194" s="113">
        <v>39892</v>
      </c>
      <c r="B5194" s="111">
        <f t="shared" si="81"/>
        <v>33</v>
      </c>
      <c r="C5194" s="111"/>
      <c r="D5194" s="111"/>
      <c r="E5194" s="111"/>
    </row>
    <row r="5195" spans="1:5" x14ac:dyDescent="0.2">
      <c r="A5195" s="113">
        <v>39893</v>
      </c>
      <c r="B5195" s="111">
        <f t="shared" si="81"/>
        <v>33</v>
      </c>
      <c r="C5195" s="111"/>
      <c r="D5195" s="111"/>
      <c r="E5195" s="111"/>
    </row>
    <row r="5196" spans="1:5" x14ac:dyDescent="0.2">
      <c r="A5196" s="113">
        <v>39894</v>
      </c>
      <c r="B5196" s="111">
        <f t="shared" si="81"/>
        <v>34</v>
      </c>
      <c r="C5196" s="111"/>
      <c r="D5196" s="111"/>
      <c r="E5196" s="111"/>
    </row>
    <row r="5197" spans="1:5" x14ac:dyDescent="0.2">
      <c r="A5197" s="113">
        <v>39895</v>
      </c>
      <c r="B5197" s="111">
        <f t="shared" si="81"/>
        <v>34</v>
      </c>
      <c r="C5197" s="111"/>
      <c r="D5197" s="111"/>
      <c r="E5197" s="111"/>
    </row>
    <row r="5198" spans="1:5" x14ac:dyDescent="0.2">
      <c r="A5198" s="113">
        <v>39896</v>
      </c>
      <c r="B5198" s="111">
        <f t="shared" si="81"/>
        <v>34</v>
      </c>
      <c r="C5198" s="111"/>
      <c r="D5198" s="111"/>
      <c r="E5198" s="111"/>
    </row>
    <row r="5199" spans="1:5" x14ac:dyDescent="0.2">
      <c r="A5199" s="113">
        <v>39897</v>
      </c>
      <c r="B5199" s="111">
        <f t="shared" si="81"/>
        <v>34</v>
      </c>
      <c r="C5199" s="111"/>
      <c r="D5199" s="111"/>
      <c r="E5199" s="111"/>
    </row>
    <row r="5200" spans="1:5" x14ac:dyDescent="0.2">
      <c r="A5200" s="113">
        <v>39898</v>
      </c>
      <c r="B5200" s="111">
        <f t="shared" si="81"/>
        <v>34</v>
      </c>
      <c r="C5200" s="111"/>
      <c r="D5200" s="111"/>
      <c r="E5200" s="111"/>
    </row>
    <row r="5201" spans="1:5" x14ac:dyDescent="0.2">
      <c r="A5201" s="113">
        <v>39899</v>
      </c>
      <c r="B5201" s="111">
        <f t="shared" si="81"/>
        <v>34</v>
      </c>
      <c r="C5201" s="111"/>
      <c r="D5201" s="111"/>
      <c r="E5201" s="111"/>
    </row>
    <row r="5202" spans="1:5" x14ac:dyDescent="0.2">
      <c r="A5202" s="113">
        <v>39900</v>
      </c>
      <c r="B5202" s="111">
        <f t="shared" si="81"/>
        <v>34</v>
      </c>
      <c r="C5202" s="111"/>
      <c r="D5202" s="111"/>
      <c r="E5202" s="111"/>
    </row>
    <row r="5203" spans="1:5" x14ac:dyDescent="0.2">
      <c r="A5203" s="113">
        <v>39901</v>
      </c>
      <c r="B5203" s="111">
        <f t="shared" si="81"/>
        <v>41</v>
      </c>
      <c r="C5203" s="111"/>
      <c r="D5203" s="111"/>
      <c r="E5203" s="111"/>
    </row>
    <row r="5204" spans="1:5" x14ac:dyDescent="0.2">
      <c r="A5204" s="113">
        <v>39902</v>
      </c>
      <c r="B5204" s="111">
        <f t="shared" si="81"/>
        <v>41</v>
      </c>
      <c r="C5204" s="111"/>
      <c r="D5204" s="111"/>
      <c r="E5204" s="111"/>
    </row>
    <row r="5205" spans="1:5" x14ac:dyDescent="0.2">
      <c r="A5205" s="113">
        <v>39903</v>
      </c>
      <c r="B5205" s="111">
        <f t="shared" si="81"/>
        <v>41</v>
      </c>
      <c r="C5205" s="111"/>
      <c r="D5205" s="111"/>
      <c r="E5205" s="111"/>
    </row>
    <row r="5206" spans="1:5" x14ac:dyDescent="0.2">
      <c r="A5206" s="113">
        <v>39904</v>
      </c>
      <c r="B5206" s="111">
        <f t="shared" si="81"/>
        <v>41</v>
      </c>
      <c r="C5206" s="111"/>
      <c r="D5206" s="111"/>
      <c r="E5206" s="111"/>
    </row>
    <row r="5207" spans="1:5" x14ac:dyDescent="0.2">
      <c r="A5207" s="113">
        <v>39905</v>
      </c>
      <c r="B5207" s="111">
        <f t="shared" si="81"/>
        <v>41</v>
      </c>
      <c r="C5207" s="111"/>
      <c r="D5207" s="111"/>
      <c r="E5207" s="111"/>
    </row>
    <row r="5208" spans="1:5" x14ac:dyDescent="0.2">
      <c r="A5208" s="113">
        <v>39906</v>
      </c>
      <c r="B5208" s="111">
        <f t="shared" si="81"/>
        <v>41</v>
      </c>
      <c r="C5208" s="111"/>
      <c r="D5208" s="111"/>
      <c r="E5208" s="111"/>
    </row>
    <row r="5209" spans="1:5" x14ac:dyDescent="0.2">
      <c r="A5209" s="113">
        <v>39907</v>
      </c>
      <c r="B5209" s="111">
        <f t="shared" si="81"/>
        <v>41</v>
      </c>
      <c r="C5209" s="111"/>
      <c r="D5209" s="111"/>
      <c r="E5209" s="111"/>
    </row>
    <row r="5210" spans="1:5" x14ac:dyDescent="0.2">
      <c r="A5210" s="113">
        <v>39908</v>
      </c>
      <c r="B5210" s="111">
        <f t="shared" si="81"/>
        <v>42</v>
      </c>
      <c r="C5210" s="111"/>
      <c r="D5210" s="111"/>
      <c r="E5210" s="111"/>
    </row>
    <row r="5211" spans="1:5" x14ac:dyDescent="0.2">
      <c r="A5211" s="113">
        <v>39909</v>
      </c>
      <c r="B5211" s="111">
        <f t="shared" si="81"/>
        <v>42</v>
      </c>
      <c r="C5211" s="111"/>
      <c r="D5211" s="111"/>
      <c r="E5211" s="111"/>
    </row>
    <row r="5212" spans="1:5" x14ac:dyDescent="0.2">
      <c r="A5212" s="113">
        <v>39910</v>
      </c>
      <c r="B5212" s="111">
        <f t="shared" si="81"/>
        <v>42</v>
      </c>
      <c r="C5212" s="111"/>
      <c r="D5212" s="111"/>
      <c r="E5212" s="111"/>
    </row>
    <row r="5213" spans="1:5" x14ac:dyDescent="0.2">
      <c r="A5213" s="113">
        <v>39911</v>
      </c>
      <c r="B5213" s="111">
        <f t="shared" si="81"/>
        <v>42</v>
      </c>
      <c r="C5213" s="111"/>
      <c r="D5213" s="111"/>
      <c r="E5213" s="111"/>
    </row>
    <row r="5214" spans="1:5" x14ac:dyDescent="0.2">
      <c r="A5214" s="113">
        <v>39912</v>
      </c>
      <c r="B5214" s="111">
        <f t="shared" si="81"/>
        <v>42</v>
      </c>
      <c r="C5214" s="111"/>
      <c r="D5214" s="111"/>
      <c r="E5214" s="111"/>
    </row>
    <row r="5215" spans="1:5" x14ac:dyDescent="0.2">
      <c r="A5215" s="113">
        <v>39913</v>
      </c>
      <c r="B5215" s="111">
        <f t="shared" si="81"/>
        <v>42</v>
      </c>
      <c r="C5215" s="111"/>
      <c r="D5215" s="111"/>
      <c r="E5215" s="111"/>
    </row>
    <row r="5216" spans="1:5" x14ac:dyDescent="0.2">
      <c r="A5216" s="113">
        <v>39914</v>
      </c>
      <c r="B5216" s="111">
        <f t="shared" si="81"/>
        <v>42</v>
      </c>
      <c r="C5216" s="111"/>
      <c r="D5216" s="111"/>
      <c r="E5216" s="111"/>
    </row>
    <row r="5217" spans="1:5" x14ac:dyDescent="0.2">
      <c r="A5217" s="113">
        <v>39915</v>
      </c>
      <c r="B5217" s="111">
        <f t="shared" si="81"/>
        <v>43</v>
      </c>
      <c r="C5217" s="111"/>
      <c r="D5217" s="111"/>
      <c r="E5217" s="111"/>
    </row>
    <row r="5218" spans="1:5" x14ac:dyDescent="0.2">
      <c r="A5218" s="113">
        <v>39916</v>
      </c>
      <c r="B5218" s="111">
        <f t="shared" si="81"/>
        <v>43</v>
      </c>
      <c r="C5218" s="111"/>
      <c r="D5218" s="111"/>
      <c r="E5218" s="111"/>
    </row>
    <row r="5219" spans="1:5" x14ac:dyDescent="0.2">
      <c r="A5219" s="113">
        <v>39917</v>
      </c>
      <c r="B5219" s="111">
        <f t="shared" si="81"/>
        <v>43</v>
      </c>
      <c r="C5219" s="111"/>
      <c r="D5219" s="111"/>
      <c r="E5219" s="111"/>
    </row>
    <row r="5220" spans="1:5" x14ac:dyDescent="0.2">
      <c r="A5220" s="113">
        <v>39918</v>
      </c>
      <c r="B5220" s="111">
        <f t="shared" si="81"/>
        <v>43</v>
      </c>
      <c r="C5220" s="111"/>
      <c r="D5220" s="111"/>
      <c r="E5220" s="111"/>
    </row>
    <row r="5221" spans="1:5" x14ac:dyDescent="0.2">
      <c r="A5221" s="113">
        <v>39919</v>
      </c>
      <c r="B5221" s="111">
        <f t="shared" si="81"/>
        <v>43</v>
      </c>
      <c r="C5221" s="111"/>
      <c r="D5221" s="111"/>
      <c r="E5221" s="111"/>
    </row>
    <row r="5222" spans="1:5" x14ac:dyDescent="0.2">
      <c r="A5222" s="113">
        <v>39920</v>
      </c>
      <c r="B5222" s="111">
        <f t="shared" si="81"/>
        <v>43</v>
      </c>
      <c r="C5222" s="111"/>
      <c r="D5222" s="111"/>
      <c r="E5222" s="111"/>
    </row>
    <row r="5223" spans="1:5" x14ac:dyDescent="0.2">
      <c r="A5223" s="113">
        <v>39921</v>
      </c>
      <c r="B5223" s="111">
        <f t="shared" si="81"/>
        <v>43</v>
      </c>
      <c r="C5223" s="111"/>
      <c r="D5223" s="111"/>
      <c r="E5223" s="111"/>
    </row>
    <row r="5224" spans="1:5" x14ac:dyDescent="0.2">
      <c r="A5224" s="113">
        <v>39922</v>
      </c>
      <c r="B5224" s="111">
        <f t="shared" si="81"/>
        <v>44</v>
      </c>
      <c r="C5224" s="111"/>
      <c r="D5224" s="111"/>
      <c r="E5224" s="111"/>
    </row>
    <row r="5225" spans="1:5" x14ac:dyDescent="0.2">
      <c r="A5225" s="113">
        <v>39923</v>
      </c>
      <c r="B5225" s="111">
        <f t="shared" si="81"/>
        <v>44</v>
      </c>
      <c r="C5225" s="111"/>
      <c r="D5225" s="111"/>
      <c r="E5225" s="111"/>
    </row>
    <row r="5226" spans="1:5" x14ac:dyDescent="0.2">
      <c r="A5226" s="113">
        <v>39924</v>
      </c>
      <c r="B5226" s="111">
        <f t="shared" si="81"/>
        <v>44</v>
      </c>
      <c r="C5226" s="111"/>
      <c r="D5226" s="111"/>
      <c r="E5226" s="111"/>
    </row>
    <row r="5227" spans="1:5" x14ac:dyDescent="0.2">
      <c r="A5227" s="113">
        <v>39925</v>
      </c>
      <c r="B5227" s="111">
        <f t="shared" si="81"/>
        <v>44</v>
      </c>
      <c r="C5227" s="111"/>
      <c r="D5227" s="111"/>
      <c r="E5227" s="111"/>
    </row>
    <row r="5228" spans="1:5" x14ac:dyDescent="0.2">
      <c r="A5228" s="113">
        <v>39926</v>
      </c>
      <c r="B5228" s="111">
        <f t="shared" si="81"/>
        <v>44</v>
      </c>
      <c r="C5228" s="111"/>
      <c r="D5228" s="111"/>
      <c r="E5228" s="111"/>
    </row>
    <row r="5229" spans="1:5" x14ac:dyDescent="0.2">
      <c r="A5229" s="113">
        <v>39927</v>
      </c>
      <c r="B5229" s="111">
        <f t="shared" si="81"/>
        <v>44</v>
      </c>
      <c r="C5229" s="111"/>
      <c r="D5229" s="111"/>
      <c r="E5229" s="111"/>
    </row>
    <row r="5230" spans="1:5" x14ac:dyDescent="0.2">
      <c r="A5230" s="113">
        <v>39928</v>
      </c>
      <c r="B5230" s="111">
        <f t="shared" si="81"/>
        <v>44</v>
      </c>
      <c r="C5230" s="111"/>
      <c r="D5230" s="111"/>
      <c r="E5230" s="111"/>
    </row>
    <row r="5231" spans="1:5" x14ac:dyDescent="0.2">
      <c r="A5231" s="113">
        <v>39929</v>
      </c>
      <c r="B5231" s="111">
        <f t="shared" si="81"/>
        <v>45</v>
      </c>
      <c r="C5231" s="111"/>
      <c r="D5231" s="111"/>
      <c r="E5231" s="111"/>
    </row>
    <row r="5232" spans="1:5" x14ac:dyDescent="0.2">
      <c r="A5232" s="113">
        <v>39930</v>
      </c>
      <c r="B5232" s="111">
        <f t="shared" si="81"/>
        <v>45</v>
      </c>
      <c r="C5232" s="111"/>
      <c r="D5232" s="111"/>
      <c r="E5232" s="111"/>
    </row>
    <row r="5233" spans="1:5" x14ac:dyDescent="0.2">
      <c r="A5233" s="113">
        <v>39931</v>
      </c>
      <c r="B5233" s="111">
        <f t="shared" si="81"/>
        <v>45</v>
      </c>
      <c r="C5233" s="111"/>
      <c r="D5233" s="111"/>
      <c r="E5233" s="111"/>
    </row>
    <row r="5234" spans="1:5" x14ac:dyDescent="0.2">
      <c r="A5234" s="113">
        <v>39932</v>
      </c>
      <c r="B5234" s="111">
        <f t="shared" si="81"/>
        <v>45</v>
      </c>
      <c r="C5234" s="111"/>
      <c r="D5234" s="111"/>
      <c r="E5234" s="111"/>
    </row>
    <row r="5235" spans="1:5" x14ac:dyDescent="0.2">
      <c r="A5235" s="113">
        <v>39933</v>
      </c>
      <c r="B5235" s="111">
        <f t="shared" si="81"/>
        <v>45</v>
      </c>
      <c r="C5235" s="111"/>
      <c r="D5235" s="111"/>
      <c r="E5235" s="111"/>
    </row>
    <row r="5236" spans="1:5" x14ac:dyDescent="0.2">
      <c r="A5236" s="113">
        <v>39934</v>
      </c>
      <c r="B5236" s="111">
        <f t="shared" si="81"/>
        <v>45</v>
      </c>
      <c r="C5236" s="111"/>
      <c r="D5236" s="111"/>
      <c r="E5236" s="111"/>
    </row>
    <row r="5237" spans="1:5" x14ac:dyDescent="0.2">
      <c r="A5237" s="113">
        <v>39935</v>
      </c>
      <c r="B5237" s="111">
        <f t="shared" si="81"/>
        <v>45</v>
      </c>
      <c r="C5237" s="111"/>
      <c r="D5237" s="111"/>
      <c r="E5237" s="111"/>
    </row>
    <row r="5238" spans="1:5" x14ac:dyDescent="0.2">
      <c r="A5238" s="113">
        <v>39936</v>
      </c>
      <c r="B5238" s="111">
        <f t="shared" si="81"/>
        <v>51</v>
      </c>
      <c r="C5238" s="111"/>
      <c r="D5238" s="111"/>
      <c r="E5238" s="111"/>
    </row>
    <row r="5239" spans="1:5" x14ac:dyDescent="0.2">
      <c r="A5239" s="113">
        <v>39937</v>
      </c>
      <c r="B5239" s="111">
        <f t="shared" si="81"/>
        <v>51</v>
      </c>
      <c r="C5239" s="111"/>
      <c r="D5239" s="111"/>
      <c r="E5239" s="111"/>
    </row>
    <row r="5240" spans="1:5" x14ac:dyDescent="0.2">
      <c r="A5240" s="113">
        <v>39938</v>
      </c>
      <c r="B5240" s="111">
        <f t="shared" si="81"/>
        <v>51</v>
      </c>
      <c r="C5240" s="111"/>
      <c r="D5240" s="111"/>
      <c r="E5240" s="111"/>
    </row>
    <row r="5241" spans="1:5" x14ac:dyDescent="0.2">
      <c r="A5241" s="113">
        <v>39939</v>
      </c>
      <c r="B5241" s="111">
        <f t="shared" si="81"/>
        <v>51</v>
      </c>
      <c r="C5241" s="111"/>
      <c r="D5241" s="111"/>
      <c r="E5241" s="111"/>
    </row>
    <row r="5242" spans="1:5" x14ac:dyDescent="0.2">
      <c r="A5242" s="113">
        <v>39940</v>
      </c>
      <c r="B5242" s="111">
        <f t="shared" si="81"/>
        <v>51</v>
      </c>
      <c r="C5242" s="111"/>
      <c r="D5242" s="111"/>
      <c r="E5242" s="111"/>
    </row>
    <row r="5243" spans="1:5" x14ac:dyDescent="0.2">
      <c r="A5243" s="113">
        <v>39941</v>
      </c>
      <c r="B5243" s="111">
        <f t="shared" si="81"/>
        <v>51</v>
      </c>
      <c r="C5243" s="111"/>
      <c r="D5243" s="111"/>
      <c r="E5243" s="111"/>
    </row>
    <row r="5244" spans="1:5" x14ac:dyDescent="0.2">
      <c r="A5244" s="113">
        <v>39942</v>
      </c>
      <c r="B5244" s="111">
        <f t="shared" si="81"/>
        <v>51</v>
      </c>
      <c r="C5244" s="111"/>
      <c r="D5244" s="111"/>
      <c r="E5244" s="111"/>
    </row>
    <row r="5245" spans="1:5" x14ac:dyDescent="0.2">
      <c r="A5245" s="113">
        <v>39943</v>
      </c>
      <c r="B5245" s="111">
        <f t="shared" si="81"/>
        <v>52</v>
      </c>
      <c r="C5245" s="111"/>
      <c r="D5245" s="111"/>
      <c r="E5245" s="111"/>
    </row>
    <row r="5246" spans="1:5" x14ac:dyDescent="0.2">
      <c r="A5246" s="113">
        <v>39944</v>
      </c>
      <c r="B5246" s="111">
        <f t="shared" si="81"/>
        <v>52</v>
      </c>
      <c r="C5246" s="111"/>
      <c r="D5246" s="111"/>
      <c r="E5246" s="111"/>
    </row>
    <row r="5247" spans="1:5" x14ac:dyDescent="0.2">
      <c r="A5247" s="113">
        <v>39945</v>
      </c>
      <c r="B5247" s="111">
        <f t="shared" si="81"/>
        <v>52</v>
      </c>
      <c r="C5247" s="111"/>
      <c r="D5247" s="111"/>
      <c r="E5247" s="111"/>
    </row>
    <row r="5248" spans="1:5" x14ac:dyDescent="0.2">
      <c r="A5248" s="113">
        <v>39946</v>
      </c>
      <c r="B5248" s="111">
        <f t="shared" si="81"/>
        <v>52</v>
      </c>
      <c r="C5248" s="111"/>
      <c r="D5248" s="111"/>
      <c r="E5248" s="111"/>
    </row>
    <row r="5249" spans="1:5" x14ac:dyDescent="0.2">
      <c r="A5249" s="113">
        <v>39947</v>
      </c>
      <c r="B5249" s="111">
        <f t="shared" si="81"/>
        <v>52</v>
      </c>
      <c r="C5249" s="111"/>
      <c r="D5249" s="111"/>
      <c r="E5249" s="111"/>
    </row>
    <row r="5250" spans="1:5" x14ac:dyDescent="0.2">
      <c r="A5250" s="113">
        <v>39948</v>
      </c>
      <c r="B5250" s="111">
        <f t="shared" ref="B5250:B5313" si="82">VLOOKUP(WEEKNUM(A5250),$D$3:$E$58,2)</f>
        <v>52</v>
      </c>
      <c r="C5250" s="111"/>
      <c r="D5250" s="111"/>
      <c r="E5250" s="111"/>
    </row>
    <row r="5251" spans="1:5" x14ac:dyDescent="0.2">
      <c r="A5251" s="113">
        <v>39949</v>
      </c>
      <c r="B5251" s="111">
        <f t="shared" si="82"/>
        <v>52</v>
      </c>
      <c r="C5251" s="111"/>
      <c r="D5251" s="111"/>
      <c r="E5251" s="111"/>
    </row>
    <row r="5252" spans="1:5" x14ac:dyDescent="0.2">
      <c r="A5252" s="113">
        <v>39950</v>
      </c>
      <c r="B5252" s="111">
        <f t="shared" si="82"/>
        <v>53</v>
      </c>
      <c r="C5252" s="111"/>
      <c r="D5252" s="111"/>
      <c r="E5252" s="111"/>
    </row>
    <row r="5253" spans="1:5" x14ac:dyDescent="0.2">
      <c r="A5253" s="113">
        <v>39951</v>
      </c>
      <c r="B5253" s="111">
        <f t="shared" si="82"/>
        <v>53</v>
      </c>
      <c r="C5253" s="111"/>
      <c r="D5253" s="111"/>
      <c r="E5253" s="111"/>
    </row>
    <row r="5254" spans="1:5" x14ac:dyDescent="0.2">
      <c r="A5254" s="113">
        <v>39952</v>
      </c>
      <c r="B5254" s="111">
        <f t="shared" si="82"/>
        <v>53</v>
      </c>
      <c r="C5254" s="111"/>
      <c r="D5254" s="111"/>
      <c r="E5254" s="111"/>
    </row>
    <row r="5255" spans="1:5" x14ac:dyDescent="0.2">
      <c r="A5255" s="113">
        <v>39953</v>
      </c>
      <c r="B5255" s="111">
        <f t="shared" si="82"/>
        <v>53</v>
      </c>
      <c r="C5255" s="111"/>
      <c r="D5255" s="111"/>
      <c r="E5255" s="111"/>
    </row>
    <row r="5256" spans="1:5" x14ac:dyDescent="0.2">
      <c r="A5256" s="113">
        <v>39954</v>
      </c>
      <c r="B5256" s="111">
        <f t="shared" si="82"/>
        <v>53</v>
      </c>
      <c r="C5256" s="111"/>
      <c r="D5256" s="111"/>
      <c r="E5256" s="111"/>
    </row>
    <row r="5257" spans="1:5" x14ac:dyDescent="0.2">
      <c r="A5257" s="113">
        <v>39955</v>
      </c>
      <c r="B5257" s="111">
        <f t="shared" si="82"/>
        <v>53</v>
      </c>
      <c r="C5257" s="111"/>
      <c r="D5257" s="111"/>
      <c r="E5257" s="111"/>
    </row>
    <row r="5258" spans="1:5" x14ac:dyDescent="0.2">
      <c r="A5258" s="113">
        <v>39956</v>
      </c>
      <c r="B5258" s="111">
        <f t="shared" si="82"/>
        <v>53</v>
      </c>
      <c r="C5258" s="111"/>
      <c r="D5258" s="111"/>
      <c r="E5258" s="111"/>
    </row>
    <row r="5259" spans="1:5" x14ac:dyDescent="0.2">
      <c r="A5259" s="113">
        <v>39957</v>
      </c>
      <c r="B5259" s="111">
        <f t="shared" si="82"/>
        <v>54</v>
      </c>
      <c r="C5259" s="111"/>
      <c r="D5259" s="111"/>
      <c r="E5259" s="111"/>
    </row>
    <row r="5260" spans="1:5" x14ac:dyDescent="0.2">
      <c r="A5260" s="113">
        <v>39958</v>
      </c>
      <c r="B5260" s="111">
        <f t="shared" si="82"/>
        <v>54</v>
      </c>
      <c r="C5260" s="111"/>
      <c r="D5260" s="111"/>
      <c r="E5260" s="111"/>
    </row>
    <row r="5261" spans="1:5" x14ac:dyDescent="0.2">
      <c r="A5261" s="113">
        <v>39959</v>
      </c>
      <c r="B5261" s="111">
        <f t="shared" si="82"/>
        <v>54</v>
      </c>
      <c r="C5261" s="111"/>
      <c r="D5261" s="111"/>
      <c r="E5261" s="111"/>
    </row>
    <row r="5262" spans="1:5" x14ac:dyDescent="0.2">
      <c r="A5262" s="113">
        <v>39960</v>
      </c>
      <c r="B5262" s="111">
        <f t="shared" si="82"/>
        <v>54</v>
      </c>
      <c r="C5262" s="111"/>
      <c r="D5262" s="111"/>
      <c r="E5262" s="111"/>
    </row>
    <row r="5263" spans="1:5" x14ac:dyDescent="0.2">
      <c r="A5263" s="113">
        <v>39961</v>
      </c>
      <c r="B5263" s="111">
        <f t="shared" si="82"/>
        <v>54</v>
      </c>
      <c r="C5263" s="111"/>
      <c r="D5263" s="111"/>
      <c r="E5263" s="111"/>
    </row>
    <row r="5264" spans="1:5" x14ac:dyDescent="0.2">
      <c r="A5264" s="113">
        <v>39962</v>
      </c>
      <c r="B5264" s="111">
        <f t="shared" si="82"/>
        <v>54</v>
      </c>
      <c r="C5264" s="111"/>
      <c r="D5264" s="111"/>
      <c r="E5264" s="111"/>
    </row>
    <row r="5265" spans="1:5" x14ac:dyDescent="0.2">
      <c r="A5265" s="113">
        <v>39963</v>
      </c>
      <c r="B5265" s="111">
        <f t="shared" si="82"/>
        <v>54</v>
      </c>
      <c r="C5265" s="111"/>
      <c r="D5265" s="111"/>
      <c r="E5265" s="111"/>
    </row>
    <row r="5266" spans="1:5" x14ac:dyDescent="0.2">
      <c r="A5266" s="113">
        <v>39964</v>
      </c>
      <c r="B5266" s="111">
        <f t="shared" si="82"/>
        <v>61</v>
      </c>
      <c r="C5266" s="111"/>
      <c r="D5266" s="111"/>
      <c r="E5266" s="111"/>
    </row>
    <row r="5267" spans="1:5" x14ac:dyDescent="0.2">
      <c r="A5267" s="113">
        <v>39965</v>
      </c>
      <c r="B5267" s="111">
        <f t="shared" si="82"/>
        <v>61</v>
      </c>
      <c r="C5267" s="111"/>
      <c r="D5267" s="111"/>
      <c r="E5267" s="111"/>
    </row>
    <row r="5268" spans="1:5" x14ac:dyDescent="0.2">
      <c r="A5268" s="113">
        <v>39966</v>
      </c>
      <c r="B5268" s="111">
        <f t="shared" si="82"/>
        <v>61</v>
      </c>
      <c r="C5268" s="111"/>
      <c r="D5268" s="111"/>
      <c r="E5268" s="111"/>
    </row>
    <row r="5269" spans="1:5" x14ac:dyDescent="0.2">
      <c r="A5269" s="113">
        <v>39967</v>
      </c>
      <c r="B5269" s="111">
        <f t="shared" si="82"/>
        <v>61</v>
      </c>
      <c r="C5269" s="111"/>
      <c r="D5269" s="111"/>
      <c r="E5269" s="111"/>
    </row>
    <row r="5270" spans="1:5" x14ac:dyDescent="0.2">
      <c r="A5270" s="113">
        <v>39968</v>
      </c>
      <c r="B5270" s="111">
        <f t="shared" si="82"/>
        <v>61</v>
      </c>
      <c r="C5270" s="111"/>
      <c r="D5270" s="111"/>
      <c r="E5270" s="111"/>
    </row>
    <row r="5271" spans="1:5" x14ac:dyDescent="0.2">
      <c r="A5271" s="113">
        <v>39969</v>
      </c>
      <c r="B5271" s="111">
        <f t="shared" si="82"/>
        <v>61</v>
      </c>
      <c r="C5271" s="111"/>
      <c r="D5271" s="111"/>
      <c r="E5271" s="111"/>
    </row>
    <row r="5272" spans="1:5" x14ac:dyDescent="0.2">
      <c r="A5272" s="113">
        <v>39970</v>
      </c>
      <c r="B5272" s="111">
        <f t="shared" si="82"/>
        <v>61</v>
      </c>
      <c r="C5272" s="111"/>
      <c r="D5272" s="111"/>
      <c r="E5272" s="111"/>
    </row>
    <row r="5273" spans="1:5" x14ac:dyDescent="0.2">
      <c r="A5273" s="113">
        <v>39971</v>
      </c>
      <c r="B5273" s="111">
        <f t="shared" si="82"/>
        <v>62</v>
      </c>
      <c r="C5273" s="111"/>
      <c r="D5273" s="111"/>
      <c r="E5273" s="111"/>
    </row>
    <row r="5274" spans="1:5" x14ac:dyDescent="0.2">
      <c r="A5274" s="113">
        <v>39972</v>
      </c>
      <c r="B5274" s="111">
        <f t="shared" si="82"/>
        <v>62</v>
      </c>
      <c r="C5274" s="111"/>
      <c r="D5274" s="111"/>
      <c r="E5274" s="111"/>
    </row>
    <row r="5275" spans="1:5" x14ac:dyDescent="0.2">
      <c r="A5275" s="113">
        <v>39973</v>
      </c>
      <c r="B5275" s="111">
        <f t="shared" si="82"/>
        <v>62</v>
      </c>
      <c r="C5275" s="111"/>
      <c r="D5275" s="111"/>
      <c r="E5275" s="111"/>
    </row>
    <row r="5276" spans="1:5" x14ac:dyDescent="0.2">
      <c r="A5276" s="113">
        <v>39974</v>
      </c>
      <c r="B5276" s="111">
        <f t="shared" si="82"/>
        <v>62</v>
      </c>
      <c r="C5276" s="111"/>
      <c r="D5276" s="111"/>
      <c r="E5276" s="111"/>
    </row>
    <row r="5277" spans="1:5" x14ac:dyDescent="0.2">
      <c r="A5277" s="113">
        <v>39975</v>
      </c>
      <c r="B5277" s="111">
        <f t="shared" si="82"/>
        <v>62</v>
      </c>
      <c r="C5277" s="111"/>
      <c r="D5277" s="111"/>
      <c r="E5277" s="111"/>
    </row>
    <row r="5278" spans="1:5" x14ac:dyDescent="0.2">
      <c r="A5278" s="113">
        <v>39976</v>
      </c>
      <c r="B5278" s="111">
        <f t="shared" si="82"/>
        <v>62</v>
      </c>
      <c r="C5278" s="111"/>
      <c r="D5278" s="111"/>
      <c r="E5278" s="111"/>
    </row>
    <row r="5279" spans="1:5" x14ac:dyDescent="0.2">
      <c r="A5279" s="113">
        <v>39977</v>
      </c>
      <c r="B5279" s="111">
        <f t="shared" si="82"/>
        <v>62</v>
      </c>
      <c r="C5279" s="111"/>
      <c r="D5279" s="111"/>
      <c r="E5279" s="111"/>
    </row>
    <row r="5280" spans="1:5" x14ac:dyDescent="0.2">
      <c r="A5280" s="113">
        <v>39978</v>
      </c>
      <c r="B5280" s="111">
        <f t="shared" si="82"/>
        <v>63</v>
      </c>
      <c r="C5280" s="111"/>
      <c r="D5280" s="111"/>
      <c r="E5280" s="111"/>
    </row>
    <row r="5281" spans="1:5" x14ac:dyDescent="0.2">
      <c r="A5281" s="113">
        <v>39979</v>
      </c>
      <c r="B5281" s="111">
        <f t="shared" si="82"/>
        <v>63</v>
      </c>
      <c r="C5281" s="111"/>
      <c r="D5281" s="111"/>
      <c r="E5281" s="111"/>
    </row>
    <row r="5282" spans="1:5" x14ac:dyDescent="0.2">
      <c r="A5282" s="113">
        <v>39980</v>
      </c>
      <c r="B5282" s="111">
        <f t="shared" si="82"/>
        <v>63</v>
      </c>
      <c r="C5282" s="111"/>
      <c r="D5282" s="111"/>
      <c r="E5282" s="111"/>
    </row>
    <row r="5283" spans="1:5" x14ac:dyDescent="0.2">
      <c r="A5283" s="113">
        <v>39981</v>
      </c>
      <c r="B5283" s="111">
        <f t="shared" si="82"/>
        <v>63</v>
      </c>
      <c r="C5283" s="111"/>
      <c r="D5283" s="111"/>
      <c r="E5283" s="111"/>
    </row>
    <row r="5284" spans="1:5" x14ac:dyDescent="0.2">
      <c r="A5284" s="113">
        <v>39982</v>
      </c>
      <c r="B5284" s="111">
        <f t="shared" si="82"/>
        <v>63</v>
      </c>
      <c r="C5284" s="111"/>
      <c r="D5284" s="111"/>
      <c r="E5284" s="111"/>
    </row>
    <row r="5285" spans="1:5" x14ac:dyDescent="0.2">
      <c r="A5285" s="113">
        <v>39983</v>
      </c>
      <c r="B5285" s="111">
        <f t="shared" si="82"/>
        <v>63</v>
      </c>
      <c r="C5285" s="111"/>
      <c r="D5285" s="111"/>
      <c r="E5285" s="111"/>
    </row>
    <row r="5286" spans="1:5" x14ac:dyDescent="0.2">
      <c r="A5286" s="113">
        <v>39984</v>
      </c>
      <c r="B5286" s="111">
        <f t="shared" si="82"/>
        <v>63</v>
      </c>
      <c r="C5286" s="111"/>
      <c r="D5286" s="111"/>
      <c r="E5286" s="111"/>
    </row>
    <row r="5287" spans="1:5" x14ac:dyDescent="0.2">
      <c r="A5287" s="113">
        <v>39985</v>
      </c>
      <c r="B5287" s="111">
        <f t="shared" si="82"/>
        <v>64</v>
      </c>
      <c r="C5287" s="111"/>
      <c r="D5287" s="111"/>
      <c r="E5287" s="111"/>
    </row>
    <row r="5288" spans="1:5" x14ac:dyDescent="0.2">
      <c r="A5288" s="113">
        <v>39986</v>
      </c>
      <c r="B5288" s="111">
        <f t="shared" si="82"/>
        <v>64</v>
      </c>
      <c r="C5288" s="111"/>
      <c r="D5288" s="111"/>
      <c r="E5288" s="111"/>
    </row>
    <row r="5289" spans="1:5" x14ac:dyDescent="0.2">
      <c r="A5289" s="113">
        <v>39987</v>
      </c>
      <c r="B5289" s="111">
        <f t="shared" si="82"/>
        <v>64</v>
      </c>
      <c r="C5289" s="111"/>
      <c r="D5289" s="111"/>
      <c r="E5289" s="111"/>
    </row>
    <row r="5290" spans="1:5" x14ac:dyDescent="0.2">
      <c r="A5290" s="113">
        <v>39988</v>
      </c>
      <c r="B5290" s="111">
        <f t="shared" si="82"/>
        <v>64</v>
      </c>
      <c r="C5290" s="111"/>
      <c r="D5290" s="111"/>
      <c r="E5290" s="111"/>
    </row>
    <row r="5291" spans="1:5" x14ac:dyDescent="0.2">
      <c r="A5291" s="113">
        <v>39989</v>
      </c>
      <c r="B5291" s="111">
        <f t="shared" si="82"/>
        <v>64</v>
      </c>
      <c r="C5291" s="111"/>
      <c r="D5291" s="111"/>
      <c r="E5291" s="111"/>
    </row>
    <row r="5292" spans="1:5" x14ac:dyDescent="0.2">
      <c r="A5292" s="113">
        <v>39990</v>
      </c>
      <c r="B5292" s="111">
        <f t="shared" si="82"/>
        <v>64</v>
      </c>
      <c r="C5292" s="111"/>
      <c r="D5292" s="111"/>
      <c r="E5292" s="111"/>
    </row>
    <row r="5293" spans="1:5" x14ac:dyDescent="0.2">
      <c r="A5293" s="113">
        <v>39991</v>
      </c>
      <c r="B5293" s="111">
        <f t="shared" si="82"/>
        <v>64</v>
      </c>
      <c r="C5293" s="111"/>
      <c r="D5293" s="111"/>
      <c r="E5293" s="111"/>
    </row>
    <row r="5294" spans="1:5" x14ac:dyDescent="0.2">
      <c r="A5294" s="113">
        <v>39992</v>
      </c>
      <c r="B5294" s="111">
        <f t="shared" si="82"/>
        <v>71</v>
      </c>
      <c r="C5294" s="111"/>
      <c r="D5294" s="111"/>
      <c r="E5294" s="111"/>
    </row>
    <row r="5295" spans="1:5" x14ac:dyDescent="0.2">
      <c r="A5295" s="113">
        <v>39993</v>
      </c>
      <c r="B5295" s="111">
        <f t="shared" si="82"/>
        <v>71</v>
      </c>
      <c r="C5295" s="111"/>
      <c r="D5295" s="111"/>
      <c r="E5295" s="111"/>
    </row>
    <row r="5296" spans="1:5" x14ac:dyDescent="0.2">
      <c r="A5296" s="113">
        <v>39994</v>
      </c>
      <c r="B5296" s="111">
        <f t="shared" si="82"/>
        <v>71</v>
      </c>
      <c r="C5296" s="111"/>
      <c r="D5296" s="111"/>
      <c r="E5296" s="111"/>
    </row>
    <row r="5297" spans="1:5" x14ac:dyDescent="0.2">
      <c r="A5297" s="113">
        <v>39995</v>
      </c>
      <c r="B5297" s="111">
        <f t="shared" si="82"/>
        <v>71</v>
      </c>
      <c r="C5297" s="111"/>
      <c r="D5297" s="111"/>
      <c r="E5297" s="111"/>
    </row>
    <row r="5298" spans="1:5" x14ac:dyDescent="0.2">
      <c r="A5298" s="113">
        <v>39996</v>
      </c>
      <c r="B5298" s="111">
        <f t="shared" si="82"/>
        <v>71</v>
      </c>
      <c r="C5298" s="111"/>
      <c r="D5298" s="111"/>
      <c r="E5298" s="111"/>
    </row>
    <row r="5299" spans="1:5" x14ac:dyDescent="0.2">
      <c r="A5299" s="113">
        <v>39997</v>
      </c>
      <c r="B5299" s="111">
        <f t="shared" si="82"/>
        <v>71</v>
      </c>
      <c r="C5299" s="111"/>
      <c r="D5299" s="111"/>
      <c r="E5299" s="111"/>
    </row>
    <row r="5300" spans="1:5" x14ac:dyDescent="0.2">
      <c r="A5300" s="113">
        <v>39998</v>
      </c>
      <c r="B5300" s="111">
        <f t="shared" si="82"/>
        <v>71</v>
      </c>
      <c r="C5300" s="111"/>
      <c r="D5300" s="111"/>
      <c r="E5300" s="111"/>
    </row>
    <row r="5301" spans="1:5" x14ac:dyDescent="0.2">
      <c r="A5301" s="113">
        <v>39999</v>
      </c>
      <c r="B5301" s="111">
        <f t="shared" si="82"/>
        <v>72</v>
      </c>
      <c r="C5301" s="111"/>
      <c r="D5301" s="111"/>
      <c r="E5301" s="111"/>
    </row>
    <row r="5302" spans="1:5" x14ac:dyDescent="0.2">
      <c r="A5302" s="113">
        <v>40000</v>
      </c>
      <c r="B5302" s="111">
        <f t="shared" si="82"/>
        <v>72</v>
      </c>
      <c r="C5302" s="111"/>
      <c r="D5302" s="111"/>
      <c r="E5302" s="111"/>
    </row>
    <row r="5303" spans="1:5" x14ac:dyDescent="0.2">
      <c r="A5303" s="113">
        <v>40001</v>
      </c>
      <c r="B5303" s="111">
        <f t="shared" si="82"/>
        <v>72</v>
      </c>
      <c r="C5303" s="111"/>
      <c r="D5303" s="111"/>
      <c r="E5303" s="111"/>
    </row>
    <row r="5304" spans="1:5" x14ac:dyDescent="0.2">
      <c r="A5304" s="113">
        <v>40002</v>
      </c>
      <c r="B5304" s="111">
        <f t="shared" si="82"/>
        <v>72</v>
      </c>
      <c r="C5304" s="111"/>
      <c r="D5304" s="111"/>
      <c r="E5304" s="111"/>
    </row>
    <row r="5305" spans="1:5" x14ac:dyDescent="0.2">
      <c r="A5305" s="113">
        <v>40003</v>
      </c>
      <c r="B5305" s="111">
        <f t="shared" si="82"/>
        <v>72</v>
      </c>
      <c r="C5305" s="111"/>
      <c r="D5305" s="111"/>
      <c r="E5305" s="111"/>
    </row>
    <row r="5306" spans="1:5" x14ac:dyDescent="0.2">
      <c r="A5306" s="113">
        <v>40004</v>
      </c>
      <c r="B5306" s="111">
        <f t="shared" si="82"/>
        <v>72</v>
      </c>
      <c r="C5306" s="111"/>
      <c r="D5306" s="111"/>
      <c r="E5306" s="111"/>
    </row>
    <row r="5307" spans="1:5" x14ac:dyDescent="0.2">
      <c r="A5307" s="113">
        <v>40005</v>
      </c>
      <c r="B5307" s="111">
        <f t="shared" si="82"/>
        <v>72</v>
      </c>
      <c r="C5307" s="111"/>
      <c r="D5307" s="111"/>
      <c r="E5307" s="111"/>
    </row>
    <row r="5308" spans="1:5" x14ac:dyDescent="0.2">
      <c r="A5308" s="113">
        <v>40006</v>
      </c>
      <c r="B5308" s="111">
        <f t="shared" si="82"/>
        <v>73</v>
      </c>
      <c r="C5308" s="111"/>
      <c r="D5308" s="111"/>
      <c r="E5308" s="111"/>
    </row>
    <row r="5309" spans="1:5" x14ac:dyDescent="0.2">
      <c r="A5309" s="113">
        <v>40007</v>
      </c>
      <c r="B5309" s="111">
        <f t="shared" si="82"/>
        <v>73</v>
      </c>
      <c r="C5309" s="111"/>
      <c r="D5309" s="111"/>
      <c r="E5309" s="111"/>
    </row>
    <row r="5310" spans="1:5" x14ac:dyDescent="0.2">
      <c r="A5310" s="113">
        <v>40008</v>
      </c>
      <c r="B5310" s="111">
        <f t="shared" si="82"/>
        <v>73</v>
      </c>
      <c r="C5310" s="111"/>
      <c r="D5310" s="111"/>
      <c r="E5310" s="111"/>
    </row>
    <row r="5311" spans="1:5" x14ac:dyDescent="0.2">
      <c r="A5311" s="113">
        <v>40009</v>
      </c>
      <c r="B5311" s="111">
        <f t="shared" si="82"/>
        <v>73</v>
      </c>
      <c r="C5311" s="111"/>
      <c r="D5311" s="111"/>
      <c r="E5311" s="111"/>
    </row>
    <row r="5312" spans="1:5" x14ac:dyDescent="0.2">
      <c r="A5312" s="113">
        <v>40010</v>
      </c>
      <c r="B5312" s="111">
        <f t="shared" si="82"/>
        <v>73</v>
      </c>
      <c r="C5312" s="111"/>
      <c r="D5312" s="111"/>
      <c r="E5312" s="111"/>
    </row>
    <row r="5313" spans="1:5" x14ac:dyDescent="0.2">
      <c r="A5313" s="113">
        <v>40011</v>
      </c>
      <c r="B5313" s="111">
        <f t="shared" si="82"/>
        <v>73</v>
      </c>
      <c r="C5313" s="111"/>
      <c r="D5313" s="111"/>
      <c r="E5313" s="111"/>
    </row>
    <row r="5314" spans="1:5" x14ac:dyDescent="0.2">
      <c r="A5314" s="113">
        <v>40012</v>
      </c>
      <c r="B5314" s="111">
        <f t="shared" ref="B5314:B5377" si="83">VLOOKUP(WEEKNUM(A5314),$D$3:$E$58,2)</f>
        <v>73</v>
      </c>
      <c r="C5314" s="111"/>
      <c r="D5314" s="111"/>
      <c r="E5314" s="111"/>
    </row>
    <row r="5315" spans="1:5" x14ac:dyDescent="0.2">
      <c r="A5315" s="113">
        <v>40013</v>
      </c>
      <c r="B5315" s="111">
        <f t="shared" si="83"/>
        <v>74</v>
      </c>
      <c r="C5315" s="111"/>
      <c r="D5315" s="111"/>
      <c r="E5315" s="111"/>
    </row>
    <row r="5316" spans="1:5" x14ac:dyDescent="0.2">
      <c r="A5316" s="113">
        <v>40014</v>
      </c>
      <c r="B5316" s="111">
        <f t="shared" si="83"/>
        <v>74</v>
      </c>
      <c r="C5316" s="111"/>
      <c r="D5316" s="111"/>
      <c r="E5316" s="111"/>
    </row>
    <row r="5317" spans="1:5" x14ac:dyDescent="0.2">
      <c r="A5317" s="113">
        <v>40015</v>
      </c>
      <c r="B5317" s="111">
        <f t="shared" si="83"/>
        <v>74</v>
      </c>
      <c r="C5317" s="111"/>
      <c r="D5317" s="111"/>
      <c r="E5317" s="111"/>
    </row>
    <row r="5318" spans="1:5" x14ac:dyDescent="0.2">
      <c r="A5318" s="113">
        <v>40016</v>
      </c>
      <c r="B5318" s="111">
        <f t="shared" si="83"/>
        <v>74</v>
      </c>
      <c r="C5318" s="111"/>
      <c r="D5318" s="111"/>
      <c r="E5318" s="111"/>
    </row>
    <row r="5319" spans="1:5" x14ac:dyDescent="0.2">
      <c r="A5319" s="113">
        <v>40017</v>
      </c>
      <c r="B5319" s="111">
        <f t="shared" si="83"/>
        <v>74</v>
      </c>
      <c r="C5319" s="111"/>
      <c r="D5319" s="111"/>
      <c r="E5319" s="111"/>
    </row>
    <row r="5320" spans="1:5" x14ac:dyDescent="0.2">
      <c r="A5320" s="113">
        <v>40018</v>
      </c>
      <c r="B5320" s="111">
        <f t="shared" si="83"/>
        <v>74</v>
      </c>
      <c r="C5320" s="111"/>
      <c r="D5320" s="111"/>
      <c r="E5320" s="111"/>
    </row>
    <row r="5321" spans="1:5" x14ac:dyDescent="0.2">
      <c r="A5321" s="113">
        <v>40019</v>
      </c>
      <c r="B5321" s="111">
        <f t="shared" si="83"/>
        <v>74</v>
      </c>
      <c r="C5321" s="111"/>
      <c r="D5321" s="111"/>
      <c r="E5321" s="111"/>
    </row>
    <row r="5322" spans="1:5" x14ac:dyDescent="0.2">
      <c r="A5322" s="113">
        <v>40020</v>
      </c>
      <c r="B5322" s="111">
        <f t="shared" si="83"/>
        <v>75</v>
      </c>
      <c r="C5322" s="111"/>
      <c r="D5322" s="111"/>
      <c r="E5322" s="111"/>
    </row>
    <row r="5323" spans="1:5" x14ac:dyDescent="0.2">
      <c r="A5323" s="113">
        <v>40021</v>
      </c>
      <c r="B5323" s="111">
        <f t="shared" si="83"/>
        <v>75</v>
      </c>
      <c r="C5323" s="111"/>
      <c r="D5323" s="111"/>
      <c r="E5323" s="111"/>
    </row>
    <row r="5324" spans="1:5" x14ac:dyDescent="0.2">
      <c r="A5324" s="113">
        <v>40022</v>
      </c>
      <c r="B5324" s="111">
        <f t="shared" si="83"/>
        <v>75</v>
      </c>
      <c r="C5324" s="111"/>
      <c r="D5324" s="111"/>
      <c r="E5324" s="111"/>
    </row>
    <row r="5325" spans="1:5" x14ac:dyDescent="0.2">
      <c r="A5325" s="113">
        <v>40023</v>
      </c>
      <c r="B5325" s="111">
        <f t="shared" si="83"/>
        <v>75</v>
      </c>
      <c r="C5325" s="111"/>
      <c r="D5325" s="111"/>
      <c r="E5325" s="111"/>
    </row>
    <row r="5326" spans="1:5" x14ac:dyDescent="0.2">
      <c r="A5326" s="113">
        <v>40024</v>
      </c>
      <c r="B5326" s="111">
        <f t="shared" si="83"/>
        <v>75</v>
      </c>
      <c r="C5326" s="111"/>
      <c r="D5326" s="111"/>
      <c r="E5326" s="111"/>
    </row>
    <row r="5327" spans="1:5" x14ac:dyDescent="0.2">
      <c r="A5327" s="113">
        <v>40025</v>
      </c>
      <c r="B5327" s="111">
        <f t="shared" si="83"/>
        <v>75</v>
      </c>
      <c r="C5327" s="111"/>
      <c r="D5327" s="111"/>
      <c r="E5327" s="111"/>
    </row>
    <row r="5328" spans="1:5" x14ac:dyDescent="0.2">
      <c r="A5328" s="113">
        <v>40026</v>
      </c>
      <c r="B5328" s="111">
        <f t="shared" si="83"/>
        <v>75</v>
      </c>
      <c r="C5328" s="111"/>
      <c r="D5328" s="111"/>
      <c r="E5328" s="111"/>
    </row>
    <row r="5329" spans="1:5" x14ac:dyDescent="0.2">
      <c r="A5329" s="113">
        <v>40027</v>
      </c>
      <c r="B5329" s="111">
        <f t="shared" si="83"/>
        <v>81</v>
      </c>
      <c r="C5329" s="111"/>
      <c r="D5329" s="111"/>
      <c r="E5329" s="111"/>
    </row>
    <row r="5330" spans="1:5" x14ac:dyDescent="0.2">
      <c r="A5330" s="113">
        <v>40028</v>
      </c>
      <c r="B5330" s="111">
        <f t="shared" si="83"/>
        <v>81</v>
      </c>
      <c r="C5330" s="111"/>
      <c r="D5330" s="111"/>
      <c r="E5330" s="111"/>
    </row>
    <row r="5331" spans="1:5" x14ac:dyDescent="0.2">
      <c r="A5331" s="113">
        <v>40029</v>
      </c>
      <c r="B5331" s="111">
        <f t="shared" si="83"/>
        <v>81</v>
      </c>
      <c r="C5331" s="111"/>
      <c r="D5331" s="111"/>
      <c r="E5331" s="111"/>
    </row>
    <row r="5332" spans="1:5" x14ac:dyDescent="0.2">
      <c r="A5332" s="113">
        <v>40030</v>
      </c>
      <c r="B5332" s="111">
        <f t="shared" si="83"/>
        <v>81</v>
      </c>
      <c r="C5332" s="111"/>
      <c r="D5332" s="111"/>
      <c r="E5332" s="111"/>
    </row>
    <row r="5333" spans="1:5" x14ac:dyDescent="0.2">
      <c r="A5333" s="113">
        <v>40031</v>
      </c>
      <c r="B5333" s="111">
        <f t="shared" si="83"/>
        <v>81</v>
      </c>
      <c r="C5333" s="111"/>
      <c r="D5333" s="111"/>
      <c r="E5333" s="111"/>
    </row>
    <row r="5334" spans="1:5" x14ac:dyDescent="0.2">
      <c r="A5334" s="113">
        <v>40032</v>
      </c>
      <c r="B5334" s="111">
        <f t="shared" si="83"/>
        <v>81</v>
      </c>
      <c r="C5334" s="111"/>
      <c r="D5334" s="111"/>
      <c r="E5334" s="111"/>
    </row>
    <row r="5335" spans="1:5" x14ac:dyDescent="0.2">
      <c r="A5335" s="113">
        <v>40033</v>
      </c>
      <c r="B5335" s="111">
        <f t="shared" si="83"/>
        <v>81</v>
      </c>
      <c r="C5335" s="111"/>
      <c r="D5335" s="111"/>
      <c r="E5335" s="111"/>
    </row>
    <row r="5336" spans="1:5" x14ac:dyDescent="0.2">
      <c r="A5336" s="113">
        <v>40034</v>
      </c>
      <c r="B5336" s="111">
        <f t="shared" si="83"/>
        <v>82</v>
      </c>
      <c r="C5336" s="111"/>
      <c r="D5336" s="111"/>
      <c r="E5336" s="111"/>
    </row>
    <row r="5337" spans="1:5" x14ac:dyDescent="0.2">
      <c r="A5337" s="113">
        <v>40035</v>
      </c>
      <c r="B5337" s="111">
        <f t="shared" si="83"/>
        <v>82</v>
      </c>
      <c r="C5337" s="111"/>
      <c r="D5337" s="111"/>
      <c r="E5337" s="111"/>
    </row>
    <row r="5338" spans="1:5" x14ac:dyDescent="0.2">
      <c r="A5338" s="113">
        <v>40036</v>
      </c>
      <c r="B5338" s="111">
        <f t="shared" si="83"/>
        <v>82</v>
      </c>
      <c r="C5338" s="111"/>
      <c r="D5338" s="111"/>
      <c r="E5338" s="111"/>
    </row>
    <row r="5339" spans="1:5" x14ac:dyDescent="0.2">
      <c r="A5339" s="113">
        <v>40037</v>
      </c>
      <c r="B5339" s="111">
        <f t="shared" si="83"/>
        <v>82</v>
      </c>
      <c r="C5339" s="111"/>
      <c r="D5339" s="111"/>
      <c r="E5339" s="111"/>
    </row>
    <row r="5340" spans="1:5" x14ac:dyDescent="0.2">
      <c r="A5340" s="113">
        <v>40038</v>
      </c>
      <c r="B5340" s="111">
        <f t="shared" si="83"/>
        <v>82</v>
      </c>
      <c r="C5340" s="111"/>
      <c r="D5340" s="111"/>
      <c r="E5340" s="111"/>
    </row>
    <row r="5341" spans="1:5" x14ac:dyDescent="0.2">
      <c r="A5341" s="113">
        <v>40039</v>
      </c>
      <c r="B5341" s="111">
        <f t="shared" si="83"/>
        <v>82</v>
      </c>
      <c r="C5341" s="111"/>
      <c r="D5341" s="111"/>
      <c r="E5341" s="111"/>
    </row>
    <row r="5342" spans="1:5" x14ac:dyDescent="0.2">
      <c r="A5342" s="113">
        <v>40040</v>
      </c>
      <c r="B5342" s="111">
        <f t="shared" si="83"/>
        <v>82</v>
      </c>
      <c r="C5342" s="111"/>
      <c r="D5342" s="111"/>
      <c r="E5342" s="111"/>
    </row>
    <row r="5343" spans="1:5" x14ac:dyDescent="0.2">
      <c r="A5343" s="113">
        <v>40041</v>
      </c>
      <c r="B5343" s="111">
        <f t="shared" si="83"/>
        <v>83</v>
      </c>
      <c r="C5343" s="111"/>
      <c r="D5343" s="111"/>
      <c r="E5343" s="111"/>
    </row>
    <row r="5344" spans="1:5" x14ac:dyDescent="0.2">
      <c r="A5344" s="113">
        <v>40042</v>
      </c>
      <c r="B5344" s="111">
        <f t="shared" si="83"/>
        <v>83</v>
      </c>
      <c r="C5344" s="111"/>
      <c r="D5344" s="111"/>
      <c r="E5344" s="111"/>
    </row>
    <row r="5345" spans="1:5" x14ac:dyDescent="0.2">
      <c r="A5345" s="113">
        <v>40043</v>
      </c>
      <c r="B5345" s="111">
        <f t="shared" si="83"/>
        <v>83</v>
      </c>
      <c r="C5345" s="111"/>
      <c r="D5345" s="111"/>
      <c r="E5345" s="111"/>
    </row>
    <row r="5346" spans="1:5" x14ac:dyDescent="0.2">
      <c r="A5346" s="113">
        <v>40044</v>
      </c>
      <c r="B5346" s="111">
        <f t="shared" si="83"/>
        <v>83</v>
      </c>
      <c r="C5346" s="111"/>
      <c r="D5346" s="111"/>
      <c r="E5346" s="111"/>
    </row>
    <row r="5347" spans="1:5" x14ac:dyDescent="0.2">
      <c r="A5347" s="113">
        <v>40045</v>
      </c>
      <c r="B5347" s="111">
        <f t="shared" si="83"/>
        <v>83</v>
      </c>
      <c r="C5347" s="111"/>
      <c r="D5347" s="111"/>
      <c r="E5347" s="111"/>
    </row>
    <row r="5348" spans="1:5" x14ac:dyDescent="0.2">
      <c r="A5348" s="113">
        <v>40046</v>
      </c>
      <c r="B5348" s="111">
        <f t="shared" si="83"/>
        <v>83</v>
      </c>
      <c r="C5348" s="111"/>
      <c r="D5348" s="111"/>
      <c r="E5348" s="111"/>
    </row>
    <row r="5349" spans="1:5" x14ac:dyDescent="0.2">
      <c r="A5349" s="113">
        <v>40047</v>
      </c>
      <c r="B5349" s="111">
        <f t="shared" si="83"/>
        <v>83</v>
      </c>
      <c r="C5349" s="111"/>
      <c r="D5349" s="111"/>
      <c r="E5349" s="111"/>
    </row>
    <row r="5350" spans="1:5" x14ac:dyDescent="0.2">
      <c r="A5350" s="113">
        <v>40048</v>
      </c>
      <c r="B5350" s="111">
        <f t="shared" si="83"/>
        <v>84</v>
      </c>
      <c r="C5350" s="111"/>
      <c r="D5350" s="111"/>
      <c r="E5350" s="111"/>
    </row>
    <row r="5351" spans="1:5" x14ac:dyDescent="0.2">
      <c r="A5351" s="113">
        <v>40049</v>
      </c>
      <c r="B5351" s="111">
        <f t="shared" si="83"/>
        <v>84</v>
      </c>
      <c r="C5351" s="111"/>
      <c r="D5351" s="111"/>
      <c r="E5351" s="111"/>
    </row>
    <row r="5352" spans="1:5" x14ac:dyDescent="0.2">
      <c r="A5352" s="113">
        <v>40050</v>
      </c>
      <c r="B5352" s="111">
        <f t="shared" si="83"/>
        <v>84</v>
      </c>
      <c r="C5352" s="111"/>
      <c r="D5352" s="111"/>
      <c r="E5352" s="111"/>
    </row>
    <row r="5353" spans="1:5" x14ac:dyDescent="0.2">
      <c r="A5353" s="113">
        <v>40051</v>
      </c>
      <c r="B5353" s="111">
        <f t="shared" si="83"/>
        <v>84</v>
      </c>
      <c r="C5353" s="111"/>
      <c r="D5353" s="111"/>
      <c r="E5353" s="111"/>
    </row>
    <row r="5354" spans="1:5" x14ac:dyDescent="0.2">
      <c r="A5354" s="113">
        <v>40052</v>
      </c>
      <c r="B5354" s="111">
        <f t="shared" si="83"/>
        <v>84</v>
      </c>
      <c r="C5354" s="111"/>
      <c r="D5354" s="111"/>
      <c r="E5354" s="111"/>
    </row>
    <row r="5355" spans="1:5" x14ac:dyDescent="0.2">
      <c r="A5355" s="113">
        <v>40053</v>
      </c>
      <c r="B5355" s="111">
        <f t="shared" si="83"/>
        <v>84</v>
      </c>
      <c r="C5355" s="111"/>
      <c r="D5355" s="111"/>
      <c r="E5355" s="111"/>
    </row>
    <row r="5356" spans="1:5" x14ac:dyDescent="0.2">
      <c r="A5356" s="113">
        <v>40054</v>
      </c>
      <c r="B5356" s="111">
        <f t="shared" si="83"/>
        <v>84</v>
      </c>
      <c r="C5356" s="111"/>
      <c r="D5356" s="111"/>
      <c r="E5356" s="111"/>
    </row>
    <row r="5357" spans="1:5" x14ac:dyDescent="0.2">
      <c r="A5357" s="113">
        <v>40055</v>
      </c>
      <c r="B5357" s="111">
        <f t="shared" si="83"/>
        <v>91</v>
      </c>
      <c r="C5357" s="111"/>
      <c r="D5357" s="111"/>
      <c r="E5357" s="111"/>
    </row>
    <row r="5358" spans="1:5" x14ac:dyDescent="0.2">
      <c r="A5358" s="113">
        <v>40056</v>
      </c>
      <c r="B5358" s="111">
        <f t="shared" si="83"/>
        <v>91</v>
      </c>
      <c r="C5358" s="111"/>
      <c r="D5358" s="111"/>
      <c r="E5358" s="111"/>
    </row>
    <row r="5359" spans="1:5" x14ac:dyDescent="0.2">
      <c r="A5359" s="113">
        <v>40057</v>
      </c>
      <c r="B5359" s="111">
        <f t="shared" si="83"/>
        <v>91</v>
      </c>
      <c r="C5359" s="111"/>
      <c r="D5359" s="111"/>
      <c r="E5359" s="111"/>
    </row>
    <row r="5360" spans="1:5" x14ac:dyDescent="0.2">
      <c r="A5360" s="113">
        <v>40058</v>
      </c>
      <c r="B5360" s="111">
        <f t="shared" si="83"/>
        <v>91</v>
      </c>
      <c r="C5360" s="111"/>
      <c r="D5360" s="111"/>
      <c r="E5360" s="111"/>
    </row>
    <row r="5361" spans="1:5" x14ac:dyDescent="0.2">
      <c r="A5361" s="113">
        <v>40059</v>
      </c>
      <c r="B5361" s="111">
        <f t="shared" si="83"/>
        <v>91</v>
      </c>
      <c r="C5361" s="111"/>
      <c r="D5361" s="111"/>
      <c r="E5361" s="111"/>
    </row>
    <row r="5362" spans="1:5" x14ac:dyDescent="0.2">
      <c r="A5362" s="113">
        <v>40060</v>
      </c>
      <c r="B5362" s="111">
        <f t="shared" si="83"/>
        <v>91</v>
      </c>
      <c r="C5362" s="111"/>
      <c r="D5362" s="111"/>
      <c r="E5362" s="111"/>
    </row>
    <row r="5363" spans="1:5" x14ac:dyDescent="0.2">
      <c r="A5363" s="113">
        <v>40061</v>
      </c>
      <c r="B5363" s="111">
        <f t="shared" si="83"/>
        <v>91</v>
      </c>
      <c r="C5363" s="111"/>
      <c r="D5363" s="111"/>
      <c r="E5363" s="111"/>
    </row>
    <row r="5364" spans="1:5" x14ac:dyDescent="0.2">
      <c r="A5364" s="113">
        <v>40062</v>
      </c>
      <c r="B5364" s="111">
        <f t="shared" si="83"/>
        <v>92</v>
      </c>
      <c r="C5364" s="111"/>
      <c r="D5364" s="111"/>
      <c r="E5364" s="111"/>
    </row>
    <row r="5365" spans="1:5" x14ac:dyDescent="0.2">
      <c r="A5365" s="113">
        <v>40063</v>
      </c>
      <c r="B5365" s="111">
        <f t="shared" si="83"/>
        <v>92</v>
      </c>
      <c r="C5365" s="111"/>
      <c r="D5365" s="111"/>
      <c r="E5365" s="111"/>
    </row>
    <row r="5366" spans="1:5" x14ac:dyDescent="0.2">
      <c r="A5366" s="113">
        <v>40064</v>
      </c>
      <c r="B5366" s="111">
        <f t="shared" si="83"/>
        <v>92</v>
      </c>
      <c r="C5366" s="111"/>
      <c r="D5366" s="111"/>
      <c r="E5366" s="111"/>
    </row>
    <row r="5367" spans="1:5" x14ac:dyDescent="0.2">
      <c r="A5367" s="113">
        <v>40065</v>
      </c>
      <c r="B5367" s="111">
        <f t="shared" si="83"/>
        <v>92</v>
      </c>
      <c r="C5367" s="111"/>
      <c r="D5367" s="111"/>
      <c r="E5367" s="111"/>
    </row>
    <row r="5368" spans="1:5" x14ac:dyDescent="0.2">
      <c r="A5368" s="113">
        <v>40066</v>
      </c>
      <c r="B5368" s="111">
        <f t="shared" si="83"/>
        <v>92</v>
      </c>
      <c r="C5368" s="111"/>
      <c r="D5368" s="111"/>
      <c r="E5368" s="111"/>
    </row>
    <row r="5369" spans="1:5" x14ac:dyDescent="0.2">
      <c r="A5369" s="113">
        <v>40067</v>
      </c>
      <c r="B5369" s="111">
        <f t="shared" si="83"/>
        <v>92</v>
      </c>
      <c r="C5369" s="111"/>
      <c r="D5369" s="111"/>
      <c r="E5369" s="111"/>
    </row>
    <row r="5370" spans="1:5" x14ac:dyDescent="0.2">
      <c r="A5370" s="113">
        <v>40068</v>
      </c>
      <c r="B5370" s="111">
        <f t="shared" si="83"/>
        <v>92</v>
      </c>
      <c r="C5370" s="111"/>
      <c r="D5370" s="111"/>
      <c r="E5370" s="111"/>
    </row>
    <row r="5371" spans="1:5" x14ac:dyDescent="0.2">
      <c r="A5371" s="113">
        <v>40069</v>
      </c>
      <c r="B5371" s="111">
        <f t="shared" si="83"/>
        <v>93</v>
      </c>
      <c r="C5371" s="111"/>
      <c r="D5371" s="111"/>
      <c r="E5371" s="111"/>
    </row>
    <row r="5372" spans="1:5" x14ac:dyDescent="0.2">
      <c r="A5372" s="113">
        <v>40070</v>
      </c>
      <c r="B5372" s="111">
        <f t="shared" si="83"/>
        <v>93</v>
      </c>
      <c r="C5372" s="111"/>
      <c r="D5372" s="111"/>
      <c r="E5372" s="111"/>
    </row>
    <row r="5373" spans="1:5" x14ac:dyDescent="0.2">
      <c r="A5373" s="113">
        <v>40071</v>
      </c>
      <c r="B5373" s="111">
        <f t="shared" si="83"/>
        <v>93</v>
      </c>
      <c r="C5373" s="111"/>
      <c r="D5373" s="111"/>
      <c r="E5373" s="111"/>
    </row>
    <row r="5374" spans="1:5" x14ac:dyDescent="0.2">
      <c r="A5374" s="113">
        <v>40072</v>
      </c>
      <c r="B5374" s="111">
        <f t="shared" si="83"/>
        <v>93</v>
      </c>
      <c r="C5374" s="111"/>
      <c r="D5374" s="111"/>
      <c r="E5374" s="111"/>
    </row>
    <row r="5375" spans="1:5" x14ac:dyDescent="0.2">
      <c r="A5375" s="113">
        <v>40073</v>
      </c>
      <c r="B5375" s="111">
        <f t="shared" si="83"/>
        <v>93</v>
      </c>
      <c r="C5375" s="111"/>
      <c r="D5375" s="111"/>
      <c r="E5375" s="111"/>
    </row>
    <row r="5376" spans="1:5" x14ac:dyDescent="0.2">
      <c r="A5376" s="113">
        <v>40074</v>
      </c>
      <c r="B5376" s="111">
        <f t="shared" si="83"/>
        <v>93</v>
      </c>
      <c r="C5376" s="111"/>
      <c r="D5376" s="111"/>
      <c r="E5376" s="111"/>
    </row>
    <row r="5377" spans="1:5" x14ac:dyDescent="0.2">
      <c r="A5377" s="113">
        <v>40075</v>
      </c>
      <c r="B5377" s="111">
        <f t="shared" si="83"/>
        <v>93</v>
      </c>
      <c r="C5377" s="111"/>
      <c r="D5377" s="111"/>
      <c r="E5377" s="111"/>
    </row>
    <row r="5378" spans="1:5" x14ac:dyDescent="0.2">
      <c r="A5378" s="113">
        <v>40076</v>
      </c>
      <c r="B5378" s="111">
        <f t="shared" ref="B5378:B5441" si="84">VLOOKUP(WEEKNUM(A5378),$D$3:$E$58,2)</f>
        <v>94</v>
      </c>
      <c r="C5378" s="111"/>
      <c r="D5378" s="111"/>
      <c r="E5378" s="111"/>
    </row>
    <row r="5379" spans="1:5" x14ac:dyDescent="0.2">
      <c r="A5379" s="113">
        <v>40077</v>
      </c>
      <c r="B5379" s="111">
        <f t="shared" si="84"/>
        <v>94</v>
      </c>
      <c r="C5379" s="111"/>
      <c r="D5379" s="111"/>
      <c r="E5379" s="111"/>
    </row>
    <row r="5380" spans="1:5" x14ac:dyDescent="0.2">
      <c r="A5380" s="113">
        <v>40078</v>
      </c>
      <c r="B5380" s="111">
        <f t="shared" si="84"/>
        <v>94</v>
      </c>
      <c r="C5380" s="111"/>
      <c r="D5380" s="111"/>
      <c r="E5380" s="111"/>
    </row>
    <row r="5381" spans="1:5" x14ac:dyDescent="0.2">
      <c r="A5381" s="113">
        <v>40079</v>
      </c>
      <c r="B5381" s="111">
        <f t="shared" si="84"/>
        <v>94</v>
      </c>
      <c r="C5381" s="111"/>
      <c r="D5381" s="111"/>
      <c r="E5381" s="111"/>
    </row>
    <row r="5382" spans="1:5" x14ac:dyDescent="0.2">
      <c r="A5382" s="113">
        <v>40080</v>
      </c>
      <c r="B5382" s="111">
        <f t="shared" si="84"/>
        <v>94</v>
      </c>
      <c r="C5382" s="111"/>
      <c r="D5382" s="111"/>
      <c r="E5382" s="111"/>
    </row>
    <row r="5383" spans="1:5" x14ac:dyDescent="0.2">
      <c r="A5383" s="113">
        <v>40081</v>
      </c>
      <c r="B5383" s="111">
        <f t="shared" si="84"/>
        <v>94</v>
      </c>
      <c r="C5383" s="111"/>
      <c r="D5383" s="111"/>
      <c r="E5383" s="111"/>
    </row>
    <row r="5384" spans="1:5" x14ac:dyDescent="0.2">
      <c r="A5384" s="113">
        <v>40082</v>
      </c>
      <c r="B5384" s="111">
        <f t="shared" si="84"/>
        <v>94</v>
      </c>
      <c r="C5384" s="111"/>
      <c r="D5384" s="111"/>
      <c r="E5384" s="111"/>
    </row>
    <row r="5385" spans="1:5" x14ac:dyDescent="0.2">
      <c r="A5385" s="113">
        <v>40083</v>
      </c>
      <c r="B5385" s="111">
        <f t="shared" si="84"/>
        <v>101</v>
      </c>
      <c r="C5385" s="111"/>
      <c r="D5385" s="111"/>
      <c r="E5385" s="111"/>
    </row>
    <row r="5386" spans="1:5" x14ac:dyDescent="0.2">
      <c r="A5386" s="113">
        <v>40084</v>
      </c>
      <c r="B5386" s="111">
        <f t="shared" si="84"/>
        <v>101</v>
      </c>
      <c r="C5386" s="111"/>
      <c r="D5386" s="111"/>
      <c r="E5386" s="111"/>
    </row>
    <row r="5387" spans="1:5" x14ac:dyDescent="0.2">
      <c r="A5387" s="113">
        <v>40085</v>
      </c>
      <c r="B5387" s="111">
        <f t="shared" si="84"/>
        <v>101</v>
      </c>
      <c r="C5387" s="111"/>
      <c r="D5387" s="111"/>
      <c r="E5387" s="111"/>
    </row>
    <row r="5388" spans="1:5" x14ac:dyDescent="0.2">
      <c r="A5388" s="113">
        <v>40086</v>
      </c>
      <c r="B5388" s="111">
        <f t="shared" si="84"/>
        <v>101</v>
      </c>
      <c r="C5388" s="111"/>
      <c r="D5388" s="111"/>
      <c r="E5388" s="111"/>
    </row>
    <row r="5389" spans="1:5" x14ac:dyDescent="0.2">
      <c r="A5389" s="113">
        <v>40087</v>
      </c>
      <c r="B5389" s="111">
        <f t="shared" si="84"/>
        <v>101</v>
      </c>
      <c r="C5389" s="111"/>
      <c r="D5389" s="111"/>
      <c r="E5389" s="111"/>
    </row>
    <row r="5390" spans="1:5" x14ac:dyDescent="0.2">
      <c r="A5390" s="113">
        <v>40088</v>
      </c>
      <c r="B5390" s="111">
        <f t="shared" si="84"/>
        <v>101</v>
      </c>
      <c r="C5390" s="111"/>
      <c r="D5390" s="111"/>
      <c r="E5390" s="111"/>
    </row>
    <row r="5391" spans="1:5" x14ac:dyDescent="0.2">
      <c r="A5391" s="113">
        <v>40089</v>
      </c>
      <c r="B5391" s="111">
        <f t="shared" si="84"/>
        <v>101</v>
      </c>
      <c r="C5391" s="111"/>
      <c r="D5391" s="111"/>
      <c r="E5391" s="111"/>
    </row>
    <row r="5392" spans="1:5" x14ac:dyDescent="0.2">
      <c r="A5392" s="113">
        <v>40090</v>
      </c>
      <c r="B5392" s="111">
        <f t="shared" si="84"/>
        <v>102</v>
      </c>
      <c r="C5392" s="111"/>
      <c r="D5392" s="111"/>
      <c r="E5392" s="111"/>
    </row>
    <row r="5393" spans="1:5" x14ac:dyDescent="0.2">
      <c r="A5393" s="113">
        <v>40091</v>
      </c>
      <c r="B5393" s="111">
        <f t="shared" si="84"/>
        <v>102</v>
      </c>
      <c r="C5393" s="111"/>
      <c r="D5393" s="111"/>
      <c r="E5393" s="111"/>
    </row>
    <row r="5394" spans="1:5" x14ac:dyDescent="0.2">
      <c r="A5394" s="113">
        <v>40092</v>
      </c>
      <c r="B5394" s="111">
        <f t="shared" si="84"/>
        <v>102</v>
      </c>
      <c r="C5394" s="111"/>
      <c r="D5394" s="111"/>
      <c r="E5394" s="111"/>
    </row>
    <row r="5395" spans="1:5" x14ac:dyDescent="0.2">
      <c r="A5395" s="113">
        <v>40093</v>
      </c>
      <c r="B5395" s="111">
        <f t="shared" si="84"/>
        <v>102</v>
      </c>
      <c r="C5395" s="111"/>
      <c r="D5395" s="111"/>
      <c r="E5395" s="111"/>
    </row>
    <row r="5396" spans="1:5" x14ac:dyDescent="0.2">
      <c r="A5396" s="113">
        <v>40094</v>
      </c>
      <c r="B5396" s="111">
        <f t="shared" si="84"/>
        <v>102</v>
      </c>
      <c r="C5396" s="111"/>
      <c r="D5396" s="111"/>
      <c r="E5396" s="111"/>
    </row>
    <row r="5397" spans="1:5" x14ac:dyDescent="0.2">
      <c r="A5397" s="113">
        <v>40095</v>
      </c>
      <c r="B5397" s="111">
        <f t="shared" si="84"/>
        <v>102</v>
      </c>
      <c r="C5397" s="111"/>
      <c r="D5397" s="111"/>
      <c r="E5397" s="111"/>
    </row>
    <row r="5398" spans="1:5" x14ac:dyDescent="0.2">
      <c r="A5398" s="113">
        <v>40096</v>
      </c>
      <c r="B5398" s="111">
        <f t="shared" si="84"/>
        <v>102</v>
      </c>
      <c r="C5398" s="111"/>
      <c r="D5398" s="111"/>
      <c r="E5398" s="111"/>
    </row>
    <row r="5399" spans="1:5" x14ac:dyDescent="0.2">
      <c r="A5399" s="113">
        <v>40097</v>
      </c>
      <c r="B5399" s="111">
        <f t="shared" si="84"/>
        <v>103</v>
      </c>
      <c r="C5399" s="111"/>
      <c r="D5399" s="111"/>
      <c r="E5399" s="111"/>
    </row>
    <row r="5400" spans="1:5" x14ac:dyDescent="0.2">
      <c r="A5400" s="113">
        <v>40098</v>
      </c>
      <c r="B5400" s="111">
        <f t="shared" si="84"/>
        <v>103</v>
      </c>
      <c r="C5400" s="111"/>
      <c r="D5400" s="111"/>
      <c r="E5400" s="111"/>
    </row>
    <row r="5401" spans="1:5" x14ac:dyDescent="0.2">
      <c r="A5401" s="113">
        <v>40099</v>
      </c>
      <c r="B5401" s="111">
        <f t="shared" si="84"/>
        <v>103</v>
      </c>
      <c r="C5401" s="111"/>
      <c r="D5401" s="111"/>
      <c r="E5401" s="111"/>
    </row>
    <row r="5402" spans="1:5" x14ac:dyDescent="0.2">
      <c r="A5402" s="113">
        <v>40100</v>
      </c>
      <c r="B5402" s="111">
        <f t="shared" si="84"/>
        <v>103</v>
      </c>
      <c r="C5402" s="111"/>
      <c r="D5402" s="111"/>
      <c r="E5402" s="111"/>
    </row>
    <row r="5403" spans="1:5" x14ac:dyDescent="0.2">
      <c r="A5403" s="113">
        <v>40101</v>
      </c>
      <c r="B5403" s="111">
        <f t="shared" si="84"/>
        <v>103</v>
      </c>
      <c r="C5403" s="111"/>
      <c r="D5403" s="111"/>
      <c r="E5403" s="111"/>
    </row>
    <row r="5404" spans="1:5" x14ac:dyDescent="0.2">
      <c r="A5404" s="113">
        <v>40102</v>
      </c>
      <c r="B5404" s="111">
        <f t="shared" si="84"/>
        <v>103</v>
      </c>
      <c r="C5404" s="111"/>
      <c r="D5404" s="111"/>
      <c r="E5404" s="111"/>
    </row>
    <row r="5405" spans="1:5" x14ac:dyDescent="0.2">
      <c r="A5405" s="113">
        <v>40103</v>
      </c>
      <c r="B5405" s="111">
        <f t="shared" si="84"/>
        <v>103</v>
      </c>
      <c r="C5405" s="111"/>
      <c r="D5405" s="111"/>
      <c r="E5405" s="111"/>
    </row>
    <row r="5406" spans="1:5" x14ac:dyDescent="0.2">
      <c r="A5406" s="113">
        <v>40104</v>
      </c>
      <c r="B5406" s="111">
        <f t="shared" si="84"/>
        <v>104</v>
      </c>
      <c r="C5406" s="111"/>
      <c r="D5406" s="111"/>
      <c r="E5406" s="111"/>
    </row>
    <row r="5407" spans="1:5" x14ac:dyDescent="0.2">
      <c r="A5407" s="113">
        <v>40105</v>
      </c>
      <c r="B5407" s="111">
        <f t="shared" si="84"/>
        <v>104</v>
      </c>
      <c r="C5407" s="111"/>
      <c r="D5407" s="111"/>
      <c r="E5407" s="111"/>
    </row>
    <row r="5408" spans="1:5" x14ac:dyDescent="0.2">
      <c r="A5408" s="113">
        <v>40106</v>
      </c>
      <c r="B5408" s="111">
        <f t="shared" si="84"/>
        <v>104</v>
      </c>
      <c r="C5408" s="111"/>
      <c r="D5408" s="111"/>
      <c r="E5408" s="111"/>
    </row>
    <row r="5409" spans="1:5" x14ac:dyDescent="0.2">
      <c r="A5409" s="113">
        <v>40107</v>
      </c>
      <c r="B5409" s="111">
        <f t="shared" si="84"/>
        <v>104</v>
      </c>
      <c r="C5409" s="111"/>
      <c r="D5409" s="111"/>
      <c r="E5409" s="111"/>
    </row>
    <row r="5410" spans="1:5" x14ac:dyDescent="0.2">
      <c r="A5410" s="113">
        <v>40108</v>
      </c>
      <c r="B5410" s="111">
        <f t="shared" si="84"/>
        <v>104</v>
      </c>
      <c r="C5410" s="111"/>
      <c r="D5410" s="111"/>
      <c r="E5410" s="111"/>
    </row>
    <row r="5411" spans="1:5" x14ac:dyDescent="0.2">
      <c r="A5411" s="113">
        <v>40109</v>
      </c>
      <c r="B5411" s="111">
        <f t="shared" si="84"/>
        <v>104</v>
      </c>
      <c r="C5411" s="111"/>
      <c r="D5411" s="111"/>
      <c r="E5411" s="111"/>
    </row>
    <row r="5412" spans="1:5" x14ac:dyDescent="0.2">
      <c r="A5412" s="113">
        <v>40110</v>
      </c>
      <c r="B5412" s="111">
        <f t="shared" si="84"/>
        <v>104</v>
      </c>
      <c r="C5412" s="111"/>
      <c r="D5412" s="111"/>
      <c r="E5412" s="111"/>
    </row>
    <row r="5413" spans="1:5" x14ac:dyDescent="0.2">
      <c r="A5413" s="113">
        <v>40111</v>
      </c>
      <c r="B5413" s="111">
        <f t="shared" si="84"/>
        <v>105</v>
      </c>
      <c r="C5413" s="111"/>
      <c r="D5413" s="111"/>
      <c r="E5413" s="111"/>
    </row>
    <row r="5414" spans="1:5" x14ac:dyDescent="0.2">
      <c r="A5414" s="113">
        <v>40112</v>
      </c>
      <c r="B5414" s="111">
        <f t="shared" si="84"/>
        <v>105</v>
      </c>
      <c r="C5414" s="111"/>
      <c r="D5414" s="111"/>
      <c r="E5414" s="111"/>
    </row>
    <row r="5415" spans="1:5" x14ac:dyDescent="0.2">
      <c r="A5415" s="113">
        <v>40113</v>
      </c>
      <c r="B5415" s="111">
        <f t="shared" si="84"/>
        <v>105</v>
      </c>
      <c r="C5415" s="111"/>
      <c r="D5415" s="111"/>
      <c r="E5415" s="111"/>
    </row>
    <row r="5416" spans="1:5" x14ac:dyDescent="0.2">
      <c r="A5416" s="113">
        <v>40114</v>
      </c>
      <c r="B5416" s="111">
        <f t="shared" si="84"/>
        <v>105</v>
      </c>
      <c r="C5416" s="111"/>
      <c r="D5416" s="111"/>
      <c r="E5416" s="111"/>
    </row>
    <row r="5417" spans="1:5" x14ac:dyDescent="0.2">
      <c r="A5417" s="113">
        <v>40115</v>
      </c>
      <c r="B5417" s="111">
        <f t="shared" si="84"/>
        <v>105</v>
      </c>
      <c r="C5417" s="111"/>
      <c r="D5417" s="111"/>
      <c r="E5417" s="111"/>
    </row>
    <row r="5418" spans="1:5" x14ac:dyDescent="0.2">
      <c r="A5418" s="113">
        <v>40116</v>
      </c>
      <c r="B5418" s="111">
        <f t="shared" si="84"/>
        <v>105</v>
      </c>
      <c r="C5418" s="111"/>
      <c r="D5418" s="111"/>
      <c r="E5418" s="111"/>
    </row>
    <row r="5419" spans="1:5" x14ac:dyDescent="0.2">
      <c r="A5419" s="113">
        <v>40117</v>
      </c>
      <c r="B5419" s="111">
        <f t="shared" si="84"/>
        <v>105</v>
      </c>
      <c r="C5419" s="111"/>
      <c r="D5419" s="111"/>
      <c r="E5419" s="111"/>
    </row>
    <row r="5420" spans="1:5" x14ac:dyDescent="0.2">
      <c r="A5420" s="113">
        <v>40118</v>
      </c>
      <c r="B5420" s="111">
        <f t="shared" si="84"/>
        <v>111</v>
      </c>
      <c r="C5420" s="111"/>
      <c r="D5420" s="111"/>
      <c r="E5420" s="111"/>
    </row>
    <row r="5421" spans="1:5" x14ac:dyDescent="0.2">
      <c r="A5421" s="113">
        <v>40119</v>
      </c>
      <c r="B5421" s="111">
        <f t="shared" si="84"/>
        <v>111</v>
      </c>
      <c r="C5421" s="111"/>
      <c r="D5421" s="111"/>
      <c r="E5421" s="111"/>
    </row>
    <row r="5422" spans="1:5" x14ac:dyDescent="0.2">
      <c r="A5422" s="113">
        <v>40120</v>
      </c>
      <c r="B5422" s="111">
        <f t="shared" si="84"/>
        <v>111</v>
      </c>
      <c r="C5422" s="111"/>
      <c r="D5422" s="111"/>
      <c r="E5422" s="111"/>
    </row>
    <row r="5423" spans="1:5" x14ac:dyDescent="0.2">
      <c r="A5423" s="113">
        <v>40121</v>
      </c>
      <c r="B5423" s="111">
        <f t="shared" si="84"/>
        <v>111</v>
      </c>
      <c r="C5423" s="111"/>
      <c r="D5423" s="111"/>
      <c r="E5423" s="111"/>
    </row>
    <row r="5424" spans="1:5" x14ac:dyDescent="0.2">
      <c r="A5424" s="113">
        <v>40122</v>
      </c>
      <c r="B5424" s="111">
        <f t="shared" si="84"/>
        <v>111</v>
      </c>
      <c r="C5424" s="111"/>
      <c r="D5424" s="111"/>
      <c r="E5424" s="111"/>
    </row>
    <row r="5425" spans="1:5" x14ac:dyDescent="0.2">
      <c r="A5425" s="113">
        <v>40123</v>
      </c>
      <c r="B5425" s="111">
        <f t="shared" si="84"/>
        <v>111</v>
      </c>
      <c r="C5425" s="111"/>
      <c r="D5425" s="111"/>
      <c r="E5425" s="111"/>
    </row>
    <row r="5426" spans="1:5" x14ac:dyDescent="0.2">
      <c r="A5426" s="113">
        <v>40124</v>
      </c>
      <c r="B5426" s="111">
        <f t="shared" si="84"/>
        <v>111</v>
      </c>
      <c r="C5426" s="111"/>
      <c r="D5426" s="111"/>
      <c r="E5426" s="111"/>
    </row>
    <row r="5427" spans="1:5" x14ac:dyDescent="0.2">
      <c r="A5427" s="113">
        <v>40125</v>
      </c>
      <c r="B5427" s="111">
        <f t="shared" si="84"/>
        <v>112</v>
      </c>
      <c r="C5427" s="111"/>
      <c r="D5427" s="111"/>
      <c r="E5427" s="111"/>
    </row>
    <row r="5428" spans="1:5" x14ac:dyDescent="0.2">
      <c r="A5428" s="113">
        <v>40126</v>
      </c>
      <c r="B5428" s="111">
        <f t="shared" si="84"/>
        <v>112</v>
      </c>
      <c r="C5428" s="111"/>
      <c r="D5428" s="111"/>
      <c r="E5428" s="111"/>
    </row>
    <row r="5429" spans="1:5" x14ac:dyDescent="0.2">
      <c r="A5429" s="113">
        <v>40127</v>
      </c>
      <c r="B5429" s="111">
        <f t="shared" si="84"/>
        <v>112</v>
      </c>
      <c r="C5429" s="111"/>
      <c r="D5429" s="111"/>
      <c r="E5429" s="111"/>
    </row>
    <row r="5430" spans="1:5" x14ac:dyDescent="0.2">
      <c r="A5430" s="113">
        <v>40128</v>
      </c>
      <c r="B5430" s="111">
        <f t="shared" si="84"/>
        <v>112</v>
      </c>
      <c r="C5430" s="111"/>
      <c r="D5430" s="111"/>
      <c r="E5430" s="111"/>
    </row>
    <row r="5431" spans="1:5" x14ac:dyDescent="0.2">
      <c r="A5431" s="113">
        <v>40129</v>
      </c>
      <c r="B5431" s="111">
        <f t="shared" si="84"/>
        <v>112</v>
      </c>
      <c r="C5431" s="111"/>
      <c r="D5431" s="111"/>
      <c r="E5431" s="111"/>
    </row>
    <row r="5432" spans="1:5" x14ac:dyDescent="0.2">
      <c r="A5432" s="113">
        <v>40130</v>
      </c>
      <c r="B5432" s="111">
        <f t="shared" si="84"/>
        <v>112</v>
      </c>
      <c r="C5432" s="111"/>
      <c r="D5432" s="111"/>
      <c r="E5432" s="111"/>
    </row>
    <row r="5433" spans="1:5" x14ac:dyDescent="0.2">
      <c r="A5433" s="113">
        <v>40131</v>
      </c>
      <c r="B5433" s="111">
        <f t="shared" si="84"/>
        <v>112</v>
      </c>
      <c r="C5433" s="111"/>
      <c r="D5433" s="111"/>
      <c r="E5433" s="111"/>
    </row>
    <row r="5434" spans="1:5" x14ac:dyDescent="0.2">
      <c r="A5434" s="113">
        <v>40132</v>
      </c>
      <c r="B5434" s="111">
        <f t="shared" si="84"/>
        <v>113</v>
      </c>
      <c r="C5434" s="111"/>
      <c r="D5434" s="111"/>
      <c r="E5434" s="111"/>
    </row>
    <row r="5435" spans="1:5" x14ac:dyDescent="0.2">
      <c r="A5435" s="113">
        <v>40133</v>
      </c>
      <c r="B5435" s="111">
        <f t="shared" si="84"/>
        <v>113</v>
      </c>
      <c r="C5435" s="111"/>
      <c r="D5435" s="111"/>
      <c r="E5435" s="111"/>
    </row>
    <row r="5436" spans="1:5" x14ac:dyDescent="0.2">
      <c r="A5436" s="113">
        <v>40134</v>
      </c>
      <c r="B5436" s="111">
        <f t="shared" si="84"/>
        <v>113</v>
      </c>
      <c r="C5436" s="111"/>
      <c r="D5436" s="111"/>
      <c r="E5436" s="111"/>
    </row>
    <row r="5437" spans="1:5" x14ac:dyDescent="0.2">
      <c r="A5437" s="113">
        <v>40135</v>
      </c>
      <c r="B5437" s="111">
        <f t="shared" si="84"/>
        <v>113</v>
      </c>
      <c r="C5437" s="111"/>
      <c r="D5437" s="111"/>
      <c r="E5437" s="111"/>
    </row>
    <row r="5438" spans="1:5" x14ac:dyDescent="0.2">
      <c r="A5438" s="113">
        <v>40136</v>
      </c>
      <c r="B5438" s="111">
        <f t="shared" si="84"/>
        <v>113</v>
      </c>
      <c r="C5438" s="111"/>
      <c r="D5438" s="111"/>
      <c r="E5438" s="111"/>
    </row>
    <row r="5439" spans="1:5" x14ac:dyDescent="0.2">
      <c r="A5439" s="113">
        <v>40137</v>
      </c>
      <c r="B5439" s="111">
        <f t="shared" si="84"/>
        <v>113</v>
      </c>
      <c r="C5439" s="111"/>
      <c r="D5439" s="111"/>
      <c r="E5439" s="111"/>
    </row>
    <row r="5440" spans="1:5" x14ac:dyDescent="0.2">
      <c r="A5440" s="113">
        <v>40138</v>
      </c>
      <c r="B5440" s="111">
        <f t="shared" si="84"/>
        <v>113</v>
      </c>
      <c r="C5440" s="111"/>
      <c r="D5440" s="111"/>
      <c r="E5440" s="111"/>
    </row>
    <row r="5441" spans="1:5" x14ac:dyDescent="0.2">
      <c r="A5441" s="113">
        <v>40139</v>
      </c>
      <c r="B5441" s="111">
        <f t="shared" si="84"/>
        <v>114</v>
      </c>
      <c r="C5441" s="111"/>
      <c r="D5441" s="111"/>
      <c r="E5441" s="111"/>
    </row>
    <row r="5442" spans="1:5" x14ac:dyDescent="0.2">
      <c r="A5442" s="113">
        <v>40140</v>
      </c>
      <c r="B5442" s="111">
        <f t="shared" ref="B5442:B5505" si="85">VLOOKUP(WEEKNUM(A5442),$D$3:$E$58,2)</f>
        <v>114</v>
      </c>
      <c r="C5442" s="111"/>
      <c r="D5442" s="111"/>
      <c r="E5442" s="111"/>
    </row>
    <row r="5443" spans="1:5" x14ac:dyDescent="0.2">
      <c r="A5443" s="113">
        <v>40141</v>
      </c>
      <c r="B5443" s="111">
        <f t="shared" si="85"/>
        <v>114</v>
      </c>
      <c r="C5443" s="111"/>
      <c r="D5443" s="111"/>
      <c r="E5443" s="111"/>
    </row>
    <row r="5444" spans="1:5" x14ac:dyDescent="0.2">
      <c r="A5444" s="113">
        <v>40142</v>
      </c>
      <c r="B5444" s="111">
        <f t="shared" si="85"/>
        <v>114</v>
      </c>
      <c r="C5444" s="111"/>
      <c r="D5444" s="111"/>
      <c r="E5444" s="111"/>
    </row>
    <row r="5445" spans="1:5" x14ac:dyDescent="0.2">
      <c r="A5445" s="113">
        <v>40143</v>
      </c>
      <c r="B5445" s="111">
        <f t="shared" si="85"/>
        <v>114</v>
      </c>
      <c r="C5445" s="111"/>
      <c r="D5445" s="111"/>
      <c r="E5445" s="111"/>
    </row>
    <row r="5446" spans="1:5" x14ac:dyDescent="0.2">
      <c r="A5446" s="113">
        <v>40144</v>
      </c>
      <c r="B5446" s="111">
        <f t="shared" si="85"/>
        <v>114</v>
      </c>
      <c r="C5446" s="111"/>
      <c r="D5446" s="111"/>
      <c r="E5446" s="111"/>
    </row>
    <row r="5447" spans="1:5" x14ac:dyDescent="0.2">
      <c r="A5447" s="113">
        <v>40145</v>
      </c>
      <c r="B5447" s="111">
        <f t="shared" si="85"/>
        <v>114</v>
      </c>
      <c r="C5447" s="111"/>
      <c r="D5447" s="111"/>
      <c r="E5447" s="111"/>
    </row>
    <row r="5448" spans="1:5" x14ac:dyDescent="0.2">
      <c r="A5448" s="113">
        <v>40146</v>
      </c>
      <c r="B5448" s="111">
        <f t="shared" si="85"/>
        <v>115</v>
      </c>
      <c r="C5448" s="111"/>
      <c r="D5448" s="111"/>
      <c r="E5448" s="111"/>
    </row>
    <row r="5449" spans="1:5" x14ac:dyDescent="0.2">
      <c r="A5449" s="113">
        <v>40147</v>
      </c>
      <c r="B5449" s="111">
        <f t="shared" si="85"/>
        <v>115</v>
      </c>
      <c r="C5449" s="111"/>
      <c r="D5449" s="111"/>
      <c r="E5449" s="111"/>
    </row>
    <row r="5450" spans="1:5" x14ac:dyDescent="0.2">
      <c r="A5450" s="113">
        <v>40148</v>
      </c>
      <c r="B5450" s="111">
        <f t="shared" si="85"/>
        <v>115</v>
      </c>
      <c r="C5450" s="111"/>
      <c r="D5450" s="111"/>
      <c r="E5450" s="111"/>
    </row>
    <row r="5451" spans="1:5" x14ac:dyDescent="0.2">
      <c r="A5451" s="113">
        <v>40149</v>
      </c>
      <c r="B5451" s="111">
        <f t="shared" si="85"/>
        <v>115</v>
      </c>
      <c r="C5451" s="111"/>
      <c r="D5451" s="111"/>
      <c r="E5451" s="111"/>
    </row>
    <row r="5452" spans="1:5" x14ac:dyDescent="0.2">
      <c r="A5452" s="113">
        <v>40150</v>
      </c>
      <c r="B5452" s="111">
        <f t="shared" si="85"/>
        <v>115</v>
      </c>
      <c r="C5452" s="111"/>
      <c r="D5452" s="111"/>
      <c r="E5452" s="111"/>
    </row>
    <row r="5453" spans="1:5" x14ac:dyDescent="0.2">
      <c r="A5453" s="113">
        <v>40151</v>
      </c>
      <c r="B5453" s="111">
        <f t="shared" si="85"/>
        <v>115</v>
      </c>
      <c r="C5453" s="111"/>
      <c r="D5453" s="111"/>
      <c r="E5453" s="111"/>
    </row>
    <row r="5454" spans="1:5" x14ac:dyDescent="0.2">
      <c r="A5454" s="113">
        <v>40152</v>
      </c>
      <c r="B5454" s="111">
        <f t="shared" si="85"/>
        <v>115</v>
      </c>
      <c r="C5454" s="111"/>
      <c r="D5454" s="111"/>
      <c r="E5454" s="111"/>
    </row>
    <row r="5455" spans="1:5" x14ac:dyDescent="0.2">
      <c r="A5455" s="113">
        <v>40153</v>
      </c>
      <c r="B5455" s="111">
        <f t="shared" si="85"/>
        <v>121</v>
      </c>
      <c r="C5455" s="111"/>
      <c r="D5455" s="111"/>
      <c r="E5455" s="111"/>
    </row>
    <row r="5456" spans="1:5" x14ac:dyDescent="0.2">
      <c r="A5456" s="113">
        <v>40154</v>
      </c>
      <c r="B5456" s="111">
        <f t="shared" si="85"/>
        <v>121</v>
      </c>
      <c r="C5456" s="111"/>
      <c r="D5456" s="111"/>
      <c r="E5456" s="111"/>
    </row>
    <row r="5457" spans="1:5" x14ac:dyDescent="0.2">
      <c r="A5457" s="113">
        <v>40155</v>
      </c>
      <c r="B5457" s="111">
        <f t="shared" si="85"/>
        <v>121</v>
      </c>
      <c r="C5457" s="111"/>
      <c r="D5457" s="111"/>
      <c r="E5457" s="111"/>
    </row>
    <row r="5458" spans="1:5" x14ac:dyDescent="0.2">
      <c r="A5458" s="113">
        <v>40156</v>
      </c>
      <c r="B5458" s="111">
        <f t="shared" si="85"/>
        <v>121</v>
      </c>
      <c r="C5458" s="111"/>
      <c r="D5458" s="111"/>
      <c r="E5458" s="111"/>
    </row>
    <row r="5459" spans="1:5" x14ac:dyDescent="0.2">
      <c r="A5459" s="113">
        <v>40157</v>
      </c>
      <c r="B5459" s="111">
        <f t="shared" si="85"/>
        <v>121</v>
      </c>
      <c r="C5459" s="111"/>
      <c r="D5459" s="111"/>
      <c r="E5459" s="111"/>
    </row>
    <row r="5460" spans="1:5" x14ac:dyDescent="0.2">
      <c r="A5460" s="113">
        <v>40158</v>
      </c>
      <c r="B5460" s="111">
        <f t="shared" si="85"/>
        <v>121</v>
      </c>
      <c r="C5460" s="111"/>
      <c r="D5460" s="111"/>
      <c r="E5460" s="111"/>
    </row>
    <row r="5461" spans="1:5" x14ac:dyDescent="0.2">
      <c r="A5461" s="113">
        <v>40159</v>
      </c>
      <c r="B5461" s="111">
        <f t="shared" si="85"/>
        <v>121</v>
      </c>
      <c r="C5461" s="111"/>
      <c r="D5461" s="111"/>
      <c r="E5461" s="111"/>
    </row>
    <row r="5462" spans="1:5" x14ac:dyDescent="0.2">
      <c r="A5462" s="113">
        <v>40160</v>
      </c>
      <c r="B5462" s="111">
        <f t="shared" si="85"/>
        <v>122</v>
      </c>
      <c r="C5462" s="111"/>
      <c r="D5462" s="111"/>
      <c r="E5462" s="111"/>
    </row>
    <row r="5463" spans="1:5" x14ac:dyDescent="0.2">
      <c r="A5463" s="113">
        <v>40161</v>
      </c>
      <c r="B5463" s="111">
        <f t="shared" si="85"/>
        <v>122</v>
      </c>
      <c r="C5463" s="111"/>
      <c r="D5463" s="111"/>
      <c r="E5463" s="111"/>
    </row>
    <row r="5464" spans="1:5" x14ac:dyDescent="0.2">
      <c r="A5464" s="113">
        <v>40162</v>
      </c>
      <c r="B5464" s="111">
        <f t="shared" si="85"/>
        <v>122</v>
      </c>
      <c r="C5464" s="111"/>
      <c r="D5464" s="111"/>
      <c r="E5464" s="111"/>
    </row>
    <row r="5465" spans="1:5" x14ac:dyDescent="0.2">
      <c r="A5465" s="113">
        <v>40163</v>
      </c>
      <c r="B5465" s="111">
        <f t="shared" si="85"/>
        <v>122</v>
      </c>
      <c r="C5465" s="111"/>
      <c r="D5465" s="111"/>
      <c r="E5465" s="111"/>
    </row>
    <row r="5466" spans="1:5" x14ac:dyDescent="0.2">
      <c r="A5466" s="113">
        <v>40164</v>
      </c>
      <c r="B5466" s="111">
        <f t="shared" si="85"/>
        <v>122</v>
      </c>
      <c r="C5466" s="111"/>
      <c r="D5466" s="111"/>
      <c r="E5466" s="111"/>
    </row>
    <row r="5467" spans="1:5" x14ac:dyDescent="0.2">
      <c r="A5467" s="113">
        <v>40165</v>
      </c>
      <c r="B5467" s="111">
        <f t="shared" si="85"/>
        <v>122</v>
      </c>
      <c r="C5467" s="111"/>
      <c r="D5467" s="111"/>
      <c r="E5467" s="111"/>
    </row>
    <row r="5468" spans="1:5" x14ac:dyDescent="0.2">
      <c r="A5468" s="113">
        <v>40166</v>
      </c>
      <c r="B5468" s="111">
        <f t="shared" si="85"/>
        <v>122</v>
      </c>
      <c r="C5468" s="111"/>
      <c r="D5468" s="111"/>
      <c r="E5468" s="111"/>
    </row>
    <row r="5469" spans="1:5" x14ac:dyDescent="0.2">
      <c r="A5469" s="113">
        <v>40167</v>
      </c>
      <c r="B5469" s="111">
        <f t="shared" si="85"/>
        <v>123</v>
      </c>
      <c r="C5469" s="111"/>
      <c r="D5469" s="111"/>
      <c r="E5469" s="111"/>
    </row>
    <row r="5470" spans="1:5" x14ac:dyDescent="0.2">
      <c r="A5470" s="113">
        <v>40168</v>
      </c>
      <c r="B5470" s="111">
        <f t="shared" si="85"/>
        <v>123</v>
      </c>
      <c r="C5470" s="111"/>
      <c r="D5470" s="111"/>
      <c r="E5470" s="111"/>
    </row>
    <row r="5471" spans="1:5" x14ac:dyDescent="0.2">
      <c r="A5471" s="113">
        <v>40169</v>
      </c>
      <c r="B5471" s="111">
        <f t="shared" si="85"/>
        <v>123</v>
      </c>
      <c r="C5471" s="111"/>
      <c r="D5471" s="111"/>
      <c r="E5471" s="111"/>
    </row>
    <row r="5472" spans="1:5" x14ac:dyDescent="0.2">
      <c r="A5472" s="113">
        <v>40170</v>
      </c>
      <c r="B5472" s="111">
        <f t="shared" si="85"/>
        <v>123</v>
      </c>
      <c r="C5472" s="111"/>
      <c r="D5472" s="111"/>
      <c r="E5472" s="111"/>
    </row>
    <row r="5473" spans="1:5" x14ac:dyDescent="0.2">
      <c r="A5473" s="113">
        <v>40171</v>
      </c>
      <c r="B5473" s="111">
        <f t="shared" si="85"/>
        <v>123</v>
      </c>
      <c r="C5473" s="111"/>
      <c r="D5473" s="111"/>
      <c r="E5473" s="111"/>
    </row>
    <row r="5474" spans="1:5" x14ac:dyDescent="0.2">
      <c r="A5474" s="113">
        <v>40172</v>
      </c>
      <c r="B5474" s="111">
        <f t="shared" si="85"/>
        <v>123</v>
      </c>
      <c r="C5474" s="111"/>
      <c r="D5474" s="111"/>
      <c r="E5474" s="111"/>
    </row>
    <row r="5475" spans="1:5" x14ac:dyDescent="0.2">
      <c r="A5475" s="113">
        <v>40173</v>
      </c>
      <c r="B5475" s="111">
        <f t="shared" si="85"/>
        <v>123</v>
      </c>
      <c r="C5475" s="111"/>
      <c r="D5475" s="111"/>
      <c r="E5475" s="111"/>
    </row>
    <row r="5476" spans="1:5" x14ac:dyDescent="0.2">
      <c r="A5476" s="113">
        <v>40174</v>
      </c>
      <c r="B5476" s="111">
        <f t="shared" si="85"/>
        <v>124</v>
      </c>
      <c r="C5476" s="111"/>
      <c r="D5476" s="111"/>
      <c r="E5476" s="111"/>
    </row>
    <row r="5477" spans="1:5" x14ac:dyDescent="0.2">
      <c r="A5477" s="113">
        <v>40175</v>
      </c>
      <c r="B5477" s="111">
        <f t="shared" si="85"/>
        <v>124</v>
      </c>
      <c r="C5477" s="111"/>
      <c r="D5477" s="111"/>
      <c r="E5477" s="111"/>
    </row>
    <row r="5478" spans="1:5" x14ac:dyDescent="0.2">
      <c r="A5478" s="113">
        <v>40176</v>
      </c>
      <c r="B5478" s="111">
        <f t="shared" si="85"/>
        <v>124</v>
      </c>
      <c r="C5478" s="111"/>
      <c r="D5478" s="111"/>
      <c r="E5478" s="111"/>
    </row>
    <row r="5479" spans="1:5" x14ac:dyDescent="0.2">
      <c r="A5479" s="113">
        <v>40177</v>
      </c>
      <c r="B5479" s="111">
        <f t="shared" si="85"/>
        <v>124</v>
      </c>
      <c r="C5479" s="111"/>
      <c r="D5479" s="111"/>
      <c r="E5479" s="111"/>
    </row>
    <row r="5480" spans="1:5" x14ac:dyDescent="0.2">
      <c r="A5480" s="113">
        <v>40178</v>
      </c>
      <c r="B5480" s="111">
        <f t="shared" si="85"/>
        <v>124</v>
      </c>
      <c r="C5480" s="111"/>
      <c r="D5480" s="111"/>
      <c r="E5480" s="111"/>
    </row>
    <row r="5481" spans="1:5" x14ac:dyDescent="0.2">
      <c r="A5481" s="113">
        <v>40179</v>
      </c>
      <c r="B5481" s="111">
        <f t="shared" si="85"/>
        <v>11</v>
      </c>
      <c r="C5481" s="111"/>
      <c r="D5481" s="111"/>
      <c r="E5481" s="111"/>
    </row>
    <row r="5482" spans="1:5" x14ac:dyDescent="0.2">
      <c r="A5482" s="113">
        <v>40180</v>
      </c>
      <c r="B5482" s="111">
        <f t="shared" si="85"/>
        <v>11</v>
      </c>
      <c r="C5482" s="111"/>
      <c r="D5482" s="111"/>
      <c r="E5482" s="111"/>
    </row>
    <row r="5483" spans="1:5" x14ac:dyDescent="0.2">
      <c r="A5483" s="113">
        <v>40181</v>
      </c>
      <c r="B5483" s="111">
        <f t="shared" si="85"/>
        <v>12</v>
      </c>
      <c r="C5483" s="111"/>
      <c r="D5483" s="111"/>
      <c r="E5483" s="111"/>
    </row>
    <row r="5484" spans="1:5" x14ac:dyDescent="0.2">
      <c r="A5484" s="113">
        <v>40182</v>
      </c>
      <c r="B5484" s="111">
        <f t="shared" si="85"/>
        <v>12</v>
      </c>
      <c r="C5484" s="111"/>
      <c r="D5484" s="111"/>
      <c r="E5484" s="111"/>
    </row>
    <row r="5485" spans="1:5" x14ac:dyDescent="0.2">
      <c r="A5485" s="113">
        <v>40183</v>
      </c>
      <c r="B5485" s="111">
        <f t="shared" si="85"/>
        <v>12</v>
      </c>
      <c r="C5485" s="111"/>
      <c r="D5485" s="111"/>
      <c r="E5485" s="111"/>
    </row>
    <row r="5486" spans="1:5" x14ac:dyDescent="0.2">
      <c r="A5486" s="113">
        <v>40184</v>
      </c>
      <c r="B5486" s="111">
        <f t="shared" si="85"/>
        <v>12</v>
      </c>
      <c r="C5486" s="111"/>
      <c r="D5486" s="111"/>
      <c r="E5486" s="111"/>
    </row>
    <row r="5487" spans="1:5" x14ac:dyDescent="0.2">
      <c r="A5487" s="113">
        <v>40185</v>
      </c>
      <c r="B5487" s="111">
        <f t="shared" si="85"/>
        <v>12</v>
      </c>
      <c r="C5487" s="111"/>
      <c r="D5487" s="111"/>
      <c r="E5487" s="111"/>
    </row>
    <row r="5488" spans="1:5" x14ac:dyDescent="0.2">
      <c r="A5488" s="113">
        <v>40186</v>
      </c>
      <c r="B5488" s="111">
        <f t="shared" si="85"/>
        <v>12</v>
      </c>
      <c r="C5488" s="111"/>
      <c r="D5488" s="111"/>
      <c r="E5488" s="111"/>
    </row>
    <row r="5489" spans="1:5" x14ac:dyDescent="0.2">
      <c r="A5489" s="113">
        <v>40187</v>
      </c>
      <c r="B5489" s="111">
        <f t="shared" si="85"/>
        <v>12</v>
      </c>
      <c r="C5489" s="111"/>
      <c r="D5489" s="111"/>
      <c r="E5489" s="111"/>
    </row>
    <row r="5490" spans="1:5" x14ac:dyDescent="0.2">
      <c r="A5490" s="113">
        <v>40188</v>
      </c>
      <c r="B5490" s="111">
        <f t="shared" si="85"/>
        <v>13</v>
      </c>
      <c r="C5490" s="111"/>
      <c r="D5490" s="111"/>
      <c r="E5490" s="111"/>
    </row>
    <row r="5491" spans="1:5" x14ac:dyDescent="0.2">
      <c r="A5491" s="113">
        <v>40189</v>
      </c>
      <c r="B5491" s="111">
        <f t="shared" si="85"/>
        <v>13</v>
      </c>
      <c r="C5491" s="111"/>
      <c r="D5491" s="111"/>
      <c r="E5491" s="111"/>
    </row>
    <row r="5492" spans="1:5" x14ac:dyDescent="0.2">
      <c r="A5492" s="113">
        <v>40190</v>
      </c>
      <c r="B5492" s="111">
        <f t="shared" si="85"/>
        <v>13</v>
      </c>
      <c r="C5492" s="111"/>
      <c r="D5492" s="111"/>
      <c r="E5492" s="111"/>
    </row>
    <row r="5493" spans="1:5" x14ac:dyDescent="0.2">
      <c r="A5493" s="113">
        <v>40191</v>
      </c>
      <c r="B5493" s="111">
        <f t="shared" si="85"/>
        <v>13</v>
      </c>
      <c r="C5493" s="111"/>
      <c r="D5493" s="111"/>
      <c r="E5493" s="111"/>
    </row>
    <row r="5494" spans="1:5" x14ac:dyDescent="0.2">
      <c r="A5494" s="113">
        <v>40192</v>
      </c>
      <c r="B5494" s="111">
        <f t="shared" si="85"/>
        <v>13</v>
      </c>
      <c r="C5494" s="111"/>
      <c r="D5494" s="111"/>
      <c r="E5494" s="111"/>
    </row>
    <row r="5495" spans="1:5" x14ac:dyDescent="0.2">
      <c r="A5495" s="113">
        <v>40193</v>
      </c>
      <c r="B5495" s="111">
        <f t="shared" si="85"/>
        <v>13</v>
      </c>
      <c r="C5495" s="111"/>
      <c r="D5495" s="111"/>
      <c r="E5495" s="111"/>
    </row>
    <row r="5496" spans="1:5" x14ac:dyDescent="0.2">
      <c r="A5496" s="113">
        <v>40194</v>
      </c>
      <c r="B5496" s="111">
        <f t="shared" si="85"/>
        <v>13</v>
      </c>
      <c r="C5496" s="111"/>
      <c r="D5496" s="111"/>
      <c r="E5496" s="111"/>
    </row>
    <row r="5497" spans="1:5" x14ac:dyDescent="0.2">
      <c r="A5497" s="113">
        <v>40195</v>
      </c>
      <c r="B5497" s="111">
        <f t="shared" si="85"/>
        <v>14</v>
      </c>
      <c r="C5497" s="111"/>
      <c r="D5497" s="111"/>
      <c r="E5497" s="111"/>
    </row>
    <row r="5498" spans="1:5" x14ac:dyDescent="0.2">
      <c r="A5498" s="113">
        <v>40196</v>
      </c>
      <c r="B5498" s="111">
        <f t="shared" si="85"/>
        <v>14</v>
      </c>
      <c r="C5498" s="111"/>
      <c r="D5498" s="111"/>
      <c r="E5498" s="111"/>
    </row>
    <row r="5499" spans="1:5" x14ac:dyDescent="0.2">
      <c r="A5499" s="113">
        <v>40197</v>
      </c>
      <c r="B5499" s="111">
        <f t="shared" si="85"/>
        <v>14</v>
      </c>
      <c r="C5499" s="111"/>
      <c r="D5499" s="111"/>
      <c r="E5499" s="111"/>
    </row>
    <row r="5500" spans="1:5" x14ac:dyDescent="0.2">
      <c r="A5500" s="113">
        <v>40198</v>
      </c>
      <c r="B5500" s="111">
        <f t="shared" si="85"/>
        <v>14</v>
      </c>
      <c r="C5500" s="111"/>
      <c r="D5500" s="111"/>
      <c r="E5500" s="111"/>
    </row>
    <row r="5501" spans="1:5" x14ac:dyDescent="0.2">
      <c r="A5501" s="113">
        <v>40199</v>
      </c>
      <c r="B5501" s="111">
        <f t="shared" si="85"/>
        <v>14</v>
      </c>
      <c r="C5501" s="111"/>
      <c r="D5501" s="111"/>
      <c r="E5501" s="111"/>
    </row>
    <row r="5502" spans="1:5" x14ac:dyDescent="0.2">
      <c r="A5502" s="113">
        <v>40200</v>
      </c>
      <c r="B5502" s="111">
        <f t="shared" si="85"/>
        <v>14</v>
      </c>
      <c r="C5502" s="111"/>
      <c r="D5502" s="111"/>
      <c r="E5502" s="111"/>
    </row>
    <row r="5503" spans="1:5" x14ac:dyDescent="0.2">
      <c r="A5503" s="113">
        <v>40201</v>
      </c>
      <c r="B5503" s="111">
        <f t="shared" si="85"/>
        <v>14</v>
      </c>
      <c r="C5503" s="111"/>
      <c r="D5503" s="111"/>
      <c r="E5503" s="111"/>
    </row>
    <row r="5504" spans="1:5" x14ac:dyDescent="0.2">
      <c r="A5504" s="113">
        <v>40202</v>
      </c>
      <c r="B5504" s="111">
        <f t="shared" si="85"/>
        <v>15</v>
      </c>
      <c r="C5504" s="111"/>
      <c r="D5504" s="111"/>
      <c r="E5504" s="111"/>
    </row>
    <row r="5505" spans="1:5" x14ac:dyDescent="0.2">
      <c r="A5505" s="113">
        <v>40203</v>
      </c>
      <c r="B5505" s="111">
        <f t="shared" si="85"/>
        <v>15</v>
      </c>
      <c r="C5505" s="111"/>
      <c r="D5505" s="111"/>
      <c r="E5505" s="111"/>
    </row>
    <row r="5506" spans="1:5" x14ac:dyDescent="0.2">
      <c r="A5506" s="113">
        <v>40204</v>
      </c>
      <c r="B5506" s="111">
        <f t="shared" ref="B5506:B5569" si="86">VLOOKUP(WEEKNUM(A5506),$D$3:$E$58,2)</f>
        <v>15</v>
      </c>
      <c r="C5506" s="111"/>
      <c r="D5506" s="111"/>
      <c r="E5506" s="111"/>
    </row>
    <row r="5507" spans="1:5" x14ac:dyDescent="0.2">
      <c r="A5507" s="113">
        <v>40205</v>
      </c>
      <c r="B5507" s="111">
        <f t="shared" si="86"/>
        <v>15</v>
      </c>
      <c r="C5507" s="111"/>
      <c r="D5507" s="111"/>
      <c r="E5507" s="111"/>
    </row>
    <row r="5508" spans="1:5" x14ac:dyDescent="0.2">
      <c r="A5508" s="113">
        <v>40206</v>
      </c>
      <c r="B5508" s="111">
        <f t="shared" si="86"/>
        <v>15</v>
      </c>
      <c r="C5508" s="111"/>
      <c r="D5508" s="111"/>
      <c r="E5508" s="111"/>
    </row>
    <row r="5509" spans="1:5" x14ac:dyDescent="0.2">
      <c r="A5509" s="113">
        <v>40207</v>
      </c>
      <c r="B5509" s="111">
        <f t="shared" si="86"/>
        <v>15</v>
      </c>
      <c r="C5509" s="111"/>
      <c r="D5509" s="111"/>
      <c r="E5509" s="111"/>
    </row>
    <row r="5510" spans="1:5" x14ac:dyDescent="0.2">
      <c r="A5510" s="113">
        <v>40208</v>
      </c>
      <c r="B5510" s="111">
        <f t="shared" si="86"/>
        <v>15</v>
      </c>
      <c r="C5510" s="111"/>
      <c r="D5510" s="111"/>
      <c r="E5510" s="111"/>
    </row>
    <row r="5511" spans="1:5" x14ac:dyDescent="0.2">
      <c r="A5511" s="113">
        <v>40209</v>
      </c>
      <c r="B5511" s="111">
        <f t="shared" si="86"/>
        <v>21</v>
      </c>
      <c r="C5511" s="111"/>
      <c r="D5511" s="111"/>
      <c r="E5511" s="111"/>
    </row>
    <row r="5512" spans="1:5" x14ac:dyDescent="0.2">
      <c r="A5512" s="113">
        <v>40210</v>
      </c>
      <c r="B5512" s="111">
        <f t="shared" si="86"/>
        <v>21</v>
      </c>
      <c r="C5512" s="111"/>
      <c r="D5512" s="111"/>
      <c r="E5512" s="111"/>
    </row>
    <row r="5513" spans="1:5" x14ac:dyDescent="0.2">
      <c r="A5513" s="113">
        <v>40211</v>
      </c>
      <c r="B5513" s="111">
        <f t="shared" si="86"/>
        <v>21</v>
      </c>
      <c r="C5513" s="111"/>
      <c r="D5513" s="111"/>
      <c r="E5513" s="111"/>
    </row>
    <row r="5514" spans="1:5" x14ac:dyDescent="0.2">
      <c r="A5514" s="113">
        <v>40212</v>
      </c>
      <c r="B5514" s="111">
        <f t="shared" si="86"/>
        <v>21</v>
      </c>
      <c r="C5514" s="111"/>
      <c r="D5514" s="111"/>
      <c r="E5514" s="111"/>
    </row>
    <row r="5515" spans="1:5" x14ac:dyDescent="0.2">
      <c r="A5515" s="113">
        <v>40213</v>
      </c>
      <c r="B5515" s="111">
        <f t="shared" si="86"/>
        <v>21</v>
      </c>
      <c r="C5515" s="111"/>
      <c r="D5515" s="111"/>
      <c r="E5515" s="111"/>
    </row>
    <row r="5516" spans="1:5" x14ac:dyDescent="0.2">
      <c r="A5516" s="113">
        <v>40214</v>
      </c>
      <c r="B5516" s="111">
        <f t="shared" si="86"/>
        <v>21</v>
      </c>
      <c r="C5516" s="111"/>
      <c r="D5516" s="111"/>
      <c r="E5516" s="111"/>
    </row>
    <row r="5517" spans="1:5" x14ac:dyDescent="0.2">
      <c r="A5517" s="113">
        <v>40215</v>
      </c>
      <c r="B5517" s="111">
        <f t="shared" si="86"/>
        <v>21</v>
      </c>
      <c r="C5517" s="111"/>
      <c r="D5517" s="111"/>
      <c r="E5517" s="111"/>
    </row>
    <row r="5518" spans="1:5" x14ac:dyDescent="0.2">
      <c r="A5518" s="113">
        <v>40216</v>
      </c>
      <c r="B5518" s="111">
        <f t="shared" si="86"/>
        <v>22</v>
      </c>
      <c r="C5518" s="111"/>
      <c r="D5518" s="111"/>
      <c r="E5518" s="111"/>
    </row>
    <row r="5519" spans="1:5" x14ac:dyDescent="0.2">
      <c r="A5519" s="113">
        <v>40217</v>
      </c>
      <c r="B5519" s="111">
        <f t="shared" si="86"/>
        <v>22</v>
      </c>
      <c r="C5519" s="111"/>
      <c r="D5519" s="111"/>
      <c r="E5519" s="111"/>
    </row>
    <row r="5520" spans="1:5" x14ac:dyDescent="0.2">
      <c r="A5520" s="113">
        <v>40218</v>
      </c>
      <c r="B5520" s="111">
        <f t="shared" si="86"/>
        <v>22</v>
      </c>
      <c r="C5520" s="111"/>
      <c r="D5520" s="111"/>
      <c r="E5520" s="111"/>
    </row>
    <row r="5521" spans="1:5" x14ac:dyDescent="0.2">
      <c r="A5521" s="113">
        <v>40219</v>
      </c>
      <c r="B5521" s="111">
        <f t="shared" si="86"/>
        <v>22</v>
      </c>
      <c r="C5521" s="111"/>
      <c r="D5521" s="111"/>
      <c r="E5521" s="111"/>
    </row>
    <row r="5522" spans="1:5" x14ac:dyDescent="0.2">
      <c r="A5522" s="113">
        <v>40220</v>
      </c>
      <c r="B5522" s="111">
        <f t="shared" si="86"/>
        <v>22</v>
      </c>
      <c r="C5522" s="111"/>
      <c r="D5522" s="111"/>
      <c r="E5522" s="111"/>
    </row>
    <row r="5523" spans="1:5" x14ac:dyDescent="0.2">
      <c r="A5523" s="113">
        <v>40221</v>
      </c>
      <c r="B5523" s="111">
        <f t="shared" si="86"/>
        <v>22</v>
      </c>
      <c r="C5523" s="111"/>
      <c r="D5523" s="111"/>
      <c r="E5523" s="111"/>
    </row>
    <row r="5524" spans="1:5" x14ac:dyDescent="0.2">
      <c r="A5524" s="113">
        <v>40222</v>
      </c>
      <c r="B5524" s="111">
        <f t="shared" si="86"/>
        <v>22</v>
      </c>
      <c r="C5524" s="111"/>
      <c r="D5524" s="111"/>
      <c r="E5524" s="111"/>
    </row>
    <row r="5525" spans="1:5" x14ac:dyDescent="0.2">
      <c r="A5525" s="113">
        <v>40223</v>
      </c>
      <c r="B5525" s="111">
        <f t="shared" si="86"/>
        <v>23</v>
      </c>
      <c r="C5525" s="111"/>
      <c r="D5525" s="111"/>
      <c r="E5525" s="111"/>
    </row>
    <row r="5526" spans="1:5" x14ac:dyDescent="0.2">
      <c r="A5526" s="113">
        <v>40224</v>
      </c>
      <c r="B5526" s="111">
        <f t="shared" si="86"/>
        <v>23</v>
      </c>
      <c r="C5526" s="111"/>
      <c r="D5526" s="111"/>
      <c r="E5526" s="111"/>
    </row>
    <row r="5527" spans="1:5" x14ac:dyDescent="0.2">
      <c r="A5527" s="113">
        <v>40225</v>
      </c>
      <c r="B5527" s="111">
        <f t="shared" si="86"/>
        <v>23</v>
      </c>
      <c r="C5527" s="111"/>
      <c r="D5527" s="111"/>
      <c r="E5527" s="111"/>
    </row>
    <row r="5528" spans="1:5" x14ac:dyDescent="0.2">
      <c r="A5528" s="113">
        <v>40226</v>
      </c>
      <c r="B5528" s="111">
        <f t="shared" si="86"/>
        <v>23</v>
      </c>
      <c r="C5528" s="111"/>
      <c r="D5528" s="111"/>
      <c r="E5528" s="111"/>
    </row>
    <row r="5529" spans="1:5" x14ac:dyDescent="0.2">
      <c r="A5529" s="113">
        <v>40227</v>
      </c>
      <c r="B5529" s="111">
        <f t="shared" si="86"/>
        <v>23</v>
      </c>
      <c r="C5529" s="111"/>
      <c r="D5529" s="111"/>
      <c r="E5529" s="111"/>
    </row>
    <row r="5530" spans="1:5" x14ac:dyDescent="0.2">
      <c r="A5530" s="113">
        <v>40228</v>
      </c>
      <c r="B5530" s="111">
        <f t="shared" si="86"/>
        <v>23</v>
      </c>
      <c r="C5530" s="111"/>
      <c r="D5530" s="111"/>
      <c r="E5530" s="111"/>
    </row>
    <row r="5531" spans="1:5" x14ac:dyDescent="0.2">
      <c r="A5531" s="113">
        <v>40229</v>
      </c>
      <c r="B5531" s="111">
        <f t="shared" si="86"/>
        <v>23</v>
      </c>
      <c r="C5531" s="111"/>
      <c r="D5531" s="111"/>
      <c r="E5531" s="111"/>
    </row>
    <row r="5532" spans="1:5" x14ac:dyDescent="0.2">
      <c r="A5532" s="113">
        <v>40230</v>
      </c>
      <c r="B5532" s="111">
        <f t="shared" si="86"/>
        <v>24</v>
      </c>
      <c r="C5532" s="111"/>
      <c r="D5532" s="111"/>
      <c r="E5532" s="111"/>
    </row>
    <row r="5533" spans="1:5" x14ac:dyDescent="0.2">
      <c r="A5533" s="113">
        <v>40231</v>
      </c>
      <c r="B5533" s="111">
        <f t="shared" si="86"/>
        <v>24</v>
      </c>
      <c r="C5533" s="111"/>
      <c r="D5533" s="111"/>
      <c r="E5533" s="111"/>
    </row>
    <row r="5534" spans="1:5" x14ac:dyDescent="0.2">
      <c r="A5534" s="113">
        <v>40232</v>
      </c>
      <c r="B5534" s="111">
        <f t="shared" si="86"/>
        <v>24</v>
      </c>
      <c r="C5534" s="111"/>
      <c r="D5534" s="111"/>
      <c r="E5534" s="111"/>
    </row>
    <row r="5535" spans="1:5" x14ac:dyDescent="0.2">
      <c r="A5535" s="113">
        <v>40233</v>
      </c>
      <c r="B5535" s="111">
        <f t="shared" si="86"/>
        <v>24</v>
      </c>
      <c r="C5535" s="111"/>
      <c r="D5535" s="111"/>
      <c r="E5535" s="111"/>
    </row>
    <row r="5536" spans="1:5" x14ac:dyDescent="0.2">
      <c r="A5536" s="113">
        <v>40234</v>
      </c>
      <c r="B5536" s="111">
        <f t="shared" si="86"/>
        <v>24</v>
      </c>
      <c r="C5536" s="111"/>
      <c r="D5536" s="111"/>
      <c r="E5536" s="111"/>
    </row>
    <row r="5537" spans="1:5" x14ac:dyDescent="0.2">
      <c r="A5537" s="113">
        <v>40235</v>
      </c>
      <c r="B5537" s="111">
        <f t="shared" si="86"/>
        <v>24</v>
      </c>
      <c r="C5537" s="111"/>
      <c r="D5537" s="111"/>
      <c r="E5537" s="111"/>
    </row>
    <row r="5538" spans="1:5" x14ac:dyDescent="0.2">
      <c r="A5538" s="113">
        <v>40236</v>
      </c>
      <c r="B5538" s="111">
        <f t="shared" si="86"/>
        <v>24</v>
      </c>
      <c r="C5538" s="111"/>
      <c r="D5538" s="111"/>
      <c r="E5538" s="111"/>
    </row>
    <row r="5539" spans="1:5" x14ac:dyDescent="0.2">
      <c r="A5539" s="113">
        <v>40237</v>
      </c>
      <c r="B5539" s="111">
        <f t="shared" si="86"/>
        <v>31</v>
      </c>
      <c r="C5539" s="111"/>
      <c r="D5539" s="111"/>
      <c r="E5539" s="111"/>
    </row>
    <row r="5540" spans="1:5" x14ac:dyDescent="0.2">
      <c r="A5540" s="113">
        <v>40238</v>
      </c>
      <c r="B5540" s="111">
        <f t="shared" si="86"/>
        <v>31</v>
      </c>
      <c r="C5540" s="111"/>
      <c r="D5540" s="111"/>
      <c r="E5540" s="111"/>
    </row>
    <row r="5541" spans="1:5" x14ac:dyDescent="0.2">
      <c r="A5541" s="113">
        <v>40239</v>
      </c>
      <c r="B5541" s="111">
        <f t="shared" si="86"/>
        <v>31</v>
      </c>
      <c r="C5541" s="111"/>
      <c r="D5541" s="111"/>
      <c r="E5541" s="111"/>
    </row>
    <row r="5542" spans="1:5" x14ac:dyDescent="0.2">
      <c r="A5542" s="113">
        <v>40240</v>
      </c>
      <c r="B5542" s="111">
        <f t="shared" si="86"/>
        <v>31</v>
      </c>
      <c r="C5542" s="111"/>
      <c r="D5542" s="111"/>
      <c r="E5542" s="111"/>
    </row>
    <row r="5543" spans="1:5" x14ac:dyDescent="0.2">
      <c r="A5543" s="113">
        <v>40241</v>
      </c>
      <c r="B5543" s="111">
        <f t="shared" si="86"/>
        <v>31</v>
      </c>
      <c r="C5543" s="111"/>
      <c r="D5543" s="111"/>
      <c r="E5543" s="111"/>
    </row>
    <row r="5544" spans="1:5" x14ac:dyDescent="0.2">
      <c r="A5544" s="113">
        <v>40242</v>
      </c>
      <c r="B5544" s="111">
        <f t="shared" si="86"/>
        <v>31</v>
      </c>
      <c r="C5544" s="111"/>
      <c r="D5544" s="111"/>
      <c r="E5544" s="111"/>
    </row>
    <row r="5545" spans="1:5" x14ac:dyDescent="0.2">
      <c r="A5545" s="113">
        <v>40243</v>
      </c>
      <c r="B5545" s="111">
        <f t="shared" si="86"/>
        <v>31</v>
      </c>
      <c r="C5545" s="111"/>
      <c r="D5545" s="111"/>
      <c r="E5545" s="111"/>
    </row>
    <row r="5546" spans="1:5" x14ac:dyDescent="0.2">
      <c r="A5546" s="113">
        <v>40244</v>
      </c>
      <c r="B5546" s="111">
        <f t="shared" si="86"/>
        <v>32</v>
      </c>
      <c r="C5546" s="111"/>
      <c r="D5546" s="111"/>
      <c r="E5546" s="111"/>
    </row>
    <row r="5547" spans="1:5" x14ac:dyDescent="0.2">
      <c r="A5547" s="113">
        <v>40245</v>
      </c>
      <c r="B5547" s="111">
        <f t="shared" si="86"/>
        <v>32</v>
      </c>
      <c r="C5547" s="111"/>
      <c r="D5547" s="111"/>
      <c r="E5547" s="111"/>
    </row>
    <row r="5548" spans="1:5" x14ac:dyDescent="0.2">
      <c r="A5548" s="113">
        <v>40246</v>
      </c>
      <c r="B5548" s="111">
        <f t="shared" si="86"/>
        <v>32</v>
      </c>
      <c r="C5548" s="111"/>
      <c r="D5548" s="111"/>
      <c r="E5548" s="111"/>
    </row>
    <row r="5549" spans="1:5" x14ac:dyDescent="0.2">
      <c r="A5549" s="113">
        <v>40247</v>
      </c>
      <c r="B5549" s="111">
        <f t="shared" si="86"/>
        <v>32</v>
      </c>
      <c r="C5549" s="111"/>
      <c r="D5549" s="111"/>
      <c r="E5549" s="111"/>
    </row>
    <row r="5550" spans="1:5" x14ac:dyDescent="0.2">
      <c r="A5550" s="113">
        <v>40248</v>
      </c>
      <c r="B5550" s="111">
        <f t="shared" si="86"/>
        <v>32</v>
      </c>
      <c r="C5550" s="111"/>
      <c r="D5550" s="111"/>
      <c r="E5550" s="111"/>
    </row>
    <row r="5551" spans="1:5" x14ac:dyDescent="0.2">
      <c r="A5551" s="113">
        <v>40249</v>
      </c>
      <c r="B5551" s="111">
        <f t="shared" si="86"/>
        <v>32</v>
      </c>
      <c r="C5551" s="111"/>
      <c r="D5551" s="111"/>
      <c r="E5551" s="111"/>
    </row>
    <row r="5552" spans="1:5" x14ac:dyDescent="0.2">
      <c r="A5552" s="113">
        <v>40250</v>
      </c>
      <c r="B5552" s="111">
        <f t="shared" si="86"/>
        <v>32</v>
      </c>
      <c r="C5552" s="111"/>
      <c r="D5552" s="111"/>
      <c r="E5552" s="111"/>
    </row>
    <row r="5553" spans="1:5" x14ac:dyDescent="0.2">
      <c r="A5553" s="113">
        <v>40251</v>
      </c>
      <c r="B5553" s="111">
        <f t="shared" si="86"/>
        <v>33</v>
      </c>
      <c r="C5553" s="111"/>
      <c r="D5553" s="111"/>
      <c r="E5553" s="111"/>
    </row>
    <row r="5554" spans="1:5" x14ac:dyDescent="0.2">
      <c r="A5554" s="113">
        <v>40252</v>
      </c>
      <c r="B5554" s="111">
        <f t="shared" si="86"/>
        <v>33</v>
      </c>
      <c r="C5554" s="111"/>
      <c r="D5554" s="111"/>
      <c r="E5554" s="111"/>
    </row>
    <row r="5555" spans="1:5" x14ac:dyDescent="0.2">
      <c r="A5555" s="113">
        <v>40253</v>
      </c>
      <c r="B5555" s="111">
        <f t="shared" si="86"/>
        <v>33</v>
      </c>
      <c r="C5555" s="111"/>
      <c r="D5555" s="111"/>
      <c r="E5555" s="111"/>
    </row>
    <row r="5556" spans="1:5" x14ac:dyDescent="0.2">
      <c r="A5556" s="113">
        <v>40254</v>
      </c>
      <c r="B5556" s="111">
        <f t="shared" si="86"/>
        <v>33</v>
      </c>
      <c r="C5556" s="111"/>
      <c r="D5556" s="111"/>
      <c r="E5556" s="111"/>
    </row>
    <row r="5557" spans="1:5" x14ac:dyDescent="0.2">
      <c r="A5557" s="113">
        <v>40255</v>
      </c>
      <c r="B5557" s="111">
        <f t="shared" si="86"/>
        <v>33</v>
      </c>
      <c r="C5557" s="111"/>
      <c r="D5557" s="111"/>
      <c r="E5557" s="111"/>
    </row>
    <row r="5558" spans="1:5" x14ac:dyDescent="0.2">
      <c r="A5558" s="113">
        <v>40256</v>
      </c>
      <c r="B5558" s="111">
        <f t="shared" si="86"/>
        <v>33</v>
      </c>
      <c r="C5558" s="111"/>
      <c r="D5558" s="111"/>
      <c r="E5558" s="111"/>
    </row>
    <row r="5559" spans="1:5" x14ac:dyDescent="0.2">
      <c r="A5559" s="113">
        <v>40257</v>
      </c>
      <c r="B5559" s="111">
        <f t="shared" si="86"/>
        <v>33</v>
      </c>
      <c r="C5559" s="111"/>
      <c r="D5559" s="111"/>
      <c r="E5559" s="111"/>
    </row>
    <row r="5560" spans="1:5" x14ac:dyDescent="0.2">
      <c r="A5560" s="113">
        <v>40258</v>
      </c>
      <c r="B5560" s="111">
        <f t="shared" si="86"/>
        <v>34</v>
      </c>
      <c r="C5560" s="111"/>
      <c r="D5560" s="111"/>
      <c r="E5560" s="111"/>
    </row>
    <row r="5561" spans="1:5" x14ac:dyDescent="0.2">
      <c r="A5561" s="113">
        <v>40259</v>
      </c>
      <c r="B5561" s="111">
        <f t="shared" si="86"/>
        <v>34</v>
      </c>
      <c r="C5561" s="111"/>
      <c r="D5561" s="111"/>
      <c r="E5561" s="111"/>
    </row>
    <row r="5562" spans="1:5" x14ac:dyDescent="0.2">
      <c r="A5562" s="113">
        <v>40260</v>
      </c>
      <c r="B5562" s="111">
        <f t="shared" si="86"/>
        <v>34</v>
      </c>
      <c r="C5562" s="111"/>
      <c r="D5562" s="111"/>
      <c r="E5562" s="111"/>
    </row>
    <row r="5563" spans="1:5" x14ac:dyDescent="0.2">
      <c r="A5563" s="113">
        <v>40261</v>
      </c>
      <c r="B5563" s="111">
        <f t="shared" si="86"/>
        <v>34</v>
      </c>
      <c r="C5563" s="111"/>
      <c r="D5563" s="111"/>
      <c r="E5563" s="111"/>
    </row>
    <row r="5564" spans="1:5" x14ac:dyDescent="0.2">
      <c r="A5564" s="113">
        <v>40262</v>
      </c>
      <c r="B5564" s="111">
        <f t="shared" si="86"/>
        <v>34</v>
      </c>
      <c r="C5564" s="111"/>
      <c r="D5564" s="111"/>
      <c r="E5564" s="111"/>
    </row>
    <row r="5565" spans="1:5" x14ac:dyDescent="0.2">
      <c r="A5565" s="113">
        <v>40263</v>
      </c>
      <c r="B5565" s="111">
        <f t="shared" si="86"/>
        <v>34</v>
      </c>
      <c r="C5565" s="111"/>
      <c r="D5565" s="111"/>
      <c r="E5565" s="111"/>
    </row>
    <row r="5566" spans="1:5" x14ac:dyDescent="0.2">
      <c r="A5566" s="113">
        <v>40264</v>
      </c>
      <c r="B5566" s="111">
        <f t="shared" si="86"/>
        <v>34</v>
      </c>
      <c r="C5566" s="111"/>
      <c r="D5566" s="111"/>
      <c r="E5566" s="111"/>
    </row>
    <row r="5567" spans="1:5" x14ac:dyDescent="0.2">
      <c r="A5567" s="113">
        <v>40265</v>
      </c>
      <c r="B5567" s="111">
        <f t="shared" si="86"/>
        <v>41</v>
      </c>
      <c r="C5567" s="111"/>
      <c r="D5567" s="111"/>
      <c r="E5567" s="111"/>
    </row>
    <row r="5568" spans="1:5" x14ac:dyDescent="0.2">
      <c r="A5568" s="113">
        <v>40266</v>
      </c>
      <c r="B5568" s="111">
        <f t="shared" si="86"/>
        <v>41</v>
      </c>
      <c r="C5568" s="111"/>
      <c r="D5568" s="111"/>
      <c r="E5568" s="111"/>
    </row>
    <row r="5569" spans="1:5" x14ac:dyDescent="0.2">
      <c r="A5569" s="113">
        <v>40267</v>
      </c>
      <c r="B5569" s="111">
        <f t="shared" si="86"/>
        <v>41</v>
      </c>
      <c r="C5569" s="111"/>
      <c r="D5569" s="111"/>
      <c r="E5569" s="111"/>
    </row>
    <row r="5570" spans="1:5" x14ac:dyDescent="0.2">
      <c r="A5570" s="113">
        <v>40268</v>
      </c>
      <c r="B5570" s="111">
        <f t="shared" ref="B5570:B5633" si="87">VLOOKUP(WEEKNUM(A5570),$D$3:$E$58,2)</f>
        <v>41</v>
      </c>
      <c r="C5570" s="111"/>
      <c r="D5570" s="111"/>
      <c r="E5570" s="111"/>
    </row>
    <row r="5571" spans="1:5" x14ac:dyDescent="0.2">
      <c r="A5571" s="113">
        <v>40269</v>
      </c>
      <c r="B5571" s="111">
        <f t="shared" si="87"/>
        <v>41</v>
      </c>
      <c r="C5571" s="111"/>
      <c r="D5571" s="111"/>
      <c r="E5571" s="111"/>
    </row>
    <row r="5572" spans="1:5" x14ac:dyDescent="0.2">
      <c r="A5572" s="113">
        <v>40270</v>
      </c>
      <c r="B5572" s="111">
        <f t="shared" si="87"/>
        <v>41</v>
      </c>
      <c r="C5572" s="111"/>
      <c r="D5572" s="111"/>
      <c r="E5572" s="111"/>
    </row>
    <row r="5573" spans="1:5" x14ac:dyDescent="0.2">
      <c r="A5573" s="113">
        <v>40271</v>
      </c>
      <c r="B5573" s="111">
        <f t="shared" si="87"/>
        <v>41</v>
      </c>
      <c r="C5573" s="111"/>
      <c r="D5573" s="111"/>
      <c r="E5573" s="111"/>
    </row>
    <row r="5574" spans="1:5" x14ac:dyDescent="0.2">
      <c r="A5574" s="113">
        <v>40272</v>
      </c>
      <c r="B5574" s="111">
        <f t="shared" si="87"/>
        <v>42</v>
      </c>
      <c r="C5574" s="111"/>
      <c r="D5574" s="111"/>
      <c r="E5574" s="111"/>
    </row>
    <row r="5575" spans="1:5" x14ac:dyDescent="0.2">
      <c r="A5575" s="113">
        <v>40273</v>
      </c>
      <c r="B5575" s="111">
        <f t="shared" si="87"/>
        <v>42</v>
      </c>
      <c r="C5575" s="111"/>
      <c r="D5575" s="111"/>
      <c r="E5575" s="111"/>
    </row>
    <row r="5576" spans="1:5" x14ac:dyDescent="0.2">
      <c r="A5576" s="113">
        <v>40274</v>
      </c>
      <c r="B5576" s="111">
        <f t="shared" si="87"/>
        <v>42</v>
      </c>
      <c r="C5576" s="111"/>
      <c r="D5576" s="111"/>
      <c r="E5576" s="111"/>
    </row>
    <row r="5577" spans="1:5" x14ac:dyDescent="0.2">
      <c r="A5577" s="113">
        <v>40275</v>
      </c>
      <c r="B5577" s="111">
        <f t="shared" si="87"/>
        <v>42</v>
      </c>
      <c r="C5577" s="111"/>
      <c r="D5577" s="111"/>
      <c r="E5577" s="111"/>
    </row>
    <row r="5578" spans="1:5" x14ac:dyDescent="0.2">
      <c r="A5578" s="113">
        <v>40276</v>
      </c>
      <c r="B5578" s="111">
        <f t="shared" si="87"/>
        <v>42</v>
      </c>
      <c r="C5578" s="111"/>
      <c r="D5578" s="111"/>
      <c r="E5578" s="111"/>
    </row>
    <row r="5579" spans="1:5" x14ac:dyDescent="0.2">
      <c r="A5579" s="113">
        <v>40277</v>
      </c>
      <c r="B5579" s="111">
        <f t="shared" si="87"/>
        <v>42</v>
      </c>
      <c r="C5579" s="111"/>
      <c r="D5579" s="111"/>
      <c r="E5579" s="111"/>
    </row>
    <row r="5580" spans="1:5" x14ac:dyDescent="0.2">
      <c r="A5580" s="113">
        <v>40278</v>
      </c>
      <c r="B5580" s="111">
        <f t="shared" si="87"/>
        <v>42</v>
      </c>
      <c r="C5580" s="111"/>
      <c r="D5580" s="111"/>
      <c r="E5580" s="111"/>
    </row>
    <row r="5581" spans="1:5" x14ac:dyDescent="0.2">
      <c r="A5581" s="113">
        <v>40279</v>
      </c>
      <c r="B5581" s="111">
        <f t="shared" si="87"/>
        <v>43</v>
      </c>
      <c r="C5581" s="111"/>
      <c r="D5581" s="111"/>
      <c r="E5581" s="111"/>
    </row>
    <row r="5582" spans="1:5" x14ac:dyDescent="0.2">
      <c r="A5582" s="113">
        <v>40280</v>
      </c>
      <c r="B5582" s="111">
        <f t="shared" si="87"/>
        <v>43</v>
      </c>
      <c r="C5582" s="111"/>
      <c r="D5582" s="111"/>
      <c r="E5582" s="111"/>
    </row>
    <row r="5583" spans="1:5" x14ac:dyDescent="0.2">
      <c r="A5583" s="113">
        <v>40281</v>
      </c>
      <c r="B5583" s="111">
        <f t="shared" si="87"/>
        <v>43</v>
      </c>
      <c r="C5583" s="111"/>
      <c r="D5583" s="111"/>
      <c r="E5583" s="111"/>
    </row>
    <row r="5584" spans="1:5" x14ac:dyDescent="0.2">
      <c r="A5584" s="113">
        <v>40282</v>
      </c>
      <c r="B5584" s="111">
        <f t="shared" si="87"/>
        <v>43</v>
      </c>
      <c r="C5584" s="111"/>
      <c r="D5584" s="111"/>
      <c r="E5584" s="111"/>
    </row>
    <row r="5585" spans="1:5" x14ac:dyDescent="0.2">
      <c r="A5585" s="113">
        <v>40283</v>
      </c>
      <c r="B5585" s="111">
        <f t="shared" si="87"/>
        <v>43</v>
      </c>
      <c r="C5585" s="111"/>
      <c r="D5585" s="111"/>
      <c r="E5585" s="111"/>
    </row>
    <row r="5586" spans="1:5" x14ac:dyDescent="0.2">
      <c r="A5586" s="113">
        <v>40284</v>
      </c>
      <c r="B5586" s="111">
        <f t="shared" si="87"/>
        <v>43</v>
      </c>
      <c r="C5586" s="111"/>
      <c r="D5586" s="111"/>
      <c r="E5586" s="111"/>
    </row>
    <row r="5587" spans="1:5" x14ac:dyDescent="0.2">
      <c r="A5587" s="113">
        <v>40285</v>
      </c>
      <c r="B5587" s="111">
        <f t="shared" si="87"/>
        <v>43</v>
      </c>
      <c r="C5587" s="111"/>
      <c r="D5587" s="111"/>
      <c r="E5587" s="111"/>
    </row>
    <row r="5588" spans="1:5" x14ac:dyDescent="0.2">
      <c r="A5588" s="113">
        <v>40286</v>
      </c>
      <c r="B5588" s="111">
        <f t="shared" si="87"/>
        <v>44</v>
      </c>
      <c r="C5588" s="111"/>
      <c r="D5588" s="111"/>
      <c r="E5588" s="111"/>
    </row>
    <row r="5589" spans="1:5" x14ac:dyDescent="0.2">
      <c r="A5589" s="113">
        <v>40287</v>
      </c>
      <c r="B5589" s="111">
        <f t="shared" si="87"/>
        <v>44</v>
      </c>
      <c r="C5589" s="111"/>
      <c r="D5589" s="111"/>
      <c r="E5589" s="111"/>
    </row>
    <row r="5590" spans="1:5" x14ac:dyDescent="0.2">
      <c r="A5590" s="113">
        <v>40288</v>
      </c>
      <c r="B5590" s="111">
        <f t="shared" si="87"/>
        <v>44</v>
      </c>
      <c r="C5590" s="111"/>
      <c r="D5590" s="111"/>
      <c r="E5590" s="111"/>
    </row>
    <row r="5591" spans="1:5" x14ac:dyDescent="0.2">
      <c r="A5591" s="113">
        <v>40289</v>
      </c>
      <c r="B5591" s="111">
        <f t="shared" si="87"/>
        <v>44</v>
      </c>
      <c r="C5591" s="111"/>
      <c r="D5591" s="111"/>
      <c r="E5591" s="111"/>
    </row>
    <row r="5592" spans="1:5" x14ac:dyDescent="0.2">
      <c r="A5592" s="113">
        <v>40290</v>
      </c>
      <c r="B5592" s="111">
        <f t="shared" si="87"/>
        <v>44</v>
      </c>
      <c r="C5592" s="111"/>
      <c r="D5592" s="111"/>
      <c r="E5592" s="111"/>
    </row>
    <row r="5593" spans="1:5" x14ac:dyDescent="0.2">
      <c r="A5593" s="113">
        <v>40291</v>
      </c>
      <c r="B5593" s="111">
        <f t="shared" si="87"/>
        <v>44</v>
      </c>
      <c r="C5593" s="111"/>
      <c r="D5593" s="111"/>
      <c r="E5593" s="111"/>
    </row>
    <row r="5594" spans="1:5" x14ac:dyDescent="0.2">
      <c r="A5594" s="113">
        <v>40292</v>
      </c>
      <c r="B5594" s="111">
        <f t="shared" si="87"/>
        <v>44</v>
      </c>
      <c r="C5594" s="111"/>
      <c r="D5594" s="111"/>
      <c r="E5594" s="111"/>
    </row>
    <row r="5595" spans="1:5" x14ac:dyDescent="0.2">
      <c r="A5595" s="113">
        <v>40293</v>
      </c>
      <c r="B5595" s="111">
        <f t="shared" si="87"/>
        <v>45</v>
      </c>
      <c r="C5595" s="111"/>
      <c r="D5595" s="111"/>
      <c r="E5595" s="111"/>
    </row>
    <row r="5596" spans="1:5" x14ac:dyDescent="0.2">
      <c r="A5596" s="113">
        <v>40294</v>
      </c>
      <c r="B5596" s="111">
        <f t="shared" si="87"/>
        <v>45</v>
      </c>
      <c r="C5596" s="111"/>
      <c r="D5596" s="111"/>
      <c r="E5596" s="111"/>
    </row>
    <row r="5597" spans="1:5" x14ac:dyDescent="0.2">
      <c r="A5597" s="113">
        <v>40295</v>
      </c>
      <c r="B5597" s="111">
        <f t="shared" si="87"/>
        <v>45</v>
      </c>
      <c r="C5597" s="111"/>
      <c r="D5597" s="111"/>
      <c r="E5597" s="111"/>
    </row>
    <row r="5598" spans="1:5" x14ac:dyDescent="0.2">
      <c r="A5598" s="113">
        <v>40296</v>
      </c>
      <c r="B5598" s="111">
        <f t="shared" si="87"/>
        <v>45</v>
      </c>
      <c r="C5598" s="111"/>
      <c r="D5598" s="111"/>
      <c r="E5598" s="111"/>
    </row>
    <row r="5599" spans="1:5" x14ac:dyDescent="0.2">
      <c r="A5599" s="113">
        <v>40297</v>
      </c>
      <c r="B5599" s="111">
        <f t="shared" si="87"/>
        <v>45</v>
      </c>
      <c r="C5599" s="111"/>
      <c r="D5599" s="111"/>
      <c r="E5599" s="111"/>
    </row>
    <row r="5600" spans="1:5" x14ac:dyDescent="0.2">
      <c r="A5600" s="113">
        <v>40298</v>
      </c>
      <c r="B5600" s="111">
        <f t="shared" si="87"/>
        <v>45</v>
      </c>
      <c r="C5600" s="111"/>
      <c r="D5600" s="111"/>
      <c r="E5600" s="111"/>
    </row>
    <row r="5601" spans="1:5" x14ac:dyDescent="0.2">
      <c r="A5601" s="113">
        <v>40299</v>
      </c>
      <c r="B5601" s="111">
        <f t="shared" si="87"/>
        <v>45</v>
      </c>
      <c r="C5601" s="111"/>
      <c r="D5601" s="111"/>
      <c r="E5601" s="111"/>
    </row>
    <row r="5602" spans="1:5" x14ac:dyDescent="0.2">
      <c r="A5602" s="113">
        <v>40300</v>
      </c>
      <c r="B5602" s="111">
        <f t="shared" si="87"/>
        <v>51</v>
      </c>
      <c r="C5602" s="111"/>
      <c r="D5602" s="111"/>
      <c r="E5602" s="111"/>
    </row>
    <row r="5603" spans="1:5" x14ac:dyDescent="0.2">
      <c r="A5603" s="113">
        <v>40301</v>
      </c>
      <c r="B5603" s="111">
        <f t="shared" si="87"/>
        <v>51</v>
      </c>
      <c r="C5603" s="111"/>
      <c r="D5603" s="111"/>
      <c r="E5603" s="111"/>
    </row>
    <row r="5604" spans="1:5" x14ac:dyDescent="0.2">
      <c r="A5604" s="113">
        <v>40302</v>
      </c>
      <c r="B5604" s="111">
        <f t="shared" si="87"/>
        <v>51</v>
      </c>
      <c r="C5604" s="111"/>
      <c r="D5604" s="111"/>
      <c r="E5604" s="111"/>
    </row>
    <row r="5605" spans="1:5" x14ac:dyDescent="0.2">
      <c r="A5605" s="113">
        <v>40303</v>
      </c>
      <c r="B5605" s="111">
        <f t="shared" si="87"/>
        <v>51</v>
      </c>
      <c r="C5605" s="111"/>
      <c r="D5605" s="111"/>
      <c r="E5605" s="111"/>
    </row>
    <row r="5606" spans="1:5" x14ac:dyDescent="0.2">
      <c r="A5606" s="113">
        <v>40304</v>
      </c>
      <c r="B5606" s="111">
        <f t="shared" si="87"/>
        <v>51</v>
      </c>
      <c r="C5606" s="111"/>
      <c r="D5606" s="111"/>
      <c r="E5606" s="111"/>
    </row>
    <row r="5607" spans="1:5" x14ac:dyDescent="0.2">
      <c r="A5607" s="113">
        <v>40305</v>
      </c>
      <c r="B5607" s="111">
        <f t="shared" si="87"/>
        <v>51</v>
      </c>
      <c r="C5607" s="111"/>
      <c r="D5607" s="111"/>
      <c r="E5607" s="111"/>
    </row>
    <row r="5608" spans="1:5" x14ac:dyDescent="0.2">
      <c r="A5608" s="113">
        <v>40306</v>
      </c>
      <c r="B5608" s="111">
        <f t="shared" si="87"/>
        <v>51</v>
      </c>
      <c r="C5608" s="111"/>
      <c r="D5608" s="111"/>
      <c r="E5608" s="111"/>
    </row>
    <row r="5609" spans="1:5" x14ac:dyDescent="0.2">
      <c r="A5609" s="113">
        <v>40307</v>
      </c>
      <c r="B5609" s="111">
        <f t="shared" si="87"/>
        <v>52</v>
      </c>
      <c r="C5609" s="111"/>
      <c r="D5609" s="111"/>
      <c r="E5609" s="111"/>
    </row>
    <row r="5610" spans="1:5" x14ac:dyDescent="0.2">
      <c r="A5610" s="113">
        <v>40308</v>
      </c>
      <c r="B5610" s="111">
        <f t="shared" si="87"/>
        <v>52</v>
      </c>
      <c r="C5610" s="111"/>
      <c r="D5610" s="111"/>
      <c r="E5610" s="111"/>
    </row>
    <row r="5611" spans="1:5" x14ac:dyDescent="0.2">
      <c r="A5611" s="113">
        <v>40309</v>
      </c>
      <c r="B5611" s="111">
        <f t="shared" si="87"/>
        <v>52</v>
      </c>
      <c r="C5611" s="111"/>
      <c r="D5611" s="111"/>
      <c r="E5611" s="111"/>
    </row>
    <row r="5612" spans="1:5" x14ac:dyDescent="0.2">
      <c r="A5612" s="113">
        <v>40310</v>
      </c>
      <c r="B5612" s="111">
        <f t="shared" si="87"/>
        <v>52</v>
      </c>
      <c r="C5612" s="111"/>
      <c r="D5612" s="111"/>
      <c r="E5612" s="111"/>
    </row>
    <row r="5613" spans="1:5" x14ac:dyDescent="0.2">
      <c r="A5613" s="113">
        <v>40311</v>
      </c>
      <c r="B5613" s="111">
        <f t="shared" si="87"/>
        <v>52</v>
      </c>
      <c r="C5613" s="111"/>
      <c r="D5613" s="111"/>
      <c r="E5613" s="111"/>
    </row>
    <row r="5614" spans="1:5" x14ac:dyDescent="0.2">
      <c r="A5614" s="113">
        <v>40312</v>
      </c>
      <c r="B5614" s="111">
        <f t="shared" si="87"/>
        <v>52</v>
      </c>
      <c r="C5614" s="111"/>
      <c r="D5614" s="111"/>
      <c r="E5614" s="111"/>
    </row>
    <row r="5615" spans="1:5" x14ac:dyDescent="0.2">
      <c r="A5615" s="113">
        <v>40313</v>
      </c>
      <c r="B5615" s="111">
        <f t="shared" si="87"/>
        <v>52</v>
      </c>
      <c r="C5615" s="111"/>
      <c r="D5615" s="111"/>
      <c r="E5615" s="111"/>
    </row>
    <row r="5616" spans="1:5" x14ac:dyDescent="0.2">
      <c r="A5616" s="113">
        <v>40314</v>
      </c>
      <c r="B5616" s="111">
        <f t="shared" si="87"/>
        <v>53</v>
      </c>
      <c r="C5616" s="111"/>
      <c r="D5616" s="111"/>
      <c r="E5616" s="111"/>
    </row>
    <row r="5617" spans="1:5" x14ac:dyDescent="0.2">
      <c r="A5617" s="113">
        <v>40315</v>
      </c>
      <c r="B5617" s="111">
        <f t="shared" si="87"/>
        <v>53</v>
      </c>
      <c r="C5617" s="111"/>
      <c r="D5617" s="111"/>
      <c r="E5617" s="111"/>
    </row>
    <row r="5618" spans="1:5" x14ac:dyDescent="0.2">
      <c r="A5618" s="113">
        <v>40316</v>
      </c>
      <c r="B5618" s="111">
        <f t="shared" si="87"/>
        <v>53</v>
      </c>
      <c r="C5618" s="111"/>
      <c r="D5618" s="111"/>
      <c r="E5618" s="111"/>
    </row>
    <row r="5619" spans="1:5" x14ac:dyDescent="0.2">
      <c r="A5619" s="113">
        <v>40317</v>
      </c>
      <c r="B5619" s="111">
        <f t="shared" si="87"/>
        <v>53</v>
      </c>
      <c r="C5619" s="111"/>
      <c r="D5619" s="111"/>
      <c r="E5619" s="111"/>
    </row>
    <row r="5620" spans="1:5" x14ac:dyDescent="0.2">
      <c r="A5620" s="113">
        <v>40318</v>
      </c>
      <c r="B5620" s="111">
        <f t="shared" si="87"/>
        <v>53</v>
      </c>
      <c r="C5620" s="111"/>
      <c r="D5620" s="111"/>
      <c r="E5620" s="111"/>
    </row>
    <row r="5621" spans="1:5" x14ac:dyDescent="0.2">
      <c r="A5621" s="113">
        <v>40319</v>
      </c>
      <c r="B5621" s="111">
        <f t="shared" si="87"/>
        <v>53</v>
      </c>
      <c r="C5621" s="111"/>
      <c r="D5621" s="111"/>
      <c r="E5621" s="111"/>
    </row>
    <row r="5622" spans="1:5" x14ac:dyDescent="0.2">
      <c r="A5622" s="113">
        <v>40320</v>
      </c>
      <c r="B5622" s="111">
        <f t="shared" si="87"/>
        <v>53</v>
      </c>
      <c r="C5622" s="111"/>
      <c r="D5622" s="111"/>
      <c r="E5622" s="111"/>
    </row>
    <row r="5623" spans="1:5" x14ac:dyDescent="0.2">
      <c r="A5623" s="113">
        <v>40321</v>
      </c>
      <c r="B5623" s="111">
        <f t="shared" si="87"/>
        <v>54</v>
      </c>
      <c r="C5623" s="111"/>
      <c r="D5623" s="111"/>
      <c r="E5623" s="111"/>
    </row>
    <row r="5624" spans="1:5" x14ac:dyDescent="0.2">
      <c r="A5624" s="113">
        <v>40322</v>
      </c>
      <c r="B5624" s="111">
        <f t="shared" si="87"/>
        <v>54</v>
      </c>
      <c r="C5624" s="111"/>
      <c r="D5624" s="111"/>
      <c r="E5624" s="111"/>
    </row>
    <row r="5625" spans="1:5" x14ac:dyDescent="0.2">
      <c r="A5625" s="113">
        <v>40323</v>
      </c>
      <c r="B5625" s="111">
        <f t="shared" si="87"/>
        <v>54</v>
      </c>
      <c r="C5625" s="111"/>
      <c r="D5625" s="111"/>
      <c r="E5625" s="111"/>
    </row>
    <row r="5626" spans="1:5" x14ac:dyDescent="0.2">
      <c r="A5626" s="113">
        <v>40324</v>
      </c>
      <c r="B5626" s="111">
        <f t="shared" si="87"/>
        <v>54</v>
      </c>
      <c r="C5626" s="111"/>
      <c r="D5626" s="111"/>
      <c r="E5626" s="111"/>
    </row>
    <row r="5627" spans="1:5" x14ac:dyDescent="0.2">
      <c r="A5627" s="113">
        <v>40325</v>
      </c>
      <c r="B5627" s="111">
        <f t="shared" si="87"/>
        <v>54</v>
      </c>
      <c r="C5627" s="111"/>
      <c r="D5627" s="111"/>
      <c r="E5627" s="111"/>
    </row>
    <row r="5628" spans="1:5" x14ac:dyDescent="0.2">
      <c r="A5628" s="113">
        <v>40326</v>
      </c>
      <c r="B5628" s="111">
        <f t="shared" si="87"/>
        <v>54</v>
      </c>
      <c r="C5628" s="111"/>
      <c r="D5628" s="111"/>
      <c r="E5628" s="111"/>
    </row>
    <row r="5629" spans="1:5" x14ac:dyDescent="0.2">
      <c r="A5629" s="113">
        <v>40327</v>
      </c>
      <c r="B5629" s="111">
        <f t="shared" si="87"/>
        <v>54</v>
      </c>
      <c r="C5629" s="111"/>
      <c r="D5629" s="111"/>
      <c r="E5629" s="111"/>
    </row>
    <row r="5630" spans="1:5" x14ac:dyDescent="0.2">
      <c r="A5630" s="113">
        <v>40328</v>
      </c>
      <c r="B5630" s="111">
        <f t="shared" si="87"/>
        <v>61</v>
      </c>
      <c r="C5630" s="111"/>
      <c r="D5630" s="111"/>
      <c r="E5630" s="111"/>
    </row>
    <row r="5631" spans="1:5" x14ac:dyDescent="0.2">
      <c r="A5631" s="113">
        <v>40329</v>
      </c>
      <c r="B5631" s="111">
        <f t="shared" si="87"/>
        <v>61</v>
      </c>
      <c r="C5631" s="111"/>
      <c r="D5631" s="111"/>
      <c r="E5631" s="111"/>
    </row>
    <row r="5632" spans="1:5" x14ac:dyDescent="0.2">
      <c r="A5632" s="113">
        <v>40330</v>
      </c>
      <c r="B5632" s="111">
        <f t="shared" si="87"/>
        <v>61</v>
      </c>
      <c r="C5632" s="111"/>
      <c r="D5632" s="111"/>
      <c r="E5632" s="111"/>
    </row>
    <row r="5633" spans="1:5" x14ac:dyDescent="0.2">
      <c r="A5633" s="113">
        <v>40331</v>
      </c>
      <c r="B5633" s="111">
        <f t="shared" si="87"/>
        <v>61</v>
      </c>
      <c r="C5633" s="111"/>
      <c r="D5633" s="111"/>
      <c r="E5633" s="111"/>
    </row>
    <row r="5634" spans="1:5" x14ac:dyDescent="0.2">
      <c r="A5634" s="113">
        <v>40332</v>
      </c>
      <c r="B5634" s="111">
        <f t="shared" ref="B5634:B5697" si="88">VLOOKUP(WEEKNUM(A5634),$D$3:$E$58,2)</f>
        <v>61</v>
      </c>
      <c r="C5634" s="111"/>
      <c r="D5634" s="111"/>
      <c r="E5634" s="111"/>
    </row>
    <row r="5635" spans="1:5" x14ac:dyDescent="0.2">
      <c r="A5635" s="113">
        <v>40333</v>
      </c>
      <c r="B5635" s="111">
        <f t="shared" si="88"/>
        <v>61</v>
      </c>
      <c r="C5635" s="111"/>
      <c r="D5635" s="111"/>
      <c r="E5635" s="111"/>
    </row>
    <row r="5636" spans="1:5" x14ac:dyDescent="0.2">
      <c r="A5636" s="113">
        <v>40334</v>
      </c>
      <c r="B5636" s="111">
        <f t="shared" si="88"/>
        <v>61</v>
      </c>
      <c r="C5636" s="111"/>
      <c r="D5636" s="111"/>
      <c r="E5636" s="111"/>
    </row>
    <row r="5637" spans="1:5" x14ac:dyDescent="0.2">
      <c r="A5637" s="113">
        <v>40335</v>
      </c>
      <c r="B5637" s="111">
        <f t="shared" si="88"/>
        <v>62</v>
      </c>
      <c r="C5637" s="111"/>
      <c r="D5637" s="111"/>
      <c r="E5637" s="111"/>
    </row>
    <row r="5638" spans="1:5" x14ac:dyDescent="0.2">
      <c r="A5638" s="113">
        <v>40336</v>
      </c>
      <c r="B5638" s="111">
        <f t="shared" si="88"/>
        <v>62</v>
      </c>
      <c r="C5638" s="111"/>
      <c r="D5638" s="111"/>
      <c r="E5638" s="111"/>
    </row>
    <row r="5639" spans="1:5" x14ac:dyDescent="0.2">
      <c r="A5639" s="113">
        <v>40337</v>
      </c>
      <c r="B5639" s="111">
        <f t="shared" si="88"/>
        <v>62</v>
      </c>
      <c r="C5639" s="111"/>
      <c r="D5639" s="111"/>
      <c r="E5639" s="111"/>
    </row>
    <row r="5640" spans="1:5" x14ac:dyDescent="0.2">
      <c r="A5640" s="113">
        <v>40338</v>
      </c>
      <c r="B5640" s="111">
        <f t="shared" si="88"/>
        <v>62</v>
      </c>
      <c r="C5640" s="111"/>
      <c r="D5640" s="111"/>
      <c r="E5640" s="111"/>
    </row>
    <row r="5641" spans="1:5" x14ac:dyDescent="0.2">
      <c r="A5641" s="113">
        <v>40339</v>
      </c>
      <c r="B5641" s="111">
        <f t="shared" si="88"/>
        <v>62</v>
      </c>
      <c r="C5641" s="111"/>
      <c r="D5641" s="111"/>
      <c r="E5641" s="111"/>
    </row>
    <row r="5642" spans="1:5" x14ac:dyDescent="0.2">
      <c r="A5642" s="113">
        <v>40340</v>
      </c>
      <c r="B5642" s="111">
        <f t="shared" si="88"/>
        <v>62</v>
      </c>
      <c r="C5642" s="111"/>
      <c r="D5642" s="111"/>
      <c r="E5642" s="111"/>
    </row>
    <row r="5643" spans="1:5" x14ac:dyDescent="0.2">
      <c r="A5643" s="113">
        <v>40341</v>
      </c>
      <c r="B5643" s="111">
        <f t="shared" si="88"/>
        <v>62</v>
      </c>
      <c r="C5643" s="111"/>
      <c r="D5643" s="111"/>
      <c r="E5643" s="111"/>
    </row>
    <row r="5644" spans="1:5" x14ac:dyDescent="0.2">
      <c r="A5644" s="113">
        <v>40342</v>
      </c>
      <c r="B5644" s="111">
        <f t="shared" si="88"/>
        <v>63</v>
      </c>
      <c r="C5644" s="111"/>
      <c r="D5644" s="111"/>
      <c r="E5644" s="111"/>
    </row>
    <row r="5645" spans="1:5" x14ac:dyDescent="0.2">
      <c r="A5645" s="113">
        <v>40343</v>
      </c>
      <c r="B5645" s="111">
        <f t="shared" si="88"/>
        <v>63</v>
      </c>
      <c r="C5645" s="111"/>
      <c r="D5645" s="111"/>
      <c r="E5645" s="111"/>
    </row>
    <row r="5646" spans="1:5" x14ac:dyDescent="0.2">
      <c r="A5646" s="113">
        <v>40344</v>
      </c>
      <c r="B5646" s="111">
        <f t="shared" si="88"/>
        <v>63</v>
      </c>
      <c r="C5646" s="111"/>
      <c r="D5646" s="111"/>
      <c r="E5646" s="111"/>
    </row>
    <row r="5647" spans="1:5" x14ac:dyDescent="0.2">
      <c r="A5647" s="113">
        <v>40345</v>
      </c>
      <c r="B5647" s="111">
        <f t="shared" si="88"/>
        <v>63</v>
      </c>
      <c r="C5647" s="111"/>
      <c r="D5647" s="111"/>
      <c r="E5647" s="111"/>
    </row>
    <row r="5648" spans="1:5" x14ac:dyDescent="0.2">
      <c r="A5648" s="113">
        <v>40346</v>
      </c>
      <c r="B5648" s="111">
        <f t="shared" si="88"/>
        <v>63</v>
      </c>
      <c r="C5648" s="111"/>
      <c r="D5648" s="111"/>
      <c r="E5648" s="111"/>
    </row>
    <row r="5649" spans="1:5" x14ac:dyDescent="0.2">
      <c r="A5649" s="113">
        <v>40347</v>
      </c>
      <c r="B5649" s="111">
        <f t="shared" si="88"/>
        <v>63</v>
      </c>
      <c r="C5649" s="111"/>
      <c r="D5649" s="111"/>
      <c r="E5649" s="111"/>
    </row>
    <row r="5650" spans="1:5" x14ac:dyDescent="0.2">
      <c r="A5650" s="113">
        <v>40348</v>
      </c>
      <c r="B5650" s="111">
        <f t="shared" si="88"/>
        <v>63</v>
      </c>
      <c r="C5650" s="111"/>
      <c r="D5650" s="111"/>
      <c r="E5650" s="111"/>
    </row>
    <row r="5651" spans="1:5" x14ac:dyDescent="0.2">
      <c r="A5651" s="113">
        <v>40349</v>
      </c>
      <c r="B5651" s="111">
        <f t="shared" si="88"/>
        <v>64</v>
      </c>
      <c r="C5651" s="111"/>
      <c r="D5651" s="111"/>
      <c r="E5651" s="111"/>
    </row>
    <row r="5652" spans="1:5" x14ac:dyDescent="0.2">
      <c r="A5652" s="113">
        <v>40350</v>
      </c>
      <c r="B5652" s="111">
        <f t="shared" si="88"/>
        <v>64</v>
      </c>
      <c r="C5652" s="111"/>
      <c r="D5652" s="111"/>
      <c r="E5652" s="111"/>
    </row>
    <row r="5653" spans="1:5" x14ac:dyDescent="0.2">
      <c r="A5653" s="113">
        <v>40351</v>
      </c>
      <c r="B5653" s="111">
        <f t="shared" si="88"/>
        <v>64</v>
      </c>
      <c r="C5653" s="111"/>
      <c r="D5653" s="111"/>
      <c r="E5653" s="111"/>
    </row>
    <row r="5654" spans="1:5" x14ac:dyDescent="0.2">
      <c r="A5654" s="113">
        <v>40352</v>
      </c>
      <c r="B5654" s="111">
        <f t="shared" si="88"/>
        <v>64</v>
      </c>
      <c r="C5654" s="111"/>
      <c r="D5654" s="111"/>
      <c r="E5654" s="111"/>
    </row>
    <row r="5655" spans="1:5" x14ac:dyDescent="0.2">
      <c r="A5655" s="113">
        <v>40353</v>
      </c>
      <c r="B5655" s="111">
        <f t="shared" si="88"/>
        <v>64</v>
      </c>
      <c r="C5655" s="111"/>
      <c r="D5655" s="111"/>
      <c r="E5655" s="111"/>
    </row>
    <row r="5656" spans="1:5" x14ac:dyDescent="0.2">
      <c r="A5656" s="113">
        <v>40354</v>
      </c>
      <c r="B5656" s="111">
        <f t="shared" si="88"/>
        <v>64</v>
      </c>
      <c r="C5656" s="111"/>
      <c r="D5656" s="111"/>
      <c r="E5656" s="111"/>
    </row>
    <row r="5657" spans="1:5" x14ac:dyDescent="0.2">
      <c r="A5657" s="113">
        <v>40355</v>
      </c>
      <c r="B5657" s="111">
        <f t="shared" si="88"/>
        <v>64</v>
      </c>
      <c r="C5657" s="111"/>
      <c r="D5657" s="111"/>
      <c r="E5657" s="111"/>
    </row>
    <row r="5658" spans="1:5" x14ac:dyDescent="0.2">
      <c r="A5658" s="113">
        <v>40356</v>
      </c>
      <c r="B5658" s="111">
        <f t="shared" si="88"/>
        <v>71</v>
      </c>
      <c r="C5658" s="111"/>
      <c r="D5658" s="111"/>
      <c r="E5658" s="111"/>
    </row>
    <row r="5659" spans="1:5" x14ac:dyDescent="0.2">
      <c r="A5659" s="113">
        <v>40357</v>
      </c>
      <c r="B5659" s="111">
        <f t="shared" si="88"/>
        <v>71</v>
      </c>
      <c r="C5659" s="111"/>
      <c r="D5659" s="111"/>
      <c r="E5659" s="111"/>
    </row>
    <row r="5660" spans="1:5" x14ac:dyDescent="0.2">
      <c r="A5660" s="113">
        <v>40358</v>
      </c>
      <c r="B5660" s="111">
        <f t="shared" si="88"/>
        <v>71</v>
      </c>
      <c r="C5660" s="111"/>
      <c r="D5660" s="111"/>
      <c r="E5660" s="111"/>
    </row>
    <row r="5661" spans="1:5" x14ac:dyDescent="0.2">
      <c r="A5661" s="113">
        <v>40359</v>
      </c>
      <c r="B5661" s="111">
        <f t="shared" si="88"/>
        <v>71</v>
      </c>
      <c r="C5661" s="111"/>
      <c r="D5661" s="111"/>
      <c r="E5661" s="111"/>
    </row>
    <row r="5662" spans="1:5" x14ac:dyDescent="0.2">
      <c r="A5662" s="113">
        <v>40360</v>
      </c>
      <c r="B5662" s="111">
        <f t="shared" si="88"/>
        <v>71</v>
      </c>
      <c r="C5662" s="111"/>
      <c r="D5662" s="111"/>
      <c r="E5662" s="111"/>
    </row>
    <row r="5663" spans="1:5" x14ac:dyDescent="0.2">
      <c r="A5663" s="113">
        <v>40361</v>
      </c>
      <c r="B5663" s="111">
        <f t="shared" si="88"/>
        <v>71</v>
      </c>
      <c r="C5663" s="111"/>
      <c r="D5663" s="111"/>
      <c r="E5663" s="111"/>
    </row>
    <row r="5664" spans="1:5" x14ac:dyDescent="0.2">
      <c r="A5664" s="113">
        <v>40362</v>
      </c>
      <c r="B5664" s="111">
        <f t="shared" si="88"/>
        <v>71</v>
      </c>
      <c r="C5664" s="111"/>
      <c r="D5664" s="111"/>
      <c r="E5664" s="111"/>
    </row>
    <row r="5665" spans="1:5" x14ac:dyDescent="0.2">
      <c r="A5665" s="113">
        <v>40363</v>
      </c>
      <c r="B5665" s="111">
        <f t="shared" si="88"/>
        <v>72</v>
      </c>
      <c r="C5665" s="111"/>
      <c r="D5665" s="111"/>
      <c r="E5665" s="111"/>
    </row>
    <row r="5666" spans="1:5" x14ac:dyDescent="0.2">
      <c r="A5666" s="113">
        <v>40364</v>
      </c>
      <c r="B5666" s="111">
        <f t="shared" si="88"/>
        <v>72</v>
      </c>
      <c r="C5666" s="111"/>
      <c r="D5666" s="111"/>
      <c r="E5666" s="111"/>
    </row>
    <row r="5667" spans="1:5" x14ac:dyDescent="0.2">
      <c r="A5667" s="113">
        <v>40365</v>
      </c>
      <c r="B5667" s="111">
        <f t="shared" si="88"/>
        <v>72</v>
      </c>
      <c r="C5667" s="111"/>
      <c r="D5667" s="111"/>
      <c r="E5667" s="111"/>
    </row>
    <row r="5668" spans="1:5" x14ac:dyDescent="0.2">
      <c r="A5668" s="113">
        <v>40366</v>
      </c>
      <c r="B5668" s="111">
        <f t="shared" si="88"/>
        <v>72</v>
      </c>
      <c r="C5668" s="111"/>
      <c r="D5668" s="111"/>
      <c r="E5668" s="111"/>
    </row>
    <row r="5669" spans="1:5" x14ac:dyDescent="0.2">
      <c r="A5669" s="113">
        <v>40367</v>
      </c>
      <c r="B5669" s="111">
        <f t="shared" si="88"/>
        <v>72</v>
      </c>
      <c r="C5669" s="111"/>
      <c r="D5669" s="111"/>
      <c r="E5669" s="111"/>
    </row>
    <row r="5670" spans="1:5" x14ac:dyDescent="0.2">
      <c r="A5670" s="113">
        <v>40368</v>
      </c>
      <c r="B5670" s="111">
        <f t="shared" si="88"/>
        <v>72</v>
      </c>
      <c r="C5670" s="111"/>
      <c r="D5670" s="111"/>
      <c r="E5670" s="111"/>
    </row>
    <row r="5671" spans="1:5" x14ac:dyDescent="0.2">
      <c r="A5671" s="113">
        <v>40369</v>
      </c>
      <c r="B5671" s="111">
        <f t="shared" si="88"/>
        <v>72</v>
      </c>
      <c r="C5671" s="111"/>
      <c r="D5671" s="111"/>
      <c r="E5671" s="111"/>
    </row>
    <row r="5672" spans="1:5" x14ac:dyDescent="0.2">
      <c r="A5672" s="113">
        <v>40370</v>
      </c>
      <c r="B5672" s="111">
        <f t="shared" si="88"/>
        <v>73</v>
      </c>
      <c r="C5672" s="111"/>
      <c r="D5672" s="111"/>
      <c r="E5672" s="111"/>
    </row>
    <row r="5673" spans="1:5" x14ac:dyDescent="0.2">
      <c r="A5673" s="113">
        <v>40371</v>
      </c>
      <c r="B5673" s="111">
        <f t="shared" si="88"/>
        <v>73</v>
      </c>
      <c r="C5673" s="111"/>
      <c r="D5673" s="111"/>
      <c r="E5673" s="111"/>
    </row>
    <row r="5674" spans="1:5" x14ac:dyDescent="0.2">
      <c r="A5674" s="113">
        <v>40372</v>
      </c>
      <c r="B5674" s="111">
        <f t="shared" si="88"/>
        <v>73</v>
      </c>
      <c r="C5674" s="111"/>
      <c r="D5674" s="111"/>
      <c r="E5674" s="111"/>
    </row>
    <row r="5675" spans="1:5" x14ac:dyDescent="0.2">
      <c r="A5675" s="113">
        <v>40373</v>
      </c>
      <c r="B5675" s="111">
        <f t="shared" si="88"/>
        <v>73</v>
      </c>
      <c r="C5675" s="111"/>
      <c r="D5675" s="111"/>
      <c r="E5675" s="111"/>
    </row>
    <row r="5676" spans="1:5" x14ac:dyDescent="0.2">
      <c r="A5676" s="113">
        <v>40374</v>
      </c>
      <c r="B5676" s="111">
        <f t="shared" si="88"/>
        <v>73</v>
      </c>
      <c r="C5676" s="111"/>
      <c r="D5676" s="111"/>
      <c r="E5676" s="111"/>
    </row>
    <row r="5677" spans="1:5" x14ac:dyDescent="0.2">
      <c r="A5677" s="113">
        <v>40375</v>
      </c>
      <c r="B5677" s="111">
        <f t="shared" si="88"/>
        <v>73</v>
      </c>
      <c r="C5677" s="111"/>
      <c r="D5677" s="111"/>
      <c r="E5677" s="111"/>
    </row>
    <row r="5678" spans="1:5" x14ac:dyDescent="0.2">
      <c r="A5678" s="113">
        <v>40376</v>
      </c>
      <c r="B5678" s="111">
        <f t="shared" si="88"/>
        <v>73</v>
      </c>
      <c r="C5678" s="111"/>
      <c r="D5678" s="111"/>
      <c r="E5678" s="111"/>
    </row>
    <row r="5679" spans="1:5" x14ac:dyDescent="0.2">
      <c r="A5679" s="113">
        <v>40377</v>
      </c>
      <c r="B5679" s="111">
        <f t="shared" si="88"/>
        <v>74</v>
      </c>
      <c r="C5679" s="111"/>
      <c r="D5679" s="111"/>
      <c r="E5679" s="111"/>
    </row>
    <row r="5680" spans="1:5" x14ac:dyDescent="0.2">
      <c r="A5680" s="113">
        <v>40378</v>
      </c>
      <c r="B5680" s="111">
        <f t="shared" si="88"/>
        <v>74</v>
      </c>
      <c r="C5680" s="111"/>
      <c r="D5680" s="111"/>
      <c r="E5680" s="111"/>
    </row>
    <row r="5681" spans="1:5" x14ac:dyDescent="0.2">
      <c r="A5681" s="113">
        <v>40379</v>
      </c>
      <c r="B5681" s="111">
        <f t="shared" si="88"/>
        <v>74</v>
      </c>
      <c r="C5681" s="111"/>
      <c r="D5681" s="111"/>
      <c r="E5681" s="111"/>
    </row>
    <row r="5682" spans="1:5" x14ac:dyDescent="0.2">
      <c r="A5682" s="113">
        <v>40380</v>
      </c>
      <c r="B5682" s="111">
        <f t="shared" si="88"/>
        <v>74</v>
      </c>
      <c r="C5682" s="111"/>
      <c r="D5682" s="111"/>
      <c r="E5682" s="111"/>
    </row>
    <row r="5683" spans="1:5" x14ac:dyDescent="0.2">
      <c r="A5683" s="113">
        <v>40381</v>
      </c>
      <c r="B5683" s="111">
        <f t="shared" si="88"/>
        <v>74</v>
      </c>
      <c r="C5683" s="111"/>
      <c r="D5683" s="111"/>
      <c r="E5683" s="111"/>
    </row>
    <row r="5684" spans="1:5" x14ac:dyDescent="0.2">
      <c r="A5684" s="113">
        <v>40382</v>
      </c>
      <c r="B5684" s="111">
        <f t="shared" si="88"/>
        <v>74</v>
      </c>
      <c r="C5684" s="111"/>
      <c r="D5684" s="111"/>
      <c r="E5684" s="111"/>
    </row>
    <row r="5685" spans="1:5" x14ac:dyDescent="0.2">
      <c r="A5685" s="113">
        <v>40383</v>
      </c>
      <c r="B5685" s="111">
        <f t="shared" si="88"/>
        <v>74</v>
      </c>
      <c r="C5685" s="111"/>
      <c r="D5685" s="111"/>
      <c r="E5685" s="111"/>
    </row>
    <row r="5686" spans="1:5" x14ac:dyDescent="0.2">
      <c r="A5686" s="113">
        <v>40384</v>
      </c>
      <c r="B5686" s="111">
        <f t="shared" si="88"/>
        <v>75</v>
      </c>
      <c r="C5686" s="111"/>
      <c r="D5686" s="111"/>
      <c r="E5686" s="111"/>
    </row>
    <row r="5687" spans="1:5" x14ac:dyDescent="0.2">
      <c r="A5687" s="113">
        <v>40385</v>
      </c>
      <c r="B5687" s="111">
        <f t="shared" si="88"/>
        <v>75</v>
      </c>
      <c r="C5687" s="111"/>
      <c r="D5687" s="111"/>
      <c r="E5687" s="111"/>
    </row>
    <row r="5688" spans="1:5" x14ac:dyDescent="0.2">
      <c r="A5688" s="113">
        <v>40386</v>
      </c>
      <c r="B5688" s="111">
        <f t="shared" si="88"/>
        <v>75</v>
      </c>
      <c r="C5688" s="111"/>
      <c r="D5688" s="111"/>
      <c r="E5688" s="111"/>
    </row>
    <row r="5689" spans="1:5" x14ac:dyDescent="0.2">
      <c r="A5689" s="113">
        <v>40387</v>
      </c>
      <c r="B5689" s="111">
        <f t="shared" si="88"/>
        <v>75</v>
      </c>
      <c r="C5689" s="111"/>
      <c r="D5689" s="111"/>
      <c r="E5689" s="111"/>
    </row>
    <row r="5690" spans="1:5" x14ac:dyDescent="0.2">
      <c r="A5690" s="113">
        <v>40388</v>
      </c>
      <c r="B5690" s="111">
        <f t="shared" si="88"/>
        <v>75</v>
      </c>
      <c r="C5690" s="111"/>
      <c r="D5690" s="111"/>
      <c r="E5690" s="111"/>
    </row>
    <row r="5691" spans="1:5" x14ac:dyDescent="0.2">
      <c r="A5691" s="113">
        <v>40389</v>
      </c>
      <c r="B5691" s="111">
        <f t="shared" si="88"/>
        <v>75</v>
      </c>
      <c r="C5691" s="111"/>
      <c r="D5691" s="111"/>
      <c r="E5691" s="111"/>
    </row>
    <row r="5692" spans="1:5" x14ac:dyDescent="0.2">
      <c r="A5692" s="113">
        <v>40390</v>
      </c>
      <c r="B5692" s="111">
        <f t="shared" si="88"/>
        <v>75</v>
      </c>
      <c r="C5692" s="111"/>
      <c r="D5692" s="111"/>
      <c r="E5692" s="111"/>
    </row>
    <row r="5693" spans="1:5" x14ac:dyDescent="0.2">
      <c r="A5693" s="113">
        <v>40391</v>
      </c>
      <c r="B5693" s="111">
        <f t="shared" si="88"/>
        <v>81</v>
      </c>
      <c r="C5693" s="111"/>
      <c r="D5693" s="111"/>
      <c r="E5693" s="111"/>
    </row>
    <row r="5694" spans="1:5" x14ac:dyDescent="0.2">
      <c r="A5694" s="113">
        <v>40392</v>
      </c>
      <c r="B5694" s="111">
        <f t="shared" si="88"/>
        <v>81</v>
      </c>
      <c r="C5694" s="111"/>
      <c r="D5694" s="111"/>
      <c r="E5694" s="111"/>
    </row>
    <row r="5695" spans="1:5" x14ac:dyDescent="0.2">
      <c r="A5695" s="113">
        <v>40393</v>
      </c>
      <c r="B5695" s="111">
        <f t="shared" si="88"/>
        <v>81</v>
      </c>
      <c r="C5695" s="111"/>
      <c r="D5695" s="111"/>
      <c r="E5695" s="111"/>
    </row>
    <row r="5696" spans="1:5" x14ac:dyDescent="0.2">
      <c r="A5696" s="113">
        <v>40394</v>
      </c>
      <c r="B5696" s="111">
        <f t="shared" si="88"/>
        <v>81</v>
      </c>
      <c r="C5696" s="111"/>
      <c r="D5696" s="111"/>
      <c r="E5696" s="111"/>
    </row>
    <row r="5697" spans="1:5" x14ac:dyDescent="0.2">
      <c r="A5697" s="113">
        <v>40395</v>
      </c>
      <c r="B5697" s="111">
        <f t="shared" si="88"/>
        <v>81</v>
      </c>
      <c r="C5697" s="111"/>
      <c r="D5697" s="111"/>
      <c r="E5697" s="111"/>
    </row>
    <row r="5698" spans="1:5" x14ac:dyDescent="0.2">
      <c r="A5698" s="113">
        <v>40396</v>
      </c>
      <c r="B5698" s="111">
        <f t="shared" ref="B5698:B5761" si="89">VLOOKUP(WEEKNUM(A5698),$D$3:$E$58,2)</f>
        <v>81</v>
      </c>
      <c r="C5698" s="111"/>
      <c r="D5698" s="111"/>
      <c r="E5698" s="111"/>
    </row>
    <row r="5699" spans="1:5" x14ac:dyDescent="0.2">
      <c r="A5699" s="113">
        <v>40397</v>
      </c>
      <c r="B5699" s="111">
        <f t="shared" si="89"/>
        <v>81</v>
      </c>
      <c r="C5699" s="111"/>
      <c r="D5699" s="111"/>
      <c r="E5699" s="111"/>
    </row>
    <row r="5700" spans="1:5" x14ac:dyDescent="0.2">
      <c r="A5700" s="113">
        <v>40398</v>
      </c>
      <c r="B5700" s="111">
        <f t="shared" si="89"/>
        <v>82</v>
      </c>
      <c r="C5700" s="111"/>
      <c r="D5700" s="111"/>
      <c r="E5700" s="111"/>
    </row>
    <row r="5701" spans="1:5" x14ac:dyDescent="0.2">
      <c r="A5701" s="113">
        <v>40399</v>
      </c>
      <c r="B5701" s="111">
        <f t="shared" si="89"/>
        <v>82</v>
      </c>
      <c r="C5701" s="111"/>
      <c r="D5701" s="111"/>
      <c r="E5701" s="111"/>
    </row>
    <row r="5702" spans="1:5" x14ac:dyDescent="0.2">
      <c r="A5702" s="113">
        <v>40400</v>
      </c>
      <c r="B5702" s="111">
        <f t="shared" si="89"/>
        <v>82</v>
      </c>
      <c r="C5702" s="111"/>
      <c r="D5702" s="111"/>
      <c r="E5702" s="111"/>
    </row>
    <row r="5703" spans="1:5" x14ac:dyDescent="0.2">
      <c r="A5703" s="113">
        <v>40401</v>
      </c>
      <c r="B5703" s="111">
        <f t="shared" si="89"/>
        <v>82</v>
      </c>
      <c r="C5703" s="111"/>
      <c r="D5703" s="111"/>
      <c r="E5703" s="111"/>
    </row>
    <row r="5704" spans="1:5" x14ac:dyDescent="0.2">
      <c r="A5704" s="113">
        <v>40402</v>
      </c>
      <c r="B5704" s="111">
        <f t="shared" si="89"/>
        <v>82</v>
      </c>
      <c r="C5704" s="111"/>
      <c r="D5704" s="111"/>
      <c r="E5704" s="111"/>
    </row>
    <row r="5705" spans="1:5" x14ac:dyDescent="0.2">
      <c r="A5705" s="113">
        <v>40403</v>
      </c>
      <c r="B5705" s="111">
        <f t="shared" si="89"/>
        <v>82</v>
      </c>
      <c r="C5705" s="111"/>
      <c r="D5705" s="111"/>
      <c r="E5705" s="111"/>
    </row>
    <row r="5706" spans="1:5" x14ac:dyDescent="0.2">
      <c r="A5706" s="113">
        <v>40404</v>
      </c>
      <c r="B5706" s="111">
        <f t="shared" si="89"/>
        <v>82</v>
      </c>
      <c r="C5706" s="111"/>
      <c r="D5706" s="111"/>
      <c r="E5706" s="111"/>
    </row>
    <row r="5707" spans="1:5" x14ac:dyDescent="0.2">
      <c r="A5707" s="113">
        <v>40405</v>
      </c>
      <c r="B5707" s="111">
        <f t="shared" si="89"/>
        <v>83</v>
      </c>
      <c r="C5707" s="111"/>
      <c r="D5707" s="111"/>
      <c r="E5707" s="111"/>
    </row>
    <row r="5708" spans="1:5" x14ac:dyDescent="0.2">
      <c r="A5708" s="113">
        <v>40406</v>
      </c>
      <c r="B5708" s="111">
        <f t="shared" si="89"/>
        <v>83</v>
      </c>
      <c r="C5708" s="111"/>
      <c r="D5708" s="111"/>
      <c r="E5708" s="111"/>
    </row>
    <row r="5709" spans="1:5" x14ac:dyDescent="0.2">
      <c r="A5709" s="113">
        <v>40407</v>
      </c>
      <c r="B5709" s="111">
        <f t="shared" si="89"/>
        <v>83</v>
      </c>
      <c r="C5709" s="111"/>
      <c r="D5709" s="111"/>
      <c r="E5709" s="111"/>
    </row>
    <row r="5710" spans="1:5" x14ac:dyDescent="0.2">
      <c r="A5710" s="113">
        <v>40408</v>
      </c>
      <c r="B5710" s="111">
        <f t="shared" si="89"/>
        <v>83</v>
      </c>
      <c r="C5710" s="111"/>
      <c r="D5710" s="111"/>
      <c r="E5710" s="111"/>
    </row>
    <row r="5711" spans="1:5" x14ac:dyDescent="0.2">
      <c r="A5711" s="113">
        <v>40409</v>
      </c>
      <c r="B5711" s="111">
        <f t="shared" si="89"/>
        <v>83</v>
      </c>
      <c r="C5711" s="111"/>
      <c r="D5711" s="111"/>
      <c r="E5711" s="111"/>
    </row>
    <row r="5712" spans="1:5" x14ac:dyDescent="0.2">
      <c r="A5712" s="113">
        <v>40410</v>
      </c>
      <c r="B5712" s="111">
        <f t="shared" si="89"/>
        <v>83</v>
      </c>
      <c r="C5712" s="111"/>
      <c r="D5712" s="111"/>
      <c r="E5712" s="111"/>
    </row>
    <row r="5713" spans="1:5" x14ac:dyDescent="0.2">
      <c r="A5713" s="113">
        <v>40411</v>
      </c>
      <c r="B5713" s="111">
        <f t="shared" si="89"/>
        <v>83</v>
      </c>
      <c r="C5713" s="111"/>
      <c r="D5713" s="111"/>
      <c r="E5713" s="111"/>
    </row>
    <row r="5714" spans="1:5" x14ac:dyDescent="0.2">
      <c r="A5714" s="113">
        <v>40412</v>
      </c>
      <c r="B5714" s="111">
        <f t="shared" si="89"/>
        <v>84</v>
      </c>
      <c r="C5714" s="111"/>
      <c r="D5714" s="111"/>
      <c r="E5714" s="111"/>
    </row>
    <row r="5715" spans="1:5" x14ac:dyDescent="0.2">
      <c r="A5715" s="113">
        <v>40413</v>
      </c>
      <c r="B5715" s="111">
        <f t="shared" si="89"/>
        <v>84</v>
      </c>
      <c r="C5715" s="111"/>
      <c r="D5715" s="111"/>
      <c r="E5715" s="111"/>
    </row>
    <row r="5716" spans="1:5" x14ac:dyDescent="0.2">
      <c r="A5716" s="113">
        <v>40414</v>
      </c>
      <c r="B5716" s="111">
        <f t="shared" si="89"/>
        <v>84</v>
      </c>
      <c r="C5716" s="111"/>
      <c r="D5716" s="111"/>
      <c r="E5716" s="111"/>
    </row>
    <row r="5717" spans="1:5" x14ac:dyDescent="0.2">
      <c r="A5717" s="113">
        <v>40415</v>
      </c>
      <c r="B5717" s="111">
        <f t="shared" si="89"/>
        <v>84</v>
      </c>
      <c r="C5717" s="111"/>
      <c r="D5717" s="111"/>
      <c r="E5717" s="111"/>
    </row>
    <row r="5718" spans="1:5" x14ac:dyDescent="0.2">
      <c r="A5718" s="113">
        <v>40416</v>
      </c>
      <c r="B5718" s="111">
        <f t="shared" si="89"/>
        <v>84</v>
      </c>
      <c r="C5718" s="111"/>
      <c r="D5718" s="111"/>
      <c r="E5718" s="111"/>
    </row>
    <row r="5719" spans="1:5" x14ac:dyDescent="0.2">
      <c r="A5719" s="113">
        <v>40417</v>
      </c>
      <c r="B5719" s="111">
        <f t="shared" si="89"/>
        <v>84</v>
      </c>
      <c r="C5719" s="111"/>
      <c r="D5719" s="111"/>
      <c r="E5719" s="111"/>
    </row>
    <row r="5720" spans="1:5" x14ac:dyDescent="0.2">
      <c r="A5720" s="113">
        <v>40418</v>
      </c>
      <c r="B5720" s="111">
        <f t="shared" si="89"/>
        <v>84</v>
      </c>
      <c r="C5720" s="111"/>
      <c r="D5720" s="111"/>
      <c r="E5720" s="111"/>
    </row>
    <row r="5721" spans="1:5" x14ac:dyDescent="0.2">
      <c r="A5721" s="113">
        <v>40419</v>
      </c>
      <c r="B5721" s="111">
        <f t="shared" si="89"/>
        <v>91</v>
      </c>
      <c r="C5721" s="111"/>
      <c r="D5721" s="111"/>
      <c r="E5721" s="111"/>
    </row>
    <row r="5722" spans="1:5" x14ac:dyDescent="0.2">
      <c r="A5722" s="113">
        <v>40420</v>
      </c>
      <c r="B5722" s="111">
        <f t="shared" si="89"/>
        <v>91</v>
      </c>
      <c r="C5722" s="111"/>
      <c r="D5722" s="111"/>
      <c r="E5722" s="111"/>
    </row>
    <row r="5723" spans="1:5" x14ac:dyDescent="0.2">
      <c r="A5723" s="113">
        <v>40421</v>
      </c>
      <c r="B5723" s="111">
        <f t="shared" si="89"/>
        <v>91</v>
      </c>
      <c r="C5723" s="111"/>
      <c r="D5723" s="111"/>
      <c r="E5723" s="111"/>
    </row>
    <row r="5724" spans="1:5" x14ac:dyDescent="0.2">
      <c r="A5724" s="113">
        <v>40422</v>
      </c>
      <c r="B5724" s="111">
        <f t="shared" si="89"/>
        <v>91</v>
      </c>
      <c r="C5724" s="111"/>
      <c r="D5724" s="111"/>
      <c r="E5724" s="111"/>
    </row>
    <row r="5725" spans="1:5" x14ac:dyDescent="0.2">
      <c r="A5725" s="113">
        <v>40423</v>
      </c>
      <c r="B5725" s="111">
        <f t="shared" si="89"/>
        <v>91</v>
      </c>
      <c r="C5725" s="111"/>
      <c r="D5725" s="111"/>
      <c r="E5725" s="111"/>
    </row>
    <row r="5726" spans="1:5" x14ac:dyDescent="0.2">
      <c r="A5726" s="113">
        <v>40424</v>
      </c>
      <c r="B5726" s="111">
        <f t="shared" si="89"/>
        <v>91</v>
      </c>
      <c r="C5726" s="111"/>
      <c r="D5726" s="111"/>
      <c r="E5726" s="111"/>
    </row>
    <row r="5727" spans="1:5" x14ac:dyDescent="0.2">
      <c r="A5727" s="113">
        <v>40425</v>
      </c>
      <c r="B5727" s="111">
        <f t="shared" si="89"/>
        <v>91</v>
      </c>
      <c r="C5727" s="111"/>
      <c r="D5727" s="111"/>
      <c r="E5727" s="111"/>
    </row>
    <row r="5728" spans="1:5" x14ac:dyDescent="0.2">
      <c r="A5728" s="113">
        <v>40426</v>
      </c>
      <c r="B5728" s="111">
        <f t="shared" si="89"/>
        <v>92</v>
      </c>
      <c r="C5728" s="111"/>
      <c r="D5728" s="111"/>
      <c r="E5728" s="111"/>
    </row>
    <row r="5729" spans="1:5" x14ac:dyDescent="0.2">
      <c r="A5729" s="113">
        <v>40427</v>
      </c>
      <c r="B5729" s="111">
        <f t="shared" si="89"/>
        <v>92</v>
      </c>
      <c r="C5729" s="111"/>
      <c r="D5729" s="111"/>
      <c r="E5729" s="111"/>
    </row>
    <row r="5730" spans="1:5" x14ac:dyDescent="0.2">
      <c r="A5730" s="113">
        <v>40428</v>
      </c>
      <c r="B5730" s="111">
        <f t="shared" si="89"/>
        <v>92</v>
      </c>
      <c r="C5730" s="111"/>
      <c r="D5730" s="111"/>
      <c r="E5730" s="111"/>
    </row>
    <row r="5731" spans="1:5" x14ac:dyDescent="0.2">
      <c r="A5731" s="113">
        <v>40429</v>
      </c>
      <c r="B5731" s="111">
        <f t="shared" si="89"/>
        <v>92</v>
      </c>
      <c r="C5731" s="111"/>
      <c r="D5731" s="111"/>
      <c r="E5731" s="111"/>
    </row>
    <row r="5732" spans="1:5" x14ac:dyDescent="0.2">
      <c r="A5732" s="113">
        <v>40430</v>
      </c>
      <c r="B5732" s="111">
        <f t="shared" si="89"/>
        <v>92</v>
      </c>
      <c r="C5732" s="111"/>
      <c r="D5732" s="111"/>
      <c r="E5732" s="111"/>
    </row>
    <row r="5733" spans="1:5" x14ac:dyDescent="0.2">
      <c r="A5733" s="113">
        <v>40431</v>
      </c>
      <c r="B5733" s="111">
        <f t="shared" si="89"/>
        <v>92</v>
      </c>
      <c r="C5733" s="111"/>
      <c r="D5733" s="111"/>
      <c r="E5733" s="111"/>
    </row>
    <row r="5734" spans="1:5" x14ac:dyDescent="0.2">
      <c r="A5734" s="113">
        <v>40432</v>
      </c>
      <c r="B5734" s="111">
        <f t="shared" si="89"/>
        <v>92</v>
      </c>
      <c r="C5734" s="111"/>
      <c r="D5734" s="111"/>
      <c r="E5734" s="111"/>
    </row>
    <row r="5735" spans="1:5" x14ac:dyDescent="0.2">
      <c r="A5735" s="113">
        <v>40433</v>
      </c>
      <c r="B5735" s="111">
        <f t="shared" si="89"/>
        <v>93</v>
      </c>
      <c r="C5735" s="111"/>
      <c r="D5735" s="111"/>
      <c r="E5735" s="111"/>
    </row>
    <row r="5736" spans="1:5" x14ac:dyDescent="0.2">
      <c r="A5736" s="113">
        <v>40434</v>
      </c>
      <c r="B5736" s="111">
        <f t="shared" si="89"/>
        <v>93</v>
      </c>
      <c r="C5736" s="111"/>
      <c r="D5736" s="111"/>
      <c r="E5736" s="111"/>
    </row>
    <row r="5737" spans="1:5" x14ac:dyDescent="0.2">
      <c r="A5737" s="113">
        <v>40435</v>
      </c>
      <c r="B5737" s="111">
        <f t="shared" si="89"/>
        <v>93</v>
      </c>
      <c r="C5737" s="111"/>
      <c r="D5737" s="111"/>
      <c r="E5737" s="111"/>
    </row>
    <row r="5738" spans="1:5" x14ac:dyDescent="0.2">
      <c r="A5738" s="113">
        <v>40436</v>
      </c>
      <c r="B5738" s="111">
        <f t="shared" si="89"/>
        <v>93</v>
      </c>
      <c r="C5738" s="111"/>
      <c r="D5738" s="111"/>
      <c r="E5738" s="111"/>
    </row>
    <row r="5739" spans="1:5" x14ac:dyDescent="0.2">
      <c r="A5739" s="113">
        <v>40437</v>
      </c>
      <c r="B5739" s="111">
        <f t="shared" si="89"/>
        <v>93</v>
      </c>
      <c r="C5739" s="111"/>
      <c r="D5739" s="111"/>
      <c r="E5739" s="111"/>
    </row>
    <row r="5740" spans="1:5" x14ac:dyDescent="0.2">
      <c r="A5740" s="113">
        <v>40438</v>
      </c>
      <c r="B5740" s="111">
        <f t="shared" si="89"/>
        <v>93</v>
      </c>
      <c r="C5740" s="111"/>
      <c r="D5740" s="111"/>
      <c r="E5740" s="111"/>
    </row>
    <row r="5741" spans="1:5" x14ac:dyDescent="0.2">
      <c r="A5741" s="113">
        <v>40439</v>
      </c>
      <c r="B5741" s="111">
        <f t="shared" si="89"/>
        <v>93</v>
      </c>
      <c r="C5741" s="111"/>
      <c r="D5741" s="111"/>
      <c r="E5741" s="111"/>
    </row>
    <row r="5742" spans="1:5" x14ac:dyDescent="0.2">
      <c r="A5742" s="113">
        <v>40440</v>
      </c>
      <c r="B5742" s="111">
        <f t="shared" si="89"/>
        <v>94</v>
      </c>
      <c r="C5742" s="111"/>
      <c r="D5742" s="111"/>
      <c r="E5742" s="111"/>
    </row>
    <row r="5743" spans="1:5" x14ac:dyDescent="0.2">
      <c r="A5743" s="113">
        <v>40441</v>
      </c>
      <c r="B5743" s="111">
        <f t="shared" si="89"/>
        <v>94</v>
      </c>
      <c r="C5743" s="111"/>
      <c r="D5743" s="111"/>
      <c r="E5743" s="111"/>
    </row>
    <row r="5744" spans="1:5" x14ac:dyDescent="0.2">
      <c r="A5744" s="113">
        <v>40442</v>
      </c>
      <c r="B5744" s="111">
        <f t="shared" si="89"/>
        <v>94</v>
      </c>
      <c r="C5744" s="111"/>
      <c r="D5744" s="111"/>
      <c r="E5744" s="111"/>
    </row>
    <row r="5745" spans="1:5" x14ac:dyDescent="0.2">
      <c r="A5745" s="113">
        <v>40443</v>
      </c>
      <c r="B5745" s="111">
        <f t="shared" si="89"/>
        <v>94</v>
      </c>
      <c r="C5745" s="111"/>
      <c r="D5745" s="111"/>
      <c r="E5745" s="111"/>
    </row>
    <row r="5746" spans="1:5" x14ac:dyDescent="0.2">
      <c r="A5746" s="113">
        <v>40444</v>
      </c>
      <c r="B5746" s="111">
        <f t="shared" si="89"/>
        <v>94</v>
      </c>
      <c r="C5746" s="111"/>
      <c r="D5746" s="111"/>
      <c r="E5746" s="111"/>
    </row>
    <row r="5747" spans="1:5" x14ac:dyDescent="0.2">
      <c r="A5747" s="113">
        <v>40445</v>
      </c>
      <c r="B5747" s="111">
        <f t="shared" si="89"/>
        <v>94</v>
      </c>
      <c r="C5747" s="111"/>
      <c r="D5747" s="111"/>
      <c r="E5747" s="111"/>
    </row>
    <row r="5748" spans="1:5" x14ac:dyDescent="0.2">
      <c r="A5748" s="113">
        <v>40446</v>
      </c>
      <c r="B5748" s="111">
        <f t="shared" si="89"/>
        <v>94</v>
      </c>
      <c r="C5748" s="111"/>
      <c r="D5748" s="111"/>
      <c r="E5748" s="111"/>
    </row>
    <row r="5749" spans="1:5" x14ac:dyDescent="0.2">
      <c r="A5749" s="113">
        <v>40447</v>
      </c>
      <c r="B5749" s="111">
        <f t="shared" si="89"/>
        <v>101</v>
      </c>
      <c r="C5749" s="111"/>
      <c r="D5749" s="111"/>
      <c r="E5749" s="111"/>
    </row>
    <row r="5750" spans="1:5" x14ac:dyDescent="0.2">
      <c r="A5750" s="113">
        <v>40448</v>
      </c>
      <c r="B5750" s="111">
        <f t="shared" si="89"/>
        <v>101</v>
      </c>
      <c r="C5750" s="111"/>
      <c r="D5750" s="111"/>
      <c r="E5750" s="111"/>
    </row>
    <row r="5751" spans="1:5" x14ac:dyDescent="0.2">
      <c r="A5751" s="113">
        <v>40449</v>
      </c>
      <c r="B5751" s="111">
        <f t="shared" si="89"/>
        <v>101</v>
      </c>
      <c r="C5751" s="111"/>
      <c r="D5751" s="111"/>
      <c r="E5751" s="111"/>
    </row>
    <row r="5752" spans="1:5" x14ac:dyDescent="0.2">
      <c r="A5752" s="113">
        <v>40450</v>
      </c>
      <c r="B5752" s="111">
        <f t="shared" si="89"/>
        <v>101</v>
      </c>
      <c r="C5752" s="111"/>
      <c r="D5752" s="111"/>
      <c r="E5752" s="111"/>
    </row>
    <row r="5753" spans="1:5" x14ac:dyDescent="0.2">
      <c r="A5753" s="113">
        <v>40451</v>
      </c>
      <c r="B5753" s="111">
        <f t="shared" si="89"/>
        <v>101</v>
      </c>
      <c r="C5753" s="111"/>
      <c r="D5753" s="111"/>
      <c r="E5753" s="111"/>
    </row>
    <row r="5754" spans="1:5" x14ac:dyDescent="0.2">
      <c r="A5754" s="113">
        <v>40452</v>
      </c>
      <c r="B5754" s="111">
        <f t="shared" si="89"/>
        <v>101</v>
      </c>
      <c r="C5754" s="111"/>
      <c r="D5754" s="111"/>
      <c r="E5754" s="111"/>
    </row>
    <row r="5755" spans="1:5" x14ac:dyDescent="0.2">
      <c r="A5755" s="113">
        <v>40453</v>
      </c>
      <c r="B5755" s="111">
        <f t="shared" si="89"/>
        <v>101</v>
      </c>
      <c r="C5755" s="111"/>
      <c r="D5755" s="111"/>
      <c r="E5755" s="111"/>
    </row>
    <row r="5756" spans="1:5" x14ac:dyDescent="0.2">
      <c r="A5756" s="113">
        <v>40454</v>
      </c>
      <c r="B5756" s="111">
        <f t="shared" si="89"/>
        <v>102</v>
      </c>
      <c r="C5756" s="111"/>
      <c r="D5756" s="111"/>
      <c r="E5756" s="111"/>
    </row>
    <row r="5757" spans="1:5" x14ac:dyDescent="0.2">
      <c r="A5757" s="113">
        <v>40455</v>
      </c>
      <c r="B5757" s="111">
        <f t="shared" si="89"/>
        <v>102</v>
      </c>
      <c r="C5757" s="111"/>
      <c r="D5757" s="111"/>
      <c r="E5757" s="111"/>
    </row>
    <row r="5758" spans="1:5" x14ac:dyDescent="0.2">
      <c r="A5758" s="113">
        <v>40456</v>
      </c>
      <c r="B5758" s="111">
        <f t="shared" si="89"/>
        <v>102</v>
      </c>
      <c r="C5758" s="111"/>
      <c r="D5758" s="111"/>
      <c r="E5758" s="111"/>
    </row>
    <row r="5759" spans="1:5" x14ac:dyDescent="0.2">
      <c r="A5759" s="113">
        <v>40457</v>
      </c>
      <c r="B5759" s="111">
        <f t="shared" si="89"/>
        <v>102</v>
      </c>
      <c r="C5759" s="111"/>
      <c r="D5759" s="111"/>
      <c r="E5759" s="111"/>
    </row>
    <row r="5760" spans="1:5" x14ac:dyDescent="0.2">
      <c r="A5760" s="113">
        <v>40458</v>
      </c>
      <c r="B5760" s="111">
        <f t="shared" si="89"/>
        <v>102</v>
      </c>
      <c r="C5760" s="111"/>
      <c r="D5760" s="111"/>
      <c r="E5760" s="111"/>
    </row>
    <row r="5761" spans="1:5" x14ac:dyDescent="0.2">
      <c r="A5761" s="113">
        <v>40459</v>
      </c>
      <c r="B5761" s="111">
        <f t="shared" si="89"/>
        <v>102</v>
      </c>
      <c r="C5761" s="111"/>
      <c r="D5761" s="111"/>
      <c r="E5761" s="111"/>
    </row>
    <row r="5762" spans="1:5" x14ac:dyDescent="0.2">
      <c r="A5762" s="113">
        <v>40460</v>
      </c>
      <c r="B5762" s="111">
        <f t="shared" ref="B5762:B5825" si="90">VLOOKUP(WEEKNUM(A5762),$D$3:$E$58,2)</f>
        <v>102</v>
      </c>
      <c r="C5762" s="111"/>
      <c r="D5762" s="111"/>
      <c r="E5762" s="111"/>
    </row>
    <row r="5763" spans="1:5" x14ac:dyDescent="0.2">
      <c r="A5763" s="113">
        <v>40461</v>
      </c>
      <c r="B5763" s="111">
        <f t="shared" si="90"/>
        <v>103</v>
      </c>
      <c r="C5763" s="111"/>
      <c r="D5763" s="111"/>
      <c r="E5763" s="111"/>
    </row>
    <row r="5764" spans="1:5" x14ac:dyDescent="0.2">
      <c r="A5764" s="113">
        <v>40462</v>
      </c>
      <c r="B5764" s="111">
        <f t="shared" si="90"/>
        <v>103</v>
      </c>
      <c r="C5764" s="111"/>
      <c r="D5764" s="111"/>
      <c r="E5764" s="111"/>
    </row>
    <row r="5765" spans="1:5" x14ac:dyDescent="0.2">
      <c r="A5765" s="113">
        <v>40463</v>
      </c>
      <c r="B5765" s="111">
        <f t="shared" si="90"/>
        <v>103</v>
      </c>
      <c r="C5765" s="111"/>
      <c r="D5765" s="111"/>
      <c r="E5765" s="111"/>
    </row>
    <row r="5766" spans="1:5" x14ac:dyDescent="0.2">
      <c r="A5766" s="113">
        <v>40464</v>
      </c>
      <c r="B5766" s="111">
        <f t="shared" si="90"/>
        <v>103</v>
      </c>
      <c r="C5766" s="111"/>
      <c r="D5766" s="111"/>
      <c r="E5766" s="111"/>
    </row>
    <row r="5767" spans="1:5" x14ac:dyDescent="0.2">
      <c r="A5767" s="113">
        <v>40465</v>
      </c>
      <c r="B5767" s="111">
        <f t="shared" si="90"/>
        <v>103</v>
      </c>
      <c r="C5767" s="111"/>
      <c r="D5767" s="111"/>
      <c r="E5767" s="111"/>
    </row>
    <row r="5768" spans="1:5" x14ac:dyDescent="0.2">
      <c r="A5768" s="113">
        <v>40466</v>
      </c>
      <c r="B5768" s="111">
        <f t="shared" si="90"/>
        <v>103</v>
      </c>
      <c r="C5768" s="111"/>
      <c r="D5768" s="111"/>
      <c r="E5768" s="111"/>
    </row>
    <row r="5769" spans="1:5" x14ac:dyDescent="0.2">
      <c r="A5769" s="113">
        <v>40467</v>
      </c>
      <c r="B5769" s="111">
        <f t="shared" si="90"/>
        <v>103</v>
      </c>
      <c r="C5769" s="111"/>
      <c r="D5769" s="111"/>
      <c r="E5769" s="111"/>
    </row>
    <row r="5770" spans="1:5" x14ac:dyDescent="0.2">
      <c r="A5770" s="113">
        <v>40468</v>
      </c>
      <c r="B5770" s="111">
        <f t="shared" si="90"/>
        <v>104</v>
      </c>
      <c r="C5770" s="111"/>
      <c r="D5770" s="111"/>
      <c r="E5770" s="111"/>
    </row>
    <row r="5771" spans="1:5" x14ac:dyDescent="0.2">
      <c r="A5771" s="113">
        <v>40469</v>
      </c>
      <c r="B5771" s="111">
        <f t="shared" si="90"/>
        <v>104</v>
      </c>
      <c r="C5771" s="111"/>
      <c r="D5771" s="111"/>
      <c r="E5771" s="111"/>
    </row>
    <row r="5772" spans="1:5" x14ac:dyDescent="0.2">
      <c r="A5772" s="113">
        <v>40470</v>
      </c>
      <c r="B5772" s="111">
        <f t="shared" si="90"/>
        <v>104</v>
      </c>
      <c r="C5772" s="111"/>
      <c r="D5772" s="111"/>
      <c r="E5772" s="111"/>
    </row>
    <row r="5773" spans="1:5" x14ac:dyDescent="0.2">
      <c r="A5773" s="113">
        <v>40471</v>
      </c>
      <c r="B5773" s="111">
        <f t="shared" si="90"/>
        <v>104</v>
      </c>
      <c r="C5773" s="111"/>
      <c r="D5773" s="111"/>
      <c r="E5773" s="111"/>
    </row>
    <row r="5774" spans="1:5" x14ac:dyDescent="0.2">
      <c r="A5774" s="113">
        <v>40472</v>
      </c>
      <c r="B5774" s="111">
        <f t="shared" si="90"/>
        <v>104</v>
      </c>
      <c r="C5774" s="111"/>
      <c r="D5774" s="111"/>
      <c r="E5774" s="111"/>
    </row>
    <row r="5775" spans="1:5" x14ac:dyDescent="0.2">
      <c r="A5775" s="113">
        <v>40473</v>
      </c>
      <c r="B5775" s="111">
        <f t="shared" si="90"/>
        <v>104</v>
      </c>
      <c r="C5775" s="111"/>
      <c r="D5775" s="111"/>
      <c r="E5775" s="111"/>
    </row>
    <row r="5776" spans="1:5" x14ac:dyDescent="0.2">
      <c r="A5776" s="113">
        <v>40474</v>
      </c>
      <c r="B5776" s="111">
        <f t="shared" si="90"/>
        <v>104</v>
      </c>
      <c r="C5776" s="111"/>
      <c r="D5776" s="111"/>
      <c r="E5776" s="111"/>
    </row>
    <row r="5777" spans="1:5" x14ac:dyDescent="0.2">
      <c r="A5777" s="113">
        <v>40475</v>
      </c>
      <c r="B5777" s="111">
        <f t="shared" si="90"/>
        <v>105</v>
      </c>
      <c r="C5777" s="111"/>
      <c r="D5777" s="111"/>
      <c r="E5777" s="111"/>
    </row>
    <row r="5778" spans="1:5" x14ac:dyDescent="0.2">
      <c r="A5778" s="113">
        <v>40476</v>
      </c>
      <c r="B5778" s="111">
        <f t="shared" si="90"/>
        <v>105</v>
      </c>
      <c r="C5778" s="111"/>
      <c r="D5778" s="111"/>
      <c r="E5778" s="111"/>
    </row>
    <row r="5779" spans="1:5" x14ac:dyDescent="0.2">
      <c r="A5779" s="113">
        <v>40477</v>
      </c>
      <c r="B5779" s="111">
        <f t="shared" si="90"/>
        <v>105</v>
      </c>
      <c r="C5779" s="111"/>
      <c r="D5779" s="111"/>
      <c r="E5779" s="111"/>
    </row>
    <row r="5780" spans="1:5" x14ac:dyDescent="0.2">
      <c r="A5780" s="113">
        <v>40478</v>
      </c>
      <c r="B5780" s="111">
        <f t="shared" si="90"/>
        <v>105</v>
      </c>
      <c r="C5780" s="111"/>
      <c r="D5780" s="111"/>
      <c r="E5780" s="111"/>
    </row>
    <row r="5781" spans="1:5" x14ac:dyDescent="0.2">
      <c r="A5781" s="113">
        <v>40479</v>
      </c>
      <c r="B5781" s="111">
        <f t="shared" si="90"/>
        <v>105</v>
      </c>
      <c r="C5781" s="111"/>
      <c r="D5781" s="111"/>
      <c r="E5781" s="111"/>
    </row>
    <row r="5782" spans="1:5" x14ac:dyDescent="0.2">
      <c r="A5782" s="113">
        <v>40480</v>
      </c>
      <c r="B5782" s="111">
        <f t="shared" si="90"/>
        <v>105</v>
      </c>
      <c r="C5782" s="111"/>
      <c r="D5782" s="111"/>
      <c r="E5782" s="111"/>
    </row>
    <row r="5783" spans="1:5" x14ac:dyDescent="0.2">
      <c r="A5783" s="113">
        <v>40481</v>
      </c>
      <c r="B5783" s="111">
        <f t="shared" si="90"/>
        <v>105</v>
      </c>
      <c r="C5783" s="111"/>
      <c r="D5783" s="111"/>
      <c r="E5783" s="111"/>
    </row>
    <row r="5784" spans="1:5" x14ac:dyDescent="0.2">
      <c r="A5784" s="113">
        <v>40482</v>
      </c>
      <c r="B5784" s="111">
        <f t="shared" si="90"/>
        <v>111</v>
      </c>
      <c r="C5784" s="111"/>
      <c r="D5784" s="111"/>
      <c r="E5784" s="111"/>
    </row>
    <row r="5785" spans="1:5" x14ac:dyDescent="0.2">
      <c r="A5785" s="113">
        <v>40483</v>
      </c>
      <c r="B5785" s="111">
        <f t="shared" si="90"/>
        <v>111</v>
      </c>
      <c r="C5785" s="111"/>
      <c r="D5785" s="111"/>
      <c r="E5785" s="111"/>
    </row>
    <row r="5786" spans="1:5" x14ac:dyDescent="0.2">
      <c r="A5786" s="113">
        <v>40484</v>
      </c>
      <c r="B5786" s="111">
        <f t="shared" si="90"/>
        <v>111</v>
      </c>
      <c r="C5786" s="111"/>
      <c r="D5786" s="111"/>
      <c r="E5786" s="111"/>
    </row>
    <row r="5787" spans="1:5" x14ac:dyDescent="0.2">
      <c r="A5787" s="113">
        <v>40485</v>
      </c>
      <c r="B5787" s="111">
        <f t="shared" si="90"/>
        <v>111</v>
      </c>
      <c r="C5787" s="111"/>
      <c r="D5787" s="111"/>
      <c r="E5787" s="111"/>
    </row>
    <row r="5788" spans="1:5" x14ac:dyDescent="0.2">
      <c r="A5788" s="113">
        <v>40486</v>
      </c>
      <c r="B5788" s="111">
        <f t="shared" si="90"/>
        <v>111</v>
      </c>
      <c r="C5788" s="111"/>
      <c r="D5788" s="111"/>
      <c r="E5788" s="111"/>
    </row>
    <row r="5789" spans="1:5" x14ac:dyDescent="0.2">
      <c r="A5789" s="113">
        <v>40487</v>
      </c>
      <c r="B5789" s="111">
        <f t="shared" si="90"/>
        <v>111</v>
      </c>
      <c r="C5789" s="111"/>
      <c r="D5789" s="111"/>
      <c r="E5789" s="111"/>
    </row>
    <row r="5790" spans="1:5" x14ac:dyDescent="0.2">
      <c r="A5790" s="113">
        <v>40488</v>
      </c>
      <c r="B5790" s="111">
        <f t="shared" si="90"/>
        <v>111</v>
      </c>
      <c r="C5790" s="111"/>
      <c r="D5790" s="111"/>
      <c r="E5790" s="111"/>
    </row>
    <row r="5791" spans="1:5" x14ac:dyDescent="0.2">
      <c r="A5791" s="113">
        <v>40489</v>
      </c>
      <c r="B5791" s="111">
        <f t="shared" si="90"/>
        <v>112</v>
      </c>
      <c r="C5791" s="111"/>
      <c r="D5791" s="111"/>
      <c r="E5791" s="111"/>
    </row>
    <row r="5792" spans="1:5" x14ac:dyDescent="0.2">
      <c r="A5792" s="113">
        <v>40490</v>
      </c>
      <c r="B5792" s="111">
        <f t="shared" si="90"/>
        <v>112</v>
      </c>
      <c r="C5792" s="111"/>
      <c r="D5792" s="111"/>
      <c r="E5792" s="111"/>
    </row>
    <row r="5793" spans="1:5" x14ac:dyDescent="0.2">
      <c r="A5793" s="113">
        <v>40491</v>
      </c>
      <c r="B5793" s="111">
        <f t="shared" si="90"/>
        <v>112</v>
      </c>
      <c r="C5793" s="111"/>
      <c r="D5793" s="111"/>
      <c r="E5793" s="111"/>
    </row>
    <row r="5794" spans="1:5" x14ac:dyDescent="0.2">
      <c r="A5794" s="113">
        <v>40492</v>
      </c>
      <c r="B5794" s="111">
        <f t="shared" si="90"/>
        <v>112</v>
      </c>
      <c r="C5794" s="111"/>
      <c r="D5794" s="111"/>
      <c r="E5794" s="111"/>
    </row>
    <row r="5795" spans="1:5" x14ac:dyDescent="0.2">
      <c r="A5795" s="113">
        <v>40493</v>
      </c>
      <c r="B5795" s="111">
        <f t="shared" si="90"/>
        <v>112</v>
      </c>
      <c r="C5795" s="111"/>
      <c r="D5795" s="111"/>
      <c r="E5795" s="111"/>
    </row>
    <row r="5796" spans="1:5" x14ac:dyDescent="0.2">
      <c r="A5796" s="113">
        <v>40494</v>
      </c>
      <c r="B5796" s="111">
        <f t="shared" si="90"/>
        <v>112</v>
      </c>
      <c r="C5796" s="111"/>
      <c r="D5796" s="111"/>
      <c r="E5796" s="111"/>
    </row>
    <row r="5797" spans="1:5" x14ac:dyDescent="0.2">
      <c r="A5797" s="113">
        <v>40495</v>
      </c>
      <c r="B5797" s="111">
        <f t="shared" si="90"/>
        <v>112</v>
      </c>
      <c r="C5797" s="111"/>
      <c r="D5797" s="111"/>
      <c r="E5797" s="111"/>
    </row>
    <row r="5798" spans="1:5" x14ac:dyDescent="0.2">
      <c r="A5798" s="113">
        <v>40496</v>
      </c>
      <c r="B5798" s="111">
        <f t="shared" si="90"/>
        <v>113</v>
      </c>
      <c r="C5798" s="111"/>
      <c r="D5798" s="111"/>
      <c r="E5798" s="111"/>
    </row>
    <row r="5799" spans="1:5" x14ac:dyDescent="0.2">
      <c r="A5799" s="113">
        <v>40497</v>
      </c>
      <c r="B5799" s="111">
        <f t="shared" si="90"/>
        <v>113</v>
      </c>
      <c r="C5799" s="111"/>
      <c r="D5799" s="111"/>
      <c r="E5799" s="111"/>
    </row>
    <row r="5800" spans="1:5" x14ac:dyDescent="0.2">
      <c r="A5800" s="113">
        <v>40498</v>
      </c>
      <c r="B5800" s="111">
        <f t="shared" si="90"/>
        <v>113</v>
      </c>
      <c r="C5800" s="111"/>
      <c r="D5800" s="111"/>
      <c r="E5800" s="111"/>
    </row>
    <row r="5801" spans="1:5" x14ac:dyDescent="0.2">
      <c r="A5801" s="113">
        <v>40499</v>
      </c>
      <c r="B5801" s="111">
        <f t="shared" si="90"/>
        <v>113</v>
      </c>
      <c r="C5801" s="111"/>
      <c r="D5801" s="111"/>
      <c r="E5801" s="111"/>
    </row>
    <row r="5802" spans="1:5" x14ac:dyDescent="0.2">
      <c r="A5802" s="113">
        <v>40500</v>
      </c>
      <c r="B5802" s="111">
        <f t="shared" si="90"/>
        <v>113</v>
      </c>
      <c r="C5802" s="111"/>
      <c r="D5802" s="111"/>
      <c r="E5802" s="111"/>
    </row>
    <row r="5803" spans="1:5" x14ac:dyDescent="0.2">
      <c r="A5803" s="113">
        <v>40501</v>
      </c>
      <c r="B5803" s="111">
        <f t="shared" si="90"/>
        <v>113</v>
      </c>
      <c r="C5803" s="111"/>
      <c r="D5803" s="111"/>
      <c r="E5803" s="111"/>
    </row>
    <row r="5804" spans="1:5" x14ac:dyDescent="0.2">
      <c r="A5804" s="113">
        <v>40502</v>
      </c>
      <c r="B5804" s="111">
        <f t="shared" si="90"/>
        <v>113</v>
      </c>
      <c r="C5804" s="111"/>
      <c r="D5804" s="111"/>
      <c r="E5804" s="111"/>
    </row>
    <row r="5805" spans="1:5" x14ac:dyDescent="0.2">
      <c r="A5805" s="113">
        <v>40503</v>
      </c>
      <c r="B5805" s="111">
        <f t="shared" si="90"/>
        <v>114</v>
      </c>
      <c r="C5805" s="111"/>
      <c r="D5805" s="111"/>
      <c r="E5805" s="111"/>
    </row>
    <row r="5806" spans="1:5" x14ac:dyDescent="0.2">
      <c r="A5806" s="113">
        <v>40504</v>
      </c>
      <c r="B5806" s="111">
        <f t="shared" si="90"/>
        <v>114</v>
      </c>
      <c r="C5806" s="111"/>
      <c r="D5806" s="111"/>
      <c r="E5806" s="111"/>
    </row>
    <row r="5807" spans="1:5" x14ac:dyDescent="0.2">
      <c r="A5807" s="113">
        <v>40505</v>
      </c>
      <c r="B5807" s="111">
        <f t="shared" si="90"/>
        <v>114</v>
      </c>
      <c r="C5807" s="111"/>
      <c r="D5807" s="111"/>
      <c r="E5807" s="111"/>
    </row>
    <row r="5808" spans="1:5" x14ac:dyDescent="0.2">
      <c r="A5808" s="113">
        <v>40506</v>
      </c>
      <c r="B5808" s="111">
        <f t="shared" si="90"/>
        <v>114</v>
      </c>
      <c r="C5808" s="111"/>
      <c r="D5808" s="111"/>
      <c r="E5808" s="111"/>
    </row>
    <row r="5809" spans="1:5" x14ac:dyDescent="0.2">
      <c r="A5809" s="113">
        <v>40507</v>
      </c>
      <c r="B5809" s="111">
        <f t="shared" si="90"/>
        <v>114</v>
      </c>
      <c r="C5809" s="111"/>
      <c r="D5809" s="111"/>
      <c r="E5809" s="111"/>
    </row>
    <row r="5810" spans="1:5" x14ac:dyDescent="0.2">
      <c r="A5810" s="113">
        <v>40508</v>
      </c>
      <c r="B5810" s="111">
        <f t="shared" si="90"/>
        <v>114</v>
      </c>
      <c r="C5810" s="111"/>
      <c r="D5810" s="111"/>
      <c r="E5810" s="111"/>
    </row>
    <row r="5811" spans="1:5" x14ac:dyDescent="0.2">
      <c r="A5811" s="113">
        <v>40509</v>
      </c>
      <c r="B5811" s="111">
        <f t="shared" si="90"/>
        <v>114</v>
      </c>
      <c r="C5811" s="111"/>
      <c r="D5811" s="111"/>
      <c r="E5811" s="111"/>
    </row>
    <row r="5812" spans="1:5" x14ac:dyDescent="0.2">
      <c r="A5812" s="113">
        <v>40510</v>
      </c>
      <c r="B5812" s="111">
        <f t="shared" si="90"/>
        <v>115</v>
      </c>
      <c r="C5812" s="111"/>
      <c r="D5812" s="111"/>
      <c r="E5812" s="111"/>
    </row>
    <row r="5813" spans="1:5" x14ac:dyDescent="0.2">
      <c r="A5813" s="113">
        <v>40511</v>
      </c>
      <c r="B5813" s="111">
        <f t="shared" si="90"/>
        <v>115</v>
      </c>
      <c r="C5813" s="111"/>
      <c r="D5813" s="111"/>
      <c r="E5813" s="111"/>
    </row>
    <row r="5814" spans="1:5" x14ac:dyDescent="0.2">
      <c r="A5814" s="113">
        <v>40512</v>
      </c>
      <c r="B5814" s="111">
        <f t="shared" si="90"/>
        <v>115</v>
      </c>
      <c r="C5814" s="111"/>
      <c r="D5814" s="111"/>
      <c r="E5814" s="111"/>
    </row>
    <row r="5815" spans="1:5" x14ac:dyDescent="0.2">
      <c r="A5815" s="113">
        <v>40513</v>
      </c>
      <c r="B5815" s="111">
        <f t="shared" si="90"/>
        <v>115</v>
      </c>
      <c r="C5815" s="111"/>
      <c r="D5815" s="111"/>
      <c r="E5815" s="111"/>
    </row>
    <row r="5816" spans="1:5" x14ac:dyDescent="0.2">
      <c r="A5816" s="113">
        <v>40514</v>
      </c>
      <c r="B5816" s="111">
        <f t="shared" si="90"/>
        <v>115</v>
      </c>
      <c r="C5816" s="111"/>
      <c r="D5816" s="111"/>
      <c r="E5816" s="111"/>
    </row>
    <row r="5817" spans="1:5" x14ac:dyDescent="0.2">
      <c r="A5817" s="113">
        <v>40515</v>
      </c>
      <c r="B5817" s="111">
        <f t="shared" si="90"/>
        <v>115</v>
      </c>
      <c r="C5817" s="111"/>
      <c r="D5817" s="111"/>
      <c r="E5817" s="111"/>
    </row>
    <row r="5818" spans="1:5" x14ac:dyDescent="0.2">
      <c r="A5818" s="113">
        <v>40516</v>
      </c>
      <c r="B5818" s="111">
        <f t="shared" si="90"/>
        <v>115</v>
      </c>
      <c r="C5818" s="111"/>
      <c r="D5818" s="111"/>
      <c r="E5818" s="111"/>
    </row>
    <row r="5819" spans="1:5" x14ac:dyDescent="0.2">
      <c r="A5819" s="113">
        <v>40517</v>
      </c>
      <c r="B5819" s="111">
        <f t="shared" si="90"/>
        <v>121</v>
      </c>
      <c r="C5819" s="111"/>
      <c r="D5819" s="111"/>
      <c r="E5819" s="111"/>
    </row>
    <row r="5820" spans="1:5" x14ac:dyDescent="0.2">
      <c r="A5820" s="113">
        <v>40518</v>
      </c>
      <c r="B5820" s="111">
        <f t="shared" si="90"/>
        <v>121</v>
      </c>
      <c r="C5820" s="111"/>
      <c r="D5820" s="111"/>
      <c r="E5820" s="111"/>
    </row>
    <row r="5821" spans="1:5" x14ac:dyDescent="0.2">
      <c r="A5821" s="113">
        <v>40519</v>
      </c>
      <c r="B5821" s="111">
        <f t="shared" si="90"/>
        <v>121</v>
      </c>
      <c r="C5821" s="111"/>
      <c r="D5821" s="111"/>
      <c r="E5821" s="111"/>
    </row>
    <row r="5822" spans="1:5" x14ac:dyDescent="0.2">
      <c r="A5822" s="113">
        <v>40520</v>
      </c>
      <c r="B5822" s="111">
        <f t="shared" si="90"/>
        <v>121</v>
      </c>
      <c r="C5822" s="111"/>
      <c r="D5822" s="111"/>
      <c r="E5822" s="111"/>
    </row>
    <row r="5823" spans="1:5" x14ac:dyDescent="0.2">
      <c r="A5823" s="113">
        <v>40521</v>
      </c>
      <c r="B5823" s="111">
        <f t="shared" si="90"/>
        <v>121</v>
      </c>
      <c r="C5823" s="111"/>
      <c r="D5823" s="111"/>
      <c r="E5823" s="111"/>
    </row>
    <row r="5824" spans="1:5" x14ac:dyDescent="0.2">
      <c r="A5824" s="113">
        <v>40522</v>
      </c>
      <c r="B5824" s="111">
        <f t="shared" si="90"/>
        <v>121</v>
      </c>
      <c r="C5824" s="111"/>
      <c r="D5824" s="111"/>
      <c r="E5824" s="111"/>
    </row>
    <row r="5825" spans="1:5" x14ac:dyDescent="0.2">
      <c r="A5825" s="113">
        <v>40523</v>
      </c>
      <c r="B5825" s="111">
        <f t="shared" si="90"/>
        <v>121</v>
      </c>
      <c r="C5825" s="111"/>
      <c r="D5825" s="111"/>
      <c r="E5825" s="111"/>
    </row>
    <row r="5826" spans="1:5" x14ac:dyDescent="0.2">
      <c r="A5826" s="113">
        <v>40524</v>
      </c>
      <c r="B5826" s="111">
        <f t="shared" ref="B5826:B5889" si="91">VLOOKUP(WEEKNUM(A5826),$D$3:$E$58,2)</f>
        <v>122</v>
      </c>
      <c r="C5826" s="111"/>
      <c r="D5826" s="111"/>
      <c r="E5826" s="111"/>
    </row>
    <row r="5827" spans="1:5" x14ac:dyDescent="0.2">
      <c r="A5827" s="113">
        <v>40525</v>
      </c>
      <c r="B5827" s="111">
        <f t="shared" si="91"/>
        <v>122</v>
      </c>
      <c r="C5827" s="111"/>
      <c r="D5827" s="111"/>
      <c r="E5827" s="111"/>
    </row>
    <row r="5828" spans="1:5" x14ac:dyDescent="0.2">
      <c r="A5828" s="113">
        <v>40526</v>
      </c>
      <c r="B5828" s="111">
        <f t="shared" si="91"/>
        <v>122</v>
      </c>
      <c r="C5828" s="111"/>
      <c r="D5828" s="111"/>
      <c r="E5828" s="111"/>
    </row>
    <row r="5829" spans="1:5" x14ac:dyDescent="0.2">
      <c r="A5829" s="113">
        <v>40527</v>
      </c>
      <c r="B5829" s="111">
        <f t="shared" si="91"/>
        <v>122</v>
      </c>
      <c r="C5829" s="111"/>
      <c r="D5829" s="111"/>
      <c r="E5829" s="111"/>
    </row>
    <row r="5830" spans="1:5" x14ac:dyDescent="0.2">
      <c r="A5830" s="113">
        <v>40528</v>
      </c>
      <c r="B5830" s="111">
        <f t="shared" si="91"/>
        <v>122</v>
      </c>
      <c r="C5830" s="111"/>
      <c r="D5830" s="111"/>
      <c r="E5830" s="111"/>
    </row>
    <row r="5831" spans="1:5" x14ac:dyDescent="0.2">
      <c r="A5831" s="113">
        <v>40529</v>
      </c>
      <c r="B5831" s="111">
        <f t="shared" si="91"/>
        <v>122</v>
      </c>
      <c r="C5831" s="111"/>
      <c r="D5831" s="111"/>
      <c r="E5831" s="111"/>
    </row>
    <row r="5832" spans="1:5" x14ac:dyDescent="0.2">
      <c r="A5832" s="113">
        <v>40530</v>
      </c>
      <c r="B5832" s="111">
        <f t="shared" si="91"/>
        <v>122</v>
      </c>
      <c r="C5832" s="111"/>
      <c r="D5832" s="111"/>
      <c r="E5832" s="111"/>
    </row>
    <row r="5833" spans="1:5" x14ac:dyDescent="0.2">
      <c r="A5833" s="113">
        <v>40531</v>
      </c>
      <c r="B5833" s="111">
        <f t="shared" si="91"/>
        <v>123</v>
      </c>
      <c r="C5833" s="111"/>
      <c r="D5833" s="111"/>
      <c r="E5833" s="111"/>
    </row>
    <row r="5834" spans="1:5" x14ac:dyDescent="0.2">
      <c r="A5834" s="113">
        <v>40532</v>
      </c>
      <c r="B5834" s="111">
        <f t="shared" si="91"/>
        <v>123</v>
      </c>
      <c r="C5834" s="111"/>
      <c r="D5834" s="111"/>
      <c r="E5834" s="111"/>
    </row>
    <row r="5835" spans="1:5" x14ac:dyDescent="0.2">
      <c r="A5835" s="113">
        <v>40533</v>
      </c>
      <c r="B5835" s="111">
        <f t="shared" si="91"/>
        <v>123</v>
      </c>
      <c r="C5835" s="111"/>
      <c r="D5835" s="111"/>
      <c r="E5835" s="111"/>
    </row>
    <row r="5836" spans="1:5" x14ac:dyDescent="0.2">
      <c r="A5836" s="113">
        <v>40534</v>
      </c>
      <c r="B5836" s="111">
        <f t="shared" si="91"/>
        <v>123</v>
      </c>
      <c r="C5836" s="111"/>
      <c r="D5836" s="111"/>
      <c r="E5836" s="111"/>
    </row>
    <row r="5837" spans="1:5" x14ac:dyDescent="0.2">
      <c r="A5837" s="113">
        <v>40535</v>
      </c>
      <c r="B5837" s="111">
        <f t="shared" si="91"/>
        <v>123</v>
      </c>
      <c r="C5837" s="111"/>
      <c r="D5837" s="111"/>
      <c r="E5837" s="111"/>
    </row>
    <row r="5838" spans="1:5" x14ac:dyDescent="0.2">
      <c r="A5838" s="113">
        <v>40536</v>
      </c>
      <c r="B5838" s="111">
        <f t="shared" si="91"/>
        <v>123</v>
      </c>
      <c r="C5838" s="111"/>
      <c r="D5838" s="111"/>
      <c r="E5838" s="111"/>
    </row>
    <row r="5839" spans="1:5" x14ac:dyDescent="0.2">
      <c r="A5839" s="113">
        <v>40537</v>
      </c>
      <c r="B5839" s="111">
        <f t="shared" si="91"/>
        <v>123</v>
      </c>
      <c r="C5839" s="111"/>
      <c r="D5839" s="111"/>
      <c r="E5839" s="111"/>
    </row>
    <row r="5840" spans="1:5" x14ac:dyDescent="0.2">
      <c r="A5840" s="113">
        <v>40538</v>
      </c>
      <c r="B5840" s="111">
        <f t="shared" si="91"/>
        <v>124</v>
      </c>
      <c r="C5840" s="111"/>
      <c r="D5840" s="111"/>
      <c r="E5840" s="111"/>
    </row>
    <row r="5841" spans="1:5" x14ac:dyDescent="0.2">
      <c r="A5841" s="113">
        <v>40539</v>
      </c>
      <c r="B5841" s="111">
        <f t="shared" si="91"/>
        <v>124</v>
      </c>
      <c r="C5841" s="111"/>
      <c r="D5841" s="111"/>
      <c r="E5841" s="111"/>
    </row>
    <row r="5842" spans="1:5" x14ac:dyDescent="0.2">
      <c r="A5842" s="113">
        <v>40540</v>
      </c>
      <c r="B5842" s="111">
        <f t="shared" si="91"/>
        <v>124</v>
      </c>
      <c r="C5842" s="111"/>
      <c r="D5842" s="111"/>
      <c r="E5842" s="111"/>
    </row>
    <row r="5843" spans="1:5" x14ac:dyDescent="0.2">
      <c r="A5843" s="113">
        <v>40541</v>
      </c>
      <c r="B5843" s="111">
        <f t="shared" si="91"/>
        <v>124</v>
      </c>
      <c r="C5843" s="111"/>
      <c r="D5843" s="111"/>
      <c r="E5843" s="111"/>
    </row>
    <row r="5844" spans="1:5" x14ac:dyDescent="0.2">
      <c r="A5844" s="113">
        <v>40542</v>
      </c>
      <c r="B5844" s="111">
        <f t="shared" si="91"/>
        <v>124</v>
      </c>
      <c r="C5844" s="111"/>
      <c r="D5844" s="111"/>
      <c r="E5844" s="111"/>
    </row>
    <row r="5845" spans="1:5" x14ac:dyDescent="0.2">
      <c r="A5845" s="113">
        <v>40543</v>
      </c>
      <c r="B5845" s="111">
        <f t="shared" si="91"/>
        <v>124</v>
      </c>
      <c r="C5845" s="111"/>
      <c r="D5845" s="111"/>
      <c r="E5845" s="111"/>
    </row>
    <row r="5846" spans="1:5" x14ac:dyDescent="0.2">
      <c r="A5846" s="113">
        <v>40544</v>
      </c>
      <c r="B5846" s="111">
        <f t="shared" si="91"/>
        <v>11</v>
      </c>
      <c r="C5846" s="111"/>
      <c r="D5846" s="111"/>
      <c r="E5846" s="111"/>
    </row>
    <row r="5847" spans="1:5" x14ac:dyDescent="0.2">
      <c r="A5847" s="113">
        <v>40545</v>
      </c>
      <c r="B5847" s="111">
        <f t="shared" si="91"/>
        <v>12</v>
      </c>
      <c r="C5847" s="111"/>
      <c r="D5847" s="111"/>
      <c r="E5847" s="111"/>
    </row>
    <row r="5848" spans="1:5" x14ac:dyDescent="0.2">
      <c r="A5848" s="113">
        <v>40546</v>
      </c>
      <c r="B5848" s="111">
        <f t="shared" si="91"/>
        <v>12</v>
      </c>
      <c r="C5848" s="111"/>
      <c r="D5848" s="111"/>
      <c r="E5848" s="111"/>
    </row>
    <row r="5849" spans="1:5" x14ac:dyDescent="0.2">
      <c r="A5849" s="113">
        <v>40547</v>
      </c>
      <c r="B5849" s="111">
        <f t="shared" si="91"/>
        <v>12</v>
      </c>
      <c r="C5849" s="111"/>
      <c r="D5849" s="111"/>
      <c r="E5849" s="111"/>
    </row>
    <row r="5850" spans="1:5" x14ac:dyDescent="0.2">
      <c r="A5850" s="113">
        <v>40548</v>
      </c>
      <c r="B5850" s="111">
        <f t="shared" si="91"/>
        <v>12</v>
      </c>
      <c r="C5850" s="111"/>
      <c r="D5850" s="111"/>
      <c r="E5850" s="111"/>
    </row>
    <row r="5851" spans="1:5" x14ac:dyDescent="0.2">
      <c r="A5851" s="113">
        <v>40549</v>
      </c>
      <c r="B5851" s="111">
        <f t="shared" si="91"/>
        <v>12</v>
      </c>
      <c r="C5851" s="111"/>
      <c r="D5851" s="111"/>
      <c r="E5851" s="111"/>
    </row>
    <row r="5852" spans="1:5" x14ac:dyDescent="0.2">
      <c r="A5852" s="113">
        <v>40550</v>
      </c>
      <c r="B5852" s="111">
        <f t="shared" si="91"/>
        <v>12</v>
      </c>
      <c r="C5852" s="111"/>
      <c r="D5852" s="111"/>
      <c r="E5852" s="111"/>
    </row>
    <row r="5853" spans="1:5" x14ac:dyDescent="0.2">
      <c r="A5853" s="113">
        <v>40551</v>
      </c>
      <c r="B5853" s="111">
        <f t="shared" si="91"/>
        <v>12</v>
      </c>
      <c r="C5853" s="111"/>
      <c r="D5853" s="111"/>
      <c r="E5853" s="111"/>
    </row>
    <row r="5854" spans="1:5" x14ac:dyDescent="0.2">
      <c r="A5854" s="113">
        <v>40552</v>
      </c>
      <c r="B5854" s="111">
        <f t="shared" si="91"/>
        <v>13</v>
      </c>
      <c r="C5854" s="111"/>
      <c r="D5854" s="111"/>
      <c r="E5854" s="111"/>
    </row>
    <row r="5855" spans="1:5" x14ac:dyDescent="0.2">
      <c r="A5855" s="113">
        <v>40553</v>
      </c>
      <c r="B5855" s="111">
        <f t="shared" si="91"/>
        <v>13</v>
      </c>
      <c r="C5855" s="111"/>
      <c r="D5855" s="111"/>
      <c r="E5855" s="111"/>
    </row>
    <row r="5856" spans="1:5" x14ac:dyDescent="0.2">
      <c r="A5856" s="113">
        <v>40554</v>
      </c>
      <c r="B5856" s="111">
        <f t="shared" si="91"/>
        <v>13</v>
      </c>
      <c r="C5856" s="111"/>
      <c r="D5856" s="111"/>
      <c r="E5856" s="111"/>
    </row>
    <row r="5857" spans="1:5" x14ac:dyDescent="0.2">
      <c r="A5857" s="113">
        <v>40555</v>
      </c>
      <c r="B5857" s="111">
        <f t="shared" si="91"/>
        <v>13</v>
      </c>
      <c r="C5857" s="111"/>
      <c r="D5857" s="111"/>
      <c r="E5857" s="111"/>
    </row>
    <row r="5858" spans="1:5" x14ac:dyDescent="0.2">
      <c r="A5858" s="113">
        <v>40556</v>
      </c>
      <c r="B5858" s="111">
        <f t="shared" si="91"/>
        <v>13</v>
      </c>
      <c r="C5858" s="111"/>
      <c r="D5858" s="111"/>
      <c r="E5858" s="111"/>
    </row>
    <row r="5859" spans="1:5" x14ac:dyDescent="0.2">
      <c r="A5859" s="113">
        <v>40557</v>
      </c>
      <c r="B5859" s="111">
        <f t="shared" si="91"/>
        <v>13</v>
      </c>
      <c r="C5859" s="111"/>
      <c r="D5859" s="111"/>
      <c r="E5859" s="111"/>
    </row>
    <row r="5860" spans="1:5" x14ac:dyDescent="0.2">
      <c r="A5860" s="113">
        <v>40558</v>
      </c>
      <c r="B5860" s="111">
        <f t="shared" si="91"/>
        <v>13</v>
      </c>
      <c r="C5860" s="111"/>
      <c r="D5860" s="111"/>
      <c r="E5860" s="111"/>
    </row>
    <row r="5861" spans="1:5" x14ac:dyDescent="0.2">
      <c r="A5861" s="113">
        <v>40559</v>
      </c>
      <c r="B5861" s="111">
        <f t="shared" si="91"/>
        <v>14</v>
      </c>
      <c r="C5861" s="111"/>
      <c r="D5861" s="111"/>
      <c r="E5861" s="111"/>
    </row>
    <row r="5862" spans="1:5" x14ac:dyDescent="0.2">
      <c r="A5862" s="113">
        <v>40560</v>
      </c>
      <c r="B5862" s="111">
        <f t="shared" si="91"/>
        <v>14</v>
      </c>
      <c r="C5862" s="111"/>
      <c r="D5862" s="111"/>
      <c r="E5862" s="111"/>
    </row>
    <row r="5863" spans="1:5" x14ac:dyDescent="0.2">
      <c r="A5863" s="113">
        <v>40561</v>
      </c>
      <c r="B5863" s="111">
        <f t="shared" si="91"/>
        <v>14</v>
      </c>
      <c r="C5863" s="111"/>
      <c r="D5863" s="111"/>
      <c r="E5863" s="111"/>
    </row>
    <row r="5864" spans="1:5" x14ac:dyDescent="0.2">
      <c r="A5864" s="113">
        <v>40562</v>
      </c>
      <c r="B5864" s="111">
        <f t="shared" si="91"/>
        <v>14</v>
      </c>
      <c r="C5864" s="111"/>
      <c r="D5864" s="111"/>
      <c r="E5864" s="111"/>
    </row>
    <row r="5865" spans="1:5" x14ac:dyDescent="0.2">
      <c r="A5865" s="113">
        <v>40563</v>
      </c>
      <c r="B5865" s="111">
        <f t="shared" si="91"/>
        <v>14</v>
      </c>
      <c r="C5865" s="111"/>
      <c r="D5865" s="111"/>
      <c r="E5865" s="111"/>
    </row>
    <row r="5866" spans="1:5" x14ac:dyDescent="0.2">
      <c r="A5866" s="113">
        <v>40564</v>
      </c>
      <c r="B5866" s="111">
        <f t="shared" si="91"/>
        <v>14</v>
      </c>
      <c r="C5866" s="111"/>
      <c r="D5866" s="111"/>
      <c r="E5866" s="111"/>
    </row>
    <row r="5867" spans="1:5" x14ac:dyDescent="0.2">
      <c r="A5867" s="113">
        <v>40565</v>
      </c>
      <c r="B5867" s="111">
        <f t="shared" si="91"/>
        <v>14</v>
      </c>
      <c r="C5867" s="111"/>
      <c r="D5867" s="111"/>
      <c r="E5867" s="111"/>
    </row>
    <row r="5868" spans="1:5" x14ac:dyDescent="0.2">
      <c r="A5868" s="113">
        <v>40566</v>
      </c>
      <c r="B5868" s="111">
        <f t="shared" si="91"/>
        <v>15</v>
      </c>
      <c r="C5868" s="111"/>
      <c r="D5868" s="111"/>
      <c r="E5868" s="111"/>
    </row>
    <row r="5869" spans="1:5" x14ac:dyDescent="0.2">
      <c r="A5869" s="113">
        <v>40567</v>
      </c>
      <c r="B5869" s="111">
        <f t="shared" si="91"/>
        <v>15</v>
      </c>
      <c r="C5869" s="111"/>
      <c r="D5869" s="111"/>
      <c r="E5869" s="111"/>
    </row>
    <row r="5870" spans="1:5" x14ac:dyDescent="0.2">
      <c r="A5870" s="113">
        <v>40568</v>
      </c>
      <c r="B5870" s="111">
        <f t="shared" si="91"/>
        <v>15</v>
      </c>
      <c r="C5870" s="111"/>
      <c r="D5870" s="111"/>
      <c r="E5870" s="111"/>
    </row>
    <row r="5871" spans="1:5" x14ac:dyDescent="0.2">
      <c r="A5871" s="113">
        <v>40569</v>
      </c>
      <c r="B5871" s="111">
        <f t="shared" si="91"/>
        <v>15</v>
      </c>
      <c r="C5871" s="111"/>
      <c r="D5871" s="111"/>
      <c r="E5871" s="111"/>
    </row>
    <row r="5872" spans="1:5" x14ac:dyDescent="0.2">
      <c r="A5872" s="113">
        <v>40570</v>
      </c>
      <c r="B5872" s="111">
        <f t="shared" si="91"/>
        <v>15</v>
      </c>
      <c r="C5872" s="111"/>
      <c r="D5872" s="111"/>
      <c r="E5872" s="111"/>
    </row>
    <row r="5873" spans="1:5" x14ac:dyDescent="0.2">
      <c r="A5873" s="113">
        <v>40571</v>
      </c>
      <c r="B5873" s="111">
        <f t="shared" si="91"/>
        <v>15</v>
      </c>
      <c r="C5873" s="111"/>
      <c r="D5873" s="111"/>
      <c r="E5873" s="111"/>
    </row>
    <row r="5874" spans="1:5" x14ac:dyDescent="0.2">
      <c r="A5874" s="113">
        <v>40572</v>
      </c>
      <c r="B5874" s="111">
        <f t="shared" si="91"/>
        <v>15</v>
      </c>
      <c r="C5874" s="111"/>
      <c r="D5874" s="111"/>
      <c r="E5874" s="111"/>
    </row>
    <row r="5875" spans="1:5" x14ac:dyDescent="0.2">
      <c r="A5875" s="113">
        <v>40573</v>
      </c>
      <c r="B5875" s="111">
        <f t="shared" si="91"/>
        <v>21</v>
      </c>
      <c r="C5875" s="111"/>
      <c r="D5875" s="111"/>
      <c r="E5875" s="111"/>
    </row>
    <row r="5876" spans="1:5" x14ac:dyDescent="0.2">
      <c r="A5876" s="113">
        <v>40574</v>
      </c>
      <c r="B5876" s="111">
        <f t="shared" si="91"/>
        <v>21</v>
      </c>
      <c r="C5876" s="111"/>
      <c r="D5876" s="111"/>
      <c r="E5876" s="111"/>
    </row>
    <row r="5877" spans="1:5" x14ac:dyDescent="0.2">
      <c r="A5877" s="113">
        <v>40575</v>
      </c>
      <c r="B5877" s="111">
        <f t="shared" si="91"/>
        <v>21</v>
      </c>
      <c r="C5877" s="111"/>
      <c r="D5877" s="111"/>
      <c r="E5877" s="111"/>
    </row>
    <row r="5878" spans="1:5" x14ac:dyDescent="0.2">
      <c r="A5878" s="113">
        <v>40576</v>
      </c>
      <c r="B5878" s="111">
        <f t="shared" si="91"/>
        <v>21</v>
      </c>
      <c r="C5878" s="111"/>
      <c r="D5878" s="111"/>
      <c r="E5878" s="111"/>
    </row>
    <row r="5879" spans="1:5" x14ac:dyDescent="0.2">
      <c r="A5879" s="113">
        <v>40577</v>
      </c>
      <c r="B5879" s="111">
        <f t="shared" si="91"/>
        <v>21</v>
      </c>
      <c r="C5879" s="111"/>
      <c r="D5879" s="111"/>
      <c r="E5879" s="111"/>
    </row>
    <row r="5880" spans="1:5" x14ac:dyDescent="0.2">
      <c r="A5880" s="113">
        <v>40578</v>
      </c>
      <c r="B5880" s="111">
        <f t="shared" si="91"/>
        <v>21</v>
      </c>
      <c r="C5880" s="111"/>
      <c r="D5880" s="111"/>
      <c r="E5880" s="111"/>
    </row>
    <row r="5881" spans="1:5" x14ac:dyDescent="0.2">
      <c r="A5881" s="113">
        <v>40579</v>
      </c>
      <c r="B5881" s="111">
        <f t="shared" si="91"/>
        <v>21</v>
      </c>
      <c r="C5881" s="111"/>
      <c r="D5881" s="111"/>
      <c r="E5881" s="111"/>
    </row>
    <row r="5882" spans="1:5" x14ac:dyDescent="0.2">
      <c r="A5882" s="113">
        <v>40580</v>
      </c>
      <c r="B5882" s="111">
        <f t="shared" si="91"/>
        <v>22</v>
      </c>
      <c r="C5882" s="111"/>
      <c r="D5882" s="111"/>
      <c r="E5882" s="111"/>
    </row>
    <row r="5883" spans="1:5" x14ac:dyDescent="0.2">
      <c r="A5883" s="113">
        <v>40581</v>
      </c>
      <c r="B5883" s="111">
        <f t="shared" si="91"/>
        <v>22</v>
      </c>
      <c r="C5883" s="111"/>
      <c r="D5883" s="111"/>
      <c r="E5883" s="111"/>
    </row>
    <row r="5884" spans="1:5" x14ac:dyDescent="0.2">
      <c r="A5884" s="113">
        <v>40582</v>
      </c>
      <c r="B5884" s="111">
        <f t="shared" si="91"/>
        <v>22</v>
      </c>
      <c r="C5884" s="111"/>
      <c r="D5884" s="111"/>
      <c r="E5884" s="111"/>
    </row>
    <row r="5885" spans="1:5" x14ac:dyDescent="0.2">
      <c r="A5885" s="113">
        <v>40583</v>
      </c>
      <c r="B5885" s="111">
        <f t="shared" si="91"/>
        <v>22</v>
      </c>
      <c r="C5885" s="111"/>
      <c r="D5885" s="111"/>
      <c r="E5885" s="111"/>
    </row>
    <row r="5886" spans="1:5" x14ac:dyDescent="0.2">
      <c r="A5886" s="113">
        <v>40584</v>
      </c>
      <c r="B5886" s="111">
        <f t="shared" si="91"/>
        <v>22</v>
      </c>
      <c r="C5886" s="111"/>
      <c r="D5886" s="111"/>
      <c r="E5886" s="111"/>
    </row>
    <row r="5887" spans="1:5" x14ac:dyDescent="0.2">
      <c r="A5887" s="113">
        <v>40585</v>
      </c>
      <c r="B5887" s="111">
        <f t="shared" si="91"/>
        <v>22</v>
      </c>
      <c r="C5887" s="111"/>
      <c r="D5887" s="111"/>
      <c r="E5887" s="111"/>
    </row>
    <row r="5888" spans="1:5" x14ac:dyDescent="0.2">
      <c r="A5888" s="113">
        <v>40586</v>
      </c>
      <c r="B5888" s="111">
        <f t="shared" si="91"/>
        <v>22</v>
      </c>
      <c r="C5888" s="111"/>
      <c r="D5888" s="111"/>
      <c r="E5888" s="111"/>
    </row>
    <row r="5889" spans="1:5" x14ac:dyDescent="0.2">
      <c r="A5889" s="113">
        <v>40587</v>
      </c>
      <c r="B5889" s="111">
        <f t="shared" si="91"/>
        <v>23</v>
      </c>
      <c r="C5889" s="111"/>
      <c r="D5889" s="111"/>
      <c r="E5889" s="111"/>
    </row>
    <row r="5890" spans="1:5" x14ac:dyDescent="0.2">
      <c r="A5890" s="113">
        <v>40588</v>
      </c>
      <c r="B5890" s="111">
        <f t="shared" ref="B5890:B5953" si="92">VLOOKUP(WEEKNUM(A5890),$D$3:$E$58,2)</f>
        <v>23</v>
      </c>
      <c r="C5890" s="111"/>
      <c r="D5890" s="111"/>
      <c r="E5890" s="111"/>
    </row>
    <row r="5891" spans="1:5" x14ac:dyDescent="0.2">
      <c r="A5891" s="113">
        <v>40589</v>
      </c>
      <c r="B5891" s="111">
        <f t="shared" si="92"/>
        <v>23</v>
      </c>
      <c r="C5891" s="111"/>
      <c r="D5891" s="111"/>
      <c r="E5891" s="111"/>
    </row>
    <row r="5892" spans="1:5" x14ac:dyDescent="0.2">
      <c r="A5892" s="113">
        <v>40590</v>
      </c>
      <c r="B5892" s="111">
        <f t="shared" si="92"/>
        <v>23</v>
      </c>
      <c r="C5892" s="111"/>
      <c r="D5892" s="111"/>
      <c r="E5892" s="111"/>
    </row>
    <row r="5893" spans="1:5" x14ac:dyDescent="0.2">
      <c r="A5893" s="113">
        <v>40591</v>
      </c>
      <c r="B5893" s="111">
        <f t="shared" si="92"/>
        <v>23</v>
      </c>
      <c r="C5893" s="111"/>
      <c r="D5893" s="111"/>
      <c r="E5893" s="111"/>
    </row>
    <row r="5894" spans="1:5" x14ac:dyDescent="0.2">
      <c r="A5894" s="113">
        <v>40592</v>
      </c>
      <c r="B5894" s="111">
        <f t="shared" si="92"/>
        <v>23</v>
      </c>
      <c r="C5894" s="111"/>
      <c r="D5894" s="111"/>
      <c r="E5894" s="111"/>
    </row>
    <row r="5895" spans="1:5" x14ac:dyDescent="0.2">
      <c r="A5895" s="113">
        <v>40593</v>
      </c>
      <c r="B5895" s="111">
        <f t="shared" si="92"/>
        <v>23</v>
      </c>
      <c r="C5895" s="111"/>
      <c r="D5895" s="111"/>
      <c r="E5895" s="111"/>
    </row>
    <row r="5896" spans="1:5" x14ac:dyDescent="0.2">
      <c r="A5896" s="113">
        <v>40594</v>
      </c>
      <c r="B5896" s="111">
        <f t="shared" si="92"/>
        <v>24</v>
      </c>
      <c r="C5896" s="111"/>
      <c r="D5896" s="111"/>
      <c r="E5896" s="111"/>
    </row>
    <row r="5897" spans="1:5" x14ac:dyDescent="0.2">
      <c r="A5897" s="113">
        <v>40595</v>
      </c>
      <c r="B5897" s="111">
        <f t="shared" si="92"/>
        <v>24</v>
      </c>
      <c r="C5897" s="111"/>
      <c r="D5897" s="111"/>
      <c r="E5897" s="111"/>
    </row>
    <row r="5898" spans="1:5" x14ac:dyDescent="0.2">
      <c r="A5898" s="113">
        <v>40596</v>
      </c>
      <c r="B5898" s="111">
        <f t="shared" si="92"/>
        <v>24</v>
      </c>
      <c r="C5898" s="111"/>
      <c r="D5898" s="111"/>
      <c r="E5898" s="111"/>
    </row>
    <row r="5899" spans="1:5" x14ac:dyDescent="0.2">
      <c r="A5899" s="113">
        <v>40597</v>
      </c>
      <c r="B5899" s="111">
        <f t="shared" si="92"/>
        <v>24</v>
      </c>
      <c r="C5899" s="111"/>
      <c r="D5899" s="111"/>
      <c r="E5899" s="111"/>
    </row>
    <row r="5900" spans="1:5" x14ac:dyDescent="0.2">
      <c r="A5900" s="113">
        <v>40598</v>
      </c>
      <c r="B5900" s="111">
        <f t="shared" si="92"/>
        <v>24</v>
      </c>
      <c r="C5900" s="111"/>
      <c r="D5900" s="111"/>
      <c r="E5900" s="111"/>
    </row>
    <row r="5901" spans="1:5" x14ac:dyDescent="0.2">
      <c r="A5901" s="113">
        <v>40599</v>
      </c>
      <c r="B5901" s="111">
        <f t="shared" si="92"/>
        <v>24</v>
      </c>
      <c r="C5901" s="111"/>
      <c r="D5901" s="111"/>
      <c r="E5901" s="111"/>
    </row>
    <row r="5902" spans="1:5" x14ac:dyDescent="0.2">
      <c r="A5902" s="113">
        <v>40600</v>
      </c>
      <c r="B5902" s="111">
        <f t="shared" si="92"/>
        <v>24</v>
      </c>
      <c r="C5902" s="111"/>
      <c r="D5902" s="111"/>
      <c r="E5902" s="111"/>
    </row>
    <row r="5903" spans="1:5" x14ac:dyDescent="0.2">
      <c r="A5903" s="113">
        <v>40601</v>
      </c>
      <c r="B5903" s="111">
        <f t="shared" si="92"/>
        <v>31</v>
      </c>
      <c r="C5903" s="111"/>
      <c r="D5903" s="111"/>
      <c r="E5903" s="111"/>
    </row>
    <row r="5904" spans="1:5" x14ac:dyDescent="0.2">
      <c r="A5904" s="113">
        <v>40602</v>
      </c>
      <c r="B5904" s="111">
        <f t="shared" si="92"/>
        <v>31</v>
      </c>
      <c r="C5904" s="111"/>
      <c r="D5904" s="111"/>
      <c r="E5904" s="111"/>
    </row>
    <row r="5905" spans="1:5" x14ac:dyDescent="0.2">
      <c r="A5905" s="113">
        <v>40603</v>
      </c>
      <c r="B5905" s="111">
        <f t="shared" si="92"/>
        <v>31</v>
      </c>
      <c r="C5905" s="111"/>
      <c r="D5905" s="111"/>
      <c r="E5905" s="111"/>
    </row>
    <row r="5906" spans="1:5" x14ac:dyDescent="0.2">
      <c r="A5906" s="113">
        <v>40604</v>
      </c>
      <c r="B5906" s="111">
        <f t="shared" si="92"/>
        <v>31</v>
      </c>
      <c r="C5906" s="111"/>
      <c r="D5906" s="111"/>
      <c r="E5906" s="111"/>
    </row>
    <row r="5907" spans="1:5" x14ac:dyDescent="0.2">
      <c r="A5907" s="113">
        <v>40605</v>
      </c>
      <c r="B5907" s="111">
        <f t="shared" si="92"/>
        <v>31</v>
      </c>
      <c r="C5907" s="111"/>
      <c r="D5907" s="111"/>
      <c r="E5907" s="111"/>
    </row>
    <row r="5908" spans="1:5" x14ac:dyDescent="0.2">
      <c r="A5908" s="113">
        <v>40606</v>
      </c>
      <c r="B5908" s="111">
        <f t="shared" si="92"/>
        <v>31</v>
      </c>
      <c r="C5908" s="111"/>
      <c r="D5908" s="111"/>
      <c r="E5908" s="111"/>
    </row>
    <row r="5909" spans="1:5" x14ac:dyDescent="0.2">
      <c r="A5909" s="113">
        <v>40607</v>
      </c>
      <c r="B5909" s="111">
        <f t="shared" si="92"/>
        <v>31</v>
      </c>
      <c r="C5909" s="111"/>
      <c r="D5909" s="111"/>
      <c r="E5909" s="111"/>
    </row>
    <row r="5910" spans="1:5" x14ac:dyDescent="0.2">
      <c r="A5910" s="113">
        <v>40608</v>
      </c>
      <c r="B5910" s="111">
        <f t="shared" si="92"/>
        <v>32</v>
      </c>
      <c r="C5910" s="111"/>
      <c r="D5910" s="111"/>
      <c r="E5910" s="111"/>
    </row>
    <row r="5911" spans="1:5" x14ac:dyDescent="0.2">
      <c r="A5911" s="113">
        <v>40609</v>
      </c>
      <c r="B5911" s="111">
        <f t="shared" si="92"/>
        <v>32</v>
      </c>
      <c r="C5911" s="111"/>
      <c r="D5911" s="111"/>
      <c r="E5911" s="111"/>
    </row>
    <row r="5912" spans="1:5" x14ac:dyDescent="0.2">
      <c r="A5912" s="113">
        <v>40610</v>
      </c>
      <c r="B5912" s="111">
        <f t="shared" si="92"/>
        <v>32</v>
      </c>
      <c r="C5912" s="111"/>
      <c r="D5912" s="111"/>
      <c r="E5912" s="111"/>
    </row>
    <row r="5913" spans="1:5" x14ac:dyDescent="0.2">
      <c r="A5913" s="113">
        <v>40611</v>
      </c>
      <c r="B5913" s="111">
        <f t="shared" si="92"/>
        <v>32</v>
      </c>
      <c r="C5913" s="111"/>
      <c r="D5913" s="111"/>
      <c r="E5913" s="111"/>
    </row>
    <row r="5914" spans="1:5" x14ac:dyDescent="0.2">
      <c r="A5914" s="113">
        <v>40612</v>
      </c>
      <c r="B5914" s="111">
        <f t="shared" si="92"/>
        <v>32</v>
      </c>
      <c r="C5914" s="111"/>
      <c r="D5914" s="111"/>
      <c r="E5914" s="111"/>
    </row>
    <row r="5915" spans="1:5" x14ac:dyDescent="0.2">
      <c r="A5915" s="113">
        <v>40613</v>
      </c>
      <c r="B5915" s="111">
        <f t="shared" si="92"/>
        <v>32</v>
      </c>
      <c r="C5915" s="111"/>
      <c r="D5915" s="111"/>
      <c r="E5915" s="111"/>
    </row>
    <row r="5916" spans="1:5" x14ac:dyDescent="0.2">
      <c r="A5916" s="113">
        <v>40614</v>
      </c>
      <c r="B5916" s="111">
        <f t="shared" si="92"/>
        <v>32</v>
      </c>
      <c r="C5916" s="111"/>
      <c r="D5916" s="111"/>
      <c r="E5916" s="111"/>
    </row>
    <row r="5917" spans="1:5" x14ac:dyDescent="0.2">
      <c r="A5917" s="113">
        <v>40615</v>
      </c>
      <c r="B5917" s="111">
        <f t="shared" si="92"/>
        <v>33</v>
      </c>
      <c r="C5917" s="111"/>
      <c r="D5917" s="111"/>
      <c r="E5917" s="111"/>
    </row>
    <row r="5918" spans="1:5" x14ac:dyDescent="0.2">
      <c r="A5918" s="113">
        <v>40616</v>
      </c>
      <c r="B5918" s="111">
        <f t="shared" si="92"/>
        <v>33</v>
      </c>
      <c r="C5918" s="111"/>
      <c r="D5918" s="111"/>
      <c r="E5918" s="111"/>
    </row>
    <row r="5919" spans="1:5" x14ac:dyDescent="0.2">
      <c r="A5919" s="113">
        <v>40617</v>
      </c>
      <c r="B5919" s="111">
        <f t="shared" si="92"/>
        <v>33</v>
      </c>
      <c r="C5919" s="111"/>
      <c r="D5919" s="111"/>
      <c r="E5919" s="111"/>
    </row>
    <row r="5920" spans="1:5" x14ac:dyDescent="0.2">
      <c r="A5920" s="113">
        <v>40618</v>
      </c>
      <c r="B5920" s="111">
        <f t="shared" si="92"/>
        <v>33</v>
      </c>
      <c r="C5920" s="111"/>
      <c r="D5920" s="111"/>
      <c r="E5920" s="111"/>
    </row>
    <row r="5921" spans="1:5" x14ac:dyDescent="0.2">
      <c r="A5921" s="113">
        <v>40619</v>
      </c>
      <c r="B5921" s="111">
        <f t="shared" si="92"/>
        <v>33</v>
      </c>
      <c r="C5921" s="111"/>
      <c r="D5921" s="111"/>
      <c r="E5921" s="111"/>
    </row>
    <row r="5922" spans="1:5" x14ac:dyDescent="0.2">
      <c r="A5922" s="113">
        <v>40620</v>
      </c>
      <c r="B5922" s="111">
        <f t="shared" si="92"/>
        <v>33</v>
      </c>
      <c r="C5922" s="111"/>
      <c r="D5922" s="111"/>
      <c r="E5922" s="111"/>
    </row>
    <row r="5923" spans="1:5" x14ac:dyDescent="0.2">
      <c r="A5923" s="113">
        <v>40621</v>
      </c>
      <c r="B5923" s="111">
        <f t="shared" si="92"/>
        <v>33</v>
      </c>
      <c r="C5923" s="111"/>
      <c r="D5923" s="111"/>
      <c r="E5923" s="111"/>
    </row>
    <row r="5924" spans="1:5" x14ac:dyDescent="0.2">
      <c r="A5924" s="113">
        <v>40622</v>
      </c>
      <c r="B5924" s="111">
        <f t="shared" si="92"/>
        <v>34</v>
      </c>
      <c r="C5924" s="111"/>
      <c r="D5924" s="111"/>
      <c r="E5924" s="111"/>
    </row>
    <row r="5925" spans="1:5" x14ac:dyDescent="0.2">
      <c r="A5925" s="113">
        <v>40623</v>
      </c>
      <c r="B5925" s="111">
        <f t="shared" si="92"/>
        <v>34</v>
      </c>
      <c r="C5925" s="111"/>
      <c r="D5925" s="111"/>
      <c r="E5925" s="111"/>
    </row>
    <row r="5926" spans="1:5" x14ac:dyDescent="0.2">
      <c r="A5926" s="113">
        <v>40624</v>
      </c>
      <c r="B5926" s="111">
        <f t="shared" si="92"/>
        <v>34</v>
      </c>
      <c r="C5926" s="111"/>
      <c r="D5926" s="111"/>
      <c r="E5926" s="111"/>
    </row>
    <row r="5927" spans="1:5" x14ac:dyDescent="0.2">
      <c r="A5927" s="113">
        <v>40625</v>
      </c>
      <c r="B5927" s="111">
        <f t="shared" si="92"/>
        <v>34</v>
      </c>
      <c r="C5927" s="111"/>
      <c r="D5927" s="111"/>
      <c r="E5927" s="111"/>
    </row>
    <row r="5928" spans="1:5" x14ac:dyDescent="0.2">
      <c r="A5928" s="113">
        <v>40626</v>
      </c>
      <c r="B5928" s="111">
        <f t="shared" si="92"/>
        <v>34</v>
      </c>
      <c r="C5928" s="111"/>
      <c r="D5928" s="111"/>
      <c r="E5928" s="111"/>
    </row>
    <row r="5929" spans="1:5" x14ac:dyDescent="0.2">
      <c r="A5929" s="113">
        <v>40627</v>
      </c>
      <c r="B5929" s="111">
        <f t="shared" si="92"/>
        <v>34</v>
      </c>
      <c r="C5929" s="111"/>
      <c r="D5929" s="111"/>
      <c r="E5929" s="111"/>
    </row>
    <row r="5930" spans="1:5" x14ac:dyDescent="0.2">
      <c r="A5930" s="113">
        <v>40628</v>
      </c>
      <c r="B5930" s="111">
        <f t="shared" si="92"/>
        <v>34</v>
      </c>
      <c r="C5930" s="111"/>
      <c r="D5930" s="111"/>
      <c r="E5930" s="111"/>
    </row>
    <row r="5931" spans="1:5" x14ac:dyDescent="0.2">
      <c r="A5931" s="113">
        <v>40629</v>
      </c>
      <c r="B5931" s="111">
        <f t="shared" si="92"/>
        <v>41</v>
      </c>
      <c r="C5931" s="111"/>
      <c r="D5931" s="111"/>
      <c r="E5931" s="111"/>
    </row>
    <row r="5932" spans="1:5" x14ac:dyDescent="0.2">
      <c r="A5932" s="113">
        <v>40630</v>
      </c>
      <c r="B5932" s="111">
        <f t="shared" si="92"/>
        <v>41</v>
      </c>
      <c r="C5932" s="111"/>
      <c r="D5932" s="111"/>
      <c r="E5932" s="111"/>
    </row>
    <row r="5933" spans="1:5" x14ac:dyDescent="0.2">
      <c r="A5933" s="113">
        <v>40631</v>
      </c>
      <c r="B5933" s="111">
        <f t="shared" si="92"/>
        <v>41</v>
      </c>
      <c r="C5933" s="111"/>
      <c r="D5933" s="111"/>
      <c r="E5933" s="111"/>
    </row>
    <row r="5934" spans="1:5" x14ac:dyDescent="0.2">
      <c r="A5934" s="113">
        <v>40632</v>
      </c>
      <c r="B5934" s="111">
        <f t="shared" si="92"/>
        <v>41</v>
      </c>
      <c r="C5934" s="111"/>
      <c r="D5934" s="111"/>
      <c r="E5934" s="111"/>
    </row>
    <row r="5935" spans="1:5" x14ac:dyDescent="0.2">
      <c r="A5935" s="113">
        <v>40633</v>
      </c>
      <c r="B5935" s="111">
        <f t="shared" si="92"/>
        <v>41</v>
      </c>
      <c r="C5935" s="111"/>
      <c r="D5935" s="111"/>
      <c r="E5935" s="111"/>
    </row>
    <row r="5936" spans="1:5" x14ac:dyDescent="0.2">
      <c r="A5936" s="113">
        <v>40634</v>
      </c>
      <c r="B5936" s="111">
        <f t="shared" si="92"/>
        <v>41</v>
      </c>
      <c r="C5936" s="111"/>
      <c r="D5936" s="111"/>
      <c r="E5936" s="111"/>
    </row>
    <row r="5937" spans="1:5" x14ac:dyDescent="0.2">
      <c r="A5937" s="113">
        <v>40635</v>
      </c>
      <c r="B5937" s="111">
        <f t="shared" si="92"/>
        <v>41</v>
      </c>
      <c r="C5937" s="111"/>
      <c r="D5937" s="111"/>
      <c r="E5937" s="111"/>
    </row>
    <row r="5938" spans="1:5" x14ac:dyDescent="0.2">
      <c r="A5938" s="113">
        <v>40636</v>
      </c>
      <c r="B5938" s="111">
        <f t="shared" si="92"/>
        <v>42</v>
      </c>
      <c r="C5938" s="111"/>
      <c r="D5938" s="111"/>
      <c r="E5938" s="111"/>
    </row>
    <row r="5939" spans="1:5" x14ac:dyDescent="0.2">
      <c r="A5939" s="113">
        <v>40637</v>
      </c>
      <c r="B5939" s="111">
        <f t="shared" si="92"/>
        <v>42</v>
      </c>
      <c r="C5939" s="111"/>
      <c r="D5939" s="111"/>
      <c r="E5939" s="111"/>
    </row>
    <row r="5940" spans="1:5" x14ac:dyDescent="0.2">
      <c r="A5940" s="113">
        <v>40638</v>
      </c>
      <c r="B5940" s="111">
        <f t="shared" si="92"/>
        <v>42</v>
      </c>
      <c r="C5940" s="111"/>
      <c r="D5940" s="111"/>
      <c r="E5940" s="111"/>
    </row>
    <row r="5941" spans="1:5" x14ac:dyDescent="0.2">
      <c r="A5941" s="113">
        <v>40639</v>
      </c>
      <c r="B5941" s="111">
        <f t="shared" si="92"/>
        <v>42</v>
      </c>
      <c r="C5941" s="111"/>
      <c r="D5941" s="111"/>
      <c r="E5941" s="111"/>
    </row>
    <row r="5942" spans="1:5" x14ac:dyDescent="0.2">
      <c r="A5942" s="113">
        <v>40640</v>
      </c>
      <c r="B5942" s="111">
        <f t="shared" si="92"/>
        <v>42</v>
      </c>
      <c r="C5942" s="111"/>
      <c r="D5942" s="111"/>
      <c r="E5942" s="111"/>
    </row>
    <row r="5943" spans="1:5" x14ac:dyDescent="0.2">
      <c r="A5943" s="113">
        <v>40641</v>
      </c>
      <c r="B5943" s="111">
        <f t="shared" si="92"/>
        <v>42</v>
      </c>
      <c r="C5943" s="111"/>
      <c r="D5943" s="111"/>
      <c r="E5943" s="111"/>
    </row>
    <row r="5944" spans="1:5" x14ac:dyDescent="0.2">
      <c r="A5944" s="113">
        <v>40642</v>
      </c>
      <c r="B5944" s="111">
        <f t="shared" si="92"/>
        <v>42</v>
      </c>
      <c r="C5944" s="111"/>
      <c r="D5944" s="111"/>
      <c r="E5944" s="111"/>
    </row>
    <row r="5945" spans="1:5" x14ac:dyDescent="0.2">
      <c r="A5945" s="113">
        <v>40643</v>
      </c>
      <c r="B5945" s="111">
        <f t="shared" si="92"/>
        <v>43</v>
      </c>
      <c r="C5945" s="111"/>
      <c r="D5945" s="111"/>
      <c r="E5945" s="111"/>
    </row>
    <row r="5946" spans="1:5" x14ac:dyDescent="0.2">
      <c r="A5946" s="113">
        <v>40644</v>
      </c>
      <c r="B5946" s="111">
        <f t="shared" si="92"/>
        <v>43</v>
      </c>
      <c r="C5946" s="111"/>
      <c r="D5946" s="111"/>
      <c r="E5946" s="111"/>
    </row>
    <row r="5947" spans="1:5" x14ac:dyDescent="0.2">
      <c r="A5947" s="113">
        <v>40645</v>
      </c>
      <c r="B5947" s="111">
        <f t="shared" si="92"/>
        <v>43</v>
      </c>
      <c r="C5947" s="111"/>
      <c r="D5947" s="111"/>
      <c r="E5947" s="111"/>
    </row>
    <row r="5948" spans="1:5" x14ac:dyDescent="0.2">
      <c r="A5948" s="113">
        <v>40646</v>
      </c>
      <c r="B5948" s="111">
        <f t="shared" si="92"/>
        <v>43</v>
      </c>
      <c r="C5948" s="111"/>
      <c r="D5948" s="111"/>
      <c r="E5948" s="111"/>
    </row>
    <row r="5949" spans="1:5" x14ac:dyDescent="0.2">
      <c r="A5949" s="113">
        <v>40647</v>
      </c>
      <c r="B5949" s="111">
        <f t="shared" si="92"/>
        <v>43</v>
      </c>
      <c r="C5949" s="111"/>
      <c r="D5949" s="111"/>
      <c r="E5949" s="111"/>
    </row>
    <row r="5950" spans="1:5" x14ac:dyDescent="0.2">
      <c r="A5950" s="113">
        <v>40648</v>
      </c>
      <c r="B5950" s="111">
        <f t="shared" si="92"/>
        <v>43</v>
      </c>
      <c r="C5950" s="111"/>
      <c r="D5950" s="111"/>
      <c r="E5950" s="111"/>
    </row>
    <row r="5951" spans="1:5" x14ac:dyDescent="0.2">
      <c r="A5951" s="113">
        <v>40649</v>
      </c>
      <c r="B5951" s="111">
        <f t="shared" si="92"/>
        <v>43</v>
      </c>
      <c r="C5951" s="111"/>
      <c r="D5951" s="111"/>
      <c r="E5951" s="111"/>
    </row>
    <row r="5952" spans="1:5" x14ac:dyDescent="0.2">
      <c r="A5952" s="113">
        <v>40650</v>
      </c>
      <c r="B5952" s="111">
        <f t="shared" si="92"/>
        <v>44</v>
      </c>
      <c r="C5952" s="111"/>
      <c r="D5952" s="111"/>
      <c r="E5952" s="111"/>
    </row>
    <row r="5953" spans="1:5" x14ac:dyDescent="0.2">
      <c r="A5953" s="113">
        <v>40651</v>
      </c>
      <c r="B5953" s="111">
        <f t="shared" si="92"/>
        <v>44</v>
      </c>
      <c r="C5953" s="111"/>
      <c r="D5953" s="111"/>
      <c r="E5953" s="111"/>
    </row>
    <row r="5954" spans="1:5" x14ac:dyDescent="0.2">
      <c r="A5954" s="113">
        <v>40652</v>
      </c>
      <c r="B5954" s="111">
        <f t="shared" ref="B5954:B6017" si="93">VLOOKUP(WEEKNUM(A5954),$D$3:$E$58,2)</f>
        <v>44</v>
      </c>
      <c r="C5954" s="111"/>
      <c r="D5954" s="111"/>
      <c r="E5954" s="111"/>
    </row>
    <row r="5955" spans="1:5" x14ac:dyDescent="0.2">
      <c r="A5955" s="113">
        <v>40653</v>
      </c>
      <c r="B5955" s="111">
        <f t="shared" si="93"/>
        <v>44</v>
      </c>
      <c r="C5955" s="111"/>
      <c r="D5955" s="111"/>
      <c r="E5955" s="111"/>
    </row>
    <row r="5956" spans="1:5" x14ac:dyDescent="0.2">
      <c r="A5956" s="113">
        <v>40654</v>
      </c>
      <c r="B5956" s="111">
        <f t="shared" si="93"/>
        <v>44</v>
      </c>
      <c r="C5956" s="111"/>
      <c r="D5956" s="111"/>
      <c r="E5956" s="111"/>
    </row>
    <row r="5957" spans="1:5" x14ac:dyDescent="0.2">
      <c r="A5957" s="113">
        <v>40655</v>
      </c>
      <c r="B5957" s="111">
        <f t="shared" si="93"/>
        <v>44</v>
      </c>
      <c r="C5957" s="111"/>
      <c r="D5957" s="111"/>
      <c r="E5957" s="111"/>
    </row>
    <row r="5958" spans="1:5" x14ac:dyDescent="0.2">
      <c r="A5958" s="113">
        <v>40656</v>
      </c>
      <c r="B5958" s="111">
        <f t="shared" si="93"/>
        <v>44</v>
      </c>
      <c r="C5958" s="111"/>
      <c r="D5958" s="111"/>
      <c r="E5958" s="111"/>
    </row>
    <row r="5959" spans="1:5" x14ac:dyDescent="0.2">
      <c r="A5959" s="113">
        <v>40657</v>
      </c>
      <c r="B5959" s="111">
        <f t="shared" si="93"/>
        <v>45</v>
      </c>
      <c r="C5959" s="111"/>
      <c r="D5959" s="111"/>
      <c r="E5959" s="111"/>
    </row>
    <row r="5960" spans="1:5" x14ac:dyDescent="0.2">
      <c r="A5960" s="113">
        <v>40658</v>
      </c>
      <c r="B5960" s="111">
        <f t="shared" si="93"/>
        <v>45</v>
      </c>
      <c r="C5960" s="111"/>
      <c r="D5960" s="111"/>
      <c r="E5960" s="111"/>
    </row>
    <row r="5961" spans="1:5" x14ac:dyDescent="0.2">
      <c r="A5961" s="113">
        <v>40659</v>
      </c>
      <c r="B5961" s="111">
        <f t="shared" si="93"/>
        <v>45</v>
      </c>
      <c r="C5961" s="111"/>
      <c r="D5961" s="111"/>
      <c r="E5961" s="111"/>
    </row>
    <row r="5962" spans="1:5" x14ac:dyDescent="0.2">
      <c r="A5962" s="113">
        <v>40660</v>
      </c>
      <c r="B5962" s="111">
        <f t="shared" si="93"/>
        <v>45</v>
      </c>
      <c r="C5962" s="111"/>
      <c r="D5962" s="111"/>
      <c r="E5962" s="111"/>
    </row>
    <row r="5963" spans="1:5" x14ac:dyDescent="0.2">
      <c r="A5963" s="113">
        <v>40661</v>
      </c>
      <c r="B5963" s="111">
        <f t="shared" si="93"/>
        <v>45</v>
      </c>
      <c r="C5963" s="111"/>
      <c r="D5963" s="111"/>
      <c r="E5963" s="111"/>
    </row>
    <row r="5964" spans="1:5" x14ac:dyDescent="0.2">
      <c r="A5964" s="113">
        <v>40662</v>
      </c>
      <c r="B5964" s="111">
        <f t="shared" si="93"/>
        <v>45</v>
      </c>
      <c r="C5964" s="111"/>
      <c r="D5964" s="111"/>
      <c r="E5964" s="111"/>
    </row>
    <row r="5965" spans="1:5" x14ac:dyDescent="0.2">
      <c r="A5965" s="113">
        <v>40663</v>
      </c>
      <c r="B5965" s="111">
        <f t="shared" si="93"/>
        <v>45</v>
      </c>
      <c r="C5965" s="111"/>
      <c r="D5965" s="111"/>
      <c r="E5965" s="111"/>
    </row>
    <row r="5966" spans="1:5" x14ac:dyDescent="0.2">
      <c r="A5966" s="113">
        <v>40664</v>
      </c>
      <c r="B5966" s="111">
        <f t="shared" si="93"/>
        <v>51</v>
      </c>
      <c r="C5966" s="111"/>
      <c r="D5966" s="111"/>
      <c r="E5966" s="111"/>
    </row>
    <row r="5967" spans="1:5" x14ac:dyDescent="0.2">
      <c r="A5967" s="113">
        <v>40665</v>
      </c>
      <c r="B5967" s="111">
        <f t="shared" si="93"/>
        <v>51</v>
      </c>
      <c r="C5967" s="111"/>
      <c r="D5967" s="111"/>
      <c r="E5967" s="111"/>
    </row>
    <row r="5968" spans="1:5" x14ac:dyDescent="0.2">
      <c r="A5968" s="113">
        <v>40666</v>
      </c>
      <c r="B5968" s="111">
        <f t="shared" si="93"/>
        <v>51</v>
      </c>
      <c r="C5968" s="111"/>
      <c r="D5968" s="111"/>
      <c r="E5968" s="111"/>
    </row>
    <row r="5969" spans="1:5" x14ac:dyDescent="0.2">
      <c r="A5969" s="113">
        <v>40667</v>
      </c>
      <c r="B5969" s="111">
        <f t="shared" si="93"/>
        <v>51</v>
      </c>
      <c r="C5969" s="111"/>
      <c r="D5969" s="111"/>
      <c r="E5969" s="111"/>
    </row>
    <row r="5970" spans="1:5" x14ac:dyDescent="0.2">
      <c r="A5970" s="113">
        <v>40668</v>
      </c>
      <c r="B5970" s="111">
        <f t="shared" si="93"/>
        <v>51</v>
      </c>
      <c r="C5970" s="111"/>
      <c r="D5970" s="111"/>
      <c r="E5970" s="111"/>
    </row>
    <row r="5971" spans="1:5" x14ac:dyDescent="0.2">
      <c r="A5971" s="113">
        <v>40669</v>
      </c>
      <c r="B5971" s="111">
        <f t="shared" si="93"/>
        <v>51</v>
      </c>
      <c r="C5971" s="111"/>
      <c r="D5971" s="111"/>
      <c r="E5971" s="111"/>
    </row>
    <row r="5972" spans="1:5" x14ac:dyDescent="0.2">
      <c r="A5972" s="113">
        <v>40670</v>
      </c>
      <c r="B5972" s="111">
        <f t="shared" si="93"/>
        <v>51</v>
      </c>
      <c r="C5972" s="111"/>
      <c r="D5972" s="111"/>
      <c r="E5972" s="111"/>
    </row>
    <row r="5973" spans="1:5" x14ac:dyDescent="0.2">
      <c r="A5973" s="113">
        <v>40671</v>
      </c>
      <c r="B5973" s="111">
        <f t="shared" si="93"/>
        <v>52</v>
      </c>
      <c r="C5973" s="111"/>
      <c r="D5973" s="111"/>
      <c r="E5973" s="111"/>
    </row>
    <row r="5974" spans="1:5" x14ac:dyDescent="0.2">
      <c r="A5974" s="113">
        <v>40672</v>
      </c>
      <c r="B5974" s="111">
        <f t="shared" si="93"/>
        <v>52</v>
      </c>
      <c r="C5974" s="111"/>
      <c r="D5974" s="111"/>
      <c r="E5974" s="111"/>
    </row>
    <row r="5975" spans="1:5" x14ac:dyDescent="0.2">
      <c r="A5975" s="113">
        <v>40673</v>
      </c>
      <c r="B5975" s="111">
        <f t="shared" si="93"/>
        <v>52</v>
      </c>
      <c r="C5975" s="111"/>
      <c r="D5975" s="111"/>
      <c r="E5975" s="111"/>
    </row>
    <row r="5976" spans="1:5" x14ac:dyDescent="0.2">
      <c r="A5976" s="113">
        <v>40674</v>
      </c>
      <c r="B5976" s="111">
        <f t="shared" si="93"/>
        <v>52</v>
      </c>
      <c r="C5976" s="111"/>
      <c r="D5976" s="111"/>
      <c r="E5976" s="111"/>
    </row>
    <row r="5977" spans="1:5" x14ac:dyDescent="0.2">
      <c r="A5977" s="113">
        <v>40675</v>
      </c>
      <c r="B5977" s="111">
        <f t="shared" si="93"/>
        <v>52</v>
      </c>
      <c r="C5977" s="111"/>
      <c r="D5977" s="111"/>
      <c r="E5977" s="111"/>
    </row>
    <row r="5978" spans="1:5" x14ac:dyDescent="0.2">
      <c r="A5978" s="113">
        <v>40676</v>
      </c>
      <c r="B5978" s="111">
        <f t="shared" si="93"/>
        <v>52</v>
      </c>
      <c r="C5978" s="111"/>
      <c r="D5978" s="111"/>
      <c r="E5978" s="111"/>
    </row>
    <row r="5979" spans="1:5" x14ac:dyDescent="0.2">
      <c r="A5979" s="113">
        <v>40677</v>
      </c>
      <c r="B5979" s="111">
        <f t="shared" si="93"/>
        <v>52</v>
      </c>
      <c r="C5979" s="111"/>
      <c r="D5979" s="111"/>
      <c r="E5979" s="111"/>
    </row>
    <row r="5980" spans="1:5" x14ac:dyDescent="0.2">
      <c r="A5980" s="113">
        <v>40678</v>
      </c>
      <c r="B5980" s="111">
        <f t="shared" si="93"/>
        <v>53</v>
      </c>
      <c r="C5980" s="111"/>
      <c r="D5980" s="111"/>
      <c r="E5980" s="111"/>
    </row>
    <row r="5981" spans="1:5" x14ac:dyDescent="0.2">
      <c r="A5981" s="113">
        <v>40679</v>
      </c>
      <c r="B5981" s="111">
        <f t="shared" si="93"/>
        <v>53</v>
      </c>
      <c r="C5981" s="111"/>
      <c r="D5981" s="111"/>
      <c r="E5981" s="111"/>
    </row>
    <row r="5982" spans="1:5" x14ac:dyDescent="0.2">
      <c r="A5982" s="113">
        <v>40680</v>
      </c>
      <c r="B5982" s="111">
        <f t="shared" si="93"/>
        <v>53</v>
      </c>
      <c r="C5982" s="111"/>
      <c r="D5982" s="111"/>
      <c r="E5982" s="111"/>
    </row>
    <row r="5983" spans="1:5" x14ac:dyDescent="0.2">
      <c r="A5983" s="113">
        <v>40681</v>
      </c>
      <c r="B5983" s="111">
        <f t="shared" si="93"/>
        <v>53</v>
      </c>
      <c r="C5983" s="111"/>
      <c r="D5983" s="111"/>
      <c r="E5983" s="111"/>
    </row>
    <row r="5984" spans="1:5" x14ac:dyDescent="0.2">
      <c r="A5984" s="113">
        <v>40682</v>
      </c>
      <c r="B5984" s="111">
        <f t="shared" si="93"/>
        <v>53</v>
      </c>
      <c r="C5984" s="111"/>
      <c r="D5984" s="111"/>
      <c r="E5984" s="111"/>
    </row>
    <row r="5985" spans="1:5" x14ac:dyDescent="0.2">
      <c r="A5985" s="113">
        <v>40683</v>
      </c>
      <c r="B5985" s="111">
        <f t="shared" si="93"/>
        <v>53</v>
      </c>
      <c r="C5985" s="111"/>
      <c r="D5985" s="111"/>
      <c r="E5985" s="111"/>
    </row>
    <row r="5986" spans="1:5" x14ac:dyDescent="0.2">
      <c r="A5986" s="113">
        <v>40684</v>
      </c>
      <c r="B5986" s="111">
        <f t="shared" si="93"/>
        <v>53</v>
      </c>
      <c r="C5986" s="111"/>
      <c r="D5986" s="111"/>
      <c r="E5986" s="111"/>
    </row>
    <row r="5987" spans="1:5" x14ac:dyDescent="0.2">
      <c r="A5987" s="113">
        <v>40685</v>
      </c>
      <c r="B5987" s="111">
        <f t="shared" si="93"/>
        <v>54</v>
      </c>
      <c r="C5987" s="111"/>
      <c r="D5987" s="111"/>
      <c r="E5987" s="111"/>
    </row>
    <row r="5988" spans="1:5" x14ac:dyDescent="0.2">
      <c r="A5988" s="113">
        <v>40686</v>
      </c>
      <c r="B5988" s="111">
        <f t="shared" si="93"/>
        <v>54</v>
      </c>
      <c r="C5988" s="111"/>
      <c r="D5988" s="111"/>
      <c r="E5988" s="111"/>
    </row>
    <row r="5989" spans="1:5" x14ac:dyDescent="0.2">
      <c r="A5989" s="113">
        <v>40687</v>
      </c>
      <c r="B5989" s="111">
        <f t="shared" si="93"/>
        <v>54</v>
      </c>
      <c r="C5989" s="111"/>
      <c r="D5989" s="111"/>
      <c r="E5989" s="111"/>
    </row>
    <row r="5990" spans="1:5" x14ac:dyDescent="0.2">
      <c r="A5990" s="113">
        <v>40688</v>
      </c>
      <c r="B5990" s="111">
        <f t="shared" si="93"/>
        <v>54</v>
      </c>
      <c r="C5990" s="111"/>
      <c r="D5990" s="111"/>
      <c r="E5990" s="111"/>
    </row>
    <row r="5991" spans="1:5" x14ac:dyDescent="0.2">
      <c r="A5991" s="113">
        <v>40689</v>
      </c>
      <c r="B5991" s="111">
        <f t="shared" si="93"/>
        <v>54</v>
      </c>
      <c r="C5991" s="111"/>
      <c r="D5991" s="111"/>
      <c r="E5991" s="111"/>
    </row>
    <row r="5992" spans="1:5" x14ac:dyDescent="0.2">
      <c r="A5992" s="113">
        <v>40690</v>
      </c>
      <c r="B5992" s="111">
        <f t="shared" si="93"/>
        <v>54</v>
      </c>
      <c r="C5992" s="111"/>
      <c r="D5992" s="111"/>
      <c r="E5992" s="111"/>
    </row>
    <row r="5993" spans="1:5" x14ac:dyDescent="0.2">
      <c r="A5993" s="113">
        <v>40691</v>
      </c>
      <c r="B5993" s="111">
        <f t="shared" si="93"/>
        <v>54</v>
      </c>
      <c r="C5993" s="111"/>
      <c r="D5993" s="111"/>
      <c r="E5993" s="111"/>
    </row>
    <row r="5994" spans="1:5" x14ac:dyDescent="0.2">
      <c r="A5994" s="113">
        <v>40692</v>
      </c>
      <c r="B5994" s="111">
        <f t="shared" si="93"/>
        <v>61</v>
      </c>
      <c r="C5994" s="111"/>
      <c r="D5994" s="111"/>
      <c r="E5994" s="111"/>
    </row>
    <row r="5995" spans="1:5" x14ac:dyDescent="0.2">
      <c r="A5995" s="113">
        <v>40693</v>
      </c>
      <c r="B5995" s="111">
        <f t="shared" si="93"/>
        <v>61</v>
      </c>
      <c r="C5995" s="111"/>
      <c r="D5995" s="111"/>
      <c r="E5995" s="111"/>
    </row>
    <row r="5996" spans="1:5" x14ac:dyDescent="0.2">
      <c r="A5996" s="113">
        <v>40694</v>
      </c>
      <c r="B5996" s="111">
        <f t="shared" si="93"/>
        <v>61</v>
      </c>
      <c r="C5996" s="111"/>
      <c r="D5996" s="111"/>
      <c r="E5996" s="111"/>
    </row>
    <row r="5997" spans="1:5" x14ac:dyDescent="0.2">
      <c r="A5997" s="113">
        <v>40695</v>
      </c>
      <c r="B5997" s="111">
        <f t="shared" si="93"/>
        <v>61</v>
      </c>
      <c r="C5997" s="111"/>
      <c r="D5997" s="111"/>
      <c r="E5997" s="111"/>
    </row>
    <row r="5998" spans="1:5" x14ac:dyDescent="0.2">
      <c r="A5998" s="113">
        <v>40696</v>
      </c>
      <c r="B5998" s="111">
        <f t="shared" si="93"/>
        <v>61</v>
      </c>
      <c r="C5998" s="111"/>
      <c r="D5998" s="111"/>
      <c r="E5998" s="111"/>
    </row>
    <row r="5999" spans="1:5" x14ac:dyDescent="0.2">
      <c r="A5999" s="113">
        <v>40697</v>
      </c>
      <c r="B5999" s="111">
        <f t="shared" si="93"/>
        <v>61</v>
      </c>
      <c r="C5999" s="111"/>
      <c r="D5999" s="111"/>
      <c r="E5999" s="111"/>
    </row>
    <row r="6000" spans="1:5" x14ac:dyDescent="0.2">
      <c r="A6000" s="113">
        <v>40698</v>
      </c>
      <c r="B6000" s="111">
        <f t="shared" si="93"/>
        <v>61</v>
      </c>
      <c r="C6000" s="111"/>
      <c r="D6000" s="111"/>
      <c r="E6000" s="111"/>
    </row>
    <row r="6001" spans="1:5" x14ac:dyDescent="0.2">
      <c r="A6001" s="113">
        <v>40699</v>
      </c>
      <c r="B6001" s="111">
        <f t="shared" si="93"/>
        <v>62</v>
      </c>
      <c r="C6001" s="111"/>
      <c r="D6001" s="111"/>
      <c r="E6001" s="111"/>
    </row>
    <row r="6002" spans="1:5" x14ac:dyDescent="0.2">
      <c r="A6002" s="113">
        <v>40700</v>
      </c>
      <c r="B6002" s="111">
        <f t="shared" si="93"/>
        <v>62</v>
      </c>
      <c r="C6002" s="111"/>
      <c r="D6002" s="111"/>
      <c r="E6002" s="111"/>
    </row>
    <row r="6003" spans="1:5" x14ac:dyDescent="0.2">
      <c r="A6003" s="113">
        <v>40701</v>
      </c>
      <c r="B6003" s="111">
        <f t="shared" si="93"/>
        <v>62</v>
      </c>
      <c r="C6003" s="111"/>
      <c r="D6003" s="111"/>
      <c r="E6003" s="111"/>
    </row>
    <row r="6004" spans="1:5" x14ac:dyDescent="0.2">
      <c r="A6004" s="113">
        <v>40702</v>
      </c>
      <c r="B6004" s="111">
        <f t="shared" si="93"/>
        <v>62</v>
      </c>
      <c r="C6004" s="111"/>
      <c r="D6004" s="111"/>
      <c r="E6004" s="111"/>
    </row>
    <row r="6005" spans="1:5" x14ac:dyDescent="0.2">
      <c r="A6005" s="113">
        <v>40703</v>
      </c>
      <c r="B6005" s="111">
        <f t="shared" si="93"/>
        <v>62</v>
      </c>
      <c r="C6005" s="111"/>
      <c r="D6005" s="111"/>
      <c r="E6005" s="111"/>
    </row>
    <row r="6006" spans="1:5" x14ac:dyDescent="0.2">
      <c r="A6006" s="113">
        <v>40704</v>
      </c>
      <c r="B6006" s="111">
        <f t="shared" si="93"/>
        <v>62</v>
      </c>
      <c r="C6006" s="111"/>
      <c r="D6006" s="111"/>
      <c r="E6006" s="111"/>
    </row>
    <row r="6007" spans="1:5" x14ac:dyDescent="0.2">
      <c r="A6007" s="113">
        <v>40705</v>
      </c>
      <c r="B6007" s="111">
        <f t="shared" si="93"/>
        <v>62</v>
      </c>
      <c r="C6007" s="111"/>
      <c r="D6007" s="111"/>
      <c r="E6007" s="111"/>
    </row>
    <row r="6008" spans="1:5" x14ac:dyDescent="0.2">
      <c r="A6008" s="113">
        <v>40706</v>
      </c>
      <c r="B6008" s="111">
        <f t="shared" si="93"/>
        <v>63</v>
      </c>
      <c r="C6008" s="111"/>
      <c r="D6008" s="111"/>
      <c r="E6008" s="111"/>
    </row>
    <row r="6009" spans="1:5" x14ac:dyDescent="0.2">
      <c r="A6009" s="113">
        <v>40707</v>
      </c>
      <c r="B6009" s="111">
        <f t="shared" si="93"/>
        <v>63</v>
      </c>
      <c r="C6009" s="111"/>
      <c r="D6009" s="111"/>
      <c r="E6009" s="111"/>
    </row>
    <row r="6010" spans="1:5" x14ac:dyDescent="0.2">
      <c r="A6010" s="113">
        <v>40708</v>
      </c>
      <c r="B6010" s="111">
        <f t="shared" si="93"/>
        <v>63</v>
      </c>
      <c r="C6010" s="111"/>
      <c r="D6010" s="111"/>
      <c r="E6010" s="111"/>
    </row>
    <row r="6011" spans="1:5" x14ac:dyDescent="0.2">
      <c r="A6011" s="113">
        <v>40709</v>
      </c>
      <c r="B6011" s="111">
        <f t="shared" si="93"/>
        <v>63</v>
      </c>
      <c r="C6011" s="111"/>
      <c r="D6011" s="111"/>
      <c r="E6011" s="111"/>
    </row>
    <row r="6012" spans="1:5" x14ac:dyDescent="0.2">
      <c r="A6012" s="113">
        <v>40710</v>
      </c>
      <c r="B6012" s="111">
        <f t="shared" si="93"/>
        <v>63</v>
      </c>
      <c r="C6012" s="111"/>
      <c r="D6012" s="111"/>
      <c r="E6012" s="111"/>
    </row>
    <row r="6013" spans="1:5" x14ac:dyDescent="0.2">
      <c r="A6013" s="113">
        <v>40711</v>
      </c>
      <c r="B6013" s="111">
        <f t="shared" si="93"/>
        <v>63</v>
      </c>
      <c r="C6013" s="111"/>
      <c r="D6013" s="111"/>
      <c r="E6013" s="111"/>
    </row>
    <row r="6014" spans="1:5" x14ac:dyDescent="0.2">
      <c r="A6014" s="113">
        <v>40712</v>
      </c>
      <c r="B6014" s="111">
        <f t="shared" si="93"/>
        <v>63</v>
      </c>
      <c r="C6014" s="111"/>
      <c r="D6014" s="111"/>
      <c r="E6014" s="111"/>
    </row>
    <row r="6015" spans="1:5" x14ac:dyDescent="0.2">
      <c r="A6015" s="113">
        <v>40713</v>
      </c>
      <c r="B6015" s="111">
        <f t="shared" si="93"/>
        <v>64</v>
      </c>
      <c r="C6015" s="111"/>
      <c r="D6015" s="111"/>
      <c r="E6015" s="111"/>
    </row>
    <row r="6016" spans="1:5" x14ac:dyDescent="0.2">
      <c r="A6016" s="113">
        <v>40714</v>
      </c>
      <c r="B6016" s="111">
        <f t="shared" si="93"/>
        <v>64</v>
      </c>
      <c r="C6016" s="111"/>
      <c r="D6016" s="111"/>
      <c r="E6016" s="111"/>
    </row>
    <row r="6017" spans="1:5" x14ac:dyDescent="0.2">
      <c r="A6017" s="113">
        <v>40715</v>
      </c>
      <c r="B6017" s="111">
        <f t="shared" si="93"/>
        <v>64</v>
      </c>
      <c r="C6017" s="111"/>
      <c r="D6017" s="111"/>
      <c r="E6017" s="111"/>
    </row>
    <row r="6018" spans="1:5" x14ac:dyDescent="0.2">
      <c r="A6018" s="113">
        <v>40716</v>
      </c>
      <c r="B6018" s="111">
        <f t="shared" ref="B6018:B6081" si="94">VLOOKUP(WEEKNUM(A6018),$D$3:$E$58,2)</f>
        <v>64</v>
      </c>
      <c r="C6018" s="111"/>
      <c r="D6018" s="111"/>
      <c r="E6018" s="111"/>
    </row>
    <row r="6019" spans="1:5" x14ac:dyDescent="0.2">
      <c r="A6019" s="113">
        <v>40717</v>
      </c>
      <c r="B6019" s="111">
        <f t="shared" si="94"/>
        <v>64</v>
      </c>
      <c r="C6019" s="111"/>
      <c r="D6019" s="111"/>
      <c r="E6019" s="111"/>
    </row>
    <row r="6020" spans="1:5" x14ac:dyDescent="0.2">
      <c r="A6020" s="113">
        <v>40718</v>
      </c>
      <c r="B6020" s="111">
        <f t="shared" si="94"/>
        <v>64</v>
      </c>
      <c r="C6020" s="111"/>
      <c r="D6020" s="111"/>
      <c r="E6020" s="111"/>
    </row>
    <row r="6021" spans="1:5" x14ac:dyDescent="0.2">
      <c r="A6021" s="113">
        <v>40719</v>
      </c>
      <c r="B6021" s="111">
        <f t="shared" si="94"/>
        <v>64</v>
      </c>
      <c r="C6021" s="111"/>
      <c r="D6021" s="111"/>
      <c r="E6021" s="111"/>
    </row>
    <row r="6022" spans="1:5" x14ac:dyDescent="0.2">
      <c r="A6022" s="113">
        <v>40720</v>
      </c>
      <c r="B6022" s="111">
        <f t="shared" si="94"/>
        <v>71</v>
      </c>
      <c r="C6022" s="111"/>
      <c r="D6022" s="111"/>
      <c r="E6022" s="111"/>
    </row>
    <row r="6023" spans="1:5" x14ac:dyDescent="0.2">
      <c r="A6023" s="113">
        <v>40721</v>
      </c>
      <c r="B6023" s="111">
        <f t="shared" si="94"/>
        <v>71</v>
      </c>
      <c r="C6023" s="111"/>
      <c r="D6023" s="111"/>
      <c r="E6023" s="111"/>
    </row>
    <row r="6024" spans="1:5" x14ac:dyDescent="0.2">
      <c r="A6024" s="113">
        <v>40722</v>
      </c>
      <c r="B6024" s="111">
        <f t="shared" si="94"/>
        <v>71</v>
      </c>
      <c r="C6024" s="111"/>
      <c r="D6024" s="111"/>
      <c r="E6024" s="111"/>
    </row>
    <row r="6025" spans="1:5" x14ac:dyDescent="0.2">
      <c r="A6025" s="113">
        <v>40723</v>
      </c>
      <c r="B6025" s="111">
        <f t="shared" si="94"/>
        <v>71</v>
      </c>
      <c r="C6025" s="111"/>
      <c r="D6025" s="111"/>
      <c r="E6025" s="111"/>
    </row>
    <row r="6026" spans="1:5" x14ac:dyDescent="0.2">
      <c r="A6026" s="113">
        <v>40724</v>
      </c>
      <c r="B6026" s="111">
        <f t="shared" si="94"/>
        <v>71</v>
      </c>
      <c r="C6026" s="111"/>
      <c r="D6026" s="111"/>
      <c r="E6026" s="111"/>
    </row>
    <row r="6027" spans="1:5" x14ac:dyDescent="0.2">
      <c r="A6027" s="113">
        <v>40725</v>
      </c>
      <c r="B6027" s="111">
        <f t="shared" si="94"/>
        <v>71</v>
      </c>
      <c r="C6027" s="111"/>
      <c r="D6027" s="111"/>
      <c r="E6027" s="111"/>
    </row>
    <row r="6028" spans="1:5" x14ac:dyDescent="0.2">
      <c r="A6028" s="113">
        <v>40726</v>
      </c>
      <c r="B6028" s="111">
        <f t="shared" si="94"/>
        <v>71</v>
      </c>
      <c r="C6028" s="111"/>
      <c r="D6028" s="111"/>
      <c r="E6028" s="111"/>
    </row>
    <row r="6029" spans="1:5" x14ac:dyDescent="0.2">
      <c r="A6029" s="113">
        <v>40727</v>
      </c>
      <c r="B6029" s="111">
        <f t="shared" si="94"/>
        <v>72</v>
      </c>
      <c r="C6029" s="111"/>
      <c r="D6029" s="111"/>
      <c r="E6029" s="111"/>
    </row>
    <row r="6030" spans="1:5" x14ac:dyDescent="0.2">
      <c r="A6030" s="113">
        <v>40728</v>
      </c>
      <c r="B6030" s="111">
        <f t="shared" si="94"/>
        <v>72</v>
      </c>
      <c r="C6030" s="111"/>
      <c r="D6030" s="111"/>
      <c r="E6030" s="111"/>
    </row>
    <row r="6031" spans="1:5" x14ac:dyDescent="0.2">
      <c r="A6031" s="113">
        <v>40729</v>
      </c>
      <c r="B6031" s="111">
        <f t="shared" si="94"/>
        <v>72</v>
      </c>
      <c r="C6031" s="111"/>
      <c r="D6031" s="111"/>
      <c r="E6031" s="111"/>
    </row>
    <row r="6032" spans="1:5" x14ac:dyDescent="0.2">
      <c r="A6032" s="113">
        <v>40730</v>
      </c>
      <c r="B6032" s="111">
        <f t="shared" si="94"/>
        <v>72</v>
      </c>
      <c r="C6032" s="111"/>
      <c r="D6032" s="111"/>
      <c r="E6032" s="111"/>
    </row>
    <row r="6033" spans="1:5" x14ac:dyDescent="0.2">
      <c r="A6033" s="113">
        <v>40731</v>
      </c>
      <c r="B6033" s="111">
        <f t="shared" si="94"/>
        <v>72</v>
      </c>
      <c r="C6033" s="111"/>
      <c r="D6033" s="111"/>
      <c r="E6033" s="111"/>
    </row>
    <row r="6034" spans="1:5" x14ac:dyDescent="0.2">
      <c r="A6034" s="113">
        <v>40732</v>
      </c>
      <c r="B6034" s="111">
        <f t="shared" si="94"/>
        <v>72</v>
      </c>
      <c r="C6034" s="111"/>
      <c r="D6034" s="111"/>
      <c r="E6034" s="111"/>
    </row>
    <row r="6035" spans="1:5" x14ac:dyDescent="0.2">
      <c r="A6035" s="113">
        <v>40733</v>
      </c>
      <c r="B6035" s="111">
        <f t="shared" si="94"/>
        <v>72</v>
      </c>
      <c r="C6035" s="111"/>
      <c r="D6035" s="111"/>
      <c r="E6035" s="111"/>
    </row>
    <row r="6036" spans="1:5" x14ac:dyDescent="0.2">
      <c r="A6036" s="113">
        <v>40734</v>
      </c>
      <c r="B6036" s="111">
        <f t="shared" si="94"/>
        <v>73</v>
      </c>
      <c r="C6036" s="111"/>
      <c r="D6036" s="111"/>
      <c r="E6036" s="111"/>
    </row>
    <row r="6037" spans="1:5" x14ac:dyDescent="0.2">
      <c r="A6037" s="113">
        <v>40735</v>
      </c>
      <c r="B6037" s="111">
        <f t="shared" si="94"/>
        <v>73</v>
      </c>
      <c r="C6037" s="111"/>
      <c r="D6037" s="111"/>
      <c r="E6037" s="111"/>
    </row>
    <row r="6038" spans="1:5" x14ac:dyDescent="0.2">
      <c r="A6038" s="113">
        <v>40736</v>
      </c>
      <c r="B6038" s="111">
        <f t="shared" si="94"/>
        <v>73</v>
      </c>
      <c r="C6038" s="111"/>
      <c r="D6038" s="111"/>
      <c r="E6038" s="111"/>
    </row>
    <row r="6039" spans="1:5" x14ac:dyDescent="0.2">
      <c r="A6039" s="113">
        <v>40737</v>
      </c>
      <c r="B6039" s="111">
        <f t="shared" si="94"/>
        <v>73</v>
      </c>
      <c r="C6039" s="111"/>
      <c r="D6039" s="111"/>
      <c r="E6039" s="111"/>
    </row>
    <row r="6040" spans="1:5" x14ac:dyDescent="0.2">
      <c r="A6040" s="113">
        <v>40738</v>
      </c>
      <c r="B6040" s="111">
        <f t="shared" si="94"/>
        <v>73</v>
      </c>
      <c r="C6040" s="111"/>
      <c r="D6040" s="111"/>
      <c r="E6040" s="111"/>
    </row>
    <row r="6041" spans="1:5" x14ac:dyDescent="0.2">
      <c r="A6041" s="113">
        <v>40739</v>
      </c>
      <c r="B6041" s="111">
        <f t="shared" si="94"/>
        <v>73</v>
      </c>
      <c r="C6041" s="111"/>
      <c r="D6041" s="111"/>
      <c r="E6041" s="111"/>
    </row>
    <row r="6042" spans="1:5" x14ac:dyDescent="0.2">
      <c r="A6042" s="113">
        <v>40740</v>
      </c>
      <c r="B6042" s="111">
        <f t="shared" si="94"/>
        <v>73</v>
      </c>
      <c r="C6042" s="111"/>
      <c r="D6042" s="111"/>
      <c r="E6042" s="111"/>
    </row>
    <row r="6043" spans="1:5" x14ac:dyDescent="0.2">
      <c r="A6043" s="113">
        <v>40741</v>
      </c>
      <c r="B6043" s="111">
        <f t="shared" si="94"/>
        <v>74</v>
      </c>
      <c r="C6043" s="111"/>
      <c r="D6043" s="111"/>
      <c r="E6043" s="111"/>
    </row>
    <row r="6044" spans="1:5" x14ac:dyDescent="0.2">
      <c r="A6044" s="113">
        <v>40742</v>
      </c>
      <c r="B6044" s="111">
        <f t="shared" si="94"/>
        <v>74</v>
      </c>
      <c r="C6044" s="111"/>
      <c r="D6044" s="111"/>
      <c r="E6044" s="111"/>
    </row>
    <row r="6045" spans="1:5" x14ac:dyDescent="0.2">
      <c r="A6045" s="113">
        <v>40743</v>
      </c>
      <c r="B6045" s="111">
        <f t="shared" si="94"/>
        <v>74</v>
      </c>
      <c r="C6045" s="111"/>
      <c r="D6045" s="111"/>
      <c r="E6045" s="111"/>
    </row>
    <row r="6046" spans="1:5" x14ac:dyDescent="0.2">
      <c r="A6046" s="113">
        <v>40744</v>
      </c>
      <c r="B6046" s="111">
        <f t="shared" si="94"/>
        <v>74</v>
      </c>
      <c r="C6046" s="111"/>
      <c r="D6046" s="111"/>
      <c r="E6046" s="111"/>
    </row>
    <row r="6047" spans="1:5" x14ac:dyDescent="0.2">
      <c r="A6047" s="113">
        <v>40745</v>
      </c>
      <c r="B6047" s="111">
        <f t="shared" si="94"/>
        <v>74</v>
      </c>
      <c r="C6047" s="111"/>
      <c r="D6047" s="111"/>
      <c r="E6047" s="111"/>
    </row>
    <row r="6048" spans="1:5" x14ac:dyDescent="0.2">
      <c r="A6048" s="113">
        <v>40746</v>
      </c>
      <c r="B6048" s="111">
        <f t="shared" si="94"/>
        <v>74</v>
      </c>
      <c r="C6048" s="111"/>
      <c r="D6048" s="111"/>
      <c r="E6048" s="111"/>
    </row>
    <row r="6049" spans="1:5" x14ac:dyDescent="0.2">
      <c r="A6049" s="113">
        <v>40747</v>
      </c>
      <c r="B6049" s="111">
        <f t="shared" si="94"/>
        <v>74</v>
      </c>
      <c r="C6049" s="111"/>
      <c r="D6049" s="111"/>
      <c r="E6049" s="111"/>
    </row>
    <row r="6050" spans="1:5" x14ac:dyDescent="0.2">
      <c r="A6050" s="113">
        <v>40748</v>
      </c>
      <c r="B6050" s="111">
        <f t="shared" si="94"/>
        <v>75</v>
      </c>
      <c r="C6050" s="111"/>
      <c r="D6050" s="111"/>
      <c r="E6050" s="111"/>
    </row>
    <row r="6051" spans="1:5" x14ac:dyDescent="0.2">
      <c r="A6051" s="113">
        <v>40749</v>
      </c>
      <c r="B6051" s="111">
        <f t="shared" si="94"/>
        <v>75</v>
      </c>
      <c r="C6051" s="111"/>
      <c r="D6051" s="111"/>
      <c r="E6051" s="111"/>
    </row>
    <row r="6052" spans="1:5" x14ac:dyDescent="0.2">
      <c r="A6052" s="113">
        <v>40750</v>
      </c>
      <c r="B6052" s="111">
        <f t="shared" si="94"/>
        <v>75</v>
      </c>
      <c r="C6052" s="111"/>
      <c r="D6052" s="111"/>
      <c r="E6052" s="111"/>
    </row>
    <row r="6053" spans="1:5" x14ac:dyDescent="0.2">
      <c r="A6053" s="113">
        <v>40751</v>
      </c>
      <c r="B6053" s="111">
        <f t="shared" si="94"/>
        <v>75</v>
      </c>
      <c r="C6053" s="111"/>
      <c r="D6053" s="111"/>
      <c r="E6053" s="111"/>
    </row>
    <row r="6054" spans="1:5" x14ac:dyDescent="0.2">
      <c r="A6054" s="113">
        <v>40752</v>
      </c>
      <c r="B6054" s="111">
        <f t="shared" si="94"/>
        <v>75</v>
      </c>
      <c r="C6054" s="111"/>
      <c r="D6054" s="111"/>
      <c r="E6054" s="111"/>
    </row>
    <row r="6055" spans="1:5" x14ac:dyDescent="0.2">
      <c r="A6055" s="113">
        <v>40753</v>
      </c>
      <c r="B6055" s="111">
        <f t="shared" si="94"/>
        <v>75</v>
      </c>
      <c r="C6055" s="111"/>
      <c r="D6055" s="111"/>
      <c r="E6055" s="111"/>
    </row>
    <row r="6056" spans="1:5" x14ac:dyDescent="0.2">
      <c r="A6056" s="113">
        <v>40754</v>
      </c>
      <c r="B6056" s="111">
        <f t="shared" si="94"/>
        <v>75</v>
      </c>
      <c r="C6056" s="111"/>
      <c r="D6056" s="111"/>
      <c r="E6056" s="111"/>
    </row>
    <row r="6057" spans="1:5" x14ac:dyDescent="0.2">
      <c r="A6057" s="113">
        <v>40755</v>
      </c>
      <c r="B6057" s="111">
        <f t="shared" si="94"/>
        <v>81</v>
      </c>
      <c r="C6057" s="111"/>
      <c r="D6057" s="111"/>
      <c r="E6057" s="111"/>
    </row>
    <row r="6058" spans="1:5" x14ac:dyDescent="0.2">
      <c r="A6058" s="113">
        <v>40756</v>
      </c>
      <c r="B6058" s="111">
        <f t="shared" si="94"/>
        <v>81</v>
      </c>
      <c r="C6058" s="111"/>
      <c r="D6058" s="111"/>
      <c r="E6058" s="111"/>
    </row>
    <row r="6059" spans="1:5" x14ac:dyDescent="0.2">
      <c r="A6059" s="113">
        <v>40757</v>
      </c>
      <c r="B6059" s="111">
        <f t="shared" si="94"/>
        <v>81</v>
      </c>
      <c r="C6059" s="111"/>
      <c r="D6059" s="111"/>
      <c r="E6059" s="111"/>
    </row>
    <row r="6060" spans="1:5" x14ac:dyDescent="0.2">
      <c r="A6060" s="113">
        <v>40758</v>
      </c>
      <c r="B6060" s="111">
        <f t="shared" si="94"/>
        <v>81</v>
      </c>
      <c r="C6060" s="111"/>
      <c r="D6060" s="111"/>
      <c r="E6060" s="111"/>
    </row>
    <row r="6061" spans="1:5" x14ac:dyDescent="0.2">
      <c r="A6061" s="113">
        <v>40759</v>
      </c>
      <c r="B6061" s="111">
        <f t="shared" si="94"/>
        <v>81</v>
      </c>
      <c r="C6061" s="111"/>
      <c r="D6061" s="111"/>
      <c r="E6061" s="111"/>
    </row>
    <row r="6062" spans="1:5" x14ac:dyDescent="0.2">
      <c r="A6062" s="113">
        <v>40760</v>
      </c>
      <c r="B6062" s="111">
        <f t="shared" si="94"/>
        <v>81</v>
      </c>
      <c r="C6062" s="111"/>
      <c r="D6062" s="111"/>
      <c r="E6062" s="111"/>
    </row>
    <row r="6063" spans="1:5" x14ac:dyDescent="0.2">
      <c r="A6063" s="113">
        <v>40761</v>
      </c>
      <c r="B6063" s="111">
        <f t="shared" si="94"/>
        <v>81</v>
      </c>
      <c r="C6063" s="111"/>
      <c r="D6063" s="111"/>
      <c r="E6063" s="111"/>
    </row>
    <row r="6064" spans="1:5" x14ac:dyDescent="0.2">
      <c r="A6064" s="113">
        <v>40762</v>
      </c>
      <c r="B6064" s="111">
        <f t="shared" si="94"/>
        <v>82</v>
      </c>
      <c r="C6064" s="111"/>
      <c r="D6064" s="111"/>
      <c r="E6064" s="111"/>
    </row>
    <row r="6065" spans="1:5" x14ac:dyDescent="0.2">
      <c r="A6065" s="113">
        <v>40763</v>
      </c>
      <c r="B6065" s="111">
        <f t="shared" si="94"/>
        <v>82</v>
      </c>
      <c r="C6065" s="111"/>
      <c r="D6065" s="111"/>
      <c r="E6065" s="111"/>
    </row>
    <row r="6066" spans="1:5" x14ac:dyDescent="0.2">
      <c r="A6066" s="113">
        <v>40764</v>
      </c>
      <c r="B6066" s="111">
        <f t="shared" si="94"/>
        <v>82</v>
      </c>
      <c r="C6066" s="111"/>
      <c r="D6066" s="111"/>
      <c r="E6066" s="111"/>
    </row>
    <row r="6067" spans="1:5" x14ac:dyDescent="0.2">
      <c r="A6067" s="113">
        <v>40765</v>
      </c>
      <c r="B6067" s="111">
        <f t="shared" si="94"/>
        <v>82</v>
      </c>
      <c r="C6067" s="111"/>
      <c r="D6067" s="111"/>
      <c r="E6067" s="111"/>
    </row>
    <row r="6068" spans="1:5" x14ac:dyDescent="0.2">
      <c r="A6068" s="113">
        <v>40766</v>
      </c>
      <c r="B6068" s="111">
        <f t="shared" si="94"/>
        <v>82</v>
      </c>
      <c r="C6068" s="111"/>
      <c r="D6068" s="111"/>
      <c r="E6068" s="111"/>
    </row>
    <row r="6069" spans="1:5" x14ac:dyDescent="0.2">
      <c r="A6069" s="113">
        <v>40767</v>
      </c>
      <c r="B6069" s="111">
        <f t="shared" si="94"/>
        <v>82</v>
      </c>
      <c r="C6069" s="111"/>
      <c r="D6069" s="111"/>
      <c r="E6069" s="111"/>
    </row>
    <row r="6070" spans="1:5" x14ac:dyDescent="0.2">
      <c r="A6070" s="113">
        <v>40768</v>
      </c>
      <c r="B6070" s="111">
        <f t="shared" si="94"/>
        <v>82</v>
      </c>
      <c r="C6070" s="111"/>
      <c r="D6070" s="111"/>
      <c r="E6070" s="111"/>
    </row>
    <row r="6071" spans="1:5" x14ac:dyDescent="0.2">
      <c r="A6071" s="113">
        <v>40769</v>
      </c>
      <c r="B6071" s="111">
        <f t="shared" si="94"/>
        <v>83</v>
      </c>
      <c r="C6071" s="111"/>
      <c r="D6071" s="111"/>
      <c r="E6071" s="111"/>
    </row>
    <row r="6072" spans="1:5" x14ac:dyDescent="0.2">
      <c r="A6072" s="113">
        <v>40770</v>
      </c>
      <c r="B6072" s="111">
        <f t="shared" si="94"/>
        <v>83</v>
      </c>
      <c r="C6072" s="111"/>
      <c r="D6072" s="111"/>
      <c r="E6072" s="111"/>
    </row>
    <row r="6073" spans="1:5" x14ac:dyDescent="0.2">
      <c r="A6073" s="113">
        <v>40771</v>
      </c>
      <c r="B6073" s="111">
        <f t="shared" si="94"/>
        <v>83</v>
      </c>
      <c r="C6073" s="111"/>
      <c r="D6073" s="111"/>
      <c r="E6073" s="111"/>
    </row>
    <row r="6074" spans="1:5" x14ac:dyDescent="0.2">
      <c r="A6074" s="113">
        <v>40772</v>
      </c>
      <c r="B6074" s="111">
        <f t="shared" si="94"/>
        <v>83</v>
      </c>
      <c r="C6074" s="111"/>
      <c r="D6074" s="111"/>
      <c r="E6074" s="111"/>
    </row>
    <row r="6075" spans="1:5" x14ac:dyDescent="0.2">
      <c r="A6075" s="113">
        <v>40773</v>
      </c>
      <c r="B6075" s="111">
        <f t="shared" si="94"/>
        <v>83</v>
      </c>
      <c r="C6075" s="111"/>
      <c r="D6075" s="111"/>
      <c r="E6075" s="111"/>
    </row>
    <row r="6076" spans="1:5" x14ac:dyDescent="0.2">
      <c r="A6076" s="113">
        <v>40774</v>
      </c>
      <c r="B6076" s="111">
        <f t="shared" si="94"/>
        <v>83</v>
      </c>
      <c r="C6076" s="111"/>
      <c r="D6076" s="111"/>
      <c r="E6076" s="111"/>
    </row>
    <row r="6077" spans="1:5" x14ac:dyDescent="0.2">
      <c r="A6077" s="113">
        <v>40775</v>
      </c>
      <c r="B6077" s="111">
        <f t="shared" si="94"/>
        <v>83</v>
      </c>
      <c r="C6077" s="111"/>
      <c r="D6077" s="111"/>
      <c r="E6077" s="111"/>
    </row>
    <row r="6078" spans="1:5" x14ac:dyDescent="0.2">
      <c r="A6078" s="113">
        <v>40776</v>
      </c>
      <c r="B6078" s="111">
        <f t="shared" si="94"/>
        <v>84</v>
      </c>
      <c r="C6078" s="111"/>
      <c r="D6078" s="111"/>
      <c r="E6078" s="111"/>
    </row>
    <row r="6079" spans="1:5" x14ac:dyDescent="0.2">
      <c r="A6079" s="113">
        <v>40777</v>
      </c>
      <c r="B6079" s="111">
        <f t="shared" si="94"/>
        <v>84</v>
      </c>
      <c r="C6079" s="111"/>
      <c r="D6079" s="111"/>
      <c r="E6079" s="111"/>
    </row>
    <row r="6080" spans="1:5" x14ac:dyDescent="0.2">
      <c r="A6080" s="113">
        <v>40778</v>
      </c>
      <c r="B6080" s="111">
        <f t="shared" si="94"/>
        <v>84</v>
      </c>
      <c r="C6080" s="111"/>
      <c r="D6080" s="111"/>
      <c r="E6080" s="111"/>
    </row>
    <row r="6081" spans="1:5" x14ac:dyDescent="0.2">
      <c r="A6081" s="113">
        <v>40779</v>
      </c>
      <c r="B6081" s="111">
        <f t="shared" si="94"/>
        <v>84</v>
      </c>
      <c r="C6081" s="111"/>
      <c r="D6081" s="111"/>
      <c r="E6081" s="111"/>
    </row>
    <row r="6082" spans="1:5" x14ac:dyDescent="0.2">
      <c r="A6082" s="113">
        <v>40780</v>
      </c>
      <c r="B6082" s="111">
        <f t="shared" ref="B6082:B6145" si="95">VLOOKUP(WEEKNUM(A6082),$D$3:$E$58,2)</f>
        <v>84</v>
      </c>
      <c r="C6082" s="111"/>
      <c r="D6082" s="111"/>
      <c r="E6082" s="111"/>
    </row>
    <row r="6083" spans="1:5" x14ac:dyDescent="0.2">
      <c r="A6083" s="113">
        <v>40781</v>
      </c>
      <c r="B6083" s="111">
        <f t="shared" si="95"/>
        <v>84</v>
      </c>
      <c r="C6083" s="111"/>
      <c r="D6083" s="111"/>
      <c r="E6083" s="111"/>
    </row>
    <row r="6084" spans="1:5" x14ac:dyDescent="0.2">
      <c r="A6084" s="113">
        <v>40782</v>
      </c>
      <c r="B6084" s="111">
        <f t="shared" si="95"/>
        <v>84</v>
      </c>
      <c r="C6084" s="111"/>
      <c r="D6084" s="111"/>
      <c r="E6084" s="111"/>
    </row>
    <row r="6085" spans="1:5" x14ac:dyDescent="0.2">
      <c r="A6085" s="113">
        <v>40783</v>
      </c>
      <c r="B6085" s="111">
        <f t="shared" si="95"/>
        <v>91</v>
      </c>
      <c r="C6085" s="111"/>
      <c r="D6085" s="111"/>
      <c r="E6085" s="111"/>
    </row>
    <row r="6086" spans="1:5" x14ac:dyDescent="0.2">
      <c r="A6086" s="113">
        <v>40784</v>
      </c>
      <c r="B6086" s="111">
        <f t="shared" si="95"/>
        <v>91</v>
      </c>
      <c r="C6086" s="111"/>
      <c r="D6086" s="111"/>
      <c r="E6086" s="111"/>
    </row>
    <row r="6087" spans="1:5" x14ac:dyDescent="0.2">
      <c r="A6087" s="113">
        <v>40785</v>
      </c>
      <c r="B6087" s="111">
        <f t="shared" si="95"/>
        <v>91</v>
      </c>
      <c r="C6087" s="111"/>
      <c r="D6087" s="111"/>
      <c r="E6087" s="111"/>
    </row>
    <row r="6088" spans="1:5" x14ac:dyDescent="0.2">
      <c r="A6088" s="113">
        <v>40786</v>
      </c>
      <c r="B6088" s="111">
        <f t="shared" si="95"/>
        <v>91</v>
      </c>
      <c r="C6088" s="111"/>
      <c r="D6088" s="111"/>
      <c r="E6088" s="111"/>
    </row>
    <row r="6089" spans="1:5" x14ac:dyDescent="0.2">
      <c r="A6089" s="113">
        <v>40787</v>
      </c>
      <c r="B6089" s="111">
        <f t="shared" si="95"/>
        <v>91</v>
      </c>
      <c r="C6089" s="111"/>
      <c r="D6089" s="111"/>
      <c r="E6089" s="111"/>
    </row>
    <row r="6090" spans="1:5" x14ac:dyDescent="0.2">
      <c r="A6090" s="113">
        <v>40788</v>
      </c>
      <c r="B6090" s="111">
        <f t="shared" si="95"/>
        <v>91</v>
      </c>
      <c r="C6090" s="111"/>
      <c r="D6090" s="111"/>
      <c r="E6090" s="111"/>
    </row>
    <row r="6091" spans="1:5" x14ac:dyDescent="0.2">
      <c r="A6091" s="113">
        <v>40789</v>
      </c>
      <c r="B6091" s="111">
        <f t="shared" si="95"/>
        <v>91</v>
      </c>
      <c r="C6091" s="111"/>
      <c r="D6091" s="111"/>
      <c r="E6091" s="111"/>
    </row>
    <row r="6092" spans="1:5" x14ac:dyDescent="0.2">
      <c r="A6092" s="113">
        <v>40790</v>
      </c>
      <c r="B6092" s="111">
        <f t="shared" si="95"/>
        <v>92</v>
      </c>
      <c r="C6092" s="111"/>
      <c r="D6092" s="111"/>
      <c r="E6092" s="111"/>
    </row>
    <row r="6093" spans="1:5" x14ac:dyDescent="0.2">
      <c r="A6093" s="113">
        <v>40791</v>
      </c>
      <c r="B6093" s="111">
        <f t="shared" si="95"/>
        <v>92</v>
      </c>
      <c r="C6093" s="111"/>
      <c r="D6093" s="111"/>
      <c r="E6093" s="111"/>
    </row>
    <row r="6094" spans="1:5" x14ac:dyDescent="0.2">
      <c r="A6094" s="113">
        <v>40792</v>
      </c>
      <c r="B6094" s="111">
        <f t="shared" si="95"/>
        <v>92</v>
      </c>
      <c r="C6094" s="111"/>
      <c r="D6094" s="111"/>
      <c r="E6094" s="111"/>
    </row>
    <row r="6095" spans="1:5" x14ac:dyDescent="0.2">
      <c r="A6095" s="113">
        <v>40793</v>
      </c>
      <c r="B6095" s="111">
        <f t="shared" si="95"/>
        <v>92</v>
      </c>
      <c r="C6095" s="111"/>
      <c r="D6095" s="111"/>
      <c r="E6095" s="111"/>
    </row>
    <row r="6096" spans="1:5" x14ac:dyDescent="0.2">
      <c r="A6096" s="113">
        <v>40794</v>
      </c>
      <c r="B6096" s="111">
        <f t="shared" si="95"/>
        <v>92</v>
      </c>
      <c r="C6096" s="111"/>
      <c r="D6096" s="111"/>
      <c r="E6096" s="111"/>
    </row>
    <row r="6097" spans="1:5" x14ac:dyDescent="0.2">
      <c r="A6097" s="113">
        <v>40795</v>
      </c>
      <c r="B6097" s="111">
        <f t="shared" si="95"/>
        <v>92</v>
      </c>
      <c r="C6097" s="111"/>
      <c r="D6097" s="111"/>
      <c r="E6097" s="111"/>
    </row>
    <row r="6098" spans="1:5" x14ac:dyDescent="0.2">
      <c r="A6098" s="113">
        <v>40796</v>
      </c>
      <c r="B6098" s="111">
        <f t="shared" si="95"/>
        <v>92</v>
      </c>
      <c r="C6098" s="111"/>
      <c r="D6098" s="111"/>
      <c r="E6098" s="111"/>
    </row>
    <row r="6099" spans="1:5" x14ac:dyDescent="0.2">
      <c r="A6099" s="113">
        <v>40797</v>
      </c>
      <c r="B6099" s="111">
        <f t="shared" si="95"/>
        <v>93</v>
      </c>
      <c r="C6099" s="111"/>
      <c r="D6099" s="111"/>
      <c r="E6099" s="111"/>
    </row>
    <row r="6100" spans="1:5" x14ac:dyDescent="0.2">
      <c r="A6100" s="113">
        <v>40798</v>
      </c>
      <c r="B6100" s="111">
        <f t="shared" si="95"/>
        <v>93</v>
      </c>
      <c r="C6100" s="111"/>
      <c r="D6100" s="111"/>
      <c r="E6100" s="111"/>
    </row>
    <row r="6101" spans="1:5" x14ac:dyDescent="0.2">
      <c r="A6101" s="113">
        <v>40799</v>
      </c>
      <c r="B6101" s="111">
        <f t="shared" si="95"/>
        <v>93</v>
      </c>
      <c r="C6101" s="111"/>
      <c r="D6101" s="111"/>
      <c r="E6101" s="111"/>
    </row>
    <row r="6102" spans="1:5" x14ac:dyDescent="0.2">
      <c r="A6102" s="113">
        <v>40800</v>
      </c>
      <c r="B6102" s="111">
        <f t="shared" si="95"/>
        <v>93</v>
      </c>
      <c r="C6102" s="111"/>
      <c r="D6102" s="111"/>
      <c r="E6102" s="111"/>
    </row>
    <row r="6103" spans="1:5" x14ac:dyDescent="0.2">
      <c r="A6103" s="113">
        <v>40801</v>
      </c>
      <c r="B6103" s="111">
        <f t="shared" si="95"/>
        <v>93</v>
      </c>
      <c r="C6103" s="111"/>
      <c r="D6103" s="111"/>
      <c r="E6103" s="111"/>
    </row>
    <row r="6104" spans="1:5" x14ac:dyDescent="0.2">
      <c r="A6104" s="113">
        <v>40802</v>
      </c>
      <c r="B6104" s="111">
        <f t="shared" si="95"/>
        <v>93</v>
      </c>
      <c r="C6104" s="111"/>
      <c r="D6104" s="111"/>
      <c r="E6104" s="111"/>
    </row>
    <row r="6105" spans="1:5" x14ac:dyDescent="0.2">
      <c r="A6105" s="113">
        <v>40803</v>
      </c>
      <c r="B6105" s="111">
        <f t="shared" si="95"/>
        <v>93</v>
      </c>
      <c r="C6105" s="111"/>
      <c r="D6105" s="111"/>
      <c r="E6105" s="111"/>
    </row>
    <row r="6106" spans="1:5" x14ac:dyDescent="0.2">
      <c r="A6106" s="113">
        <v>40804</v>
      </c>
      <c r="B6106" s="111">
        <f t="shared" si="95"/>
        <v>94</v>
      </c>
      <c r="C6106" s="111"/>
      <c r="D6106" s="111"/>
      <c r="E6106" s="111"/>
    </row>
    <row r="6107" spans="1:5" x14ac:dyDescent="0.2">
      <c r="A6107" s="113">
        <v>40805</v>
      </c>
      <c r="B6107" s="111">
        <f t="shared" si="95"/>
        <v>94</v>
      </c>
      <c r="C6107" s="111"/>
      <c r="D6107" s="111"/>
      <c r="E6107" s="111"/>
    </row>
    <row r="6108" spans="1:5" x14ac:dyDescent="0.2">
      <c r="A6108" s="113">
        <v>40806</v>
      </c>
      <c r="B6108" s="111">
        <f t="shared" si="95"/>
        <v>94</v>
      </c>
      <c r="C6108" s="111"/>
      <c r="D6108" s="111"/>
      <c r="E6108" s="111"/>
    </row>
    <row r="6109" spans="1:5" x14ac:dyDescent="0.2">
      <c r="A6109" s="113">
        <v>40807</v>
      </c>
      <c r="B6109" s="111">
        <f t="shared" si="95"/>
        <v>94</v>
      </c>
      <c r="C6109" s="111"/>
      <c r="D6109" s="111"/>
      <c r="E6109" s="111"/>
    </row>
    <row r="6110" spans="1:5" x14ac:dyDescent="0.2">
      <c r="A6110" s="113">
        <v>40808</v>
      </c>
      <c r="B6110" s="111">
        <f t="shared" si="95"/>
        <v>94</v>
      </c>
      <c r="C6110" s="111"/>
      <c r="D6110" s="111"/>
      <c r="E6110" s="111"/>
    </row>
    <row r="6111" spans="1:5" x14ac:dyDescent="0.2">
      <c r="A6111" s="113">
        <v>40809</v>
      </c>
      <c r="B6111" s="111">
        <f t="shared" si="95"/>
        <v>94</v>
      </c>
      <c r="C6111" s="111"/>
      <c r="D6111" s="111"/>
      <c r="E6111" s="111"/>
    </row>
    <row r="6112" spans="1:5" x14ac:dyDescent="0.2">
      <c r="A6112" s="113">
        <v>40810</v>
      </c>
      <c r="B6112" s="111">
        <f t="shared" si="95"/>
        <v>94</v>
      </c>
      <c r="C6112" s="111"/>
      <c r="D6112" s="111"/>
      <c r="E6112" s="111"/>
    </row>
    <row r="6113" spans="1:5" x14ac:dyDescent="0.2">
      <c r="A6113" s="113">
        <v>40811</v>
      </c>
      <c r="B6113" s="111">
        <f t="shared" si="95"/>
        <v>101</v>
      </c>
      <c r="C6113" s="111"/>
      <c r="D6113" s="111"/>
      <c r="E6113" s="111"/>
    </row>
    <row r="6114" spans="1:5" x14ac:dyDescent="0.2">
      <c r="A6114" s="113">
        <v>40812</v>
      </c>
      <c r="B6114" s="111">
        <f t="shared" si="95"/>
        <v>101</v>
      </c>
      <c r="C6114" s="111"/>
      <c r="D6114" s="111"/>
      <c r="E6114" s="111"/>
    </row>
    <row r="6115" spans="1:5" x14ac:dyDescent="0.2">
      <c r="A6115" s="113">
        <v>40813</v>
      </c>
      <c r="B6115" s="111">
        <f t="shared" si="95"/>
        <v>101</v>
      </c>
      <c r="C6115" s="111"/>
      <c r="D6115" s="111"/>
      <c r="E6115" s="111"/>
    </row>
    <row r="6116" spans="1:5" x14ac:dyDescent="0.2">
      <c r="A6116" s="113">
        <v>40814</v>
      </c>
      <c r="B6116" s="111">
        <f t="shared" si="95"/>
        <v>101</v>
      </c>
      <c r="C6116" s="111"/>
      <c r="D6116" s="111"/>
      <c r="E6116" s="111"/>
    </row>
    <row r="6117" spans="1:5" x14ac:dyDescent="0.2">
      <c r="A6117" s="113">
        <v>40815</v>
      </c>
      <c r="B6117" s="111">
        <f t="shared" si="95"/>
        <v>101</v>
      </c>
      <c r="C6117" s="111"/>
      <c r="D6117" s="111"/>
      <c r="E6117" s="111"/>
    </row>
    <row r="6118" spans="1:5" x14ac:dyDescent="0.2">
      <c r="A6118" s="113">
        <v>40816</v>
      </c>
      <c r="B6118" s="111">
        <f t="shared" si="95"/>
        <v>101</v>
      </c>
      <c r="C6118" s="111"/>
      <c r="D6118" s="111"/>
      <c r="E6118" s="111"/>
    </row>
    <row r="6119" spans="1:5" x14ac:dyDescent="0.2">
      <c r="A6119" s="113">
        <v>40817</v>
      </c>
      <c r="B6119" s="111">
        <f t="shared" si="95"/>
        <v>101</v>
      </c>
      <c r="C6119" s="111"/>
      <c r="D6119" s="111"/>
      <c r="E6119" s="111"/>
    </row>
    <row r="6120" spans="1:5" x14ac:dyDescent="0.2">
      <c r="A6120" s="113">
        <v>40818</v>
      </c>
      <c r="B6120" s="111">
        <f t="shared" si="95"/>
        <v>102</v>
      </c>
      <c r="C6120" s="111"/>
      <c r="D6120" s="111"/>
      <c r="E6120" s="111"/>
    </row>
    <row r="6121" spans="1:5" x14ac:dyDescent="0.2">
      <c r="A6121" s="113">
        <v>40819</v>
      </c>
      <c r="B6121" s="111">
        <f t="shared" si="95"/>
        <v>102</v>
      </c>
      <c r="C6121" s="111"/>
      <c r="D6121" s="111"/>
      <c r="E6121" s="111"/>
    </row>
    <row r="6122" spans="1:5" x14ac:dyDescent="0.2">
      <c r="A6122" s="113">
        <v>40820</v>
      </c>
      <c r="B6122" s="111">
        <f t="shared" si="95"/>
        <v>102</v>
      </c>
      <c r="C6122" s="111"/>
      <c r="D6122" s="111"/>
      <c r="E6122" s="111"/>
    </row>
    <row r="6123" spans="1:5" x14ac:dyDescent="0.2">
      <c r="A6123" s="113">
        <v>40821</v>
      </c>
      <c r="B6123" s="111">
        <f t="shared" si="95"/>
        <v>102</v>
      </c>
      <c r="C6123" s="111"/>
      <c r="D6123" s="111"/>
      <c r="E6123" s="111"/>
    </row>
    <row r="6124" spans="1:5" x14ac:dyDescent="0.2">
      <c r="A6124" s="113">
        <v>40822</v>
      </c>
      <c r="B6124" s="111">
        <f t="shared" si="95"/>
        <v>102</v>
      </c>
      <c r="C6124" s="111"/>
      <c r="D6124" s="111"/>
      <c r="E6124" s="111"/>
    </row>
    <row r="6125" spans="1:5" x14ac:dyDescent="0.2">
      <c r="A6125" s="113">
        <v>40823</v>
      </c>
      <c r="B6125" s="111">
        <f t="shared" si="95"/>
        <v>102</v>
      </c>
      <c r="C6125" s="111"/>
      <c r="D6125" s="111"/>
      <c r="E6125" s="111"/>
    </row>
    <row r="6126" spans="1:5" x14ac:dyDescent="0.2">
      <c r="A6126" s="113">
        <v>40824</v>
      </c>
      <c r="B6126" s="111">
        <f t="shared" si="95"/>
        <v>102</v>
      </c>
      <c r="C6126" s="111"/>
      <c r="D6126" s="111"/>
      <c r="E6126" s="111"/>
    </row>
    <row r="6127" spans="1:5" x14ac:dyDescent="0.2">
      <c r="A6127" s="113">
        <v>40825</v>
      </c>
      <c r="B6127" s="111">
        <f t="shared" si="95"/>
        <v>103</v>
      </c>
      <c r="C6127" s="111"/>
      <c r="D6127" s="111"/>
      <c r="E6127" s="111"/>
    </row>
    <row r="6128" spans="1:5" x14ac:dyDescent="0.2">
      <c r="A6128" s="113">
        <v>40826</v>
      </c>
      <c r="B6128" s="111">
        <f t="shared" si="95"/>
        <v>103</v>
      </c>
      <c r="C6128" s="111"/>
      <c r="D6128" s="111"/>
      <c r="E6128" s="111"/>
    </row>
    <row r="6129" spans="1:5" x14ac:dyDescent="0.2">
      <c r="A6129" s="113">
        <v>40827</v>
      </c>
      <c r="B6129" s="111">
        <f t="shared" si="95"/>
        <v>103</v>
      </c>
      <c r="C6129" s="111"/>
      <c r="D6129" s="111"/>
      <c r="E6129" s="111"/>
    </row>
    <row r="6130" spans="1:5" x14ac:dyDescent="0.2">
      <c r="A6130" s="113">
        <v>40828</v>
      </c>
      <c r="B6130" s="111">
        <f t="shared" si="95"/>
        <v>103</v>
      </c>
      <c r="C6130" s="111"/>
      <c r="D6130" s="111"/>
      <c r="E6130" s="111"/>
    </row>
    <row r="6131" spans="1:5" x14ac:dyDescent="0.2">
      <c r="A6131" s="113">
        <v>40829</v>
      </c>
      <c r="B6131" s="111">
        <f t="shared" si="95"/>
        <v>103</v>
      </c>
      <c r="C6131" s="111"/>
      <c r="D6131" s="111"/>
      <c r="E6131" s="111"/>
    </row>
    <row r="6132" spans="1:5" x14ac:dyDescent="0.2">
      <c r="A6132" s="113">
        <v>40830</v>
      </c>
      <c r="B6132" s="111">
        <f t="shared" si="95"/>
        <v>103</v>
      </c>
      <c r="C6132" s="111"/>
      <c r="D6132" s="111"/>
      <c r="E6132" s="111"/>
    </row>
    <row r="6133" spans="1:5" x14ac:dyDescent="0.2">
      <c r="A6133" s="113">
        <v>40831</v>
      </c>
      <c r="B6133" s="111">
        <f t="shared" si="95"/>
        <v>103</v>
      </c>
      <c r="C6133" s="111"/>
      <c r="D6133" s="111"/>
      <c r="E6133" s="111"/>
    </row>
    <row r="6134" spans="1:5" x14ac:dyDescent="0.2">
      <c r="A6134" s="113">
        <v>40832</v>
      </c>
      <c r="B6134" s="111">
        <f t="shared" si="95"/>
        <v>104</v>
      </c>
      <c r="C6134" s="111"/>
      <c r="D6134" s="111"/>
      <c r="E6134" s="111"/>
    </row>
    <row r="6135" spans="1:5" x14ac:dyDescent="0.2">
      <c r="A6135" s="113">
        <v>40833</v>
      </c>
      <c r="B6135" s="111">
        <f t="shared" si="95"/>
        <v>104</v>
      </c>
      <c r="C6135" s="111"/>
      <c r="D6135" s="111"/>
      <c r="E6135" s="111"/>
    </row>
    <row r="6136" spans="1:5" x14ac:dyDescent="0.2">
      <c r="A6136" s="113">
        <v>40834</v>
      </c>
      <c r="B6136" s="111">
        <f t="shared" si="95"/>
        <v>104</v>
      </c>
      <c r="C6136" s="111"/>
      <c r="D6136" s="111"/>
      <c r="E6136" s="111"/>
    </row>
    <row r="6137" spans="1:5" x14ac:dyDescent="0.2">
      <c r="A6137" s="113">
        <v>40835</v>
      </c>
      <c r="B6137" s="111">
        <f t="shared" si="95"/>
        <v>104</v>
      </c>
      <c r="C6137" s="111"/>
      <c r="D6137" s="111"/>
      <c r="E6137" s="111"/>
    </row>
    <row r="6138" spans="1:5" x14ac:dyDescent="0.2">
      <c r="A6138" s="113">
        <v>40836</v>
      </c>
      <c r="B6138" s="111">
        <f t="shared" si="95"/>
        <v>104</v>
      </c>
      <c r="C6138" s="111"/>
      <c r="D6138" s="111"/>
      <c r="E6138" s="111"/>
    </row>
    <row r="6139" spans="1:5" x14ac:dyDescent="0.2">
      <c r="A6139" s="113">
        <v>40837</v>
      </c>
      <c r="B6139" s="111">
        <f t="shared" si="95"/>
        <v>104</v>
      </c>
      <c r="C6139" s="111"/>
      <c r="D6139" s="111"/>
      <c r="E6139" s="111"/>
    </row>
    <row r="6140" spans="1:5" x14ac:dyDescent="0.2">
      <c r="A6140" s="113">
        <v>40838</v>
      </c>
      <c r="B6140" s="111">
        <f t="shared" si="95"/>
        <v>104</v>
      </c>
      <c r="C6140" s="111"/>
      <c r="D6140" s="111"/>
      <c r="E6140" s="111"/>
    </row>
    <row r="6141" spans="1:5" x14ac:dyDescent="0.2">
      <c r="A6141" s="113">
        <v>40839</v>
      </c>
      <c r="B6141" s="111">
        <f t="shared" si="95"/>
        <v>105</v>
      </c>
      <c r="C6141" s="111"/>
      <c r="D6141" s="111"/>
      <c r="E6141" s="111"/>
    </row>
    <row r="6142" spans="1:5" x14ac:dyDescent="0.2">
      <c r="A6142" s="113">
        <v>40840</v>
      </c>
      <c r="B6142" s="111">
        <f t="shared" si="95"/>
        <v>105</v>
      </c>
      <c r="C6142" s="111"/>
      <c r="D6142" s="111"/>
      <c r="E6142" s="111"/>
    </row>
    <row r="6143" spans="1:5" x14ac:dyDescent="0.2">
      <c r="A6143" s="113">
        <v>40841</v>
      </c>
      <c r="B6143" s="111">
        <f t="shared" si="95"/>
        <v>105</v>
      </c>
      <c r="C6143" s="111"/>
      <c r="D6143" s="111"/>
      <c r="E6143" s="111"/>
    </row>
    <row r="6144" spans="1:5" x14ac:dyDescent="0.2">
      <c r="A6144" s="113">
        <v>40842</v>
      </c>
      <c r="B6144" s="111">
        <f t="shared" si="95"/>
        <v>105</v>
      </c>
      <c r="C6144" s="111"/>
      <c r="D6144" s="111"/>
      <c r="E6144" s="111"/>
    </row>
    <row r="6145" spans="1:5" x14ac:dyDescent="0.2">
      <c r="A6145" s="113">
        <v>40843</v>
      </c>
      <c r="B6145" s="111">
        <f t="shared" si="95"/>
        <v>105</v>
      </c>
      <c r="C6145" s="111"/>
      <c r="D6145" s="111"/>
      <c r="E6145" s="111"/>
    </row>
    <row r="6146" spans="1:5" x14ac:dyDescent="0.2">
      <c r="A6146" s="113">
        <v>40844</v>
      </c>
      <c r="B6146" s="111">
        <f t="shared" ref="B6146:B6209" si="96">VLOOKUP(WEEKNUM(A6146),$D$3:$E$58,2)</f>
        <v>105</v>
      </c>
      <c r="C6146" s="111"/>
      <c r="D6146" s="111"/>
      <c r="E6146" s="111"/>
    </row>
    <row r="6147" spans="1:5" x14ac:dyDescent="0.2">
      <c r="A6147" s="113">
        <v>40845</v>
      </c>
      <c r="B6147" s="111">
        <f t="shared" si="96"/>
        <v>105</v>
      </c>
      <c r="C6147" s="111"/>
      <c r="D6147" s="111"/>
      <c r="E6147" s="111"/>
    </row>
    <row r="6148" spans="1:5" x14ac:dyDescent="0.2">
      <c r="A6148" s="113">
        <v>40846</v>
      </c>
      <c r="B6148" s="111">
        <f t="shared" si="96"/>
        <v>111</v>
      </c>
      <c r="C6148" s="111"/>
      <c r="D6148" s="111"/>
      <c r="E6148" s="111"/>
    </row>
    <row r="6149" spans="1:5" x14ac:dyDescent="0.2">
      <c r="A6149" s="113">
        <v>40847</v>
      </c>
      <c r="B6149" s="111">
        <f t="shared" si="96"/>
        <v>111</v>
      </c>
      <c r="C6149" s="111"/>
      <c r="D6149" s="111"/>
      <c r="E6149" s="111"/>
    </row>
    <row r="6150" spans="1:5" x14ac:dyDescent="0.2">
      <c r="A6150" s="113">
        <v>40848</v>
      </c>
      <c r="B6150" s="111">
        <f t="shared" si="96"/>
        <v>111</v>
      </c>
      <c r="C6150" s="111"/>
      <c r="D6150" s="111"/>
      <c r="E6150" s="111"/>
    </row>
    <row r="6151" spans="1:5" x14ac:dyDescent="0.2">
      <c r="A6151" s="113">
        <v>40849</v>
      </c>
      <c r="B6151" s="111">
        <f t="shared" si="96"/>
        <v>111</v>
      </c>
      <c r="C6151" s="111"/>
      <c r="D6151" s="111"/>
      <c r="E6151" s="111"/>
    </row>
    <row r="6152" spans="1:5" x14ac:dyDescent="0.2">
      <c r="A6152" s="113">
        <v>40850</v>
      </c>
      <c r="B6152" s="111">
        <f t="shared" si="96"/>
        <v>111</v>
      </c>
      <c r="C6152" s="111"/>
      <c r="D6152" s="111"/>
      <c r="E6152" s="111"/>
    </row>
    <row r="6153" spans="1:5" x14ac:dyDescent="0.2">
      <c r="A6153" s="113">
        <v>40851</v>
      </c>
      <c r="B6153" s="111">
        <f t="shared" si="96"/>
        <v>111</v>
      </c>
      <c r="C6153" s="111"/>
      <c r="D6153" s="111"/>
      <c r="E6153" s="111"/>
    </row>
    <row r="6154" spans="1:5" x14ac:dyDescent="0.2">
      <c r="A6154" s="113">
        <v>40852</v>
      </c>
      <c r="B6154" s="111">
        <f t="shared" si="96"/>
        <v>111</v>
      </c>
      <c r="C6154" s="111"/>
      <c r="D6154" s="111"/>
      <c r="E6154" s="111"/>
    </row>
    <row r="6155" spans="1:5" x14ac:dyDescent="0.2">
      <c r="A6155" s="113">
        <v>40853</v>
      </c>
      <c r="B6155" s="111">
        <f t="shared" si="96"/>
        <v>112</v>
      </c>
      <c r="C6155" s="111"/>
      <c r="D6155" s="111"/>
      <c r="E6155" s="111"/>
    </row>
    <row r="6156" spans="1:5" x14ac:dyDescent="0.2">
      <c r="A6156" s="113">
        <v>40854</v>
      </c>
      <c r="B6156" s="111">
        <f t="shared" si="96"/>
        <v>112</v>
      </c>
      <c r="C6156" s="111"/>
      <c r="D6156" s="111"/>
      <c r="E6156" s="111"/>
    </row>
    <row r="6157" spans="1:5" x14ac:dyDescent="0.2">
      <c r="A6157" s="113">
        <v>40855</v>
      </c>
      <c r="B6157" s="111">
        <f t="shared" si="96"/>
        <v>112</v>
      </c>
      <c r="C6157" s="111"/>
      <c r="D6157" s="111"/>
      <c r="E6157" s="111"/>
    </row>
    <row r="6158" spans="1:5" x14ac:dyDescent="0.2">
      <c r="A6158" s="113">
        <v>40856</v>
      </c>
      <c r="B6158" s="111">
        <f t="shared" si="96"/>
        <v>112</v>
      </c>
      <c r="C6158" s="111"/>
      <c r="D6158" s="111"/>
      <c r="E6158" s="111"/>
    </row>
    <row r="6159" spans="1:5" x14ac:dyDescent="0.2">
      <c r="A6159" s="113">
        <v>40857</v>
      </c>
      <c r="B6159" s="111">
        <f t="shared" si="96"/>
        <v>112</v>
      </c>
      <c r="C6159" s="111"/>
      <c r="D6159" s="111"/>
      <c r="E6159" s="111"/>
    </row>
    <row r="6160" spans="1:5" x14ac:dyDescent="0.2">
      <c r="A6160" s="113">
        <v>40858</v>
      </c>
      <c r="B6160" s="111">
        <f t="shared" si="96"/>
        <v>112</v>
      </c>
      <c r="C6160" s="111"/>
      <c r="D6160" s="111"/>
      <c r="E6160" s="111"/>
    </row>
    <row r="6161" spans="1:5" x14ac:dyDescent="0.2">
      <c r="A6161" s="113">
        <v>40859</v>
      </c>
      <c r="B6161" s="111">
        <f t="shared" si="96"/>
        <v>112</v>
      </c>
      <c r="C6161" s="111"/>
      <c r="D6161" s="111"/>
      <c r="E6161" s="111"/>
    </row>
    <row r="6162" spans="1:5" x14ac:dyDescent="0.2">
      <c r="A6162" s="113">
        <v>40860</v>
      </c>
      <c r="B6162" s="111">
        <f t="shared" si="96"/>
        <v>113</v>
      </c>
      <c r="C6162" s="111"/>
      <c r="D6162" s="111"/>
      <c r="E6162" s="111"/>
    </row>
    <row r="6163" spans="1:5" x14ac:dyDescent="0.2">
      <c r="A6163" s="113">
        <v>40861</v>
      </c>
      <c r="B6163" s="111">
        <f t="shared" si="96"/>
        <v>113</v>
      </c>
      <c r="C6163" s="111"/>
      <c r="D6163" s="111"/>
      <c r="E6163" s="111"/>
    </row>
    <row r="6164" spans="1:5" x14ac:dyDescent="0.2">
      <c r="A6164" s="113">
        <v>40862</v>
      </c>
      <c r="B6164" s="111">
        <f t="shared" si="96"/>
        <v>113</v>
      </c>
      <c r="C6164" s="111"/>
      <c r="D6164" s="111"/>
      <c r="E6164" s="111"/>
    </row>
    <row r="6165" spans="1:5" x14ac:dyDescent="0.2">
      <c r="A6165" s="113">
        <v>40863</v>
      </c>
      <c r="B6165" s="111">
        <f t="shared" si="96"/>
        <v>113</v>
      </c>
      <c r="C6165" s="111"/>
      <c r="D6165" s="111"/>
      <c r="E6165" s="111"/>
    </row>
    <row r="6166" spans="1:5" x14ac:dyDescent="0.2">
      <c r="A6166" s="113">
        <v>40864</v>
      </c>
      <c r="B6166" s="111">
        <f t="shared" si="96"/>
        <v>113</v>
      </c>
      <c r="C6166" s="111"/>
      <c r="D6166" s="111"/>
      <c r="E6166" s="111"/>
    </row>
    <row r="6167" spans="1:5" x14ac:dyDescent="0.2">
      <c r="A6167" s="113">
        <v>40865</v>
      </c>
      <c r="B6167" s="111">
        <f t="shared" si="96"/>
        <v>113</v>
      </c>
      <c r="C6167" s="111"/>
      <c r="D6167" s="111"/>
      <c r="E6167" s="111"/>
    </row>
    <row r="6168" spans="1:5" x14ac:dyDescent="0.2">
      <c r="A6168" s="113">
        <v>40866</v>
      </c>
      <c r="B6168" s="111">
        <f t="shared" si="96"/>
        <v>113</v>
      </c>
      <c r="C6168" s="111"/>
      <c r="D6168" s="111"/>
      <c r="E6168" s="111"/>
    </row>
    <row r="6169" spans="1:5" x14ac:dyDescent="0.2">
      <c r="A6169" s="113">
        <v>40867</v>
      </c>
      <c r="B6169" s="111">
        <f t="shared" si="96"/>
        <v>114</v>
      </c>
      <c r="C6169" s="111"/>
      <c r="D6169" s="111"/>
      <c r="E6169" s="111"/>
    </row>
    <row r="6170" spans="1:5" x14ac:dyDescent="0.2">
      <c r="A6170" s="113">
        <v>40868</v>
      </c>
      <c r="B6170" s="111">
        <f t="shared" si="96"/>
        <v>114</v>
      </c>
      <c r="C6170" s="111"/>
      <c r="D6170" s="111"/>
      <c r="E6170" s="111"/>
    </row>
    <row r="6171" spans="1:5" x14ac:dyDescent="0.2">
      <c r="A6171" s="113">
        <v>40869</v>
      </c>
      <c r="B6171" s="111">
        <f t="shared" si="96"/>
        <v>114</v>
      </c>
      <c r="C6171" s="111"/>
      <c r="D6171" s="111"/>
      <c r="E6171" s="111"/>
    </row>
    <row r="6172" spans="1:5" x14ac:dyDescent="0.2">
      <c r="A6172" s="113">
        <v>40870</v>
      </c>
      <c r="B6172" s="111">
        <f t="shared" si="96"/>
        <v>114</v>
      </c>
      <c r="C6172" s="111"/>
      <c r="D6172" s="111"/>
      <c r="E6172" s="111"/>
    </row>
    <row r="6173" spans="1:5" x14ac:dyDescent="0.2">
      <c r="A6173" s="113">
        <v>40871</v>
      </c>
      <c r="B6173" s="111">
        <f t="shared" si="96"/>
        <v>114</v>
      </c>
      <c r="C6173" s="111"/>
      <c r="D6173" s="111"/>
      <c r="E6173" s="111"/>
    </row>
    <row r="6174" spans="1:5" x14ac:dyDescent="0.2">
      <c r="A6174" s="113">
        <v>40872</v>
      </c>
      <c r="B6174" s="111">
        <f t="shared" si="96"/>
        <v>114</v>
      </c>
      <c r="C6174" s="111"/>
      <c r="D6174" s="111"/>
      <c r="E6174" s="111"/>
    </row>
    <row r="6175" spans="1:5" x14ac:dyDescent="0.2">
      <c r="A6175" s="113">
        <v>40873</v>
      </c>
      <c r="B6175" s="111">
        <f t="shared" si="96"/>
        <v>114</v>
      </c>
      <c r="C6175" s="111"/>
      <c r="D6175" s="111"/>
      <c r="E6175" s="111"/>
    </row>
    <row r="6176" spans="1:5" x14ac:dyDescent="0.2">
      <c r="A6176" s="113">
        <v>40874</v>
      </c>
      <c r="B6176" s="111">
        <f t="shared" si="96"/>
        <v>115</v>
      </c>
      <c r="C6176" s="111"/>
      <c r="D6176" s="111"/>
      <c r="E6176" s="111"/>
    </row>
    <row r="6177" spans="1:5" x14ac:dyDescent="0.2">
      <c r="A6177" s="113">
        <v>40875</v>
      </c>
      <c r="B6177" s="111">
        <f t="shared" si="96"/>
        <v>115</v>
      </c>
      <c r="C6177" s="111"/>
      <c r="D6177" s="111"/>
      <c r="E6177" s="111"/>
    </row>
    <row r="6178" spans="1:5" x14ac:dyDescent="0.2">
      <c r="A6178" s="113">
        <v>40876</v>
      </c>
      <c r="B6178" s="111">
        <f t="shared" si="96"/>
        <v>115</v>
      </c>
      <c r="C6178" s="111"/>
      <c r="D6178" s="111"/>
      <c r="E6178" s="111"/>
    </row>
    <row r="6179" spans="1:5" x14ac:dyDescent="0.2">
      <c r="A6179" s="113">
        <v>40877</v>
      </c>
      <c r="B6179" s="111">
        <f t="shared" si="96"/>
        <v>115</v>
      </c>
      <c r="C6179" s="111"/>
      <c r="D6179" s="111"/>
      <c r="E6179" s="111"/>
    </row>
    <row r="6180" spans="1:5" x14ac:dyDescent="0.2">
      <c r="A6180" s="113">
        <v>40878</v>
      </c>
      <c r="B6180" s="111">
        <f t="shared" si="96"/>
        <v>115</v>
      </c>
      <c r="C6180" s="111"/>
      <c r="D6180" s="111"/>
      <c r="E6180" s="111"/>
    </row>
    <row r="6181" spans="1:5" x14ac:dyDescent="0.2">
      <c r="A6181" s="113">
        <v>40879</v>
      </c>
      <c r="B6181" s="111">
        <f t="shared" si="96"/>
        <v>115</v>
      </c>
      <c r="C6181" s="111"/>
      <c r="D6181" s="111"/>
      <c r="E6181" s="111"/>
    </row>
    <row r="6182" spans="1:5" x14ac:dyDescent="0.2">
      <c r="A6182" s="113">
        <v>40880</v>
      </c>
      <c r="B6182" s="111">
        <f t="shared" si="96"/>
        <v>115</v>
      </c>
      <c r="C6182" s="111"/>
      <c r="D6182" s="111"/>
      <c r="E6182" s="111"/>
    </row>
    <row r="6183" spans="1:5" x14ac:dyDescent="0.2">
      <c r="A6183" s="113">
        <v>40881</v>
      </c>
      <c r="B6183" s="111">
        <f t="shared" si="96"/>
        <v>121</v>
      </c>
      <c r="C6183" s="111"/>
      <c r="D6183" s="111"/>
      <c r="E6183" s="111"/>
    </row>
    <row r="6184" spans="1:5" x14ac:dyDescent="0.2">
      <c r="A6184" s="113">
        <v>40882</v>
      </c>
      <c r="B6184" s="111">
        <f t="shared" si="96"/>
        <v>121</v>
      </c>
      <c r="C6184" s="111"/>
      <c r="D6184" s="111"/>
      <c r="E6184" s="111"/>
    </row>
    <row r="6185" spans="1:5" x14ac:dyDescent="0.2">
      <c r="A6185" s="113">
        <v>40883</v>
      </c>
      <c r="B6185" s="111">
        <f t="shared" si="96"/>
        <v>121</v>
      </c>
      <c r="C6185" s="111"/>
      <c r="D6185" s="111"/>
      <c r="E6185" s="111"/>
    </row>
    <row r="6186" spans="1:5" x14ac:dyDescent="0.2">
      <c r="A6186" s="113">
        <v>40884</v>
      </c>
      <c r="B6186" s="111">
        <f t="shared" si="96"/>
        <v>121</v>
      </c>
      <c r="C6186" s="111"/>
      <c r="D6186" s="111"/>
      <c r="E6186" s="111"/>
    </row>
    <row r="6187" spans="1:5" x14ac:dyDescent="0.2">
      <c r="A6187" s="113">
        <v>40885</v>
      </c>
      <c r="B6187" s="111">
        <f t="shared" si="96"/>
        <v>121</v>
      </c>
      <c r="C6187" s="111"/>
      <c r="D6187" s="111"/>
      <c r="E6187" s="111"/>
    </row>
    <row r="6188" spans="1:5" x14ac:dyDescent="0.2">
      <c r="A6188" s="113">
        <v>40886</v>
      </c>
      <c r="B6188" s="111">
        <f t="shared" si="96"/>
        <v>121</v>
      </c>
      <c r="C6188" s="111"/>
      <c r="D6188" s="111"/>
      <c r="E6188" s="111"/>
    </row>
    <row r="6189" spans="1:5" x14ac:dyDescent="0.2">
      <c r="A6189" s="113">
        <v>40887</v>
      </c>
      <c r="B6189" s="111">
        <f t="shared" si="96"/>
        <v>121</v>
      </c>
      <c r="C6189" s="111"/>
      <c r="D6189" s="111"/>
      <c r="E6189" s="111"/>
    </row>
    <row r="6190" spans="1:5" x14ac:dyDescent="0.2">
      <c r="A6190" s="113">
        <v>40888</v>
      </c>
      <c r="B6190" s="111">
        <f t="shared" si="96"/>
        <v>122</v>
      </c>
      <c r="C6190" s="111"/>
      <c r="D6190" s="111"/>
      <c r="E6190" s="111"/>
    </row>
    <row r="6191" spans="1:5" x14ac:dyDescent="0.2">
      <c r="A6191" s="113">
        <v>40889</v>
      </c>
      <c r="B6191" s="111">
        <f t="shared" si="96"/>
        <v>122</v>
      </c>
      <c r="C6191" s="111"/>
      <c r="D6191" s="111"/>
      <c r="E6191" s="111"/>
    </row>
    <row r="6192" spans="1:5" x14ac:dyDescent="0.2">
      <c r="A6192" s="113">
        <v>40890</v>
      </c>
      <c r="B6192" s="111">
        <f t="shared" si="96"/>
        <v>122</v>
      </c>
      <c r="C6192" s="111"/>
      <c r="D6192" s="111"/>
      <c r="E6192" s="111"/>
    </row>
    <row r="6193" spans="1:5" x14ac:dyDescent="0.2">
      <c r="A6193" s="113">
        <v>40891</v>
      </c>
      <c r="B6193" s="111">
        <f t="shared" si="96"/>
        <v>122</v>
      </c>
      <c r="C6193" s="111"/>
      <c r="D6193" s="111"/>
      <c r="E6193" s="111"/>
    </row>
    <row r="6194" spans="1:5" x14ac:dyDescent="0.2">
      <c r="A6194" s="113">
        <v>40892</v>
      </c>
      <c r="B6194" s="111">
        <f t="shared" si="96"/>
        <v>122</v>
      </c>
      <c r="C6194" s="111"/>
      <c r="D6194" s="111"/>
      <c r="E6194" s="111"/>
    </row>
    <row r="6195" spans="1:5" x14ac:dyDescent="0.2">
      <c r="A6195" s="113">
        <v>40893</v>
      </c>
      <c r="B6195" s="111">
        <f t="shared" si="96"/>
        <v>122</v>
      </c>
      <c r="C6195" s="111"/>
      <c r="D6195" s="111"/>
      <c r="E6195" s="111"/>
    </row>
    <row r="6196" spans="1:5" x14ac:dyDescent="0.2">
      <c r="A6196" s="113">
        <v>40894</v>
      </c>
      <c r="B6196" s="111">
        <f t="shared" si="96"/>
        <v>122</v>
      </c>
      <c r="C6196" s="111"/>
      <c r="D6196" s="111"/>
      <c r="E6196" s="111"/>
    </row>
    <row r="6197" spans="1:5" x14ac:dyDescent="0.2">
      <c r="A6197" s="113">
        <v>40895</v>
      </c>
      <c r="B6197" s="111">
        <f t="shared" si="96"/>
        <v>123</v>
      </c>
      <c r="C6197" s="111"/>
      <c r="D6197" s="111"/>
      <c r="E6197" s="111"/>
    </row>
    <row r="6198" spans="1:5" x14ac:dyDescent="0.2">
      <c r="A6198" s="113">
        <v>40896</v>
      </c>
      <c r="B6198" s="111">
        <f t="shared" si="96"/>
        <v>123</v>
      </c>
      <c r="C6198" s="111"/>
      <c r="D6198" s="111"/>
      <c r="E6198" s="111"/>
    </row>
    <row r="6199" spans="1:5" x14ac:dyDescent="0.2">
      <c r="A6199" s="113">
        <v>40897</v>
      </c>
      <c r="B6199" s="111">
        <f t="shared" si="96"/>
        <v>123</v>
      </c>
      <c r="C6199" s="111"/>
      <c r="D6199" s="111"/>
      <c r="E6199" s="111"/>
    </row>
    <row r="6200" spans="1:5" x14ac:dyDescent="0.2">
      <c r="A6200" s="113">
        <v>40898</v>
      </c>
      <c r="B6200" s="111">
        <f t="shared" si="96"/>
        <v>123</v>
      </c>
      <c r="C6200" s="111"/>
      <c r="D6200" s="111"/>
      <c r="E6200" s="111"/>
    </row>
    <row r="6201" spans="1:5" x14ac:dyDescent="0.2">
      <c r="A6201" s="113">
        <v>40899</v>
      </c>
      <c r="B6201" s="111">
        <f t="shared" si="96"/>
        <v>123</v>
      </c>
      <c r="C6201" s="111"/>
      <c r="D6201" s="111"/>
      <c r="E6201" s="111"/>
    </row>
    <row r="6202" spans="1:5" x14ac:dyDescent="0.2">
      <c r="A6202" s="113">
        <v>40900</v>
      </c>
      <c r="B6202" s="111">
        <f t="shared" si="96"/>
        <v>123</v>
      </c>
      <c r="C6202" s="111"/>
      <c r="D6202" s="111"/>
      <c r="E6202" s="111"/>
    </row>
    <row r="6203" spans="1:5" x14ac:dyDescent="0.2">
      <c r="A6203" s="113">
        <v>40901</v>
      </c>
      <c r="B6203" s="111">
        <f t="shared" si="96"/>
        <v>123</v>
      </c>
      <c r="C6203" s="111"/>
      <c r="D6203" s="111"/>
      <c r="E6203" s="111"/>
    </row>
    <row r="6204" spans="1:5" x14ac:dyDescent="0.2">
      <c r="A6204" s="113">
        <v>40902</v>
      </c>
      <c r="B6204" s="111">
        <f t="shared" si="96"/>
        <v>124</v>
      </c>
      <c r="C6204" s="111"/>
      <c r="D6204" s="111"/>
      <c r="E6204" s="111"/>
    </row>
    <row r="6205" spans="1:5" x14ac:dyDescent="0.2">
      <c r="A6205" s="113">
        <v>40903</v>
      </c>
      <c r="B6205" s="111">
        <f t="shared" si="96"/>
        <v>124</v>
      </c>
      <c r="C6205" s="111"/>
      <c r="D6205" s="111"/>
      <c r="E6205" s="111"/>
    </row>
    <row r="6206" spans="1:5" x14ac:dyDescent="0.2">
      <c r="A6206" s="113">
        <v>40904</v>
      </c>
      <c r="B6206" s="111">
        <f t="shared" si="96"/>
        <v>124</v>
      </c>
      <c r="C6206" s="111"/>
      <c r="D6206" s="111"/>
      <c r="E6206" s="111"/>
    </row>
    <row r="6207" spans="1:5" x14ac:dyDescent="0.2">
      <c r="A6207" s="113">
        <v>40905</v>
      </c>
      <c r="B6207" s="111">
        <f t="shared" si="96"/>
        <v>124</v>
      </c>
      <c r="C6207" s="111"/>
      <c r="D6207" s="111"/>
      <c r="E6207" s="111"/>
    </row>
    <row r="6208" spans="1:5" x14ac:dyDescent="0.2">
      <c r="A6208" s="113">
        <v>40906</v>
      </c>
      <c r="B6208" s="111">
        <f t="shared" si="96"/>
        <v>124</v>
      </c>
      <c r="C6208" s="111"/>
      <c r="D6208" s="111"/>
      <c r="E6208" s="111"/>
    </row>
    <row r="6209" spans="1:5" x14ac:dyDescent="0.2">
      <c r="A6209" s="113">
        <v>40907</v>
      </c>
      <c r="B6209" s="111">
        <f t="shared" si="96"/>
        <v>124</v>
      </c>
      <c r="C6209" s="111"/>
      <c r="D6209" s="111"/>
      <c r="E6209" s="111"/>
    </row>
    <row r="6210" spans="1:5" x14ac:dyDescent="0.2">
      <c r="A6210" s="113">
        <v>40908</v>
      </c>
      <c r="B6210" s="111">
        <f t="shared" ref="B6210:B6273" si="97">VLOOKUP(WEEKNUM(A6210),$D$3:$E$58,2)</f>
        <v>124</v>
      </c>
      <c r="C6210" s="111"/>
      <c r="D6210" s="111"/>
      <c r="E6210" s="111"/>
    </row>
    <row r="6211" spans="1:5" x14ac:dyDescent="0.2">
      <c r="A6211" s="113">
        <v>40909</v>
      </c>
      <c r="B6211" s="111">
        <f t="shared" si="97"/>
        <v>11</v>
      </c>
      <c r="C6211" s="111"/>
      <c r="D6211" s="111"/>
      <c r="E6211" s="111"/>
    </row>
    <row r="6212" spans="1:5" x14ac:dyDescent="0.2">
      <c r="A6212" s="113">
        <v>40910</v>
      </c>
      <c r="B6212" s="111">
        <f t="shared" si="97"/>
        <v>11</v>
      </c>
      <c r="C6212" s="111"/>
      <c r="D6212" s="111"/>
      <c r="E6212" s="111"/>
    </row>
    <row r="6213" spans="1:5" x14ac:dyDescent="0.2">
      <c r="A6213" s="113">
        <v>40911</v>
      </c>
      <c r="B6213" s="111">
        <f t="shared" si="97"/>
        <v>11</v>
      </c>
      <c r="C6213" s="111"/>
      <c r="D6213" s="111"/>
      <c r="E6213" s="111"/>
    </row>
    <row r="6214" spans="1:5" x14ac:dyDescent="0.2">
      <c r="A6214" s="113">
        <v>40912</v>
      </c>
      <c r="B6214" s="111">
        <f t="shared" si="97"/>
        <v>11</v>
      </c>
      <c r="C6214" s="111"/>
      <c r="D6214" s="111"/>
      <c r="E6214" s="111"/>
    </row>
    <row r="6215" spans="1:5" x14ac:dyDescent="0.2">
      <c r="A6215" s="113">
        <v>40913</v>
      </c>
      <c r="B6215" s="111">
        <f t="shared" si="97"/>
        <v>11</v>
      </c>
      <c r="C6215" s="111"/>
      <c r="D6215" s="111"/>
      <c r="E6215" s="111"/>
    </row>
    <row r="6216" spans="1:5" x14ac:dyDescent="0.2">
      <c r="A6216" s="113">
        <v>40914</v>
      </c>
      <c r="B6216" s="111">
        <f t="shared" si="97"/>
        <v>11</v>
      </c>
      <c r="C6216" s="111"/>
      <c r="D6216" s="111"/>
      <c r="E6216" s="111"/>
    </row>
    <row r="6217" spans="1:5" x14ac:dyDescent="0.2">
      <c r="A6217" s="113">
        <v>40915</v>
      </c>
      <c r="B6217" s="111">
        <f t="shared" si="97"/>
        <v>11</v>
      </c>
      <c r="C6217" s="111"/>
      <c r="D6217" s="111"/>
      <c r="E6217" s="111"/>
    </row>
    <row r="6218" spans="1:5" x14ac:dyDescent="0.2">
      <c r="A6218" s="113">
        <v>40916</v>
      </c>
      <c r="B6218" s="111">
        <f t="shared" si="97"/>
        <v>12</v>
      </c>
      <c r="C6218" s="111"/>
      <c r="D6218" s="111"/>
      <c r="E6218" s="111"/>
    </row>
    <row r="6219" spans="1:5" x14ac:dyDescent="0.2">
      <c r="A6219" s="113">
        <v>40917</v>
      </c>
      <c r="B6219" s="111">
        <f t="shared" si="97"/>
        <v>12</v>
      </c>
      <c r="C6219" s="111"/>
      <c r="D6219" s="111"/>
      <c r="E6219" s="111"/>
    </row>
    <row r="6220" spans="1:5" x14ac:dyDescent="0.2">
      <c r="A6220" s="113">
        <v>40918</v>
      </c>
      <c r="B6220" s="111">
        <f t="shared" si="97"/>
        <v>12</v>
      </c>
      <c r="C6220" s="111"/>
      <c r="D6220" s="111"/>
      <c r="E6220" s="111"/>
    </row>
    <row r="6221" spans="1:5" x14ac:dyDescent="0.2">
      <c r="A6221" s="113">
        <v>40919</v>
      </c>
      <c r="B6221" s="111">
        <f t="shared" si="97"/>
        <v>12</v>
      </c>
      <c r="C6221" s="111"/>
      <c r="D6221" s="111"/>
      <c r="E6221" s="111"/>
    </row>
    <row r="6222" spans="1:5" x14ac:dyDescent="0.2">
      <c r="A6222" s="113">
        <v>40920</v>
      </c>
      <c r="B6222" s="111">
        <f t="shared" si="97"/>
        <v>12</v>
      </c>
      <c r="C6222" s="111"/>
      <c r="D6222" s="111"/>
      <c r="E6222" s="111"/>
    </row>
    <row r="6223" spans="1:5" x14ac:dyDescent="0.2">
      <c r="A6223" s="113">
        <v>40921</v>
      </c>
      <c r="B6223" s="111">
        <f t="shared" si="97"/>
        <v>12</v>
      </c>
      <c r="C6223" s="111"/>
      <c r="D6223" s="111"/>
      <c r="E6223" s="111"/>
    </row>
    <row r="6224" spans="1:5" x14ac:dyDescent="0.2">
      <c r="A6224" s="113">
        <v>40922</v>
      </c>
      <c r="B6224" s="111">
        <f t="shared" si="97"/>
        <v>12</v>
      </c>
      <c r="C6224" s="111"/>
      <c r="D6224" s="111"/>
      <c r="E6224" s="111"/>
    </row>
    <row r="6225" spans="1:5" x14ac:dyDescent="0.2">
      <c r="A6225" s="113">
        <v>40923</v>
      </c>
      <c r="B6225" s="111">
        <f t="shared" si="97"/>
        <v>13</v>
      </c>
      <c r="C6225" s="111"/>
      <c r="D6225" s="111"/>
      <c r="E6225" s="111"/>
    </row>
    <row r="6226" spans="1:5" x14ac:dyDescent="0.2">
      <c r="A6226" s="113">
        <v>40924</v>
      </c>
      <c r="B6226" s="111">
        <f t="shared" si="97"/>
        <v>13</v>
      </c>
      <c r="C6226" s="111"/>
      <c r="D6226" s="111"/>
      <c r="E6226" s="111"/>
    </row>
    <row r="6227" spans="1:5" x14ac:dyDescent="0.2">
      <c r="A6227" s="113">
        <v>40925</v>
      </c>
      <c r="B6227" s="111">
        <f t="shared" si="97"/>
        <v>13</v>
      </c>
      <c r="C6227" s="111"/>
      <c r="D6227" s="111"/>
      <c r="E6227" s="111"/>
    </row>
    <row r="6228" spans="1:5" x14ac:dyDescent="0.2">
      <c r="A6228" s="113">
        <v>40926</v>
      </c>
      <c r="B6228" s="111">
        <f t="shared" si="97"/>
        <v>13</v>
      </c>
      <c r="C6228" s="111"/>
      <c r="D6228" s="111"/>
      <c r="E6228" s="111"/>
    </row>
    <row r="6229" spans="1:5" x14ac:dyDescent="0.2">
      <c r="A6229" s="113">
        <v>40927</v>
      </c>
      <c r="B6229" s="111">
        <f t="shared" si="97"/>
        <v>13</v>
      </c>
      <c r="C6229" s="111"/>
      <c r="D6229" s="111"/>
      <c r="E6229" s="111"/>
    </row>
    <row r="6230" spans="1:5" x14ac:dyDescent="0.2">
      <c r="A6230" s="113">
        <v>40928</v>
      </c>
      <c r="B6230" s="111">
        <f t="shared" si="97"/>
        <v>13</v>
      </c>
      <c r="C6230" s="111"/>
      <c r="D6230" s="111"/>
      <c r="E6230" s="111"/>
    </row>
    <row r="6231" spans="1:5" x14ac:dyDescent="0.2">
      <c r="A6231" s="113">
        <v>40929</v>
      </c>
      <c r="B6231" s="111">
        <f t="shared" si="97"/>
        <v>13</v>
      </c>
      <c r="C6231" s="111"/>
      <c r="D6231" s="111"/>
      <c r="E6231" s="111"/>
    </row>
    <row r="6232" spans="1:5" x14ac:dyDescent="0.2">
      <c r="A6232" s="113">
        <v>40930</v>
      </c>
      <c r="B6232" s="111">
        <f t="shared" si="97"/>
        <v>14</v>
      </c>
      <c r="C6232" s="111"/>
      <c r="D6232" s="111"/>
      <c r="E6232" s="111"/>
    </row>
    <row r="6233" spans="1:5" x14ac:dyDescent="0.2">
      <c r="A6233" s="113">
        <v>40931</v>
      </c>
      <c r="B6233" s="111">
        <f t="shared" si="97"/>
        <v>14</v>
      </c>
      <c r="C6233" s="111"/>
      <c r="D6233" s="111"/>
      <c r="E6233" s="111"/>
    </row>
    <row r="6234" spans="1:5" x14ac:dyDescent="0.2">
      <c r="A6234" s="113">
        <v>40932</v>
      </c>
      <c r="B6234" s="111">
        <f t="shared" si="97"/>
        <v>14</v>
      </c>
      <c r="C6234" s="111"/>
      <c r="D6234" s="111"/>
      <c r="E6234" s="111"/>
    </row>
    <row r="6235" spans="1:5" x14ac:dyDescent="0.2">
      <c r="A6235" s="113">
        <v>40933</v>
      </c>
      <c r="B6235" s="111">
        <f t="shared" si="97"/>
        <v>14</v>
      </c>
      <c r="C6235" s="111"/>
      <c r="D6235" s="111"/>
      <c r="E6235" s="111"/>
    </row>
    <row r="6236" spans="1:5" x14ac:dyDescent="0.2">
      <c r="A6236" s="113">
        <v>40934</v>
      </c>
      <c r="B6236" s="111">
        <f t="shared" si="97"/>
        <v>14</v>
      </c>
      <c r="C6236" s="111"/>
      <c r="D6236" s="111"/>
      <c r="E6236" s="111"/>
    </row>
    <row r="6237" spans="1:5" x14ac:dyDescent="0.2">
      <c r="A6237" s="113">
        <v>40935</v>
      </c>
      <c r="B6237" s="111">
        <f t="shared" si="97"/>
        <v>14</v>
      </c>
      <c r="C6237" s="111"/>
      <c r="D6237" s="111"/>
      <c r="E6237" s="111"/>
    </row>
    <row r="6238" spans="1:5" x14ac:dyDescent="0.2">
      <c r="A6238" s="113">
        <v>40936</v>
      </c>
      <c r="B6238" s="111">
        <f t="shared" si="97"/>
        <v>14</v>
      </c>
      <c r="C6238" s="111"/>
      <c r="D6238" s="111"/>
      <c r="E6238" s="111"/>
    </row>
    <row r="6239" spans="1:5" x14ac:dyDescent="0.2">
      <c r="A6239" s="113">
        <v>40937</v>
      </c>
      <c r="B6239" s="111">
        <f t="shared" si="97"/>
        <v>15</v>
      </c>
      <c r="C6239" s="111"/>
      <c r="D6239" s="111"/>
      <c r="E6239" s="111"/>
    </row>
    <row r="6240" spans="1:5" x14ac:dyDescent="0.2">
      <c r="A6240" s="113">
        <v>40938</v>
      </c>
      <c r="B6240" s="111">
        <f t="shared" si="97"/>
        <v>15</v>
      </c>
      <c r="C6240" s="111"/>
      <c r="D6240" s="111"/>
      <c r="E6240" s="111"/>
    </row>
    <row r="6241" spans="1:5" x14ac:dyDescent="0.2">
      <c r="A6241" s="113">
        <v>40939</v>
      </c>
      <c r="B6241" s="111">
        <f t="shared" si="97"/>
        <v>15</v>
      </c>
      <c r="C6241" s="111"/>
      <c r="D6241" s="111"/>
      <c r="E6241" s="111"/>
    </row>
    <row r="6242" spans="1:5" x14ac:dyDescent="0.2">
      <c r="A6242" s="113">
        <v>40940</v>
      </c>
      <c r="B6242" s="111">
        <f t="shared" si="97"/>
        <v>15</v>
      </c>
      <c r="C6242" s="111"/>
      <c r="D6242" s="111"/>
      <c r="E6242" s="111"/>
    </row>
    <row r="6243" spans="1:5" x14ac:dyDescent="0.2">
      <c r="A6243" s="113">
        <v>40941</v>
      </c>
      <c r="B6243" s="111">
        <f t="shared" si="97"/>
        <v>15</v>
      </c>
      <c r="C6243" s="111"/>
      <c r="D6243" s="111"/>
      <c r="E6243" s="111"/>
    </row>
    <row r="6244" spans="1:5" x14ac:dyDescent="0.2">
      <c r="A6244" s="113">
        <v>40942</v>
      </c>
      <c r="B6244" s="111">
        <f t="shared" si="97"/>
        <v>15</v>
      </c>
      <c r="C6244" s="111"/>
      <c r="D6244" s="111"/>
      <c r="E6244" s="111"/>
    </row>
    <row r="6245" spans="1:5" x14ac:dyDescent="0.2">
      <c r="A6245" s="113">
        <v>40943</v>
      </c>
      <c r="B6245" s="111">
        <f t="shared" si="97"/>
        <v>15</v>
      </c>
      <c r="C6245" s="111"/>
      <c r="D6245" s="111"/>
      <c r="E6245" s="111"/>
    </row>
    <row r="6246" spans="1:5" x14ac:dyDescent="0.2">
      <c r="A6246" s="113">
        <v>40944</v>
      </c>
      <c r="B6246" s="111">
        <f t="shared" si="97"/>
        <v>21</v>
      </c>
      <c r="C6246" s="111"/>
      <c r="D6246" s="111"/>
      <c r="E6246" s="111"/>
    </row>
    <row r="6247" spans="1:5" x14ac:dyDescent="0.2">
      <c r="A6247" s="113">
        <v>40945</v>
      </c>
      <c r="B6247" s="111">
        <f t="shared" si="97"/>
        <v>21</v>
      </c>
      <c r="C6247" s="111"/>
      <c r="D6247" s="111"/>
      <c r="E6247" s="111"/>
    </row>
    <row r="6248" spans="1:5" x14ac:dyDescent="0.2">
      <c r="A6248" s="113">
        <v>40946</v>
      </c>
      <c r="B6248" s="111">
        <f t="shared" si="97"/>
        <v>21</v>
      </c>
      <c r="C6248" s="111"/>
      <c r="D6248" s="111"/>
      <c r="E6248" s="111"/>
    </row>
    <row r="6249" spans="1:5" x14ac:dyDescent="0.2">
      <c r="A6249" s="113">
        <v>40947</v>
      </c>
      <c r="B6249" s="111">
        <f t="shared" si="97"/>
        <v>21</v>
      </c>
      <c r="C6249" s="111"/>
      <c r="D6249" s="111"/>
      <c r="E6249" s="111"/>
    </row>
    <row r="6250" spans="1:5" x14ac:dyDescent="0.2">
      <c r="A6250" s="113">
        <v>40948</v>
      </c>
      <c r="B6250" s="111">
        <f t="shared" si="97"/>
        <v>21</v>
      </c>
      <c r="C6250" s="111"/>
      <c r="D6250" s="111"/>
      <c r="E6250" s="111"/>
    </row>
    <row r="6251" spans="1:5" x14ac:dyDescent="0.2">
      <c r="A6251" s="113">
        <v>40949</v>
      </c>
      <c r="B6251" s="111">
        <f t="shared" si="97"/>
        <v>21</v>
      </c>
      <c r="C6251" s="111"/>
      <c r="D6251" s="111"/>
      <c r="E6251" s="111"/>
    </row>
    <row r="6252" spans="1:5" x14ac:dyDescent="0.2">
      <c r="A6252" s="113">
        <v>40950</v>
      </c>
      <c r="B6252" s="111">
        <f t="shared" si="97"/>
        <v>21</v>
      </c>
      <c r="C6252" s="111"/>
      <c r="D6252" s="111"/>
      <c r="E6252" s="111"/>
    </row>
    <row r="6253" spans="1:5" x14ac:dyDescent="0.2">
      <c r="A6253" s="113">
        <v>40951</v>
      </c>
      <c r="B6253" s="111">
        <f t="shared" si="97"/>
        <v>22</v>
      </c>
      <c r="C6253" s="111"/>
      <c r="D6253" s="111"/>
      <c r="E6253" s="111"/>
    </row>
    <row r="6254" spans="1:5" x14ac:dyDescent="0.2">
      <c r="A6254" s="113">
        <v>40952</v>
      </c>
      <c r="B6254" s="111">
        <f t="shared" si="97"/>
        <v>22</v>
      </c>
      <c r="C6254" s="111"/>
      <c r="D6254" s="111"/>
      <c r="E6254" s="111"/>
    </row>
    <row r="6255" spans="1:5" x14ac:dyDescent="0.2">
      <c r="A6255" s="113">
        <v>40953</v>
      </c>
      <c r="B6255" s="111">
        <f t="shared" si="97"/>
        <v>22</v>
      </c>
      <c r="C6255" s="111"/>
      <c r="D6255" s="111"/>
      <c r="E6255" s="111"/>
    </row>
    <row r="6256" spans="1:5" x14ac:dyDescent="0.2">
      <c r="A6256" s="113">
        <v>40954</v>
      </c>
      <c r="B6256" s="111">
        <f t="shared" si="97"/>
        <v>22</v>
      </c>
      <c r="C6256" s="111"/>
      <c r="D6256" s="111"/>
      <c r="E6256" s="111"/>
    </row>
    <row r="6257" spans="1:5" x14ac:dyDescent="0.2">
      <c r="A6257" s="113">
        <v>40955</v>
      </c>
      <c r="B6257" s="111">
        <f t="shared" si="97"/>
        <v>22</v>
      </c>
      <c r="C6257" s="111"/>
      <c r="D6257" s="111"/>
      <c r="E6257" s="111"/>
    </row>
    <row r="6258" spans="1:5" x14ac:dyDescent="0.2">
      <c r="A6258" s="113">
        <v>40956</v>
      </c>
      <c r="B6258" s="111">
        <f t="shared" si="97"/>
        <v>22</v>
      </c>
      <c r="C6258" s="111"/>
      <c r="D6258" s="111"/>
      <c r="E6258" s="111"/>
    </row>
    <row r="6259" spans="1:5" x14ac:dyDescent="0.2">
      <c r="A6259" s="113">
        <v>40957</v>
      </c>
      <c r="B6259" s="111">
        <f t="shared" si="97"/>
        <v>22</v>
      </c>
      <c r="C6259" s="111"/>
      <c r="D6259" s="111"/>
      <c r="E6259" s="111"/>
    </row>
    <row r="6260" spans="1:5" x14ac:dyDescent="0.2">
      <c r="A6260" s="113">
        <v>40958</v>
      </c>
      <c r="B6260" s="111">
        <f t="shared" si="97"/>
        <v>23</v>
      </c>
      <c r="C6260" s="111"/>
      <c r="D6260" s="111"/>
      <c r="E6260" s="111"/>
    </row>
    <row r="6261" spans="1:5" x14ac:dyDescent="0.2">
      <c r="A6261" s="113">
        <v>40959</v>
      </c>
      <c r="B6261" s="111">
        <f t="shared" si="97"/>
        <v>23</v>
      </c>
      <c r="C6261" s="111"/>
      <c r="D6261" s="111"/>
      <c r="E6261" s="111"/>
    </row>
    <row r="6262" spans="1:5" x14ac:dyDescent="0.2">
      <c r="A6262" s="113">
        <v>40960</v>
      </c>
      <c r="B6262" s="111">
        <f t="shared" si="97"/>
        <v>23</v>
      </c>
      <c r="C6262" s="111"/>
      <c r="D6262" s="111"/>
      <c r="E6262" s="111"/>
    </row>
    <row r="6263" spans="1:5" x14ac:dyDescent="0.2">
      <c r="A6263" s="113">
        <v>40961</v>
      </c>
      <c r="B6263" s="111">
        <f t="shared" si="97"/>
        <v>23</v>
      </c>
      <c r="C6263" s="111"/>
      <c r="D6263" s="111"/>
      <c r="E6263" s="111"/>
    </row>
    <row r="6264" spans="1:5" x14ac:dyDescent="0.2">
      <c r="A6264" s="113">
        <v>40962</v>
      </c>
      <c r="B6264" s="111">
        <f t="shared" si="97"/>
        <v>23</v>
      </c>
      <c r="C6264" s="111"/>
      <c r="D6264" s="111"/>
      <c r="E6264" s="111"/>
    </row>
    <row r="6265" spans="1:5" x14ac:dyDescent="0.2">
      <c r="A6265" s="113">
        <v>40963</v>
      </c>
      <c r="B6265" s="111">
        <f t="shared" si="97"/>
        <v>23</v>
      </c>
      <c r="C6265" s="111"/>
      <c r="D6265" s="111"/>
      <c r="E6265" s="111"/>
    </row>
    <row r="6266" spans="1:5" x14ac:dyDescent="0.2">
      <c r="A6266" s="113">
        <v>40964</v>
      </c>
      <c r="B6266" s="111">
        <f t="shared" si="97"/>
        <v>23</v>
      </c>
      <c r="C6266" s="111"/>
      <c r="D6266" s="111"/>
      <c r="E6266" s="111"/>
    </row>
    <row r="6267" spans="1:5" x14ac:dyDescent="0.2">
      <c r="A6267" s="113">
        <v>40965</v>
      </c>
      <c r="B6267" s="111">
        <f t="shared" si="97"/>
        <v>24</v>
      </c>
      <c r="C6267" s="111"/>
      <c r="D6267" s="111"/>
      <c r="E6267" s="111"/>
    </row>
    <row r="6268" spans="1:5" x14ac:dyDescent="0.2">
      <c r="A6268" s="113">
        <v>40966</v>
      </c>
      <c r="B6268" s="111">
        <f t="shared" si="97"/>
        <v>24</v>
      </c>
      <c r="C6268" s="111"/>
      <c r="D6268" s="111"/>
      <c r="E6268" s="111"/>
    </row>
    <row r="6269" spans="1:5" x14ac:dyDescent="0.2">
      <c r="A6269" s="113">
        <v>40967</v>
      </c>
      <c r="B6269" s="111">
        <f t="shared" si="97"/>
        <v>24</v>
      </c>
      <c r="C6269" s="111"/>
      <c r="D6269" s="111"/>
      <c r="E6269" s="111"/>
    </row>
    <row r="6270" spans="1:5" x14ac:dyDescent="0.2">
      <c r="A6270" s="113">
        <v>40968</v>
      </c>
      <c r="B6270" s="111">
        <f t="shared" si="97"/>
        <v>24</v>
      </c>
      <c r="C6270" s="111"/>
      <c r="D6270" s="111"/>
      <c r="E6270" s="111"/>
    </row>
    <row r="6271" spans="1:5" x14ac:dyDescent="0.2">
      <c r="A6271" s="113">
        <v>40969</v>
      </c>
      <c r="B6271" s="111">
        <f t="shared" si="97"/>
        <v>24</v>
      </c>
      <c r="C6271" s="111"/>
      <c r="D6271" s="111"/>
      <c r="E6271" s="111"/>
    </row>
    <row r="6272" spans="1:5" x14ac:dyDescent="0.2">
      <c r="A6272" s="113">
        <v>40970</v>
      </c>
      <c r="B6272" s="111">
        <f t="shared" si="97"/>
        <v>24</v>
      </c>
      <c r="C6272" s="111"/>
      <c r="D6272" s="111"/>
      <c r="E6272" s="111"/>
    </row>
    <row r="6273" spans="1:5" x14ac:dyDescent="0.2">
      <c r="A6273" s="113">
        <v>40971</v>
      </c>
      <c r="B6273" s="111">
        <f t="shared" si="97"/>
        <v>24</v>
      </c>
      <c r="C6273" s="111"/>
      <c r="D6273" s="111"/>
      <c r="E6273" s="111"/>
    </row>
    <row r="6274" spans="1:5" x14ac:dyDescent="0.2">
      <c r="A6274" s="113">
        <v>40972</v>
      </c>
      <c r="B6274" s="111">
        <f t="shared" ref="B6274:B6337" si="98">VLOOKUP(WEEKNUM(A6274),$D$3:$E$58,2)</f>
        <v>31</v>
      </c>
      <c r="C6274" s="111"/>
      <c r="D6274" s="111"/>
      <c r="E6274" s="111"/>
    </row>
    <row r="6275" spans="1:5" x14ac:dyDescent="0.2">
      <c r="A6275" s="113">
        <v>40973</v>
      </c>
      <c r="B6275" s="111">
        <f t="shared" si="98"/>
        <v>31</v>
      </c>
      <c r="C6275" s="111"/>
      <c r="D6275" s="111"/>
      <c r="E6275" s="111"/>
    </row>
    <row r="6276" spans="1:5" x14ac:dyDescent="0.2">
      <c r="A6276" s="113">
        <v>40974</v>
      </c>
      <c r="B6276" s="111">
        <f t="shared" si="98"/>
        <v>31</v>
      </c>
      <c r="C6276" s="111"/>
      <c r="D6276" s="111"/>
      <c r="E6276" s="111"/>
    </row>
    <row r="6277" spans="1:5" x14ac:dyDescent="0.2">
      <c r="A6277" s="113">
        <v>40975</v>
      </c>
      <c r="B6277" s="111">
        <f t="shared" si="98"/>
        <v>31</v>
      </c>
      <c r="C6277" s="111"/>
      <c r="D6277" s="111"/>
      <c r="E6277" s="111"/>
    </row>
    <row r="6278" spans="1:5" x14ac:dyDescent="0.2">
      <c r="A6278" s="113">
        <v>40976</v>
      </c>
      <c r="B6278" s="111">
        <f t="shared" si="98"/>
        <v>31</v>
      </c>
      <c r="C6278" s="111"/>
      <c r="D6278" s="111"/>
      <c r="E6278" s="111"/>
    </row>
    <row r="6279" spans="1:5" x14ac:dyDescent="0.2">
      <c r="A6279" s="113">
        <v>40977</v>
      </c>
      <c r="B6279" s="111">
        <f t="shared" si="98"/>
        <v>31</v>
      </c>
      <c r="C6279" s="111"/>
      <c r="D6279" s="111"/>
      <c r="E6279" s="111"/>
    </row>
    <row r="6280" spans="1:5" x14ac:dyDescent="0.2">
      <c r="A6280" s="113">
        <v>40978</v>
      </c>
      <c r="B6280" s="111">
        <f t="shared" si="98"/>
        <v>31</v>
      </c>
      <c r="C6280" s="111"/>
      <c r="D6280" s="111"/>
      <c r="E6280" s="111"/>
    </row>
    <row r="6281" spans="1:5" x14ac:dyDescent="0.2">
      <c r="A6281" s="113">
        <v>40979</v>
      </c>
      <c r="B6281" s="111">
        <f t="shared" si="98"/>
        <v>32</v>
      </c>
      <c r="C6281" s="111"/>
      <c r="D6281" s="111"/>
      <c r="E6281" s="111"/>
    </row>
    <row r="6282" spans="1:5" x14ac:dyDescent="0.2">
      <c r="A6282" s="113">
        <v>40980</v>
      </c>
      <c r="B6282" s="111">
        <f t="shared" si="98"/>
        <v>32</v>
      </c>
      <c r="C6282" s="111"/>
      <c r="D6282" s="111"/>
      <c r="E6282" s="111"/>
    </row>
    <row r="6283" spans="1:5" x14ac:dyDescent="0.2">
      <c r="A6283" s="113">
        <v>40981</v>
      </c>
      <c r="B6283" s="111">
        <f t="shared" si="98"/>
        <v>32</v>
      </c>
      <c r="C6283" s="111"/>
      <c r="D6283" s="111"/>
      <c r="E6283" s="111"/>
    </row>
    <row r="6284" spans="1:5" x14ac:dyDescent="0.2">
      <c r="A6284" s="113">
        <v>40982</v>
      </c>
      <c r="B6284" s="111">
        <f t="shared" si="98"/>
        <v>32</v>
      </c>
      <c r="C6284" s="111"/>
      <c r="D6284" s="111"/>
      <c r="E6284" s="111"/>
    </row>
    <row r="6285" spans="1:5" x14ac:dyDescent="0.2">
      <c r="A6285" s="113">
        <v>40983</v>
      </c>
      <c r="B6285" s="111">
        <f t="shared" si="98"/>
        <v>32</v>
      </c>
      <c r="C6285" s="111"/>
      <c r="D6285" s="111"/>
      <c r="E6285" s="111"/>
    </row>
    <row r="6286" spans="1:5" x14ac:dyDescent="0.2">
      <c r="A6286" s="113">
        <v>40984</v>
      </c>
      <c r="B6286" s="111">
        <f t="shared" si="98"/>
        <v>32</v>
      </c>
      <c r="C6286" s="111"/>
      <c r="D6286" s="111"/>
      <c r="E6286" s="111"/>
    </row>
    <row r="6287" spans="1:5" x14ac:dyDescent="0.2">
      <c r="A6287" s="113">
        <v>40985</v>
      </c>
      <c r="B6287" s="111">
        <f t="shared" si="98"/>
        <v>32</v>
      </c>
      <c r="C6287" s="111"/>
      <c r="D6287" s="111"/>
      <c r="E6287" s="111"/>
    </row>
    <row r="6288" spans="1:5" x14ac:dyDescent="0.2">
      <c r="A6288" s="113">
        <v>40986</v>
      </c>
      <c r="B6288" s="111">
        <f t="shared" si="98"/>
        <v>33</v>
      </c>
      <c r="C6288" s="111"/>
      <c r="D6288" s="111"/>
      <c r="E6288" s="111"/>
    </row>
    <row r="6289" spans="1:5" x14ac:dyDescent="0.2">
      <c r="A6289" s="113">
        <v>40987</v>
      </c>
      <c r="B6289" s="111">
        <f t="shared" si="98"/>
        <v>33</v>
      </c>
      <c r="C6289" s="111"/>
      <c r="D6289" s="111"/>
      <c r="E6289" s="111"/>
    </row>
    <row r="6290" spans="1:5" x14ac:dyDescent="0.2">
      <c r="A6290" s="113">
        <v>40988</v>
      </c>
      <c r="B6290" s="111">
        <f t="shared" si="98"/>
        <v>33</v>
      </c>
      <c r="C6290" s="111"/>
      <c r="D6290" s="111"/>
      <c r="E6290" s="111"/>
    </row>
    <row r="6291" spans="1:5" x14ac:dyDescent="0.2">
      <c r="A6291" s="113">
        <v>40989</v>
      </c>
      <c r="B6291" s="111">
        <f t="shared" si="98"/>
        <v>33</v>
      </c>
      <c r="C6291" s="111"/>
      <c r="D6291" s="111"/>
      <c r="E6291" s="111"/>
    </row>
    <row r="6292" spans="1:5" x14ac:dyDescent="0.2">
      <c r="A6292" s="113">
        <v>40990</v>
      </c>
      <c r="B6292" s="111">
        <f t="shared" si="98"/>
        <v>33</v>
      </c>
      <c r="C6292" s="111"/>
      <c r="D6292" s="111"/>
      <c r="E6292" s="111"/>
    </row>
    <row r="6293" spans="1:5" x14ac:dyDescent="0.2">
      <c r="A6293" s="113">
        <v>40991</v>
      </c>
      <c r="B6293" s="111">
        <f t="shared" si="98"/>
        <v>33</v>
      </c>
      <c r="C6293" s="111"/>
      <c r="D6293" s="111"/>
      <c r="E6293" s="111"/>
    </row>
    <row r="6294" spans="1:5" x14ac:dyDescent="0.2">
      <c r="A6294" s="113">
        <v>40992</v>
      </c>
      <c r="B6294" s="111">
        <f t="shared" si="98"/>
        <v>33</v>
      </c>
      <c r="C6294" s="111"/>
      <c r="D6294" s="111"/>
      <c r="E6294" s="111"/>
    </row>
    <row r="6295" spans="1:5" x14ac:dyDescent="0.2">
      <c r="A6295" s="113">
        <v>40993</v>
      </c>
      <c r="B6295" s="111">
        <f t="shared" si="98"/>
        <v>34</v>
      </c>
      <c r="C6295" s="111"/>
      <c r="D6295" s="111"/>
      <c r="E6295" s="111"/>
    </row>
    <row r="6296" spans="1:5" x14ac:dyDescent="0.2">
      <c r="A6296" s="113">
        <v>40994</v>
      </c>
      <c r="B6296" s="111">
        <f t="shared" si="98"/>
        <v>34</v>
      </c>
      <c r="C6296" s="111"/>
      <c r="D6296" s="111"/>
      <c r="E6296" s="111"/>
    </row>
    <row r="6297" spans="1:5" x14ac:dyDescent="0.2">
      <c r="A6297" s="113">
        <v>40995</v>
      </c>
      <c r="B6297" s="111">
        <f t="shared" si="98"/>
        <v>34</v>
      </c>
      <c r="C6297" s="111"/>
      <c r="D6297" s="111"/>
      <c r="E6297" s="111"/>
    </row>
    <row r="6298" spans="1:5" x14ac:dyDescent="0.2">
      <c r="A6298" s="113">
        <v>40996</v>
      </c>
      <c r="B6298" s="111">
        <f t="shared" si="98"/>
        <v>34</v>
      </c>
      <c r="C6298" s="111"/>
      <c r="D6298" s="111"/>
      <c r="E6298" s="111"/>
    </row>
    <row r="6299" spans="1:5" x14ac:dyDescent="0.2">
      <c r="A6299" s="113">
        <v>40997</v>
      </c>
      <c r="B6299" s="111">
        <f t="shared" si="98"/>
        <v>34</v>
      </c>
      <c r="C6299" s="111"/>
      <c r="D6299" s="111"/>
      <c r="E6299" s="111"/>
    </row>
    <row r="6300" spans="1:5" x14ac:dyDescent="0.2">
      <c r="A6300" s="113">
        <v>40998</v>
      </c>
      <c r="B6300" s="111">
        <f t="shared" si="98"/>
        <v>34</v>
      </c>
      <c r="C6300" s="111"/>
      <c r="D6300" s="111"/>
      <c r="E6300" s="111"/>
    </row>
    <row r="6301" spans="1:5" x14ac:dyDescent="0.2">
      <c r="A6301" s="113">
        <v>40999</v>
      </c>
      <c r="B6301" s="111">
        <f t="shared" si="98"/>
        <v>34</v>
      </c>
      <c r="C6301" s="111"/>
      <c r="D6301" s="111"/>
      <c r="E6301" s="111"/>
    </row>
    <row r="6302" spans="1:5" x14ac:dyDescent="0.2">
      <c r="A6302" s="113">
        <v>41000</v>
      </c>
      <c r="B6302" s="111">
        <f t="shared" si="98"/>
        <v>41</v>
      </c>
      <c r="C6302" s="111"/>
      <c r="D6302" s="111"/>
      <c r="E6302" s="111"/>
    </row>
    <row r="6303" spans="1:5" x14ac:dyDescent="0.2">
      <c r="A6303" s="113">
        <v>41001</v>
      </c>
      <c r="B6303" s="111">
        <f t="shared" si="98"/>
        <v>41</v>
      </c>
      <c r="C6303" s="111"/>
      <c r="D6303" s="111"/>
      <c r="E6303" s="111"/>
    </row>
    <row r="6304" spans="1:5" x14ac:dyDescent="0.2">
      <c r="A6304" s="113">
        <v>41002</v>
      </c>
      <c r="B6304" s="111">
        <f t="shared" si="98"/>
        <v>41</v>
      </c>
      <c r="C6304" s="111"/>
      <c r="D6304" s="111"/>
      <c r="E6304" s="111"/>
    </row>
    <row r="6305" spans="1:5" x14ac:dyDescent="0.2">
      <c r="A6305" s="113">
        <v>41003</v>
      </c>
      <c r="B6305" s="111">
        <f t="shared" si="98"/>
        <v>41</v>
      </c>
      <c r="C6305" s="111"/>
      <c r="D6305" s="111"/>
      <c r="E6305" s="111"/>
    </row>
    <row r="6306" spans="1:5" x14ac:dyDescent="0.2">
      <c r="A6306" s="113">
        <v>41004</v>
      </c>
      <c r="B6306" s="111">
        <f t="shared" si="98"/>
        <v>41</v>
      </c>
      <c r="C6306" s="111"/>
      <c r="D6306" s="111"/>
      <c r="E6306" s="111"/>
    </row>
    <row r="6307" spans="1:5" x14ac:dyDescent="0.2">
      <c r="A6307" s="113">
        <v>41005</v>
      </c>
      <c r="B6307" s="111">
        <f t="shared" si="98"/>
        <v>41</v>
      </c>
      <c r="C6307" s="111"/>
      <c r="D6307" s="111"/>
      <c r="E6307" s="111"/>
    </row>
    <row r="6308" spans="1:5" x14ac:dyDescent="0.2">
      <c r="A6308" s="113">
        <v>41006</v>
      </c>
      <c r="B6308" s="111">
        <f t="shared" si="98"/>
        <v>41</v>
      </c>
      <c r="C6308" s="111"/>
      <c r="D6308" s="111"/>
      <c r="E6308" s="111"/>
    </row>
    <row r="6309" spans="1:5" x14ac:dyDescent="0.2">
      <c r="A6309" s="113">
        <v>41007</v>
      </c>
      <c r="B6309" s="111">
        <f t="shared" si="98"/>
        <v>42</v>
      </c>
      <c r="C6309" s="111"/>
      <c r="D6309" s="111"/>
      <c r="E6309" s="111"/>
    </row>
    <row r="6310" spans="1:5" x14ac:dyDescent="0.2">
      <c r="A6310" s="113">
        <v>41008</v>
      </c>
      <c r="B6310" s="111">
        <f t="shared" si="98"/>
        <v>42</v>
      </c>
      <c r="C6310" s="111"/>
      <c r="D6310" s="111"/>
      <c r="E6310" s="111"/>
    </row>
    <row r="6311" spans="1:5" x14ac:dyDescent="0.2">
      <c r="A6311" s="113">
        <v>41009</v>
      </c>
      <c r="B6311" s="111">
        <f t="shared" si="98"/>
        <v>42</v>
      </c>
      <c r="C6311" s="111"/>
      <c r="D6311" s="111"/>
      <c r="E6311" s="111"/>
    </row>
    <row r="6312" spans="1:5" x14ac:dyDescent="0.2">
      <c r="A6312" s="113">
        <v>41010</v>
      </c>
      <c r="B6312" s="111">
        <f t="shared" si="98"/>
        <v>42</v>
      </c>
      <c r="C6312" s="111"/>
      <c r="D6312" s="111"/>
      <c r="E6312" s="111"/>
    </row>
    <row r="6313" spans="1:5" x14ac:dyDescent="0.2">
      <c r="A6313" s="113">
        <v>41011</v>
      </c>
      <c r="B6313" s="111">
        <f t="shared" si="98"/>
        <v>42</v>
      </c>
      <c r="C6313" s="111"/>
      <c r="D6313" s="111"/>
      <c r="E6313" s="111"/>
    </row>
    <row r="6314" spans="1:5" x14ac:dyDescent="0.2">
      <c r="A6314" s="113">
        <v>41012</v>
      </c>
      <c r="B6314" s="111">
        <f t="shared" si="98"/>
        <v>42</v>
      </c>
      <c r="C6314" s="111"/>
      <c r="D6314" s="111"/>
      <c r="E6314" s="111"/>
    </row>
    <row r="6315" spans="1:5" x14ac:dyDescent="0.2">
      <c r="A6315" s="113">
        <v>41013</v>
      </c>
      <c r="B6315" s="111">
        <f t="shared" si="98"/>
        <v>42</v>
      </c>
      <c r="C6315" s="111"/>
      <c r="D6315" s="111"/>
      <c r="E6315" s="111"/>
    </row>
    <row r="6316" spans="1:5" x14ac:dyDescent="0.2">
      <c r="A6316" s="113">
        <v>41014</v>
      </c>
      <c r="B6316" s="111">
        <f t="shared" si="98"/>
        <v>43</v>
      </c>
      <c r="C6316" s="111"/>
      <c r="D6316" s="111"/>
      <c r="E6316" s="111"/>
    </row>
    <row r="6317" spans="1:5" x14ac:dyDescent="0.2">
      <c r="A6317" s="113">
        <v>41015</v>
      </c>
      <c r="B6317" s="111">
        <f t="shared" si="98"/>
        <v>43</v>
      </c>
      <c r="C6317" s="111"/>
      <c r="D6317" s="111"/>
      <c r="E6317" s="111"/>
    </row>
    <row r="6318" spans="1:5" x14ac:dyDescent="0.2">
      <c r="A6318" s="113">
        <v>41016</v>
      </c>
      <c r="B6318" s="111">
        <f t="shared" si="98"/>
        <v>43</v>
      </c>
      <c r="C6318" s="111"/>
      <c r="D6318" s="111"/>
      <c r="E6318" s="111"/>
    </row>
    <row r="6319" spans="1:5" x14ac:dyDescent="0.2">
      <c r="A6319" s="113">
        <v>41017</v>
      </c>
      <c r="B6319" s="111">
        <f t="shared" si="98"/>
        <v>43</v>
      </c>
      <c r="C6319" s="111"/>
      <c r="D6319" s="111"/>
      <c r="E6319" s="111"/>
    </row>
    <row r="6320" spans="1:5" x14ac:dyDescent="0.2">
      <c r="A6320" s="113">
        <v>41018</v>
      </c>
      <c r="B6320" s="111">
        <f t="shared" si="98"/>
        <v>43</v>
      </c>
      <c r="C6320" s="111"/>
      <c r="D6320" s="111"/>
      <c r="E6320" s="111"/>
    </row>
    <row r="6321" spans="1:5" x14ac:dyDescent="0.2">
      <c r="A6321" s="113">
        <v>41019</v>
      </c>
      <c r="B6321" s="111">
        <f t="shared" si="98"/>
        <v>43</v>
      </c>
      <c r="C6321" s="111"/>
      <c r="D6321" s="111"/>
      <c r="E6321" s="111"/>
    </row>
    <row r="6322" spans="1:5" x14ac:dyDescent="0.2">
      <c r="A6322" s="113">
        <v>41020</v>
      </c>
      <c r="B6322" s="111">
        <f t="shared" si="98"/>
        <v>43</v>
      </c>
      <c r="C6322" s="111"/>
      <c r="D6322" s="111"/>
      <c r="E6322" s="111"/>
    </row>
    <row r="6323" spans="1:5" x14ac:dyDescent="0.2">
      <c r="A6323" s="113">
        <v>41021</v>
      </c>
      <c r="B6323" s="111">
        <f t="shared" si="98"/>
        <v>44</v>
      </c>
      <c r="C6323" s="111"/>
      <c r="D6323" s="111"/>
      <c r="E6323" s="111"/>
    </row>
    <row r="6324" spans="1:5" x14ac:dyDescent="0.2">
      <c r="A6324" s="113">
        <v>41022</v>
      </c>
      <c r="B6324" s="111">
        <f t="shared" si="98"/>
        <v>44</v>
      </c>
      <c r="C6324" s="111"/>
      <c r="D6324" s="111"/>
      <c r="E6324" s="111"/>
    </row>
    <row r="6325" spans="1:5" x14ac:dyDescent="0.2">
      <c r="A6325" s="113">
        <v>41023</v>
      </c>
      <c r="B6325" s="111">
        <f t="shared" si="98"/>
        <v>44</v>
      </c>
      <c r="C6325" s="111"/>
      <c r="D6325" s="111"/>
      <c r="E6325" s="111"/>
    </row>
    <row r="6326" spans="1:5" x14ac:dyDescent="0.2">
      <c r="A6326" s="113">
        <v>41024</v>
      </c>
      <c r="B6326" s="111">
        <f t="shared" si="98"/>
        <v>44</v>
      </c>
      <c r="C6326" s="111"/>
      <c r="D6326" s="111"/>
      <c r="E6326" s="111"/>
    </row>
    <row r="6327" spans="1:5" x14ac:dyDescent="0.2">
      <c r="A6327" s="113">
        <v>41025</v>
      </c>
      <c r="B6327" s="111">
        <f t="shared" si="98"/>
        <v>44</v>
      </c>
      <c r="C6327" s="111"/>
      <c r="D6327" s="111"/>
      <c r="E6327" s="111"/>
    </row>
    <row r="6328" spans="1:5" x14ac:dyDescent="0.2">
      <c r="A6328" s="113">
        <v>41026</v>
      </c>
      <c r="B6328" s="111">
        <f t="shared" si="98"/>
        <v>44</v>
      </c>
      <c r="C6328" s="111"/>
      <c r="D6328" s="111"/>
      <c r="E6328" s="111"/>
    </row>
    <row r="6329" spans="1:5" x14ac:dyDescent="0.2">
      <c r="A6329" s="113">
        <v>41027</v>
      </c>
      <c r="B6329" s="111">
        <f t="shared" si="98"/>
        <v>44</v>
      </c>
      <c r="C6329" s="111"/>
      <c r="D6329" s="111"/>
      <c r="E6329" s="111"/>
    </row>
    <row r="6330" spans="1:5" x14ac:dyDescent="0.2">
      <c r="A6330" s="113">
        <v>41028</v>
      </c>
      <c r="B6330" s="111">
        <f t="shared" si="98"/>
        <v>45</v>
      </c>
      <c r="C6330" s="111"/>
      <c r="D6330" s="111"/>
      <c r="E6330" s="111"/>
    </row>
    <row r="6331" spans="1:5" x14ac:dyDescent="0.2">
      <c r="A6331" s="113">
        <v>41029</v>
      </c>
      <c r="B6331" s="111">
        <f t="shared" si="98"/>
        <v>45</v>
      </c>
      <c r="C6331" s="111"/>
      <c r="D6331" s="111"/>
      <c r="E6331" s="111"/>
    </row>
    <row r="6332" spans="1:5" x14ac:dyDescent="0.2">
      <c r="A6332" s="113">
        <v>41030</v>
      </c>
      <c r="B6332" s="111">
        <f t="shared" si="98"/>
        <v>45</v>
      </c>
      <c r="C6332" s="111"/>
      <c r="D6332" s="111"/>
      <c r="E6332" s="111"/>
    </row>
    <row r="6333" spans="1:5" x14ac:dyDescent="0.2">
      <c r="A6333" s="113">
        <v>41031</v>
      </c>
      <c r="B6333" s="111">
        <f t="shared" si="98"/>
        <v>45</v>
      </c>
      <c r="C6333" s="111"/>
      <c r="D6333" s="111"/>
      <c r="E6333" s="111"/>
    </row>
    <row r="6334" spans="1:5" x14ac:dyDescent="0.2">
      <c r="A6334" s="113">
        <v>41032</v>
      </c>
      <c r="B6334" s="111">
        <f t="shared" si="98"/>
        <v>45</v>
      </c>
      <c r="C6334" s="111"/>
      <c r="D6334" s="111"/>
      <c r="E6334" s="111"/>
    </row>
    <row r="6335" spans="1:5" x14ac:dyDescent="0.2">
      <c r="A6335" s="113">
        <v>41033</v>
      </c>
      <c r="B6335" s="111">
        <f t="shared" si="98"/>
        <v>45</v>
      </c>
      <c r="C6335" s="111"/>
      <c r="D6335" s="111"/>
      <c r="E6335" s="111"/>
    </row>
    <row r="6336" spans="1:5" x14ac:dyDescent="0.2">
      <c r="A6336" s="113">
        <v>41034</v>
      </c>
      <c r="B6336" s="111">
        <f t="shared" si="98"/>
        <v>45</v>
      </c>
      <c r="C6336" s="111"/>
      <c r="D6336" s="111"/>
      <c r="E6336" s="111"/>
    </row>
    <row r="6337" spans="1:5" x14ac:dyDescent="0.2">
      <c r="A6337" s="113">
        <v>41035</v>
      </c>
      <c r="B6337" s="111">
        <f t="shared" si="98"/>
        <v>51</v>
      </c>
      <c r="C6337" s="111"/>
      <c r="D6337" s="111"/>
      <c r="E6337" s="111"/>
    </row>
    <row r="6338" spans="1:5" x14ac:dyDescent="0.2">
      <c r="A6338" s="113">
        <v>41036</v>
      </c>
      <c r="B6338" s="111">
        <f t="shared" ref="B6338:B6401" si="99">VLOOKUP(WEEKNUM(A6338),$D$3:$E$58,2)</f>
        <v>51</v>
      </c>
      <c r="C6338" s="111"/>
      <c r="D6338" s="111"/>
      <c r="E6338" s="111"/>
    </row>
    <row r="6339" spans="1:5" x14ac:dyDescent="0.2">
      <c r="A6339" s="113">
        <v>41037</v>
      </c>
      <c r="B6339" s="111">
        <f t="shared" si="99"/>
        <v>51</v>
      </c>
      <c r="C6339" s="111"/>
      <c r="D6339" s="111"/>
      <c r="E6339" s="111"/>
    </row>
    <row r="6340" spans="1:5" x14ac:dyDescent="0.2">
      <c r="A6340" s="113">
        <v>41038</v>
      </c>
      <c r="B6340" s="111">
        <f t="shared" si="99"/>
        <v>51</v>
      </c>
      <c r="C6340" s="111"/>
      <c r="D6340" s="111"/>
      <c r="E6340" s="111"/>
    </row>
    <row r="6341" spans="1:5" x14ac:dyDescent="0.2">
      <c r="A6341" s="113">
        <v>41039</v>
      </c>
      <c r="B6341" s="111">
        <f t="shared" si="99"/>
        <v>51</v>
      </c>
      <c r="C6341" s="111"/>
      <c r="D6341" s="111"/>
      <c r="E6341" s="111"/>
    </row>
    <row r="6342" spans="1:5" x14ac:dyDescent="0.2">
      <c r="A6342" s="113">
        <v>41040</v>
      </c>
      <c r="B6342" s="111">
        <f t="shared" si="99"/>
        <v>51</v>
      </c>
      <c r="C6342" s="111"/>
      <c r="D6342" s="111"/>
      <c r="E6342" s="111"/>
    </row>
    <row r="6343" spans="1:5" x14ac:dyDescent="0.2">
      <c r="A6343" s="113">
        <v>41041</v>
      </c>
      <c r="B6343" s="111">
        <f t="shared" si="99"/>
        <v>51</v>
      </c>
      <c r="C6343" s="111"/>
      <c r="D6343" s="111"/>
      <c r="E6343" s="111"/>
    </row>
    <row r="6344" spans="1:5" x14ac:dyDescent="0.2">
      <c r="A6344" s="113">
        <v>41042</v>
      </c>
      <c r="B6344" s="111">
        <f t="shared" si="99"/>
        <v>52</v>
      </c>
      <c r="C6344" s="111"/>
      <c r="D6344" s="111"/>
      <c r="E6344" s="111"/>
    </row>
    <row r="6345" spans="1:5" x14ac:dyDescent="0.2">
      <c r="A6345" s="113">
        <v>41043</v>
      </c>
      <c r="B6345" s="111">
        <f t="shared" si="99"/>
        <v>52</v>
      </c>
      <c r="C6345" s="111"/>
      <c r="D6345" s="111"/>
      <c r="E6345" s="111"/>
    </row>
    <row r="6346" spans="1:5" x14ac:dyDescent="0.2">
      <c r="A6346" s="113">
        <v>41044</v>
      </c>
      <c r="B6346" s="111">
        <f t="shared" si="99"/>
        <v>52</v>
      </c>
      <c r="C6346" s="111"/>
      <c r="D6346" s="111"/>
      <c r="E6346" s="111"/>
    </row>
    <row r="6347" spans="1:5" x14ac:dyDescent="0.2">
      <c r="A6347" s="113">
        <v>41045</v>
      </c>
      <c r="B6347" s="111">
        <f t="shared" si="99"/>
        <v>52</v>
      </c>
      <c r="C6347" s="111"/>
      <c r="D6347" s="111"/>
      <c r="E6347" s="111"/>
    </row>
    <row r="6348" spans="1:5" x14ac:dyDescent="0.2">
      <c r="A6348" s="113">
        <v>41046</v>
      </c>
      <c r="B6348" s="111">
        <f t="shared" si="99"/>
        <v>52</v>
      </c>
      <c r="C6348" s="111"/>
      <c r="D6348" s="111"/>
      <c r="E6348" s="111"/>
    </row>
    <row r="6349" spans="1:5" x14ac:dyDescent="0.2">
      <c r="A6349" s="113">
        <v>41047</v>
      </c>
      <c r="B6349" s="111">
        <f t="shared" si="99"/>
        <v>52</v>
      </c>
      <c r="C6349" s="111"/>
      <c r="D6349" s="111"/>
      <c r="E6349" s="111"/>
    </row>
    <row r="6350" spans="1:5" x14ac:dyDescent="0.2">
      <c r="A6350" s="113">
        <v>41048</v>
      </c>
      <c r="B6350" s="111">
        <f t="shared" si="99"/>
        <v>52</v>
      </c>
      <c r="C6350" s="111"/>
      <c r="D6350" s="111"/>
      <c r="E6350" s="111"/>
    </row>
    <row r="6351" spans="1:5" x14ac:dyDescent="0.2">
      <c r="A6351" s="113">
        <v>41049</v>
      </c>
      <c r="B6351" s="111">
        <f t="shared" si="99"/>
        <v>53</v>
      </c>
      <c r="C6351" s="111"/>
      <c r="D6351" s="111"/>
      <c r="E6351" s="111"/>
    </row>
    <row r="6352" spans="1:5" x14ac:dyDescent="0.2">
      <c r="A6352" s="113">
        <v>41050</v>
      </c>
      <c r="B6352" s="111">
        <f t="shared" si="99"/>
        <v>53</v>
      </c>
      <c r="C6352" s="111"/>
      <c r="D6352" s="111"/>
      <c r="E6352" s="111"/>
    </row>
    <row r="6353" spans="1:5" x14ac:dyDescent="0.2">
      <c r="A6353" s="113">
        <v>41051</v>
      </c>
      <c r="B6353" s="111">
        <f t="shared" si="99"/>
        <v>53</v>
      </c>
      <c r="C6353" s="111"/>
      <c r="D6353" s="111"/>
      <c r="E6353" s="111"/>
    </row>
    <row r="6354" spans="1:5" x14ac:dyDescent="0.2">
      <c r="A6354" s="113">
        <v>41052</v>
      </c>
      <c r="B6354" s="111">
        <f t="shared" si="99"/>
        <v>53</v>
      </c>
      <c r="C6354" s="111"/>
      <c r="D6354" s="111"/>
      <c r="E6354" s="111"/>
    </row>
    <row r="6355" spans="1:5" x14ac:dyDescent="0.2">
      <c r="A6355" s="113">
        <v>41053</v>
      </c>
      <c r="B6355" s="111">
        <f t="shared" si="99"/>
        <v>53</v>
      </c>
      <c r="C6355" s="111"/>
      <c r="D6355" s="111"/>
      <c r="E6355" s="111"/>
    </row>
    <row r="6356" spans="1:5" x14ac:dyDescent="0.2">
      <c r="A6356" s="113">
        <v>41054</v>
      </c>
      <c r="B6356" s="111">
        <f t="shared" si="99"/>
        <v>53</v>
      </c>
      <c r="C6356" s="111"/>
      <c r="D6356" s="111"/>
      <c r="E6356" s="111"/>
    </row>
    <row r="6357" spans="1:5" x14ac:dyDescent="0.2">
      <c r="A6357" s="113">
        <v>41055</v>
      </c>
      <c r="B6357" s="111">
        <f t="shared" si="99"/>
        <v>53</v>
      </c>
      <c r="C6357" s="111"/>
      <c r="D6357" s="111"/>
      <c r="E6357" s="111"/>
    </row>
    <row r="6358" spans="1:5" x14ac:dyDescent="0.2">
      <c r="A6358" s="113">
        <v>41056</v>
      </c>
      <c r="B6358" s="111">
        <f t="shared" si="99"/>
        <v>54</v>
      </c>
      <c r="C6358" s="111"/>
      <c r="D6358" s="111"/>
      <c r="E6358" s="111"/>
    </row>
    <row r="6359" spans="1:5" x14ac:dyDescent="0.2">
      <c r="A6359" s="113">
        <v>41057</v>
      </c>
      <c r="B6359" s="111">
        <f t="shared" si="99"/>
        <v>54</v>
      </c>
      <c r="C6359" s="111"/>
      <c r="D6359" s="111"/>
      <c r="E6359" s="111"/>
    </row>
    <row r="6360" spans="1:5" x14ac:dyDescent="0.2">
      <c r="A6360" s="113">
        <v>41058</v>
      </c>
      <c r="B6360" s="111">
        <f t="shared" si="99"/>
        <v>54</v>
      </c>
      <c r="C6360" s="111"/>
      <c r="D6360" s="111"/>
      <c r="E6360" s="111"/>
    </row>
    <row r="6361" spans="1:5" x14ac:dyDescent="0.2">
      <c r="A6361" s="113">
        <v>41059</v>
      </c>
      <c r="B6361" s="111">
        <f t="shared" si="99"/>
        <v>54</v>
      </c>
      <c r="C6361" s="111"/>
      <c r="D6361" s="111"/>
      <c r="E6361" s="111"/>
    </row>
    <row r="6362" spans="1:5" x14ac:dyDescent="0.2">
      <c r="A6362" s="113">
        <v>41060</v>
      </c>
      <c r="B6362" s="111">
        <f t="shared" si="99"/>
        <v>54</v>
      </c>
      <c r="C6362" s="111"/>
      <c r="D6362" s="111"/>
      <c r="E6362" s="111"/>
    </row>
    <row r="6363" spans="1:5" x14ac:dyDescent="0.2">
      <c r="A6363" s="113">
        <v>41061</v>
      </c>
      <c r="B6363" s="111">
        <f t="shared" si="99"/>
        <v>54</v>
      </c>
      <c r="C6363" s="111"/>
      <c r="D6363" s="111"/>
      <c r="E6363" s="111"/>
    </row>
    <row r="6364" spans="1:5" x14ac:dyDescent="0.2">
      <c r="A6364" s="113">
        <v>41062</v>
      </c>
      <c r="B6364" s="111">
        <f t="shared" si="99"/>
        <v>54</v>
      </c>
      <c r="C6364" s="111"/>
      <c r="D6364" s="111"/>
      <c r="E6364" s="111"/>
    </row>
    <row r="6365" spans="1:5" x14ac:dyDescent="0.2">
      <c r="A6365" s="113">
        <v>41063</v>
      </c>
      <c r="B6365" s="111">
        <f t="shared" si="99"/>
        <v>61</v>
      </c>
      <c r="C6365" s="111"/>
      <c r="D6365" s="111"/>
      <c r="E6365" s="111"/>
    </row>
    <row r="6366" spans="1:5" x14ac:dyDescent="0.2">
      <c r="A6366" s="113">
        <v>41064</v>
      </c>
      <c r="B6366" s="111">
        <f t="shared" si="99"/>
        <v>61</v>
      </c>
      <c r="C6366" s="111"/>
      <c r="D6366" s="111"/>
      <c r="E6366" s="111"/>
    </row>
    <row r="6367" spans="1:5" x14ac:dyDescent="0.2">
      <c r="A6367" s="113">
        <v>41065</v>
      </c>
      <c r="B6367" s="111">
        <f t="shared" si="99"/>
        <v>61</v>
      </c>
      <c r="C6367" s="111"/>
      <c r="D6367" s="111"/>
      <c r="E6367" s="111"/>
    </row>
    <row r="6368" spans="1:5" x14ac:dyDescent="0.2">
      <c r="A6368" s="113">
        <v>41066</v>
      </c>
      <c r="B6368" s="111">
        <f t="shared" si="99"/>
        <v>61</v>
      </c>
      <c r="C6368" s="111"/>
      <c r="D6368" s="111"/>
      <c r="E6368" s="111"/>
    </row>
    <row r="6369" spans="1:5" x14ac:dyDescent="0.2">
      <c r="A6369" s="113">
        <v>41067</v>
      </c>
      <c r="B6369" s="111">
        <f t="shared" si="99"/>
        <v>61</v>
      </c>
      <c r="C6369" s="111"/>
      <c r="D6369" s="111"/>
      <c r="E6369" s="111"/>
    </row>
    <row r="6370" spans="1:5" x14ac:dyDescent="0.2">
      <c r="A6370" s="113">
        <v>41068</v>
      </c>
      <c r="B6370" s="111">
        <f t="shared" si="99"/>
        <v>61</v>
      </c>
      <c r="C6370" s="111"/>
      <c r="D6370" s="111"/>
      <c r="E6370" s="111"/>
    </row>
    <row r="6371" spans="1:5" x14ac:dyDescent="0.2">
      <c r="A6371" s="113">
        <v>41069</v>
      </c>
      <c r="B6371" s="111">
        <f t="shared" si="99"/>
        <v>61</v>
      </c>
      <c r="C6371" s="111"/>
      <c r="D6371" s="111"/>
      <c r="E6371" s="111"/>
    </row>
    <row r="6372" spans="1:5" x14ac:dyDescent="0.2">
      <c r="A6372" s="113">
        <v>41070</v>
      </c>
      <c r="B6372" s="111">
        <f t="shared" si="99"/>
        <v>62</v>
      </c>
      <c r="C6372" s="111"/>
      <c r="D6372" s="111"/>
      <c r="E6372" s="111"/>
    </row>
    <row r="6373" spans="1:5" x14ac:dyDescent="0.2">
      <c r="A6373" s="113">
        <v>41071</v>
      </c>
      <c r="B6373" s="111">
        <f t="shared" si="99"/>
        <v>62</v>
      </c>
      <c r="C6373" s="111"/>
      <c r="D6373" s="111"/>
      <c r="E6373" s="111"/>
    </row>
    <row r="6374" spans="1:5" x14ac:dyDescent="0.2">
      <c r="A6374" s="113">
        <v>41072</v>
      </c>
      <c r="B6374" s="111">
        <f t="shared" si="99"/>
        <v>62</v>
      </c>
      <c r="C6374" s="111"/>
      <c r="D6374" s="111"/>
      <c r="E6374" s="111"/>
    </row>
    <row r="6375" spans="1:5" x14ac:dyDescent="0.2">
      <c r="A6375" s="113">
        <v>41073</v>
      </c>
      <c r="B6375" s="111">
        <f t="shared" si="99"/>
        <v>62</v>
      </c>
      <c r="C6375" s="111"/>
      <c r="D6375" s="111"/>
      <c r="E6375" s="111"/>
    </row>
    <row r="6376" spans="1:5" x14ac:dyDescent="0.2">
      <c r="A6376" s="113">
        <v>41074</v>
      </c>
      <c r="B6376" s="111">
        <f t="shared" si="99"/>
        <v>62</v>
      </c>
      <c r="C6376" s="111"/>
      <c r="D6376" s="111"/>
      <c r="E6376" s="111"/>
    </row>
    <row r="6377" spans="1:5" x14ac:dyDescent="0.2">
      <c r="A6377" s="113">
        <v>41075</v>
      </c>
      <c r="B6377" s="111">
        <f t="shared" si="99"/>
        <v>62</v>
      </c>
      <c r="C6377" s="111"/>
      <c r="D6377" s="111"/>
      <c r="E6377" s="111"/>
    </row>
    <row r="6378" spans="1:5" x14ac:dyDescent="0.2">
      <c r="A6378" s="113">
        <v>41076</v>
      </c>
      <c r="B6378" s="111">
        <f t="shared" si="99"/>
        <v>62</v>
      </c>
      <c r="C6378" s="111"/>
      <c r="D6378" s="111"/>
      <c r="E6378" s="111"/>
    </row>
    <row r="6379" spans="1:5" x14ac:dyDescent="0.2">
      <c r="A6379" s="113">
        <v>41077</v>
      </c>
      <c r="B6379" s="111">
        <f t="shared" si="99"/>
        <v>63</v>
      </c>
      <c r="C6379" s="111"/>
      <c r="D6379" s="111"/>
      <c r="E6379" s="111"/>
    </row>
    <row r="6380" spans="1:5" x14ac:dyDescent="0.2">
      <c r="A6380" s="113">
        <v>41078</v>
      </c>
      <c r="B6380" s="111">
        <f t="shared" si="99"/>
        <v>63</v>
      </c>
      <c r="C6380" s="111"/>
      <c r="D6380" s="111"/>
      <c r="E6380" s="111"/>
    </row>
    <row r="6381" spans="1:5" x14ac:dyDescent="0.2">
      <c r="A6381" s="113">
        <v>41079</v>
      </c>
      <c r="B6381" s="111">
        <f t="shared" si="99"/>
        <v>63</v>
      </c>
      <c r="C6381" s="111"/>
      <c r="D6381" s="111"/>
      <c r="E6381" s="111"/>
    </row>
    <row r="6382" spans="1:5" x14ac:dyDescent="0.2">
      <c r="A6382" s="113">
        <v>41080</v>
      </c>
      <c r="B6382" s="111">
        <f t="shared" si="99"/>
        <v>63</v>
      </c>
      <c r="C6382" s="111"/>
      <c r="D6382" s="111"/>
      <c r="E6382" s="111"/>
    </row>
    <row r="6383" spans="1:5" x14ac:dyDescent="0.2">
      <c r="A6383" s="113">
        <v>41081</v>
      </c>
      <c r="B6383" s="111">
        <f t="shared" si="99"/>
        <v>63</v>
      </c>
      <c r="C6383" s="111"/>
      <c r="D6383" s="111"/>
      <c r="E6383" s="111"/>
    </row>
    <row r="6384" spans="1:5" x14ac:dyDescent="0.2">
      <c r="A6384" s="113">
        <v>41082</v>
      </c>
      <c r="B6384" s="111">
        <f t="shared" si="99"/>
        <v>63</v>
      </c>
      <c r="C6384" s="111"/>
      <c r="D6384" s="111"/>
      <c r="E6384" s="111"/>
    </row>
    <row r="6385" spans="1:5" x14ac:dyDescent="0.2">
      <c r="A6385" s="113">
        <v>41083</v>
      </c>
      <c r="B6385" s="111">
        <f t="shared" si="99"/>
        <v>63</v>
      </c>
      <c r="C6385" s="111"/>
      <c r="D6385" s="111"/>
      <c r="E6385" s="111"/>
    </row>
    <row r="6386" spans="1:5" x14ac:dyDescent="0.2">
      <c r="A6386" s="113">
        <v>41084</v>
      </c>
      <c r="B6386" s="111">
        <f t="shared" si="99"/>
        <v>64</v>
      </c>
      <c r="C6386" s="111"/>
      <c r="D6386" s="111"/>
      <c r="E6386" s="111"/>
    </row>
    <row r="6387" spans="1:5" x14ac:dyDescent="0.2">
      <c r="A6387" s="113">
        <v>41085</v>
      </c>
      <c r="B6387" s="111">
        <f t="shared" si="99"/>
        <v>64</v>
      </c>
      <c r="C6387" s="111"/>
      <c r="D6387" s="111"/>
      <c r="E6387" s="111"/>
    </row>
    <row r="6388" spans="1:5" x14ac:dyDescent="0.2">
      <c r="A6388" s="113">
        <v>41086</v>
      </c>
      <c r="B6388" s="111">
        <f t="shared" si="99"/>
        <v>64</v>
      </c>
      <c r="C6388" s="111"/>
      <c r="D6388" s="111"/>
      <c r="E6388" s="111"/>
    </row>
    <row r="6389" spans="1:5" x14ac:dyDescent="0.2">
      <c r="A6389" s="113">
        <v>41087</v>
      </c>
      <c r="B6389" s="111">
        <f t="shared" si="99"/>
        <v>64</v>
      </c>
      <c r="C6389" s="111"/>
      <c r="D6389" s="111"/>
      <c r="E6389" s="111"/>
    </row>
    <row r="6390" spans="1:5" x14ac:dyDescent="0.2">
      <c r="A6390" s="113">
        <v>41088</v>
      </c>
      <c r="B6390" s="111">
        <f t="shared" si="99"/>
        <v>64</v>
      </c>
      <c r="C6390" s="111"/>
      <c r="D6390" s="111"/>
      <c r="E6390" s="111"/>
    </row>
    <row r="6391" spans="1:5" x14ac:dyDescent="0.2">
      <c r="A6391" s="113">
        <v>41089</v>
      </c>
      <c r="B6391" s="111">
        <f t="shared" si="99"/>
        <v>64</v>
      </c>
      <c r="C6391" s="111"/>
      <c r="D6391" s="111"/>
      <c r="E6391" s="111"/>
    </row>
    <row r="6392" spans="1:5" x14ac:dyDescent="0.2">
      <c r="A6392" s="113">
        <v>41090</v>
      </c>
      <c r="B6392" s="111">
        <f t="shared" si="99"/>
        <v>64</v>
      </c>
      <c r="C6392" s="111"/>
      <c r="D6392" s="111"/>
      <c r="E6392" s="111"/>
    </row>
    <row r="6393" spans="1:5" x14ac:dyDescent="0.2">
      <c r="A6393" s="113">
        <v>41091</v>
      </c>
      <c r="B6393" s="111">
        <f t="shared" si="99"/>
        <v>71</v>
      </c>
      <c r="C6393" s="111"/>
      <c r="D6393" s="111"/>
      <c r="E6393" s="111"/>
    </row>
    <row r="6394" spans="1:5" x14ac:dyDescent="0.2">
      <c r="A6394" s="113">
        <v>41092</v>
      </c>
      <c r="B6394" s="111">
        <f t="shared" si="99"/>
        <v>71</v>
      </c>
      <c r="C6394" s="111"/>
      <c r="D6394" s="111"/>
      <c r="E6394" s="111"/>
    </row>
    <row r="6395" spans="1:5" x14ac:dyDescent="0.2">
      <c r="A6395" s="113">
        <v>41093</v>
      </c>
      <c r="B6395" s="111">
        <f t="shared" si="99"/>
        <v>71</v>
      </c>
      <c r="C6395" s="111"/>
      <c r="D6395" s="111"/>
      <c r="E6395" s="111"/>
    </row>
    <row r="6396" spans="1:5" x14ac:dyDescent="0.2">
      <c r="A6396" s="113">
        <v>41094</v>
      </c>
      <c r="B6396" s="111">
        <f t="shared" si="99"/>
        <v>71</v>
      </c>
      <c r="C6396" s="111"/>
      <c r="D6396" s="111"/>
      <c r="E6396" s="111"/>
    </row>
    <row r="6397" spans="1:5" x14ac:dyDescent="0.2">
      <c r="A6397" s="113">
        <v>41095</v>
      </c>
      <c r="B6397" s="111">
        <f t="shared" si="99"/>
        <v>71</v>
      </c>
      <c r="C6397" s="111"/>
      <c r="D6397" s="111"/>
      <c r="E6397" s="111"/>
    </row>
    <row r="6398" spans="1:5" x14ac:dyDescent="0.2">
      <c r="A6398" s="113">
        <v>41096</v>
      </c>
      <c r="B6398" s="111">
        <f t="shared" si="99"/>
        <v>71</v>
      </c>
      <c r="C6398" s="111"/>
      <c r="D6398" s="111"/>
      <c r="E6398" s="111"/>
    </row>
    <row r="6399" spans="1:5" x14ac:dyDescent="0.2">
      <c r="A6399" s="113">
        <v>41097</v>
      </c>
      <c r="B6399" s="111">
        <f t="shared" si="99"/>
        <v>71</v>
      </c>
      <c r="C6399" s="111"/>
      <c r="D6399" s="111"/>
      <c r="E6399" s="111"/>
    </row>
    <row r="6400" spans="1:5" x14ac:dyDescent="0.2">
      <c r="A6400" s="113">
        <v>41098</v>
      </c>
      <c r="B6400" s="111">
        <f t="shared" si="99"/>
        <v>72</v>
      </c>
      <c r="C6400" s="111"/>
      <c r="D6400" s="111"/>
      <c r="E6400" s="111"/>
    </row>
    <row r="6401" spans="1:5" x14ac:dyDescent="0.2">
      <c r="A6401" s="113">
        <v>41099</v>
      </c>
      <c r="B6401" s="111">
        <f t="shared" si="99"/>
        <v>72</v>
      </c>
      <c r="C6401" s="111"/>
      <c r="D6401" s="111"/>
      <c r="E6401" s="111"/>
    </row>
    <row r="6402" spans="1:5" x14ac:dyDescent="0.2">
      <c r="A6402" s="113">
        <v>41100</v>
      </c>
      <c r="B6402" s="111">
        <f t="shared" ref="B6402:B6465" si="100">VLOOKUP(WEEKNUM(A6402),$D$3:$E$58,2)</f>
        <v>72</v>
      </c>
      <c r="C6402" s="111"/>
      <c r="D6402" s="111"/>
      <c r="E6402" s="111"/>
    </row>
    <row r="6403" spans="1:5" x14ac:dyDescent="0.2">
      <c r="A6403" s="113">
        <v>41101</v>
      </c>
      <c r="B6403" s="111">
        <f t="shared" si="100"/>
        <v>72</v>
      </c>
      <c r="C6403" s="111"/>
      <c r="D6403" s="111"/>
      <c r="E6403" s="111"/>
    </row>
    <row r="6404" spans="1:5" x14ac:dyDescent="0.2">
      <c r="A6404" s="113">
        <v>41102</v>
      </c>
      <c r="B6404" s="111">
        <f t="shared" si="100"/>
        <v>72</v>
      </c>
      <c r="C6404" s="111"/>
      <c r="D6404" s="111"/>
      <c r="E6404" s="111"/>
    </row>
    <row r="6405" spans="1:5" x14ac:dyDescent="0.2">
      <c r="A6405" s="113">
        <v>41103</v>
      </c>
      <c r="B6405" s="111">
        <f t="shared" si="100"/>
        <v>72</v>
      </c>
      <c r="C6405" s="111"/>
      <c r="D6405" s="111"/>
      <c r="E6405" s="111"/>
    </row>
    <row r="6406" spans="1:5" x14ac:dyDescent="0.2">
      <c r="A6406" s="113">
        <v>41104</v>
      </c>
      <c r="B6406" s="111">
        <f t="shared" si="100"/>
        <v>72</v>
      </c>
      <c r="C6406" s="111"/>
      <c r="D6406" s="111"/>
      <c r="E6406" s="111"/>
    </row>
    <row r="6407" spans="1:5" x14ac:dyDescent="0.2">
      <c r="A6407" s="113">
        <v>41105</v>
      </c>
      <c r="B6407" s="111">
        <f t="shared" si="100"/>
        <v>73</v>
      </c>
      <c r="C6407" s="111"/>
      <c r="D6407" s="111"/>
      <c r="E6407" s="111"/>
    </row>
    <row r="6408" spans="1:5" x14ac:dyDescent="0.2">
      <c r="A6408" s="113">
        <v>41106</v>
      </c>
      <c r="B6408" s="111">
        <f t="shared" si="100"/>
        <v>73</v>
      </c>
      <c r="C6408" s="111"/>
      <c r="D6408" s="111"/>
      <c r="E6408" s="111"/>
    </row>
    <row r="6409" spans="1:5" x14ac:dyDescent="0.2">
      <c r="A6409" s="113">
        <v>41107</v>
      </c>
      <c r="B6409" s="111">
        <f t="shared" si="100"/>
        <v>73</v>
      </c>
      <c r="C6409" s="111"/>
      <c r="D6409" s="111"/>
      <c r="E6409" s="111"/>
    </row>
    <row r="6410" spans="1:5" x14ac:dyDescent="0.2">
      <c r="A6410" s="113">
        <v>41108</v>
      </c>
      <c r="B6410" s="111">
        <f t="shared" si="100"/>
        <v>73</v>
      </c>
      <c r="C6410" s="111"/>
      <c r="D6410" s="111"/>
      <c r="E6410" s="111"/>
    </row>
    <row r="6411" spans="1:5" x14ac:dyDescent="0.2">
      <c r="A6411" s="113">
        <v>41109</v>
      </c>
      <c r="B6411" s="111">
        <f t="shared" si="100"/>
        <v>73</v>
      </c>
      <c r="C6411" s="111"/>
      <c r="D6411" s="111"/>
      <c r="E6411" s="111"/>
    </row>
    <row r="6412" spans="1:5" x14ac:dyDescent="0.2">
      <c r="A6412" s="113">
        <v>41110</v>
      </c>
      <c r="B6412" s="111">
        <f t="shared" si="100"/>
        <v>73</v>
      </c>
      <c r="C6412" s="111"/>
      <c r="D6412" s="111"/>
      <c r="E6412" s="111"/>
    </row>
    <row r="6413" spans="1:5" x14ac:dyDescent="0.2">
      <c r="A6413" s="113">
        <v>41111</v>
      </c>
      <c r="B6413" s="111">
        <f t="shared" si="100"/>
        <v>73</v>
      </c>
      <c r="C6413" s="111"/>
      <c r="D6413" s="111"/>
      <c r="E6413" s="111"/>
    </row>
    <row r="6414" spans="1:5" x14ac:dyDescent="0.2">
      <c r="A6414" s="113">
        <v>41112</v>
      </c>
      <c r="B6414" s="111">
        <f t="shared" si="100"/>
        <v>74</v>
      </c>
      <c r="C6414" s="111"/>
      <c r="D6414" s="111"/>
      <c r="E6414" s="111"/>
    </row>
    <row r="6415" spans="1:5" x14ac:dyDescent="0.2">
      <c r="A6415" s="113">
        <v>41113</v>
      </c>
      <c r="B6415" s="111">
        <f t="shared" si="100"/>
        <v>74</v>
      </c>
      <c r="C6415" s="111"/>
      <c r="D6415" s="111"/>
      <c r="E6415" s="111"/>
    </row>
    <row r="6416" spans="1:5" x14ac:dyDescent="0.2">
      <c r="A6416" s="113">
        <v>41114</v>
      </c>
      <c r="B6416" s="111">
        <f t="shared" si="100"/>
        <v>74</v>
      </c>
      <c r="C6416" s="111"/>
      <c r="D6416" s="111"/>
      <c r="E6416" s="111"/>
    </row>
    <row r="6417" spans="1:5" x14ac:dyDescent="0.2">
      <c r="A6417" s="113">
        <v>41115</v>
      </c>
      <c r="B6417" s="111">
        <f t="shared" si="100"/>
        <v>74</v>
      </c>
      <c r="C6417" s="111"/>
      <c r="D6417" s="111"/>
      <c r="E6417" s="111"/>
    </row>
    <row r="6418" spans="1:5" x14ac:dyDescent="0.2">
      <c r="A6418" s="113">
        <v>41116</v>
      </c>
      <c r="B6418" s="111">
        <f t="shared" si="100"/>
        <v>74</v>
      </c>
      <c r="C6418" s="111"/>
      <c r="D6418" s="111"/>
      <c r="E6418" s="111"/>
    </row>
    <row r="6419" spans="1:5" x14ac:dyDescent="0.2">
      <c r="A6419" s="113">
        <v>41117</v>
      </c>
      <c r="B6419" s="111">
        <f t="shared" si="100"/>
        <v>74</v>
      </c>
      <c r="C6419" s="111"/>
      <c r="D6419" s="111"/>
      <c r="E6419" s="111"/>
    </row>
    <row r="6420" spans="1:5" x14ac:dyDescent="0.2">
      <c r="A6420" s="113">
        <v>41118</v>
      </c>
      <c r="B6420" s="111">
        <f t="shared" si="100"/>
        <v>74</v>
      </c>
      <c r="C6420" s="111"/>
      <c r="D6420" s="111"/>
      <c r="E6420" s="111"/>
    </row>
    <row r="6421" spans="1:5" x14ac:dyDescent="0.2">
      <c r="A6421" s="113">
        <v>41119</v>
      </c>
      <c r="B6421" s="111">
        <f t="shared" si="100"/>
        <v>75</v>
      </c>
      <c r="C6421" s="111"/>
      <c r="D6421" s="111"/>
      <c r="E6421" s="111"/>
    </row>
    <row r="6422" spans="1:5" x14ac:dyDescent="0.2">
      <c r="A6422" s="113">
        <v>41120</v>
      </c>
      <c r="B6422" s="111">
        <f t="shared" si="100"/>
        <v>75</v>
      </c>
      <c r="C6422" s="111"/>
      <c r="D6422" s="111"/>
      <c r="E6422" s="111"/>
    </row>
    <row r="6423" spans="1:5" x14ac:dyDescent="0.2">
      <c r="A6423" s="113">
        <v>41121</v>
      </c>
      <c r="B6423" s="111">
        <f t="shared" si="100"/>
        <v>75</v>
      </c>
      <c r="C6423" s="111"/>
      <c r="D6423" s="111"/>
      <c r="E6423" s="111"/>
    </row>
    <row r="6424" spans="1:5" x14ac:dyDescent="0.2">
      <c r="A6424" s="113">
        <v>41122</v>
      </c>
      <c r="B6424" s="111">
        <f t="shared" si="100"/>
        <v>75</v>
      </c>
      <c r="C6424" s="111"/>
      <c r="D6424" s="111"/>
      <c r="E6424" s="111"/>
    </row>
    <row r="6425" spans="1:5" x14ac:dyDescent="0.2">
      <c r="A6425" s="113">
        <v>41123</v>
      </c>
      <c r="B6425" s="111">
        <f t="shared" si="100"/>
        <v>75</v>
      </c>
      <c r="C6425" s="111"/>
      <c r="D6425" s="111"/>
      <c r="E6425" s="111"/>
    </row>
    <row r="6426" spans="1:5" x14ac:dyDescent="0.2">
      <c r="A6426" s="113">
        <v>41124</v>
      </c>
      <c r="B6426" s="111">
        <f t="shared" si="100"/>
        <v>75</v>
      </c>
      <c r="C6426" s="111"/>
      <c r="D6426" s="111"/>
      <c r="E6426" s="111"/>
    </row>
    <row r="6427" spans="1:5" x14ac:dyDescent="0.2">
      <c r="A6427" s="113">
        <v>41125</v>
      </c>
      <c r="B6427" s="111">
        <f t="shared" si="100"/>
        <v>75</v>
      </c>
      <c r="C6427" s="111"/>
      <c r="D6427" s="111"/>
      <c r="E6427" s="111"/>
    </row>
    <row r="6428" spans="1:5" x14ac:dyDescent="0.2">
      <c r="A6428" s="113">
        <v>41126</v>
      </c>
      <c r="B6428" s="111">
        <f t="shared" si="100"/>
        <v>81</v>
      </c>
      <c r="C6428" s="111"/>
      <c r="D6428" s="111"/>
      <c r="E6428" s="111"/>
    </row>
    <row r="6429" spans="1:5" x14ac:dyDescent="0.2">
      <c r="A6429" s="113">
        <v>41127</v>
      </c>
      <c r="B6429" s="111">
        <f t="shared" si="100"/>
        <v>81</v>
      </c>
      <c r="C6429" s="111"/>
      <c r="D6429" s="111"/>
      <c r="E6429" s="111"/>
    </row>
    <row r="6430" spans="1:5" x14ac:dyDescent="0.2">
      <c r="A6430" s="113">
        <v>41128</v>
      </c>
      <c r="B6430" s="111">
        <f t="shared" si="100"/>
        <v>81</v>
      </c>
      <c r="C6430" s="111"/>
      <c r="D6430" s="111"/>
      <c r="E6430" s="111"/>
    </row>
    <row r="6431" spans="1:5" x14ac:dyDescent="0.2">
      <c r="A6431" s="113">
        <v>41129</v>
      </c>
      <c r="B6431" s="111">
        <f t="shared" si="100"/>
        <v>81</v>
      </c>
      <c r="C6431" s="111"/>
      <c r="D6431" s="111"/>
      <c r="E6431" s="111"/>
    </row>
    <row r="6432" spans="1:5" x14ac:dyDescent="0.2">
      <c r="A6432" s="113">
        <v>41130</v>
      </c>
      <c r="B6432" s="111">
        <f t="shared" si="100"/>
        <v>81</v>
      </c>
      <c r="C6432" s="111"/>
      <c r="D6432" s="111"/>
      <c r="E6432" s="111"/>
    </row>
    <row r="6433" spans="1:5" x14ac:dyDescent="0.2">
      <c r="A6433" s="113">
        <v>41131</v>
      </c>
      <c r="B6433" s="111">
        <f t="shared" si="100"/>
        <v>81</v>
      </c>
      <c r="C6433" s="111"/>
      <c r="D6433" s="111"/>
      <c r="E6433" s="111"/>
    </row>
    <row r="6434" spans="1:5" x14ac:dyDescent="0.2">
      <c r="A6434" s="113">
        <v>41132</v>
      </c>
      <c r="B6434" s="111">
        <f t="shared" si="100"/>
        <v>81</v>
      </c>
      <c r="C6434" s="111"/>
      <c r="D6434" s="111"/>
      <c r="E6434" s="111"/>
    </row>
    <row r="6435" spans="1:5" x14ac:dyDescent="0.2">
      <c r="A6435" s="113">
        <v>41133</v>
      </c>
      <c r="B6435" s="111">
        <f t="shared" si="100"/>
        <v>82</v>
      </c>
      <c r="C6435" s="111"/>
      <c r="D6435" s="111"/>
      <c r="E6435" s="111"/>
    </row>
    <row r="6436" spans="1:5" x14ac:dyDescent="0.2">
      <c r="A6436" s="113">
        <v>41134</v>
      </c>
      <c r="B6436" s="111">
        <f t="shared" si="100"/>
        <v>82</v>
      </c>
      <c r="C6436" s="111"/>
      <c r="D6436" s="111"/>
      <c r="E6436" s="111"/>
    </row>
    <row r="6437" spans="1:5" x14ac:dyDescent="0.2">
      <c r="A6437" s="113">
        <v>41135</v>
      </c>
      <c r="B6437" s="111">
        <f t="shared" si="100"/>
        <v>82</v>
      </c>
      <c r="C6437" s="111"/>
      <c r="D6437" s="111"/>
      <c r="E6437" s="111"/>
    </row>
    <row r="6438" spans="1:5" x14ac:dyDescent="0.2">
      <c r="A6438" s="113">
        <v>41136</v>
      </c>
      <c r="B6438" s="111">
        <f t="shared" si="100"/>
        <v>82</v>
      </c>
      <c r="C6438" s="111"/>
      <c r="D6438" s="111"/>
      <c r="E6438" s="111"/>
    </row>
    <row r="6439" spans="1:5" x14ac:dyDescent="0.2">
      <c r="A6439" s="113">
        <v>41137</v>
      </c>
      <c r="B6439" s="111">
        <f t="shared" si="100"/>
        <v>82</v>
      </c>
      <c r="C6439" s="111"/>
      <c r="D6439" s="111"/>
      <c r="E6439" s="111"/>
    </row>
    <row r="6440" spans="1:5" x14ac:dyDescent="0.2">
      <c r="A6440" s="113">
        <v>41138</v>
      </c>
      <c r="B6440" s="111">
        <f t="shared" si="100"/>
        <v>82</v>
      </c>
      <c r="C6440" s="111"/>
      <c r="D6440" s="111"/>
      <c r="E6440" s="111"/>
    </row>
    <row r="6441" spans="1:5" x14ac:dyDescent="0.2">
      <c r="A6441" s="113">
        <v>41139</v>
      </c>
      <c r="B6441" s="111">
        <f t="shared" si="100"/>
        <v>82</v>
      </c>
      <c r="C6441" s="111"/>
      <c r="D6441" s="111"/>
      <c r="E6441" s="111"/>
    </row>
    <row r="6442" spans="1:5" x14ac:dyDescent="0.2">
      <c r="A6442" s="113">
        <v>41140</v>
      </c>
      <c r="B6442" s="111">
        <f t="shared" si="100"/>
        <v>83</v>
      </c>
      <c r="C6442" s="111"/>
      <c r="D6442" s="111"/>
      <c r="E6442" s="111"/>
    </row>
    <row r="6443" spans="1:5" x14ac:dyDescent="0.2">
      <c r="A6443" s="113">
        <v>41141</v>
      </c>
      <c r="B6443" s="111">
        <f t="shared" si="100"/>
        <v>83</v>
      </c>
      <c r="C6443" s="111"/>
      <c r="D6443" s="111"/>
      <c r="E6443" s="111"/>
    </row>
    <row r="6444" spans="1:5" x14ac:dyDescent="0.2">
      <c r="A6444" s="113">
        <v>41142</v>
      </c>
      <c r="B6444" s="111">
        <f t="shared" si="100"/>
        <v>83</v>
      </c>
      <c r="C6444" s="111"/>
      <c r="D6444" s="111"/>
      <c r="E6444" s="111"/>
    </row>
    <row r="6445" spans="1:5" x14ac:dyDescent="0.2">
      <c r="A6445" s="113">
        <v>41143</v>
      </c>
      <c r="B6445" s="111">
        <f t="shared" si="100"/>
        <v>83</v>
      </c>
      <c r="C6445" s="111"/>
      <c r="D6445" s="111"/>
      <c r="E6445" s="111"/>
    </row>
    <row r="6446" spans="1:5" x14ac:dyDescent="0.2">
      <c r="A6446" s="113">
        <v>41144</v>
      </c>
      <c r="B6446" s="111">
        <f t="shared" si="100"/>
        <v>83</v>
      </c>
      <c r="C6446" s="111"/>
      <c r="D6446" s="111"/>
      <c r="E6446" s="111"/>
    </row>
    <row r="6447" spans="1:5" x14ac:dyDescent="0.2">
      <c r="A6447" s="113">
        <v>41145</v>
      </c>
      <c r="B6447" s="111">
        <f t="shared" si="100"/>
        <v>83</v>
      </c>
      <c r="C6447" s="111"/>
      <c r="D6447" s="111"/>
      <c r="E6447" s="111"/>
    </row>
    <row r="6448" spans="1:5" x14ac:dyDescent="0.2">
      <c r="A6448" s="113">
        <v>41146</v>
      </c>
      <c r="B6448" s="111">
        <f t="shared" si="100"/>
        <v>83</v>
      </c>
      <c r="C6448" s="111"/>
      <c r="D6448" s="111"/>
      <c r="E6448" s="111"/>
    </row>
    <row r="6449" spans="1:5" x14ac:dyDescent="0.2">
      <c r="A6449" s="113">
        <v>41147</v>
      </c>
      <c r="B6449" s="111">
        <f t="shared" si="100"/>
        <v>84</v>
      </c>
      <c r="C6449" s="111"/>
      <c r="D6449" s="111"/>
      <c r="E6449" s="111"/>
    </row>
    <row r="6450" spans="1:5" x14ac:dyDescent="0.2">
      <c r="A6450" s="113">
        <v>41148</v>
      </c>
      <c r="B6450" s="111">
        <f t="shared" si="100"/>
        <v>84</v>
      </c>
      <c r="C6450" s="111"/>
      <c r="D6450" s="111"/>
      <c r="E6450" s="111"/>
    </row>
    <row r="6451" spans="1:5" x14ac:dyDescent="0.2">
      <c r="A6451" s="113">
        <v>41149</v>
      </c>
      <c r="B6451" s="111">
        <f t="shared" si="100"/>
        <v>84</v>
      </c>
      <c r="C6451" s="111"/>
      <c r="D6451" s="111"/>
      <c r="E6451" s="111"/>
    </row>
    <row r="6452" spans="1:5" x14ac:dyDescent="0.2">
      <c r="A6452" s="113">
        <v>41150</v>
      </c>
      <c r="B6452" s="111">
        <f t="shared" si="100"/>
        <v>84</v>
      </c>
      <c r="C6452" s="111"/>
      <c r="D6452" s="111"/>
      <c r="E6452" s="111"/>
    </row>
    <row r="6453" spans="1:5" x14ac:dyDescent="0.2">
      <c r="A6453" s="113">
        <v>41151</v>
      </c>
      <c r="B6453" s="111">
        <f t="shared" si="100"/>
        <v>84</v>
      </c>
      <c r="C6453" s="111"/>
      <c r="D6453" s="111"/>
      <c r="E6453" s="111"/>
    </row>
    <row r="6454" spans="1:5" x14ac:dyDescent="0.2">
      <c r="A6454" s="113">
        <v>41152</v>
      </c>
      <c r="B6454" s="111">
        <f t="shared" si="100"/>
        <v>84</v>
      </c>
      <c r="C6454" s="111"/>
      <c r="D6454" s="111"/>
      <c r="E6454" s="111"/>
    </row>
    <row r="6455" spans="1:5" x14ac:dyDescent="0.2">
      <c r="A6455" s="113">
        <v>41153</v>
      </c>
      <c r="B6455" s="111">
        <f t="shared" si="100"/>
        <v>84</v>
      </c>
      <c r="C6455" s="111"/>
      <c r="D6455" s="111"/>
      <c r="E6455" s="111"/>
    </row>
    <row r="6456" spans="1:5" x14ac:dyDescent="0.2">
      <c r="A6456" s="113">
        <v>41154</v>
      </c>
      <c r="B6456" s="111">
        <f t="shared" si="100"/>
        <v>91</v>
      </c>
      <c r="C6456" s="111"/>
      <c r="D6456" s="111"/>
      <c r="E6456" s="111"/>
    </row>
    <row r="6457" spans="1:5" x14ac:dyDescent="0.2">
      <c r="A6457" s="113">
        <v>41155</v>
      </c>
      <c r="B6457" s="111">
        <f t="shared" si="100"/>
        <v>91</v>
      </c>
      <c r="C6457" s="111"/>
      <c r="D6457" s="111"/>
      <c r="E6457" s="111"/>
    </row>
    <row r="6458" spans="1:5" x14ac:dyDescent="0.2">
      <c r="A6458" s="113">
        <v>41156</v>
      </c>
      <c r="B6458" s="111">
        <f t="shared" si="100"/>
        <v>91</v>
      </c>
      <c r="C6458" s="111"/>
      <c r="D6458" s="111"/>
      <c r="E6458" s="111"/>
    </row>
    <row r="6459" spans="1:5" x14ac:dyDescent="0.2">
      <c r="A6459" s="113">
        <v>41157</v>
      </c>
      <c r="B6459" s="111">
        <f t="shared" si="100"/>
        <v>91</v>
      </c>
      <c r="C6459" s="111"/>
      <c r="D6459" s="111"/>
      <c r="E6459" s="111"/>
    </row>
    <row r="6460" spans="1:5" x14ac:dyDescent="0.2">
      <c r="A6460" s="113">
        <v>41158</v>
      </c>
      <c r="B6460" s="111">
        <f t="shared" si="100"/>
        <v>91</v>
      </c>
      <c r="C6460" s="111"/>
      <c r="D6460" s="111"/>
      <c r="E6460" s="111"/>
    </row>
    <row r="6461" spans="1:5" x14ac:dyDescent="0.2">
      <c r="A6461" s="113">
        <v>41159</v>
      </c>
      <c r="B6461" s="111">
        <f t="shared" si="100"/>
        <v>91</v>
      </c>
      <c r="C6461" s="111"/>
      <c r="D6461" s="111"/>
      <c r="E6461" s="111"/>
    </row>
    <row r="6462" spans="1:5" x14ac:dyDescent="0.2">
      <c r="A6462" s="113">
        <v>41160</v>
      </c>
      <c r="B6462" s="111">
        <f t="shared" si="100"/>
        <v>91</v>
      </c>
      <c r="C6462" s="111"/>
      <c r="D6462" s="111"/>
      <c r="E6462" s="111"/>
    </row>
    <row r="6463" spans="1:5" x14ac:dyDescent="0.2">
      <c r="A6463" s="113">
        <v>41161</v>
      </c>
      <c r="B6463" s="111">
        <f t="shared" si="100"/>
        <v>92</v>
      </c>
      <c r="C6463" s="111"/>
      <c r="D6463" s="111"/>
      <c r="E6463" s="111"/>
    </row>
    <row r="6464" spans="1:5" x14ac:dyDescent="0.2">
      <c r="A6464" s="113">
        <v>41162</v>
      </c>
      <c r="B6464" s="111">
        <f t="shared" si="100"/>
        <v>92</v>
      </c>
      <c r="C6464" s="111"/>
      <c r="D6464" s="111"/>
      <c r="E6464" s="111"/>
    </row>
    <row r="6465" spans="1:5" x14ac:dyDescent="0.2">
      <c r="A6465" s="113">
        <v>41163</v>
      </c>
      <c r="B6465" s="111">
        <f t="shared" si="100"/>
        <v>92</v>
      </c>
      <c r="C6465" s="111"/>
      <c r="D6465" s="111"/>
      <c r="E6465" s="111"/>
    </row>
    <row r="6466" spans="1:5" x14ac:dyDescent="0.2">
      <c r="A6466" s="113">
        <v>41164</v>
      </c>
      <c r="B6466" s="111">
        <f t="shared" ref="B6466:B6529" si="101">VLOOKUP(WEEKNUM(A6466),$D$3:$E$58,2)</f>
        <v>92</v>
      </c>
      <c r="C6466" s="111"/>
      <c r="D6466" s="111"/>
      <c r="E6466" s="111"/>
    </row>
    <row r="6467" spans="1:5" x14ac:dyDescent="0.2">
      <c r="A6467" s="113">
        <v>41165</v>
      </c>
      <c r="B6467" s="111">
        <f t="shared" si="101"/>
        <v>92</v>
      </c>
      <c r="C6467" s="111"/>
      <c r="D6467" s="111"/>
      <c r="E6467" s="111"/>
    </row>
    <row r="6468" spans="1:5" x14ac:dyDescent="0.2">
      <c r="A6468" s="113">
        <v>41166</v>
      </c>
      <c r="B6468" s="111">
        <f t="shared" si="101"/>
        <v>92</v>
      </c>
      <c r="C6468" s="111"/>
      <c r="D6468" s="111"/>
      <c r="E6468" s="111"/>
    </row>
    <row r="6469" spans="1:5" x14ac:dyDescent="0.2">
      <c r="A6469" s="113">
        <v>41167</v>
      </c>
      <c r="B6469" s="111">
        <f t="shared" si="101"/>
        <v>92</v>
      </c>
      <c r="C6469" s="111"/>
      <c r="D6469" s="111"/>
      <c r="E6469" s="111"/>
    </row>
    <row r="6470" spans="1:5" x14ac:dyDescent="0.2">
      <c r="A6470" s="113">
        <v>41168</v>
      </c>
      <c r="B6470" s="111">
        <f t="shared" si="101"/>
        <v>93</v>
      </c>
      <c r="C6470" s="111"/>
      <c r="D6470" s="111"/>
      <c r="E6470" s="111"/>
    </row>
    <row r="6471" spans="1:5" x14ac:dyDescent="0.2">
      <c r="A6471" s="113">
        <v>41169</v>
      </c>
      <c r="B6471" s="111">
        <f t="shared" si="101"/>
        <v>93</v>
      </c>
      <c r="C6471" s="111"/>
      <c r="D6471" s="111"/>
      <c r="E6471" s="111"/>
    </row>
    <row r="6472" spans="1:5" x14ac:dyDescent="0.2">
      <c r="A6472" s="113">
        <v>41170</v>
      </c>
      <c r="B6472" s="111">
        <f t="shared" si="101"/>
        <v>93</v>
      </c>
      <c r="C6472" s="111"/>
      <c r="D6472" s="111"/>
      <c r="E6472" s="111"/>
    </row>
    <row r="6473" spans="1:5" x14ac:dyDescent="0.2">
      <c r="A6473" s="113">
        <v>41171</v>
      </c>
      <c r="B6473" s="111">
        <f t="shared" si="101"/>
        <v>93</v>
      </c>
      <c r="C6473" s="111"/>
      <c r="D6473" s="111"/>
      <c r="E6473" s="111"/>
    </row>
    <row r="6474" spans="1:5" x14ac:dyDescent="0.2">
      <c r="A6474" s="113">
        <v>41172</v>
      </c>
      <c r="B6474" s="111">
        <f t="shared" si="101"/>
        <v>93</v>
      </c>
      <c r="C6474" s="111"/>
      <c r="D6474" s="111"/>
      <c r="E6474" s="111"/>
    </row>
    <row r="6475" spans="1:5" x14ac:dyDescent="0.2">
      <c r="A6475" s="113">
        <v>41173</v>
      </c>
      <c r="B6475" s="111">
        <f t="shared" si="101"/>
        <v>93</v>
      </c>
      <c r="C6475" s="111"/>
      <c r="D6475" s="111"/>
      <c r="E6475" s="111"/>
    </row>
    <row r="6476" spans="1:5" x14ac:dyDescent="0.2">
      <c r="A6476" s="113">
        <v>41174</v>
      </c>
      <c r="B6476" s="111">
        <f t="shared" si="101"/>
        <v>93</v>
      </c>
      <c r="C6476" s="111"/>
      <c r="D6476" s="111"/>
      <c r="E6476" s="111"/>
    </row>
    <row r="6477" spans="1:5" x14ac:dyDescent="0.2">
      <c r="A6477" s="113">
        <v>41175</v>
      </c>
      <c r="B6477" s="111">
        <f t="shared" si="101"/>
        <v>94</v>
      </c>
      <c r="C6477" s="111"/>
      <c r="D6477" s="111"/>
      <c r="E6477" s="111"/>
    </row>
    <row r="6478" spans="1:5" x14ac:dyDescent="0.2">
      <c r="A6478" s="113">
        <v>41176</v>
      </c>
      <c r="B6478" s="111">
        <f t="shared" si="101"/>
        <v>94</v>
      </c>
      <c r="C6478" s="111"/>
      <c r="D6478" s="111"/>
      <c r="E6478" s="111"/>
    </row>
    <row r="6479" spans="1:5" x14ac:dyDescent="0.2">
      <c r="A6479" s="113">
        <v>41177</v>
      </c>
      <c r="B6479" s="111">
        <f t="shared" si="101"/>
        <v>94</v>
      </c>
      <c r="C6479" s="111"/>
      <c r="D6479" s="111"/>
      <c r="E6479" s="111"/>
    </row>
    <row r="6480" spans="1:5" x14ac:dyDescent="0.2">
      <c r="A6480" s="113">
        <v>41178</v>
      </c>
      <c r="B6480" s="111">
        <f t="shared" si="101"/>
        <v>94</v>
      </c>
      <c r="C6480" s="111"/>
      <c r="D6480" s="111"/>
      <c r="E6480" s="111"/>
    </row>
    <row r="6481" spans="1:5" x14ac:dyDescent="0.2">
      <c r="A6481" s="113">
        <v>41179</v>
      </c>
      <c r="B6481" s="111">
        <f t="shared" si="101"/>
        <v>94</v>
      </c>
      <c r="C6481" s="111"/>
      <c r="D6481" s="111"/>
      <c r="E6481" s="111"/>
    </row>
    <row r="6482" spans="1:5" x14ac:dyDescent="0.2">
      <c r="A6482" s="113">
        <v>41180</v>
      </c>
      <c r="B6482" s="111">
        <f t="shared" si="101"/>
        <v>94</v>
      </c>
      <c r="C6482" s="111"/>
      <c r="D6482" s="111"/>
      <c r="E6482" s="111"/>
    </row>
    <row r="6483" spans="1:5" x14ac:dyDescent="0.2">
      <c r="A6483" s="113">
        <v>41181</v>
      </c>
      <c r="B6483" s="111">
        <f t="shared" si="101"/>
        <v>94</v>
      </c>
      <c r="C6483" s="111"/>
      <c r="D6483" s="111"/>
      <c r="E6483" s="111"/>
    </row>
    <row r="6484" spans="1:5" x14ac:dyDescent="0.2">
      <c r="A6484" s="113">
        <v>41182</v>
      </c>
      <c r="B6484" s="111">
        <f t="shared" si="101"/>
        <v>101</v>
      </c>
      <c r="C6484" s="111"/>
      <c r="D6484" s="111"/>
      <c r="E6484" s="111"/>
    </row>
    <row r="6485" spans="1:5" x14ac:dyDescent="0.2">
      <c r="A6485" s="113">
        <v>41183</v>
      </c>
      <c r="B6485" s="111">
        <f t="shared" si="101"/>
        <v>101</v>
      </c>
      <c r="C6485" s="111"/>
      <c r="D6485" s="111"/>
      <c r="E6485" s="111"/>
    </row>
    <row r="6486" spans="1:5" x14ac:dyDescent="0.2">
      <c r="A6486" s="113">
        <v>41184</v>
      </c>
      <c r="B6486" s="111">
        <f t="shared" si="101"/>
        <v>101</v>
      </c>
      <c r="C6486" s="111"/>
      <c r="D6486" s="111"/>
      <c r="E6486" s="111"/>
    </row>
    <row r="6487" spans="1:5" x14ac:dyDescent="0.2">
      <c r="A6487" s="113">
        <v>41185</v>
      </c>
      <c r="B6487" s="111">
        <f t="shared" si="101"/>
        <v>101</v>
      </c>
      <c r="C6487" s="111"/>
      <c r="D6487" s="111"/>
      <c r="E6487" s="111"/>
    </row>
    <row r="6488" spans="1:5" x14ac:dyDescent="0.2">
      <c r="A6488" s="113">
        <v>41186</v>
      </c>
      <c r="B6488" s="111">
        <f t="shared" si="101"/>
        <v>101</v>
      </c>
      <c r="C6488" s="111"/>
      <c r="D6488" s="111"/>
      <c r="E6488" s="111"/>
    </row>
    <row r="6489" spans="1:5" x14ac:dyDescent="0.2">
      <c r="A6489" s="113">
        <v>41187</v>
      </c>
      <c r="B6489" s="111">
        <f t="shared" si="101"/>
        <v>101</v>
      </c>
      <c r="C6489" s="111"/>
      <c r="D6489" s="111"/>
      <c r="E6489" s="111"/>
    </row>
    <row r="6490" spans="1:5" x14ac:dyDescent="0.2">
      <c r="A6490" s="113">
        <v>41188</v>
      </c>
      <c r="B6490" s="111">
        <f t="shared" si="101"/>
        <v>101</v>
      </c>
      <c r="C6490" s="111"/>
      <c r="D6490" s="111"/>
      <c r="E6490" s="111"/>
    </row>
    <row r="6491" spans="1:5" x14ac:dyDescent="0.2">
      <c r="A6491" s="113">
        <v>41189</v>
      </c>
      <c r="B6491" s="111">
        <f t="shared" si="101"/>
        <v>102</v>
      </c>
      <c r="C6491" s="111"/>
      <c r="D6491" s="111"/>
      <c r="E6491" s="111"/>
    </row>
    <row r="6492" spans="1:5" x14ac:dyDescent="0.2">
      <c r="A6492" s="113">
        <v>41190</v>
      </c>
      <c r="B6492" s="111">
        <f t="shared" si="101"/>
        <v>102</v>
      </c>
      <c r="C6492" s="111"/>
      <c r="D6492" s="111"/>
      <c r="E6492" s="111"/>
    </row>
    <row r="6493" spans="1:5" x14ac:dyDescent="0.2">
      <c r="A6493" s="113">
        <v>41191</v>
      </c>
      <c r="B6493" s="111">
        <f t="shared" si="101"/>
        <v>102</v>
      </c>
      <c r="C6493" s="111"/>
      <c r="D6493" s="111"/>
      <c r="E6493" s="111"/>
    </row>
    <row r="6494" spans="1:5" x14ac:dyDescent="0.2">
      <c r="A6494" s="113">
        <v>41192</v>
      </c>
      <c r="B6494" s="111">
        <f t="shared" si="101"/>
        <v>102</v>
      </c>
      <c r="C6494" s="111"/>
      <c r="D6494" s="111"/>
      <c r="E6494" s="111"/>
    </row>
    <row r="6495" spans="1:5" x14ac:dyDescent="0.2">
      <c r="A6495" s="113">
        <v>41193</v>
      </c>
      <c r="B6495" s="111">
        <f t="shared" si="101"/>
        <v>102</v>
      </c>
      <c r="C6495" s="111"/>
      <c r="D6495" s="111"/>
      <c r="E6495" s="111"/>
    </row>
    <row r="6496" spans="1:5" x14ac:dyDescent="0.2">
      <c r="A6496" s="113">
        <v>41194</v>
      </c>
      <c r="B6496" s="111">
        <f t="shared" si="101"/>
        <v>102</v>
      </c>
      <c r="C6496" s="111"/>
      <c r="D6496" s="111"/>
      <c r="E6496" s="111"/>
    </row>
    <row r="6497" spans="1:5" x14ac:dyDescent="0.2">
      <c r="A6497" s="113">
        <v>41195</v>
      </c>
      <c r="B6497" s="111">
        <f t="shared" si="101"/>
        <v>102</v>
      </c>
      <c r="C6497" s="111"/>
      <c r="D6497" s="111"/>
      <c r="E6497" s="111"/>
    </row>
    <row r="6498" spans="1:5" x14ac:dyDescent="0.2">
      <c r="A6498" s="113">
        <v>41196</v>
      </c>
      <c r="B6498" s="111">
        <f t="shared" si="101"/>
        <v>103</v>
      </c>
      <c r="C6498" s="111"/>
      <c r="D6498" s="111"/>
      <c r="E6498" s="111"/>
    </row>
    <row r="6499" spans="1:5" x14ac:dyDescent="0.2">
      <c r="A6499" s="113">
        <v>41197</v>
      </c>
      <c r="B6499" s="111">
        <f t="shared" si="101"/>
        <v>103</v>
      </c>
      <c r="C6499" s="111"/>
      <c r="D6499" s="111"/>
      <c r="E6499" s="111"/>
    </row>
    <row r="6500" spans="1:5" x14ac:dyDescent="0.2">
      <c r="A6500" s="113">
        <v>41198</v>
      </c>
      <c r="B6500" s="111">
        <f t="shared" si="101"/>
        <v>103</v>
      </c>
      <c r="C6500" s="111"/>
      <c r="D6500" s="111"/>
      <c r="E6500" s="111"/>
    </row>
    <row r="6501" spans="1:5" x14ac:dyDescent="0.2">
      <c r="A6501" s="113">
        <v>41199</v>
      </c>
      <c r="B6501" s="111">
        <f t="shared" si="101"/>
        <v>103</v>
      </c>
      <c r="C6501" s="111"/>
      <c r="D6501" s="111"/>
      <c r="E6501" s="111"/>
    </row>
    <row r="6502" spans="1:5" x14ac:dyDescent="0.2">
      <c r="A6502" s="113">
        <v>41200</v>
      </c>
      <c r="B6502" s="111">
        <f t="shared" si="101"/>
        <v>103</v>
      </c>
      <c r="C6502" s="111"/>
      <c r="D6502" s="111"/>
      <c r="E6502" s="111"/>
    </row>
    <row r="6503" spans="1:5" x14ac:dyDescent="0.2">
      <c r="A6503" s="113">
        <v>41201</v>
      </c>
      <c r="B6503" s="111">
        <f t="shared" si="101"/>
        <v>103</v>
      </c>
      <c r="C6503" s="111"/>
      <c r="D6503" s="111"/>
      <c r="E6503" s="111"/>
    </row>
    <row r="6504" spans="1:5" x14ac:dyDescent="0.2">
      <c r="A6504" s="113">
        <v>41202</v>
      </c>
      <c r="B6504" s="111">
        <f t="shared" si="101"/>
        <v>103</v>
      </c>
      <c r="C6504" s="111"/>
      <c r="D6504" s="111"/>
      <c r="E6504" s="111"/>
    </row>
    <row r="6505" spans="1:5" x14ac:dyDescent="0.2">
      <c r="A6505" s="113">
        <v>41203</v>
      </c>
      <c r="B6505" s="111">
        <f t="shared" si="101"/>
        <v>104</v>
      </c>
      <c r="C6505" s="111"/>
      <c r="D6505" s="111"/>
      <c r="E6505" s="111"/>
    </row>
    <row r="6506" spans="1:5" x14ac:dyDescent="0.2">
      <c r="A6506" s="113">
        <v>41204</v>
      </c>
      <c r="B6506" s="111">
        <f t="shared" si="101"/>
        <v>104</v>
      </c>
      <c r="C6506" s="111"/>
      <c r="D6506" s="111"/>
      <c r="E6506" s="111"/>
    </row>
    <row r="6507" spans="1:5" x14ac:dyDescent="0.2">
      <c r="A6507" s="113">
        <v>41205</v>
      </c>
      <c r="B6507" s="111">
        <f t="shared" si="101"/>
        <v>104</v>
      </c>
      <c r="C6507" s="111"/>
      <c r="D6507" s="111"/>
      <c r="E6507" s="111"/>
    </row>
    <row r="6508" spans="1:5" x14ac:dyDescent="0.2">
      <c r="A6508" s="113">
        <v>41206</v>
      </c>
      <c r="B6508" s="111">
        <f t="shared" si="101"/>
        <v>104</v>
      </c>
      <c r="C6508" s="111"/>
      <c r="D6508" s="111"/>
      <c r="E6508" s="111"/>
    </row>
    <row r="6509" spans="1:5" x14ac:dyDescent="0.2">
      <c r="A6509" s="113">
        <v>41207</v>
      </c>
      <c r="B6509" s="111">
        <f t="shared" si="101"/>
        <v>104</v>
      </c>
      <c r="C6509" s="111"/>
      <c r="D6509" s="111"/>
      <c r="E6509" s="111"/>
    </row>
    <row r="6510" spans="1:5" x14ac:dyDescent="0.2">
      <c r="A6510" s="113">
        <v>41208</v>
      </c>
      <c r="B6510" s="111">
        <f t="shared" si="101"/>
        <v>104</v>
      </c>
      <c r="C6510" s="111"/>
      <c r="D6510" s="111"/>
      <c r="E6510" s="111"/>
    </row>
    <row r="6511" spans="1:5" x14ac:dyDescent="0.2">
      <c r="A6511" s="113">
        <v>41209</v>
      </c>
      <c r="B6511" s="111">
        <f t="shared" si="101"/>
        <v>104</v>
      </c>
      <c r="C6511" s="111"/>
      <c r="D6511" s="111"/>
      <c r="E6511" s="111"/>
    </row>
    <row r="6512" spans="1:5" x14ac:dyDescent="0.2">
      <c r="A6512" s="113">
        <v>41210</v>
      </c>
      <c r="B6512" s="111">
        <f t="shared" si="101"/>
        <v>105</v>
      </c>
      <c r="C6512" s="111"/>
      <c r="D6512" s="111"/>
      <c r="E6512" s="111"/>
    </row>
    <row r="6513" spans="1:5" x14ac:dyDescent="0.2">
      <c r="A6513" s="113">
        <v>41211</v>
      </c>
      <c r="B6513" s="111">
        <f t="shared" si="101"/>
        <v>105</v>
      </c>
      <c r="C6513" s="111"/>
      <c r="D6513" s="111"/>
      <c r="E6513" s="111"/>
    </row>
    <row r="6514" spans="1:5" x14ac:dyDescent="0.2">
      <c r="A6514" s="113">
        <v>41212</v>
      </c>
      <c r="B6514" s="111">
        <f t="shared" si="101"/>
        <v>105</v>
      </c>
      <c r="C6514" s="111"/>
      <c r="D6514" s="111"/>
      <c r="E6514" s="111"/>
    </row>
    <row r="6515" spans="1:5" x14ac:dyDescent="0.2">
      <c r="A6515" s="113">
        <v>41213</v>
      </c>
      <c r="B6515" s="111">
        <f t="shared" si="101"/>
        <v>105</v>
      </c>
      <c r="C6515" s="111"/>
      <c r="D6515" s="111"/>
      <c r="E6515" s="111"/>
    </row>
    <row r="6516" spans="1:5" x14ac:dyDescent="0.2">
      <c r="A6516" s="113">
        <v>41214</v>
      </c>
      <c r="B6516" s="111">
        <f t="shared" si="101"/>
        <v>105</v>
      </c>
      <c r="C6516" s="111"/>
      <c r="D6516" s="111"/>
      <c r="E6516" s="111"/>
    </row>
    <row r="6517" spans="1:5" x14ac:dyDescent="0.2">
      <c r="A6517" s="113">
        <v>41215</v>
      </c>
      <c r="B6517" s="111">
        <f t="shared" si="101"/>
        <v>105</v>
      </c>
      <c r="C6517" s="111"/>
      <c r="D6517" s="111"/>
      <c r="E6517" s="111"/>
    </row>
    <row r="6518" spans="1:5" x14ac:dyDescent="0.2">
      <c r="A6518" s="113">
        <v>41216</v>
      </c>
      <c r="B6518" s="111">
        <f t="shared" si="101"/>
        <v>105</v>
      </c>
      <c r="C6518" s="111"/>
      <c r="D6518" s="111"/>
      <c r="E6518" s="111"/>
    </row>
    <row r="6519" spans="1:5" x14ac:dyDescent="0.2">
      <c r="A6519" s="113">
        <v>41217</v>
      </c>
      <c r="B6519" s="111">
        <f t="shared" si="101"/>
        <v>111</v>
      </c>
      <c r="C6519" s="111"/>
      <c r="D6519" s="111"/>
      <c r="E6519" s="111"/>
    </row>
    <row r="6520" spans="1:5" x14ac:dyDescent="0.2">
      <c r="A6520" s="113">
        <v>41218</v>
      </c>
      <c r="B6520" s="111">
        <f t="shared" si="101"/>
        <v>111</v>
      </c>
      <c r="C6520" s="111"/>
      <c r="D6520" s="111"/>
      <c r="E6520" s="111"/>
    </row>
    <row r="6521" spans="1:5" x14ac:dyDescent="0.2">
      <c r="A6521" s="113">
        <v>41219</v>
      </c>
      <c r="B6521" s="111">
        <f t="shared" si="101"/>
        <v>111</v>
      </c>
      <c r="C6521" s="111"/>
      <c r="D6521" s="111"/>
      <c r="E6521" s="111"/>
    </row>
    <row r="6522" spans="1:5" x14ac:dyDescent="0.2">
      <c r="A6522" s="113">
        <v>41220</v>
      </c>
      <c r="B6522" s="111">
        <f t="shared" si="101"/>
        <v>111</v>
      </c>
      <c r="C6522" s="111"/>
      <c r="D6522" s="111"/>
      <c r="E6522" s="111"/>
    </row>
    <row r="6523" spans="1:5" x14ac:dyDescent="0.2">
      <c r="A6523" s="113">
        <v>41221</v>
      </c>
      <c r="B6523" s="111">
        <f t="shared" si="101"/>
        <v>111</v>
      </c>
      <c r="C6523" s="111"/>
      <c r="D6523" s="111"/>
      <c r="E6523" s="111"/>
    </row>
    <row r="6524" spans="1:5" x14ac:dyDescent="0.2">
      <c r="A6524" s="113">
        <v>41222</v>
      </c>
      <c r="B6524" s="111">
        <f t="shared" si="101"/>
        <v>111</v>
      </c>
      <c r="C6524" s="111"/>
      <c r="D6524" s="111"/>
      <c r="E6524" s="111"/>
    </row>
    <row r="6525" spans="1:5" x14ac:dyDescent="0.2">
      <c r="A6525" s="113">
        <v>41223</v>
      </c>
      <c r="B6525" s="111">
        <f t="shared" si="101"/>
        <v>111</v>
      </c>
      <c r="C6525" s="111"/>
      <c r="D6525" s="111"/>
      <c r="E6525" s="111"/>
    </row>
    <row r="6526" spans="1:5" x14ac:dyDescent="0.2">
      <c r="A6526" s="113">
        <v>41224</v>
      </c>
      <c r="B6526" s="111">
        <f t="shared" si="101"/>
        <v>112</v>
      </c>
      <c r="C6526" s="111"/>
      <c r="D6526" s="111"/>
      <c r="E6526" s="111"/>
    </row>
    <row r="6527" spans="1:5" x14ac:dyDescent="0.2">
      <c r="A6527" s="113">
        <v>41225</v>
      </c>
      <c r="B6527" s="111">
        <f t="shared" si="101"/>
        <v>112</v>
      </c>
      <c r="C6527" s="111"/>
      <c r="D6527" s="111"/>
      <c r="E6527" s="111"/>
    </row>
    <row r="6528" spans="1:5" x14ac:dyDescent="0.2">
      <c r="A6528" s="113">
        <v>41226</v>
      </c>
      <c r="B6528" s="111">
        <f t="shared" si="101"/>
        <v>112</v>
      </c>
      <c r="C6528" s="111"/>
      <c r="D6528" s="111"/>
      <c r="E6528" s="111"/>
    </row>
    <row r="6529" spans="1:5" x14ac:dyDescent="0.2">
      <c r="A6529" s="113">
        <v>41227</v>
      </c>
      <c r="B6529" s="111">
        <f t="shared" si="101"/>
        <v>112</v>
      </c>
      <c r="C6529" s="111"/>
      <c r="D6529" s="111"/>
      <c r="E6529" s="111"/>
    </row>
    <row r="6530" spans="1:5" x14ac:dyDescent="0.2">
      <c r="A6530" s="113">
        <v>41228</v>
      </c>
      <c r="B6530" s="111">
        <f t="shared" ref="B6530:B6593" si="102">VLOOKUP(WEEKNUM(A6530),$D$3:$E$58,2)</f>
        <v>112</v>
      </c>
      <c r="C6530" s="111"/>
      <c r="D6530" s="111"/>
      <c r="E6530" s="111"/>
    </row>
    <row r="6531" spans="1:5" x14ac:dyDescent="0.2">
      <c r="A6531" s="113">
        <v>41229</v>
      </c>
      <c r="B6531" s="111">
        <f t="shared" si="102"/>
        <v>112</v>
      </c>
      <c r="C6531" s="111"/>
      <c r="D6531" s="111"/>
      <c r="E6531" s="111"/>
    </row>
    <row r="6532" spans="1:5" x14ac:dyDescent="0.2">
      <c r="A6532" s="113">
        <v>41230</v>
      </c>
      <c r="B6532" s="111">
        <f t="shared" si="102"/>
        <v>112</v>
      </c>
      <c r="C6532" s="111"/>
      <c r="D6532" s="111"/>
      <c r="E6532" s="111"/>
    </row>
    <row r="6533" spans="1:5" x14ac:dyDescent="0.2">
      <c r="A6533" s="113">
        <v>41231</v>
      </c>
      <c r="B6533" s="111">
        <f t="shared" si="102"/>
        <v>113</v>
      </c>
      <c r="C6533" s="111"/>
      <c r="D6533" s="111"/>
      <c r="E6533" s="111"/>
    </row>
    <row r="6534" spans="1:5" x14ac:dyDescent="0.2">
      <c r="A6534" s="113">
        <v>41232</v>
      </c>
      <c r="B6534" s="111">
        <f t="shared" si="102"/>
        <v>113</v>
      </c>
      <c r="C6534" s="111"/>
      <c r="D6534" s="111"/>
      <c r="E6534" s="111"/>
    </row>
    <row r="6535" spans="1:5" x14ac:dyDescent="0.2">
      <c r="A6535" s="113">
        <v>41233</v>
      </c>
      <c r="B6535" s="111">
        <f t="shared" si="102"/>
        <v>113</v>
      </c>
      <c r="C6535" s="111"/>
      <c r="D6535" s="111"/>
      <c r="E6535" s="111"/>
    </row>
    <row r="6536" spans="1:5" x14ac:dyDescent="0.2">
      <c r="A6536" s="113">
        <v>41234</v>
      </c>
      <c r="B6536" s="111">
        <f t="shared" si="102"/>
        <v>113</v>
      </c>
      <c r="C6536" s="111"/>
      <c r="D6536" s="111"/>
      <c r="E6536" s="111"/>
    </row>
    <row r="6537" spans="1:5" x14ac:dyDescent="0.2">
      <c r="A6537" s="113">
        <v>41235</v>
      </c>
      <c r="B6537" s="111">
        <f t="shared" si="102"/>
        <v>113</v>
      </c>
      <c r="C6537" s="111"/>
      <c r="D6537" s="111"/>
      <c r="E6537" s="111"/>
    </row>
    <row r="6538" spans="1:5" x14ac:dyDescent="0.2">
      <c r="A6538" s="113">
        <v>41236</v>
      </c>
      <c r="B6538" s="111">
        <f t="shared" si="102"/>
        <v>113</v>
      </c>
      <c r="C6538" s="111"/>
      <c r="D6538" s="111"/>
      <c r="E6538" s="111"/>
    </row>
    <row r="6539" spans="1:5" x14ac:dyDescent="0.2">
      <c r="A6539" s="113">
        <v>41237</v>
      </c>
      <c r="B6539" s="111">
        <f t="shared" si="102"/>
        <v>113</v>
      </c>
      <c r="C6539" s="111"/>
      <c r="D6539" s="111"/>
      <c r="E6539" s="111"/>
    </row>
    <row r="6540" spans="1:5" x14ac:dyDescent="0.2">
      <c r="A6540" s="113">
        <v>41238</v>
      </c>
      <c r="B6540" s="111">
        <f t="shared" si="102"/>
        <v>114</v>
      </c>
      <c r="C6540" s="111"/>
      <c r="D6540" s="111"/>
      <c r="E6540" s="111"/>
    </row>
    <row r="6541" spans="1:5" x14ac:dyDescent="0.2">
      <c r="A6541" s="113">
        <v>41239</v>
      </c>
      <c r="B6541" s="111">
        <f t="shared" si="102"/>
        <v>114</v>
      </c>
      <c r="C6541" s="111"/>
      <c r="D6541" s="111"/>
      <c r="E6541" s="111"/>
    </row>
    <row r="6542" spans="1:5" x14ac:dyDescent="0.2">
      <c r="A6542" s="113">
        <v>41240</v>
      </c>
      <c r="B6542" s="111">
        <f t="shared" si="102"/>
        <v>114</v>
      </c>
      <c r="C6542" s="111"/>
      <c r="D6542" s="111"/>
      <c r="E6542" s="111"/>
    </row>
    <row r="6543" spans="1:5" x14ac:dyDescent="0.2">
      <c r="A6543" s="113">
        <v>41241</v>
      </c>
      <c r="B6543" s="111">
        <f t="shared" si="102"/>
        <v>114</v>
      </c>
      <c r="C6543" s="111"/>
      <c r="D6543" s="111"/>
      <c r="E6543" s="111"/>
    </row>
    <row r="6544" spans="1:5" x14ac:dyDescent="0.2">
      <c r="A6544" s="113">
        <v>41242</v>
      </c>
      <c r="B6544" s="111">
        <f t="shared" si="102"/>
        <v>114</v>
      </c>
      <c r="C6544" s="111"/>
      <c r="D6544" s="111"/>
      <c r="E6544" s="111"/>
    </row>
    <row r="6545" spans="1:5" x14ac:dyDescent="0.2">
      <c r="A6545" s="113">
        <v>41243</v>
      </c>
      <c r="B6545" s="111">
        <f t="shared" si="102"/>
        <v>114</v>
      </c>
      <c r="C6545" s="111"/>
      <c r="D6545" s="111"/>
      <c r="E6545" s="111"/>
    </row>
    <row r="6546" spans="1:5" x14ac:dyDescent="0.2">
      <c r="A6546" s="113">
        <v>41244</v>
      </c>
      <c r="B6546" s="111">
        <f t="shared" si="102"/>
        <v>114</v>
      </c>
      <c r="C6546" s="111"/>
      <c r="D6546" s="111"/>
      <c r="E6546" s="111"/>
    </row>
    <row r="6547" spans="1:5" x14ac:dyDescent="0.2">
      <c r="A6547" s="113">
        <v>41245</v>
      </c>
      <c r="B6547" s="111">
        <f t="shared" si="102"/>
        <v>115</v>
      </c>
      <c r="C6547" s="111"/>
      <c r="D6547" s="111"/>
      <c r="E6547" s="111"/>
    </row>
    <row r="6548" spans="1:5" x14ac:dyDescent="0.2">
      <c r="A6548" s="113">
        <v>41246</v>
      </c>
      <c r="B6548" s="111">
        <f t="shared" si="102"/>
        <v>115</v>
      </c>
      <c r="C6548" s="111"/>
      <c r="D6548" s="111"/>
      <c r="E6548" s="111"/>
    </row>
    <row r="6549" spans="1:5" x14ac:dyDescent="0.2">
      <c r="A6549" s="113">
        <v>41247</v>
      </c>
      <c r="B6549" s="111">
        <f t="shared" si="102"/>
        <v>115</v>
      </c>
      <c r="C6549" s="111"/>
      <c r="D6549" s="111"/>
      <c r="E6549" s="111"/>
    </row>
    <row r="6550" spans="1:5" x14ac:dyDescent="0.2">
      <c r="A6550" s="113">
        <v>41248</v>
      </c>
      <c r="B6550" s="111">
        <f t="shared" si="102"/>
        <v>115</v>
      </c>
      <c r="C6550" s="111"/>
      <c r="D6550" s="111"/>
      <c r="E6550" s="111"/>
    </row>
    <row r="6551" spans="1:5" x14ac:dyDescent="0.2">
      <c r="A6551" s="113">
        <v>41249</v>
      </c>
      <c r="B6551" s="111">
        <f t="shared" si="102"/>
        <v>115</v>
      </c>
      <c r="C6551" s="111"/>
      <c r="D6551" s="111"/>
      <c r="E6551" s="111"/>
    </row>
    <row r="6552" spans="1:5" x14ac:dyDescent="0.2">
      <c r="A6552" s="113">
        <v>41250</v>
      </c>
      <c r="B6552" s="111">
        <f t="shared" si="102"/>
        <v>115</v>
      </c>
      <c r="C6552" s="111"/>
      <c r="D6552" s="111"/>
      <c r="E6552" s="111"/>
    </row>
    <row r="6553" spans="1:5" x14ac:dyDescent="0.2">
      <c r="A6553" s="113">
        <v>41251</v>
      </c>
      <c r="B6553" s="111">
        <f t="shared" si="102"/>
        <v>115</v>
      </c>
      <c r="C6553" s="111"/>
      <c r="D6553" s="111"/>
      <c r="E6553" s="111"/>
    </row>
    <row r="6554" spans="1:5" x14ac:dyDescent="0.2">
      <c r="A6554" s="113">
        <v>41252</v>
      </c>
      <c r="B6554" s="111">
        <f t="shared" si="102"/>
        <v>121</v>
      </c>
      <c r="C6554" s="111"/>
      <c r="D6554" s="111"/>
      <c r="E6554" s="111"/>
    </row>
    <row r="6555" spans="1:5" x14ac:dyDescent="0.2">
      <c r="A6555" s="113">
        <v>41253</v>
      </c>
      <c r="B6555" s="111">
        <f t="shared" si="102"/>
        <v>121</v>
      </c>
      <c r="C6555" s="111"/>
      <c r="D6555" s="111"/>
      <c r="E6555" s="111"/>
    </row>
    <row r="6556" spans="1:5" x14ac:dyDescent="0.2">
      <c r="A6556" s="113">
        <v>41254</v>
      </c>
      <c r="B6556" s="111">
        <f t="shared" si="102"/>
        <v>121</v>
      </c>
      <c r="C6556" s="111"/>
      <c r="D6556" s="111"/>
      <c r="E6556" s="111"/>
    </row>
    <row r="6557" spans="1:5" x14ac:dyDescent="0.2">
      <c r="A6557" s="113">
        <v>41255</v>
      </c>
      <c r="B6557" s="111">
        <f t="shared" si="102"/>
        <v>121</v>
      </c>
      <c r="C6557" s="111"/>
      <c r="D6557" s="111"/>
      <c r="E6557" s="111"/>
    </row>
    <row r="6558" spans="1:5" x14ac:dyDescent="0.2">
      <c r="A6558" s="113">
        <v>41256</v>
      </c>
      <c r="B6558" s="111">
        <f t="shared" si="102"/>
        <v>121</v>
      </c>
      <c r="C6558" s="111"/>
      <c r="D6558" s="111"/>
      <c r="E6558" s="111"/>
    </row>
    <row r="6559" spans="1:5" x14ac:dyDescent="0.2">
      <c r="A6559" s="113">
        <v>41257</v>
      </c>
      <c r="B6559" s="111">
        <f t="shared" si="102"/>
        <v>121</v>
      </c>
      <c r="C6559" s="111"/>
      <c r="D6559" s="111"/>
      <c r="E6559" s="111"/>
    </row>
    <row r="6560" spans="1:5" x14ac:dyDescent="0.2">
      <c r="A6560" s="113">
        <v>41258</v>
      </c>
      <c r="B6560" s="111">
        <f t="shared" si="102"/>
        <v>121</v>
      </c>
      <c r="C6560" s="111"/>
      <c r="D6560" s="111"/>
      <c r="E6560" s="111"/>
    </row>
    <row r="6561" spans="1:5" x14ac:dyDescent="0.2">
      <c r="A6561" s="113">
        <v>41259</v>
      </c>
      <c r="B6561" s="111">
        <f t="shared" si="102"/>
        <v>122</v>
      </c>
      <c r="C6561" s="111"/>
      <c r="D6561" s="111"/>
      <c r="E6561" s="111"/>
    </row>
    <row r="6562" spans="1:5" x14ac:dyDescent="0.2">
      <c r="A6562" s="113">
        <v>41260</v>
      </c>
      <c r="B6562" s="111">
        <f t="shared" si="102"/>
        <v>122</v>
      </c>
      <c r="C6562" s="111"/>
      <c r="D6562" s="111"/>
      <c r="E6562" s="111"/>
    </row>
    <row r="6563" spans="1:5" x14ac:dyDescent="0.2">
      <c r="A6563" s="113">
        <v>41261</v>
      </c>
      <c r="B6563" s="111">
        <f t="shared" si="102"/>
        <v>122</v>
      </c>
      <c r="C6563" s="111"/>
      <c r="D6563" s="111"/>
      <c r="E6563" s="111"/>
    </row>
    <row r="6564" spans="1:5" x14ac:dyDescent="0.2">
      <c r="A6564" s="113">
        <v>41262</v>
      </c>
      <c r="B6564" s="111">
        <f t="shared" si="102"/>
        <v>122</v>
      </c>
      <c r="C6564" s="111"/>
      <c r="D6564" s="111"/>
      <c r="E6564" s="111"/>
    </row>
    <row r="6565" spans="1:5" x14ac:dyDescent="0.2">
      <c r="A6565" s="113">
        <v>41263</v>
      </c>
      <c r="B6565" s="111">
        <f t="shared" si="102"/>
        <v>122</v>
      </c>
      <c r="C6565" s="111"/>
      <c r="D6565" s="111"/>
      <c r="E6565" s="111"/>
    </row>
    <row r="6566" spans="1:5" x14ac:dyDescent="0.2">
      <c r="A6566" s="113">
        <v>41264</v>
      </c>
      <c r="B6566" s="111">
        <f t="shared" si="102"/>
        <v>122</v>
      </c>
      <c r="C6566" s="111"/>
      <c r="D6566" s="111"/>
      <c r="E6566" s="111"/>
    </row>
    <row r="6567" spans="1:5" x14ac:dyDescent="0.2">
      <c r="A6567" s="113">
        <v>41265</v>
      </c>
      <c r="B6567" s="111">
        <f t="shared" si="102"/>
        <v>122</v>
      </c>
      <c r="C6567" s="111"/>
      <c r="D6567" s="111"/>
      <c r="E6567" s="111"/>
    </row>
    <row r="6568" spans="1:5" x14ac:dyDescent="0.2">
      <c r="A6568" s="113">
        <v>41266</v>
      </c>
      <c r="B6568" s="111">
        <f t="shared" si="102"/>
        <v>123</v>
      </c>
      <c r="C6568" s="111"/>
      <c r="D6568" s="111"/>
      <c r="E6568" s="111"/>
    </row>
    <row r="6569" spans="1:5" x14ac:dyDescent="0.2">
      <c r="A6569" s="113">
        <v>41267</v>
      </c>
      <c r="B6569" s="111">
        <f t="shared" si="102"/>
        <v>123</v>
      </c>
      <c r="C6569" s="111"/>
      <c r="D6569" s="111"/>
      <c r="E6569" s="111"/>
    </row>
    <row r="6570" spans="1:5" x14ac:dyDescent="0.2">
      <c r="A6570" s="113">
        <v>41268</v>
      </c>
      <c r="B6570" s="111">
        <f t="shared" si="102"/>
        <v>123</v>
      </c>
      <c r="C6570" s="111"/>
      <c r="D6570" s="111"/>
      <c r="E6570" s="111"/>
    </row>
    <row r="6571" spans="1:5" x14ac:dyDescent="0.2">
      <c r="A6571" s="113">
        <v>41269</v>
      </c>
      <c r="B6571" s="111">
        <f t="shared" si="102"/>
        <v>123</v>
      </c>
      <c r="C6571" s="111"/>
      <c r="D6571" s="111"/>
      <c r="E6571" s="111"/>
    </row>
    <row r="6572" spans="1:5" x14ac:dyDescent="0.2">
      <c r="A6572" s="113">
        <v>41270</v>
      </c>
      <c r="B6572" s="111">
        <f t="shared" si="102"/>
        <v>123</v>
      </c>
      <c r="C6572" s="111"/>
      <c r="D6572" s="111"/>
      <c r="E6572" s="111"/>
    </row>
    <row r="6573" spans="1:5" x14ac:dyDescent="0.2">
      <c r="A6573" s="113">
        <v>41271</v>
      </c>
      <c r="B6573" s="111">
        <f t="shared" si="102"/>
        <v>123</v>
      </c>
      <c r="C6573" s="111"/>
      <c r="D6573" s="111"/>
      <c r="E6573" s="111"/>
    </row>
    <row r="6574" spans="1:5" x14ac:dyDescent="0.2">
      <c r="A6574" s="113">
        <v>41272</v>
      </c>
      <c r="B6574" s="111">
        <f t="shared" si="102"/>
        <v>123</v>
      </c>
      <c r="C6574" s="111"/>
      <c r="D6574" s="111"/>
      <c r="E6574" s="111"/>
    </row>
    <row r="6575" spans="1:5" x14ac:dyDescent="0.2">
      <c r="A6575" s="113">
        <v>41273</v>
      </c>
      <c r="B6575" s="111">
        <f t="shared" si="102"/>
        <v>124</v>
      </c>
      <c r="C6575" s="111"/>
      <c r="D6575" s="111"/>
      <c r="E6575" s="111"/>
    </row>
    <row r="6576" spans="1:5" x14ac:dyDescent="0.2">
      <c r="A6576" s="113">
        <v>41274</v>
      </c>
      <c r="B6576" s="111">
        <f t="shared" si="102"/>
        <v>124</v>
      </c>
      <c r="C6576" s="111"/>
      <c r="D6576" s="111"/>
      <c r="E6576" s="111"/>
    </row>
    <row r="6577" spans="1:5" x14ac:dyDescent="0.2">
      <c r="A6577" s="113">
        <v>41275</v>
      </c>
      <c r="B6577" s="111">
        <f t="shared" si="102"/>
        <v>11</v>
      </c>
      <c r="C6577" s="111"/>
      <c r="D6577" s="111"/>
      <c r="E6577" s="111"/>
    </row>
    <row r="6578" spans="1:5" x14ac:dyDescent="0.2">
      <c r="A6578" s="113">
        <v>41276</v>
      </c>
      <c r="B6578" s="111">
        <f t="shared" si="102"/>
        <v>11</v>
      </c>
      <c r="C6578" s="111"/>
      <c r="D6578" s="111"/>
      <c r="E6578" s="111"/>
    </row>
    <row r="6579" spans="1:5" x14ac:dyDescent="0.2">
      <c r="A6579" s="113">
        <v>41277</v>
      </c>
      <c r="B6579" s="111">
        <f t="shared" si="102"/>
        <v>11</v>
      </c>
      <c r="C6579" s="111"/>
      <c r="D6579" s="111"/>
      <c r="E6579" s="111"/>
    </row>
    <row r="6580" spans="1:5" x14ac:dyDescent="0.2">
      <c r="A6580" s="113">
        <v>41278</v>
      </c>
      <c r="B6580" s="111">
        <f t="shared" si="102"/>
        <v>11</v>
      </c>
      <c r="C6580" s="111"/>
      <c r="D6580" s="111"/>
      <c r="E6580" s="111"/>
    </row>
    <row r="6581" spans="1:5" x14ac:dyDescent="0.2">
      <c r="A6581" s="113">
        <v>41279</v>
      </c>
      <c r="B6581" s="111">
        <f t="shared" si="102"/>
        <v>11</v>
      </c>
      <c r="C6581" s="111"/>
      <c r="D6581" s="111"/>
      <c r="E6581" s="111"/>
    </row>
    <row r="6582" spans="1:5" x14ac:dyDescent="0.2">
      <c r="A6582" s="113">
        <v>41280</v>
      </c>
      <c r="B6582" s="111">
        <f t="shared" si="102"/>
        <v>12</v>
      </c>
      <c r="C6582" s="111"/>
      <c r="D6582" s="111"/>
      <c r="E6582" s="111"/>
    </row>
    <row r="6583" spans="1:5" x14ac:dyDescent="0.2">
      <c r="A6583" s="113">
        <v>41281</v>
      </c>
      <c r="B6583" s="111">
        <f t="shared" si="102"/>
        <v>12</v>
      </c>
      <c r="C6583" s="111"/>
      <c r="D6583" s="111"/>
      <c r="E6583" s="111"/>
    </row>
    <row r="6584" spans="1:5" x14ac:dyDescent="0.2">
      <c r="A6584" s="113">
        <v>41282</v>
      </c>
      <c r="B6584" s="111">
        <f t="shared" si="102"/>
        <v>12</v>
      </c>
      <c r="C6584" s="111"/>
      <c r="D6584" s="111"/>
      <c r="E6584" s="111"/>
    </row>
    <row r="6585" spans="1:5" x14ac:dyDescent="0.2">
      <c r="A6585" s="113">
        <v>41283</v>
      </c>
      <c r="B6585" s="111">
        <f t="shared" si="102"/>
        <v>12</v>
      </c>
      <c r="C6585" s="111"/>
      <c r="D6585" s="111"/>
      <c r="E6585" s="111"/>
    </row>
    <row r="6586" spans="1:5" x14ac:dyDescent="0.2">
      <c r="A6586" s="113">
        <v>41284</v>
      </c>
      <c r="B6586" s="111">
        <f t="shared" si="102"/>
        <v>12</v>
      </c>
      <c r="C6586" s="111"/>
      <c r="D6586" s="111"/>
      <c r="E6586" s="111"/>
    </row>
    <row r="6587" spans="1:5" x14ac:dyDescent="0.2">
      <c r="A6587" s="113">
        <v>41285</v>
      </c>
      <c r="B6587" s="111">
        <f t="shared" si="102"/>
        <v>12</v>
      </c>
      <c r="C6587" s="111"/>
      <c r="D6587" s="111"/>
      <c r="E6587" s="111"/>
    </row>
    <row r="6588" spans="1:5" x14ac:dyDescent="0.2">
      <c r="A6588" s="113">
        <v>41286</v>
      </c>
      <c r="B6588" s="111">
        <f t="shared" si="102"/>
        <v>12</v>
      </c>
      <c r="C6588" s="111"/>
      <c r="D6588" s="111"/>
      <c r="E6588" s="111"/>
    </row>
    <row r="6589" spans="1:5" x14ac:dyDescent="0.2">
      <c r="A6589" s="113">
        <v>41287</v>
      </c>
      <c r="B6589" s="111">
        <f t="shared" si="102"/>
        <v>13</v>
      </c>
      <c r="C6589" s="111"/>
      <c r="D6589" s="111"/>
      <c r="E6589" s="111"/>
    </row>
    <row r="6590" spans="1:5" x14ac:dyDescent="0.2">
      <c r="A6590" s="113">
        <v>41288</v>
      </c>
      <c r="B6590" s="111">
        <f t="shared" si="102"/>
        <v>13</v>
      </c>
      <c r="C6590" s="111"/>
      <c r="D6590" s="111"/>
      <c r="E6590" s="111"/>
    </row>
    <row r="6591" spans="1:5" x14ac:dyDescent="0.2">
      <c r="A6591" s="113">
        <v>41289</v>
      </c>
      <c r="B6591" s="111">
        <f t="shared" si="102"/>
        <v>13</v>
      </c>
      <c r="C6591" s="111"/>
      <c r="D6591" s="111"/>
      <c r="E6591" s="111"/>
    </row>
    <row r="6592" spans="1:5" x14ac:dyDescent="0.2">
      <c r="A6592" s="113">
        <v>41290</v>
      </c>
      <c r="B6592" s="111">
        <f t="shared" si="102"/>
        <v>13</v>
      </c>
      <c r="C6592" s="111"/>
      <c r="D6592" s="111"/>
      <c r="E6592" s="111"/>
    </row>
    <row r="6593" spans="1:5" x14ac:dyDescent="0.2">
      <c r="A6593" s="113">
        <v>41291</v>
      </c>
      <c r="B6593" s="111">
        <f t="shared" si="102"/>
        <v>13</v>
      </c>
      <c r="C6593" s="111"/>
      <c r="D6593" s="111"/>
      <c r="E6593" s="111"/>
    </row>
    <row r="6594" spans="1:5" x14ac:dyDescent="0.2">
      <c r="A6594" s="113">
        <v>41292</v>
      </c>
      <c r="B6594" s="111">
        <f t="shared" ref="B6594:B6657" si="103">VLOOKUP(WEEKNUM(A6594),$D$3:$E$58,2)</f>
        <v>13</v>
      </c>
      <c r="C6594" s="111"/>
      <c r="D6594" s="111"/>
      <c r="E6594" s="111"/>
    </row>
    <row r="6595" spans="1:5" x14ac:dyDescent="0.2">
      <c r="A6595" s="113">
        <v>41293</v>
      </c>
      <c r="B6595" s="111">
        <f t="shared" si="103"/>
        <v>13</v>
      </c>
      <c r="C6595" s="111"/>
      <c r="D6595" s="111"/>
      <c r="E6595" s="111"/>
    </row>
    <row r="6596" spans="1:5" x14ac:dyDescent="0.2">
      <c r="A6596" s="113">
        <v>41294</v>
      </c>
      <c r="B6596" s="111">
        <f t="shared" si="103"/>
        <v>14</v>
      </c>
      <c r="C6596" s="111"/>
      <c r="D6596" s="111"/>
      <c r="E6596" s="111"/>
    </row>
    <row r="6597" spans="1:5" x14ac:dyDescent="0.2">
      <c r="A6597" s="113">
        <v>41295</v>
      </c>
      <c r="B6597" s="111">
        <f t="shared" si="103"/>
        <v>14</v>
      </c>
      <c r="C6597" s="111"/>
      <c r="D6597" s="111"/>
      <c r="E6597" s="111"/>
    </row>
    <row r="6598" spans="1:5" x14ac:dyDescent="0.2">
      <c r="A6598" s="113">
        <v>41296</v>
      </c>
      <c r="B6598" s="111">
        <f t="shared" si="103"/>
        <v>14</v>
      </c>
      <c r="C6598" s="111"/>
      <c r="D6598" s="111"/>
      <c r="E6598" s="111"/>
    </row>
    <row r="6599" spans="1:5" x14ac:dyDescent="0.2">
      <c r="A6599" s="113">
        <v>41297</v>
      </c>
      <c r="B6599" s="111">
        <f t="shared" si="103"/>
        <v>14</v>
      </c>
      <c r="C6599" s="111"/>
      <c r="D6599" s="111"/>
      <c r="E6599" s="111"/>
    </row>
    <row r="6600" spans="1:5" x14ac:dyDescent="0.2">
      <c r="A6600" s="113">
        <v>41298</v>
      </c>
      <c r="B6600" s="111">
        <f t="shared" si="103"/>
        <v>14</v>
      </c>
      <c r="C6600" s="111"/>
      <c r="D6600" s="111"/>
      <c r="E6600" s="111"/>
    </row>
    <row r="6601" spans="1:5" x14ac:dyDescent="0.2">
      <c r="A6601" s="113">
        <v>41299</v>
      </c>
      <c r="B6601" s="111">
        <f t="shared" si="103"/>
        <v>14</v>
      </c>
      <c r="C6601" s="111"/>
      <c r="D6601" s="111"/>
      <c r="E6601" s="111"/>
    </row>
    <row r="6602" spans="1:5" x14ac:dyDescent="0.2">
      <c r="A6602" s="113">
        <v>41300</v>
      </c>
      <c r="B6602" s="111">
        <f t="shared" si="103"/>
        <v>14</v>
      </c>
      <c r="C6602" s="111"/>
      <c r="D6602" s="111"/>
      <c r="E6602" s="111"/>
    </row>
    <row r="6603" spans="1:5" x14ac:dyDescent="0.2">
      <c r="A6603" s="113">
        <v>41301</v>
      </c>
      <c r="B6603" s="111">
        <f t="shared" si="103"/>
        <v>15</v>
      </c>
      <c r="C6603" s="111"/>
      <c r="D6603" s="111"/>
      <c r="E6603" s="111"/>
    </row>
    <row r="6604" spans="1:5" x14ac:dyDescent="0.2">
      <c r="A6604" s="113">
        <v>41302</v>
      </c>
      <c r="B6604" s="111">
        <f t="shared" si="103"/>
        <v>15</v>
      </c>
      <c r="C6604" s="111"/>
      <c r="D6604" s="111"/>
      <c r="E6604" s="111"/>
    </row>
    <row r="6605" spans="1:5" x14ac:dyDescent="0.2">
      <c r="A6605" s="113">
        <v>41303</v>
      </c>
      <c r="B6605" s="111">
        <f t="shared" si="103"/>
        <v>15</v>
      </c>
      <c r="C6605" s="111"/>
      <c r="D6605" s="111"/>
      <c r="E6605" s="111"/>
    </row>
    <row r="6606" spans="1:5" x14ac:dyDescent="0.2">
      <c r="A6606" s="113">
        <v>41304</v>
      </c>
      <c r="B6606" s="111">
        <f t="shared" si="103"/>
        <v>15</v>
      </c>
      <c r="C6606" s="111"/>
      <c r="D6606" s="111"/>
      <c r="E6606" s="111"/>
    </row>
    <row r="6607" spans="1:5" x14ac:dyDescent="0.2">
      <c r="A6607" s="113">
        <v>41305</v>
      </c>
      <c r="B6607" s="111">
        <f t="shared" si="103"/>
        <v>15</v>
      </c>
      <c r="C6607" s="111"/>
      <c r="D6607" s="111"/>
      <c r="E6607" s="111"/>
    </row>
    <row r="6608" spans="1:5" x14ac:dyDescent="0.2">
      <c r="A6608" s="113">
        <v>41306</v>
      </c>
      <c r="B6608" s="111">
        <f t="shared" si="103"/>
        <v>15</v>
      </c>
      <c r="C6608" s="111"/>
      <c r="D6608" s="111"/>
      <c r="E6608" s="111"/>
    </row>
    <row r="6609" spans="1:5" x14ac:dyDescent="0.2">
      <c r="A6609" s="113">
        <v>41307</v>
      </c>
      <c r="B6609" s="111">
        <f t="shared" si="103"/>
        <v>15</v>
      </c>
      <c r="C6609" s="111"/>
      <c r="D6609" s="111"/>
      <c r="E6609" s="111"/>
    </row>
    <row r="6610" spans="1:5" x14ac:dyDescent="0.2">
      <c r="A6610" s="113">
        <v>41308</v>
      </c>
      <c r="B6610" s="111">
        <f t="shared" si="103"/>
        <v>21</v>
      </c>
      <c r="C6610" s="111"/>
      <c r="D6610" s="111"/>
      <c r="E6610" s="111"/>
    </row>
    <row r="6611" spans="1:5" x14ac:dyDescent="0.2">
      <c r="A6611" s="113">
        <v>41309</v>
      </c>
      <c r="B6611" s="111">
        <f t="shared" si="103"/>
        <v>21</v>
      </c>
      <c r="C6611" s="111"/>
      <c r="D6611" s="111"/>
      <c r="E6611" s="111"/>
    </row>
    <row r="6612" spans="1:5" x14ac:dyDescent="0.2">
      <c r="A6612" s="113">
        <v>41310</v>
      </c>
      <c r="B6612" s="111">
        <f t="shared" si="103"/>
        <v>21</v>
      </c>
      <c r="C6612" s="111"/>
      <c r="D6612" s="111"/>
      <c r="E6612" s="111"/>
    </row>
    <row r="6613" spans="1:5" x14ac:dyDescent="0.2">
      <c r="A6613" s="113">
        <v>41311</v>
      </c>
      <c r="B6613" s="111">
        <f t="shared" si="103"/>
        <v>21</v>
      </c>
      <c r="C6613" s="111"/>
      <c r="D6613" s="111"/>
      <c r="E6613" s="111"/>
    </row>
    <row r="6614" spans="1:5" x14ac:dyDescent="0.2">
      <c r="A6614" s="113">
        <v>41312</v>
      </c>
      <c r="B6614" s="111">
        <f t="shared" si="103"/>
        <v>21</v>
      </c>
      <c r="C6614" s="111"/>
      <c r="D6614" s="111"/>
      <c r="E6614" s="111"/>
    </row>
    <row r="6615" spans="1:5" x14ac:dyDescent="0.2">
      <c r="A6615" s="113">
        <v>41313</v>
      </c>
      <c r="B6615" s="111">
        <f t="shared" si="103"/>
        <v>21</v>
      </c>
      <c r="C6615" s="111"/>
      <c r="D6615" s="111"/>
      <c r="E6615" s="111"/>
    </row>
    <row r="6616" spans="1:5" x14ac:dyDescent="0.2">
      <c r="A6616" s="113">
        <v>41314</v>
      </c>
      <c r="B6616" s="111">
        <f t="shared" si="103"/>
        <v>21</v>
      </c>
      <c r="C6616" s="111"/>
      <c r="D6616" s="111"/>
      <c r="E6616" s="111"/>
    </row>
    <row r="6617" spans="1:5" x14ac:dyDescent="0.2">
      <c r="A6617" s="113">
        <v>41315</v>
      </c>
      <c r="B6617" s="111">
        <f t="shared" si="103"/>
        <v>22</v>
      </c>
      <c r="C6617" s="111"/>
      <c r="D6617" s="111"/>
      <c r="E6617" s="111"/>
    </row>
    <row r="6618" spans="1:5" x14ac:dyDescent="0.2">
      <c r="A6618" s="113">
        <v>41316</v>
      </c>
      <c r="B6618" s="111">
        <f t="shared" si="103"/>
        <v>22</v>
      </c>
      <c r="C6618" s="111"/>
      <c r="D6618" s="111"/>
      <c r="E6618" s="111"/>
    </row>
    <row r="6619" spans="1:5" x14ac:dyDescent="0.2">
      <c r="A6619" s="113">
        <v>41317</v>
      </c>
      <c r="B6619" s="111">
        <f t="shared" si="103"/>
        <v>22</v>
      </c>
      <c r="C6619" s="111"/>
      <c r="D6619" s="111"/>
      <c r="E6619" s="111"/>
    </row>
    <row r="6620" spans="1:5" x14ac:dyDescent="0.2">
      <c r="A6620" s="113">
        <v>41318</v>
      </c>
      <c r="B6620" s="111">
        <f t="shared" si="103"/>
        <v>22</v>
      </c>
      <c r="C6620" s="111"/>
      <c r="D6620" s="111"/>
      <c r="E6620" s="111"/>
    </row>
    <row r="6621" spans="1:5" x14ac:dyDescent="0.2">
      <c r="A6621" s="113">
        <v>41319</v>
      </c>
      <c r="B6621" s="111">
        <f t="shared" si="103"/>
        <v>22</v>
      </c>
      <c r="C6621" s="111"/>
      <c r="D6621" s="111"/>
      <c r="E6621" s="111"/>
    </row>
    <row r="6622" spans="1:5" x14ac:dyDescent="0.2">
      <c r="A6622" s="113">
        <v>41320</v>
      </c>
      <c r="B6622" s="111">
        <f t="shared" si="103"/>
        <v>22</v>
      </c>
      <c r="C6622" s="111"/>
      <c r="D6622" s="111"/>
      <c r="E6622" s="111"/>
    </row>
    <row r="6623" spans="1:5" x14ac:dyDescent="0.2">
      <c r="A6623" s="113">
        <v>41321</v>
      </c>
      <c r="B6623" s="111">
        <f t="shared" si="103"/>
        <v>22</v>
      </c>
      <c r="C6623" s="111"/>
      <c r="D6623" s="111"/>
      <c r="E6623" s="111"/>
    </row>
    <row r="6624" spans="1:5" x14ac:dyDescent="0.2">
      <c r="A6624" s="113">
        <v>41322</v>
      </c>
      <c r="B6624" s="111">
        <f t="shared" si="103"/>
        <v>23</v>
      </c>
      <c r="C6624" s="111"/>
      <c r="D6624" s="111"/>
      <c r="E6624" s="111"/>
    </row>
    <row r="6625" spans="1:5" x14ac:dyDescent="0.2">
      <c r="A6625" s="113">
        <v>41323</v>
      </c>
      <c r="B6625" s="111">
        <f t="shared" si="103"/>
        <v>23</v>
      </c>
      <c r="C6625" s="111"/>
      <c r="D6625" s="111"/>
      <c r="E6625" s="111"/>
    </row>
    <row r="6626" spans="1:5" x14ac:dyDescent="0.2">
      <c r="A6626" s="113">
        <v>41324</v>
      </c>
      <c r="B6626" s="111">
        <f t="shared" si="103"/>
        <v>23</v>
      </c>
      <c r="C6626" s="111"/>
      <c r="D6626" s="111"/>
      <c r="E6626" s="111"/>
    </row>
    <row r="6627" spans="1:5" x14ac:dyDescent="0.2">
      <c r="A6627" s="113">
        <v>41325</v>
      </c>
      <c r="B6627" s="111">
        <f t="shared" si="103"/>
        <v>23</v>
      </c>
      <c r="C6627" s="111"/>
      <c r="D6627" s="111"/>
      <c r="E6627" s="111"/>
    </row>
    <row r="6628" spans="1:5" x14ac:dyDescent="0.2">
      <c r="A6628" s="113">
        <v>41326</v>
      </c>
      <c r="B6628" s="111">
        <f t="shared" si="103"/>
        <v>23</v>
      </c>
      <c r="C6628" s="111"/>
      <c r="D6628" s="111"/>
      <c r="E6628" s="111"/>
    </row>
    <row r="6629" spans="1:5" x14ac:dyDescent="0.2">
      <c r="A6629" s="113">
        <v>41327</v>
      </c>
      <c r="B6629" s="111">
        <f t="shared" si="103"/>
        <v>23</v>
      </c>
      <c r="C6629" s="111"/>
      <c r="D6629" s="111"/>
      <c r="E6629" s="111"/>
    </row>
    <row r="6630" spans="1:5" x14ac:dyDescent="0.2">
      <c r="A6630" s="113">
        <v>41328</v>
      </c>
      <c r="B6630" s="111">
        <f t="shared" si="103"/>
        <v>23</v>
      </c>
      <c r="C6630" s="111"/>
      <c r="D6630" s="111"/>
      <c r="E6630" s="111"/>
    </row>
    <row r="6631" spans="1:5" x14ac:dyDescent="0.2">
      <c r="A6631" s="113">
        <v>41329</v>
      </c>
      <c r="B6631" s="111">
        <f t="shared" si="103"/>
        <v>24</v>
      </c>
      <c r="C6631" s="111"/>
      <c r="D6631" s="111"/>
      <c r="E6631" s="111"/>
    </row>
    <row r="6632" spans="1:5" x14ac:dyDescent="0.2">
      <c r="A6632" s="113">
        <v>41330</v>
      </c>
      <c r="B6632" s="111">
        <f t="shared" si="103"/>
        <v>24</v>
      </c>
      <c r="C6632" s="111"/>
      <c r="D6632" s="111"/>
      <c r="E6632" s="111"/>
    </row>
    <row r="6633" spans="1:5" x14ac:dyDescent="0.2">
      <c r="A6633" s="113">
        <v>41331</v>
      </c>
      <c r="B6633" s="111">
        <f t="shared" si="103"/>
        <v>24</v>
      </c>
      <c r="C6633" s="111"/>
      <c r="D6633" s="111"/>
      <c r="E6633" s="111"/>
    </row>
    <row r="6634" spans="1:5" x14ac:dyDescent="0.2">
      <c r="A6634" s="113">
        <v>41332</v>
      </c>
      <c r="B6634" s="111">
        <f t="shared" si="103"/>
        <v>24</v>
      </c>
      <c r="C6634" s="111"/>
      <c r="D6634" s="111"/>
      <c r="E6634" s="111"/>
    </row>
    <row r="6635" spans="1:5" x14ac:dyDescent="0.2">
      <c r="A6635" s="113">
        <v>41333</v>
      </c>
      <c r="B6635" s="111">
        <f t="shared" si="103"/>
        <v>24</v>
      </c>
      <c r="C6635" s="111"/>
      <c r="D6635" s="111"/>
      <c r="E6635" s="111"/>
    </row>
    <row r="6636" spans="1:5" x14ac:dyDescent="0.2">
      <c r="A6636" s="113">
        <v>41334</v>
      </c>
      <c r="B6636" s="111">
        <f t="shared" si="103"/>
        <v>24</v>
      </c>
      <c r="C6636" s="111"/>
      <c r="D6636" s="111"/>
      <c r="E6636" s="111"/>
    </row>
    <row r="6637" spans="1:5" x14ac:dyDescent="0.2">
      <c r="A6637" s="113">
        <v>41335</v>
      </c>
      <c r="B6637" s="111">
        <f t="shared" si="103"/>
        <v>24</v>
      </c>
      <c r="C6637" s="111"/>
      <c r="D6637" s="111"/>
      <c r="E6637" s="111"/>
    </row>
    <row r="6638" spans="1:5" x14ac:dyDescent="0.2">
      <c r="A6638" s="113">
        <v>41336</v>
      </c>
      <c r="B6638" s="111">
        <f t="shared" si="103"/>
        <v>31</v>
      </c>
      <c r="C6638" s="111"/>
      <c r="D6638" s="111"/>
      <c r="E6638" s="111"/>
    </row>
    <row r="6639" spans="1:5" x14ac:dyDescent="0.2">
      <c r="A6639" s="113">
        <v>41337</v>
      </c>
      <c r="B6639" s="111">
        <f t="shared" si="103"/>
        <v>31</v>
      </c>
      <c r="C6639" s="111"/>
      <c r="D6639" s="111"/>
      <c r="E6639" s="111"/>
    </row>
    <row r="6640" spans="1:5" x14ac:dyDescent="0.2">
      <c r="A6640" s="113">
        <v>41338</v>
      </c>
      <c r="B6640" s="111">
        <f t="shared" si="103"/>
        <v>31</v>
      </c>
      <c r="C6640" s="111"/>
      <c r="D6640" s="111"/>
      <c r="E6640" s="111"/>
    </row>
    <row r="6641" spans="1:5" x14ac:dyDescent="0.2">
      <c r="A6641" s="113">
        <v>41339</v>
      </c>
      <c r="B6641" s="111">
        <f t="shared" si="103"/>
        <v>31</v>
      </c>
      <c r="C6641" s="111"/>
      <c r="D6641" s="111"/>
      <c r="E6641" s="111"/>
    </row>
    <row r="6642" spans="1:5" x14ac:dyDescent="0.2">
      <c r="A6642" s="113">
        <v>41340</v>
      </c>
      <c r="B6642" s="111">
        <f t="shared" si="103"/>
        <v>31</v>
      </c>
      <c r="C6642" s="111"/>
      <c r="D6642" s="111"/>
      <c r="E6642" s="111"/>
    </row>
    <row r="6643" spans="1:5" x14ac:dyDescent="0.2">
      <c r="A6643" s="113">
        <v>41341</v>
      </c>
      <c r="B6643" s="111">
        <f t="shared" si="103"/>
        <v>31</v>
      </c>
      <c r="C6643" s="111"/>
      <c r="D6643" s="111"/>
      <c r="E6643" s="111"/>
    </row>
    <row r="6644" spans="1:5" x14ac:dyDescent="0.2">
      <c r="A6644" s="113">
        <v>41342</v>
      </c>
      <c r="B6644" s="111">
        <f t="shared" si="103"/>
        <v>31</v>
      </c>
      <c r="C6644" s="111"/>
      <c r="D6644" s="111"/>
      <c r="E6644" s="111"/>
    </row>
    <row r="6645" spans="1:5" x14ac:dyDescent="0.2">
      <c r="A6645" s="113">
        <v>41343</v>
      </c>
      <c r="B6645" s="111">
        <f t="shared" si="103"/>
        <v>32</v>
      </c>
      <c r="C6645" s="111"/>
      <c r="D6645" s="111"/>
      <c r="E6645" s="111"/>
    </row>
    <row r="6646" spans="1:5" x14ac:dyDescent="0.2">
      <c r="A6646" s="113">
        <v>41344</v>
      </c>
      <c r="B6646" s="111">
        <f t="shared" si="103"/>
        <v>32</v>
      </c>
      <c r="C6646" s="111"/>
      <c r="D6646" s="111"/>
      <c r="E6646" s="111"/>
    </row>
    <row r="6647" spans="1:5" x14ac:dyDescent="0.2">
      <c r="A6647" s="113">
        <v>41345</v>
      </c>
      <c r="B6647" s="111">
        <f t="shared" si="103"/>
        <v>32</v>
      </c>
      <c r="C6647" s="111"/>
      <c r="D6647" s="111"/>
      <c r="E6647" s="111"/>
    </row>
    <row r="6648" spans="1:5" x14ac:dyDescent="0.2">
      <c r="A6648" s="113">
        <v>41346</v>
      </c>
      <c r="B6648" s="111">
        <f t="shared" si="103"/>
        <v>32</v>
      </c>
      <c r="C6648" s="111"/>
      <c r="D6648" s="111"/>
      <c r="E6648" s="111"/>
    </row>
    <row r="6649" spans="1:5" x14ac:dyDescent="0.2">
      <c r="A6649" s="113">
        <v>41347</v>
      </c>
      <c r="B6649" s="111">
        <f t="shared" si="103"/>
        <v>32</v>
      </c>
      <c r="C6649" s="111"/>
      <c r="D6649" s="111"/>
      <c r="E6649" s="111"/>
    </row>
    <row r="6650" spans="1:5" x14ac:dyDescent="0.2">
      <c r="A6650" s="113">
        <v>41348</v>
      </c>
      <c r="B6650" s="111">
        <f t="shared" si="103"/>
        <v>32</v>
      </c>
      <c r="C6650" s="111"/>
      <c r="D6650" s="111"/>
      <c r="E6650" s="111"/>
    </row>
    <row r="6651" spans="1:5" x14ac:dyDescent="0.2">
      <c r="A6651" s="113">
        <v>41349</v>
      </c>
      <c r="B6651" s="111">
        <f t="shared" si="103"/>
        <v>32</v>
      </c>
      <c r="C6651" s="111"/>
      <c r="D6651" s="111"/>
      <c r="E6651" s="111"/>
    </row>
    <row r="6652" spans="1:5" x14ac:dyDescent="0.2">
      <c r="A6652" s="113">
        <v>41350</v>
      </c>
      <c r="B6652" s="111">
        <f t="shared" si="103"/>
        <v>33</v>
      </c>
      <c r="C6652" s="111"/>
      <c r="D6652" s="111"/>
      <c r="E6652" s="111"/>
    </row>
    <row r="6653" spans="1:5" x14ac:dyDescent="0.2">
      <c r="A6653" s="113">
        <v>41351</v>
      </c>
      <c r="B6653" s="111">
        <f t="shared" si="103"/>
        <v>33</v>
      </c>
      <c r="C6653" s="111"/>
      <c r="D6653" s="111"/>
      <c r="E6653" s="111"/>
    </row>
    <row r="6654" spans="1:5" x14ac:dyDescent="0.2">
      <c r="A6654" s="113">
        <v>41352</v>
      </c>
      <c r="B6654" s="111">
        <f t="shared" si="103"/>
        <v>33</v>
      </c>
      <c r="C6654" s="111"/>
      <c r="D6654" s="111"/>
      <c r="E6654" s="111"/>
    </row>
    <row r="6655" spans="1:5" x14ac:dyDescent="0.2">
      <c r="A6655" s="113">
        <v>41353</v>
      </c>
      <c r="B6655" s="111">
        <f t="shared" si="103"/>
        <v>33</v>
      </c>
      <c r="C6655" s="111"/>
      <c r="D6655" s="111"/>
      <c r="E6655" s="111"/>
    </row>
    <row r="6656" spans="1:5" x14ac:dyDescent="0.2">
      <c r="A6656" s="113">
        <v>41354</v>
      </c>
      <c r="B6656" s="111">
        <f t="shared" si="103"/>
        <v>33</v>
      </c>
      <c r="C6656" s="111"/>
      <c r="D6656" s="111"/>
      <c r="E6656" s="111"/>
    </row>
    <row r="6657" spans="1:5" x14ac:dyDescent="0.2">
      <c r="A6657" s="113">
        <v>41355</v>
      </c>
      <c r="B6657" s="111">
        <f t="shared" si="103"/>
        <v>33</v>
      </c>
      <c r="C6657" s="111"/>
      <c r="D6657" s="111"/>
      <c r="E6657" s="111"/>
    </row>
    <row r="6658" spans="1:5" x14ac:dyDescent="0.2">
      <c r="A6658" s="113">
        <v>41356</v>
      </c>
      <c r="B6658" s="111">
        <f t="shared" ref="B6658:B6721" si="104">VLOOKUP(WEEKNUM(A6658),$D$3:$E$58,2)</f>
        <v>33</v>
      </c>
      <c r="C6658" s="111"/>
      <c r="D6658" s="111"/>
      <c r="E6658" s="111"/>
    </row>
    <row r="6659" spans="1:5" x14ac:dyDescent="0.2">
      <c r="A6659" s="113">
        <v>41357</v>
      </c>
      <c r="B6659" s="111">
        <f t="shared" si="104"/>
        <v>34</v>
      </c>
      <c r="C6659" s="111"/>
      <c r="D6659" s="111"/>
      <c r="E6659" s="111"/>
    </row>
    <row r="6660" spans="1:5" x14ac:dyDescent="0.2">
      <c r="A6660" s="113">
        <v>41358</v>
      </c>
      <c r="B6660" s="111">
        <f t="shared" si="104"/>
        <v>34</v>
      </c>
      <c r="C6660" s="111"/>
      <c r="D6660" s="111"/>
      <c r="E6660" s="111"/>
    </row>
    <row r="6661" spans="1:5" x14ac:dyDescent="0.2">
      <c r="A6661" s="113">
        <v>41359</v>
      </c>
      <c r="B6661" s="111">
        <f t="shared" si="104"/>
        <v>34</v>
      </c>
      <c r="C6661" s="111"/>
      <c r="D6661" s="111"/>
      <c r="E6661" s="111"/>
    </row>
    <row r="6662" spans="1:5" x14ac:dyDescent="0.2">
      <c r="A6662" s="113">
        <v>41360</v>
      </c>
      <c r="B6662" s="111">
        <f t="shared" si="104"/>
        <v>34</v>
      </c>
      <c r="C6662" s="111"/>
      <c r="D6662" s="111"/>
      <c r="E6662" s="111"/>
    </row>
    <row r="6663" spans="1:5" x14ac:dyDescent="0.2">
      <c r="A6663" s="113">
        <v>41361</v>
      </c>
      <c r="B6663" s="111">
        <f t="shared" si="104"/>
        <v>34</v>
      </c>
      <c r="C6663" s="111"/>
      <c r="D6663" s="111"/>
      <c r="E6663" s="111"/>
    </row>
    <row r="6664" spans="1:5" x14ac:dyDescent="0.2">
      <c r="A6664" s="113">
        <v>41362</v>
      </c>
      <c r="B6664" s="111">
        <f t="shared" si="104"/>
        <v>34</v>
      </c>
      <c r="C6664" s="111"/>
      <c r="D6664" s="111"/>
      <c r="E6664" s="111"/>
    </row>
    <row r="6665" spans="1:5" x14ac:dyDescent="0.2">
      <c r="A6665" s="113">
        <v>41363</v>
      </c>
      <c r="B6665" s="111">
        <f t="shared" si="104"/>
        <v>34</v>
      </c>
      <c r="C6665" s="111"/>
      <c r="D6665" s="111"/>
      <c r="E6665" s="111"/>
    </row>
    <row r="6666" spans="1:5" x14ac:dyDescent="0.2">
      <c r="A6666" s="113">
        <v>41364</v>
      </c>
      <c r="B6666" s="111">
        <f t="shared" si="104"/>
        <v>41</v>
      </c>
      <c r="C6666" s="111"/>
      <c r="D6666" s="111"/>
      <c r="E6666" s="111"/>
    </row>
    <row r="6667" spans="1:5" x14ac:dyDescent="0.2">
      <c r="A6667" s="113">
        <v>41365</v>
      </c>
      <c r="B6667" s="111">
        <f t="shared" si="104"/>
        <v>41</v>
      </c>
      <c r="C6667" s="111"/>
      <c r="D6667" s="111"/>
      <c r="E6667" s="111"/>
    </row>
    <row r="6668" spans="1:5" x14ac:dyDescent="0.2">
      <c r="A6668" s="113">
        <v>41366</v>
      </c>
      <c r="B6668" s="111">
        <f t="shared" si="104"/>
        <v>41</v>
      </c>
      <c r="C6668" s="111"/>
      <c r="D6668" s="111"/>
      <c r="E6668" s="111"/>
    </row>
    <row r="6669" spans="1:5" x14ac:dyDescent="0.2">
      <c r="A6669" s="113">
        <v>41367</v>
      </c>
      <c r="B6669" s="111">
        <f t="shared" si="104"/>
        <v>41</v>
      </c>
      <c r="C6669" s="111"/>
      <c r="D6669" s="111"/>
      <c r="E6669" s="111"/>
    </row>
    <row r="6670" spans="1:5" x14ac:dyDescent="0.2">
      <c r="A6670" s="113">
        <v>41368</v>
      </c>
      <c r="B6670" s="111">
        <f t="shared" si="104"/>
        <v>41</v>
      </c>
      <c r="C6670" s="111"/>
      <c r="D6670" s="111"/>
      <c r="E6670" s="111"/>
    </row>
    <row r="6671" spans="1:5" x14ac:dyDescent="0.2">
      <c r="A6671" s="113">
        <v>41369</v>
      </c>
      <c r="B6671" s="111">
        <f t="shared" si="104"/>
        <v>41</v>
      </c>
      <c r="C6671" s="111"/>
      <c r="D6671" s="111"/>
      <c r="E6671" s="111"/>
    </row>
    <row r="6672" spans="1:5" x14ac:dyDescent="0.2">
      <c r="A6672" s="113">
        <v>41370</v>
      </c>
      <c r="B6672" s="111">
        <f t="shared" si="104"/>
        <v>41</v>
      </c>
      <c r="C6672" s="111"/>
      <c r="D6672" s="111"/>
      <c r="E6672" s="111"/>
    </row>
    <row r="6673" spans="1:5" x14ac:dyDescent="0.2">
      <c r="A6673" s="113">
        <v>41371</v>
      </c>
      <c r="B6673" s="111">
        <f t="shared" si="104"/>
        <v>42</v>
      </c>
      <c r="C6673" s="111"/>
      <c r="D6673" s="111"/>
      <c r="E6673" s="111"/>
    </row>
    <row r="6674" spans="1:5" x14ac:dyDescent="0.2">
      <c r="A6674" s="113">
        <v>41372</v>
      </c>
      <c r="B6674" s="111">
        <f t="shared" si="104"/>
        <v>42</v>
      </c>
      <c r="C6674" s="111"/>
      <c r="D6674" s="111"/>
      <c r="E6674" s="111"/>
    </row>
    <row r="6675" spans="1:5" x14ac:dyDescent="0.2">
      <c r="A6675" s="113">
        <v>41373</v>
      </c>
      <c r="B6675" s="111">
        <f t="shared" si="104"/>
        <v>42</v>
      </c>
      <c r="C6675" s="111"/>
      <c r="D6675" s="111"/>
      <c r="E6675" s="111"/>
    </row>
    <row r="6676" spans="1:5" x14ac:dyDescent="0.2">
      <c r="A6676" s="113">
        <v>41374</v>
      </c>
      <c r="B6676" s="111">
        <f t="shared" si="104"/>
        <v>42</v>
      </c>
      <c r="C6676" s="111"/>
      <c r="D6676" s="111"/>
      <c r="E6676" s="111"/>
    </row>
    <row r="6677" spans="1:5" x14ac:dyDescent="0.2">
      <c r="A6677" s="113">
        <v>41375</v>
      </c>
      <c r="B6677" s="111">
        <f t="shared" si="104"/>
        <v>42</v>
      </c>
      <c r="C6677" s="111"/>
      <c r="D6677" s="111"/>
      <c r="E6677" s="111"/>
    </row>
    <row r="6678" spans="1:5" x14ac:dyDescent="0.2">
      <c r="A6678" s="113">
        <v>41376</v>
      </c>
      <c r="B6678" s="111">
        <f t="shared" si="104"/>
        <v>42</v>
      </c>
      <c r="C6678" s="111"/>
      <c r="D6678" s="111"/>
      <c r="E6678" s="111"/>
    </row>
    <row r="6679" spans="1:5" x14ac:dyDescent="0.2">
      <c r="A6679" s="113">
        <v>41377</v>
      </c>
      <c r="B6679" s="111">
        <f t="shared" si="104"/>
        <v>42</v>
      </c>
      <c r="C6679" s="111"/>
      <c r="D6679" s="111"/>
      <c r="E6679" s="111"/>
    </row>
    <row r="6680" spans="1:5" x14ac:dyDescent="0.2">
      <c r="A6680" s="113">
        <v>41378</v>
      </c>
      <c r="B6680" s="111">
        <f t="shared" si="104"/>
        <v>43</v>
      </c>
      <c r="C6680" s="111"/>
      <c r="D6680" s="111"/>
      <c r="E6680" s="111"/>
    </row>
    <row r="6681" spans="1:5" x14ac:dyDescent="0.2">
      <c r="A6681" s="113">
        <v>41379</v>
      </c>
      <c r="B6681" s="111">
        <f t="shared" si="104"/>
        <v>43</v>
      </c>
      <c r="C6681" s="111"/>
      <c r="D6681" s="111"/>
      <c r="E6681" s="111"/>
    </row>
    <row r="6682" spans="1:5" x14ac:dyDescent="0.2">
      <c r="A6682" s="113">
        <v>41380</v>
      </c>
      <c r="B6682" s="111">
        <f t="shared" si="104"/>
        <v>43</v>
      </c>
      <c r="C6682" s="111"/>
      <c r="D6682" s="111"/>
      <c r="E6682" s="111"/>
    </row>
    <row r="6683" spans="1:5" x14ac:dyDescent="0.2">
      <c r="A6683" s="113">
        <v>41381</v>
      </c>
      <c r="B6683" s="111">
        <f t="shared" si="104"/>
        <v>43</v>
      </c>
      <c r="C6683" s="111"/>
      <c r="D6683" s="111"/>
      <c r="E6683" s="111"/>
    </row>
    <row r="6684" spans="1:5" x14ac:dyDescent="0.2">
      <c r="A6684" s="113">
        <v>41382</v>
      </c>
      <c r="B6684" s="111">
        <f t="shared" si="104"/>
        <v>43</v>
      </c>
      <c r="C6684" s="111"/>
      <c r="D6684" s="111"/>
      <c r="E6684" s="111"/>
    </row>
    <row r="6685" spans="1:5" x14ac:dyDescent="0.2">
      <c r="A6685" s="113">
        <v>41383</v>
      </c>
      <c r="B6685" s="111">
        <f t="shared" si="104"/>
        <v>43</v>
      </c>
      <c r="C6685" s="111"/>
      <c r="D6685" s="111"/>
      <c r="E6685" s="111"/>
    </row>
    <row r="6686" spans="1:5" x14ac:dyDescent="0.2">
      <c r="A6686" s="113">
        <v>41384</v>
      </c>
      <c r="B6686" s="111">
        <f t="shared" si="104"/>
        <v>43</v>
      </c>
      <c r="C6686" s="111"/>
      <c r="D6686" s="111"/>
      <c r="E6686" s="111"/>
    </row>
    <row r="6687" spans="1:5" x14ac:dyDescent="0.2">
      <c r="A6687" s="113">
        <v>41385</v>
      </c>
      <c r="B6687" s="111">
        <f t="shared" si="104"/>
        <v>44</v>
      </c>
      <c r="C6687" s="111"/>
      <c r="D6687" s="111"/>
      <c r="E6687" s="111"/>
    </row>
    <row r="6688" spans="1:5" x14ac:dyDescent="0.2">
      <c r="A6688" s="113">
        <v>41386</v>
      </c>
      <c r="B6688" s="111">
        <f t="shared" si="104"/>
        <v>44</v>
      </c>
      <c r="C6688" s="111"/>
      <c r="D6688" s="111"/>
      <c r="E6688" s="111"/>
    </row>
    <row r="6689" spans="1:5" x14ac:dyDescent="0.2">
      <c r="A6689" s="113">
        <v>41387</v>
      </c>
      <c r="B6689" s="111">
        <f t="shared" si="104"/>
        <v>44</v>
      </c>
      <c r="C6689" s="111"/>
      <c r="D6689" s="111"/>
      <c r="E6689" s="111"/>
    </row>
    <row r="6690" spans="1:5" x14ac:dyDescent="0.2">
      <c r="A6690" s="113">
        <v>41388</v>
      </c>
      <c r="B6690" s="111">
        <f t="shared" si="104"/>
        <v>44</v>
      </c>
      <c r="C6690" s="111"/>
      <c r="D6690" s="111"/>
      <c r="E6690" s="111"/>
    </row>
    <row r="6691" spans="1:5" x14ac:dyDescent="0.2">
      <c r="A6691" s="113">
        <v>41389</v>
      </c>
      <c r="B6691" s="111">
        <f t="shared" si="104"/>
        <v>44</v>
      </c>
      <c r="C6691" s="111"/>
      <c r="D6691" s="111"/>
      <c r="E6691" s="111"/>
    </row>
    <row r="6692" spans="1:5" x14ac:dyDescent="0.2">
      <c r="A6692" s="113">
        <v>41390</v>
      </c>
      <c r="B6692" s="111">
        <f t="shared" si="104"/>
        <v>44</v>
      </c>
      <c r="C6692" s="111"/>
      <c r="D6692" s="111"/>
      <c r="E6692" s="111"/>
    </row>
    <row r="6693" spans="1:5" x14ac:dyDescent="0.2">
      <c r="A6693" s="113">
        <v>41391</v>
      </c>
      <c r="B6693" s="111">
        <f t="shared" si="104"/>
        <v>44</v>
      </c>
      <c r="C6693" s="111"/>
      <c r="D6693" s="111"/>
      <c r="E6693" s="111"/>
    </row>
    <row r="6694" spans="1:5" x14ac:dyDescent="0.2">
      <c r="A6694" s="113">
        <v>41392</v>
      </c>
      <c r="B6694" s="111">
        <f t="shared" si="104"/>
        <v>45</v>
      </c>
      <c r="C6694" s="111"/>
      <c r="D6694" s="111"/>
      <c r="E6694" s="111"/>
    </row>
    <row r="6695" spans="1:5" x14ac:dyDescent="0.2">
      <c r="A6695" s="113">
        <v>41393</v>
      </c>
      <c r="B6695" s="111">
        <f t="shared" si="104"/>
        <v>45</v>
      </c>
      <c r="C6695" s="111"/>
      <c r="D6695" s="111"/>
      <c r="E6695" s="111"/>
    </row>
    <row r="6696" spans="1:5" x14ac:dyDescent="0.2">
      <c r="A6696" s="113">
        <v>41394</v>
      </c>
      <c r="B6696" s="111">
        <f t="shared" si="104"/>
        <v>45</v>
      </c>
      <c r="C6696" s="111"/>
      <c r="D6696" s="111"/>
      <c r="E6696" s="111"/>
    </row>
    <row r="6697" spans="1:5" x14ac:dyDescent="0.2">
      <c r="A6697" s="113">
        <v>41395</v>
      </c>
      <c r="B6697" s="111">
        <f t="shared" si="104"/>
        <v>45</v>
      </c>
      <c r="C6697" s="111"/>
      <c r="D6697" s="111"/>
      <c r="E6697" s="111"/>
    </row>
    <row r="6698" spans="1:5" x14ac:dyDescent="0.2">
      <c r="A6698" s="113">
        <v>41396</v>
      </c>
      <c r="B6698" s="111">
        <f t="shared" si="104"/>
        <v>45</v>
      </c>
      <c r="C6698" s="111"/>
      <c r="D6698" s="111"/>
      <c r="E6698" s="111"/>
    </row>
    <row r="6699" spans="1:5" x14ac:dyDescent="0.2">
      <c r="A6699" s="113">
        <v>41397</v>
      </c>
      <c r="B6699" s="111">
        <f t="shared" si="104"/>
        <v>45</v>
      </c>
      <c r="C6699" s="111"/>
      <c r="D6699" s="111"/>
      <c r="E6699" s="111"/>
    </row>
    <row r="6700" spans="1:5" x14ac:dyDescent="0.2">
      <c r="A6700" s="113">
        <v>41398</v>
      </c>
      <c r="B6700" s="111">
        <f t="shared" si="104"/>
        <v>45</v>
      </c>
      <c r="C6700" s="111"/>
      <c r="D6700" s="111"/>
      <c r="E6700" s="111"/>
    </row>
    <row r="6701" spans="1:5" x14ac:dyDescent="0.2">
      <c r="A6701" s="113">
        <v>41399</v>
      </c>
      <c r="B6701" s="111">
        <f t="shared" si="104"/>
        <v>51</v>
      </c>
      <c r="C6701" s="111"/>
      <c r="D6701" s="111"/>
      <c r="E6701" s="111"/>
    </row>
    <row r="6702" spans="1:5" x14ac:dyDescent="0.2">
      <c r="A6702" s="113">
        <v>41400</v>
      </c>
      <c r="B6702" s="111">
        <f t="shared" si="104"/>
        <v>51</v>
      </c>
      <c r="C6702" s="111"/>
      <c r="D6702" s="111"/>
      <c r="E6702" s="111"/>
    </row>
    <row r="6703" spans="1:5" x14ac:dyDescent="0.2">
      <c r="A6703" s="113">
        <v>41401</v>
      </c>
      <c r="B6703" s="111">
        <f t="shared" si="104"/>
        <v>51</v>
      </c>
      <c r="C6703" s="111"/>
      <c r="D6703" s="111"/>
      <c r="E6703" s="111"/>
    </row>
    <row r="6704" spans="1:5" x14ac:dyDescent="0.2">
      <c r="A6704" s="113">
        <v>41402</v>
      </c>
      <c r="B6704" s="111">
        <f t="shared" si="104"/>
        <v>51</v>
      </c>
      <c r="C6704" s="111"/>
      <c r="D6704" s="111"/>
      <c r="E6704" s="111"/>
    </row>
    <row r="6705" spans="1:5" x14ac:dyDescent="0.2">
      <c r="A6705" s="113">
        <v>41403</v>
      </c>
      <c r="B6705" s="111">
        <f t="shared" si="104"/>
        <v>51</v>
      </c>
      <c r="C6705" s="111"/>
      <c r="D6705" s="111"/>
      <c r="E6705" s="111"/>
    </row>
    <row r="6706" spans="1:5" x14ac:dyDescent="0.2">
      <c r="A6706" s="113">
        <v>41404</v>
      </c>
      <c r="B6706" s="111">
        <f t="shared" si="104"/>
        <v>51</v>
      </c>
      <c r="C6706" s="111"/>
      <c r="D6706" s="111"/>
      <c r="E6706" s="111"/>
    </row>
    <row r="6707" spans="1:5" x14ac:dyDescent="0.2">
      <c r="A6707" s="113">
        <v>41405</v>
      </c>
      <c r="B6707" s="111">
        <f t="shared" si="104"/>
        <v>51</v>
      </c>
      <c r="C6707" s="111"/>
      <c r="D6707" s="111"/>
      <c r="E6707" s="111"/>
    </row>
    <row r="6708" spans="1:5" x14ac:dyDescent="0.2">
      <c r="A6708" s="113">
        <v>41406</v>
      </c>
      <c r="B6708" s="111">
        <f t="shared" si="104"/>
        <v>52</v>
      </c>
      <c r="C6708" s="111"/>
      <c r="D6708" s="111"/>
      <c r="E6708" s="111"/>
    </row>
    <row r="6709" spans="1:5" x14ac:dyDescent="0.2">
      <c r="A6709" s="113">
        <v>41407</v>
      </c>
      <c r="B6709" s="111">
        <f t="shared" si="104"/>
        <v>52</v>
      </c>
      <c r="C6709" s="111"/>
      <c r="D6709" s="111"/>
      <c r="E6709" s="111"/>
    </row>
    <row r="6710" spans="1:5" x14ac:dyDescent="0.2">
      <c r="A6710" s="113">
        <v>41408</v>
      </c>
      <c r="B6710" s="111">
        <f t="shared" si="104"/>
        <v>52</v>
      </c>
      <c r="C6710" s="111"/>
      <c r="D6710" s="111"/>
      <c r="E6710" s="111"/>
    </row>
    <row r="6711" spans="1:5" x14ac:dyDescent="0.2">
      <c r="A6711" s="113">
        <v>41409</v>
      </c>
      <c r="B6711" s="111">
        <f t="shared" si="104"/>
        <v>52</v>
      </c>
      <c r="C6711" s="111"/>
      <c r="D6711" s="111"/>
      <c r="E6711" s="111"/>
    </row>
    <row r="6712" spans="1:5" x14ac:dyDescent="0.2">
      <c r="A6712" s="113">
        <v>41410</v>
      </c>
      <c r="B6712" s="111">
        <f t="shared" si="104"/>
        <v>52</v>
      </c>
      <c r="C6712" s="111"/>
      <c r="D6712" s="111"/>
      <c r="E6712" s="111"/>
    </row>
    <row r="6713" spans="1:5" x14ac:dyDescent="0.2">
      <c r="A6713" s="113">
        <v>41411</v>
      </c>
      <c r="B6713" s="111">
        <f t="shared" si="104"/>
        <v>52</v>
      </c>
      <c r="C6713" s="111"/>
      <c r="D6713" s="111"/>
      <c r="E6713" s="111"/>
    </row>
    <row r="6714" spans="1:5" x14ac:dyDescent="0.2">
      <c r="A6714" s="113">
        <v>41412</v>
      </c>
      <c r="B6714" s="111">
        <f t="shared" si="104"/>
        <v>52</v>
      </c>
      <c r="C6714" s="111"/>
      <c r="D6714" s="111"/>
      <c r="E6714" s="111"/>
    </row>
    <row r="6715" spans="1:5" x14ac:dyDescent="0.2">
      <c r="A6715" s="113">
        <v>41413</v>
      </c>
      <c r="B6715" s="111">
        <f t="shared" si="104"/>
        <v>53</v>
      </c>
      <c r="C6715" s="111"/>
      <c r="D6715" s="111"/>
      <c r="E6715" s="111"/>
    </row>
    <row r="6716" spans="1:5" x14ac:dyDescent="0.2">
      <c r="A6716" s="113">
        <v>41414</v>
      </c>
      <c r="B6716" s="111">
        <f t="shared" si="104"/>
        <v>53</v>
      </c>
      <c r="C6716" s="111"/>
      <c r="D6716" s="111"/>
      <c r="E6716" s="111"/>
    </row>
    <row r="6717" spans="1:5" x14ac:dyDescent="0.2">
      <c r="A6717" s="113">
        <v>41415</v>
      </c>
      <c r="B6717" s="111">
        <f t="shared" si="104"/>
        <v>53</v>
      </c>
      <c r="C6717" s="111"/>
      <c r="D6717" s="111"/>
      <c r="E6717" s="111"/>
    </row>
    <row r="6718" spans="1:5" x14ac:dyDescent="0.2">
      <c r="A6718" s="113">
        <v>41416</v>
      </c>
      <c r="B6718" s="111">
        <f t="shared" si="104"/>
        <v>53</v>
      </c>
      <c r="C6718" s="111"/>
      <c r="D6718" s="111"/>
      <c r="E6718" s="111"/>
    </row>
    <row r="6719" spans="1:5" x14ac:dyDescent="0.2">
      <c r="A6719" s="113">
        <v>41417</v>
      </c>
      <c r="B6719" s="111">
        <f t="shared" si="104"/>
        <v>53</v>
      </c>
      <c r="C6719" s="111"/>
      <c r="D6719" s="111"/>
      <c r="E6719" s="111"/>
    </row>
    <row r="6720" spans="1:5" x14ac:dyDescent="0.2">
      <c r="A6720" s="113">
        <v>41418</v>
      </c>
      <c r="B6720" s="111">
        <f t="shared" si="104"/>
        <v>53</v>
      </c>
      <c r="C6720" s="111"/>
      <c r="D6720" s="111"/>
      <c r="E6720" s="111"/>
    </row>
    <row r="6721" spans="1:5" x14ac:dyDescent="0.2">
      <c r="A6721" s="113">
        <v>41419</v>
      </c>
      <c r="B6721" s="111">
        <f t="shared" si="104"/>
        <v>53</v>
      </c>
      <c r="C6721" s="111"/>
      <c r="D6721" s="111"/>
      <c r="E6721" s="111"/>
    </row>
    <row r="6722" spans="1:5" x14ac:dyDescent="0.2">
      <c r="A6722" s="113">
        <v>41420</v>
      </c>
      <c r="B6722" s="111">
        <f t="shared" ref="B6722:B6785" si="105">VLOOKUP(WEEKNUM(A6722),$D$3:$E$58,2)</f>
        <v>54</v>
      </c>
      <c r="C6722" s="111"/>
      <c r="D6722" s="111"/>
      <c r="E6722" s="111"/>
    </row>
    <row r="6723" spans="1:5" x14ac:dyDescent="0.2">
      <c r="A6723" s="113">
        <v>41421</v>
      </c>
      <c r="B6723" s="111">
        <f t="shared" si="105"/>
        <v>54</v>
      </c>
      <c r="C6723" s="111"/>
      <c r="D6723" s="111"/>
      <c r="E6723" s="111"/>
    </row>
    <row r="6724" spans="1:5" x14ac:dyDescent="0.2">
      <c r="A6724" s="113">
        <v>41422</v>
      </c>
      <c r="B6724" s="111">
        <f t="shared" si="105"/>
        <v>54</v>
      </c>
      <c r="C6724" s="111"/>
      <c r="D6724" s="111"/>
      <c r="E6724" s="111"/>
    </row>
    <row r="6725" spans="1:5" x14ac:dyDescent="0.2">
      <c r="A6725" s="113">
        <v>41423</v>
      </c>
      <c r="B6725" s="111">
        <f t="shared" si="105"/>
        <v>54</v>
      </c>
      <c r="C6725" s="111"/>
      <c r="D6725" s="111"/>
      <c r="E6725" s="111"/>
    </row>
    <row r="6726" spans="1:5" x14ac:dyDescent="0.2">
      <c r="A6726" s="113">
        <v>41424</v>
      </c>
      <c r="B6726" s="111">
        <f t="shared" si="105"/>
        <v>54</v>
      </c>
      <c r="C6726" s="111"/>
      <c r="D6726" s="111"/>
      <c r="E6726" s="111"/>
    </row>
    <row r="6727" spans="1:5" x14ac:dyDescent="0.2">
      <c r="A6727" s="113">
        <v>41425</v>
      </c>
      <c r="B6727" s="111">
        <f t="shared" si="105"/>
        <v>54</v>
      </c>
      <c r="C6727" s="111"/>
      <c r="D6727" s="111"/>
      <c r="E6727" s="111"/>
    </row>
    <row r="6728" spans="1:5" x14ac:dyDescent="0.2">
      <c r="A6728" s="113">
        <v>41426</v>
      </c>
      <c r="B6728" s="111">
        <f t="shared" si="105"/>
        <v>54</v>
      </c>
      <c r="C6728" s="111"/>
      <c r="D6728" s="111"/>
      <c r="E6728" s="111"/>
    </row>
    <row r="6729" spans="1:5" x14ac:dyDescent="0.2">
      <c r="A6729" s="113">
        <v>41427</v>
      </c>
      <c r="B6729" s="111">
        <f t="shared" si="105"/>
        <v>61</v>
      </c>
      <c r="C6729" s="111"/>
      <c r="D6729" s="111"/>
      <c r="E6729" s="111"/>
    </row>
    <row r="6730" spans="1:5" x14ac:dyDescent="0.2">
      <c r="A6730" s="113">
        <v>41428</v>
      </c>
      <c r="B6730" s="111">
        <f t="shared" si="105"/>
        <v>61</v>
      </c>
      <c r="C6730" s="111"/>
      <c r="D6730" s="111"/>
      <c r="E6730" s="111"/>
    </row>
    <row r="6731" spans="1:5" x14ac:dyDescent="0.2">
      <c r="A6731" s="113">
        <v>41429</v>
      </c>
      <c r="B6731" s="111">
        <f t="shared" si="105"/>
        <v>61</v>
      </c>
      <c r="C6731" s="111"/>
      <c r="D6731" s="111"/>
      <c r="E6731" s="111"/>
    </row>
    <row r="6732" spans="1:5" x14ac:dyDescent="0.2">
      <c r="A6732" s="113">
        <v>41430</v>
      </c>
      <c r="B6732" s="111">
        <f t="shared" si="105"/>
        <v>61</v>
      </c>
      <c r="C6732" s="111"/>
      <c r="D6732" s="111"/>
      <c r="E6732" s="111"/>
    </row>
    <row r="6733" spans="1:5" x14ac:dyDescent="0.2">
      <c r="A6733" s="113">
        <v>41431</v>
      </c>
      <c r="B6733" s="111">
        <f t="shared" si="105"/>
        <v>61</v>
      </c>
      <c r="C6733" s="111"/>
      <c r="D6733" s="111"/>
      <c r="E6733" s="111"/>
    </row>
    <row r="6734" spans="1:5" x14ac:dyDescent="0.2">
      <c r="A6734" s="113">
        <v>41432</v>
      </c>
      <c r="B6734" s="111">
        <f t="shared" si="105"/>
        <v>61</v>
      </c>
      <c r="C6734" s="111"/>
      <c r="D6734" s="111"/>
      <c r="E6734" s="111"/>
    </row>
    <row r="6735" spans="1:5" x14ac:dyDescent="0.2">
      <c r="A6735" s="113">
        <v>41433</v>
      </c>
      <c r="B6735" s="111">
        <f t="shared" si="105"/>
        <v>61</v>
      </c>
      <c r="C6735" s="111"/>
      <c r="D6735" s="111"/>
      <c r="E6735" s="111"/>
    </row>
    <row r="6736" spans="1:5" x14ac:dyDescent="0.2">
      <c r="A6736" s="113">
        <v>41434</v>
      </c>
      <c r="B6736" s="111">
        <f t="shared" si="105"/>
        <v>62</v>
      </c>
      <c r="C6736" s="111"/>
      <c r="D6736" s="111"/>
      <c r="E6736" s="111"/>
    </row>
    <row r="6737" spans="1:5" x14ac:dyDescent="0.2">
      <c r="A6737" s="113">
        <v>41435</v>
      </c>
      <c r="B6737" s="111">
        <f t="shared" si="105"/>
        <v>62</v>
      </c>
      <c r="C6737" s="111"/>
      <c r="D6737" s="111"/>
      <c r="E6737" s="111"/>
    </row>
    <row r="6738" spans="1:5" x14ac:dyDescent="0.2">
      <c r="A6738" s="113">
        <v>41436</v>
      </c>
      <c r="B6738" s="111">
        <f t="shared" si="105"/>
        <v>62</v>
      </c>
      <c r="C6738" s="111"/>
      <c r="D6738" s="111"/>
      <c r="E6738" s="111"/>
    </row>
    <row r="6739" spans="1:5" x14ac:dyDescent="0.2">
      <c r="A6739" s="113">
        <v>41437</v>
      </c>
      <c r="B6739" s="111">
        <f t="shared" si="105"/>
        <v>62</v>
      </c>
      <c r="C6739" s="111"/>
      <c r="D6739" s="111"/>
      <c r="E6739" s="111"/>
    </row>
    <row r="6740" spans="1:5" x14ac:dyDescent="0.2">
      <c r="A6740" s="113">
        <v>41438</v>
      </c>
      <c r="B6740" s="111">
        <f t="shared" si="105"/>
        <v>62</v>
      </c>
      <c r="C6740" s="111"/>
      <c r="D6740" s="111"/>
      <c r="E6740" s="111"/>
    </row>
    <row r="6741" spans="1:5" x14ac:dyDescent="0.2">
      <c r="A6741" s="113">
        <v>41439</v>
      </c>
      <c r="B6741" s="111">
        <f t="shared" si="105"/>
        <v>62</v>
      </c>
      <c r="C6741" s="111"/>
      <c r="D6741" s="111"/>
      <c r="E6741" s="111"/>
    </row>
    <row r="6742" spans="1:5" x14ac:dyDescent="0.2">
      <c r="A6742" s="113">
        <v>41440</v>
      </c>
      <c r="B6742" s="111">
        <f t="shared" si="105"/>
        <v>62</v>
      </c>
      <c r="C6742" s="111"/>
      <c r="D6742" s="111"/>
      <c r="E6742" s="111"/>
    </row>
    <row r="6743" spans="1:5" x14ac:dyDescent="0.2">
      <c r="A6743" s="113">
        <v>41441</v>
      </c>
      <c r="B6743" s="111">
        <f t="shared" si="105"/>
        <v>63</v>
      </c>
      <c r="C6743" s="111"/>
      <c r="D6743" s="111"/>
      <c r="E6743" s="111"/>
    </row>
    <row r="6744" spans="1:5" x14ac:dyDescent="0.2">
      <c r="A6744" s="113">
        <v>41442</v>
      </c>
      <c r="B6744" s="111">
        <f t="shared" si="105"/>
        <v>63</v>
      </c>
      <c r="C6744" s="111"/>
      <c r="D6744" s="111"/>
      <c r="E6744" s="111"/>
    </row>
    <row r="6745" spans="1:5" x14ac:dyDescent="0.2">
      <c r="A6745" s="113">
        <v>41443</v>
      </c>
      <c r="B6745" s="111">
        <f t="shared" si="105"/>
        <v>63</v>
      </c>
      <c r="C6745" s="111"/>
      <c r="D6745" s="111"/>
      <c r="E6745" s="111"/>
    </row>
    <row r="6746" spans="1:5" x14ac:dyDescent="0.2">
      <c r="A6746" s="113">
        <v>41444</v>
      </c>
      <c r="B6746" s="111">
        <f t="shared" si="105"/>
        <v>63</v>
      </c>
      <c r="C6746" s="111"/>
      <c r="D6746" s="111"/>
      <c r="E6746" s="111"/>
    </row>
    <row r="6747" spans="1:5" x14ac:dyDescent="0.2">
      <c r="A6747" s="113">
        <v>41445</v>
      </c>
      <c r="B6747" s="111">
        <f t="shared" si="105"/>
        <v>63</v>
      </c>
      <c r="C6747" s="111"/>
      <c r="D6747" s="111"/>
      <c r="E6747" s="111"/>
    </row>
    <row r="6748" spans="1:5" x14ac:dyDescent="0.2">
      <c r="A6748" s="113">
        <v>41446</v>
      </c>
      <c r="B6748" s="111">
        <f t="shared" si="105"/>
        <v>63</v>
      </c>
      <c r="C6748" s="111"/>
      <c r="D6748" s="111"/>
      <c r="E6748" s="111"/>
    </row>
    <row r="6749" spans="1:5" x14ac:dyDescent="0.2">
      <c r="A6749" s="113">
        <v>41447</v>
      </c>
      <c r="B6749" s="111">
        <f t="shared" si="105"/>
        <v>63</v>
      </c>
      <c r="C6749" s="111"/>
      <c r="D6749" s="111"/>
      <c r="E6749" s="111"/>
    </row>
    <row r="6750" spans="1:5" x14ac:dyDescent="0.2">
      <c r="A6750" s="113">
        <v>41448</v>
      </c>
      <c r="B6750" s="111">
        <f t="shared" si="105"/>
        <v>64</v>
      </c>
      <c r="C6750" s="111"/>
      <c r="D6750" s="111"/>
      <c r="E6750" s="111"/>
    </row>
    <row r="6751" spans="1:5" x14ac:dyDescent="0.2">
      <c r="A6751" s="113">
        <v>41449</v>
      </c>
      <c r="B6751" s="111">
        <f t="shared" si="105"/>
        <v>64</v>
      </c>
      <c r="C6751" s="111"/>
      <c r="D6751" s="111"/>
      <c r="E6751" s="111"/>
    </row>
    <row r="6752" spans="1:5" x14ac:dyDescent="0.2">
      <c r="A6752" s="113">
        <v>41450</v>
      </c>
      <c r="B6752" s="111">
        <f t="shared" si="105"/>
        <v>64</v>
      </c>
      <c r="C6752" s="111"/>
      <c r="D6752" s="111"/>
      <c r="E6752" s="111"/>
    </row>
    <row r="6753" spans="1:5" x14ac:dyDescent="0.2">
      <c r="A6753" s="113">
        <v>41451</v>
      </c>
      <c r="B6753" s="111">
        <f t="shared" si="105"/>
        <v>64</v>
      </c>
      <c r="C6753" s="111"/>
      <c r="D6753" s="111"/>
      <c r="E6753" s="111"/>
    </row>
    <row r="6754" spans="1:5" x14ac:dyDescent="0.2">
      <c r="A6754" s="113">
        <v>41452</v>
      </c>
      <c r="B6754" s="111">
        <f t="shared" si="105"/>
        <v>64</v>
      </c>
      <c r="C6754" s="111"/>
      <c r="D6754" s="111"/>
      <c r="E6754" s="111"/>
    </row>
    <row r="6755" spans="1:5" x14ac:dyDescent="0.2">
      <c r="A6755" s="113">
        <v>41453</v>
      </c>
      <c r="B6755" s="111">
        <f t="shared" si="105"/>
        <v>64</v>
      </c>
      <c r="C6755" s="111"/>
      <c r="D6755" s="111"/>
      <c r="E6755" s="111"/>
    </row>
    <row r="6756" spans="1:5" x14ac:dyDescent="0.2">
      <c r="A6756" s="113">
        <v>41454</v>
      </c>
      <c r="B6756" s="111">
        <f t="shared" si="105"/>
        <v>64</v>
      </c>
      <c r="C6756" s="111"/>
      <c r="D6756" s="111"/>
      <c r="E6756" s="111"/>
    </row>
    <row r="6757" spans="1:5" x14ac:dyDescent="0.2">
      <c r="A6757" s="113">
        <v>41455</v>
      </c>
      <c r="B6757" s="111">
        <f t="shared" si="105"/>
        <v>71</v>
      </c>
      <c r="C6757" s="111"/>
      <c r="D6757" s="111"/>
      <c r="E6757" s="111"/>
    </row>
    <row r="6758" spans="1:5" x14ac:dyDescent="0.2">
      <c r="A6758" s="113">
        <v>41456</v>
      </c>
      <c r="B6758" s="111">
        <f t="shared" si="105"/>
        <v>71</v>
      </c>
      <c r="C6758" s="111"/>
      <c r="D6758" s="111"/>
      <c r="E6758" s="111"/>
    </row>
    <row r="6759" spans="1:5" x14ac:dyDescent="0.2">
      <c r="A6759" s="113">
        <v>41457</v>
      </c>
      <c r="B6759" s="111">
        <f t="shared" si="105"/>
        <v>71</v>
      </c>
      <c r="C6759" s="111"/>
      <c r="D6759" s="111"/>
      <c r="E6759" s="111"/>
    </row>
    <row r="6760" spans="1:5" x14ac:dyDescent="0.2">
      <c r="A6760" s="113">
        <v>41458</v>
      </c>
      <c r="B6760" s="111">
        <f t="shared" si="105"/>
        <v>71</v>
      </c>
      <c r="C6760" s="111"/>
      <c r="D6760" s="111"/>
      <c r="E6760" s="111"/>
    </row>
    <row r="6761" spans="1:5" x14ac:dyDescent="0.2">
      <c r="A6761" s="113">
        <v>41459</v>
      </c>
      <c r="B6761" s="111">
        <f t="shared" si="105"/>
        <v>71</v>
      </c>
      <c r="C6761" s="111"/>
      <c r="D6761" s="111"/>
      <c r="E6761" s="111"/>
    </row>
    <row r="6762" spans="1:5" x14ac:dyDescent="0.2">
      <c r="A6762" s="113">
        <v>41460</v>
      </c>
      <c r="B6762" s="111">
        <f t="shared" si="105"/>
        <v>71</v>
      </c>
      <c r="C6762" s="111"/>
      <c r="D6762" s="111"/>
      <c r="E6762" s="111"/>
    </row>
    <row r="6763" spans="1:5" x14ac:dyDescent="0.2">
      <c r="A6763" s="113">
        <v>41461</v>
      </c>
      <c r="B6763" s="111">
        <f t="shared" si="105"/>
        <v>71</v>
      </c>
      <c r="C6763" s="111"/>
      <c r="D6763" s="111"/>
      <c r="E6763" s="111"/>
    </row>
    <row r="6764" spans="1:5" x14ac:dyDescent="0.2">
      <c r="A6764" s="113">
        <v>41462</v>
      </c>
      <c r="B6764" s="111">
        <f t="shared" si="105"/>
        <v>72</v>
      </c>
      <c r="C6764" s="111"/>
      <c r="D6764" s="111"/>
      <c r="E6764" s="111"/>
    </row>
    <row r="6765" spans="1:5" x14ac:dyDescent="0.2">
      <c r="A6765" s="113">
        <v>41463</v>
      </c>
      <c r="B6765" s="111">
        <f t="shared" si="105"/>
        <v>72</v>
      </c>
      <c r="C6765" s="111"/>
      <c r="D6765" s="111"/>
      <c r="E6765" s="111"/>
    </row>
    <row r="6766" spans="1:5" x14ac:dyDescent="0.2">
      <c r="A6766" s="113">
        <v>41464</v>
      </c>
      <c r="B6766" s="111">
        <f t="shared" si="105"/>
        <v>72</v>
      </c>
      <c r="C6766" s="111"/>
      <c r="D6766" s="111"/>
      <c r="E6766" s="111"/>
    </row>
    <row r="6767" spans="1:5" x14ac:dyDescent="0.2">
      <c r="A6767" s="113">
        <v>41465</v>
      </c>
      <c r="B6767" s="111">
        <f t="shared" si="105"/>
        <v>72</v>
      </c>
      <c r="C6767" s="111"/>
      <c r="D6767" s="111"/>
      <c r="E6767" s="111"/>
    </row>
    <row r="6768" spans="1:5" x14ac:dyDescent="0.2">
      <c r="A6768" s="113">
        <v>41466</v>
      </c>
      <c r="B6768" s="111">
        <f t="shared" si="105"/>
        <v>72</v>
      </c>
      <c r="C6768" s="111"/>
      <c r="D6768" s="111"/>
      <c r="E6768" s="111"/>
    </row>
    <row r="6769" spans="1:5" x14ac:dyDescent="0.2">
      <c r="A6769" s="113">
        <v>41467</v>
      </c>
      <c r="B6769" s="111">
        <f t="shared" si="105"/>
        <v>72</v>
      </c>
      <c r="C6769" s="111"/>
      <c r="D6769" s="111"/>
      <c r="E6769" s="111"/>
    </row>
    <row r="6770" spans="1:5" x14ac:dyDescent="0.2">
      <c r="A6770" s="113">
        <v>41468</v>
      </c>
      <c r="B6770" s="111">
        <f t="shared" si="105"/>
        <v>72</v>
      </c>
      <c r="C6770" s="111"/>
      <c r="D6770" s="111"/>
      <c r="E6770" s="111"/>
    </row>
    <row r="6771" spans="1:5" x14ac:dyDescent="0.2">
      <c r="A6771" s="113">
        <v>41469</v>
      </c>
      <c r="B6771" s="111">
        <f t="shared" si="105"/>
        <v>73</v>
      </c>
      <c r="C6771" s="111"/>
      <c r="D6771" s="111"/>
      <c r="E6771" s="111"/>
    </row>
    <row r="6772" spans="1:5" x14ac:dyDescent="0.2">
      <c r="A6772" s="113">
        <v>41470</v>
      </c>
      <c r="B6772" s="111">
        <f t="shared" si="105"/>
        <v>73</v>
      </c>
      <c r="C6772" s="111"/>
      <c r="D6772" s="111"/>
      <c r="E6772" s="111"/>
    </row>
    <row r="6773" spans="1:5" x14ac:dyDescent="0.2">
      <c r="A6773" s="113">
        <v>41471</v>
      </c>
      <c r="B6773" s="111">
        <f t="shared" si="105"/>
        <v>73</v>
      </c>
      <c r="C6773" s="111"/>
      <c r="D6773" s="111"/>
      <c r="E6773" s="111"/>
    </row>
    <row r="6774" spans="1:5" x14ac:dyDescent="0.2">
      <c r="A6774" s="113">
        <v>41472</v>
      </c>
      <c r="B6774" s="111">
        <f t="shared" si="105"/>
        <v>73</v>
      </c>
      <c r="C6774" s="111"/>
      <c r="D6774" s="111"/>
      <c r="E6774" s="111"/>
    </row>
    <row r="6775" spans="1:5" x14ac:dyDescent="0.2">
      <c r="A6775" s="113">
        <v>41473</v>
      </c>
      <c r="B6775" s="111">
        <f t="shared" si="105"/>
        <v>73</v>
      </c>
      <c r="C6775" s="111"/>
      <c r="D6775" s="111"/>
      <c r="E6775" s="111"/>
    </row>
    <row r="6776" spans="1:5" x14ac:dyDescent="0.2">
      <c r="A6776" s="113">
        <v>41474</v>
      </c>
      <c r="B6776" s="111">
        <f t="shared" si="105"/>
        <v>73</v>
      </c>
      <c r="C6776" s="111"/>
      <c r="D6776" s="111"/>
      <c r="E6776" s="111"/>
    </row>
    <row r="6777" spans="1:5" x14ac:dyDescent="0.2">
      <c r="A6777" s="113">
        <v>41475</v>
      </c>
      <c r="B6777" s="111">
        <f t="shared" si="105"/>
        <v>73</v>
      </c>
      <c r="C6777" s="111"/>
      <c r="D6777" s="111"/>
      <c r="E6777" s="111"/>
    </row>
    <row r="6778" spans="1:5" x14ac:dyDescent="0.2">
      <c r="A6778" s="113">
        <v>41476</v>
      </c>
      <c r="B6778" s="111">
        <f t="shared" si="105"/>
        <v>74</v>
      </c>
      <c r="C6778" s="111"/>
      <c r="D6778" s="111"/>
      <c r="E6778" s="111"/>
    </row>
    <row r="6779" spans="1:5" x14ac:dyDescent="0.2">
      <c r="A6779" s="113">
        <v>41477</v>
      </c>
      <c r="B6779" s="111">
        <f t="shared" si="105"/>
        <v>74</v>
      </c>
      <c r="C6779" s="111"/>
      <c r="D6779" s="111"/>
      <c r="E6779" s="111"/>
    </row>
    <row r="6780" spans="1:5" x14ac:dyDescent="0.2">
      <c r="A6780" s="113">
        <v>41478</v>
      </c>
      <c r="B6780" s="111">
        <f t="shared" si="105"/>
        <v>74</v>
      </c>
      <c r="C6780" s="111"/>
      <c r="D6780" s="111"/>
      <c r="E6780" s="111"/>
    </row>
    <row r="6781" spans="1:5" x14ac:dyDescent="0.2">
      <c r="A6781" s="113">
        <v>41479</v>
      </c>
      <c r="B6781" s="111">
        <f t="shared" si="105"/>
        <v>74</v>
      </c>
      <c r="C6781" s="111"/>
      <c r="D6781" s="111"/>
      <c r="E6781" s="111"/>
    </row>
    <row r="6782" spans="1:5" x14ac:dyDescent="0.2">
      <c r="A6782" s="113">
        <v>41480</v>
      </c>
      <c r="B6782" s="111">
        <f t="shared" si="105"/>
        <v>74</v>
      </c>
      <c r="C6782" s="111"/>
      <c r="D6782" s="111"/>
      <c r="E6782" s="111"/>
    </row>
    <row r="6783" spans="1:5" x14ac:dyDescent="0.2">
      <c r="A6783" s="113">
        <v>41481</v>
      </c>
      <c r="B6783" s="111">
        <f t="shared" si="105"/>
        <v>74</v>
      </c>
      <c r="C6783" s="111"/>
      <c r="D6783" s="111"/>
      <c r="E6783" s="111"/>
    </row>
    <row r="6784" spans="1:5" x14ac:dyDescent="0.2">
      <c r="A6784" s="113">
        <v>41482</v>
      </c>
      <c r="B6784" s="111">
        <f t="shared" si="105"/>
        <v>74</v>
      </c>
      <c r="C6784" s="111"/>
      <c r="D6784" s="111"/>
      <c r="E6784" s="111"/>
    </row>
    <row r="6785" spans="1:5" x14ac:dyDescent="0.2">
      <c r="A6785" s="113">
        <v>41483</v>
      </c>
      <c r="B6785" s="111">
        <f t="shared" si="105"/>
        <v>75</v>
      </c>
      <c r="C6785" s="111"/>
      <c r="D6785" s="111"/>
      <c r="E6785" s="111"/>
    </row>
    <row r="6786" spans="1:5" x14ac:dyDescent="0.2">
      <c r="A6786" s="113">
        <v>41484</v>
      </c>
      <c r="B6786" s="111">
        <f t="shared" ref="B6786:B6849" si="106">VLOOKUP(WEEKNUM(A6786),$D$3:$E$58,2)</f>
        <v>75</v>
      </c>
      <c r="C6786" s="111"/>
      <c r="D6786" s="111"/>
      <c r="E6786" s="111"/>
    </row>
    <row r="6787" spans="1:5" x14ac:dyDescent="0.2">
      <c r="A6787" s="113">
        <v>41485</v>
      </c>
      <c r="B6787" s="111">
        <f t="shared" si="106"/>
        <v>75</v>
      </c>
      <c r="C6787" s="111"/>
      <c r="D6787" s="111"/>
      <c r="E6787" s="111"/>
    </row>
    <row r="6788" spans="1:5" x14ac:dyDescent="0.2">
      <c r="A6788" s="113">
        <v>41486</v>
      </c>
      <c r="B6788" s="111">
        <f t="shared" si="106"/>
        <v>75</v>
      </c>
      <c r="C6788" s="111"/>
      <c r="D6788" s="111"/>
      <c r="E6788" s="111"/>
    </row>
    <row r="6789" spans="1:5" x14ac:dyDescent="0.2">
      <c r="A6789" s="113">
        <v>41487</v>
      </c>
      <c r="B6789" s="111">
        <f t="shared" si="106"/>
        <v>75</v>
      </c>
      <c r="C6789" s="111"/>
      <c r="D6789" s="111"/>
      <c r="E6789" s="111"/>
    </row>
    <row r="6790" spans="1:5" x14ac:dyDescent="0.2">
      <c r="A6790" s="113">
        <v>41488</v>
      </c>
      <c r="B6790" s="111">
        <f t="shared" si="106"/>
        <v>75</v>
      </c>
      <c r="C6790" s="111"/>
      <c r="D6790" s="111"/>
      <c r="E6790" s="111"/>
    </row>
    <row r="6791" spans="1:5" x14ac:dyDescent="0.2">
      <c r="A6791" s="113">
        <v>41489</v>
      </c>
      <c r="B6791" s="111">
        <f t="shared" si="106"/>
        <v>75</v>
      </c>
      <c r="C6791" s="111"/>
      <c r="D6791" s="111"/>
      <c r="E6791" s="111"/>
    </row>
    <row r="6792" spans="1:5" x14ac:dyDescent="0.2">
      <c r="A6792" s="113">
        <v>41490</v>
      </c>
      <c r="B6792" s="111">
        <f t="shared" si="106"/>
        <v>81</v>
      </c>
      <c r="C6792" s="111"/>
      <c r="D6792" s="111"/>
      <c r="E6792" s="111"/>
    </row>
    <row r="6793" spans="1:5" x14ac:dyDescent="0.2">
      <c r="A6793" s="113">
        <v>41491</v>
      </c>
      <c r="B6793" s="111">
        <f t="shared" si="106"/>
        <v>81</v>
      </c>
      <c r="C6793" s="111"/>
      <c r="D6793" s="111"/>
      <c r="E6793" s="111"/>
    </row>
    <row r="6794" spans="1:5" x14ac:dyDescent="0.2">
      <c r="A6794" s="113">
        <v>41492</v>
      </c>
      <c r="B6794" s="111">
        <f t="shared" si="106"/>
        <v>81</v>
      </c>
      <c r="C6794" s="111"/>
      <c r="D6794" s="111"/>
      <c r="E6794" s="111"/>
    </row>
    <row r="6795" spans="1:5" x14ac:dyDescent="0.2">
      <c r="A6795" s="113">
        <v>41493</v>
      </c>
      <c r="B6795" s="111">
        <f t="shared" si="106"/>
        <v>81</v>
      </c>
      <c r="C6795" s="111"/>
      <c r="D6795" s="111"/>
      <c r="E6795" s="111"/>
    </row>
    <row r="6796" spans="1:5" x14ac:dyDescent="0.2">
      <c r="A6796" s="113">
        <v>41494</v>
      </c>
      <c r="B6796" s="111">
        <f t="shared" si="106"/>
        <v>81</v>
      </c>
      <c r="C6796" s="111"/>
      <c r="D6796" s="111"/>
      <c r="E6796" s="111"/>
    </row>
    <row r="6797" spans="1:5" x14ac:dyDescent="0.2">
      <c r="A6797" s="113">
        <v>41495</v>
      </c>
      <c r="B6797" s="111">
        <f t="shared" si="106"/>
        <v>81</v>
      </c>
      <c r="C6797" s="111"/>
      <c r="D6797" s="111"/>
      <c r="E6797" s="111"/>
    </row>
    <row r="6798" spans="1:5" x14ac:dyDescent="0.2">
      <c r="A6798" s="113">
        <v>41496</v>
      </c>
      <c r="B6798" s="111">
        <f t="shared" si="106"/>
        <v>81</v>
      </c>
      <c r="C6798" s="111"/>
      <c r="D6798" s="111"/>
      <c r="E6798" s="111"/>
    </row>
    <row r="6799" spans="1:5" x14ac:dyDescent="0.2">
      <c r="A6799" s="113">
        <v>41497</v>
      </c>
      <c r="B6799" s="111">
        <f t="shared" si="106"/>
        <v>82</v>
      </c>
      <c r="C6799" s="111"/>
      <c r="D6799" s="111"/>
      <c r="E6799" s="111"/>
    </row>
    <row r="6800" spans="1:5" x14ac:dyDescent="0.2">
      <c r="A6800" s="113">
        <v>41498</v>
      </c>
      <c r="B6800" s="111">
        <f t="shared" si="106"/>
        <v>82</v>
      </c>
      <c r="C6800" s="111"/>
      <c r="D6800" s="111"/>
      <c r="E6800" s="111"/>
    </row>
    <row r="6801" spans="1:5" x14ac:dyDescent="0.2">
      <c r="A6801" s="113">
        <v>41499</v>
      </c>
      <c r="B6801" s="111">
        <f t="shared" si="106"/>
        <v>82</v>
      </c>
      <c r="C6801" s="111"/>
      <c r="D6801" s="111"/>
      <c r="E6801" s="111"/>
    </row>
    <row r="6802" spans="1:5" x14ac:dyDescent="0.2">
      <c r="A6802" s="113">
        <v>41500</v>
      </c>
      <c r="B6802" s="111">
        <f t="shared" si="106"/>
        <v>82</v>
      </c>
      <c r="C6802" s="111"/>
      <c r="D6802" s="111"/>
      <c r="E6802" s="111"/>
    </row>
    <row r="6803" spans="1:5" x14ac:dyDescent="0.2">
      <c r="A6803" s="113">
        <v>41501</v>
      </c>
      <c r="B6803" s="111">
        <f t="shared" si="106"/>
        <v>82</v>
      </c>
      <c r="C6803" s="111"/>
      <c r="D6803" s="111"/>
      <c r="E6803" s="111"/>
    </row>
    <row r="6804" spans="1:5" x14ac:dyDescent="0.2">
      <c r="A6804" s="113">
        <v>41502</v>
      </c>
      <c r="B6804" s="111">
        <f t="shared" si="106"/>
        <v>82</v>
      </c>
      <c r="C6804" s="111"/>
      <c r="D6804" s="111"/>
      <c r="E6804" s="111"/>
    </row>
    <row r="6805" spans="1:5" x14ac:dyDescent="0.2">
      <c r="A6805" s="113">
        <v>41503</v>
      </c>
      <c r="B6805" s="111">
        <f t="shared" si="106"/>
        <v>82</v>
      </c>
      <c r="C6805" s="111"/>
      <c r="D6805" s="111"/>
      <c r="E6805" s="111"/>
    </row>
    <row r="6806" spans="1:5" x14ac:dyDescent="0.2">
      <c r="A6806" s="113">
        <v>41504</v>
      </c>
      <c r="B6806" s="111">
        <f t="shared" si="106"/>
        <v>83</v>
      </c>
      <c r="C6806" s="111"/>
      <c r="D6806" s="111"/>
      <c r="E6806" s="111"/>
    </row>
    <row r="6807" spans="1:5" x14ac:dyDescent="0.2">
      <c r="A6807" s="113">
        <v>41505</v>
      </c>
      <c r="B6807" s="111">
        <f t="shared" si="106"/>
        <v>83</v>
      </c>
      <c r="C6807" s="111"/>
      <c r="D6807" s="111"/>
      <c r="E6807" s="111"/>
    </row>
    <row r="6808" spans="1:5" x14ac:dyDescent="0.2">
      <c r="A6808" s="113">
        <v>41506</v>
      </c>
      <c r="B6808" s="111">
        <f t="shared" si="106"/>
        <v>83</v>
      </c>
      <c r="C6808" s="111"/>
      <c r="D6808" s="111"/>
      <c r="E6808" s="111"/>
    </row>
    <row r="6809" spans="1:5" x14ac:dyDescent="0.2">
      <c r="A6809" s="113">
        <v>41507</v>
      </c>
      <c r="B6809" s="111">
        <f t="shared" si="106"/>
        <v>83</v>
      </c>
      <c r="C6809" s="111"/>
      <c r="D6809" s="111"/>
      <c r="E6809" s="111"/>
    </row>
    <row r="6810" spans="1:5" x14ac:dyDescent="0.2">
      <c r="A6810" s="113">
        <v>41508</v>
      </c>
      <c r="B6810" s="111">
        <f t="shared" si="106"/>
        <v>83</v>
      </c>
      <c r="C6810" s="111"/>
      <c r="D6810" s="111"/>
      <c r="E6810" s="111"/>
    </row>
    <row r="6811" spans="1:5" x14ac:dyDescent="0.2">
      <c r="A6811" s="113">
        <v>41509</v>
      </c>
      <c r="B6811" s="111">
        <f t="shared" si="106"/>
        <v>83</v>
      </c>
      <c r="C6811" s="111"/>
      <c r="D6811" s="111"/>
      <c r="E6811" s="111"/>
    </row>
    <row r="6812" spans="1:5" x14ac:dyDescent="0.2">
      <c r="A6812" s="113">
        <v>41510</v>
      </c>
      <c r="B6812" s="111">
        <f t="shared" si="106"/>
        <v>83</v>
      </c>
      <c r="C6812" s="111"/>
      <c r="D6812" s="111"/>
      <c r="E6812" s="111"/>
    </row>
    <row r="6813" spans="1:5" x14ac:dyDescent="0.2">
      <c r="A6813" s="113">
        <v>41511</v>
      </c>
      <c r="B6813" s="111">
        <f t="shared" si="106"/>
        <v>84</v>
      </c>
      <c r="C6813" s="111"/>
      <c r="D6813" s="111"/>
      <c r="E6813" s="111"/>
    </row>
    <row r="6814" spans="1:5" x14ac:dyDescent="0.2">
      <c r="A6814" s="113">
        <v>41512</v>
      </c>
      <c r="B6814" s="111">
        <f t="shared" si="106"/>
        <v>84</v>
      </c>
      <c r="C6814" s="111"/>
      <c r="D6814" s="111"/>
      <c r="E6814" s="111"/>
    </row>
    <row r="6815" spans="1:5" x14ac:dyDescent="0.2">
      <c r="A6815" s="113">
        <v>41513</v>
      </c>
      <c r="B6815" s="111">
        <f t="shared" si="106"/>
        <v>84</v>
      </c>
      <c r="C6815" s="111"/>
      <c r="D6815" s="111"/>
      <c r="E6815" s="111"/>
    </row>
    <row r="6816" spans="1:5" x14ac:dyDescent="0.2">
      <c r="A6816" s="113">
        <v>41514</v>
      </c>
      <c r="B6816" s="111">
        <f t="shared" si="106"/>
        <v>84</v>
      </c>
      <c r="C6816" s="111"/>
      <c r="D6816" s="111"/>
      <c r="E6816" s="111"/>
    </row>
    <row r="6817" spans="1:5" x14ac:dyDescent="0.2">
      <c r="A6817" s="113">
        <v>41515</v>
      </c>
      <c r="B6817" s="111">
        <f t="shared" si="106"/>
        <v>84</v>
      </c>
      <c r="C6817" s="111"/>
      <c r="D6817" s="111"/>
      <c r="E6817" s="111"/>
    </row>
    <row r="6818" spans="1:5" x14ac:dyDescent="0.2">
      <c r="A6818" s="113">
        <v>41516</v>
      </c>
      <c r="B6818" s="111">
        <f t="shared" si="106"/>
        <v>84</v>
      </c>
      <c r="C6818" s="111"/>
      <c r="D6818" s="111"/>
      <c r="E6818" s="111"/>
    </row>
    <row r="6819" spans="1:5" x14ac:dyDescent="0.2">
      <c r="A6819" s="113">
        <v>41517</v>
      </c>
      <c r="B6819" s="111">
        <f t="shared" si="106"/>
        <v>84</v>
      </c>
      <c r="C6819" s="111"/>
      <c r="D6819" s="111"/>
      <c r="E6819" s="111"/>
    </row>
    <row r="6820" spans="1:5" x14ac:dyDescent="0.2">
      <c r="A6820" s="113">
        <v>41518</v>
      </c>
      <c r="B6820" s="111">
        <f t="shared" si="106"/>
        <v>91</v>
      </c>
      <c r="C6820" s="111"/>
      <c r="D6820" s="111"/>
      <c r="E6820" s="111"/>
    </row>
    <row r="6821" spans="1:5" x14ac:dyDescent="0.2">
      <c r="A6821" s="113">
        <v>41519</v>
      </c>
      <c r="B6821" s="111">
        <f t="shared" si="106"/>
        <v>91</v>
      </c>
      <c r="C6821" s="111"/>
      <c r="D6821" s="111"/>
      <c r="E6821" s="111"/>
    </row>
    <row r="6822" spans="1:5" x14ac:dyDescent="0.2">
      <c r="A6822" s="113">
        <v>41520</v>
      </c>
      <c r="B6822" s="111">
        <f t="shared" si="106"/>
        <v>91</v>
      </c>
      <c r="C6822" s="111"/>
      <c r="D6822" s="111"/>
      <c r="E6822" s="111"/>
    </row>
    <row r="6823" spans="1:5" x14ac:dyDescent="0.2">
      <c r="A6823" s="113">
        <v>41521</v>
      </c>
      <c r="B6823" s="111">
        <f t="shared" si="106"/>
        <v>91</v>
      </c>
      <c r="C6823" s="111"/>
      <c r="D6823" s="111"/>
      <c r="E6823" s="111"/>
    </row>
    <row r="6824" spans="1:5" x14ac:dyDescent="0.2">
      <c r="A6824" s="113">
        <v>41522</v>
      </c>
      <c r="B6824" s="111">
        <f t="shared" si="106"/>
        <v>91</v>
      </c>
      <c r="C6824" s="111"/>
      <c r="D6824" s="111"/>
      <c r="E6824" s="111"/>
    </row>
    <row r="6825" spans="1:5" x14ac:dyDescent="0.2">
      <c r="A6825" s="113">
        <v>41523</v>
      </c>
      <c r="B6825" s="111">
        <f t="shared" si="106"/>
        <v>91</v>
      </c>
      <c r="C6825" s="111"/>
      <c r="D6825" s="111"/>
      <c r="E6825" s="111"/>
    </row>
    <row r="6826" spans="1:5" x14ac:dyDescent="0.2">
      <c r="A6826" s="113">
        <v>41524</v>
      </c>
      <c r="B6826" s="111">
        <f t="shared" si="106"/>
        <v>91</v>
      </c>
      <c r="C6826" s="111"/>
      <c r="D6826" s="111"/>
      <c r="E6826" s="111"/>
    </row>
    <row r="6827" spans="1:5" x14ac:dyDescent="0.2">
      <c r="A6827" s="113">
        <v>41525</v>
      </c>
      <c r="B6827" s="111">
        <f t="shared" si="106"/>
        <v>92</v>
      </c>
      <c r="C6827" s="111"/>
      <c r="D6827" s="111"/>
      <c r="E6827" s="111"/>
    </row>
    <row r="6828" spans="1:5" x14ac:dyDescent="0.2">
      <c r="A6828" s="113">
        <v>41526</v>
      </c>
      <c r="B6828" s="111">
        <f t="shared" si="106"/>
        <v>92</v>
      </c>
      <c r="C6828" s="111"/>
      <c r="D6828" s="111"/>
      <c r="E6828" s="111"/>
    </row>
    <row r="6829" spans="1:5" x14ac:dyDescent="0.2">
      <c r="A6829" s="113">
        <v>41527</v>
      </c>
      <c r="B6829" s="111">
        <f t="shared" si="106"/>
        <v>92</v>
      </c>
      <c r="C6829" s="111"/>
      <c r="D6829" s="111"/>
      <c r="E6829" s="111"/>
    </row>
    <row r="6830" spans="1:5" x14ac:dyDescent="0.2">
      <c r="A6830" s="113">
        <v>41528</v>
      </c>
      <c r="B6830" s="111">
        <f t="shared" si="106"/>
        <v>92</v>
      </c>
      <c r="C6830" s="111"/>
      <c r="D6830" s="111"/>
      <c r="E6830" s="111"/>
    </row>
    <row r="6831" spans="1:5" x14ac:dyDescent="0.2">
      <c r="A6831" s="113">
        <v>41529</v>
      </c>
      <c r="B6831" s="111">
        <f t="shared" si="106"/>
        <v>92</v>
      </c>
      <c r="C6831" s="111"/>
      <c r="D6831" s="111"/>
      <c r="E6831" s="111"/>
    </row>
    <row r="6832" spans="1:5" x14ac:dyDescent="0.2">
      <c r="A6832" s="113">
        <v>41530</v>
      </c>
      <c r="B6832" s="111">
        <f t="shared" si="106"/>
        <v>92</v>
      </c>
      <c r="C6832" s="111"/>
      <c r="D6832" s="111"/>
      <c r="E6832" s="111"/>
    </row>
    <row r="6833" spans="1:5" x14ac:dyDescent="0.2">
      <c r="A6833" s="113">
        <v>41531</v>
      </c>
      <c r="B6833" s="111">
        <f t="shared" si="106"/>
        <v>92</v>
      </c>
      <c r="C6833" s="111"/>
      <c r="D6833" s="111"/>
      <c r="E6833" s="111"/>
    </row>
    <row r="6834" spans="1:5" x14ac:dyDescent="0.2">
      <c r="A6834" s="113">
        <v>41532</v>
      </c>
      <c r="B6834" s="111">
        <f t="shared" si="106"/>
        <v>93</v>
      </c>
      <c r="C6834" s="111"/>
      <c r="D6834" s="111"/>
      <c r="E6834" s="111"/>
    </row>
    <row r="6835" spans="1:5" x14ac:dyDescent="0.2">
      <c r="A6835" s="113">
        <v>41533</v>
      </c>
      <c r="B6835" s="111">
        <f t="shared" si="106"/>
        <v>93</v>
      </c>
      <c r="C6835" s="111"/>
      <c r="D6835" s="111"/>
      <c r="E6835" s="111"/>
    </row>
    <row r="6836" spans="1:5" x14ac:dyDescent="0.2">
      <c r="A6836" s="113">
        <v>41534</v>
      </c>
      <c r="B6836" s="111">
        <f t="shared" si="106"/>
        <v>93</v>
      </c>
      <c r="C6836" s="111"/>
      <c r="D6836" s="111"/>
      <c r="E6836" s="111"/>
    </row>
    <row r="6837" spans="1:5" x14ac:dyDescent="0.2">
      <c r="A6837" s="113">
        <v>41535</v>
      </c>
      <c r="B6837" s="111">
        <f t="shared" si="106"/>
        <v>93</v>
      </c>
      <c r="C6837" s="111"/>
      <c r="D6837" s="111"/>
      <c r="E6837" s="111"/>
    </row>
    <row r="6838" spans="1:5" x14ac:dyDescent="0.2">
      <c r="A6838" s="113">
        <v>41536</v>
      </c>
      <c r="B6838" s="111">
        <f t="shared" si="106"/>
        <v>93</v>
      </c>
      <c r="C6838" s="111"/>
      <c r="D6838" s="111"/>
      <c r="E6838" s="111"/>
    </row>
    <row r="6839" spans="1:5" x14ac:dyDescent="0.2">
      <c r="A6839" s="113">
        <v>41537</v>
      </c>
      <c r="B6839" s="111">
        <f t="shared" si="106"/>
        <v>93</v>
      </c>
      <c r="C6839" s="111"/>
      <c r="D6839" s="111"/>
      <c r="E6839" s="111"/>
    </row>
    <row r="6840" spans="1:5" x14ac:dyDescent="0.2">
      <c r="A6840" s="113">
        <v>41538</v>
      </c>
      <c r="B6840" s="111">
        <f t="shared" si="106"/>
        <v>93</v>
      </c>
      <c r="C6840" s="111"/>
      <c r="D6840" s="111"/>
      <c r="E6840" s="111"/>
    </row>
    <row r="6841" spans="1:5" x14ac:dyDescent="0.2">
      <c r="A6841" s="113">
        <v>41539</v>
      </c>
      <c r="B6841" s="111">
        <f t="shared" si="106"/>
        <v>94</v>
      </c>
      <c r="C6841" s="111"/>
      <c r="D6841" s="111"/>
      <c r="E6841" s="111"/>
    </row>
    <row r="6842" spans="1:5" x14ac:dyDescent="0.2">
      <c r="A6842" s="113">
        <v>41540</v>
      </c>
      <c r="B6842" s="111">
        <f t="shared" si="106"/>
        <v>94</v>
      </c>
      <c r="C6842" s="111"/>
      <c r="D6842" s="111"/>
      <c r="E6842" s="111"/>
    </row>
    <row r="6843" spans="1:5" x14ac:dyDescent="0.2">
      <c r="A6843" s="113">
        <v>41541</v>
      </c>
      <c r="B6843" s="111">
        <f t="shared" si="106"/>
        <v>94</v>
      </c>
      <c r="C6843" s="111"/>
      <c r="D6843" s="111"/>
      <c r="E6843" s="111"/>
    </row>
    <row r="6844" spans="1:5" x14ac:dyDescent="0.2">
      <c r="A6844" s="113">
        <v>41542</v>
      </c>
      <c r="B6844" s="111">
        <f t="shared" si="106"/>
        <v>94</v>
      </c>
      <c r="C6844" s="111"/>
      <c r="D6844" s="111"/>
      <c r="E6844" s="111"/>
    </row>
    <row r="6845" spans="1:5" x14ac:dyDescent="0.2">
      <c r="A6845" s="113">
        <v>41543</v>
      </c>
      <c r="B6845" s="111">
        <f t="shared" si="106"/>
        <v>94</v>
      </c>
      <c r="C6845" s="111"/>
      <c r="D6845" s="111"/>
      <c r="E6845" s="111"/>
    </row>
    <row r="6846" spans="1:5" x14ac:dyDescent="0.2">
      <c r="A6846" s="113">
        <v>41544</v>
      </c>
      <c r="B6846" s="111">
        <f t="shared" si="106"/>
        <v>94</v>
      </c>
      <c r="C6846" s="111"/>
      <c r="D6846" s="111"/>
      <c r="E6846" s="111"/>
    </row>
    <row r="6847" spans="1:5" x14ac:dyDescent="0.2">
      <c r="A6847" s="113">
        <v>41545</v>
      </c>
      <c r="B6847" s="111">
        <f t="shared" si="106"/>
        <v>94</v>
      </c>
      <c r="C6847" s="111"/>
      <c r="D6847" s="111"/>
      <c r="E6847" s="111"/>
    </row>
    <row r="6848" spans="1:5" x14ac:dyDescent="0.2">
      <c r="A6848" s="113">
        <v>41546</v>
      </c>
      <c r="B6848" s="111">
        <f t="shared" si="106"/>
        <v>101</v>
      </c>
      <c r="C6848" s="111"/>
      <c r="D6848" s="111"/>
      <c r="E6848" s="111"/>
    </row>
    <row r="6849" spans="1:5" x14ac:dyDescent="0.2">
      <c r="A6849" s="113">
        <v>41547</v>
      </c>
      <c r="B6849" s="111">
        <f t="shared" si="106"/>
        <v>101</v>
      </c>
      <c r="C6849" s="111"/>
      <c r="D6849" s="111"/>
      <c r="E6849" s="111"/>
    </row>
    <row r="6850" spans="1:5" x14ac:dyDescent="0.2">
      <c r="A6850" s="113">
        <v>41548</v>
      </c>
      <c r="B6850" s="111">
        <f t="shared" ref="B6850:B6913" si="107">VLOOKUP(WEEKNUM(A6850),$D$3:$E$58,2)</f>
        <v>101</v>
      </c>
      <c r="C6850" s="111"/>
      <c r="D6850" s="111"/>
      <c r="E6850" s="111"/>
    </row>
    <row r="6851" spans="1:5" x14ac:dyDescent="0.2">
      <c r="A6851" s="113">
        <v>41549</v>
      </c>
      <c r="B6851" s="111">
        <f t="shared" si="107"/>
        <v>101</v>
      </c>
      <c r="C6851" s="111"/>
      <c r="D6851" s="111"/>
      <c r="E6851" s="111"/>
    </row>
    <row r="6852" spans="1:5" x14ac:dyDescent="0.2">
      <c r="A6852" s="113">
        <v>41550</v>
      </c>
      <c r="B6852" s="111">
        <f t="shared" si="107"/>
        <v>101</v>
      </c>
      <c r="C6852" s="111"/>
      <c r="D6852" s="111"/>
      <c r="E6852" s="111"/>
    </row>
    <row r="6853" spans="1:5" x14ac:dyDescent="0.2">
      <c r="A6853" s="113">
        <v>41551</v>
      </c>
      <c r="B6853" s="111">
        <f t="shared" si="107"/>
        <v>101</v>
      </c>
      <c r="C6853" s="111"/>
      <c r="D6853" s="111"/>
      <c r="E6853" s="111"/>
    </row>
    <row r="6854" spans="1:5" x14ac:dyDescent="0.2">
      <c r="A6854" s="113">
        <v>41552</v>
      </c>
      <c r="B6854" s="111">
        <f t="shared" si="107"/>
        <v>101</v>
      </c>
      <c r="C6854" s="111"/>
      <c r="D6854" s="111"/>
      <c r="E6854" s="111"/>
    </row>
    <row r="6855" spans="1:5" x14ac:dyDescent="0.2">
      <c r="A6855" s="113">
        <v>41553</v>
      </c>
      <c r="B6855" s="111">
        <f t="shared" si="107"/>
        <v>102</v>
      </c>
      <c r="C6855" s="111"/>
      <c r="D6855" s="111"/>
      <c r="E6855" s="111"/>
    </row>
    <row r="6856" spans="1:5" x14ac:dyDescent="0.2">
      <c r="A6856" s="113">
        <v>41554</v>
      </c>
      <c r="B6856" s="111">
        <f t="shared" si="107"/>
        <v>102</v>
      </c>
      <c r="C6856" s="111"/>
      <c r="D6856" s="111"/>
      <c r="E6856" s="111"/>
    </row>
    <row r="6857" spans="1:5" x14ac:dyDescent="0.2">
      <c r="A6857" s="113">
        <v>41555</v>
      </c>
      <c r="B6857" s="111">
        <f t="shared" si="107"/>
        <v>102</v>
      </c>
      <c r="C6857" s="111"/>
      <c r="D6857" s="111"/>
      <c r="E6857" s="111"/>
    </row>
    <row r="6858" spans="1:5" x14ac:dyDescent="0.2">
      <c r="A6858" s="113">
        <v>41556</v>
      </c>
      <c r="B6858" s="111">
        <f t="shared" si="107"/>
        <v>102</v>
      </c>
      <c r="C6858" s="111"/>
      <c r="D6858" s="111"/>
      <c r="E6858" s="111"/>
    </row>
    <row r="6859" spans="1:5" x14ac:dyDescent="0.2">
      <c r="A6859" s="113">
        <v>41557</v>
      </c>
      <c r="B6859" s="111">
        <f t="shared" si="107"/>
        <v>102</v>
      </c>
      <c r="C6859" s="111"/>
      <c r="D6859" s="111"/>
      <c r="E6859" s="111"/>
    </row>
    <row r="6860" spans="1:5" x14ac:dyDescent="0.2">
      <c r="A6860" s="113">
        <v>41558</v>
      </c>
      <c r="B6860" s="111">
        <f t="shared" si="107"/>
        <v>102</v>
      </c>
      <c r="C6860" s="111"/>
      <c r="D6860" s="111"/>
      <c r="E6860" s="111"/>
    </row>
    <row r="6861" spans="1:5" x14ac:dyDescent="0.2">
      <c r="A6861" s="113">
        <v>41559</v>
      </c>
      <c r="B6861" s="111">
        <f t="shared" si="107"/>
        <v>102</v>
      </c>
      <c r="C6861" s="111"/>
      <c r="D6861" s="111"/>
      <c r="E6861" s="111"/>
    </row>
    <row r="6862" spans="1:5" x14ac:dyDescent="0.2">
      <c r="A6862" s="113">
        <v>41560</v>
      </c>
      <c r="B6862" s="111">
        <f t="shared" si="107"/>
        <v>103</v>
      </c>
      <c r="C6862" s="111"/>
      <c r="D6862" s="111"/>
      <c r="E6862" s="111"/>
    </row>
    <row r="6863" spans="1:5" x14ac:dyDescent="0.2">
      <c r="A6863" s="113">
        <v>41561</v>
      </c>
      <c r="B6863" s="111">
        <f t="shared" si="107"/>
        <v>103</v>
      </c>
      <c r="C6863" s="111"/>
      <c r="D6863" s="111"/>
      <c r="E6863" s="111"/>
    </row>
    <row r="6864" spans="1:5" x14ac:dyDescent="0.2">
      <c r="A6864" s="113">
        <v>41562</v>
      </c>
      <c r="B6864" s="111">
        <f t="shared" si="107"/>
        <v>103</v>
      </c>
      <c r="C6864" s="111"/>
      <c r="D6864" s="111"/>
      <c r="E6864" s="111"/>
    </row>
    <row r="6865" spans="1:5" x14ac:dyDescent="0.2">
      <c r="A6865" s="113">
        <v>41563</v>
      </c>
      <c r="B6865" s="111">
        <f t="shared" si="107"/>
        <v>103</v>
      </c>
      <c r="C6865" s="111"/>
      <c r="D6865" s="111"/>
      <c r="E6865" s="111"/>
    </row>
    <row r="6866" spans="1:5" x14ac:dyDescent="0.2">
      <c r="A6866" s="113">
        <v>41564</v>
      </c>
      <c r="B6866" s="111">
        <f t="shared" si="107"/>
        <v>103</v>
      </c>
      <c r="C6866" s="111"/>
      <c r="D6866" s="111"/>
      <c r="E6866" s="111"/>
    </row>
    <row r="6867" spans="1:5" x14ac:dyDescent="0.2">
      <c r="A6867" s="113">
        <v>41565</v>
      </c>
      <c r="B6867" s="111">
        <f t="shared" si="107"/>
        <v>103</v>
      </c>
      <c r="C6867" s="111"/>
      <c r="D6867" s="111"/>
      <c r="E6867" s="111"/>
    </row>
    <row r="6868" spans="1:5" x14ac:dyDescent="0.2">
      <c r="A6868" s="113">
        <v>41566</v>
      </c>
      <c r="B6868" s="111">
        <f t="shared" si="107"/>
        <v>103</v>
      </c>
      <c r="C6868" s="111"/>
      <c r="D6868" s="111"/>
      <c r="E6868" s="111"/>
    </row>
    <row r="6869" spans="1:5" x14ac:dyDescent="0.2">
      <c r="A6869" s="113">
        <v>41567</v>
      </c>
      <c r="B6869" s="111">
        <f t="shared" si="107"/>
        <v>104</v>
      </c>
      <c r="C6869" s="111"/>
      <c r="D6869" s="111"/>
      <c r="E6869" s="111"/>
    </row>
    <row r="6870" spans="1:5" x14ac:dyDescent="0.2">
      <c r="A6870" s="113">
        <v>41568</v>
      </c>
      <c r="B6870" s="111">
        <f t="shared" si="107"/>
        <v>104</v>
      </c>
      <c r="C6870" s="111"/>
      <c r="D6870" s="111"/>
      <c r="E6870" s="111"/>
    </row>
    <row r="6871" spans="1:5" x14ac:dyDescent="0.2">
      <c r="A6871" s="113">
        <v>41569</v>
      </c>
      <c r="B6871" s="111">
        <f t="shared" si="107"/>
        <v>104</v>
      </c>
      <c r="C6871" s="111"/>
      <c r="D6871" s="111"/>
      <c r="E6871" s="111"/>
    </row>
    <row r="6872" spans="1:5" x14ac:dyDescent="0.2">
      <c r="A6872" s="113">
        <v>41570</v>
      </c>
      <c r="B6872" s="111">
        <f t="shared" si="107"/>
        <v>104</v>
      </c>
      <c r="C6872" s="111"/>
      <c r="D6872" s="111"/>
      <c r="E6872" s="111"/>
    </row>
    <row r="6873" spans="1:5" x14ac:dyDescent="0.2">
      <c r="A6873" s="113">
        <v>41571</v>
      </c>
      <c r="B6873" s="111">
        <f t="shared" si="107"/>
        <v>104</v>
      </c>
      <c r="C6873" s="111"/>
      <c r="D6873" s="111"/>
      <c r="E6873" s="111"/>
    </row>
    <row r="6874" spans="1:5" x14ac:dyDescent="0.2">
      <c r="A6874" s="113">
        <v>41572</v>
      </c>
      <c r="B6874" s="111">
        <f t="shared" si="107"/>
        <v>104</v>
      </c>
      <c r="C6874" s="111"/>
      <c r="D6874" s="111"/>
      <c r="E6874" s="111"/>
    </row>
    <row r="6875" spans="1:5" x14ac:dyDescent="0.2">
      <c r="A6875" s="113">
        <v>41573</v>
      </c>
      <c r="B6875" s="111">
        <f t="shared" si="107"/>
        <v>104</v>
      </c>
      <c r="C6875" s="111"/>
      <c r="D6875" s="111"/>
      <c r="E6875" s="111"/>
    </row>
    <row r="6876" spans="1:5" x14ac:dyDescent="0.2">
      <c r="A6876" s="113">
        <v>41574</v>
      </c>
      <c r="B6876" s="111">
        <f t="shared" si="107"/>
        <v>105</v>
      </c>
      <c r="C6876" s="111"/>
      <c r="D6876" s="111"/>
      <c r="E6876" s="111"/>
    </row>
    <row r="6877" spans="1:5" x14ac:dyDescent="0.2">
      <c r="A6877" s="113">
        <v>41575</v>
      </c>
      <c r="B6877" s="111">
        <f t="shared" si="107"/>
        <v>105</v>
      </c>
      <c r="C6877" s="111"/>
      <c r="D6877" s="111"/>
      <c r="E6877" s="111"/>
    </row>
    <row r="6878" spans="1:5" x14ac:dyDescent="0.2">
      <c r="A6878" s="113">
        <v>41576</v>
      </c>
      <c r="B6878" s="111">
        <f t="shared" si="107"/>
        <v>105</v>
      </c>
      <c r="C6878" s="111"/>
      <c r="D6878" s="111"/>
      <c r="E6878" s="111"/>
    </row>
    <row r="6879" spans="1:5" x14ac:dyDescent="0.2">
      <c r="A6879" s="113">
        <v>41577</v>
      </c>
      <c r="B6879" s="111">
        <f t="shared" si="107"/>
        <v>105</v>
      </c>
      <c r="C6879" s="111"/>
      <c r="D6879" s="111"/>
      <c r="E6879" s="111"/>
    </row>
    <row r="6880" spans="1:5" x14ac:dyDescent="0.2">
      <c r="A6880" s="113">
        <v>41578</v>
      </c>
      <c r="B6880" s="111">
        <f t="shared" si="107"/>
        <v>105</v>
      </c>
      <c r="C6880" s="111"/>
      <c r="D6880" s="111"/>
      <c r="E6880" s="111"/>
    </row>
    <row r="6881" spans="1:5" x14ac:dyDescent="0.2">
      <c r="A6881" s="113">
        <v>41579</v>
      </c>
      <c r="B6881" s="111">
        <f t="shared" si="107"/>
        <v>105</v>
      </c>
      <c r="C6881" s="111"/>
      <c r="D6881" s="111"/>
      <c r="E6881" s="111"/>
    </row>
    <row r="6882" spans="1:5" x14ac:dyDescent="0.2">
      <c r="A6882" s="113">
        <v>41580</v>
      </c>
      <c r="B6882" s="111">
        <f t="shared" si="107"/>
        <v>105</v>
      </c>
      <c r="C6882" s="111"/>
      <c r="D6882" s="111"/>
      <c r="E6882" s="111"/>
    </row>
    <row r="6883" spans="1:5" x14ac:dyDescent="0.2">
      <c r="A6883" s="113">
        <v>41581</v>
      </c>
      <c r="B6883" s="111">
        <f t="shared" si="107"/>
        <v>111</v>
      </c>
      <c r="C6883" s="111"/>
      <c r="D6883" s="111"/>
      <c r="E6883" s="111"/>
    </row>
    <row r="6884" spans="1:5" x14ac:dyDescent="0.2">
      <c r="A6884" s="113">
        <v>41582</v>
      </c>
      <c r="B6884" s="111">
        <f t="shared" si="107"/>
        <v>111</v>
      </c>
      <c r="C6884" s="111"/>
      <c r="D6884" s="111"/>
      <c r="E6884" s="111"/>
    </row>
    <row r="6885" spans="1:5" x14ac:dyDescent="0.2">
      <c r="A6885" s="113">
        <v>41583</v>
      </c>
      <c r="B6885" s="111">
        <f t="shared" si="107"/>
        <v>111</v>
      </c>
      <c r="C6885" s="111"/>
      <c r="D6885" s="111"/>
      <c r="E6885" s="111"/>
    </row>
    <row r="6886" spans="1:5" x14ac:dyDescent="0.2">
      <c r="A6886" s="113">
        <v>41584</v>
      </c>
      <c r="B6886" s="111">
        <f t="shared" si="107"/>
        <v>111</v>
      </c>
      <c r="C6886" s="111"/>
      <c r="D6886" s="111"/>
      <c r="E6886" s="111"/>
    </row>
    <row r="6887" spans="1:5" x14ac:dyDescent="0.2">
      <c r="A6887" s="113">
        <v>41585</v>
      </c>
      <c r="B6887" s="111">
        <f t="shared" si="107"/>
        <v>111</v>
      </c>
      <c r="C6887" s="111"/>
      <c r="D6887" s="111"/>
      <c r="E6887" s="111"/>
    </row>
    <row r="6888" spans="1:5" x14ac:dyDescent="0.2">
      <c r="A6888" s="113">
        <v>41586</v>
      </c>
      <c r="B6888" s="111">
        <f t="shared" si="107"/>
        <v>111</v>
      </c>
      <c r="C6888" s="111"/>
      <c r="D6888" s="111"/>
      <c r="E6888" s="111"/>
    </row>
    <row r="6889" spans="1:5" x14ac:dyDescent="0.2">
      <c r="A6889" s="113">
        <v>41587</v>
      </c>
      <c r="B6889" s="111">
        <f t="shared" si="107"/>
        <v>111</v>
      </c>
      <c r="C6889" s="111"/>
      <c r="D6889" s="111"/>
      <c r="E6889" s="111"/>
    </row>
    <row r="6890" spans="1:5" x14ac:dyDescent="0.2">
      <c r="A6890" s="113">
        <v>41588</v>
      </c>
      <c r="B6890" s="111">
        <f t="shared" si="107"/>
        <v>112</v>
      </c>
      <c r="C6890" s="111"/>
      <c r="D6890" s="111"/>
      <c r="E6890" s="111"/>
    </row>
    <row r="6891" spans="1:5" x14ac:dyDescent="0.2">
      <c r="A6891" s="113">
        <v>41589</v>
      </c>
      <c r="B6891" s="111">
        <f t="shared" si="107"/>
        <v>112</v>
      </c>
      <c r="C6891" s="111"/>
      <c r="D6891" s="111"/>
      <c r="E6891" s="111"/>
    </row>
    <row r="6892" spans="1:5" x14ac:dyDescent="0.2">
      <c r="A6892" s="113">
        <v>41590</v>
      </c>
      <c r="B6892" s="111">
        <f t="shared" si="107"/>
        <v>112</v>
      </c>
      <c r="C6892" s="111"/>
      <c r="D6892" s="111"/>
      <c r="E6892" s="111"/>
    </row>
    <row r="6893" spans="1:5" x14ac:dyDescent="0.2">
      <c r="A6893" s="113">
        <v>41591</v>
      </c>
      <c r="B6893" s="111">
        <f t="shared" si="107"/>
        <v>112</v>
      </c>
      <c r="C6893" s="111"/>
      <c r="D6893" s="111"/>
      <c r="E6893" s="111"/>
    </row>
    <row r="6894" spans="1:5" x14ac:dyDescent="0.2">
      <c r="A6894" s="113">
        <v>41592</v>
      </c>
      <c r="B6894" s="111">
        <f t="shared" si="107"/>
        <v>112</v>
      </c>
      <c r="C6894" s="111"/>
      <c r="D6894" s="111"/>
      <c r="E6894" s="111"/>
    </row>
    <row r="6895" spans="1:5" x14ac:dyDescent="0.2">
      <c r="A6895" s="113">
        <v>41593</v>
      </c>
      <c r="B6895" s="111">
        <f t="shared" si="107"/>
        <v>112</v>
      </c>
      <c r="C6895" s="111"/>
      <c r="D6895" s="111"/>
      <c r="E6895" s="111"/>
    </row>
    <row r="6896" spans="1:5" x14ac:dyDescent="0.2">
      <c r="A6896" s="113">
        <v>41594</v>
      </c>
      <c r="B6896" s="111">
        <f t="shared" si="107"/>
        <v>112</v>
      </c>
      <c r="C6896" s="111"/>
      <c r="D6896" s="111"/>
      <c r="E6896" s="111"/>
    </row>
    <row r="6897" spans="1:5" x14ac:dyDescent="0.2">
      <c r="A6897" s="113">
        <v>41595</v>
      </c>
      <c r="B6897" s="111">
        <f t="shared" si="107"/>
        <v>113</v>
      </c>
      <c r="C6897" s="111"/>
      <c r="D6897" s="111"/>
      <c r="E6897" s="111"/>
    </row>
    <row r="6898" spans="1:5" x14ac:dyDescent="0.2">
      <c r="A6898" s="113">
        <v>41596</v>
      </c>
      <c r="B6898" s="111">
        <f t="shared" si="107"/>
        <v>113</v>
      </c>
      <c r="C6898" s="111"/>
      <c r="D6898" s="111"/>
      <c r="E6898" s="111"/>
    </row>
    <row r="6899" spans="1:5" x14ac:dyDescent="0.2">
      <c r="A6899" s="113">
        <v>41597</v>
      </c>
      <c r="B6899" s="111">
        <f t="shared" si="107"/>
        <v>113</v>
      </c>
      <c r="C6899" s="111"/>
      <c r="D6899" s="111"/>
      <c r="E6899" s="111"/>
    </row>
    <row r="6900" spans="1:5" x14ac:dyDescent="0.2">
      <c r="A6900" s="113">
        <v>41598</v>
      </c>
      <c r="B6900" s="111">
        <f t="shared" si="107"/>
        <v>113</v>
      </c>
      <c r="C6900" s="111"/>
      <c r="D6900" s="111"/>
      <c r="E6900" s="111"/>
    </row>
    <row r="6901" spans="1:5" x14ac:dyDescent="0.2">
      <c r="A6901" s="113">
        <v>41599</v>
      </c>
      <c r="B6901" s="111">
        <f t="shared" si="107"/>
        <v>113</v>
      </c>
      <c r="C6901" s="111"/>
      <c r="D6901" s="111"/>
      <c r="E6901" s="111"/>
    </row>
    <row r="6902" spans="1:5" x14ac:dyDescent="0.2">
      <c r="A6902" s="113">
        <v>41600</v>
      </c>
      <c r="B6902" s="111">
        <f t="shared" si="107"/>
        <v>113</v>
      </c>
      <c r="C6902" s="111"/>
      <c r="D6902" s="111"/>
      <c r="E6902" s="111"/>
    </row>
    <row r="6903" spans="1:5" x14ac:dyDescent="0.2">
      <c r="A6903" s="113">
        <v>41601</v>
      </c>
      <c r="B6903" s="111">
        <f t="shared" si="107"/>
        <v>113</v>
      </c>
      <c r="C6903" s="111"/>
      <c r="D6903" s="111"/>
      <c r="E6903" s="111"/>
    </row>
    <row r="6904" spans="1:5" x14ac:dyDescent="0.2">
      <c r="A6904" s="113">
        <v>41602</v>
      </c>
      <c r="B6904" s="111">
        <f t="shared" si="107"/>
        <v>114</v>
      </c>
      <c r="C6904" s="111"/>
      <c r="D6904" s="111"/>
      <c r="E6904" s="111"/>
    </row>
    <row r="6905" spans="1:5" x14ac:dyDescent="0.2">
      <c r="A6905" s="113">
        <v>41603</v>
      </c>
      <c r="B6905" s="111">
        <f t="shared" si="107"/>
        <v>114</v>
      </c>
      <c r="C6905" s="111"/>
      <c r="D6905" s="111"/>
      <c r="E6905" s="111"/>
    </row>
    <row r="6906" spans="1:5" x14ac:dyDescent="0.2">
      <c r="A6906" s="113">
        <v>41604</v>
      </c>
      <c r="B6906" s="111">
        <f t="shared" si="107"/>
        <v>114</v>
      </c>
      <c r="C6906" s="111"/>
      <c r="D6906" s="111"/>
      <c r="E6906" s="111"/>
    </row>
    <row r="6907" spans="1:5" x14ac:dyDescent="0.2">
      <c r="A6907" s="113">
        <v>41605</v>
      </c>
      <c r="B6907" s="111">
        <f t="shared" si="107"/>
        <v>114</v>
      </c>
      <c r="C6907" s="111"/>
      <c r="D6907" s="111"/>
      <c r="E6907" s="111"/>
    </row>
    <row r="6908" spans="1:5" x14ac:dyDescent="0.2">
      <c r="A6908" s="113">
        <v>41606</v>
      </c>
      <c r="B6908" s="111">
        <f t="shared" si="107"/>
        <v>114</v>
      </c>
      <c r="C6908" s="111"/>
      <c r="D6908" s="111"/>
      <c r="E6908" s="111"/>
    </row>
    <row r="6909" spans="1:5" x14ac:dyDescent="0.2">
      <c r="A6909" s="113">
        <v>41607</v>
      </c>
      <c r="B6909" s="111">
        <f t="shared" si="107"/>
        <v>114</v>
      </c>
      <c r="C6909" s="111"/>
      <c r="D6909" s="111"/>
      <c r="E6909" s="111"/>
    </row>
    <row r="6910" spans="1:5" x14ac:dyDescent="0.2">
      <c r="A6910" s="113">
        <v>41608</v>
      </c>
      <c r="B6910" s="111">
        <f t="shared" si="107"/>
        <v>114</v>
      </c>
      <c r="C6910" s="111"/>
      <c r="D6910" s="111"/>
      <c r="E6910" s="111"/>
    </row>
    <row r="6911" spans="1:5" x14ac:dyDescent="0.2">
      <c r="A6911" s="113">
        <v>41609</v>
      </c>
      <c r="B6911" s="111">
        <f t="shared" si="107"/>
        <v>115</v>
      </c>
      <c r="C6911" s="111"/>
      <c r="D6911" s="111"/>
      <c r="E6911" s="111"/>
    </row>
    <row r="6912" spans="1:5" x14ac:dyDescent="0.2">
      <c r="A6912" s="113">
        <v>41610</v>
      </c>
      <c r="B6912" s="111">
        <f t="shared" si="107"/>
        <v>115</v>
      </c>
      <c r="C6912" s="111"/>
      <c r="D6912" s="111"/>
      <c r="E6912" s="111"/>
    </row>
    <row r="6913" spans="1:5" x14ac:dyDescent="0.2">
      <c r="A6913" s="113">
        <v>41611</v>
      </c>
      <c r="B6913" s="111">
        <f t="shared" si="107"/>
        <v>115</v>
      </c>
      <c r="C6913" s="111"/>
      <c r="D6913" s="111"/>
      <c r="E6913" s="111"/>
    </row>
    <row r="6914" spans="1:5" x14ac:dyDescent="0.2">
      <c r="A6914" s="113">
        <v>41612</v>
      </c>
      <c r="B6914" s="111">
        <f t="shared" ref="B6914:B6977" si="108">VLOOKUP(WEEKNUM(A6914),$D$3:$E$58,2)</f>
        <v>115</v>
      </c>
      <c r="C6914" s="111"/>
      <c r="D6914" s="111"/>
      <c r="E6914" s="111"/>
    </row>
    <row r="6915" spans="1:5" x14ac:dyDescent="0.2">
      <c r="A6915" s="113">
        <v>41613</v>
      </c>
      <c r="B6915" s="111">
        <f t="shared" si="108"/>
        <v>115</v>
      </c>
      <c r="C6915" s="111"/>
      <c r="D6915" s="111"/>
      <c r="E6915" s="111"/>
    </row>
    <row r="6916" spans="1:5" x14ac:dyDescent="0.2">
      <c r="A6916" s="113">
        <v>41614</v>
      </c>
      <c r="B6916" s="111">
        <f t="shared" si="108"/>
        <v>115</v>
      </c>
      <c r="C6916" s="111"/>
      <c r="D6916" s="111"/>
      <c r="E6916" s="111"/>
    </row>
    <row r="6917" spans="1:5" x14ac:dyDescent="0.2">
      <c r="A6917" s="113">
        <v>41615</v>
      </c>
      <c r="B6917" s="111">
        <f t="shared" si="108"/>
        <v>115</v>
      </c>
      <c r="C6917" s="111"/>
      <c r="D6917" s="111"/>
      <c r="E6917" s="111"/>
    </row>
    <row r="6918" spans="1:5" x14ac:dyDescent="0.2">
      <c r="A6918" s="113">
        <v>41616</v>
      </c>
      <c r="B6918" s="111">
        <f t="shared" si="108"/>
        <v>121</v>
      </c>
      <c r="C6918" s="111"/>
      <c r="D6918" s="111"/>
      <c r="E6918" s="111"/>
    </row>
    <row r="6919" spans="1:5" x14ac:dyDescent="0.2">
      <c r="A6919" s="113">
        <v>41617</v>
      </c>
      <c r="B6919" s="111">
        <f t="shared" si="108"/>
        <v>121</v>
      </c>
      <c r="C6919" s="111"/>
      <c r="D6919" s="111"/>
      <c r="E6919" s="111"/>
    </row>
    <row r="6920" spans="1:5" x14ac:dyDescent="0.2">
      <c r="A6920" s="113">
        <v>41618</v>
      </c>
      <c r="B6920" s="111">
        <f t="shared" si="108"/>
        <v>121</v>
      </c>
      <c r="C6920" s="111"/>
      <c r="D6920" s="111"/>
      <c r="E6920" s="111"/>
    </row>
    <row r="6921" spans="1:5" x14ac:dyDescent="0.2">
      <c r="A6921" s="113">
        <v>41619</v>
      </c>
      <c r="B6921" s="111">
        <f t="shared" si="108"/>
        <v>121</v>
      </c>
      <c r="C6921" s="111"/>
      <c r="D6921" s="111"/>
      <c r="E6921" s="111"/>
    </row>
    <row r="6922" spans="1:5" x14ac:dyDescent="0.2">
      <c r="A6922" s="113">
        <v>41620</v>
      </c>
      <c r="B6922" s="111">
        <f t="shared" si="108"/>
        <v>121</v>
      </c>
      <c r="C6922" s="111"/>
      <c r="D6922" s="111"/>
      <c r="E6922" s="111"/>
    </row>
    <row r="6923" spans="1:5" x14ac:dyDescent="0.2">
      <c r="A6923" s="113">
        <v>41621</v>
      </c>
      <c r="B6923" s="111">
        <f t="shared" si="108"/>
        <v>121</v>
      </c>
      <c r="C6923" s="111"/>
      <c r="D6923" s="111"/>
      <c r="E6923" s="111"/>
    </row>
    <row r="6924" spans="1:5" x14ac:dyDescent="0.2">
      <c r="A6924" s="113">
        <v>41622</v>
      </c>
      <c r="B6924" s="111">
        <f t="shared" si="108"/>
        <v>121</v>
      </c>
      <c r="C6924" s="111"/>
      <c r="D6924" s="111"/>
      <c r="E6924" s="111"/>
    </row>
    <row r="6925" spans="1:5" x14ac:dyDescent="0.2">
      <c r="A6925" s="113">
        <v>41623</v>
      </c>
      <c r="B6925" s="111">
        <f t="shared" si="108"/>
        <v>122</v>
      </c>
      <c r="C6925" s="111"/>
      <c r="D6925" s="111"/>
      <c r="E6925" s="111"/>
    </row>
    <row r="6926" spans="1:5" x14ac:dyDescent="0.2">
      <c r="A6926" s="113">
        <v>41624</v>
      </c>
      <c r="B6926" s="111">
        <f t="shared" si="108"/>
        <v>122</v>
      </c>
      <c r="C6926" s="111"/>
      <c r="D6926" s="111"/>
      <c r="E6926" s="111"/>
    </row>
    <row r="6927" spans="1:5" x14ac:dyDescent="0.2">
      <c r="A6927" s="113">
        <v>41625</v>
      </c>
      <c r="B6927" s="111">
        <f t="shared" si="108"/>
        <v>122</v>
      </c>
      <c r="C6927" s="111"/>
      <c r="D6927" s="111"/>
      <c r="E6927" s="111"/>
    </row>
    <row r="6928" spans="1:5" x14ac:dyDescent="0.2">
      <c r="A6928" s="113">
        <v>41626</v>
      </c>
      <c r="B6928" s="111">
        <f t="shared" si="108"/>
        <v>122</v>
      </c>
      <c r="C6928" s="111"/>
      <c r="D6928" s="111"/>
      <c r="E6928" s="111"/>
    </row>
    <row r="6929" spans="1:5" x14ac:dyDescent="0.2">
      <c r="A6929" s="113">
        <v>41627</v>
      </c>
      <c r="B6929" s="111">
        <f t="shared" si="108"/>
        <v>122</v>
      </c>
      <c r="C6929" s="111"/>
      <c r="D6929" s="111"/>
      <c r="E6929" s="111"/>
    </row>
    <row r="6930" spans="1:5" x14ac:dyDescent="0.2">
      <c r="A6930" s="113">
        <v>41628</v>
      </c>
      <c r="B6930" s="111">
        <f t="shared" si="108"/>
        <v>122</v>
      </c>
      <c r="C6930" s="111"/>
      <c r="D6930" s="111"/>
      <c r="E6930" s="111"/>
    </row>
    <row r="6931" spans="1:5" x14ac:dyDescent="0.2">
      <c r="A6931" s="113">
        <v>41629</v>
      </c>
      <c r="B6931" s="111">
        <f t="shared" si="108"/>
        <v>122</v>
      </c>
      <c r="C6931" s="111"/>
      <c r="D6931" s="111"/>
      <c r="E6931" s="111"/>
    </row>
    <row r="6932" spans="1:5" x14ac:dyDescent="0.2">
      <c r="A6932" s="113">
        <v>41630</v>
      </c>
      <c r="B6932" s="111">
        <f t="shared" si="108"/>
        <v>123</v>
      </c>
      <c r="C6932" s="111"/>
      <c r="D6932" s="111"/>
      <c r="E6932" s="111"/>
    </row>
    <row r="6933" spans="1:5" x14ac:dyDescent="0.2">
      <c r="A6933" s="113">
        <v>41631</v>
      </c>
      <c r="B6933" s="111">
        <f t="shared" si="108"/>
        <v>123</v>
      </c>
      <c r="C6933" s="111"/>
      <c r="D6933" s="111"/>
      <c r="E6933" s="111"/>
    </row>
    <row r="6934" spans="1:5" x14ac:dyDescent="0.2">
      <c r="A6934" s="113">
        <v>41632</v>
      </c>
      <c r="B6934" s="111">
        <f t="shared" si="108"/>
        <v>123</v>
      </c>
      <c r="C6934" s="111"/>
      <c r="D6934" s="111"/>
      <c r="E6934" s="111"/>
    </row>
    <row r="6935" spans="1:5" x14ac:dyDescent="0.2">
      <c r="A6935" s="113">
        <v>41633</v>
      </c>
      <c r="B6935" s="111">
        <f t="shared" si="108"/>
        <v>123</v>
      </c>
      <c r="C6935" s="111"/>
      <c r="D6935" s="111"/>
      <c r="E6935" s="111"/>
    </row>
    <row r="6936" spans="1:5" x14ac:dyDescent="0.2">
      <c r="A6936" s="113">
        <v>41634</v>
      </c>
      <c r="B6936" s="111">
        <f t="shared" si="108"/>
        <v>123</v>
      </c>
      <c r="C6936" s="111"/>
      <c r="D6936" s="111"/>
      <c r="E6936" s="111"/>
    </row>
    <row r="6937" spans="1:5" x14ac:dyDescent="0.2">
      <c r="A6937" s="113">
        <v>41635</v>
      </c>
      <c r="B6937" s="111">
        <f t="shared" si="108"/>
        <v>123</v>
      </c>
      <c r="C6937" s="111"/>
      <c r="D6937" s="111"/>
      <c r="E6937" s="111"/>
    </row>
    <row r="6938" spans="1:5" x14ac:dyDescent="0.2">
      <c r="A6938" s="113">
        <v>41636</v>
      </c>
      <c r="B6938" s="111">
        <f t="shared" si="108"/>
        <v>123</v>
      </c>
      <c r="C6938" s="111"/>
      <c r="D6938" s="111"/>
      <c r="E6938" s="111"/>
    </row>
    <row r="6939" spans="1:5" x14ac:dyDescent="0.2">
      <c r="A6939" s="113">
        <v>41637</v>
      </c>
      <c r="B6939" s="111">
        <f t="shared" si="108"/>
        <v>124</v>
      </c>
      <c r="C6939" s="111"/>
      <c r="D6939" s="111"/>
      <c r="E6939" s="111"/>
    </row>
    <row r="6940" spans="1:5" x14ac:dyDescent="0.2">
      <c r="A6940" s="113">
        <v>41638</v>
      </c>
      <c r="B6940" s="111">
        <f t="shared" si="108"/>
        <v>124</v>
      </c>
      <c r="C6940" s="111"/>
      <c r="D6940" s="111"/>
      <c r="E6940" s="111"/>
    </row>
    <row r="6941" spans="1:5" x14ac:dyDescent="0.2">
      <c r="A6941" s="113">
        <v>41639</v>
      </c>
      <c r="B6941" s="111">
        <f t="shared" si="108"/>
        <v>124</v>
      </c>
      <c r="C6941" s="111"/>
      <c r="D6941" s="111"/>
      <c r="E6941" s="111"/>
    </row>
    <row r="6942" spans="1:5" x14ac:dyDescent="0.2">
      <c r="A6942" s="113">
        <v>41640</v>
      </c>
      <c r="B6942" s="111">
        <f t="shared" si="108"/>
        <v>11</v>
      </c>
      <c r="C6942" s="111"/>
      <c r="D6942" s="111"/>
      <c r="E6942" s="111"/>
    </row>
    <row r="6943" spans="1:5" x14ac:dyDescent="0.2">
      <c r="A6943" s="112">
        <f t="shared" ref="A6943:A7006" si="109">A6942+1</f>
        <v>41641</v>
      </c>
      <c r="B6943" s="111">
        <f t="shared" si="108"/>
        <v>11</v>
      </c>
      <c r="C6943" s="111"/>
      <c r="D6943" s="111"/>
      <c r="E6943" s="111"/>
    </row>
    <row r="6944" spans="1:5" x14ac:dyDescent="0.2">
      <c r="A6944" s="112">
        <f t="shared" si="109"/>
        <v>41642</v>
      </c>
      <c r="B6944" s="111">
        <f t="shared" si="108"/>
        <v>11</v>
      </c>
      <c r="C6944" s="111"/>
      <c r="D6944" s="111"/>
      <c r="E6944" s="111"/>
    </row>
    <row r="6945" spans="1:5" x14ac:dyDescent="0.2">
      <c r="A6945" s="112">
        <f t="shared" si="109"/>
        <v>41643</v>
      </c>
      <c r="B6945" s="111">
        <f t="shared" si="108"/>
        <v>11</v>
      </c>
      <c r="C6945" s="111"/>
      <c r="D6945" s="111"/>
      <c r="E6945" s="111"/>
    </row>
    <row r="6946" spans="1:5" x14ac:dyDescent="0.2">
      <c r="A6946" s="112">
        <f t="shared" si="109"/>
        <v>41644</v>
      </c>
      <c r="B6946" s="111">
        <f t="shared" si="108"/>
        <v>12</v>
      </c>
      <c r="C6946" s="111"/>
      <c r="D6946" s="111"/>
      <c r="E6946" s="111"/>
    </row>
    <row r="6947" spans="1:5" x14ac:dyDescent="0.2">
      <c r="A6947" s="112">
        <f t="shared" si="109"/>
        <v>41645</v>
      </c>
      <c r="B6947" s="111">
        <f t="shared" si="108"/>
        <v>12</v>
      </c>
      <c r="C6947" s="111"/>
      <c r="D6947" s="111"/>
      <c r="E6947" s="111"/>
    </row>
    <row r="6948" spans="1:5" x14ac:dyDescent="0.2">
      <c r="A6948" s="112">
        <f t="shared" si="109"/>
        <v>41646</v>
      </c>
      <c r="B6948" s="111">
        <f t="shared" si="108"/>
        <v>12</v>
      </c>
      <c r="C6948" s="111"/>
      <c r="D6948" s="111"/>
      <c r="E6948" s="111"/>
    </row>
    <row r="6949" spans="1:5" x14ac:dyDescent="0.2">
      <c r="A6949" s="112">
        <f t="shared" si="109"/>
        <v>41647</v>
      </c>
      <c r="B6949" s="111">
        <f t="shared" si="108"/>
        <v>12</v>
      </c>
      <c r="C6949" s="111"/>
      <c r="D6949" s="111"/>
      <c r="E6949" s="111"/>
    </row>
    <row r="6950" spans="1:5" x14ac:dyDescent="0.2">
      <c r="A6950" s="112">
        <f t="shared" si="109"/>
        <v>41648</v>
      </c>
      <c r="B6950" s="111">
        <f t="shared" si="108"/>
        <v>12</v>
      </c>
      <c r="C6950" s="111"/>
      <c r="D6950" s="111"/>
      <c r="E6950" s="111"/>
    </row>
    <row r="6951" spans="1:5" x14ac:dyDescent="0.2">
      <c r="A6951" s="112">
        <f t="shared" si="109"/>
        <v>41649</v>
      </c>
      <c r="B6951" s="111">
        <f t="shared" si="108"/>
        <v>12</v>
      </c>
      <c r="C6951" s="111"/>
      <c r="D6951" s="111"/>
      <c r="E6951" s="111"/>
    </row>
    <row r="6952" spans="1:5" x14ac:dyDescent="0.2">
      <c r="A6952" s="112">
        <f t="shared" si="109"/>
        <v>41650</v>
      </c>
      <c r="B6952" s="111">
        <f t="shared" si="108"/>
        <v>12</v>
      </c>
      <c r="C6952" s="111"/>
      <c r="D6952" s="111"/>
      <c r="E6952" s="111"/>
    </row>
    <row r="6953" spans="1:5" x14ac:dyDescent="0.2">
      <c r="A6953" s="112">
        <f t="shared" si="109"/>
        <v>41651</v>
      </c>
      <c r="B6953" s="111">
        <f t="shared" si="108"/>
        <v>13</v>
      </c>
      <c r="C6953" s="111"/>
      <c r="D6953" s="111"/>
      <c r="E6953" s="111"/>
    </row>
    <row r="6954" spans="1:5" x14ac:dyDescent="0.2">
      <c r="A6954" s="112">
        <f t="shared" si="109"/>
        <v>41652</v>
      </c>
      <c r="B6954" s="111">
        <f t="shared" si="108"/>
        <v>13</v>
      </c>
      <c r="C6954" s="111"/>
      <c r="D6954" s="111"/>
      <c r="E6954" s="111"/>
    </row>
    <row r="6955" spans="1:5" x14ac:dyDescent="0.2">
      <c r="A6955" s="112">
        <f t="shared" si="109"/>
        <v>41653</v>
      </c>
      <c r="B6955" s="111">
        <f t="shared" si="108"/>
        <v>13</v>
      </c>
      <c r="C6955" s="111"/>
      <c r="D6955" s="111"/>
      <c r="E6955" s="111"/>
    </row>
    <row r="6956" spans="1:5" x14ac:dyDescent="0.2">
      <c r="A6956" s="112">
        <f t="shared" si="109"/>
        <v>41654</v>
      </c>
      <c r="B6956" s="111">
        <f t="shared" si="108"/>
        <v>13</v>
      </c>
      <c r="C6956" s="111"/>
      <c r="D6956" s="111"/>
      <c r="E6956" s="111"/>
    </row>
    <row r="6957" spans="1:5" x14ac:dyDescent="0.2">
      <c r="A6957" s="112">
        <f t="shared" si="109"/>
        <v>41655</v>
      </c>
      <c r="B6957" s="111">
        <f t="shared" si="108"/>
        <v>13</v>
      </c>
      <c r="C6957" s="111"/>
      <c r="D6957" s="111"/>
      <c r="E6957" s="111"/>
    </row>
    <row r="6958" spans="1:5" x14ac:dyDescent="0.2">
      <c r="A6958" s="112">
        <f t="shared" si="109"/>
        <v>41656</v>
      </c>
      <c r="B6958" s="111">
        <f t="shared" si="108"/>
        <v>13</v>
      </c>
      <c r="C6958" s="111"/>
      <c r="D6958" s="111"/>
      <c r="E6958" s="111"/>
    </row>
    <row r="6959" spans="1:5" x14ac:dyDescent="0.2">
      <c r="A6959" s="112">
        <f t="shared" si="109"/>
        <v>41657</v>
      </c>
      <c r="B6959" s="111">
        <f t="shared" si="108"/>
        <v>13</v>
      </c>
      <c r="C6959" s="111"/>
      <c r="D6959" s="111"/>
      <c r="E6959" s="111"/>
    </row>
    <row r="6960" spans="1:5" x14ac:dyDescent="0.2">
      <c r="A6960" s="112">
        <f t="shared" si="109"/>
        <v>41658</v>
      </c>
      <c r="B6960" s="111">
        <f t="shared" si="108"/>
        <v>14</v>
      </c>
      <c r="C6960" s="111"/>
      <c r="D6960" s="111"/>
      <c r="E6960" s="111"/>
    </row>
    <row r="6961" spans="1:5" x14ac:dyDescent="0.2">
      <c r="A6961" s="112">
        <f t="shared" si="109"/>
        <v>41659</v>
      </c>
      <c r="B6961" s="111">
        <f t="shared" si="108"/>
        <v>14</v>
      </c>
      <c r="C6961" s="111"/>
      <c r="D6961" s="111"/>
      <c r="E6961" s="111"/>
    </row>
    <row r="6962" spans="1:5" x14ac:dyDescent="0.2">
      <c r="A6962" s="112">
        <f t="shared" si="109"/>
        <v>41660</v>
      </c>
      <c r="B6962" s="111">
        <f t="shared" si="108"/>
        <v>14</v>
      </c>
      <c r="C6962" s="111"/>
      <c r="D6962" s="111"/>
      <c r="E6962" s="111"/>
    </row>
    <row r="6963" spans="1:5" x14ac:dyDescent="0.2">
      <c r="A6963" s="112">
        <f t="shared" si="109"/>
        <v>41661</v>
      </c>
      <c r="B6963" s="111">
        <f t="shared" si="108"/>
        <v>14</v>
      </c>
      <c r="C6963" s="111"/>
      <c r="D6963" s="111"/>
      <c r="E6963" s="111"/>
    </row>
    <row r="6964" spans="1:5" x14ac:dyDescent="0.2">
      <c r="A6964" s="112">
        <f t="shared" si="109"/>
        <v>41662</v>
      </c>
      <c r="B6964" s="111">
        <f t="shared" si="108"/>
        <v>14</v>
      </c>
      <c r="C6964" s="111"/>
      <c r="D6964" s="111"/>
      <c r="E6964" s="111"/>
    </row>
    <row r="6965" spans="1:5" x14ac:dyDescent="0.2">
      <c r="A6965" s="112">
        <f t="shared" si="109"/>
        <v>41663</v>
      </c>
      <c r="B6965" s="111">
        <f t="shared" si="108"/>
        <v>14</v>
      </c>
      <c r="C6965" s="111"/>
      <c r="D6965" s="111"/>
      <c r="E6965" s="111"/>
    </row>
    <row r="6966" spans="1:5" x14ac:dyDescent="0.2">
      <c r="A6966" s="112">
        <f t="shared" si="109"/>
        <v>41664</v>
      </c>
      <c r="B6966" s="111">
        <f t="shared" si="108"/>
        <v>14</v>
      </c>
      <c r="C6966" s="111"/>
      <c r="D6966" s="111"/>
      <c r="E6966" s="111"/>
    </row>
    <row r="6967" spans="1:5" x14ac:dyDescent="0.2">
      <c r="A6967" s="112">
        <f t="shared" si="109"/>
        <v>41665</v>
      </c>
      <c r="B6967" s="111">
        <f t="shared" si="108"/>
        <v>15</v>
      </c>
      <c r="C6967" s="111"/>
      <c r="D6967" s="111"/>
      <c r="E6967" s="111"/>
    </row>
    <row r="6968" spans="1:5" x14ac:dyDescent="0.2">
      <c r="A6968" s="112">
        <f t="shared" si="109"/>
        <v>41666</v>
      </c>
      <c r="B6968" s="111">
        <f t="shared" si="108"/>
        <v>15</v>
      </c>
      <c r="C6968" s="111"/>
      <c r="D6968" s="111"/>
      <c r="E6968" s="111"/>
    </row>
    <row r="6969" spans="1:5" x14ac:dyDescent="0.2">
      <c r="A6969" s="112">
        <f t="shared" si="109"/>
        <v>41667</v>
      </c>
      <c r="B6969" s="111">
        <f t="shared" si="108"/>
        <v>15</v>
      </c>
      <c r="C6969" s="111"/>
      <c r="D6969" s="111"/>
      <c r="E6969" s="111"/>
    </row>
    <row r="6970" spans="1:5" x14ac:dyDescent="0.2">
      <c r="A6970" s="112">
        <f t="shared" si="109"/>
        <v>41668</v>
      </c>
      <c r="B6970" s="111">
        <f t="shared" si="108"/>
        <v>15</v>
      </c>
      <c r="C6970" s="111"/>
      <c r="D6970" s="111"/>
      <c r="E6970" s="111"/>
    </row>
    <row r="6971" spans="1:5" x14ac:dyDescent="0.2">
      <c r="A6971" s="112">
        <f t="shared" si="109"/>
        <v>41669</v>
      </c>
      <c r="B6971" s="111">
        <f t="shared" si="108"/>
        <v>15</v>
      </c>
      <c r="C6971" s="111"/>
      <c r="D6971" s="111"/>
      <c r="E6971" s="111"/>
    </row>
    <row r="6972" spans="1:5" x14ac:dyDescent="0.2">
      <c r="A6972" s="112">
        <f t="shared" si="109"/>
        <v>41670</v>
      </c>
      <c r="B6972" s="111">
        <f t="shared" si="108"/>
        <v>15</v>
      </c>
      <c r="C6972" s="111"/>
      <c r="D6972" s="111"/>
      <c r="E6972" s="111"/>
    </row>
    <row r="6973" spans="1:5" x14ac:dyDescent="0.2">
      <c r="A6973" s="112">
        <f t="shared" si="109"/>
        <v>41671</v>
      </c>
      <c r="B6973" s="111">
        <f t="shared" si="108"/>
        <v>15</v>
      </c>
      <c r="C6973" s="111"/>
      <c r="D6973" s="111"/>
      <c r="E6973" s="111"/>
    </row>
    <row r="6974" spans="1:5" x14ac:dyDescent="0.2">
      <c r="A6974" s="112">
        <f t="shared" si="109"/>
        <v>41672</v>
      </c>
      <c r="B6974" s="111">
        <f t="shared" si="108"/>
        <v>21</v>
      </c>
      <c r="C6974" s="111"/>
      <c r="D6974" s="111"/>
      <c r="E6974" s="111"/>
    </row>
    <row r="6975" spans="1:5" x14ac:dyDescent="0.2">
      <c r="A6975" s="112">
        <f t="shared" si="109"/>
        <v>41673</v>
      </c>
      <c r="B6975" s="111">
        <f t="shared" si="108"/>
        <v>21</v>
      </c>
      <c r="C6975" s="111"/>
      <c r="D6975" s="111"/>
      <c r="E6975" s="111"/>
    </row>
    <row r="6976" spans="1:5" x14ac:dyDescent="0.2">
      <c r="A6976" s="112">
        <f t="shared" si="109"/>
        <v>41674</v>
      </c>
      <c r="B6976" s="111">
        <f t="shared" si="108"/>
        <v>21</v>
      </c>
      <c r="C6976" s="111"/>
      <c r="D6976" s="111"/>
      <c r="E6976" s="111"/>
    </row>
    <row r="6977" spans="1:5" x14ac:dyDescent="0.2">
      <c r="A6977" s="112">
        <f t="shared" si="109"/>
        <v>41675</v>
      </c>
      <c r="B6977" s="111">
        <f t="shared" si="108"/>
        <v>21</v>
      </c>
      <c r="C6977" s="111"/>
      <c r="D6977" s="111"/>
      <c r="E6977" s="111"/>
    </row>
    <row r="6978" spans="1:5" x14ac:dyDescent="0.2">
      <c r="A6978" s="112">
        <f t="shared" si="109"/>
        <v>41676</v>
      </c>
      <c r="B6978" s="111">
        <f t="shared" ref="B6978:B7041" si="110">VLOOKUP(WEEKNUM(A6978),$D$3:$E$58,2)</f>
        <v>21</v>
      </c>
      <c r="C6978" s="111"/>
      <c r="D6978" s="111"/>
      <c r="E6978" s="111"/>
    </row>
    <row r="6979" spans="1:5" x14ac:dyDescent="0.2">
      <c r="A6979" s="112">
        <f t="shared" si="109"/>
        <v>41677</v>
      </c>
      <c r="B6979" s="111">
        <f t="shared" si="110"/>
        <v>21</v>
      </c>
      <c r="C6979" s="111"/>
      <c r="D6979" s="111"/>
      <c r="E6979" s="111"/>
    </row>
    <row r="6980" spans="1:5" x14ac:dyDescent="0.2">
      <c r="A6980" s="112">
        <f t="shared" si="109"/>
        <v>41678</v>
      </c>
      <c r="B6980" s="111">
        <f t="shared" si="110"/>
        <v>21</v>
      </c>
      <c r="C6980" s="111"/>
      <c r="D6980" s="111"/>
      <c r="E6980" s="111"/>
    </row>
    <row r="6981" spans="1:5" x14ac:dyDescent="0.2">
      <c r="A6981" s="112">
        <f t="shared" si="109"/>
        <v>41679</v>
      </c>
      <c r="B6981" s="111">
        <f t="shared" si="110"/>
        <v>22</v>
      </c>
      <c r="C6981" s="111"/>
      <c r="D6981" s="111"/>
      <c r="E6981" s="111"/>
    </row>
    <row r="6982" spans="1:5" x14ac:dyDescent="0.2">
      <c r="A6982" s="112">
        <f t="shared" si="109"/>
        <v>41680</v>
      </c>
      <c r="B6982" s="111">
        <f t="shared" si="110"/>
        <v>22</v>
      </c>
      <c r="C6982" s="111"/>
      <c r="D6982" s="111"/>
      <c r="E6982" s="111"/>
    </row>
    <row r="6983" spans="1:5" x14ac:dyDescent="0.2">
      <c r="A6983" s="112">
        <f t="shared" si="109"/>
        <v>41681</v>
      </c>
      <c r="B6983" s="111">
        <f t="shared" si="110"/>
        <v>22</v>
      </c>
      <c r="C6983" s="111"/>
      <c r="D6983" s="111"/>
      <c r="E6983" s="111"/>
    </row>
    <row r="6984" spans="1:5" x14ac:dyDescent="0.2">
      <c r="A6984" s="112">
        <f t="shared" si="109"/>
        <v>41682</v>
      </c>
      <c r="B6984" s="111">
        <f t="shared" si="110"/>
        <v>22</v>
      </c>
      <c r="C6984" s="111"/>
      <c r="D6984" s="111"/>
      <c r="E6984" s="111"/>
    </row>
    <row r="6985" spans="1:5" x14ac:dyDescent="0.2">
      <c r="A6985" s="112">
        <f t="shared" si="109"/>
        <v>41683</v>
      </c>
      <c r="B6985" s="111">
        <f t="shared" si="110"/>
        <v>22</v>
      </c>
      <c r="C6985" s="111"/>
      <c r="D6985" s="111"/>
      <c r="E6985" s="111"/>
    </row>
    <row r="6986" spans="1:5" x14ac:dyDescent="0.2">
      <c r="A6986" s="112">
        <f t="shared" si="109"/>
        <v>41684</v>
      </c>
      <c r="B6986" s="111">
        <f t="shared" si="110"/>
        <v>22</v>
      </c>
      <c r="C6986" s="111"/>
      <c r="D6986" s="111"/>
      <c r="E6986" s="111"/>
    </row>
    <row r="6987" spans="1:5" x14ac:dyDescent="0.2">
      <c r="A6987" s="112">
        <f t="shared" si="109"/>
        <v>41685</v>
      </c>
      <c r="B6987" s="111">
        <f t="shared" si="110"/>
        <v>22</v>
      </c>
      <c r="C6987" s="111"/>
      <c r="D6987" s="111"/>
      <c r="E6987" s="111"/>
    </row>
    <row r="6988" spans="1:5" x14ac:dyDescent="0.2">
      <c r="A6988" s="112">
        <f t="shared" si="109"/>
        <v>41686</v>
      </c>
      <c r="B6988" s="111">
        <f t="shared" si="110"/>
        <v>23</v>
      </c>
      <c r="C6988" s="111"/>
      <c r="D6988" s="111"/>
      <c r="E6988" s="111"/>
    </row>
    <row r="6989" spans="1:5" x14ac:dyDescent="0.2">
      <c r="A6989" s="112">
        <f t="shared" si="109"/>
        <v>41687</v>
      </c>
      <c r="B6989" s="111">
        <f t="shared" si="110"/>
        <v>23</v>
      </c>
      <c r="C6989" s="111"/>
      <c r="D6989" s="111"/>
      <c r="E6989" s="111"/>
    </row>
    <row r="6990" spans="1:5" x14ac:dyDescent="0.2">
      <c r="A6990" s="112">
        <f t="shared" si="109"/>
        <v>41688</v>
      </c>
      <c r="B6990" s="111">
        <f t="shared" si="110"/>
        <v>23</v>
      </c>
      <c r="C6990" s="111"/>
      <c r="D6990" s="111"/>
      <c r="E6990" s="111"/>
    </row>
    <row r="6991" spans="1:5" x14ac:dyDescent="0.2">
      <c r="A6991" s="112">
        <f t="shared" si="109"/>
        <v>41689</v>
      </c>
      <c r="B6991" s="111">
        <f t="shared" si="110"/>
        <v>23</v>
      </c>
      <c r="C6991" s="111"/>
      <c r="D6991" s="111"/>
      <c r="E6991" s="111"/>
    </row>
    <row r="6992" spans="1:5" x14ac:dyDescent="0.2">
      <c r="A6992" s="112">
        <f t="shared" si="109"/>
        <v>41690</v>
      </c>
      <c r="B6992" s="111">
        <f t="shared" si="110"/>
        <v>23</v>
      </c>
      <c r="C6992" s="111"/>
      <c r="D6992" s="111"/>
      <c r="E6992" s="111"/>
    </row>
    <row r="6993" spans="1:5" x14ac:dyDescent="0.2">
      <c r="A6993" s="112">
        <f t="shared" si="109"/>
        <v>41691</v>
      </c>
      <c r="B6993" s="111">
        <f t="shared" si="110"/>
        <v>23</v>
      </c>
      <c r="C6993" s="111"/>
      <c r="D6993" s="111"/>
      <c r="E6993" s="111"/>
    </row>
    <row r="6994" spans="1:5" x14ac:dyDescent="0.2">
      <c r="A6994" s="112">
        <f t="shared" si="109"/>
        <v>41692</v>
      </c>
      <c r="B6994" s="111">
        <f t="shared" si="110"/>
        <v>23</v>
      </c>
      <c r="C6994" s="111"/>
      <c r="D6994" s="111"/>
      <c r="E6994" s="111"/>
    </row>
    <row r="6995" spans="1:5" x14ac:dyDescent="0.2">
      <c r="A6995" s="112">
        <f t="shared" si="109"/>
        <v>41693</v>
      </c>
      <c r="B6995" s="111">
        <f t="shared" si="110"/>
        <v>24</v>
      </c>
      <c r="C6995" s="111"/>
      <c r="D6995" s="111"/>
      <c r="E6995" s="111"/>
    </row>
    <row r="6996" spans="1:5" x14ac:dyDescent="0.2">
      <c r="A6996" s="112">
        <f t="shared" si="109"/>
        <v>41694</v>
      </c>
      <c r="B6996" s="111">
        <f t="shared" si="110"/>
        <v>24</v>
      </c>
      <c r="C6996" s="111"/>
      <c r="D6996" s="111"/>
      <c r="E6996" s="111"/>
    </row>
    <row r="6997" spans="1:5" x14ac:dyDescent="0.2">
      <c r="A6997" s="112">
        <f t="shared" si="109"/>
        <v>41695</v>
      </c>
      <c r="B6997" s="111">
        <f t="shared" si="110"/>
        <v>24</v>
      </c>
      <c r="C6997" s="111"/>
      <c r="D6997" s="111"/>
      <c r="E6997" s="111"/>
    </row>
    <row r="6998" spans="1:5" x14ac:dyDescent="0.2">
      <c r="A6998" s="112">
        <f t="shared" si="109"/>
        <v>41696</v>
      </c>
      <c r="B6998" s="111">
        <f t="shared" si="110"/>
        <v>24</v>
      </c>
      <c r="C6998" s="111"/>
      <c r="D6998" s="111"/>
      <c r="E6998" s="111"/>
    </row>
    <row r="6999" spans="1:5" x14ac:dyDescent="0.2">
      <c r="A6999" s="112">
        <f t="shared" si="109"/>
        <v>41697</v>
      </c>
      <c r="B6999" s="111">
        <f t="shared" si="110"/>
        <v>24</v>
      </c>
      <c r="C6999" s="111"/>
      <c r="D6999" s="111"/>
      <c r="E6999" s="111"/>
    </row>
    <row r="7000" spans="1:5" x14ac:dyDescent="0.2">
      <c r="A7000" s="112">
        <f t="shared" si="109"/>
        <v>41698</v>
      </c>
      <c r="B7000" s="111">
        <f t="shared" si="110"/>
        <v>24</v>
      </c>
      <c r="C7000" s="111"/>
      <c r="D7000" s="111"/>
      <c r="E7000" s="111"/>
    </row>
    <row r="7001" spans="1:5" x14ac:dyDescent="0.2">
      <c r="A7001" s="112">
        <f t="shared" si="109"/>
        <v>41699</v>
      </c>
      <c r="B7001" s="111">
        <f t="shared" si="110"/>
        <v>24</v>
      </c>
      <c r="C7001" s="111"/>
      <c r="D7001" s="111"/>
      <c r="E7001" s="111"/>
    </row>
    <row r="7002" spans="1:5" x14ac:dyDescent="0.2">
      <c r="A7002" s="112">
        <f t="shared" si="109"/>
        <v>41700</v>
      </c>
      <c r="B7002" s="111">
        <f t="shared" si="110"/>
        <v>31</v>
      </c>
      <c r="C7002" s="111"/>
      <c r="D7002" s="111"/>
      <c r="E7002" s="111"/>
    </row>
    <row r="7003" spans="1:5" x14ac:dyDescent="0.2">
      <c r="A7003" s="112">
        <f t="shared" si="109"/>
        <v>41701</v>
      </c>
      <c r="B7003" s="111">
        <f t="shared" si="110"/>
        <v>31</v>
      </c>
      <c r="C7003" s="111"/>
      <c r="D7003" s="111"/>
      <c r="E7003" s="111"/>
    </row>
    <row r="7004" spans="1:5" x14ac:dyDescent="0.2">
      <c r="A7004" s="112">
        <f t="shared" si="109"/>
        <v>41702</v>
      </c>
      <c r="B7004" s="111">
        <f t="shared" si="110"/>
        <v>31</v>
      </c>
      <c r="C7004" s="111"/>
      <c r="D7004" s="111"/>
      <c r="E7004" s="111"/>
    </row>
    <row r="7005" spans="1:5" x14ac:dyDescent="0.2">
      <c r="A7005" s="112">
        <f t="shared" si="109"/>
        <v>41703</v>
      </c>
      <c r="B7005" s="111">
        <f t="shared" si="110"/>
        <v>31</v>
      </c>
      <c r="C7005" s="111"/>
      <c r="D7005" s="111"/>
      <c r="E7005" s="111"/>
    </row>
    <row r="7006" spans="1:5" x14ac:dyDescent="0.2">
      <c r="A7006" s="112">
        <f t="shared" si="109"/>
        <v>41704</v>
      </c>
      <c r="B7006" s="111">
        <f t="shared" si="110"/>
        <v>31</v>
      </c>
      <c r="C7006" s="111"/>
      <c r="D7006" s="111"/>
      <c r="E7006" s="111"/>
    </row>
    <row r="7007" spans="1:5" x14ac:dyDescent="0.2">
      <c r="A7007" s="112">
        <f t="shared" ref="A7007:A7070" si="111">A7006+1</f>
        <v>41705</v>
      </c>
      <c r="B7007" s="111">
        <f t="shared" si="110"/>
        <v>31</v>
      </c>
      <c r="C7007" s="111"/>
      <c r="D7007" s="111"/>
      <c r="E7007" s="111"/>
    </row>
    <row r="7008" spans="1:5" x14ac:dyDescent="0.2">
      <c r="A7008" s="112">
        <f t="shared" si="111"/>
        <v>41706</v>
      </c>
      <c r="B7008" s="111">
        <f t="shared" si="110"/>
        <v>31</v>
      </c>
      <c r="C7008" s="111"/>
      <c r="D7008" s="111"/>
      <c r="E7008" s="111"/>
    </row>
    <row r="7009" spans="1:5" x14ac:dyDescent="0.2">
      <c r="A7009" s="112">
        <f t="shared" si="111"/>
        <v>41707</v>
      </c>
      <c r="B7009" s="111">
        <f t="shared" si="110"/>
        <v>32</v>
      </c>
      <c r="C7009" s="111"/>
      <c r="D7009" s="111"/>
      <c r="E7009" s="111"/>
    </row>
    <row r="7010" spans="1:5" x14ac:dyDescent="0.2">
      <c r="A7010" s="112">
        <f t="shared" si="111"/>
        <v>41708</v>
      </c>
      <c r="B7010" s="111">
        <f t="shared" si="110"/>
        <v>32</v>
      </c>
      <c r="C7010" s="111"/>
      <c r="D7010" s="111"/>
      <c r="E7010" s="111"/>
    </row>
    <row r="7011" spans="1:5" x14ac:dyDescent="0.2">
      <c r="A7011" s="112">
        <f t="shared" si="111"/>
        <v>41709</v>
      </c>
      <c r="B7011" s="111">
        <f t="shared" si="110"/>
        <v>32</v>
      </c>
      <c r="C7011" s="111"/>
      <c r="D7011" s="111"/>
      <c r="E7011" s="111"/>
    </row>
    <row r="7012" spans="1:5" x14ac:dyDescent="0.2">
      <c r="A7012" s="112">
        <f t="shared" si="111"/>
        <v>41710</v>
      </c>
      <c r="B7012" s="111">
        <f t="shared" si="110"/>
        <v>32</v>
      </c>
      <c r="C7012" s="111"/>
      <c r="D7012" s="111"/>
      <c r="E7012" s="111"/>
    </row>
    <row r="7013" spans="1:5" x14ac:dyDescent="0.2">
      <c r="A7013" s="112">
        <f t="shared" si="111"/>
        <v>41711</v>
      </c>
      <c r="B7013" s="111">
        <f t="shared" si="110"/>
        <v>32</v>
      </c>
      <c r="C7013" s="111"/>
      <c r="D7013" s="111"/>
      <c r="E7013" s="111"/>
    </row>
    <row r="7014" spans="1:5" x14ac:dyDescent="0.2">
      <c r="A7014" s="112">
        <f t="shared" si="111"/>
        <v>41712</v>
      </c>
      <c r="B7014" s="111">
        <f t="shared" si="110"/>
        <v>32</v>
      </c>
      <c r="C7014" s="111"/>
      <c r="D7014" s="111"/>
      <c r="E7014" s="111"/>
    </row>
    <row r="7015" spans="1:5" x14ac:dyDescent="0.2">
      <c r="A7015" s="112">
        <f t="shared" si="111"/>
        <v>41713</v>
      </c>
      <c r="B7015" s="111">
        <f t="shared" si="110"/>
        <v>32</v>
      </c>
      <c r="C7015" s="111"/>
      <c r="D7015" s="111"/>
      <c r="E7015" s="111"/>
    </row>
    <row r="7016" spans="1:5" x14ac:dyDescent="0.2">
      <c r="A7016" s="112">
        <f t="shared" si="111"/>
        <v>41714</v>
      </c>
      <c r="B7016" s="111">
        <f t="shared" si="110"/>
        <v>33</v>
      </c>
      <c r="C7016" s="111"/>
      <c r="D7016" s="111"/>
      <c r="E7016" s="111"/>
    </row>
    <row r="7017" spans="1:5" x14ac:dyDescent="0.2">
      <c r="A7017" s="112">
        <f t="shared" si="111"/>
        <v>41715</v>
      </c>
      <c r="B7017" s="111">
        <f t="shared" si="110"/>
        <v>33</v>
      </c>
      <c r="C7017" s="111"/>
      <c r="D7017" s="111"/>
      <c r="E7017" s="111"/>
    </row>
    <row r="7018" spans="1:5" x14ac:dyDescent="0.2">
      <c r="A7018" s="112">
        <f t="shared" si="111"/>
        <v>41716</v>
      </c>
      <c r="B7018" s="111">
        <f t="shared" si="110"/>
        <v>33</v>
      </c>
      <c r="C7018" s="111"/>
      <c r="D7018" s="111"/>
      <c r="E7018" s="111"/>
    </row>
    <row r="7019" spans="1:5" x14ac:dyDescent="0.2">
      <c r="A7019" s="112">
        <f t="shared" si="111"/>
        <v>41717</v>
      </c>
      <c r="B7019" s="111">
        <f t="shared" si="110"/>
        <v>33</v>
      </c>
      <c r="C7019" s="111"/>
      <c r="D7019" s="111"/>
      <c r="E7019" s="111"/>
    </row>
    <row r="7020" spans="1:5" x14ac:dyDescent="0.2">
      <c r="A7020" s="112">
        <f t="shared" si="111"/>
        <v>41718</v>
      </c>
      <c r="B7020" s="111">
        <f t="shared" si="110"/>
        <v>33</v>
      </c>
      <c r="C7020" s="111"/>
      <c r="D7020" s="111"/>
      <c r="E7020" s="111"/>
    </row>
    <row r="7021" spans="1:5" x14ac:dyDescent="0.2">
      <c r="A7021" s="112">
        <f t="shared" si="111"/>
        <v>41719</v>
      </c>
      <c r="B7021" s="111">
        <f t="shared" si="110"/>
        <v>33</v>
      </c>
      <c r="C7021" s="111"/>
      <c r="D7021" s="111"/>
      <c r="E7021" s="111"/>
    </row>
    <row r="7022" spans="1:5" x14ac:dyDescent="0.2">
      <c r="A7022" s="112">
        <f t="shared" si="111"/>
        <v>41720</v>
      </c>
      <c r="B7022" s="111">
        <f t="shared" si="110"/>
        <v>33</v>
      </c>
      <c r="C7022" s="111"/>
      <c r="D7022" s="111"/>
      <c r="E7022" s="111"/>
    </row>
    <row r="7023" spans="1:5" x14ac:dyDescent="0.2">
      <c r="A7023" s="112">
        <f t="shared" si="111"/>
        <v>41721</v>
      </c>
      <c r="B7023" s="111">
        <f t="shared" si="110"/>
        <v>34</v>
      </c>
      <c r="C7023" s="111"/>
      <c r="D7023" s="111"/>
      <c r="E7023" s="111"/>
    </row>
    <row r="7024" spans="1:5" x14ac:dyDescent="0.2">
      <c r="A7024" s="112">
        <f t="shared" si="111"/>
        <v>41722</v>
      </c>
      <c r="B7024" s="111">
        <f t="shared" si="110"/>
        <v>34</v>
      </c>
      <c r="C7024" s="111"/>
      <c r="D7024" s="111"/>
      <c r="E7024" s="111"/>
    </row>
    <row r="7025" spans="1:5" x14ac:dyDescent="0.2">
      <c r="A7025" s="112">
        <f t="shared" si="111"/>
        <v>41723</v>
      </c>
      <c r="B7025" s="111">
        <f t="shared" si="110"/>
        <v>34</v>
      </c>
      <c r="C7025" s="111"/>
      <c r="D7025" s="111"/>
      <c r="E7025" s="111"/>
    </row>
    <row r="7026" spans="1:5" x14ac:dyDescent="0.2">
      <c r="A7026" s="112">
        <f t="shared" si="111"/>
        <v>41724</v>
      </c>
      <c r="B7026" s="111">
        <f t="shared" si="110"/>
        <v>34</v>
      </c>
      <c r="C7026" s="111"/>
      <c r="D7026" s="111"/>
      <c r="E7026" s="111"/>
    </row>
    <row r="7027" spans="1:5" x14ac:dyDescent="0.2">
      <c r="A7027" s="112">
        <f t="shared" si="111"/>
        <v>41725</v>
      </c>
      <c r="B7027" s="111">
        <f t="shared" si="110"/>
        <v>34</v>
      </c>
      <c r="C7027" s="111"/>
      <c r="D7027" s="111"/>
      <c r="E7027" s="111"/>
    </row>
    <row r="7028" spans="1:5" x14ac:dyDescent="0.2">
      <c r="A7028" s="112">
        <f t="shared" si="111"/>
        <v>41726</v>
      </c>
      <c r="B7028" s="111">
        <f t="shared" si="110"/>
        <v>34</v>
      </c>
      <c r="C7028" s="111"/>
      <c r="D7028" s="111"/>
      <c r="E7028" s="111"/>
    </row>
    <row r="7029" spans="1:5" x14ac:dyDescent="0.2">
      <c r="A7029" s="112">
        <f t="shared" si="111"/>
        <v>41727</v>
      </c>
      <c r="B7029" s="111">
        <f t="shared" si="110"/>
        <v>34</v>
      </c>
      <c r="C7029" s="111"/>
      <c r="D7029" s="111"/>
      <c r="E7029" s="111"/>
    </row>
    <row r="7030" spans="1:5" x14ac:dyDescent="0.2">
      <c r="A7030" s="112">
        <f t="shared" si="111"/>
        <v>41728</v>
      </c>
      <c r="B7030" s="111">
        <f t="shared" si="110"/>
        <v>41</v>
      </c>
      <c r="C7030" s="111"/>
      <c r="D7030" s="111"/>
      <c r="E7030" s="111"/>
    </row>
    <row r="7031" spans="1:5" x14ac:dyDescent="0.2">
      <c r="A7031" s="112">
        <f t="shared" si="111"/>
        <v>41729</v>
      </c>
      <c r="B7031" s="111">
        <f t="shared" si="110"/>
        <v>41</v>
      </c>
      <c r="C7031" s="111"/>
      <c r="D7031" s="111"/>
      <c r="E7031" s="111"/>
    </row>
    <row r="7032" spans="1:5" x14ac:dyDescent="0.2">
      <c r="A7032" s="112">
        <f t="shared" si="111"/>
        <v>41730</v>
      </c>
      <c r="B7032" s="111">
        <f t="shared" si="110"/>
        <v>41</v>
      </c>
      <c r="C7032" s="111"/>
      <c r="D7032" s="111"/>
      <c r="E7032" s="111"/>
    </row>
    <row r="7033" spans="1:5" x14ac:dyDescent="0.2">
      <c r="A7033" s="112">
        <f t="shared" si="111"/>
        <v>41731</v>
      </c>
      <c r="B7033" s="111">
        <f t="shared" si="110"/>
        <v>41</v>
      </c>
      <c r="C7033" s="111"/>
      <c r="D7033" s="111"/>
      <c r="E7033" s="111"/>
    </row>
    <row r="7034" spans="1:5" x14ac:dyDescent="0.2">
      <c r="A7034" s="112">
        <f t="shared" si="111"/>
        <v>41732</v>
      </c>
      <c r="B7034" s="111">
        <f t="shared" si="110"/>
        <v>41</v>
      </c>
      <c r="C7034" s="111"/>
      <c r="D7034" s="111"/>
      <c r="E7034" s="111"/>
    </row>
    <row r="7035" spans="1:5" x14ac:dyDescent="0.2">
      <c r="A7035" s="112">
        <f t="shared" si="111"/>
        <v>41733</v>
      </c>
      <c r="B7035" s="111">
        <f t="shared" si="110"/>
        <v>41</v>
      </c>
      <c r="C7035" s="111"/>
      <c r="D7035" s="111"/>
      <c r="E7035" s="111"/>
    </row>
    <row r="7036" spans="1:5" x14ac:dyDescent="0.2">
      <c r="A7036" s="112">
        <f t="shared" si="111"/>
        <v>41734</v>
      </c>
      <c r="B7036" s="111">
        <f t="shared" si="110"/>
        <v>41</v>
      </c>
      <c r="C7036" s="111"/>
      <c r="D7036" s="111"/>
      <c r="E7036" s="111"/>
    </row>
    <row r="7037" spans="1:5" x14ac:dyDescent="0.2">
      <c r="A7037" s="112">
        <f t="shared" si="111"/>
        <v>41735</v>
      </c>
      <c r="B7037" s="111">
        <f t="shared" si="110"/>
        <v>42</v>
      </c>
      <c r="C7037" s="111"/>
      <c r="D7037" s="111"/>
      <c r="E7037" s="111"/>
    </row>
    <row r="7038" spans="1:5" x14ac:dyDescent="0.2">
      <c r="A7038" s="112">
        <f t="shared" si="111"/>
        <v>41736</v>
      </c>
      <c r="B7038" s="111">
        <f t="shared" si="110"/>
        <v>42</v>
      </c>
      <c r="C7038" s="111"/>
      <c r="D7038" s="111"/>
      <c r="E7038" s="111"/>
    </row>
    <row r="7039" spans="1:5" x14ac:dyDescent="0.2">
      <c r="A7039" s="112">
        <f t="shared" si="111"/>
        <v>41737</v>
      </c>
      <c r="B7039" s="111">
        <f t="shared" si="110"/>
        <v>42</v>
      </c>
      <c r="C7039" s="111"/>
      <c r="D7039" s="111"/>
      <c r="E7039" s="111"/>
    </row>
    <row r="7040" spans="1:5" x14ac:dyDescent="0.2">
      <c r="A7040" s="112">
        <f t="shared" si="111"/>
        <v>41738</v>
      </c>
      <c r="B7040" s="111">
        <f t="shared" si="110"/>
        <v>42</v>
      </c>
      <c r="C7040" s="111"/>
      <c r="D7040" s="111"/>
      <c r="E7040" s="111"/>
    </row>
    <row r="7041" spans="1:5" x14ac:dyDescent="0.2">
      <c r="A7041" s="112">
        <f t="shared" si="111"/>
        <v>41739</v>
      </c>
      <c r="B7041" s="111">
        <f t="shared" si="110"/>
        <v>42</v>
      </c>
      <c r="C7041" s="111"/>
      <c r="D7041" s="111"/>
      <c r="E7041" s="111"/>
    </row>
    <row r="7042" spans="1:5" x14ac:dyDescent="0.2">
      <c r="A7042" s="112">
        <f t="shared" si="111"/>
        <v>41740</v>
      </c>
      <c r="B7042" s="111">
        <f t="shared" ref="B7042:B7105" si="112">VLOOKUP(WEEKNUM(A7042),$D$3:$E$58,2)</f>
        <v>42</v>
      </c>
      <c r="C7042" s="111"/>
      <c r="D7042" s="111"/>
      <c r="E7042" s="111"/>
    </row>
    <row r="7043" spans="1:5" x14ac:dyDescent="0.2">
      <c r="A7043" s="112">
        <f t="shared" si="111"/>
        <v>41741</v>
      </c>
      <c r="B7043" s="111">
        <f t="shared" si="112"/>
        <v>42</v>
      </c>
      <c r="C7043" s="111"/>
      <c r="D7043" s="111"/>
      <c r="E7043" s="111"/>
    </row>
    <row r="7044" spans="1:5" x14ac:dyDescent="0.2">
      <c r="A7044" s="112">
        <f t="shared" si="111"/>
        <v>41742</v>
      </c>
      <c r="B7044" s="111">
        <f t="shared" si="112"/>
        <v>43</v>
      </c>
      <c r="C7044" s="111"/>
      <c r="D7044" s="111"/>
      <c r="E7044" s="111"/>
    </row>
    <row r="7045" spans="1:5" x14ac:dyDescent="0.2">
      <c r="A7045" s="112">
        <f t="shared" si="111"/>
        <v>41743</v>
      </c>
      <c r="B7045" s="111">
        <f t="shared" si="112"/>
        <v>43</v>
      </c>
      <c r="C7045" s="111"/>
      <c r="D7045" s="111"/>
      <c r="E7045" s="111"/>
    </row>
    <row r="7046" spans="1:5" x14ac:dyDescent="0.2">
      <c r="A7046" s="112">
        <f t="shared" si="111"/>
        <v>41744</v>
      </c>
      <c r="B7046" s="111">
        <f t="shared" si="112"/>
        <v>43</v>
      </c>
      <c r="C7046" s="111"/>
      <c r="D7046" s="111"/>
      <c r="E7046" s="111"/>
    </row>
    <row r="7047" spans="1:5" x14ac:dyDescent="0.2">
      <c r="A7047" s="112">
        <f t="shared" si="111"/>
        <v>41745</v>
      </c>
      <c r="B7047" s="111">
        <f t="shared" si="112"/>
        <v>43</v>
      </c>
      <c r="C7047" s="111"/>
      <c r="D7047" s="111"/>
      <c r="E7047" s="111"/>
    </row>
    <row r="7048" spans="1:5" x14ac:dyDescent="0.2">
      <c r="A7048" s="112">
        <f t="shared" si="111"/>
        <v>41746</v>
      </c>
      <c r="B7048" s="111">
        <f t="shared" si="112"/>
        <v>43</v>
      </c>
      <c r="C7048" s="111"/>
      <c r="D7048" s="111"/>
      <c r="E7048" s="111"/>
    </row>
    <row r="7049" spans="1:5" x14ac:dyDescent="0.2">
      <c r="A7049" s="112">
        <f t="shared" si="111"/>
        <v>41747</v>
      </c>
      <c r="B7049" s="111">
        <f t="shared" si="112"/>
        <v>43</v>
      </c>
      <c r="C7049" s="111"/>
      <c r="D7049" s="111"/>
      <c r="E7049" s="111"/>
    </row>
    <row r="7050" spans="1:5" x14ac:dyDescent="0.2">
      <c r="A7050" s="112">
        <f t="shared" si="111"/>
        <v>41748</v>
      </c>
      <c r="B7050" s="111">
        <f t="shared" si="112"/>
        <v>43</v>
      </c>
      <c r="C7050" s="111"/>
      <c r="D7050" s="111"/>
      <c r="E7050" s="111"/>
    </row>
    <row r="7051" spans="1:5" x14ac:dyDescent="0.2">
      <c r="A7051" s="112">
        <f t="shared" si="111"/>
        <v>41749</v>
      </c>
      <c r="B7051" s="111">
        <f t="shared" si="112"/>
        <v>44</v>
      </c>
      <c r="C7051" s="111"/>
      <c r="D7051" s="111"/>
      <c r="E7051" s="111"/>
    </row>
    <row r="7052" spans="1:5" x14ac:dyDescent="0.2">
      <c r="A7052" s="112">
        <f t="shared" si="111"/>
        <v>41750</v>
      </c>
      <c r="B7052" s="111">
        <f t="shared" si="112"/>
        <v>44</v>
      </c>
      <c r="C7052" s="111"/>
      <c r="D7052" s="111"/>
      <c r="E7052" s="111"/>
    </row>
    <row r="7053" spans="1:5" x14ac:dyDescent="0.2">
      <c r="A7053" s="112">
        <f t="shared" si="111"/>
        <v>41751</v>
      </c>
      <c r="B7053" s="111">
        <f t="shared" si="112"/>
        <v>44</v>
      </c>
      <c r="C7053" s="111"/>
      <c r="D7053" s="111"/>
      <c r="E7053" s="111"/>
    </row>
    <row r="7054" spans="1:5" x14ac:dyDescent="0.2">
      <c r="A7054" s="112">
        <f t="shared" si="111"/>
        <v>41752</v>
      </c>
      <c r="B7054" s="111">
        <f t="shared" si="112"/>
        <v>44</v>
      </c>
      <c r="C7054" s="111"/>
      <c r="D7054" s="111"/>
      <c r="E7054" s="111"/>
    </row>
    <row r="7055" spans="1:5" x14ac:dyDescent="0.2">
      <c r="A7055" s="112">
        <f t="shared" si="111"/>
        <v>41753</v>
      </c>
      <c r="B7055" s="111">
        <f t="shared" si="112"/>
        <v>44</v>
      </c>
      <c r="C7055" s="111"/>
      <c r="D7055" s="111"/>
      <c r="E7055" s="111"/>
    </row>
    <row r="7056" spans="1:5" x14ac:dyDescent="0.2">
      <c r="A7056" s="112">
        <f t="shared" si="111"/>
        <v>41754</v>
      </c>
      <c r="B7056" s="111">
        <f t="shared" si="112"/>
        <v>44</v>
      </c>
      <c r="C7056" s="111"/>
      <c r="D7056" s="111"/>
      <c r="E7056" s="111"/>
    </row>
    <row r="7057" spans="1:5" x14ac:dyDescent="0.2">
      <c r="A7057" s="112">
        <f t="shared" si="111"/>
        <v>41755</v>
      </c>
      <c r="B7057" s="111">
        <f t="shared" si="112"/>
        <v>44</v>
      </c>
      <c r="C7057" s="111"/>
      <c r="D7057" s="111"/>
      <c r="E7057" s="111"/>
    </row>
    <row r="7058" spans="1:5" x14ac:dyDescent="0.2">
      <c r="A7058" s="112">
        <f t="shared" si="111"/>
        <v>41756</v>
      </c>
      <c r="B7058" s="111">
        <f t="shared" si="112"/>
        <v>45</v>
      </c>
      <c r="C7058" s="111"/>
      <c r="D7058" s="111"/>
      <c r="E7058" s="111"/>
    </row>
    <row r="7059" spans="1:5" x14ac:dyDescent="0.2">
      <c r="A7059" s="112">
        <f t="shared" si="111"/>
        <v>41757</v>
      </c>
      <c r="B7059" s="111">
        <f t="shared" si="112"/>
        <v>45</v>
      </c>
      <c r="C7059" s="111"/>
      <c r="D7059" s="111"/>
      <c r="E7059" s="111"/>
    </row>
    <row r="7060" spans="1:5" x14ac:dyDescent="0.2">
      <c r="A7060" s="112">
        <f t="shared" si="111"/>
        <v>41758</v>
      </c>
      <c r="B7060" s="111">
        <f t="shared" si="112"/>
        <v>45</v>
      </c>
      <c r="C7060" s="111"/>
      <c r="D7060" s="111"/>
      <c r="E7060" s="111"/>
    </row>
    <row r="7061" spans="1:5" x14ac:dyDescent="0.2">
      <c r="A7061" s="112">
        <f t="shared" si="111"/>
        <v>41759</v>
      </c>
      <c r="B7061" s="111">
        <f t="shared" si="112"/>
        <v>45</v>
      </c>
      <c r="C7061" s="111"/>
      <c r="D7061" s="111"/>
      <c r="E7061" s="111"/>
    </row>
    <row r="7062" spans="1:5" x14ac:dyDescent="0.2">
      <c r="A7062" s="112">
        <f t="shared" si="111"/>
        <v>41760</v>
      </c>
      <c r="B7062" s="111">
        <f t="shared" si="112"/>
        <v>45</v>
      </c>
      <c r="C7062" s="111"/>
      <c r="D7062" s="111"/>
      <c r="E7062" s="111"/>
    </row>
    <row r="7063" spans="1:5" x14ac:dyDescent="0.2">
      <c r="A7063" s="112">
        <f t="shared" si="111"/>
        <v>41761</v>
      </c>
      <c r="B7063" s="111">
        <f t="shared" si="112"/>
        <v>45</v>
      </c>
      <c r="C7063" s="111"/>
      <c r="D7063" s="111"/>
      <c r="E7063" s="111"/>
    </row>
    <row r="7064" spans="1:5" x14ac:dyDescent="0.2">
      <c r="A7064" s="112">
        <f t="shared" si="111"/>
        <v>41762</v>
      </c>
      <c r="B7064" s="111">
        <f t="shared" si="112"/>
        <v>45</v>
      </c>
      <c r="C7064" s="111"/>
      <c r="D7064" s="111"/>
      <c r="E7064" s="111"/>
    </row>
    <row r="7065" spans="1:5" x14ac:dyDescent="0.2">
      <c r="A7065" s="112">
        <f t="shared" si="111"/>
        <v>41763</v>
      </c>
      <c r="B7065" s="111">
        <f t="shared" si="112"/>
        <v>51</v>
      </c>
      <c r="C7065" s="111"/>
      <c r="D7065" s="111"/>
      <c r="E7065" s="111"/>
    </row>
    <row r="7066" spans="1:5" x14ac:dyDescent="0.2">
      <c r="A7066" s="112">
        <f t="shared" si="111"/>
        <v>41764</v>
      </c>
      <c r="B7066" s="111">
        <f t="shared" si="112"/>
        <v>51</v>
      </c>
      <c r="C7066" s="111"/>
      <c r="D7066" s="111"/>
      <c r="E7066" s="111"/>
    </row>
    <row r="7067" spans="1:5" x14ac:dyDescent="0.2">
      <c r="A7067" s="112">
        <f t="shared" si="111"/>
        <v>41765</v>
      </c>
      <c r="B7067" s="111">
        <f t="shared" si="112"/>
        <v>51</v>
      </c>
      <c r="C7067" s="111"/>
      <c r="D7067" s="111"/>
      <c r="E7067" s="111"/>
    </row>
    <row r="7068" spans="1:5" x14ac:dyDescent="0.2">
      <c r="A7068" s="112">
        <f t="shared" si="111"/>
        <v>41766</v>
      </c>
      <c r="B7068" s="111">
        <f t="shared" si="112"/>
        <v>51</v>
      </c>
      <c r="C7068" s="111"/>
      <c r="D7068" s="111"/>
      <c r="E7068" s="111"/>
    </row>
    <row r="7069" spans="1:5" x14ac:dyDescent="0.2">
      <c r="A7069" s="112">
        <f t="shared" si="111"/>
        <v>41767</v>
      </c>
      <c r="B7069" s="111">
        <f t="shared" si="112"/>
        <v>51</v>
      </c>
      <c r="C7069" s="111"/>
      <c r="D7069" s="111"/>
      <c r="E7069" s="111"/>
    </row>
    <row r="7070" spans="1:5" x14ac:dyDescent="0.2">
      <c r="A7070" s="112">
        <f t="shared" si="111"/>
        <v>41768</v>
      </c>
      <c r="B7070" s="111">
        <f t="shared" si="112"/>
        <v>51</v>
      </c>
      <c r="C7070" s="111"/>
      <c r="D7070" s="111"/>
      <c r="E7070" s="111"/>
    </row>
    <row r="7071" spans="1:5" x14ac:dyDescent="0.2">
      <c r="A7071" s="112">
        <f t="shared" ref="A7071:A7134" si="113">A7070+1</f>
        <v>41769</v>
      </c>
      <c r="B7071" s="111">
        <f t="shared" si="112"/>
        <v>51</v>
      </c>
      <c r="C7071" s="111"/>
      <c r="D7071" s="111"/>
      <c r="E7071" s="111"/>
    </row>
    <row r="7072" spans="1:5" x14ac:dyDescent="0.2">
      <c r="A7072" s="112">
        <f t="shared" si="113"/>
        <v>41770</v>
      </c>
      <c r="B7072" s="111">
        <f t="shared" si="112"/>
        <v>52</v>
      </c>
      <c r="C7072" s="111"/>
      <c r="D7072" s="111"/>
      <c r="E7072" s="111"/>
    </row>
    <row r="7073" spans="1:5" x14ac:dyDescent="0.2">
      <c r="A7073" s="112">
        <f t="shared" si="113"/>
        <v>41771</v>
      </c>
      <c r="B7073" s="111">
        <f t="shared" si="112"/>
        <v>52</v>
      </c>
      <c r="C7073" s="111"/>
      <c r="D7073" s="111"/>
      <c r="E7073" s="111"/>
    </row>
    <row r="7074" spans="1:5" x14ac:dyDescent="0.2">
      <c r="A7074" s="112">
        <f t="shared" si="113"/>
        <v>41772</v>
      </c>
      <c r="B7074" s="111">
        <f t="shared" si="112"/>
        <v>52</v>
      </c>
      <c r="C7074" s="111"/>
      <c r="D7074" s="111"/>
      <c r="E7074" s="111"/>
    </row>
    <row r="7075" spans="1:5" x14ac:dyDescent="0.2">
      <c r="A7075" s="112">
        <f t="shared" si="113"/>
        <v>41773</v>
      </c>
      <c r="B7075" s="111">
        <f t="shared" si="112"/>
        <v>52</v>
      </c>
      <c r="C7075" s="111"/>
      <c r="D7075" s="111"/>
      <c r="E7075" s="111"/>
    </row>
    <row r="7076" spans="1:5" x14ac:dyDescent="0.2">
      <c r="A7076" s="112">
        <f t="shared" si="113"/>
        <v>41774</v>
      </c>
      <c r="B7076" s="111">
        <f t="shared" si="112"/>
        <v>52</v>
      </c>
      <c r="C7076" s="111"/>
      <c r="D7076" s="111"/>
      <c r="E7076" s="111"/>
    </row>
    <row r="7077" spans="1:5" x14ac:dyDescent="0.2">
      <c r="A7077" s="112">
        <f t="shared" si="113"/>
        <v>41775</v>
      </c>
      <c r="B7077" s="111">
        <f t="shared" si="112"/>
        <v>52</v>
      </c>
      <c r="C7077" s="111"/>
      <c r="D7077" s="111"/>
      <c r="E7077" s="111"/>
    </row>
    <row r="7078" spans="1:5" x14ac:dyDescent="0.2">
      <c r="A7078" s="112">
        <f t="shared" si="113"/>
        <v>41776</v>
      </c>
      <c r="B7078" s="111">
        <f t="shared" si="112"/>
        <v>52</v>
      </c>
      <c r="C7078" s="111"/>
      <c r="D7078" s="111"/>
      <c r="E7078" s="111"/>
    </row>
    <row r="7079" spans="1:5" x14ac:dyDescent="0.2">
      <c r="A7079" s="112">
        <f t="shared" si="113"/>
        <v>41777</v>
      </c>
      <c r="B7079" s="111">
        <f t="shared" si="112"/>
        <v>53</v>
      </c>
      <c r="C7079" s="111"/>
      <c r="D7079" s="111"/>
      <c r="E7079" s="111"/>
    </row>
    <row r="7080" spans="1:5" x14ac:dyDescent="0.2">
      <c r="A7080" s="112">
        <f t="shared" si="113"/>
        <v>41778</v>
      </c>
      <c r="B7080" s="111">
        <f t="shared" si="112"/>
        <v>53</v>
      </c>
      <c r="C7080" s="111"/>
      <c r="D7080" s="111"/>
      <c r="E7080" s="111"/>
    </row>
    <row r="7081" spans="1:5" x14ac:dyDescent="0.2">
      <c r="A7081" s="112">
        <f t="shared" si="113"/>
        <v>41779</v>
      </c>
      <c r="B7081" s="111">
        <f t="shared" si="112"/>
        <v>53</v>
      </c>
      <c r="C7081" s="111"/>
      <c r="D7081" s="111"/>
      <c r="E7081" s="111"/>
    </row>
    <row r="7082" spans="1:5" x14ac:dyDescent="0.2">
      <c r="A7082" s="112">
        <f t="shared" si="113"/>
        <v>41780</v>
      </c>
      <c r="B7082" s="111">
        <f t="shared" si="112"/>
        <v>53</v>
      </c>
      <c r="C7082" s="111"/>
      <c r="D7082" s="111"/>
      <c r="E7082" s="111"/>
    </row>
    <row r="7083" spans="1:5" x14ac:dyDescent="0.2">
      <c r="A7083" s="112">
        <f t="shared" si="113"/>
        <v>41781</v>
      </c>
      <c r="B7083" s="111">
        <f t="shared" si="112"/>
        <v>53</v>
      </c>
      <c r="C7083" s="111"/>
      <c r="D7083" s="111"/>
      <c r="E7083" s="111"/>
    </row>
    <row r="7084" spans="1:5" x14ac:dyDescent="0.2">
      <c r="A7084" s="112">
        <f t="shared" si="113"/>
        <v>41782</v>
      </c>
      <c r="B7084" s="111">
        <f t="shared" si="112"/>
        <v>53</v>
      </c>
      <c r="C7084" s="111"/>
      <c r="D7084" s="111"/>
      <c r="E7084" s="111"/>
    </row>
    <row r="7085" spans="1:5" x14ac:dyDescent="0.2">
      <c r="A7085" s="112">
        <f t="shared" si="113"/>
        <v>41783</v>
      </c>
      <c r="B7085" s="111">
        <f t="shared" si="112"/>
        <v>53</v>
      </c>
      <c r="C7085" s="111"/>
      <c r="D7085" s="111"/>
      <c r="E7085" s="111"/>
    </row>
    <row r="7086" spans="1:5" x14ac:dyDescent="0.2">
      <c r="A7086" s="112">
        <f t="shared" si="113"/>
        <v>41784</v>
      </c>
      <c r="B7086" s="111">
        <f t="shared" si="112"/>
        <v>54</v>
      </c>
      <c r="C7086" s="111"/>
      <c r="D7086" s="111"/>
      <c r="E7086" s="111"/>
    </row>
    <row r="7087" spans="1:5" x14ac:dyDescent="0.2">
      <c r="A7087" s="112">
        <f t="shared" si="113"/>
        <v>41785</v>
      </c>
      <c r="B7087" s="111">
        <f t="shared" si="112"/>
        <v>54</v>
      </c>
      <c r="C7087" s="111"/>
      <c r="D7087" s="111"/>
      <c r="E7087" s="111"/>
    </row>
    <row r="7088" spans="1:5" x14ac:dyDescent="0.2">
      <c r="A7088" s="112">
        <f t="shared" si="113"/>
        <v>41786</v>
      </c>
      <c r="B7088" s="111">
        <f t="shared" si="112"/>
        <v>54</v>
      </c>
      <c r="C7088" s="111"/>
      <c r="D7088" s="111"/>
      <c r="E7088" s="111"/>
    </row>
    <row r="7089" spans="1:5" x14ac:dyDescent="0.2">
      <c r="A7089" s="112">
        <f t="shared" si="113"/>
        <v>41787</v>
      </c>
      <c r="B7089" s="111">
        <f t="shared" si="112"/>
        <v>54</v>
      </c>
      <c r="C7089" s="111"/>
      <c r="D7089" s="111"/>
      <c r="E7089" s="111"/>
    </row>
    <row r="7090" spans="1:5" x14ac:dyDescent="0.2">
      <c r="A7090" s="112">
        <f t="shared" si="113"/>
        <v>41788</v>
      </c>
      <c r="B7090" s="111">
        <f t="shared" si="112"/>
        <v>54</v>
      </c>
      <c r="C7090" s="111"/>
      <c r="D7090" s="111"/>
      <c r="E7090" s="111"/>
    </row>
    <row r="7091" spans="1:5" x14ac:dyDescent="0.2">
      <c r="A7091" s="112">
        <f t="shared" si="113"/>
        <v>41789</v>
      </c>
      <c r="B7091" s="111">
        <f t="shared" si="112"/>
        <v>54</v>
      </c>
      <c r="C7091" s="111"/>
      <c r="D7091" s="111"/>
      <c r="E7091" s="111"/>
    </row>
    <row r="7092" spans="1:5" x14ac:dyDescent="0.2">
      <c r="A7092" s="112">
        <f t="shared" si="113"/>
        <v>41790</v>
      </c>
      <c r="B7092" s="111">
        <f t="shared" si="112"/>
        <v>54</v>
      </c>
      <c r="C7092" s="111"/>
      <c r="D7092" s="111"/>
      <c r="E7092" s="111"/>
    </row>
    <row r="7093" spans="1:5" x14ac:dyDescent="0.2">
      <c r="A7093" s="112">
        <f t="shared" si="113"/>
        <v>41791</v>
      </c>
      <c r="B7093" s="111">
        <f t="shared" si="112"/>
        <v>61</v>
      </c>
      <c r="C7093" s="111"/>
      <c r="D7093" s="111"/>
      <c r="E7093" s="111"/>
    </row>
    <row r="7094" spans="1:5" x14ac:dyDescent="0.2">
      <c r="A7094" s="112">
        <f t="shared" si="113"/>
        <v>41792</v>
      </c>
      <c r="B7094" s="111">
        <f t="shared" si="112"/>
        <v>61</v>
      </c>
      <c r="C7094" s="111"/>
      <c r="D7094" s="111"/>
      <c r="E7094" s="111"/>
    </row>
    <row r="7095" spans="1:5" x14ac:dyDescent="0.2">
      <c r="A7095" s="112">
        <f t="shared" si="113"/>
        <v>41793</v>
      </c>
      <c r="B7095" s="111">
        <f t="shared" si="112"/>
        <v>61</v>
      </c>
      <c r="C7095" s="111"/>
      <c r="D7095" s="111"/>
      <c r="E7095" s="111"/>
    </row>
    <row r="7096" spans="1:5" x14ac:dyDescent="0.2">
      <c r="A7096" s="112">
        <f t="shared" si="113"/>
        <v>41794</v>
      </c>
      <c r="B7096" s="111">
        <f t="shared" si="112"/>
        <v>61</v>
      </c>
      <c r="C7096" s="111"/>
      <c r="D7096" s="111"/>
      <c r="E7096" s="111"/>
    </row>
    <row r="7097" spans="1:5" x14ac:dyDescent="0.2">
      <c r="A7097" s="112">
        <f t="shared" si="113"/>
        <v>41795</v>
      </c>
      <c r="B7097" s="111">
        <f t="shared" si="112"/>
        <v>61</v>
      </c>
      <c r="C7097" s="111"/>
      <c r="D7097" s="111"/>
      <c r="E7097" s="111"/>
    </row>
    <row r="7098" spans="1:5" x14ac:dyDescent="0.2">
      <c r="A7098" s="112">
        <f t="shared" si="113"/>
        <v>41796</v>
      </c>
      <c r="B7098" s="111">
        <f t="shared" si="112"/>
        <v>61</v>
      </c>
      <c r="C7098" s="111"/>
      <c r="D7098" s="111"/>
      <c r="E7098" s="111"/>
    </row>
    <row r="7099" spans="1:5" x14ac:dyDescent="0.2">
      <c r="A7099" s="112">
        <f t="shared" si="113"/>
        <v>41797</v>
      </c>
      <c r="B7099" s="111">
        <f t="shared" si="112"/>
        <v>61</v>
      </c>
      <c r="C7099" s="111"/>
      <c r="D7099" s="111"/>
      <c r="E7099" s="111"/>
    </row>
    <row r="7100" spans="1:5" x14ac:dyDescent="0.2">
      <c r="A7100" s="112">
        <f t="shared" si="113"/>
        <v>41798</v>
      </c>
      <c r="B7100" s="111">
        <f t="shared" si="112"/>
        <v>62</v>
      </c>
      <c r="C7100" s="111"/>
      <c r="D7100" s="111"/>
      <c r="E7100" s="111"/>
    </row>
    <row r="7101" spans="1:5" x14ac:dyDescent="0.2">
      <c r="A7101" s="112">
        <f t="shared" si="113"/>
        <v>41799</v>
      </c>
      <c r="B7101" s="111">
        <f t="shared" si="112"/>
        <v>62</v>
      </c>
      <c r="C7101" s="111"/>
      <c r="D7101" s="111"/>
      <c r="E7101" s="111"/>
    </row>
    <row r="7102" spans="1:5" x14ac:dyDescent="0.2">
      <c r="A7102" s="112">
        <f t="shared" si="113"/>
        <v>41800</v>
      </c>
      <c r="B7102" s="111">
        <f t="shared" si="112"/>
        <v>62</v>
      </c>
      <c r="C7102" s="111"/>
      <c r="D7102" s="111"/>
      <c r="E7102" s="111"/>
    </row>
    <row r="7103" spans="1:5" x14ac:dyDescent="0.2">
      <c r="A7103" s="112">
        <f t="shared" si="113"/>
        <v>41801</v>
      </c>
      <c r="B7103" s="111">
        <f t="shared" si="112"/>
        <v>62</v>
      </c>
      <c r="C7103" s="111"/>
      <c r="D7103" s="111"/>
      <c r="E7103" s="111"/>
    </row>
    <row r="7104" spans="1:5" x14ac:dyDescent="0.2">
      <c r="A7104" s="112">
        <f t="shared" si="113"/>
        <v>41802</v>
      </c>
      <c r="B7104" s="111">
        <f t="shared" si="112"/>
        <v>62</v>
      </c>
      <c r="C7104" s="111"/>
      <c r="D7104" s="111"/>
      <c r="E7104" s="111"/>
    </row>
    <row r="7105" spans="1:5" x14ac:dyDescent="0.2">
      <c r="A7105" s="112">
        <f t="shared" si="113"/>
        <v>41803</v>
      </c>
      <c r="B7105" s="111">
        <f t="shared" si="112"/>
        <v>62</v>
      </c>
      <c r="C7105" s="111"/>
      <c r="D7105" s="111"/>
      <c r="E7105" s="111"/>
    </row>
    <row r="7106" spans="1:5" x14ac:dyDescent="0.2">
      <c r="A7106" s="112">
        <f t="shared" si="113"/>
        <v>41804</v>
      </c>
      <c r="B7106" s="111">
        <f t="shared" ref="B7106:B7169" si="114">VLOOKUP(WEEKNUM(A7106),$D$3:$E$58,2)</f>
        <v>62</v>
      </c>
      <c r="C7106" s="111"/>
      <c r="D7106" s="111"/>
      <c r="E7106" s="111"/>
    </row>
    <row r="7107" spans="1:5" x14ac:dyDescent="0.2">
      <c r="A7107" s="112">
        <f t="shared" si="113"/>
        <v>41805</v>
      </c>
      <c r="B7107" s="111">
        <f t="shared" si="114"/>
        <v>63</v>
      </c>
      <c r="C7107" s="111"/>
      <c r="D7107" s="111"/>
      <c r="E7107" s="111"/>
    </row>
    <row r="7108" spans="1:5" x14ac:dyDescent="0.2">
      <c r="A7108" s="112">
        <f t="shared" si="113"/>
        <v>41806</v>
      </c>
      <c r="B7108" s="111">
        <f t="shared" si="114"/>
        <v>63</v>
      </c>
      <c r="C7108" s="111"/>
      <c r="D7108" s="111"/>
      <c r="E7108" s="111"/>
    </row>
    <row r="7109" spans="1:5" x14ac:dyDescent="0.2">
      <c r="A7109" s="112">
        <f t="shared" si="113"/>
        <v>41807</v>
      </c>
      <c r="B7109" s="111">
        <f t="shared" si="114"/>
        <v>63</v>
      </c>
      <c r="C7109" s="111"/>
      <c r="D7109" s="111"/>
      <c r="E7109" s="111"/>
    </row>
    <row r="7110" spans="1:5" x14ac:dyDescent="0.2">
      <c r="A7110" s="112">
        <f t="shared" si="113"/>
        <v>41808</v>
      </c>
      <c r="B7110" s="111">
        <f t="shared" si="114"/>
        <v>63</v>
      </c>
      <c r="C7110" s="111"/>
      <c r="D7110" s="111"/>
      <c r="E7110" s="111"/>
    </row>
    <row r="7111" spans="1:5" x14ac:dyDescent="0.2">
      <c r="A7111" s="112">
        <f t="shared" si="113"/>
        <v>41809</v>
      </c>
      <c r="B7111" s="111">
        <f t="shared" si="114"/>
        <v>63</v>
      </c>
      <c r="C7111" s="111"/>
      <c r="D7111" s="111"/>
      <c r="E7111" s="111"/>
    </row>
    <row r="7112" spans="1:5" x14ac:dyDescent="0.2">
      <c r="A7112" s="112">
        <f t="shared" si="113"/>
        <v>41810</v>
      </c>
      <c r="B7112" s="111">
        <f t="shared" si="114"/>
        <v>63</v>
      </c>
      <c r="C7112" s="111"/>
      <c r="D7112" s="111"/>
      <c r="E7112" s="111"/>
    </row>
    <row r="7113" spans="1:5" x14ac:dyDescent="0.2">
      <c r="A7113" s="112">
        <f t="shared" si="113"/>
        <v>41811</v>
      </c>
      <c r="B7113" s="111">
        <f t="shared" si="114"/>
        <v>63</v>
      </c>
      <c r="C7113" s="111"/>
      <c r="D7113" s="111"/>
      <c r="E7113" s="111"/>
    </row>
    <row r="7114" spans="1:5" x14ac:dyDescent="0.2">
      <c r="A7114" s="112">
        <f t="shared" si="113"/>
        <v>41812</v>
      </c>
      <c r="B7114" s="111">
        <f t="shared" si="114"/>
        <v>64</v>
      </c>
      <c r="C7114" s="111"/>
      <c r="D7114" s="111"/>
      <c r="E7114" s="111"/>
    </row>
    <row r="7115" spans="1:5" x14ac:dyDescent="0.2">
      <c r="A7115" s="112">
        <f t="shared" si="113"/>
        <v>41813</v>
      </c>
      <c r="B7115" s="111">
        <f t="shared" si="114"/>
        <v>64</v>
      </c>
      <c r="C7115" s="111"/>
      <c r="D7115" s="111"/>
      <c r="E7115" s="111"/>
    </row>
    <row r="7116" spans="1:5" x14ac:dyDescent="0.2">
      <c r="A7116" s="112">
        <f t="shared" si="113"/>
        <v>41814</v>
      </c>
      <c r="B7116" s="111">
        <f t="shared" si="114"/>
        <v>64</v>
      </c>
      <c r="C7116" s="111"/>
      <c r="D7116" s="111"/>
      <c r="E7116" s="111"/>
    </row>
    <row r="7117" spans="1:5" x14ac:dyDescent="0.2">
      <c r="A7117" s="112">
        <f t="shared" si="113"/>
        <v>41815</v>
      </c>
      <c r="B7117" s="111">
        <f t="shared" si="114"/>
        <v>64</v>
      </c>
      <c r="C7117" s="111"/>
      <c r="D7117" s="111"/>
      <c r="E7117" s="111"/>
    </row>
    <row r="7118" spans="1:5" x14ac:dyDescent="0.2">
      <c r="A7118" s="112">
        <f t="shared" si="113"/>
        <v>41816</v>
      </c>
      <c r="B7118" s="111">
        <f t="shared" si="114"/>
        <v>64</v>
      </c>
      <c r="C7118" s="111"/>
      <c r="D7118" s="111"/>
      <c r="E7118" s="111"/>
    </row>
    <row r="7119" spans="1:5" x14ac:dyDescent="0.2">
      <c r="A7119" s="112">
        <f t="shared" si="113"/>
        <v>41817</v>
      </c>
      <c r="B7119" s="111">
        <f t="shared" si="114"/>
        <v>64</v>
      </c>
      <c r="C7119" s="111"/>
      <c r="D7119" s="111"/>
      <c r="E7119" s="111"/>
    </row>
    <row r="7120" spans="1:5" x14ac:dyDescent="0.2">
      <c r="A7120" s="112">
        <f t="shared" si="113"/>
        <v>41818</v>
      </c>
      <c r="B7120" s="111">
        <f t="shared" si="114"/>
        <v>64</v>
      </c>
      <c r="C7120" s="111"/>
      <c r="D7120" s="111"/>
      <c r="E7120" s="111"/>
    </row>
    <row r="7121" spans="1:5" x14ac:dyDescent="0.2">
      <c r="A7121" s="112">
        <f t="shared" si="113"/>
        <v>41819</v>
      </c>
      <c r="B7121" s="111">
        <f t="shared" si="114"/>
        <v>71</v>
      </c>
      <c r="C7121" s="111"/>
      <c r="D7121" s="111"/>
      <c r="E7121" s="111"/>
    </row>
    <row r="7122" spans="1:5" x14ac:dyDescent="0.2">
      <c r="A7122" s="112">
        <f t="shared" si="113"/>
        <v>41820</v>
      </c>
      <c r="B7122" s="111">
        <f t="shared" si="114"/>
        <v>71</v>
      </c>
      <c r="C7122" s="111"/>
      <c r="D7122" s="111"/>
      <c r="E7122" s="111"/>
    </row>
    <row r="7123" spans="1:5" x14ac:dyDescent="0.2">
      <c r="A7123" s="112">
        <f t="shared" si="113"/>
        <v>41821</v>
      </c>
      <c r="B7123" s="111">
        <f t="shared" si="114"/>
        <v>71</v>
      </c>
      <c r="C7123" s="111"/>
      <c r="D7123" s="111"/>
      <c r="E7123" s="111"/>
    </row>
    <row r="7124" spans="1:5" x14ac:dyDescent="0.2">
      <c r="A7124" s="112">
        <f t="shared" si="113"/>
        <v>41822</v>
      </c>
      <c r="B7124" s="111">
        <f t="shared" si="114"/>
        <v>71</v>
      </c>
      <c r="C7124" s="111"/>
      <c r="D7124" s="111"/>
      <c r="E7124" s="111"/>
    </row>
    <row r="7125" spans="1:5" x14ac:dyDescent="0.2">
      <c r="A7125" s="112">
        <f t="shared" si="113"/>
        <v>41823</v>
      </c>
      <c r="B7125" s="111">
        <f t="shared" si="114"/>
        <v>71</v>
      </c>
      <c r="C7125" s="111"/>
      <c r="D7125" s="111"/>
      <c r="E7125" s="111"/>
    </row>
    <row r="7126" spans="1:5" x14ac:dyDescent="0.2">
      <c r="A7126" s="112">
        <f t="shared" si="113"/>
        <v>41824</v>
      </c>
      <c r="B7126" s="111">
        <f t="shared" si="114"/>
        <v>71</v>
      </c>
      <c r="C7126" s="111"/>
      <c r="D7126" s="111"/>
      <c r="E7126" s="111"/>
    </row>
    <row r="7127" spans="1:5" x14ac:dyDescent="0.2">
      <c r="A7127" s="112">
        <f t="shared" si="113"/>
        <v>41825</v>
      </c>
      <c r="B7127" s="111">
        <f t="shared" si="114"/>
        <v>71</v>
      </c>
      <c r="C7127" s="111"/>
      <c r="D7127" s="111"/>
      <c r="E7127" s="111"/>
    </row>
    <row r="7128" spans="1:5" x14ac:dyDescent="0.2">
      <c r="A7128" s="112">
        <f t="shared" si="113"/>
        <v>41826</v>
      </c>
      <c r="B7128" s="111">
        <f t="shared" si="114"/>
        <v>72</v>
      </c>
      <c r="C7128" s="111"/>
      <c r="D7128" s="111"/>
      <c r="E7128" s="111"/>
    </row>
    <row r="7129" spans="1:5" x14ac:dyDescent="0.2">
      <c r="A7129" s="112">
        <f t="shared" si="113"/>
        <v>41827</v>
      </c>
      <c r="B7129" s="111">
        <f t="shared" si="114"/>
        <v>72</v>
      </c>
      <c r="C7129" s="111"/>
      <c r="D7129" s="111"/>
      <c r="E7129" s="111"/>
    </row>
    <row r="7130" spans="1:5" x14ac:dyDescent="0.2">
      <c r="A7130" s="112">
        <f t="shared" si="113"/>
        <v>41828</v>
      </c>
      <c r="B7130" s="111">
        <f t="shared" si="114"/>
        <v>72</v>
      </c>
      <c r="C7130" s="111"/>
      <c r="D7130" s="111"/>
      <c r="E7130" s="111"/>
    </row>
    <row r="7131" spans="1:5" x14ac:dyDescent="0.2">
      <c r="A7131" s="112">
        <f t="shared" si="113"/>
        <v>41829</v>
      </c>
      <c r="B7131" s="111">
        <f t="shared" si="114"/>
        <v>72</v>
      </c>
      <c r="C7131" s="111"/>
      <c r="D7131" s="111"/>
      <c r="E7131" s="111"/>
    </row>
    <row r="7132" spans="1:5" x14ac:dyDescent="0.2">
      <c r="A7132" s="112">
        <f t="shared" si="113"/>
        <v>41830</v>
      </c>
      <c r="B7132" s="111">
        <f t="shared" si="114"/>
        <v>72</v>
      </c>
      <c r="C7132" s="111"/>
      <c r="D7132" s="111"/>
      <c r="E7132" s="111"/>
    </row>
    <row r="7133" spans="1:5" x14ac:dyDescent="0.2">
      <c r="A7133" s="112">
        <f t="shared" si="113"/>
        <v>41831</v>
      </c>
      <c r="B7133" s="111">
        <f t="shared" si="114"/>
        <v>72</v>
      </c>
      <c r="C7133" s="111"/>
      <c r="D7133" s="111"/>
      <c r="E7133" s="111"/>
    </row>
    <row r="7134" spans="1:5" x14ac:dyDescent="0.2">
      <c r="A7134" s="112">
        <f t="shared" si="113"/>
        <v>41832</v>
      </c>
      <c r="B7134" s="111">
        <f t="shared" si="114"/>
        <v>72</v>
      </c>
      <c r="C7134" s="111"/>
      <c r="D7134" s="111"/>
      <c r="E7134" s="111"/>
    </row>
    <row r="7135" spans="1:5" x14ac:dyDescent="0.2">
      <c r="A7135" s="112">
        <f t="shared" ref="A7135:A7198" si="115">A7134+1</f>
        <v>41833</v>
      </c>
      <c r="B7135" s="111">
        <f t="shared" si="114"/>
        <v>73</v>
      </c>
      <c r="C7135" s="111"/>
      <c r="D7135" s="111"/>
      <c r="E7135" s="111"/>
    </row>
    <row r="7136" spans="1:5" x14ac:dyDescent="0.2">
      <c r="A7136" s="112">
        <f t="shared" si="115"/>
        <v>41834</v>
      </c>
      <c r="B7136" s="111">
        <f t="shared" si="114"/>
        <v>73</v>
      </c>
      <c r="C7136" s="111"/>
      <c r="D7136" s="111"/>
      <c r="E7136" s="111"/>
    </row>
    <row r="7137" spans="1:5" x14ac:dyDescent="0.2">
      <c r="A7137" s="112">
        <f t="shared" si="115"/>
        <v>41835</v>
      </c>
      <c r="B7137" s="111">
        <f t="shared" si="114"/>
        <v>73</v>
      </c>
      <c r="C7137" s="111"/>
      <c r="D7137" s="111"/>
      <c r="E7137" s="111"/>
    </row>
    <row r="7138" spans="1:5" x14ac:dyDescent="0.2">
      <c r="A7138" s="112">
        <f t="shared" si="115"/>
        <v>41836</v>
      </c>
      <c r="B7138" s="111">
        <f t="shared" si="114"/>
        <v>73</v>
      </c>
      <c r="C7138" s="111"/>
      <c r="D7138" s="111"/>
      <c r="E7138" s="111"/>
    </row>
    <row r="7139" spans="1:5" x14ac:dyDescent="0.2">
      <c r="A7139" s="112">
        <f t="shared" si="115"/>
        <v>41837</v>
      </c>
      <c r="B7139" s="111">
        <f t="shared" si="114"/>
        <v>73</v>
      </c>
      <c r="C7139" s="111"/>
      <c r="D7139" s="111"/>
      <c r="E7139" s="111"/>
    </row>
    <row r="7140" spans="1:5" x14ac:dyDescent="0.2">
      <c r="A7140" s="112">
        <f t="shared" si="115"/>
        <v>41838</v>
      </c>
      <c r="B7140" s="111">
        <f t="shared" si="114"/>
        <v>73</v>
      </c>
      <c r="C7140" s="111"/>
      <c r="D7140" s="111"/>
      <c r="E7140" s="111"/>
    </row>
    <row r="7141" spans="1:5" x14ac:dyDescent="0.2">
      <c r="A7141" s="112">
        <f t="shared" si="115"/>
        <v>41839</v>
      </c>
      <c r="B7141" s="111">
        <f t="shared" si="114"/>
        <v>73</v>
      </c>
      <c r="C7141" s="111"/>
      <c r="D7141" s="111"/>
      <c r="E7141" s="111"/>
    </row>
    <row r="7142" spans="1:5" x14ac:dyDescent="0.2">
      <c r="A7142" s="112">
        <f t="shared" si="115"/>
        <v>41840</v>
      </c>
      <c r="B7142" s="111">
        <f t="shared" si="114"/>
        <v>74</v>
      </c>
      <c r="C7142" s="111"/>
      <c r="D7142" s="111"/>
      <c r="E7142" s="111"/>
    </row>
    <row r="7143" spans="1:5" x14ac:dyDescent="0.2">
      <c r="A7143" s="112">
        <f t="shared" si="115"/>
        <v>41841</v>
      </c>
      <c r="B7143" s="111">
        <f t="shared" si="114"/>
        <v>74</v>
      </c>
      <c r="C7143" s="111"/>
      <c r="D7143" s="111"/>
      <c r="E7143" s="111"/>
    </row>
    <row r="7144" spans="1:5" x14ac:dyDescent="0.2">
      <c r="A7144" s="112">
        <f t="shared" si="115"/>
        <v>41842</v>
      </c>
      <c r="B7144" s="111">
        <f t="shared" si="114"/>
        <v>74</v>
      </c>
      <c r="C7144" s="111"/>
      <c r="D7144" s="111"/>
      <c r="E7144" s="111"/>
    </row>
    <row r="7145" spans="1:5" x14ac:dyDescent="0.2">
      <c r="A7145" s="112">
        <f t="shared" si="115"/>
        <v>41843</v>
      </c>
      <c r="B7145" s="111">
        <f t="shared" si="114"/>
        <v>74</v>
      </c>
      <c r="C7145" s="111"/>
      <c r="D7145" s="111"/>
      <c r="E7145" s="111"/>
    </row>
    <row r="7146" spans="1:5" x14ac:dyDescent="0.2">
      <c r="A7146" s="112">
        <f t="shared" si="115"/>
        <v>41844</v>
      </c>
      <c r="B7146" s="111">
        <f t="shared" si="114"/>
        <v>74</v>
      </c>
      <c r="C7146" s="111"/>
      <c r="D7146" s="111"/>
      <c r="E7146" s="111"/>
    </row>
    <row r="7147" spans="1:5" x14ac:dyDescent="0.2">
      <c r="A7147" s="112">
        <f t="shared" si="115"/>
        <v>41845</v>
      </c>
      <c r="B7147" s="111">
        <f t="shared" si="114"/>
        <v>74</v>
      </c>
      <c r="C7147" s="111"/>
      <c r="D7147" s="111"/>
      <c r="E7147" s="111"/>
    </row>
    <row r="7148" spans="1:5" x14ac:dyDescent="0.2">
      <c r="A7148" s="112">
        <f t="shared" si="115"/>
        <v>41846</v>
      </c>
      <c r="B7148" s="111">
        <f t="shared" si="114"/>
        <v>74</v>
      </c>
      <c r="C7148" s="111"/>
      <c r="D7148" s="111"/>
      <c r="E7148" s="111"/>
    </row>
    <row r="7149" spans="1:5" x14ac:dyDescent="0.2">
      <c r="A7149" s="112">
        <f t="shared" si="115"/>
        <v>41847</v>
      </c>
      <c r="B7149" s="111">
        <f t="shared" si="114"/>
        <v>75</v>
      </c>
      <c r="C7149" s="111"/>
      <c r="D7149" s="111"/>
      <c r="E7149" s="111"/>
    </row>
    <row r="7150" spans="1:5" x14ac:dyDescent="0.2">
      <c r="A7150" s="112">
        <f t="shared" si="115"/>
        <v>41848</v>
      </c>
      <c r="B7150" s="111">
        <f t="shared" si="114"/>
        <v>75</v>
      </c>
      <c r="C7150" s="111"/>
      <c r="D7150" s="111"/>
      <c r="E7150" s="111"/>
    </row>
    <row r="7151" spans="1:5" x14ac:dyDescent="0.2">
      <c r="A7151" s="112">
        <f t="shared" si="115"/>
        <v>41849</v>
      </c>
      <c r="B7151" s="111">
        <f t="shared" si="114"/>
        <v>75</v>
      </c>
      <c r="C7151" s="111"/>
      <c r="D7151" s="111"/>
      <c r="E7151" s="111"/>
    </row>
    <row r="7152" spans="1:5" x14ac:dyDescent="0.2">
      <c r="A7152" s="112">
        <f t="shared" si="115"/>
        <v>41850</v>
      </c>
      <c r="B7152" s="111">
        <f t="shared" si="114"/>
        <v>75</v>
      </c>
      <c r="C7152" s="111"/>
      <c r="D7152" s="111"/>
      <c r="E7152" s="111"/>
    </row>
    <row r="7153" spans="1:5" x14ac:dyDescent="0.2">
      <c r="A7153" s="112">
        <f t="shared" si="115"/>
        <v>41851</v>
      </c>
      <c r="B7153" s="111">
        <f t="shared" si="114"/>
        <v>75</v>
      </c>
      <c r="C7153" s="111"/>
      <c r="D7153" s="111"/>
      <c r="E7153" s="111"/>
    </row>
    <row r="7154" spans="1:5" x14ac:dyDescent="0.2">
      <c r="A7154" s="112">
        <f t="shared" si="115"/>
        <v>41852</v>
      </c>
      <c r="B7154" s="111">
        <f t="shared" si="114"/>
        <v>75</v>
      </c>
      <c r="C7154" s="111"/>
      <c r="D7154" s="111"/>
      <c r="E7154" s="111"/>
    </row>
    <row r="7155" spans="1:5" x14ac:dyDescent="0.2">
      <c r="A7155" s="112">
        <f t="shared" si="115"/>
        <v>41853</v>
      </c>
      <c r="B7155" s="111">
        <f t="shared" si="114"/>
        <v>75</v>
      </c>
      <c r="C7155" s="111"/>
      <c r="D7155" s="111"/>
      <c r="E7155" s="111"/>
    </row>
    <row r="7156" spans="1:5" x14ac:dyDescent="0.2">
      <c r="A7156" s="112">
        <f t="shared" si="115"/>
        <v>41854</v>
      </c>
      <c r="B7156" s="111">
        <f t="shared" si="114"/>
        <v>81</v>
      </c>
      <c r="C7156" s="111"/>
      <c r="D7156" s="111"/>
      <c r="E7156" s="111"/>
    </row>
    <row r="7157" spans="1:5" x14ac:dyDescent="0.2">
      <c r="A7157" s="112">
        <f t="shared" si="115"/>
        <v>41855</v>
      </c>
      <c r="B7157" s="111">
        <f t="shared" si="114"/>
        <v>81</v>
      </c>
      <c r="C7157" s="111"/>
      <c r="D7157" s="111"/>
      <c r="E7157" s="111"/>
    </row>
    <row r="7158" spans="1:5" x14ac:dyDescent="0.2">
      <c r="A7158" s="112">
        <f t="shared" si="115"/>
        <v>41856</v>
      </c>
      <c r="B7158" s="111">
        <f t="shared" si="114"/>
        <v>81</v>
      </c>
      <c r="C7158" s="111"/>
      <c r="D7158" s="111"/>
      <c r="E7158" s="111"/>
    </row>
    <row r="7159" spans="1:5" x14ac:dyDescent="0.2">
      <c r="A7159" s="112">
        <f t="shared" si="115"/>
        <v>41857</v>
      </c>
      <c r="B7159" s="111">
        <f t="shared" si="114"/>
        <v>81</v>
      </c>
      <c r="C7159" s="111"/>
      <c r="D7159" s="111"/>
      <c r="E7159" s="111"/>
    </row>
    <row r="7160" spans="1:5" x14ac:dyDescent="0.2">
      <c r="A7160" s="112">
        <f t="shared" si="115"/>
        <v>41858</v>
      </c>
      <c r="B7160" s="111">
        <f t="shared" si="114"/>
        <v>81</v>
      </c>
      <c r="C7160" s="111"/>
      <c r="D7160" s="111"/>
      <c r="E7160" s="111"/>
    </row>
    <row r="7161" spans="1:5" x14ac:dyDescent="0.2">
      <c r="A7161" s="112">
        <f t="shared" si="115"/>
        <v>41859</v>
      </c>
      <c r="B7161" s="111">
        <f t="shared" si="114"/>
        <v>81</v>
      </c>
      <c r="C7161" s="111"/>
      <c r="D7161" s="111"/>
      <c r="E7161" s="111"/>
    </row>
    <row r="7162" spans="1:5" x14ac:dyDescent="0.2">
      <c r="A7162" s="112">
        <f t="shared" si="115"/>
        <v>41860</v>
      </c>
      <c r="B7162" s="111">
        <f t="shared" si="114"/>
        <v>81</v>
      </c>
      <c r="C7162" s="111"/>
      <c r="D7162" s="111"/>
      <c r="E7162" s="111"/>
    </row>
    <row r="7163" spans="1:5" x14ac:dyDescent="0.2">
      <c r="A7163" s="112">
        <f t="shared" si="115"/>
        <v>41861</v>
      </c>
      <c r="B7163" s="111">
        <f t="shared" si="114"/>
        <v>82</v>
      </c>
      <c r="C7163" s="111"/>
      <c r="D7163" s="111"/>
      <c r="E7163" s="111"/>
    </row>
    <row r="7164" spans="1:5" x14ac:dyDescent="0.2">
      <c r="A7164" s="112">
        <f t="shared" si="115"/>
        <v>41862</v>
      </c>
      <c r="B7164" s="111">
        <f t="shared" si="114"/>
        <v>82</v>
      </c>
      <c r="C7164" s="111"/>
      <c r="D7164" s="111"/>
      <c r="E7164" s="111"/>
    </row>
    <row r="7165" spans="1:5" x14ac:dyDescent="0.2">
      <c r="A7165" s="112">
        <f t="shared" si="115"/>
        <v>41863</v>
      </c>
      <c r="B7165" s="111">
        <f t="shared" si="114"/>
        <v>82</v>
      </c>
      <c r="C7165" s="111"/>
      <c r="D7165" s="111"/>
      <c r="E7165" s="111"/>
    </row>
    <row r="7166" spans="1:5" x14ac:dyDescent="0.2">
      <c r="A7166" s="112">
        <f t="shared" si="115"/>
        <v>41864</v>
      </c>
      <c r="B7166" s="111">
        <f t="shared" si="114"/>
        <v>82</v>
      </c>
      <c r="C7166" s="111"/>
      <c r="D7166" s="111"/>
      <c r="E7166" s="111"/>
    </row>
    <row r="7167" spans="1:5" x14ac:dyDescent="0.2">
      <c r="A7167" s="112">
        <f t="shared" si="115"/>
        <v>41865</v>
      </c>
      <c r="B7167" s="111">
        <f t="shared" si="114"/>
        <v>82</v>
      </c>
      <c r="C7167" s="111"/>
      <c r="D7167" s="111"/>
      <c r="E7167" s="111"/>
    </row>
    <row r="7168" spans="1:5" x14ac:dyDescent="0.2">
      <c r="A7168" s="112">
        <f t="shared" si="115"/>
        <v>41866</v>
      </c>
      <c r="B7168" s="111">
        <f t="shared" si="114"/>
        <v>82</v>
      </c>
      <c r="C7168" s="111"/>
      <c r="D7168" s="111"/>
      <c r="E7168" s="111"/>
    </row>
    <row r="7169" spans="1:5" x14ac:dyDescent="0.2">
      <c r="A7169" s="112">
        <f t="shared" si="115"/>
        <v>41867</v>
      </c>
      <c r="B7169" s="111">
        <f t="shared" si="114"/>
        <v>82</v>
      </c>
      <c r="C7169" s="111"/>
      <c r="D7169" s="111"/>
      <c r="E7169" s="111"/>
    </row>
    <row r="7170" spans="1:5" x14ac:dyDescent="0.2">
      <c r="A7170" s="112">
        <f t="shared" si="115"/>
        <v>41868</v>
      </c>
      <c r="B7170" s="111">
        <f t="shared" ref="B7170:B7233" si="116">VLOOKUP(WEEKNUM(A7170),$D$3:$E$58,2)</f>
        <v>83</v>
      </c>
      <c r="C7170" s="111"/>
      <c r="D7170" s="111"/>
      <c r="E7170" s="111"/>
    </row>
    <row r="7171" spans="1:5" x14ac:dyDescent="0.2">
      <c r="A7171" s="112">
        <f t="shared" si="115"/>
        <v>41869</v>
      </c>
      <c r="B7171" s="111">
        <f t="shared" si="116"/>
        <v>83</v>
      </c>
      <c r="C7171" s="111"/>
      <c r="D7171" s="111"/>
      <c r="E7171" s="111"/>
    </row>
    <row r="7172" spans="1:5" x14ac:dyDescent="0.2">
      <c r="A7172" s="112">
        <f t="shared" si="115"/>
        <v>41870</v>
      </c>
      <c r="B7172" s="111">
        <f t="shared" si="116"/>
        <v>83</v>
      </c>
      <c r="C7172" s="111"/>
      <c r="D7172" s="111"/>
      <c r="E7172" s="111"/>
    </row>
    <row r="7173" spans="1:5" x14ac:dyDescent="0.2">
      <c r="A7173" s="112">
        <f t="shared" si="115"/>
        <v>41871</v>
      </c>
      <c r="B7173" s="111">
        <f t="shared" si="116"/>
        <v>83</v>
      </c>
      <c r="C7173" s="111"/>
      <c r="D7173" s="111"/>
      <c r="E7173" s="111"/>
    </row>
    <row r="7174" spans="1:5" x14ac:dyDescent="0.2">
      <c r="A7174" s="112">
        <f t="shared" si="115"/>
        <v>41872</v>
      </c>
      <c r="B7174" s="111">
        <f t="shared" si="116"/>
        <v>83</v>
      </c>
      <c r="C7174" s="111"/>
      <c r="D7174" s="111"/>
      <c r="E7174" s="111"/>
    </row>
    <row r="7175" spans="1:5" x14ac:dyDescent="0.2">
      <c r="A7175" s="112">
        <f t="shared" si="115"/>
        <v>41873</v>
      </c>
      <c r="B7175" s="111">
        <f t="shared" si="116"/>
        <v>83</v>
      </c>
      <c r="C7175" s="111"/>
      <c r="D7175" s="111"/>
      <c r="E7175" s="111"/>
    </row>
    <row r="7176" spans="1:5" x14ac:dyDescent="0.2">
      <c r="A7176" s="112">
        <f t="shared" si="115"/>
        <v>41874</v>
      </c>
      <c r="B7176" s="111">
        <f t="shared" si="116"/>
        <v>83</v>
      </c>
      <c r="C7176" s="111"/>
      <c r="D7176" s="111"/>
      <c r="E7176" s="111"/>
    </row>
    <row r="7177" spans="1:5" x14ac:dyDescent="0.2">
      <c r="A7177" s="112">
        <f t="shared" si="115"/>
        <v>41875</v>
      </c>
      <c r="B7177" s="111">
        <f t="shared" si="116"/>
        <v>84</v>
      </c>
      <c r="C7177" s="111"/>
      <c r="D7177" s="111"/>
      <c r="E7177" s="111"/>
    </row>
    <row r="7178" spans="1:5" x14ac:dyDescent="0.2">
      <c r="A7178" s="112">
        <f t="shared" si="115"/>
        <v>41876</v>
      </c>
      <c r="B7178" s="111">
        <f t="shared" si="116"/>
        <v>84</v>
      </c>
      <c r="C7178" s="111"/>
      <c r="D7178" s="111"/>
      <c r="E7178" s="111"/>
    </row>
    <row r="7179" spans="1:5" x14ac:dyDescent="0.2">
      <c r="A7179" s="112">
        <f t="shared" si="115"/>
        <v>41877</v>
      </c>
      <c r="B7179" s="111">
        <f t="shared" si="116"/>
        <v>84</v>
      </c>
      <c r="C7179" s="111"/>
      <c r="D7179" s="111"/>
      <c r="E7179" s="111"/>
    </row>
    <row r="7180" spans="1:5" x14ac:dyDescent="0.2">
      <c r="A7180" s="112">
        <f t="shared" si="115"/>
        <v>41878</v>
      </c>
      <c r="B7180" s="111">
        <f t="shared" si="116"/>
        <v>84</v>
      </c>
      <c r="C7180" s="111"/>
      <c r="D7180" s="111"/>
      <c r="E7180" s="111"/>
    </row>
    <row r="7181" spans="1:5" x14ac:dyDescent="0.2">
      <c r="A7181" s="112">
        <f t="shared" si="115"/>
        <v>41879</v>
      </c>
      <c r="B7181" s="111">
        <f t="shared" si="116"/>
        <v>84</v>
      </c>
      <c r="C7181" s="111"/>
      <c r="D7181" s="111"/>
      <c r="E7181" s="111"/>
    </row>
    <row r="7182" spans="1:5" x14ac:dyDescent="0.2">
      <c r="A7182" s="112">
        <f t="shared" si="115"/>
        <v>41880</v>
      </c>
      <c r="B7182" s="111">
        <f t="shared" si="116"/>
        <v>84</v>
      </c>
      <c r="C7182" s="111"/>
      <c r="D7182" s="111"/>
      <c r="E7182" s="111"/>
    </row>
    <row r="7183" spans="1:5" x14ac:dyDescent="0.2">
      <c r="A7183" s="112">
        <f t="shared" si="115"/>
        <v>41881</v>
      </c>
      <c r="B7183" s="111">
        <f t="shared" si="116"/>
        <v>84</v>
      </c>
      <c r="C7183" s="111"/>
      <c r="D7183" s="111"/>
      <c r="E7183" s="111"/>
    </row>
    <row r="7184" spans="1:5" x14ac:dyDescent="0.2">
      <c r="A7184" s="112">
        <f t="shared" si="115"/>
        <v>41882</v>
      </c>
      <c r="B7184" s="111">
        <f t="shared" si="116"/>
        <v>91</v>
      </c>
      <c r="C7184" s="111"/>
      <c r="D7184" s="111"/>
      <c r="E7184" s="111"/>
    </row>
    <row r="7185" spans="1:5" x14ac:dyDescent="0.2">
      <c r="A7185" s="112">
        <f t="shared" si="115"/>
        <v>41883</v>
      </c>
      <c r="B7185" s="111">
        <f t="shared" si="116"/>
        <v>91</v>
      </c>
      <c r="C7185" s="111"/>
      <c r="D7185" s="111"/>
      <c r="E7185" s="111"/>
    </row>
    <row r="7186" spans="1:5" x14ac:dyDescent="0.2">
      <c r="A7186" s="112">
        <f t="shared" si="115"/>
        <v>41884</v>
      </c>
      <c r="B7186" s="111">
        <f t="shared" si="116"/>
        <v>91</v>
      </c>
      <c r="C7186" s="111"/>
      <c r="D7186" s="111"/>
      <c r="E7186" s="111"/>
    </row>
    <row r="7187" spans="1:5" x14ac:dyDescent="0.2">
      <c r="A7187" s="112">
        <f t="shared" si="115"/>
        <v>41885</v>
      </c>
      <c r="B7187" s="111">
        <f t="shared" si="116"/>
        <v>91</v>
      </c>
      <c r="C7187" s="111"/>
      <c r="D7187" s="111"/>
      <c r="E7187" s="111"/>
    </row>
    <row r="7188" spans="1:5" x14ac:dyDescent="0.2">
      <c r="A7188" s="112">
        <f t="shared" si="115"/>
        <v>41886</v>
      </c>
      <c r="B7188" s="111">
        <f t="shared" si="116"/>
        <v>91</v>
      </c>
      <c r="C7188" s="111"/>
      <c r="D7188" s="111"/>
      <c r="E7188" s="111"/>
    </row>
    <row r="7189" spans="1:5" x14ac:dyDescent="0.2">
      <c r="A7189" s="112">
        <f t="shared" si="115"/>
        <v>41887</v>
      </c>
      <c r="B7189" s="111">
        <f t="shared" si="116"/>
        <v>91</v>
      </c>
      <c r="C7189" s="111"/>
      <c r="D7189" s="111"/>
      <c r="E7189" s="111"/>
    </row>
    <row r="7190" spans="1:5" x14ac:dyDescent="0.2">
      <c r="A7190" s="112">
        <f t="shared" si="115"/>
        <v>41888</v>
      </c>
      <c r="B7190" s="111">
        <f t="shared" si="116"/>
        <v>91</v>
      </c>
      <c r="C7190" s="111"/>
      <c r="D7190" s="111"/>
      <c r="E7190" s="111"/>
    </row>
    <row r="7191" spans="1:5" x14ac:dyDescent="0.2">
      <c r="A7191" s="112">
        <f t="shared" si="115"/>
        <v>41889</v>
      </c>
      <c r="B7191" s="111">
        <f t="shared" si="116"/>
        <v>92</v>
      </c>
      <c r="C7191" s="111"/>
      <c r="D7191" s="111"/>
      <c r="E7191" s="111"/>
    </row>
    <row r="7192" spans="1:5" x14ac:dyDescent="0.2">
      <c r="A7192" s="112">
        <f t="shared" si="115"/>
        <v>41890</v>
      </c>
      <c r="B7192" s="111">
        <f t="shared" si="116"/>
        <v>92</v>
      </c>
      <c r="C7192" s="111"/>
      <c r="D7192" s="111"/>
      <c r="E7192" s="111"/>
    </row>
    <row r="7193" spans="1:5" x14ac:dyDescent="0.2">
      <c r="A7193" s="112">
        <f t="shared" si="115"/>
        <v>41891</v>
      </c>
      <c r="B7193" s="111">
        <f t="shared" si="116"/>
        <v>92</v>
      </c>
      <c r="C7193" s="111"/>
      <c r="D7193" s="111"/>
      <c r="E7193" s="111"/>
    </row>
    <row r="7194" spans="1:5" x14ac:dyDescent="0.2">
      <c r="A7194" s="112">
        <f t="shared" si="115"/>
        <v>41892</v>
      </c>
      <c r="B7194" s="111">
        <f t="shared" si="116"/>
        <v>92</v>
      </c>
      <c r="C7194" s="111"/>
      <c r="D7194" s="111"/>
      <c r="E7194" s="111"/>
    </row>
    <row r="7195" spans="1:5" x14ac:dyDescent="0.2">
      <c r="A7195" s="112">
        <f t="shared" si="115"/>
        <v>41893</v>
      </c>
      <c r="B7195" s="111">
        <f t="shared" si="116"/>
        <v>92</v>
      </c>
      <c r="C7195" s="111"/>
      <c r="D7195" s="111"/>
      <c r="E7195" s="111"/>
    </row>
    <row r="7196" spans="1:5" x14ac:dyDescent="0.2">
      <c r="A7196" s="112">
        <f t="shared" si="115"/>
        <v>41894</v>
      </c>
      <c r="B7196" s="111">
        <f t="shared" si="116"/>
        <v>92</v>
      </c>
      <c r="C7196" s="111"/>
      <c r="D7196" s="111"/>
      <c r="E7196" s="111"/>
    </row>
    <row r="7197" spans="1:5" x14ac:dyDescent="0.2">
      <c r="A7197" s="112">
        <f t="shared" si="115"/>
        <v>41895</v>
      </c>
      <c r="B7197" s="111">
        <f t="shared" si="116"/>
        <v>92</v>
      </c>
      <c r="C7197" s="111"/>
      <c r="D7197" s="111"/>
      <c r="E7197" s="111"/>
    </row>
    <row r="7198" spans="1:5" x14ac:dyDescent="0.2">
      <c r="A7198" s="112">
        <f t="shared" si="115"/>
        <v>41896</v>
      </c>
      <c r="B7198" s="111">
        <f t="shared" si="116"/>
        <v>93</v>
      </c>
      <c r="C7198" s="111"/>
      <c r="D7198" s="111"/>
      <c r="E7198" s="111"/>
    </row>
    <row r="7199" spans="1:5" x14ac:dyDescent="0.2">
      <c r="A7199" s="112">
        <f t="shared" ref="A7199:A7262" si="117">A7198+1</f>
        <v>41897</v>
      </c>
      <c r="B7199" s="111">
        <f t="shared" si="116"/>
        <v>93</v>
      </c>
      <c r="C7199" s="111"/>
      <c r="D7199" s="111"/>
      <c r="E7199" s="111"/>
    </row>
    <row r="7200" spans="1:5" x14ac:dyDescent="0.2">
      <c r="A7200" s="112">
        <f t="shared" si="117"/>
        <v>41898</v>
      </c>
      <c r="B7200" s="111">
        <f t="shared" si="116"/>
        <v>93</v>
      </c>
      <c r="C7200" s="111"/>
      <c r="D7200" s="111"/>
      <c r="E7200" s="111"/>
    </row>
    <row r="7201" spans="1:5" x14ac:dyDescent="0.2">
      <c r="A7201" s="112">
        <f t="shared" si="117"/>
        <v>41899</v>
      </c>
      <c r="B7201" s="111">
        <f t="shared" si="116"/>
        <v>93</v>
      </c>
      <c r="C7201" s="111"/>
      <c r="D7201" s="111"/>
      <c r="E7201" s="111"/>
    </row>
    <row r="7202" spans="1:5" x14ac:dyDescent="0.2">
      <c r="A7202" s="112">
        <f t="shared" si="117"/>
        <v>41900</v>
      </c>
      <c r="B7202" s="111">
        <f t="shared" si="116"/>
        <v>93</v>
      </c>
      <c r="C7202" s="111"/>
      <c r="D7202" s="111"/>
      <c r="E7202" s="111"/>
    </row>
    <row r="7203" spans="1:5" x14ac:dyDescent="0.2">
      <c r="A7203" s="112">
        <f t="shared" si="117"/>
        <v>41901</v>
      </c>
      <c r="B7203" s="111">
        <f t="shared" si="116"/>
        <v>93</v>
      </c>
      <c r="C7203" s="111"/>
      <c r="D7203" s="111"/>
      <c r="E7203" s="111"/>
    </row>
    <row r="7204" spans="1:5" x14ac:dyDescent="0.2">
      <c r="A7204" s="112">
        <f t="shared" si="117"/>
        <v>41902</v>
      </c>
      <c r="B7204" s="111">
        <f t="shared" si="116"/>
        <v>93</v>
      </c>
      <c r="C7204" s="111"/>
      <c r="D7204" s="111"/>
      <c r="E7204" s="111"/>
    </row>
    <row r="7205" spans="1:5" x14ac:dyDescent="0.2">
      <c r="A7205" s="112">
        <f t="shared" si="117"/>
        <v>41903</v>
      </c>
      <c r="B7205" s="111">
        <f t="shared" si="116"/>
        <v>94</v>
      </c>
      <c r="C7205" s="111"/>
      <c r="D7205" s="111"/>
      <c r="E7205" s="111"/>
    </row>
    <row r="7206" spans="1:5" x14ac:dyDescent="0.2">
      <c r="A7206" s="112">
        <f t="shared" si="117"/>
        <v>41904</v>
      </c>
      <c r="B7206" s="111">
        <f t="shared" si="116"/>
        <v>94</v>
      </c>
      <c r="C7206" s="111"/>
      <c r="D7206" s="111"/>
      <c r="E7206" s="111"/>
    </row>
    <row r="7207" spans="1:5" x14ac:dyDescent="0.2">
      <c r="A7207" s="112">
        <f t="shared" si="117"/>
        <v>41905</v>
      </c>
      <c r="B7207" s="111">
        <f t="shared" si="116"/>
        <v>94</v>
      </c>
      <c r="C7207" s="111"/>
      <c r="D7207" s="111"/>
      <c r="E7207" s="111"/>
    </row>
    <row r="7208" spans="1:5" x14ac:dyDescent="0.2">
      <c r="A7208" s="112">
        <f t="shared" si="117"/>
        <v>41906</v>
      </c>
      <c r="B7208" s="111">
        <f t="shared" si="116"/>
        <v>94</v>
      </c>
      <c r="C7208" s="111"/>
      <c r="D7208" s="111"/>
      <c r="E7208" s="111"/>
    </row>
    <row r="7209" spans="1:5" x14ac:dyDescent="0.2">
      <c r="A7209" s="112">
        <f t="shared" si="117"/>
        <v>41907</v>
      </c>
      <c r="B7209" s="111">
        <f t="shared" si="116"/>
        <v>94</v>
      </c>
      <c r="C7209" s="111"/>
      <c r="D7209" s="111"/>
      <c r="E7209" s="111"/>
    </row>
    <row r="7210" spans="1:5" x14ac:dyDescent="0.2">
      <c r="A7210" s="112">
        <f t="shared" si="117"/>
        <v>41908</v>
      </c>
      <c r="B7210" s="111">
        <f t="shared" si="116"/>
        <v>94</v>
      </c>
      <c r="C7210" s="111"/>
      <c r="D7210" s="111"/>
      <c r="E7210" s="111"/>
    </row>
    <row r="7211" spans="1:5" x14ac:dyDescent="0.2">
      <c r="A7211" s="112">
        <f t="shared" si="117"/>
        <v>41909</v>
      </c>
      <c r="B7211" s="111">
        <f t="shared" si="116"/>
        <v>94</v>
      </c>
      <c r="C7211" s="111"/>
      <c r="D7211" s="111"/>
      <c r="E7211" s="111"/>
    </row>
    <row r="7212" spans="1:5" x14ac:dyDescent="0.2">
      <c r="A7212" s="112">
        <f t="shared" si="117"/>
        <v>41910</v>
      </c>
      <c r="B7212" s="111">
        <f t="shared" si="116"/>
        <v>101</v>
      </c>
      <c r="C7212" s="111"/>
      <c r="D7212" s="111"/>
      <c r="E7212" s="111"/>
    </row>
    <row r="7213" spans="1:5" x14ac:dyDescent="0.2">
      <c r="A7213" s="112">
        <f t="shared" si="117"/>
        <v>41911</v>
      </c>
      <c r="B7213" s="111">
        <f t="shared" si="116"/>
        <v>101</v>
      </c>
      <c r="C7213" s="111"/>
      <c r="D7213" s="111"/>
      <c r="E7213" s="111"/>
    </row>
    <row r="7214" spans="1:5" x14ac:dyDescent="0.2">
      <c r="A7214" s="112">
        <f t="shared" si="117"/>
        <v>41912</v>
      </c>
      <c r="B7214" s="111">
        <f t="shared" si="116"/>
        <v>101</v>
      </c>
      <c r="C7214" s="111"/>
      <c r="D7214" s="111"/>
      <c r="E7214" s="111"/>
    </row>
    <row r="7215" spans="1:5" x14ac:dyDescent="0.2">
      <c r="A7215" s="112">
        <f t="shared" si="117"/>
        <v>41913</v>
      </c>
      <c r="B7215" s="111">
        <f t="shared" si="116"/>
        <v>101</v>
      </c>
      <c r="C7215" s="111"/>
      <c r="D7215" s="111"/>
      <c r="E7215" s="111"/>
    </row>
    <row r="7216" spans="1:5" x14ac:dyDescent="0.2">
      <c r="A7216" s="112">
        <f t="shared" si="117"/>
        <v>41914</v>
      </c>
      <c r="B7216" s="111">
        <f t="shared" si="116"/>
        <v>101</v>
      </c>
      <c r="C7216" s="111"/>
      <c r="D7216" s="111"/>
      <c r="E7216" s="111"/>
    </row>
    <row r="7217" spans="1:5" x14ac:dyDescent="0.2">
      <c r="A7217" s="112">
        <f t="shared" si="117"/>
        <v>41915</v>
      </c>
      <c r="B7217" s="111">
        <f t="shared" si="116"/>
        <v>101</v>
      </c>
      <c r="C7217" s="111"/>
      <c r="D7217" s="111"/>
      <c r="E7217" s="111"/>
    </row>
    <row r="7218" spans="1:5" x14ac:dyDescent="0.2">
      <c r="A7218" s="112">
        <f t="shared" si="117"/>
        <v>41916</v>
      </c>
      <c r="B7218" s="111">
        <f t="shared" si="116"/>
        <v>101</v>
      </c>
      <c r="C7218" s="111"/>
      <c r="D7218" s="111"/>
      <c r="E7218" s="111"/>
    </row>
    <row r="7219" spans="1:5" x14ac:dyDescent="0.2">
      <c r="A7219" s="112">
        <f t="shared" si="117"/>
        <v>41917</v>
      </c>
      <c r="B7219" s="111">
        <f t="shared" si="116"/>
        <v>102</v>
      </c>
      <c r="C7219" s="111"/>
      <c r="D7219" s="111"/>
      <c r="E7219" s="111"/>
    </row>
    <row r="7220" spans="1:5" x14ac:dyDescent="0.2">
      <c r="A7220" s="112">
        <f t="shared" si="117"/>
        <v>41918</v>
      </c>
      <c r="B7220" s="111">
        <f t="shared" si="116"/>
        <v>102</v>
      </c>
      <c r="C7220" s="111"/>
      <c r="D7220" s="111"/>
      <c r="E7220" s="111"/>
    </row>
    <row r="7221" spans="1:5" x14ac:dyDescent="0.2">
      <c r="A7221" s="112">
        <f t="shared" si="117"/>
        <v>41919</v>
      </c>
      <c r="B7221" s="111">
        <f t="shared" si="116"/>
        <v>102</v>
      </c>
      <c r="C7221" s="111"/>
      <c r="D7221" s="111"/>
      <c r="E7221" s="111"/>
    </row>
    <row r="7222" spans="1:5" x14ac:dyDescent="0.2">
      <c r="A7222" s="112">
        <f t="shared" si="117"/>
        <v>41920</v>
      </c>
      <c r="B7222" s="111">
        <f t="shared" si="116"/>
        <v>102</v>
      </c>
      <c r="C7222" s="111"/>
      <c r="D7222" s="111"/>
      <c r="E7222" s="111"/>
    </row>
    <row r="7223" spans="1:5" x14ac:dyDescent="0.2">
      <c r="A7223" s="112">
        <f t="shared" si="117"/>
        <v>41921</v>
      </c>
      <c r="B7223" s="111">
        <f t="shared" si="116"/>
        <v>102</v>
      </c>
      <c r="C7223" s="111"/>
      <c r="D7223" s="111"/>
      <c r="E7223" s="111"/>
    </row>
    <row r="7224" spans="1:5" x14ac:dyDescent="0.2">
      <c r="A7224" s="112">
        <f t="shared" si="117"/>
        <v>41922</v>
      </c>
      <c r="B7224" s="111">
        <f t="shared" si="116"/>
        <v>102</v>
      </c>
      <c r="C7224" s="111"/>
      <c r="D7224" s="111"/>
      <c r="E7224" s="111"/>
    </row>
    <row r="7225" spans="1:5" x14ac:dyDescent="0.2">
      <c r="A7225" s="112">
        <f t="shared" si="117"/>
        <v>41923</v>
      </c>
      <c r="B7225" s="111">
        <f t="shared" si="116"/>
        <v>102</v>
      </c>
      <c r="C7225" s="111"/>
      <c r="D7225" s="111"/>
      <c r="E7225" s="111"/>
    </row>
    <row r="7226" spans="1:5" x14ac:dyDescent="0.2">
      <c r="A7226" s="112">
        <f t="shared" si="117"/>
        <v>41924</v>
      </c>
      <c r="B7226" s="111">
        <f t="shared" si="116"/>
        <v>103</v>
      </c>
      <c r="C7226" s="111"/>
      <c r="D7226" s="111"/>
      <c r="E7226" s="111"/>
    </row>
    <row r="7227" spans="1:5" x14ac:dyDescent="0.2">
      <c r="A7227" s="112">
        <f t="shared" si="117"/>
        <v>41925</v>
      </c>
      <c r="B7227" s="111">
        <f t="shared" si="116"/>
        <v>103</v>
      </c>
      <c r="C7227" s="111"/>
      <c r="D7227" s="111"/>
      <c r="E7227" s="111"/>
    </row>
    <row r="7228" spans="1:5" x14ac:dyDescent="0.2">
      <c r="A7228" s="112">
        <f t="shared" si="117"/>
        <v>41926</v>
      </c>
      <c r="B7228" s="111">
        <f t="shared" si="116"/>
        <v>103</v>
      </c>
      <c r="C7228" s="111"/>
      <c r="D7228" s="111"/>
      <c r="E7228" s="111"/>
    </row>
    <row r="7229" spans="1:5" x14ac:dyDescent="0.2">
      <c r="A7229" s="112">
        <f t="shared" si="117"/>
        <v>41927</v>
      </c>
      <c r="B7229" s="111">
        <f t="shared" si="116"/>
        <v>103</v>
      </c>
      <c r="C7229" s="111"/>
      <c r="D7229" s="111"/>
      <c r="E7229" s="111"/>
    </row>
    <row r="7230" spans="1:5" x14ac:dyDescent="0.2">
      <c r="A7230" s="112">
        <f t="shared" si="117"/>
        <v>41928</v>
      </c>
      <c r="B7230" s="111">
        <f t="shared" si="116"/>
        <v>103</v>
      </c>
      <c r="C7230" s="111"/>
      <c r="D7230" s="111"/>
      <c r="E7230" s="111"/>
    </row>
    <row r="7231" spans="1:5" x14ac:dyDescent="0.2">
      <c r="A7231" s="112">
        <f t="shared" si="117"/>
        <v>41929</v>
      </c>
      <c r="B7231" s="111">
        <f t="shared" si="116"/>
        <v>103</v>
      </c>
      <c r="C7231" s="111"/>
      <c r="D7231" s="111"/>
      <c r="E7231" s="111"/>
    </row>
    <row r="7232" spans="1:5" x14ac:dyDescent="0.2">
      <c r="A7232" s="112">
        <f t="shared" si="117"/>
        <v>41930</v>
      </c>
      <c r="B7232" s="111">
        <f t="shared" si="116"/>
        <v>103</v>
      </c>
      <c r="C7232" s="111"/>
      <c r="D7232" s="111"/>
      <c r="E7232" s="111"/>
    </row>
    <row r="7233" spans="1:5" x14ac:dyDescent="0.2">
      <c r="A7233" s="112">
        <f t="shared" si="117"/>
        <v>41931</v>
      </c>
      <c r="B7233" s="111">
        <f t="shared" si="116"/>
        <v>104</v>
      </c>
      <c r="C7233" s="111"/>
      <c r="D7233" s="111"/>
      <c r="E7233" s="111"/>
    </row>
    <row r="7234" spans="1:5" x14ac:dyDescent="0.2">
      <c r="A7234" s="112">
        <f t="shared" si="117"/>
        <v>41932</v>
      </c>
      <c r="B7234" s="111">
        <f t="shared" ref="B7234:B7297" si="118">VLOOKUP(WEEKNUM(A7234),$D$3:$E$58,2)</f>
        <v>104</v>
      </c>
      <c r="C7234" s="111"/>
      <c r="D7234" s="111"/>
      <c r="E7234" s="111"/>
    </row>
    <row r="7235" spans="1:5" x14ac:dyDescent="0.2">
      <c r="A7235" s="112">
        <f t="shared" si="117"/>
        <v>41933</v>
      </c>
      <c r="B7235" s="111">
        <f t="shared" si="118"/>
        <v>104</v>
      </c>
      <c r="C7235" s="111"/>
      <c r="D7235" s="111"/>
      <c r="E7235" s="111"/>
    </row>
    <row r="7236" spans="1:5" x14ac:dyDescent="0.2">
      <c r="A7236" s="112">
        <f t="shared" si="117"/>
        <v>41934</v>
      </c>
      <c r="B7236" s="111">
        <f t="shared" si="118"/>
        <v>104</v>
      </c>
      <c r="C7236" s="111"/>
      <c r="D7236" s="111"/>
      <c r="E7236" s="111"/>
    </row>
    <row r="7237" spans="1:5" x14ac:dyDescent="0.2">
      <c r="A7237" s="112">
        <f t="shared" si="117"/>
        <v>41935</v>
      </c>
      <c r="B7237" s="111">
        <f t="shared" si="118"/>
        <v>104</v>
      </c>
      <c r="C7237" s="111"/>
      <c r="D7237" s="111"/>
      <c r="E7237" s="111"/>
    </row>
    <row r="7238" spans="1:5" x14ac:dyDescent="0.2">
      <c r="A7238" s="112">
        <f t="shared" si="117"/>
        <v>41936</v>
      </c>
      <c r="B7238" s="111">
        <f t="shared" si="118"/>
        <v>104</v>
      </c>
      <c r="C7238" s="111"/>
      <c r="D7238" s="111"/>
      <c r="E7238" s="111"/>
    </row>
    <row r="7239" spans="1:5" x14ac:dyDescent="0.2">
      <c r="A7239" s="112">
        <f t="shared" si="117"/>
        <v>41937</v>
      </c>
      <c r="B7239" s="111">
        <f t="shared" si="118"/>
        <v>104</v>
      </c>
      <c r="C7239" s="111"/>
      <c r="D7239" s="111"/>
      <c r="E7239" s="111"/>
    </row>
    <row r="7240" spans="1:5" x14ac:dyDescent="0.2">
      <c r="A7240" s="112">
        <f t="shared" si="117"/>
        <v>41938</v>
      </c>
      <c r="B7240" s="111">
        <f t="shared" si="118"/>
        <v>105</v>
      </c>
      <c r="C7240" s="111"/>
      <c r="D7240" s="111"/>
      <c r="E7240" s="111"/>
    </row>
    <row r="7241" spans="1:5" x14ac:dyDescent="0.2">
      <c r="A7241" s="112">
        <f t="shared" si="117"/>
        <v>41939</v>
      </c>
      <c r="B7241" s="111">
        <f t="shared" si="118"/>
        <v>105</v>
      </c>
      <c r="C7241" s="111"/>
      <c r="D7241" s="111"/>
      <c r="E7241" s="111"/>
    </row>
    <row r="7242" spans="1:5" x14ac:dyDescent="0.2">
      <c r="A7242" s="112">
        <f t="shared" si="117"/>
        <v>41940</v>
      </c>
      <c r="B7242" s="111">
        <f t="shared" si="118"/>
        <v>105</v>
      </c>
      <c r="C7242" s="111"/>
      <c r="D7242" s="111"/>
      <c r="E7242" s="111"/>
    </row>
    <row r="7243" spans="1:5" x14ac:dyDescent="0.2">
      <c r="A7243" s="112">
        <f t="shared" si="117"/>
        <v>41941</v>
      </c>
      <c r="B7243" s="111">
        <f t="shared" si="118"/>
        <v>105</v>
      </c>
      <c r="C7243" s="111"/>
      <c r="D7243" s="111"/>
      <c r="E7243" s="111"/>
    </row>
    <row r="7244" spans="1:5" x14ac:dyDescent="0.2">
      <c r="A7244" s="112">
        <f t="shared" si="117"/>
        <v>41942</v>
      </c>
      <c r="B7244" s="111">
        <f t="shared" si="118"/>
        <v>105</v>
      </c>
      <c r="C7244" s="111"/>
      <c r="D7244" s="111"/>
      <c r="E7244" s="111"/>
    </row>
    <row r="7245" spans="1:5" x14ac:dyDescent="0.2">
      <c r="A7245" s="112">
        <f t="shared" si="117"/>
        <v>41943</v>
      </c>
      <c r="B7245" s="111">
        <f t="shared" si="118"/>
        <v>105</v>
      </c>
      <c r="C7245" s="111"/>
      <c r="D7245" s="111"/>
      <c r="E7245" s="111"/>
    </row>
    <row r="7246" spans="1:5" x14ac:dyDescent="0.2">
      <c r="A7246" s="112">
        <f t="shared" si="117"/>
        <v>41944</v>
      </c>
      <c r="B7246" s="111">
        <f t="shared" si="118"/>
        <v>105</v>
      </c>
      <c r="C7246" s="111"/>
      <c r="D7246" s="111"/>
      <c r="E7246" s="111"/>
    </row>
    <row r="7247" spans="1:5" x14ac:dyDescent="0.2">
      <c r="A7247" s="112">
        <f t="shared" si="117"/>
        <v>41945</v>
      </c>
      <c r="B7247" s="111">
        <f t="shared" si="118"/>
        <v>111</v>
      </c>
      <c r="C7247" s="111"/>
      <c r="D7247" s="111"/>
      <c r="E7247" s="111"/>
    </row>
    <row r="7248" spans="1:5" x14ac:dyDescent="0.2">
      <c r="A7248" s="112">
        <f t="shared" si="117"/>
        <v>41946</v>
      </c>
      <c r="B7248" s="111">
        <f t="shared" si="118"/>
        <v>111</v>
      </c>
      <c r="C7248" s="111"/>
      <c r="D7248" s="111"/>
      <c r="E7248" s="111"/>
    </row>
    <row r="7249" spans="1:5" x14ac:dyDescent="0.2">
      <c r="A7249" s="112">
        <f t="shared" si="117"/>
        <v>41947</v>
      </c>
      <c r="B7249" s="111">
        <f t="shared" si="118"/>
        <v>111</v>
      </c>
      <c r="C7249" s="111"/>
      <c r="D7249" s="111"/>
      <c r="E7249" s="111"/>
    </row>
    <row r="7250" spans="1:5" x14ac:dyDescent="0.2">
      <c r="A7250" s="112">
        <f t="shared" si="117"/>
        <v>41948</v>
      </c>
      <c r="B7250" s="111">
        <f t="shared" si="118"/>
        <v>111</v>
      </c>
      <c r="C7250" s="111"/>
      <c r="D7250" s="111"/>
      <c r="E7250" s="111"/>
    </row>
    <row r="7251" spans="1:5" x14ac:dyDescent="0.2">
      <c r="A7251" s="112">
        <f t="shared" si="117"/>
        <v>41949</v>
      </c>
      <c r="B7251" s="111">
        <f t="shared" si="118"/>
        <v>111</v>
      </c>
      <c r="C7251" s="111"/>
      <c r="D7251" s="111"/>
      <c r="E7251" s="111"/>
    </row>
    <row r="7252" spans="1:5" x14ac:dyDescent="0.2">
      <c r="A7252" s="112">
        <f t="shared" si="117"/>
        <v>41950</v>
      </c>
      <c r="B7252" s="111">
        <f t="shared" si="118"/>
        <v>111</v>
      </c>
      <c r="C7252" s="111"/>
      <c r="D7252" s="111"/>
      <c r="E7252" s="111"/>
    </row>
    <row r="7253" spans="1:5" x14ac:dyDescent="0.2">
      <c r="A7253" s="112">
        <f t="shared" si="117"/>
        <v>41951</v>
      </c>
      <c r="B7253" s="111">
        <f t="shared" si="118"/>
        <v>111</v>
      </c>
      <c r="C7253" s="111"/>
      <c r="D7253" s="111"/>
      <c r="E7253" s="111"/>
    </row>
    <row r="7254" spans="1:5" x14ac:dyDescent="0.2">
      <c r="A7254" s="112">
        <f t="shared" si="117"/>
        <v>41952</v>
      </c>
      <c r="B7254" s="111">
        <f t="shared" si="118"/>
        <v>112</v>
      </c>
      <c r="C7254" s="111"/>
      <c r="D7254" s="111"/>
      <c r="E7254" s="111"/>
    </row>
    <row r="7255" spans="1:5" x14ac:dyDescent="0.2">
      <c r="A7255" s="112">
        <f t="shared" si="117"/>
        <v>41953</v>
      </c>
      <c r="B7255" s="111">
        <f t="shared" si="118"/>
        <v>112</v>
      </c>
      <c r="C7255" s="111"/>
      <c r="D7255" s="111"/>
      <c r="E7255" s="111"/>
    </row>
    <row r="7256" spans="1:5" x14ac:dyDescent="0.2">
      <c r="A7256" s="112">
        <f t="shared" si="117"/>
        <v>41954</v>
      </c>
      <c r="B7256" s="111">
        <f t="shared" si="118"/>
        <v>112</v>
      </c>
      <c r="C7256" s="111"/>
      <c r="D7256" s="111"/>
      <c r="E7256" s="111"/>
    </row>
    <row r="7257" spans="1:5" x14ac:dyDescent="0.2">
      <c r="A7257" s="112">
        <f t="shared" si="117"/>
        <v>41955</v>
      </c>
      <c r="B7257" s="111">
        <f t="shared" si="118"/>
        <v>112</v>
      </c>
      <c r="C7257" s="111"/>
      <c r="D7257" s="111"/>
      <c r="E7257" s="111"/>
    </row>
    <row r="7258" spans="1:5" x14ac:dyDescent="0.2">
      <c r="A7258" s="112">
        <f t="shared" si="117"/>
        <v>41956</v>
      </c>
      <c r="B7258" s="111">
        <f t="shared" si="118"/>
        <v>112</v>
      </c>
      <c r="C7258" s="111"/>
      <c r="D7258" s="111"/>
      <c r="E7258" s="111"/>
    </row>
    <row r="7259" spans="1:5" x14ac:dyDescent="0.2">
      <c r="A7259" s="112">
        <f t="shared" si="117"/>
        <v>41957</v>
      </c>
      <c r="B7259" s="111">
        <f t="shared" si="118"/>
        <v>112</v>
      </c>
      <c r="C7259" s="111"/>
      <c r="D7259" s="111"/>
      <c r="E7259" s="111"/>
    </row>
    <row r="7260" spans="1:5" x14ac:dyDescent="0.2">
      <c r="A7260" s="112">
        <f t="shared" si="117"/>
        <v>41958</v>
      </c>
      <c r="B7260" s="111">
        <f t="shared" si="118"/>
        <v>112</v>
      </c>
      <c r="C7260" s="111"/>
      <c r="D7260" s="111"/>
      <c r="E7260" s="111"/>
    </row>
    <row r="7261" spans="1:5" x14ac:dyDescent="0.2">
      <c r="A7261" s="112">
        <f t="shared" si="117"/>
        <v>41959</v>
      </c>
      <c r="B7261" s="111">
        <f t="shared" si="118"/>
        <v>113</v>
      </c>
      <c r="C7261" s="111"/>
      <c r="D7261" s="111"/>
      <c r="E7261" s="111"/>
    </row>
    <row r="7262" spans="1:5" x14ac:dyDescent="0.2">
      <c r="A7262" s="112">
        <f t="shared" si="117"/>
        <v>41960</v>
      </c>
      <c r="B7262" s="111">
        <f t="shared" si="118"/>
        <v>113</v>
      </c>
      <c r="C7262" s="111"/>
      <c r="D7262" s="111"/>
      <c r="E7262" s="111"/>
    </row>
    <row r="7263" spans="1:5" x14ac:dyDescent="0.2">
      <c r="A7263" s="112">
        <f t="shared" ref="A7263:A7326" si="119">A7262+1</f>
        <v>41961</v>
      </c>
      <c r="B7263" s="111">
        <f t="shared" si="118"/>
        <v>113</v>
      </c>
      <c r="C7263" s="111"/>
      <c r="D7263" s="111"/>
      <c r="E7263" s="111"/>
    </row>
    <row r="7264" spans="1:5" x14ac:dyDescent="0.2">
      <c r="A7264" s="112">
        <f t="shared" si="119"/>
        <v>41962</v>
      </c>
      <c r="B7264" s="111">
        <f t="shared" si="118"/>
        <v>113</v>
      </c>
      <c r="C7264" s="111"/>
      <c r="D7264" s="111"/>
      <c r="E7264" s="111"/>
    </row>
    <row r="7265" spans="1:5" x14ac:dyDescent="0.2">
      <c r="A7265" s="112">
        <f t="shared" si="119"/>
        <v>41963</v>
      </c>
      <c r="B7265" s="111">
        <f t="shared" si="118"/>
        <v>113</v>
      </c>
      <c r="C7265" s="111"/>
      <c r="D7265" s="111"/>
      <c r="E7265" s="111"/>
    </row>
    <row r="7266" spans="1:5" x14ac:dyDescent="0.2">
      <c r="A7266" s="112">
        <f t="shared" si="119"/>
        <v>41964</v>
      </c>
      <c r="B7266" s="111">
        <f t="shared" si="118"/>
        <v>113</v>
      </c>
      <c r="C7266" s="111"/>
      <c r="D7266" s="111"/>
      <c r="E7266" s="111"/>
    </row>
    <row r="7267" spans="1:5" x14ac:dyDescent="0.2">
      <c r="A7267" s="112">
        <f t="shared" si="119"/>
        <v>41965</v>
      </c>
      <c r="B7267" s="111">
        <f t="shared" si="118"/>
        <v>113</v>
      </c>
      <c r="C7267" s="111"/>
      <c r="D7267" s="111"/>
      <c r="E7267" s="111"/>
    </row>
    <row r="7268" spans="1:5" x14ac:dyDescent="0.2">
      <c r="A7268" s="112">
        <f t="shared" si="119"/>
        <v>41966</v>
      </c>
      <c r="B7268" s="111">
        <f t="shared" si="118"/>
        <v>114</v>
      </c>
      <c r="C7268" s="111"/>
      <c r="D7268" s="111"/>
      <c r="E7268" s="111"/>
    </row>
    <row r="7269" spans="1:5" x14ac:dyDescent="0.2">
      <c r="A7269" s="112">
        <f t="shared" si="119"/>
        <v>41967</v>
      </c>
      <c r="B7269" s="111">
        <f t="shared" si="118"/>
        <v>114</v>
      </c>
      <c r="C7269" s="111"/>
      <c r="D7269" s="111"/>
      <c r="E7269" s="111"/>
    </row>
    <row r="7270" spans="1:5" x14ac:dyDescent="0.2">
      <c r="A7270" s="112">
        <f t="shared" si="119"/>
        <v>41968</v>
      </c>
      <c r="B7270" s="111">
        <f t="shared" si="118"/>
        <v>114</v>
      </c>
      <c r="C7270" s="111"/>
      <c r="D7270" s="111"/>
      <c r="E7270" s="111"/>
    </row>
    <row r="7271" spans="1:5" x14ac:dyDescent="0.2">
      <c r="A7271" s="112">
        <f t="shared" si="119"/>
        <v>41969</v>
      </c>
      <c r="B7271" s="111">
        <f t="shared" si="118"/>
        <v>114</v>
      </c>
      <c r="C7271" s="111"/>
      <c r="D7271" s="111"/>
      <c r="E7271" s="111"/>
    </row>
    <row r="7272" spans="1:5" x14ac:dyDescent="0.2">
      <c r="A7272" s="112">
        <f t="shared" si="119"/>
        <v>41970</v>
      </c>
      <c r="B7272" s="111">
        <f t="shared" si="118"/>
        <v>114</v>
      </c>
      <c r="C7272" s="111"/>
      <c r="D7272" s="111"/>
      <c r="E7272" s="111"/>
    </row>
    <row r="7273" spans="1:5" x14ac:dyDescent="0.2">
      <c r="A7273" s="112">
        <f t="shared" si="119"/>
        <v>41971</v>
      </c>
      <c r="B7273" s="111">
        <f t="shared" si="118"/>
        <v>114</v>
      </c>
      <c r="C7273" s="111"/>
      <c r="D7273" s="111"/>
      <c r="E7273" s="111"/>
    </row>
    <row r="7274" spans="1:5" x14ac:dyDescent="0.2">
      <c r="A7274" s="112">
        <f t="shared" si="119"/>
        <v>41972</v>
      </c>
      <c r="B7274" s="111">
        <f t="shared" si="118"/>
        <v>114</v>
      </c>
      <c r="C7274" s="111"/>
      <c r="D7274" s="111"/>
      <c r="E7274" s="111"/>
    </row>
    <row r="7275" spans="1:5" x14ac:dyDescent="0.2">
      <c r="A7275" s="112">
        <f t="shared" si="119"/>
        <v>41973</v>
      </c>
      <c r="B7275" s="111">
        <f t="shared" si="118"/>
        <v>115</v>
      </c>
      <c r="C7275" s="111"/>
      <c r="D7275" s="111"/>
      <c r="E7275" s="111"/>
    </row>
    <row r="7276" spans="1:5" x14ac:dyDescent="0.2">
      <c r="A7276" s="112">
        <f t="shared" si="119"/>
        <v>41974</v>
      </c>
      <c r="B7276" s="111">
        <f t="shared" si="118"/>
        <v>115</v>
      </c>
      <c r="C7276" s="111"/>
      <c r="D7276" s="111"/>
      <c r="E7276" s="111"/>
    </row>
    <row r="7277" spans="1:5" x14ac:dyDescent="0.2">
      <c r="A7277" s="112">
        <f t="shared" si="119"/>
        <v>41975</v>
      </c>
      <c r="B7277" s="111">
        <f t="shared" si="118"/>
        <v>115</v>
      </c>
      <c r="C7277" s="111"/>
      <c r="D7277" s="111"/>
      <c r="E7277" s="111"/>
    </row>
    <row r="7278" spans="1:5" x14ac:dyDescent="0.2">
      <c r="A7278" s="112">
        <f t="shared" si="119"/>
        <v>41976</v>
      </c>
      <c r="B7278" s="111">
        <f t="shared" si="118"/>
        <v>115</v>
      </c>
      <c r="C7278" s="111"/>
      <c r="D7278" s="111"/>
      <c r="E7278" s="111"/>
    </row>
    <row r="7279" spans="1:5" x14ac:dyDescent="0.2">
      <c r="A7279" s="112">
        <f t="shared" si="119"/>
        <v>41977</v>
      </c>
      <c r="B7279" s="111">
        <f t="shared" si="118"/>
        <v>115</v>
      </c>
      <c r="C7279" s="111"/>
      <c r="D7279" s="111"/>
      <c r="E7279" s="111"/>
    </row>
    <row r="7280" spans="1:5" x14ac:dyDescent="0.2">
      <c r="A7280" s="112">
        <f t="shared" si="119"/>
        <v>41978</v>
      </c>
      <c r="B7280" s="111">
        <f t="shared" si="118"/>
        <v>115</v>
      </c>
      <c r="C7280" s="111"/>
      <c r="D7280" s="111"/>
      <c r="E7280" s="111"/>
    </row>
    <row r="7281" spans="1:5" x14ac:dyDescent="0.2">
      <c r="A7281" s="112">
        <f t="shared" si="119"/>
        <v>41979</v>
      </c>
      <c r="B7281" s="111">
        <f t="shared" si="118"/>
        <v>115</v>
      </c>
      <c r="C7281" s="111"/>
      <c r="D7281" s="111"/>
      <c r="E7281" s="111"/>
    </row>
    <row r="7282" spans="1:5" x14ac:dyDescent="0.2">
      <c r="A7282" s="112">
        <f t="shared" si="119"/>
        <v>41980</v>
      </c>
      <c r="B7282" s="111">
        <f t="shared" si="118"/>
        <v>121</v>
      </c>
      <c r="C7282" s="111"/>
      <c r="D7282" s="111"/>
      <c r="E7282" s="111"/>
    </row>
    <row r="7283" spans="1:5" x14ac:dyDescent="0.2">
      <c r="A7283" s="112">
        <f t="shared" si="119"/>
        <v>41981</v>
      </c>
      <c r="B7283" s="111">
        <f t="shared" si="118"/>
        <v>121</v>
      </c>
      <c r="C7283" s="111"/>
      <c r="D7283" s="111"/>
      <c r="E7283" s="111"/>
    </row>
    <row r="7284" spans="1:5" x14ac:dyDescent="0.2">
      <c r="A7284" s="112">
        <f t="shared" si="119"/>
        <v>41982</v>
      </c>
      <c r="B7284" s="111">
        <f t="shared" si="118"/>
        <v>121</v>
      </c>
      <c r="C7284" s="111"/>
      <c r="D7284" s="111"/>
      <c r="E7284" s="111"/>
    </row>
    <row r="7285" spans="1:5" x14ac:dyDescent="0.2">
      <c r="A7285" s="112">
        <f t="shared" si="119"/>
        <v>41983</v>
      </c>
      <c r="B7285" s="111">
        <f t="shared" si="118"/>
        <v>121</v>
      </c>
      <c r="C7285" s="111"/>
      <c r="D7285" s="111"/>
      <c r="E7285" s="111"/>
    </row>
    <row r="7286" spans="1:5" x14ac:dyDescent="0.2">
      <c r="A7286" s="112">
        <f t="shared" si="119"/>
        <v>41984</v>
      </c>
      <c r="B7286" s="111">
        <f t="shared" si="118"/>
        <v>121</v>
      </c>
      <c r="C7286" s="111"/>
      <c r="D7286" s="111"/>
      <c r="E7286" s="111"/>
    </row>
    <row r="7287" spans="1:5" x14ac:dyDescent="0.2">
      <c r="A7287" s="112">
        <f t="shared" si="119"/>
        <v>41985</v>
      </c>
      <c r="B7287" s="111">
        <f t="shared" si="118"/>
        <v>121</v>
      </c>
      <c r="C7287" s="111"/>
      <c r="D7287" s="111"/>
      <c r="E7287" s="111"/>
    </row>
    <row r="7288" spans="1:5" x14ac:dyDescent="0.2">
      <c r="A7288" s="112">
        <f t="shared" si="119"/>
        <v>41986</v>
      </c>
      <c r="B7288" s="111">
        <f t="shared" si="118"/>
        <v>121</v>
      </c>
      <c r="C7288" s="111"/>
      <c r="D7288" s="111"/>
      <c r="E7288" s="111"/>
    </row>
    <row r="7289" spans="1:5" x14ac:dyDescent="0.2">
      <c r="A7289" s="112">
        <f t="shared" si="119"/>
        <v>41987</v>
      </c>
      <c r="B7289" s="111">
        <f t="shared" si="118"/>
        <v>122</v>
      </c>
      <c r="C7289" s="111"/>
      <c r="D7289" s="111"/>
      <c r="E7289" s="111"/>
    </row>
    <row r="7290" spans="1:5" x14ac:dyDescent="0.2">
      <c r="A7290" s="112">
        <f t="shared" si="119"/>
        <v>41988</v>
      </c>
      <c r="B7290" s="111">
        <f t="shared" si="118"/>
        <v>122</v>
      </c>
      <c r="C7290" s="111"/>
      <c r="D7290" s="111"/>
      <c r="E7290" s="111"/>
    </row>
    <row r="7291" spans="1:5" x14ac:dyDescent="0.2">
      <c r="A7291" s="112">
        <f t="shared" si="119"/>
        <v>41989</v>
      </c>
      <c r="B7291" s="111">
        <f t="shared" si="118"/>
        <v>122</v>
      </c>
      <c r="C7291" s="111"/>
      <c r="D7291" s="111"/>
      <c r="E7291" s="111"/>
    </row>
    <row r="7292" spans="1:5" x14ac:dyDescent="0.2">
      <c r="A7292" s="112">
        <f t="shared" si="119"/>
        <v>41990</v>
      </c>
      <c r="B7292" s="111">
        <f t="shared" si="118"/>
        <v>122</v>
      </c>
      <c r="C7292" s="111"/>
      <c r="D7292" s="111"/>
      <c r="E7292" s="111"/>
    </row>
    <row r="7293" spans="1:5" x14ac:dyDescent="0.2">
      <c r="A7293" s="112">
        <f t="shared" si="119"/>
        <v>41991</v>
      </c>
      <c r="B7293" s="111">
        <f t="shared" si="118"/>
        <v>122</v>
      </c>
      <c r="C7293" s="111"/>
      <c r="D7293" s="111"/>
      <c r="E7293" s="111"/>
    </row>
    <row r="7294" spans="1:5" x14ac:dyDescent="0.2">
      <c r="A7294" s="112">
        <f t="shared" si="119"/>
        <v>41992</v>
      </c>
      <c r="B7294" s="111">
        <f t="shared" si="118"/>
        <v>122</v>
      </c>
      <c r="C7294" s="111"/>
      <c r="D7294" s="111"/>
      <c r="E7294" s="111"/>
    </row>
    <row r="7295" spans="1:5" x14ac:dyDescent="0.2">
      <c r="A7295" s="112">
        <f t="shared" si="119"/>
        <v>41993</v>
      </c>
      <c r="B7295" s="111">
        <f t="shared" si="118"/>
        <v>122</v>
      </c>
      <c r="C7295" s="111"/>
      <c r="D7295" s="111"/>
      <c r="E7295" s="111"/>
    </row>
    <row r="7296" spans="1:5" x14ac:dyDescent="0.2">
      <c r="A7296" s="112">
        <f t="shared" si="119"/>
        <v>41994</v>
      </c>
      <c r="B7296" s="111">
        <f t="shared" si="118"/>
        <v>123</v>
      </c>
      <c r="C7296" s="111"/>
      <c r="D7296" s="111"/>
      <c r="E7296" s="111"/>
    </row>
    <row r="7297" spans="1:5" x14ac:dyDescent="0.2">
      <c r="A7297" s="112">
        <f t="shared" si="119"/>
        <v>41995</v>
      </c>
      <c r="B7297" s="111">
        <f t="shared" si="118"/>
        <v>123</v>
      </c>
      <c r="C7297" s="111"/>
      <c r="D7297" s="111"/>
      <c r="E7297" s="111"/>
    </row>
    <row r="7298" spans="1:5" x14ac:dyDescent="0.2">
      <c r="A7298" s="112">
        <f t="shared" si="119"/>
        <v>41996</v>
      </c>
      <c r="B7298" s="111">
        <f t="shared" ref="B7298:B7361" si="120">VLOOKUP(WEEKNUM(A7298),$D$3:$E$58,2)</f>
        <v>123</v>
      </c>
      <c r="C7298" s="111"/>
      <c r="D7298" s="111"/>
      <c r="E7298" s="111"/>
    </row>
    <row r="7299" spans="1:5" x14ac:dyDescent="0.2">
      <c r="A7299" s="112">
        <f t="shared" si="119"/>
        <v>41997</v>
      </c>
      <c r="B7299" s="111">
        <f t="shared" si="120"/>
        <v>123</v>
      </c>
      <c r="C7299" s="111"/>
      <c r="D7299" s="111"/>
      <c r="E7299" s="111"/>
    </row>
    <row r="7300" spans="1:5" x14ac:dyDescent="0.2">
      <c r="A7300" s="112">
        <f t="shared" si="119"/>
        <v>41998</v>
      </c>
      <c r="B7300" s="111">
        <f t="shared" si="120"/>
        <v>123</v>
      </c>
      <c r="C7300" s="111"/>
      <c r="D7300" s="111"/>
      <c r="E7300" s="111"/>
    </row>
    <row r="7301" spans="1:5" x14ac:dyDescent="0.2">
      <c r="A7301" s="112">
        <f t="shared" si="119"/>
        <v>41999</v>
      </c>
      <c r="B7301" s="111">
        <f t="shared" si="120"/>
        <v>123</v>
      </c>
      <c r="C7301" s="111"/>
      <c r="D7301" s="111"/>
      <c r="E7301" s="111"/>
    </row>
    <row r="7302" spans="1:5" x14ac:dyDescent="0.2">
      <c r="A7302" s="112">
        <f t="shared" si="119"/>
        <v>42000</v>
      </c>
      <c r="B7302" s="111">
        <f t="shared" si="120"/>
        <v>123</v>
      </c>
      <c r="C7302" s="111"/>
      <c r="D7302" s="111"/>
      <c r="E7302" s="111"/>
    </row>
    <row r="7303" spans="1:5" x14ac:dyDescent="0.2">
      <c r="A7303" s="112">
        <f t="shared" si="119"/>
        <v>42001</v>
      </c>
      <c r="B7303" s="111">
        <f t="shared" si="120"/>
        <v>124</v>
      </c>
      <c r="C7303" s="111"/>
      <c r="D7303" s="111"/>
      <c r="E7303" s="111"/>
    </row>
    <row r="7304" spans="1:5" x14ac:dyDescent="0.2">
      <c r="A7304" s="112">
        <f t="shared" si="119"/>
        <v>42002</v>
      </c>
      <c r="B7304" s="111">
        <f t="shared" si="120"/>
        <v>124</v>
      </c>
      <c r="C7304" s="111"/>
      <c r="D7304" s="111"/>
      <c r="E7304" s="111"/>
    </row>
    <row r="7305" spans="1:5" x14ac:dyDescent="0.2">
      <c r="A7305" s="112">
        <f t="shared" si="119"/>
        <v>42003</v>
      </c>
      <c r="B7305" s="111">
        <f t="shared" si="120"/>
        <v>124</v>
      </c>
      <c r="C7305" s="111"/>
      <c r="D7305" s="111"/>
      <c r="E7305" s="111"/>
    </row>
    <row r="7306" spans="1:5" x14ac:dyDescent="0.2">
      <c r="A7306" s="112">
        <f t="shared" si="119"/>
        <v>42004</v>
      </c>
      <c r="B7306" s="111">
        <f t="shared" si="120"/>
        <v>124</v>
      </c>
      <c r="C7306" s="111"/>
      <c r="D7306" s="111"/>
      <c r="E7306" s="111"/>
    </row>
    <row r="7307" spans="1:5" x14ac:dyDescent="0.2">
      <c r="A7307" s="112">
        <f t="shared" si="119"/>
        <v>42005</v>
      </c>
      <c r="B7307" s="111">
        <f t="shared" si="120"/>
        <v>11</v>
      </c>
      <c r="C7307" s="111"/>
      <c r="D7307" s="111">
        <f>1</f>
        <v>1</v>
      </c>
      <c r="E7307" s="111"/>
    </row>
    <row r="7308" spans="1:5" x14ac:dyDescent="0.2">
      <c r="A7308" s="112">
        <f t="shared" si="119"/>
        <v>42006</v>
      </c>
      <c r="B7308" s="111">
        <f t="shared" si="120"/>
        <v>11</v>
      </c>
      <c r="C7308" s="111"/>
      <c r="D7308" s="111">
        <f t="shared" ref="D7308:D7371" si="121">D7307+1</f>
        <v>2</v>
      </c>
      <c r="E7308" s="111"/>
    </row>
    <row r="7309" spans="1:5" x14ac:dyDescent="0.2">
      <c r="A7309" s="112">
        <f t="shared" si="119"/>
        <v>42007</v>
      </c>
      <c r="B7309" s="111">
        <f t="shared" si="120"/>
        <v>11</v>
      </c>
      <c r="C7309" s="111"/>
      <c r="D7309" s="111">
        <f t="shared" si="121"/>
        <v>3</v>
      </c>
      <c r="E7309" s="111"/>
    </row>
    <row r="7310" spans="1:5" x14ac:dyDescent="0.2">
      <c r="A7310" s="112">
        <f t="shared" si="119"/>
        <v>42008</v>
      </c>
      <c r="B7310" s="111">
        <f t="shared" si="120"/>
        <v>12</v>
      </c>
      <c r="C7310" s="111"/>
      <c r="D7310" s="111">
        <f t="shared" si="121"/>
        <v>4</v>
      </c>
      <c r="E7310" s="111"/>
    </row>
    <row r="7311" spans="1:5" x14ac:dyDescent="0.2">
      <c r="A7311" s="112">
        <f t="shared" si="119"/>
        <v>42009</v>
      </c>
      <c r="B7311" s="111">
        <f t="shared" si="120"/>
        <v>12</v>
      </c>
      <c r="C7311" s="111"/>
      <c r="D7311" s="111">
        <f t="shared" si="121"/>
        <v>5</v>
      </c>
      <c r="E7311" s="111"/>
    </row>
    <row r="7312" spans="1:5" x14ac:dyDescent="0.2">
      <c r="A7312" s="112">
        <f t="shared" si="119"/>
        <v>42010</v>
      </c>
      <c r="B7312" s="111">
        <f t="shared" si="120"/>
        <v>12</v>
      </c>
      <c r="C7312" s="111"/>
      <c r="D7312" s="111">
        <f t="shared" si="121"/>
        <v>6</v>
      </c>
      <c r="E7312" s="111"/>
    </row>
    <row r="7313" spans="1:5" x14ac:dyDescent="0.2">
      <c r="A7313" s="112">
        <f t="shared" si="119"/>
        <v>42011</v>
      </c>
      <c r="B7313" s="111">
        <f t="shared" si="120"/>
        <v>12</v>
      </c>
      <c r="C7313" s="111"/>
      <c r="D7313" s="111">
        <f t="shared" si="121"/>
        <v>7</v>
      </c>
      <c r="E7313" s="111"/>
    </row>
    <row r="7314" spans="1:5" x14ac:dyDescent="0.2">
      <c r="A7314" s="112">
        <f t="shared" si="119"/>
        <v>42012</v>
      </c>
      <c r="B7314" s="111">
        <f t="shared" si="120"/>
        <v>12</v>
      </c>
      <c r="C7314" s="111"/>
      <c r="D7314" s="111">
        <f t="shared" si="121"/>
        <v>8</v>
      </c>
      <c r="E7314" s="111"/>
    </row>
    <row r="7315" spans="1:5" x14ac:dyDescent="0.2">
      <c r="A7315" s="112">
        <f t="shared" si="119"/>
        <v>42013</v>
      </c>
      <c r="B7315" s="111">
        <f t="shared" si="120"/>
        <v>12</v>
      </c>
      <c r="C7315" s="111"/>
      <c r="D7315" s="111">
        <f t="shared" si="121"/>
        <v>9</v>
      </c>
      <c r="E7315" s="111"/>
    </row>
    <row r="7316" spans="1:5" x14ac:dyDescent="0.2">
      <c r="A7316" s="112">
        <f t="shared" si="119"/>
        <v>42014</v>
      </c>
      <c r="B7316" s="111">
        <f t="shared" si="120"/>
        <v>12</v>
      </c>
      <c r="C7316" s="111"/>
      <c r="D7316" s="111">
        <f t="shared" si="121"/>
        <v>10</v>
      </c>
      <c r="E7316" s="111"/>
    </row>
    <row r="7317" spans="1:5" x14ac:dyDescent="0.2">
      <c r="A7317" s="112">
        <f t="shared" si="119"/>
        <v>42015</v>
      </c>
      <c r="B7317" s="111">
        <f t="shared" si="120"/>
        <v>13</v>
      </c>
      <c r="C7317" s="111"/>
      <c r="D7317" s="111">
        <f t="shared" si="121"/>
        <v>11</v>
      </c>
      <c r="E7317" s="111"/>
    </row>
    <row r="7318" spans="1:5" x14ac:dyDescent="0.2">
      <c r="A7318" s="112">
        <f t="shared" si="119"/>
        <v>42016</v>
      </c>
      <c r="B7318" s="111">
        <f t="shared" si="120"/>
        <v>13</v>
      </c>
      <c r="C7318" s="111"/>
      <c r="D7318" s="111">
        <f t="shared" si="121"/>
        <v>12</v>
      </c>
      <c r="E7318" s="111"/>
    </row>
    <row r="7319" spans="1:5" x14ac:dyDescent="0.2">
      <c r="A7319" s="112">
        <f t="shared" si="119"/>
        <v>42017</v>
      </c>
      <c r="B7319" s="111">
        <f t="shared" si="120"/>
        <v>13</v>
      </c>
      <c r="C7319" s="111"/>
      <c r="D7319" s="111">
        <f t="shared" si="121"/>
        <v>13</v>
      </c>
      <c r="E7319" s="111"/>
    </row>
    <row r="7320" spans="1:5" x14ac:dyDescent="0.2">
      <c r="A7320" s="112">
        <f t="shared" si="119"/>
        <v>42018</v>
      </c>
      <c r="B7320" s="111">
        <f t="shared" si="120"/>
        <v>13</v>
      </c>
      <c r="C7320" s="111"/>
      <c r="D7320" s="111">
        <f t="shared" si="121"/>
        <v>14</v>
      </c>
      <c r="E7320" s="111"/>
    </row>
    <row r="7321" spans="1:5" x14ac:dyDescent="0.2">
      <c r="A7321" s="112">
        <f t="shared" si="119"/>
        <v>42019</v>
      </c>
      <c r="B7321" s="111">
        <f t="shared" si="120"/>
        <v>13</v>
      </c>
      <c r="C7321" s="111"/>
      <c r="D7321" s="111">
        <f t="shared" si="121"/>
        <v>15</v>
      </c>
      <c r="E7321" s="111"/>
    </row>
    <row r="7322" spans="1:5" x14ac:dyDescent="0.2">
      <c r="A7322" s="112">
        <f t="shared" si="119"/>
        <v>42020</v>
      </c>
      <c r="B7322" s="111">
        <f t="shared" si="120"/>
        <v>13</v>
      </c>
      <c r="C7322" s="111"/>
      <c r="D7322" s="111">
        <f t="shared" si="121"/>
        <v>16</v>
      </c>
      <c r="E7322" s="111"/>
    </row>
    <row r="7323" spans="1:5" x14ac:dyDescent="0.2">
      <c r="A7323" s="112">
        <f t="shared" si="119"/>
        <v>42021</v>
      </c>
      <c r="B7323" s="111">
        <f t="shared" si="120"/>
        <v>13</v>
      </c>
      <c r="C7323" s="111"/>
      <c r="D7323" s="111">
        <f t="shared" si="121"/>
        <v>17</v>
      </c>
      <c r="E7323" s="111"/>
    </row>
    <row r="7324" spans="1:5" x14ac:dyDescent="0.2">
      <c r="A7324" s="112">
        <f t="shared" si="119"/>
        <v>42022</v>
      </c>
      <c r="B7324" s="111">
        <f t="shared" si="120"/>
        <v>14</v>
      </c>
      <c r="C7324" s="111"/>
      <c r="D7324" s="111">
        <f t="shared" si="121"/>
        <v>18</v>
      </c>
      <c r="E7324" s="111"/>
    </row>
    <row r="7325" spans="1:5" x14ac:dyDescent="0.2">
      <c r="A7325" s="112">
        <f t="shared" si="119"/>
        <v>42023</v>
      </c>
      <c r="B7325" s="111">
        <f t="shared" si="120"/>
        <v>14</v>
      </c>
      <c r="C7325" s="111"/>
      <c r="D7325" s="111">
        <f t="shared" si="121"/>
        <v>19</v>
      </c>
      <c r="E7325" s="111"/>
    </row>
    <row r="7326" spans="1:5" x14ac:dyDescent="0.2">
      <c r="A7326" s="112">
        <f t="shared" si="119"/>
        <v>42024</v>
      </c>
      <c r="B7326" s="111">
        <f t="shared" si="120"/>
        <v>14</v>
      </c>
      <c r="C7326" s="111"/>
      <c r="D7326" s="111">
        <f t="shared" si="121"/>
        <v>20</v>
      </c>
      <c r="E7326" s="111"/>
    </row>
    <row r="7327" spans="1:5" x14ac:dyDescent="0.2">
      <c r="A7327" s="112">
        <f t="shared" ref="A7327:A7390" si="122">A7326+1</f>
        <v>42025</v>
      </c>
      <c r="B7327" s="111">
        <f t="shared" si="120"/>
        <v>14</v>
      </c>
      <c r="C7327" s="111"/>
      <c r="D7327" s="111">
        <f t="shared" si="121"/>
        <v>21</v>
      </c>
      <c r="E7327" s="111"/>
    </row>
    <row r="7328" spans="1:5" x14ac:dyDescent="0.2">
      <c r="A7328" s="112">
        <f t="shared" si="122"/>
        <v>42026</v>
      </c>
      <c r="B7328" s="111">
        <f t="shared" si="120"/>
        <v>14</v>
      </c>
      <c r="C7328" s="111"/>
      <c r="D7328" s="111">
        <f t="shared" si="121"/>
        <v>22</v>
      </c>
      <c r="E7328" s="111"/>
    </row>
    <row r="7329" spans="1:5" x14ac:dyDescent="0.2">
      <c r="A7329" s="112">
        <f t="shared" si="122"/>
        <v>42027</v>
      </c>
      <c r="B7329" s="111">
        <f t="shared" si="120"/>
        <v>14</v>
      </c>
      <c r="C7329" s="111"/>
      <c r="D7329" s="111">
        <f t="shared" si="121"/>
        <v>23</v>
      </c>
      <c r="E7329" s="111"/>
    </row>
    <row r="7330" spans="1:5" x14ac:dyDescent="0.2">
      <c r="A7330" s="112">
        <f t="shared" si="122"/>
        <v>42028</v>
      </c>
      <c r="B7330" s="111">
        <f t="shared" si="120"/>
        <v>14</v>
      </c>
      <c r="C7330" s="111"/>
      <c r="D7330" s="111">
        <f t="shared" si="121"/>
        <v>24</v>
      </c>
      <c r="E7330" s="111"/>
    </row>
    <row r="7331" spans="1:5" x14ac:dyDescent="0.2">
      <c r="A7331" s="112">
        <f t="shared" si="122"/>
        <v>42029</v>
      </c>
      <c r="B7331" s="111">
        <f t="shared" si="120"/>
        <v>15</v>
      </c>
      <c r="C7331" s="111"/>
      <c r="D7331" s="111">
        <f t="shared" si="121"/>
        <v>25</v>
      </c>
      <c r="E7331" s="111"/>
    </row>
    <row r="7332" spans="1:5" x14ac:dyDescent="0.2">
      <c r="A7332" s="112">
        <f t="shared" si="122"/>
        <v>42030</v>
      </c>
      <c r="B7332" s="111">
        <f t="shared" si="120"/>
        <v>15</v>
      </c>
      <c r="C7332" s="111"/>
      <c r="D7332" s="111">
        <f t="shared" si="121"/>
        <v>26</v>
      </c>
      <c r="E7332" s="111"/>
    </row>
    <row r="7333" spans="1:5" x14ac:dyDescent="0.2">
      <c r="A7333" s="112">
        <f t="shared" si="122"/>
        <v>42031</v>
      </c>
      <c r="B7333" s="111">
        <f t="shared" si="120"/>
        <v>15</v>
      </c>
      <c r="C7333" s="111"/>
      <c r="D7333" s="111">
        <f t="shared" si="121"/>
        <v>27</v>
      </c>
      <c r="E7333" s="111"/>
    </row>
    <row r="7334" spans="1:5" x14ac:dyDescent="0.2">
      <c r="A7334" s="112">
        <f t="shared" si="122"/>
        <v>42032</v>
      </c>
      <c r="B7334" s="111">
        <f t="shared" si="120"/>
        <v>15</v>
      </c>
      <c r="C7334" s="111"/>
      <c r="D7334" s="111">
        <f t="shared" si="121"/>
        <v>28</v>
      </c>
      <c r="E7334" s="111"/>
    </row>
    <row r="7335" spans="1:5" x14ac:dyDescent="0.2">
      <c r="A7335" s="112">
        <f t="shared" si="122"/>
        <v>42033</v>
      </c>
      <c r="B7335" s="111">
        <f t="shared" si="120"/>
        <v>15</v>
      </c>
      <c r="C7335" s="111"/>
      <c r="D7335" s="111">
        <f t="shared" si="121"/>
        <v>29</v>
      </c>
      <c r="E7335" s="111"/>
    </row>
    <row r="7336" spans="1:5" x14ac:dyDescent="0.2">
      <c r="A7336" s="112">
        <f t="shared" si="122"/>
        <v>42034</v>
      </c>
      <c r="B7336" s="111">
        <f t="shared" si="120"/>
        <v>15</v>
      </c>
      <c r="C7336" s="111"/>
      <c r="D7336" s="111">
        <f t="shared" si="121"/>
        <v>30</v>
      </c>
      <c r="E7336" s="111"/>
    </row>
    <row r="7337" spans="1:5" x14ac:dyDescent="0.2">
      <c r="A7337" s="112">
        <f t="shared" si="122"/>
        <v>42035</v>
      </c>
      <c r="B7337" s="111">
        <f t="shared" si="120"/>
        <v>15</v>
      </c>
      <c r="C7337" s="111"/>
      <c r="D7337" s="111">
        <f t="shared" si="121"/>
        <v>31</v>
      </c>
      <c r="E7337" s="111"/>
    </row>
    <row r="7338" spans="1:5" x14ac:dyDescent="0.2">
      <c r="A7338" s="112">
        <f t="shared" si="122"/>
        <v>42036</v>
      </c>
      <c r="B7338" s="111">
        <f t="shared" si="120"/>
        <v>21</v>
      </c>
      <c r="C7338" s="111"/>
      <c r="D7338" s="111">
        <f t="shared" si="121"/>
        <v>32</v>
      </c>
      <c r="E7338" s="111"/>
    </row>
    <row r="7339" spans="1:5" x14ac:dyDescent="0.2">
      <c r="A7339" s="112">
        <f t="shared" si="122"/>
        <v>42037</v>
      </c>
      <c r="B7339" s="111">
        <f t="shared" si="120"/>
        <v>21</v>
      </c>
      <c r="C7339" s="111"/>
      <c r="D7339" s="111">
        <f t="shared" si="121"/>
        <v>33</v>
      </c>
      <c r="E7339" s="111"/>
    </row>
    <row r="7340" spans="1:5" x14ac:dyDescent="0.2">
      <c r="A7340" s="112">
        <f t="shared" si="122"/>
        <v>42038</v>
      </c>
      <c r="B7340" s="111">
        <f t="shared" si="120"/>
        <v>21</v>
      </c>
      <c r="C7340" s="111"/>
      <c r="D7340" s="111">
        <f t="shared" si="121"/>
        <v>34</v>
      </c>
      <c r="E7340" s="111"/>
    </row>
    <row r="7341" spans="1:5" x14ac:dyDescent="0.2">
      <c r="A7341" s="112">
        <f t="shared" si="122"/>
        <v>42039</v>
      </c>
      <c r="B7341" s="111">
        <f t="shared" si="120"/>
        <v>21</v>
      </c>
      <c r="C7341" s="111"/>
      <c r="D7341" s="111">
        <f t="shared" si="121"/>
        <v>35</v>
      </c>
      <c r="E7341" s="111"/>
    </row>
    <row r="7342" spans="1:5" x14ac:dyDescent="0.2">
      <c r="A7342" s="112">
        <f t="shared" si="122"/>
        <v>42040</v>
      </c>
      <c r="B7342" s="111">
        <f t="shared" si="120"/>
        <v>21</v>
      </c>
      <c r="C7342" s="111"/>
      <c r="D7342" s="111">
        <f t="shared" si="121"/>
        <v>36</v>
      </c>
      <c r="E7342" s="111"/>
    </row>
    <row r="7343" spans="1:5" x14ac:dyDescent="0.2">
      <c r="A7343" s="112">
        <f t="shared" si="122"/>
        <v>42041</v>
      </c>
      <c r="B7343" s="111">
        <f t="shared" si="120"/>
        <v>21</v>
      </c>
      <c r="C7343" s="111"/>
      <c r="D7343" s="111">
        <f t="shared" si="121"/>
        <v>37</v>
      </c>
      <c r="E7343" s="111"/>
    </row>
    <row r="7344" spans="1:5" x14ac:dyDescent="0.2">
      <c r="A7344" s="112">
        <f t="shared" si="122"/>
        <v>42042</v>
      </c>
      <c r="B7344" s="111">
        <f t="shared" si="120"/>
        <v>21</v>
      </c>
      <c r="C7344" s="111"/>
      <c r="D7344" s="111">
        <f t="shared" si="121"/>
        <v>38</v>
      </c>
      <c r="E7344" s="111"/>
    </row>
    <row r="7345" spans="1:5" x14ac:dyDescent="0.2">
      <c r="A7345" s="112">
        <f t="shared" si="122"/>
        <v>42043</v>
      </c>
      <c r="B7345" s="111">
        <f t="shared" si="120"/>
        <v>22</v>
      </c>
      <c r="C7345" s="111"/>
      <c r="D7345" s="111">
        <f t="shared" si="121"/>
        <v>39</v>
      </c>
      <c r="E7345" s="111"/>
    </row>
    <row r="7346" spans="1:5" x14ac:dyDescent="0.2">
      <c r="A7346" s="112">
        <f t="shared" si="122"/>
        <v>42044</v>
      </c>
      <c r="B7346" s="111">
        <f t="shared" si="120"/>
        <v>22</v>
      </c>
      <c r="C7346" s="111"/>
      <c r="D7346" s="111">
        <f t="shared" si="121"/>
        <v>40</v>
      </c>
      <c r="E7346" s="111"/>
    </row>
    <row r="7347" spans="1:5" x14ac:dyDescent="0.2">
      <c r="A7347" s="112">
        <f t="shared" si="122"/>
        <v>42045</v>
      </c>
      <c r="B7347" s="111">
        <f t="shared" si="120"/>
        <v>22</v>
      </c>
      <c r="C7347" s="111"/>
      <c r="D7347" s="111">
        <f t="shared" si="121"/>
        <v>41</v>
      </c>
      <c r="E7347" s="111"/>
    </row>
    <row r="7348" spans="1:5" x14ac:dyDescent="0.2">
      <c r="A7348" s="112">
        <f t="shared" si="122"/>
        <v>42046</v>
      </c>
      <c r="B7348" s="111">
        <f t="shared" si="120"/>
        <v>22</v>
      </c>
      <c r="C7348" s="111"/>
      <c r="D7348" s="111">
        <f t="shared" si="121"/>
        <v>42</v>
      </c>
      <c r="E7348" s="111"/>
    </row>
    <row r="7349" spans="1:5" x14ac:dyDescent="0.2">
      <c r="A7349" s="112">
        <f t="shared" si="122"/>
        <v>42047</v>
      </c>
      <c r="B7349" s="111">
        <f t="shared" si="120"/>
        <v>22</v>
      </c>
      <c r="C7349" s="111"/>
      <c r="D7349" s="111">
        <f t="shared" si="121"/>
        <v>43</v>
      </c>
      <c r="E7349" s="111"/>
    </row>
    <row r="7350" spans="1:5" x14ac:dyDescent="0.2">
      <c r="A7350" s="112">
        <f t="shared" si="122"/>
        <v>42048</v>
      </c>
      <c r="B7350" s="111">
        <f t="shared" si="120"/>
        <v>22</v>
      </c>
      <c r="C7350" s="111"/>
      <c r="D7350" s="111">
        <f t="shared" si="121"/>
        <v>44</v>
      </c>
      <c r="E7350" s="111"/>
    </row>
    <row r="7351" spans="1:5" x14ac:dyDescent="0.2">
      <c r="A7351" s="112">
        <f t="shared" si="122"/>
        <v>42049</v>
      </c>
      <c r="B7351" s="111">
        <f t="shared" si="120"/>
        <v>22</v>
      </c>
      <c r="C7351" s="111"/>
      <c r="D7351" s="111">
        <f t="shared" si="121"/>
        <v>45</v>
      </c>
      <c r="E7351" s="111"/>
    </row>
    <row r="7352" spans="1:5" x14ac:dyDescent="0.2">
      <c r="A7352" s="112">
        <f t="shared" si="122"/>
        <v>42050</v>
      </c>
      <c r="B7352" s="111">
        <f t="shared" si="120"/>
        <v>23</v>
      </c>
      <c r="C7352" s="111"/>
      <c r="D7352" s="111">
        <f t="shared" si="121"/>
        <v>46</v>
      </c>
      <c r="E7352" s="111"/>
    </row>
    <row r="7353" spans="1:5" x14ac:dyDescent="0.2">
      <c r="A7353" s="112">
        <f t="shared" si="122"/>
        <v>42051</v>
      </c>
      <c r="B7353" s="111">
        <f t="shared" si="120"/>
        <v>23</v>
      </c>
      <c r="C7353" s="111"/>
      <c r="D7353" s="111">
        <f t="shared" si="121"/>
        <v>47</v>
      </c>
      <c r="E7353" s="111"/>
    </row>
    <row r="7354" spans="1:5" x14ac:dyDescent="0.2">
      <c r="A7354" s="112">
        <f t="shared" si="122"/>
        <v>42052</v>
      </c>
      <c r="B7354" s="111">
        <f t="shared" si="120"/>
        <v>23</v>
      </c>
      <c r="C7354" s="111"/>
      <c r="D7354" s="111">
        <f t="shared" si="121"/>
        <v>48</v>
      </c>
      <c r="E7354" s="111"/>
    </row>
    <row r="7355" spans="1:5" x14ac:dyDescent="0.2">
      <c r="A7355" s="112">
        <f t="shared" si="122"/>
        <v>42053</v>
      </c>
      <c r="B7355" s="111">
        <f t="shared" si="120"/>
        <v>23</v>
      </c>
      <c r="C7355" s="111"/>
      <c r="D7355" s="111">
        <f t="shared" si="121"/>
        <v>49</v>
      </c>
      <c r="E7355" s="111"/>
    </row>
    <row r="7356" spans="1:5" x14ac:dyDescent="0.2">
      <c r="A7356" s="112">
        <f t="shared" si="122"/>
        <v>42054</v>
      </c>
      <c r="B7356" s="111">
        <f t="shared" si="120"/>
        <v>23</v>
      </c>
      <c r="C7356" s="111"/>
      <c r="D7356" s="111">
        <f t="shared" si="121"/>
        <v>50</v>
      </c>
      <c r="E7356" s="111"/>
    </row>
    <row r="7357" spans="1:5" x14ac:dyDescent="0.2">
      <c r="A7357" s="112">
        <f t="shared" si="122"/>
        <v>42055</v>
      </c>
      <c r="B7357" s="111">
        <f t="shared" si="120"/>
        <v>23</v>
      </c>
      <c r="C7357" s="111"/>
      <c r="D7357" s="111">
        <f t="shared" si="121"/>
        <v>51</v>
      </c>
      <c r="E7357" s="111"/>
    </row>
    <row r="7358" spans="1:5" x14ac:dyDescent="0.2">
      <c r="A7358" s="112">
        <f t="shared" si="122"/>
        <v>42056</v>
      </c>
      <c r="B7358" s="111">
        <f t="shared" si="120"/>
        <v>23</v>
      </c>
      <c r="C7358" s="111"/>
      <c r="D7358" s="111">
        <f t="shared" si="121"/>
        <v>52</v>
      </c>
      <c r="E7358" s="111"/>
    </row>
    <row r="7359" spans="1:5" x14ac:dyDescent="0.2">
      <c r="A7359" s="112">
        <f t="shared" si="122"/>
        <v>42057</v>
      </c>
      <c r="B7359" s="111">
        <f t="shared" si="120"/>
        <v>24</v>
      </c>
      <c r="C7359" s="111"/>
      <c r="D7359" s="111">
        <f t="shared" si="121"/>
        <v>53</v>
      </c>
      <c r="E7359" s="111"/>
    </row>
    <row r="7360" spans="1:5" x14ac:dyDescent="0.2">
      <c r="A7360" s="112">
        <f t="shared" si="122"/>
        <v>42058</v>
      </c>
      <c r="B7360" s="111">
        <f t="shared" si="120"/>
        <v>24</v>
      </c>
      <c r="C7360" s="111"/>
      <c r="D7360" s="111">
        <f t="shared" si="121"/>
        <v>54</v>
      </c>
      <c r="E7360" s="111"/>
    </row>
    <row r="7361" spans="1:5" x14ac:dyDescent="0.2">
      <c r="A7361" s="112">
        <f t="shared" si="122"/>
        <v>42059</v>
      </c>
      <c r="B7361" s="111">
        <f t="shared" si="120"/>
        <v>24</v>
      </c>
      <c r="C7361" s="111"/>
      <c r="D7361" s="111">
        <f t="shared" si="121"/>
        <v>55</v>
      </c>
      <c r="E7361" s="111"/>
    </row>
    <row r="7362" spans="1:5" x14ac:dyDescent="0.2">
      <c r="A7362" s="112">
        <f t="shared" si="122"/>
        <v>42060</v>
      </c>
      <c r="B7362" s="111">
        <f t="shared" ref="B7362:B7425" si="123">VLOOKUP(WEEKNUM(A7362),$D$3:$E$58,2)</f>
        <v>24</v>
      </c>
      <c r="C7362" s="111"/>
      <c r="D7362" s="111">
        <f t="shared" si="121"/>
        <v>56</v>
      </c>
      <c r="E7362" s="111"/>
    </row>
    <row r="7363" spans="1:5" x14ac:dyDescent="0.2">
      <c r="A7363" s="112">
        <f t="shared" si="122"/>
        <v>42061</v>
      </c>
      <c r="B7363" s="111">
        <f t="shared" si="123"/>
        <v>24</v>
      </c>
      <c r="C7363" s="111"/>
      <c r="D7363" s="111">
        <f t="shared" si="121"/>
        <v>57</v>
      </c>
      <c r="E7363" s="111"/>
    </row>
    <row r="7364" spans="1:5" x14ac:dyDescent="0.2">
      <c r="A7364" s="112">
        <f t="shared" si="122"/>
        <v>42062</v>
      </c>
      <c r="B7364" s="111">
        <f t="shared" si="123"/>
        <v>24</v>
      </c>
      <c r="C7364" s="111"/>
      <c r="D7364" s="111">
        <f t="shared" si="121"/>
        <v>58</v>
      </c>
      <c r="E7364" s="111"/>
    </row>
    <row r="7365" spans="1:5" x14ac:dyDescent="0.2">
      <c r="A7365" s="112">
        <f t="shared" si="122"/>
        <v>42063</v>
      </c>
      <c r="B7365" s="111">
        <f t="shared" si="123"/>
        <v>24</v>
      </c>
      <c r="C7365" s="111"/>
      <c r="D7365" s="111">
        <f t="shared" si="121"/>
        <v>59</v>
      </c>
      <c r="E7365" s="111"/>
    </row>
    <row r="7366" spans="1:5" x14ac:dyDescent="0.2">
      <c r="A7366" s="112">
        <f t="shared" si="122"/>
        <v>42064</v>
      </c>
      <c r="B7366" s="111">
        <f t="shared" si="123"/>
        <v>31</v>
      </c>
      <c r="C7366" s="111"/>
      <c r="D7366" s="111">
        <f t="shared" si="121"/>
        <v>60</v>
      </c>
      <c r="E7366" s="111"/>
    </row>
    <row r="7367" spans="1:5" x14ac:dyDescent="0.2">
      <c r="A7367" s="112">
        <f t="shared" si="122"/>
        <v>42065</v>
      </c>
      <c r="B7367" s="111">
        <f t="shared" si="123"/>
        <v>31</v>
      </c>
      <c r="C7367" s="111"/>
      <c r="D7367" s="111">
        <f t="shared" si="121"/>
        <v>61</v>
      </c>
      <c r="E7367" s="111"/>
    </row>
    <row r="7368" spans="1:5" x14ac:dyDescent="0.2">
      <c r="A7368" s="112">
        <f t="shared" si="122"/>
        <v>42066</v>
      </c>
      <c r="B7368" s="111">
        <f t="shared" si="123"/>
        <v>31</v>
      </c>
      <c r="C7368" s="111"/>
      <c r="D7368" s="111">
        <f t="shared" si="121"/>
        <v>62</v>
      </c>
      <c r="E7368" s="111"/>
    </row>
    <row r="7369" spans="1:5" x14ac:dyDescent="0.2">
      <c r="A7369" s="112">
        <f t="shared" si="122"/>
        <v>42067</v>
      </c>
      <c r="B7369" s="111">
        <f t="shared" si="123"/>
        <v>31</v>
      </c>
      <c r="C7369" s="111"/>
      <c r="D7369" s="111">
        <f t="shared" si="121"/>
        <v>63</v>
      </c>
      <c r="E7369" s="111"/>
    </row>
    <row r="7370" spans="1:5" x14ac:dyDescent="0.2">
      <c r="A7370" s="112">
        <f t="shared" si="122"/>
        <v>42068</v>
      </c>
      <c r="B7370" s="111">
        <f t="shared" si="123"/>
        <v>31</v>
      </c>
      <c r="C7370" s="111"/>
      <c r="D7370" s="111">
        <f t="shared" si="121"/>
        <v>64</v>
      </c>
      <c r="E7370" s="111"/>
    </row>
    <row r="7371" spans="1:5" x14ac:dyDescent="0.2">
      <c r="A7371" s="112">
        <f t="shared" si="122"/>
        <v>42069</v>
      </c>
      <c r="B7371" s="111">
        <f t="shared" si="123"/>
        <v>31</v>
      </c>
      <c r="C7371" s="111"/>
      <c r="D7371" s="111">
        <f t="shared" si="121"/>
        <v>65</v>
      </c>
      <c r="E7371" s="111"/>
    </row>
    <row r="7372" spans="1:5" x14ac:dyDescent="0.2">
      <c r="A7372" s="112">
        <f t="shared" si="122"/>
        <v>42070</v>
      </c>
      <c r="B7372" s="111">
        <f t="shared" si="123"/>
        <v>31</v>
      </c>
      <c r="C7372" s="111"/>
      <c r="D7372" s="111">
        <f t="shared" ref="D7372:D7435" si="124">D7371+1</f>
        <v>66</v>
      </c>
      <c r="E7372" s="111"/>
    </row>
    <row r="7373" spans="1:5" x14ac:dyDescent="0.2">
      <c r="A7373" s="112">
        <f t="shared" si="122"/>
        <v>42071</v>
      </c>
      <c r="B7373" s="111">
        <f t="shared" si="123"/>
        <v>32</v>
      </c>
      <c r="C7373" s="111"/>
      <c r="D7373" s="111">
        <f t="shared" si="124"/>
        <v>67</v>
      </c>
      <c r="E7373" s="111"/>
    </row>
    <row r="7374" spans="1:5" x14ac:dyDescent="0.2">
      <c r="A7374" s="112">
        <f t="shared" si="122"/>
        <v>42072</v>
      </c>
      <c r="B7374" s="111">
        <f t="shared" si="123"/>
        <v>32</v>
      </c>
      <c r="C7374" s="111"/>
      <c r="D7374" s="111">
        <f t="shared" si="124"/>
        <v>68</v>
      </c>
      <c r="E7374" s="111"/>
    </row>
    <row r="7375" spans="1:5" x14ac:dyDescent="0.2">
      <c r="A7375" s="112">
        <f t="shared" si="122"/>
        <v>42073</v>
      </c>
      <c r="B7375" s="111">
        <f t="shared" si="123"/>
        <v>32</v>
      </c>
      <c r="C7375" s="111"/>
      <c r="D7375" s="111">
        <f t="shared" si="124"/>
        <v>69</v>
      </c>
      <c r="E7375" s="111"/>
    </row>
    <row r="7376" spans="1:5" x14ac:dyDescent="0.2">
      <c r="A7376" s="112">
        <f t="shared" si="122"/>
        <v>42074</v>
      </c>
      <c r="B7376" s="111">
        <f t="shared" si="123"/>
        <v>32</v>
      </c>
      <c r="C7376" s="111"/>
      <c r="D7376" s="111">
        <f t="shared" si="124"/>
        <v>70</v>
      </c>
      <c r="E7376" s="111"/>
    </row>
    <row r="7377" spans="1:5" x14ac:dyDescent="0.2">
      <c r="A7377" s="112">
        <f t="shared" si="122"/>
        <v>42075</v>
      </c>
      <c r="B7377" s="111">
        <f t="shared" si="123"/>
        <v>32</v>
      </c>
      <c r="C7377" s="111"/>
      <c r="D7377" s="111">
        <f t="shared" si="124"/>
        <v>71</v>
      </c>
      <c r="E7377" s="111"/>
    </row>
    <row r="7378" spans="1:5" x14ac:dyDescent="0.2">
      <c r="A7378" s="112">
        <f t="shared" si="122"/>
        <v>42076</v>
      </c>
      <c r="B7378" s="111">
        <f t="shared" si="123"/>
        <v>32</v>
      </c>
      <c r="C7378" s="111"/>
      <c r="D7378" s="111">
        <f t="shared" si="124"/>
        <v>72</v>
      </c>
      <c r="E7378" s="111"/>
    </row>
    <row r="7379" spans="1:5" x14ac:dyDescent="0.2">
      <c r="A7379" s="112">
        <f t="shared" si="122"/>
        <v>42077</v>
      </c>
      <c r="B7379" s="111">
        <f t="shared" si="123"/>
        <v>32</v>
      </c>
      <c r="C7379" s="111"/>
      <c r="D7379" s="111">
        <f t="shared" si="124"/>
        <v>73</v>
      </c>
      <c r="E7379" s="111"/>
    </row>
    <row r="7380" spans="1:5" x14ac:dyDescent="0.2">
      <c r="A7380" s="112">
        <f t="shared" si="122"/>
        <v>42078</v>
      </c>
      <c r="B7380" s="111">
        <f t="shared" si="123"/>
        <v>33</v>
      </c>
      <c r="C7380" s="111"/>
      <c r="D7380" s="111">
        <f t="shared" si="124"/>
        <v>74</v>
      </c>
      <c r="E7380" s="111"/>
    </row>
    <row r="7381" spans="1:5" x14ac:dyDescent="0.2">
      <c r="A7381" s="112">
        <f t="shared" si="122"/>
        <v>42079</v>
      </c>
      <c r="B7381" s="111">
        <f t="shared" si="123"/>
        <v>33</v>
      </c>
      <c r="C7381" s="111"/>
      <c r="D7381" s="111">
        <f t="shared" si="124"/>
        <v>75</v>
      </c>
      <c r="E7381" s="111"/>
    </row>
    <row r="7382" spans="1:5" x14ac:dyDescent="0.2">
      <c r="A7382" s="112">
        <f t="shared" si="122"/>
        <v>42080</v>
      </c>
      <c r="B7382" s="111">
        <f t="shared" si="123"/>
        <v>33</v>
      </c>
      <c r="C7382" s="111"/>
      <c r="D7382" s="111">
        <f t="shared" si="124"/>
        <v>76</v>
      </c>
      <c r="E7382" s="111"/>
    </row>
    <row r="7383" spans="1:5" x14ac:dyDescent="0.2">
      <c r="A7383" s="112">
        <f t="shared" si="122"/>
        <v>42081</v>
      </c>
      <c r="B7383" s="111">
        <f t="shared" si="123"/>
        <v>33</v>
      </c>
      <c r="C7383" s="111"/>
      <c r="D7383" s="111">
        <f t="shared" si="124"/>
        <v>77</v>
      </c>
      <c r="E7383" s="111"/>
    </row>
    <row r="7384" spans="1:5" x14ac:dyDescent="0.2">
      <c r="A7384" s="112">
        <f t="shared" si="122"/>
        <v>42082</v>
      </c>
      <c r="B7384" s="111">
        <f t="shared" si="123"/>
        <v>33</v>
      </c>
      <c r="C7384" s="111"/>
      <c r="D7384" s="111">
        <f t="shared" si="124"/>
        <v>78</v>
      </c>
      <c r="E7384" s="111"/>
    </row>
    <row r="7385" spans="1:5" x14ac:dyDescent="0.2">
      <c r="A7385" s="112">
        <f t="shared" si="122"/>
        <v>42083</v>
      </c>
      <c r="B7385" s="111">
        <f t="shared" si="123"/>
        <v>33</v>
      </c>
      <c r="C7385" s="111"/>
      <c r="D7385" s="111">
        <f t="shared" si="124"/>
        <v>79</v>
      </c>
      <c r="E7385" s="111"/>
    </row>
    <row r="7386" spans="1:5" x14ac:dyDescent="0.2">
      <c r="A7386" s="112">
        <f t="shared" si="122"/>
        <v>42084</v>
      </c>
      <c r="B7386" s="111">
        <f t="shared" si="123"/>
        <v>33</v>
      </c>
      <c r="C7386" s="111"/>
      <c r="D7386" s="111">
        <f t="shared" si="124"/>
        <v>80</v>
      </c>
      <c r="E7386" s="111"/>
    </row>
    <row r="7387" spans="1:5" x14ac:dyDescent="0.2">
      <c r="A7387" s="112">
        <f t="shared" si="122"/>
        <v>42085</v>
      </c>
      <c r="B7387" s="111">
        <f t="shared" si="123"/>
        <v>34</v>
      </c>
      <c r="C7387" s="111"/>
      <c r="D7387" s="111">
        <f t="shared" si="124"/>
        <v>81</v>
      </c>
      <c r="E7387" s="111"/>
    </row>
    <row r="7388" spans="1:5" x14ac:dyDescent="0.2">
      <c r="A7388" s="112">
        <f t="shared" si="122"/>
        <v>42086</v>
      </c>
      <c r="B7388" s="111">
        <f t="shared" si="123"/>
        <v>34</v>
      </c>
      <c r="C7388" s="111"/>
      <c r="D7388" s="111">
        <f t="shared" si="124"/>
        <v>82</v>
      </c>
      <c r="E7388" s="111"/>
    </row>
    <row r="7389" spans="1:5" x14ac:dyDescent="0.2">
      <c r="A7389" s="112">
        <f t="shared" si="122"/>
        <v>42087</v>
      </c>
      <c r="B7389" s="111">
        <f t="shared" si="123"/>
        <v>34</v>
      </c>
      <c r="C7389" s="111"/>
      <c r="D7389" s="111">
        <f t="shared" si="124"/>
        <v>83</v>
      </c>
      <c r="E7389" s="111"/>
    </row>
    <row r="7390" spans="1:5" x14ac:dyDescent="0.2">
      <c r="A7390" s="112">
        <f t="shared" si="122"/>
        <v>42088</v>
      </c>
      <c r="B7390" s="111">
        <f t="shared" si="123"/>
        <v>34</v>
      </c>
      <c r="C7390" s="111"/>
      <c r="D7390" s="111">
        <f t="shared" si="124"/>
        <v>84</v>
      </c>
      <c r="E7390" s="111"/>
    </row>
    <row r="7391" spans="1:5" x14ac:dyDescent="0.2">
      <c r="A7391" s="112">
        <f t="shared" ref="A7391:A7454" si="125">A7390+1</f>
        <v>42089</v>
      </c>
      <c r="B7391" s="111">
        <f t="shared" si="123"/>
        <v>34</v>
      </c>
      <c r="C7391" s="111"/>
      <c r="D7391" s="111">
        <f t="shared" si="124"/>
        <v>85</v>
      </c>
      <c r="E7391" s="111"/>
    </row>
    <row r="7392" spans="1:5" x14ac:dyDescent="0.2">
      <c r="A7392" s="112">
        <f t="shared" si="125"/>
        <v>42090</v>
      </c>
      <c r="B7392" s="111">
        <f t="shared" si="123"/>
        <v>34</v>
      </c>
      <c r="C7392" s="111"/>
      <c r="D7392" s="111">
        <f t="shared" si="124"/>
        <v>86</v>
      </c>
      <c r="E7392" s="111"/>
    </row>
    <row r="7393" spans="1:5" x14ac:dyDescent="0.2">
      <c r="A7393" s="112">
        <f t="shared" si="125"/>
        <v>42091</v>
      </c>
      <c r="B7393" s="111">
        <f t="shared" si="123"/>
        <v>34</v>
      </c>
      <c r="C7393" s="111"/>
      <c r="D7393" s="111">
        <f t="shared" si="124"/>
        <v>87</v>
      </c>
      <c r="E7393" s="111"/>
    </row>
    <row r="7394" spans="1:5" x14ac:dyDescent="0.2">
      <c r="A7394" s="112">
        <f t="shared" si="125"/>
        <v>42092</v>
      </c>
      <c r="B7394" s="111">
        <f t="shared" si="123"/>
        <v>41</v>
      </c>
      <c r="C7394" s="111"/>
      <c r="D7394" s="111">
        <f t="shared" si="124"/>
        <v>88</v>
      </c>
      <c r="E7394" s="111"/>
    </row>
    <row r="7395" spans="1:5" x14ac:dyDescent="0.2">
      <c r="A7395" s="112">
        <f t="shared" si="125"/>
        <v>42093</v>
      </c>
      <c r="B7395" s="111">
        <f t="shared" si="123"/>
        <v>41</v>
      </c>
      <c r="C7395" s="111"/>
      <c r="D7395" s="111">
        <f t="shared" si="124"/>
        <v>89</v>
      </c>
      <c r="E7395" s="111"/>
    </row>
    <row r="7396" spans="1:5" x14ac:dyDescent="0.2">
      <c r="A7396" s="112">
        <f t="shared" si="125"/>
        <v>42094</v>
      </c>
      <c r="B7396" s="111">
        <f t="shared" si="123"/>
        <v>41</v>
      </c>
      <c r="C7396" s="111"/>
      <c r="D7396" s="111">
        <f t="shared" si="124"/>
        <v>90</v>
      </c>
      <c r="E7396" s="111"/>
    </row>
    <row r="7397" spans="1:5" x14ac:dyDescent="0.2">
      <c r="A7397" s="112">
        <f t="shared" si="125"/>
        <v>42095</v>
      </c>
      <c r="B7397" s="111">
        <f t="shared" si="123"/>
        <v>41</v>
      </c>
      <c r="C7397" s="111"/>
      <c r="D7397" s="111">
        <f t="shared" si="124"/>
        <v>91</v>
      </c>
      <c r="E7397" s="111"/>
    </row>
    <row r="7398" spans="1:5" x14ac:dyDescent="0.2">
      <c r="A7398" s="112">
        <f t="shared" si="125"/>
        <v>42096</v>
      </c>
      <c r="B7398" s="111">
        <f t="shared" si="123"/>
        <v>41</v>
      </c>
      <c r="C7398" s="111"/>
      <c r="D7398" s="111">
        <f t="shared" si="124"/>
        <v>92</v>
      </c>
      <c r="E7398" s="111"/>
    </row>
    <row r="7399" spans="1:5" x14ac:dyDescent="0.2">
      <c r="A7399" s="112">
        <f t="shared" si="125"/>
        <v>42097</v>
      </c>
      <c r="B7399" s="111">
        <f t="shared" si="123"/>
        <v>41</v>
      </c>
      <c r="C7399" s="111"/>
      <c r="D7399" s="111">
        <f t="shared" si="124"/>
        <v>93</v>
      </c>
      <c r="E7399" s="111"/>
    </row>
    <row r="7400" spans="1:5" x14ac:dyDescent="0.2">
      <c r="A7400" s="112">
        <f t="shared" si="125"/>
        <v>42098</v>
      </c>
      <c r="B7400" s="111">
        <f t="shared" si="123"/>
        <v>41</v>
      </c>
      <c r="C7400" s="111"/>
      <c r="D7400" s="111">
        <f t="shared" si="124"/>
        <v>94</v>
      </c>
      <c r="E7400" s="111"/>
    </row>
    <row r="7401" spans="1:5" x14ac:dyDescent="0.2">
      <c r="A7401" s="112">
        <f t="shared" si="125"/>
        <v>42099</v>
      </c>
      <c r="B7401" s="111">
        <f t="shared" si="123"/>
        <v>42</v>
      </c>
      <c r="C7401" s="111"/>
      <c r="D7401" s="111">
        <f t="shared" si="124"/>
        <v>95</v>
      </c>
      <c r="E7401" s="111"/>
    </row>
    <row r="7402" spans="1:5" x14ac:dyDescent="0.2">
      <c r="A7402" s="112">
        <f t="shared" si="125"/>
        <v>42100</v>
      </c>
      <c r="B7402" s="111">
        <f t="shared" si="123"/>
        <v>42</v>
      </c>
      <c r="C7402" s="111"/>
      <c r="D7402" s="111">
        <f t="shared" si="124"/>
        <v>96</v>
      </c>
      <c r="E7402" s="111"/>
    </row>
    <row r="7403" spans="1:5" x14ac:dyDescent="0.2">
      <c r="A7403" s="112">
        <f t="shared" si="125"/>
        <v>42101</v>
      </c>
      <c r="B7403" s="111">
        <f t="shared" si="123"/>
        <v>42</v>
      </c>
      <c r="C7403" s="111"/>
      <c r="D7403" s="111">
        <f t="shared" si="124"/>
        <v>97</v>
      </c>
      <c r="E7403" s="111"/>
    </row>
    <row r="7404" spans="1:5" x14ac:dyDescent="0.2">
      <c r="A7404" s="112">
        <f t="shared" si="125"/>
        <v>42102</v>
      </c>
      <c r="B7404" s="111">
        <f t="shared" si="123"/>
        <v>42</v>
      </c>
      <c r="C7404" s="111"/>
      <c r="D7404" s="111">
        <f t="shared" si="124"/>
        <v>98</v>
      </c>
      <c r="E7404" s="111"/>
    </row>
    <row r="7405" spans="1:5" x14ac:dyDescent="0.2">
      <c r="A7405" s="112">
        <f t="shared" si="125"/>
        <v>42103</v>
      </c>
      <c r="B7405" s="111">
        <f t="shared" si="123"/>
        <v>42</v>
      </c>
      <c r="C7405" s="111"/>
      <c r="D7405" s="111">
        <f t="shared" si="124"/>
        <v>99</v>
      </c>
      <c r="E7405" s="111"/>
    </row>
    <row r="7406" spans="1:5" x14ac:dyDescent="0.2">
      <c r="A7406" s="112">
        <f t="shared" si="125"/>
        <v>42104</v>
      </c>
      <c r="B7406" s="111">
        <f t="shared" si="123"/>
        <v>42</v>
      </c>
      <c r="C7406" s="111"/>
      <c r="D7406" s="111">
        <f t="shared" si="124"/>
        <v>100</v>
      </c>
      <c r="E7406" s="111"/>
    </row>
    <row r="7407" spans="1:5" x14ac:dyDescent="0.2">
      <c r="A7407" s="112">
        <f t="shared" si="125"/>
        <v>42105</v>
      </c>
      <c r="B7407" s="111">
        <f t="shared" si="123"/>
        <v>42</v>
      </c>
      <c r="C7407" s="111"/>
      <c r="D7407" s="111">
        <f t="shared" si="124"/>
        <v>101</v>
      </c>
      <c r="E7407" s="111"/>
    </row>
    <row r="7408" spans="1:5" x14ac:dyDescent="0.2">
      <c r="A7408" s="112">
        <f t="shared" si="125"/>
        <v>42106</v>
      </c>
      <c r="B7408" s="111">
        <f t="shared" si="123"/>
        <v>43</v>
      </c>
      <c r="C7408" s="111"/>
      <c r="D7408" s="111">
        <f t="shared" si="124"/>
        <v>102</v>
      </c>
      <c r="E7408" s="111"/>
    </row>
    <row r="7409" spans="1:5" x14ac:dyDescent="0.2">
      <c r="A7409" s="112">
        <f t="shared" si="125"/>
        <v>42107</v>
      </c>
      <c r="B7409" s="111">
        <f t="shared" si="123"/>
        <v>43</v>
      </c>
      <c r="C7409" s="111"/>
      <c r="D7409" s="111">
        <f t="shared" si="124"/>
        <v>103</v>
      </c>
      <c r="E7409" s="111"/>
    </row>
    <row r="7410" spans="1:5" x14ac:dyDescent="0.2">
      <c r="A7410" s="112">
        <f t="shared" si="125"/>
        <v>42108</v>
      </c>
      <c r="B7410" s="111">
        <f t="shared" si="123"/>
        <v>43</v>
      </c>
      <c r="C7410" s="111"/>
      <c r="D7410" s="111">
        <f t="shared" si="124"/>
        <v>104</v>
      </c>
      <c r="E7410" s="111"/>
    </row>
    <row r="7411" spans="1:5" x14ac:dyDescent="0.2">
      <c r="A7411" s="112">
        <f t="shared" si="125"/>
        <v>42109</v>
      </c>
      <c r="B7411" s="111">
        <f t="shared" si="123"/>
        <v>43</v>
      </c>
      <c r="C7411" s="111"/>
      <c r="D7411" s="111">
        <f t="shared" si="124"/>
        <v>105</v>
      </c>
      <c r="E7411" s="111"/>
    </row>
    <row r="7412" spans="1:5" x14ac:dyDescent="0.2">
      <c r="A7412" s="112">
        <f t="shared" si="125"/>
        <v>42110</v>
      </c>
      <c r="B7412" s="111">
        <f t="shared" si="123"/>
        <v>43</v>
      </c>
      <c r="C7412" s="111"/>
      <c r="D7412" s="111">
        <f t="shared" si="124"/>
        <v>106</v>
      </c>
      <c r="E7412" s="111"/>
    </row>
    <row r="7413" spans="1:5" x14ac:dyDescent="0.2">
      <c r="A7413" s="112">
        <f t="shared" si="125"/>
        <v>42111</v>
      </c>
      <c r="B7413" s="111">
        <f t="shared" si="123"/>
        <v>43</v>
      </c>
      <c r="C7413" s="111"/>
      <c r="D7413" s="111">
        <f t="shared" si="124"/>
        <v>107</v>
      </c>
      <c r="E7413" s="111"/>
    </row>
    <row r="7414" spans="1:5" x14ac:dyDescent="0.2">
      <c r="A7414" s="112">
        <f t="shared" si="125"/>
        <v>42112</v>
      </c>
      <c r="B7414" s="111">
        <f t="shared" si="123"/>
        <v>43</v>
      </c>
      <c r="C7414" s="111"/>
      <c r="D7414" s="111">
        <f t="shared" si="124"/>
        <v>108</v>
      </c>
      <c r="E7414" s="111"/>
    </row>
    <row r="7415" spans="1:5" x14ac:dyDescent="0.2">
      <c r="A7415" s="112">
        <f t="shared" si="125"/>
        <v>42113</v>
      </c>
      <c r="B7415" s="111">
        <f t="shared" si="123"/>
        <v>44</v>
      </c>
      <c r="C7415" s="111"/>
      <c r="D7415" s="111">
        <f t="shared" si="124"/>
        <v>109</v>
      </c>
      <c r="E7415" s="111"/>
    </row>
    <row r="7416" spans="1:5" x14ac:dyDescent="0.2">
      <c r="A7416" s="112">
        <f t="shared" si="125"/>
        <v>42114</v>
      </c>
      <c r="B7416" s="111">
        <f t="shared" si="123"/>
        <v>44</v>
      </c>
      <c r="C7416" s="111"/>
      <c r="D7416" s="111">
        <f t="shared" si="124"/>
        <v>110</v>
      </c>
      <c r="E7416" s="111"/>
    </row>
    <row r="7417" spans="1:5" x14ac:dyDescent="0.2">
      <c r="A7417" s="112">
        <f t="shared" si="125"/>
        <v>42115</v>
      </c>
      <c r="B7417" s="111">
        <f t="shared" si="123"/>
        <v>44</v>
      </c>
      <c r="C7417" s="111"/>
      <c r="D7417" s="111">
        <f t="shared" si="124"/>
        <v>111</v>
      </c>
      <c r="E7417" s="111"/>
    </row>
    <row r="7418" spans="1:5" x14ac:dyDescent="0.2">
      <c r="A7418" s="112">
        <f t="shared" si="125"/>
        <v>42116</v>
      </c>
      <c r="B7418" s="111">
        <f t="shared" si="123"/>
        <v>44</v>
      </c>
      <c r="C7418" s="111"/>
      <c r="D7418" s="111">
        <f t="shared" si="124"/>
        <v>112</v>
      </c>
      <c r="E7418" s="111"/>
    </row>
    <row r="7419" spans="1:5" x14ac:dyDescent="0.2">
      <c r="A7419" s="112">
        <f t="shared" si="125"/>
        <v>42117</v>
      </c>
      <c r="B7419" s="111">
        <f t="shared" si="123"/>
        <v>44</v>
      </c>
      <c r="C7419" s="111"/>
      <c r="D7419" s="111">
        <f t="shared" si="124"/>
        <v>113</v>
      </c>
      <c r="E7419" s="111"/>
    </row>
    <row r="7420" spans="1:5" x14ac:dyDescent="0.2">
      <c r="A7420" s="112">
        <f t="shared" si="125"/>
        <v>42118</v>
      </c>
      <c r="B7420" s="111">
        <f t="shared" si="123"/>
        <v>44</v>
      </c>
      <c r="C7420" s="111"/>
      <c r="D7420" s="111">
        <f t="shared" si="124"/>
        <v>114</v>
      </c>
      <c r="E7420" s="111"/>
    </row>
    <row r="7421" spans="1:5" x14ac:dyDescent="0.2">
      <c r="A7421" s="112">
        <f t="shared" si="125"/>
        <v>42119</v>
      </c>
      <c r="B7421" s="111">
        <f t="shared" si="123"/>
        <v>44</v>
      </c>
      <c r="C7421" s="111"/>
      <c r="D7421" s="111">
        <f t="shared" si="124"/>
        <v>115</v>
      </c>
      <c r="E7421" s="111"/>
    </row>
    <row r="7422" spans="1:5" x14ac:dyDescent="0.2">
      <c r="A7422" s="112">
        <f t="shared" si="125"/>
        <v>42120</v>
      </c>
      <c r="B7422" s="111">
        <f t="shared" si="123"/>
        <v>45</v>
      </c>
      <c r="C7422" s="111"/>
      <c r="D7422" s="111">
        <f t="shared" si="124"/>
        <v>116</v>
      </c>
      <c r="E7422" s="111"/>
    </row>
    <row r="7423" spans="1:5" x14ac:dyDescent="0.2">
      <c r="A7423" s="112">
        <f t="shared" si="125"/>
        <v>42121</v>
      </c>
      <c r="B7423" s="111">
        <f t="shared" si="123"/>
        <v>45</v>
      </c>
      <c r="C7423" s="111"/>
      <c r="D7423" s="111">
        <f t="shared" si="124"/>
        <v>117</v>
      </c>
      <c r="E7423" s="111"/>
    </row>
    <row r="7424" spans="1:5" x14ac:dyDescent="0.2">
      <c r="A7424" s="112">
        <f t="shared" si="125"/>
        <v>42122</v>
      </c>
      <c r="B7424" s="111">
        <f t="shared" si="123"/>
        <v>45</v>
      </c>
      <c r="C7424" s="111"/>
      <c r="D7424" s="111">
        <f t="shared" si="124"/>
        <v>118</v>
      </c>
      <c r="E7424" s="111"/>
    </row>
    <row r="7425" spans="1:5" x14ac:dyDescent="0.2">
      <c r="A7425" s="112">
        <f t="shared" si="125"/>
        <v>42123</v>
      </c>
      <c r="B7425" s="111">
        <f t="shared" si="123"/>
        <v>45</v>
      </c>
      <c r="C7425" s="111"/>
      <c r="D7425" s="111">
        <f t="shared" si="124"/>
        <v>119</v>
      </c>
      <c r="E7425" s="111"/>
    </row>
    <row r="7426" spans="1:5" x14ac:dyDescent="0.2">
      <c r="A7426" s="112">
        <f t="shared" si="125"/>
        <v>42124</v>
      </c>
      <c r="B7426" s="111">
        <f t="shared" ref="B7426:B7489" si="126">VLOOKUP(WEEKNUM(A7426),$D$3:$E$58,2)</f>
        <v>45</v>
      </c>
      <c r="C7426" s="111"/>
      <c r="D7426" s="111">
        <f t="shared" si="124"/>
        <v>120</v>
      </c>
      <c r="E7426" s="111"/>
    </row>
    <row r="7427" spans="1:5" x14ac:dyDescent="0.2">
      <c r="A7427" s="112">
        <f t="shared" si="125"/>
        <v>42125</v>
      </c>
      <c r="B7427" s="111">
        <f t="shared" si="126"/>
        <v>45</v>
      </c>
      <c r="C7427" s="111"/>
      <c r="D7427" s="111">
        <f t="shared" si="124"/>
        <v>121</v>
      </c>
      <c r="E7427" s="111"/>
    </row>
    <row r="7428" spans="1:5" x14ac:dyDescent="0.2">
      <c r="A7428" s="112">
        <f t="shared" si="125"/>
        <v>42126</v>
      </c>
      <c r="B7428" s="111">
        <f t="shared" si="126"/>
        <v>45</v>
      </c>
      <c r="C7428" s="111"/>
      <c r="D7428" s="111">
        <f t="shared" si="124"/>
        <v>122</v>
      </c>
      <c r="E7428" s="111"/>
    </row>
    <row r="7429" spans="1:5" x14ac:dyDescent="0.2">
      <c r="A7429" s="112">
        <f t="shared" si="125"/>
        <v>42127</v>
      </c>
      <c r="B7429" s="111">
        <f t="shared" si="126"/>
        <v>51</v>
      </c>
      <c r="C7429" s="111"/>
      <c r="D7429" s="111">
        <f t="shared" si="124"/>
        <v>123</v>
      </c>
      <c r="E7429" s="111"/>
    </row>
    <row r="7430" spans="1:5" x14ac:dyDescent="0.2">
      <c r="A7430" s="112">
        <f t="shared" si="125"/>
        <v>42128</v>
      </c>
      <c r="B7430" s="111">
        <f t="shared" si="126"/>
        <v>51</v>
      </c>
      <c r="C7430" s="111"/>
      <c r="D7430" s="111">
        <f t="shared" si="124"/>
        <v>124</v>
      </c>
      <c r="E7430" s="111"/>
    </row>
    <row r="7431" spans="1:5" x14ac:dyDescent="0.2">
      <c r="A7431" s="112">
        <f t="shared" si="125"/>
        <v>42129</v>
      </c>
      <c r="B7431" s="111">
        <f t="shared" si="126"/>
        <v>51</v>
      </c>
      <c r="C7431" s="111"/>
      <c r="D7431" s="111">
        <f t="shared" si="124"/>
        <v>125</v>
      </c>
      <c r="E7431" s="111"/>
    </row>
    <row r="7432" spans="1:5" x14ac:dyDescent="0.2">
      <c r="A7432" s="112">
        <f t="shared" si="125"/>
        <v>42130</v>
      </c>
      <c r="B7432" s="111">
        <f t="shared" si="126"/>
        <v>51</v>
      </c>
      <c r="C7432" s="111"/>
      <c r="D7432" s="111">
        <f t="shared" si="124"/>
        <v>126</v>
      </c>
      <c r="E7432" s="111"/>
    </row>
    <row r="7433" spans="1:5" x14ac:dyDescent="0.2">
      <c r="A7433" s="112">
        <f t="shared" si="125"/>
        <v>42131</v>
      </c>
      <c r="B7433" s="111">
        <f t="shared" si="126"/>
        <v>51</v>
      </c>
      <c r="C7433" s="111"/>
      <c r="D7433" s="111">
        <f t="shared" si="124"/>
        <v>127</v>
      </c>
      <c r="E7433" s="111"/>
    </row>
    <row r="7434" spans="1:5" x14ac:dyDescent="0.2">
      <c r="A7434" s="112">
        <f t="shared" si="125"/>
        <v>42132</v>
      </c>
      <c r="B7434" s="111">
        <f t="shared" si="126"/>
        <v>51</v>
      </c>
      <c r="C7434" s="111"/>
      <c r="D7434" s="111">
        <f t="shared" si="124"/>
        <v>128</v>
      </c>
      <c r="E7434" s="111"/>
    </row>
    <row r="7435" spans="1:5" x14ac:dyDescent="0.2">
      <c r="A7435" s="112">
        <f t="shared" si="125"/>
        <v>42133</v>
      </c>
      <c r="B7435" s="111">
        <f t="shared" si="126"/>
        <v>51</v>
      </c>
      <c r="C7435" s="111"/>
      <c r="D7435" s="111">
        <f t="shared" si="124"/>
        <v>129</v>
      </c>
      <c r="E7435" s="111"/>
    </row>
    <row r="7436" spans="1:5" x14ac:dyDescent="0.2">
      <c r="A7436" s="112">
        <f t="shared" si="125"/>
        <v>42134</v>
      </c>
      <c r="B7436" s="111">
        <f t="shared" si="126"/>
        <v>52</v>
      </c>
      <c r="C7436" s="111"/>
      <c r="D7436" s="111">
        <f t="shared" ref="D7436:D7499" si="127">D7435+1</f>
        <v>130</v>
      </c>
      <c r="E7436" s="111"/>
    </row>
    <row r="7437" spans="1:5" x14ac:dyDescent="0.2">
      <c r="A7437" s="112">
        <f t="shared" si="125"/>
        <v>42135</v>
      </c>
      <c r="B7437" s="111">
        <f t="shared" si="126"/>
        <v>52</v>
      </c>
      <c r="C7437" s="111"/>
      <c r="D7437" s="111">
        <f t="shared" si="127"/>
        <v>131</v>
      </c>
      <c r="E7437" s="111"/>
    </row>
    <row r="7438" spans="1:5" x14ac:dyDescent="0.2">
      <c r="A7438" s="112">
        <f t="shared" si="125"/>
        <v>42136</v>
      </c>
      <c r="B7438" s="111">
        <f t="shared" si="126"/>
        <v>52</v>
      </c>
      <c r="C7438" s="111"/>
      <c r="D7438" s="111">
        <f t="shared" si="127"/>
        <v>132</v>
      </c>
      <c r="E7438" s="111"/>
    </row>
    <row r="7439" spans="1:5" x14ac:dyDescent="0.2">
      <c r="A7439" s="112">
        <f t="shared" si="125"/>
        <v>42137</v>
      </c>
      <c r="B7439" s="111">
        <f t="shared" si="126"/>
        <v>52</v>
      </c>
      <c r="C7439" s="111"/>
      <c r="D7439" s="111">
        <f t="shared" si="127"/>
        <v>133</v>
      </c>
      <c r="E7439" s="111"/>
    </row>
    <row r="7440" spans="1:5" x14ac:dyDescent="0.2">
      <c r="A7440" s="112">
        <f t="shared" si="125"/>
        <v>42138</v>
      </c>
      <c r="B7440" s="111">
        <f t="shared" si="126"/>
        <v>52</v>
      </c>
      <c r="C7440" s="111"/>
      <c r="D7440" s="111">
        <f t="shared" si="127"/>
        <v>134</v>
      </c>
      <c r="E7440" s="111"/>
    </row>
    <row r="7441" spans="1:5" x14ac:dyDescent="0.2">
      <c r="A7441" s="112">
        <f t="shared" si="125"/>
        <v>42139</v>
      </c>
      <c r="B7441" s="111">
        <f t="shared" si="126"/>
        <v>52</v>
      </c>
      <c r="C7441" s="111"/>
      <c r="D7441" s="111">
        <f t="shared" si="127"/>
        <v>135</v>
      </c>
      <c r="E7441" s="111"/>
    </row>
    <row r="7442" spans="1:5" x14ac:dyDescent="0.2">
      <c r="A7442" s="112">
        <f t="shared" si="125"/>
        <v>42140</v>
      </c>
      <c r="B7442" s="111">
        <f t="shared" si="126"/>
        <v>52</v>
      </c>
      <c r="C7442" s="111"/>
      <c r="D7442" s="111">
        <f t="shared" si="127"/>
        <v>136</v>
      </c>
      <c r="E7442" s="111"/>
    </row>
    <row r="7443" spans="1:5" x14ac:dyDescent="0.2">
      <c r="A7443" s="112">
        <f t="shared" si="125"/>
        <v>42141</v>
      </c>
      <c r="B7443" s="111">
        <f t="shared" si="126"/>
        <v>53</v>
      </c>
      <c r="C7443" s="111"/>
      <c r="D7443" s="111">
        <f t="shared" si="127"/>
        <v>137</v>
      </c>
      <c r="E7443" s="111"/>
    </row>
    <row r="7444" spans="1:5" x14ac:dyDescent="0.2">
      <c r="A7444" s="112">
        <f t="shared" si="125"/>
        <v>42142</v>
      </c>
      <c r="B7444" s="111">
        <f t="shared" si="126"/>
        <v>53</v>
      </c>
      <c r="C7444" s="111"/>
      <c r="D7444" s="111">
        <f t="shared" si="127"/>
        <v>138</v>
      </c>
      <c r="E7444" s="111"/>
    </row>
    <row r="7445" spans="1:5" x14ac:dyDescent="0.2">
      <c r="A7445" s="112">
        <f t="shared" si="125"/>
        <v>42143</v>
      </c>
      <c r="B7445" s="111">
        <f t="shared" si="126"/>
        <v>53</v>
      </c>
      <c r="C7445" s="111"/>
      <c r="D7445" s="111">
        <f t="shared" si="127"/>
        <v>139</v>
      </c>
      <c r="E7445" s="111"/>
    </row>
    <row r="7446" spans="1:5" x14ac:dyDescent="0.2">
      <c r="A7446" s="112">
        <f t="shared" si="125"/>
        <v>42144</v>
      </c>
      <c r="B7446" s="111">
        <f t="shared" si="126"/>
        <v>53</v>
      </c>
      <c r="C7446" s="111"/>
      <c r="D7446" s="111">
        <f t="shared" si="127"/>
        <v>140</v>
      </c>
      <c r="E7446" s="111"/>
    </row>
    <row r="7447" spans="1:5" x14ac:dyDescent="0.2">
      <c r="A7447" s="112">
        <f t="shared" si="125"/>
        <v>42145</v>
      </c>
      <c r="B7447" s="111">
        <f t="shared" si="126"/>
        <v>53</v>
      </c>
      <c r="C7447" s="111"/>
      <c r="D7447" s="111">
        <f t="shared" si="127"/>
        <v>141</v>
      </c>
      <c r="E7447" s="111"/>
    </row>
    <row r="7448" spans="1:5" x14ac:dyDescent="0.2">
      <c r="A7448" s="112">
        <f t="shared" si="125"/>
        <v>42146</v>
      </c>
      <c r="B7448" s="111">
        <f t="shared" si="126"/>
        <v>53</v>
      </c>
      <c r="C7448" s="111"/>
      <c r="D7448" s="111">
        <f t="shared" si="127"/>
        <v>142</v>
      </c>
      <c r="E7448" s="111"/>
    </row>
    <row r="7449" spans="1:5" x14ac:dyDescent="0.2">
      <c r="A7449" s="112">
        <f t="shared" si="125"/>
        <v>42147</v>
      </c>
      <c r="B7449" s="111">
        <f t="shared" si="126"/>
        <v>53</v>
      </c>
      <c r="C7449" s="111"/>
      <c r="D7449" s="111">
        <f t="shared" si="127"/>
        <v>143</v>
      </c>
      <c r="E7449" s="111"/>
    </row>
    <row r="7450" spans="1:5" x14ac:dyDescent="0.2">
      <c r="A7450" s="112">
        <f t="shared" si="125"/>
        <v>42148</v>
      </c>
      <c r="B7450" s="111">
        <f t="shared" si="126"/>
        <v>54</v>
      </c>
      <c r="C7450" s="111"/>
      <c r="D7450" s="111">
        <f t="shared" si="127"/>
        <v>144</v>
      </c>
      <c r="E7450" s="111"/>
    </row>
    <row r="7451" spans="1:5" x14ac:dyDescent="0.2">
      <c r="A7451" s="112">
        <f t="shared" si="125"/>
        <v>42149</v>
      </c>
      <c r="B7451" s="111">
        <f t="shared" si="126"/>
        <v>54</v>
      </c>
      <c r="C7451" s="111"/>
      <c r="D7451" s="111">
        <f t="shared" si="127"/>
        <v>145</v>
      </c>
      <c r="E7451" s="111"/>
    </row>
    <row r="7452" spans="1:5" x14ac:dyDescent="0.2">
      <c r="A7452" s="112">
        <f t="shared" si="125"/>
        <v>42150</v>
      </c>
      <c r="B7452" s="111">
        <f t="shared" si="126"/>
        <v>54</v>
      </c>
      <c r="C7452" s="111"/>
      <c r="D7452" s="111">
        <f t="shared" si="127"/>
        <v>146</v>
      </c>
      <c r="E7452" s="111"/>
    </row>
    <row r="7453" spans="1:5" x14ac:dyDescent="0.2">
      <c r="A7453" s="112">
        <f t="shared" si="125"/>
        <v>42151</v>
      </c>
      <c r="B7453" s="111">
        <f t="shared" si="126"/>
        <v>54</v>
      </c>
      <c r="C7453" s="111"/>
      <c r="D7453" s="111">
        <f t="shared" si="127"/>
        <v>147</v>
      </c>
      <c r="E7453" s="111"/>
    </row>
    <row r="7454" spans="1:5" x14ac:dyDescent="0.2">
      <c r="A7454" s="112">
        <f t="shared" si="125"/>
        <v>42152</v>
      </c>
      <c r="B7454" s="111">
        <f t="shared" si="126"/>
        <v>54</v>
      </c>
      <c r="C7454" s="111"/>
      <c r="D7454" s="111">
        <f t="shared" si="127"/>
        <v>148</v>
      </c>
      <c r="E7454" s="111"/>
    </row>
    <row r="7455" spans="1:5" x14ac:dyDescent="0.2">
      <c r="A7455" s="112">
        <f t="shared" ref="A7455:A7518" si="128">A7454+1</f>
        <v>42153</v>
      </c>
      <c r="B7455" s="111">
        <f t="shared" si="126"/>
        <v>54</v>
      </c>
      <c r="C7455" s="111"/>
      <c r="D7455" s="111">
        <f t="shared" si="127"/>
        <v>149</v>
      </c>
      <c r="E7455" s="111"/>
    </row>
    <row r="7456" spans="1:5" x14ac:dyDescent="0.2">
      <c r="A7456" s="112">
        <f t="shared" si="128"/>
        <v>42154</v>
      </c>
      <c r="B7456" s="111">
        <f t="shared" si="126"/>
        <v>54</v>
      </c>
      <c r="C7456" s="111"/>
      <c r="D7456" s="111">
        <f t="shared" si="127"/>
        <v>150</v>
      </c>
      <c r="E7456" s="111"/>
    </row>
    <row r="7457" spans="1:5" x14ac:dyDescent="0.2">
      <c r="A7457" s="112">
        <f t="shared" si="128"/>
        <v>42155</v>
      </c>
      <c r="B7457" s="111">
        <f t="shared" si="126"/>
        <v>61</v>
      </c>
      <c r="C7457" s="111"/>
      <c r="D7457" s="111">
        <f t="shared" si="127"/>
        <v>151</v>
      </c>
      <c r="E7457" s="111"/>
    </row>
    <row r="7458" spans="1:5" x14ac:dyDescent="0.2">
      <c r="A7458" s="112">
        <f t="shared" si="128"/>
        <v>42156</v>
      </c>
      <c r="B7458" s="111">
        <f t="shared" si="126"/>
        <v>61</v>
      </c>
      <c r="C7458" s="111"/>
      <c r="D7458" s="111">
        <f t="shared" si="127"/>
        <v>152</v>
      </c>
      <c r="E7458" s="111"/>
    </row>
    <row r="7459" spans="1:5" x14ac:dyDescent="0.2">
      <c r="A7459" s="112">
        <f t="shared" si="128"/>
        <v>42157</v>
      </c>
      <c r="B7459" s="111">
        <f t="shared" si="126"/>
        <v>61</v>
      </c>
      <c r="C7459" s="111"/>
      <c r="D7459" s="111">
        <f t="shared" si="127"/>
        <v>153</v>
      </c>
      <c r="E7459" s="111"/>
    </row>
    <row r="7460" spans="1:5" x14ac:dyDescent="0.2">
      <c r="A7460" s="112">
        <f t="shared" si="128"/>
        <v>42158</v>
      </c>
      <c r="B7460" s="111">
        <f t="shared" si="126"/>
        <v>61</v>
      </c>
      <c r="C7460" s="111"/>
      <c r="D7460" s="111">
        <f t="shared" si="127"/>
        <v>154</v>
      </c>
      <c r="E7460" s="111"/>
    </row>
    <row r="7461" spans="1:5" x14ac:dyDescent="0.2">
      <c r="A7461" s="112">
        <f t="shared" si="128"/>
        <v>42159</v>
      </c>
      <c r="B7461" s="111">
        <f t="shared" si="126"/>
        <v>61</v>
      </c>
      <c r="C7461" s="111"/>
      <c r="D7461" s="111">
        <f t="shared" si="127"/>
        <v>155</v>
      </c>
      <c r="E7461" s="111"/>
    </row>
    <row r="7462" spans="1:5" x14ac:dyDescent="0.2">
      <c r="A7462" s="112">
        <f t="shared" si="128"/>
        <v>42160</v>
      </c>
      <c r="B7462" s="111">
        <f t="shared" si="126"/>
        <v>61</v>
      </c>
      <c r="C7462" s="111"/>
      <c r="D7462" s="111">
        <f t="shared" si="127"/>
        <v>156</v>
      </c>
      <c r="E7462" s="111"/>
    </row>
    <row r="7463" spans="1:5" x14ac:dyDescent="0.2">
      <c r="A7463" s="112">
        <f t="shared" si="128"/>
        <v>42161</v>
      </c>
      <c r="B7463" s="111">
        <f t="shared" si="126"/>
        <v>61</v>
      </c>
      <c r="C7463" s="111"/>
      <c r="D7463" s="111">
        <f t="shared" si="127"/>
        <v>157</v>
      </c>
      <c r="E7463" s="111"/>
    </row>
    <row r="7464" spans="1:5" x14ac:dyDescent="0.2">
      <c r="A7464" s="112">
        <f t="shared" si="128"/>
        <v>42162</v>
      </c>
      <c r="B7464" s="111">
        <f t="shared" si="126"/>
        <v>62</v>
      </c>
      <c r="C7464" s="111"/>
      <c r="D7464" s="111">
        <f t="shared" si="127"/>
        <v>158</v>
      </c>
      <c r="E7464" s="111"/>
    </row>
    <row r="7465" spans="1:5" x14ac:dyDescent="0.2">
      <c r="A7465" s="112">
        <f t="shared" si="128"/>
        <v>42163</v>
      </c>
      <c r="B7465" s="111">
        <f t="shared" si="126"/>
        <v>62</v>
      </c>
      <c r="C7465" s="111"/>
      <c r="D7465" s="111">
        <f t="shared" si="127"/>
        <v>159</v>
      </c>
      <c r="E7465" s="111"/>
    </row>
    <row r="7466" spans="1:5" x14ac:dyDescent="0.2">
      <c r="A7466" s="112">
        <f t="shared" si="128"/>
        <v>42164</v>
      </c>
      <c r="B7466" s="111">
        <f t="shared" si="126"/>
        <v>62</v>
      </c>
      <c r="C7466" s="111"/>
      <c r="D7466" s="111">
        <f t="shared" si="127"/>
        <v>160</v>
      </c>
      <c r="E7466" s="111"/>
    </row>
    <row r="7467" spans="1:5" x14ac:dyDescent="0.2">
      <c r="A7467" s="112">
        <f t="shared" si="128"/>
        <v>42165</v>
      </c>
      <c r="B7467" s="111">
        <f t="shared" si="126"/>
        <v>62</v>
      </c>
      <c r="C7467" s="111"/>
      <c r="D7467" s="111">
        <f t="shared" si="127"/>
        <v>161</v>
      </c>
      <c r="E7467" s="111"/>
    </row>
    <row r="7468" spans="1:5" x14ac:dyDescent="0.2">
      <c r="A7468" s="112">
        <f t="shared" si="128"/>
        <v>42166</v>
      </c>
      <c r="B7468" s="111">
        <f t="shared" si="126"/>
        <v>62</v>
      </c>
      <c r="C7468" s="111"/>
      <c r="D7468" s="111">
        <f t="shared" si="127"/>
        <v>162</v>
      </c>
      <c r="E7468" s="111"/>
    </row>
    <row r="7469" spans="1:5" x14ac:dyDescent="0.2">
      <c r="A7469" s="112">
        <f t="shared" si="128"/>
        <v>42167</v>
      </c>
      <c r="B7469" s="111">
        <f t="shared" si="126"/>
        <v>62</v>
      </c>
      <c r="C7469" s="111"/>
      <c r="D7469" s="111">
        <f t="shared" si="127"/>
        <v>163</v>
      </c>
      <c r="E7469" s="111"/>
    </row>
    <row r="7470" spans="1:5" x14ac:dyDescent="0.2">
      <c r="A7470" s="112">
        <f t="shared" si="128"/>
        <v>42168</v>
      </c>
      <c r="B7470" s="111">
        <f t="shared" si="126"/>
        <v>62</v>
      </c>
      <c r="C7470" s="111"/>
      <c r="D7470" s="111">
        <f t="shared" si="127"/>
        <v>164</v>
      </c>
      <c r="E7470" s="111"/>
    </row>
    <row r="7471" spans="1:5" x14ac:dyDescent="0.2">
      <c r="A7471" s="112">
        <f t="shared" si="128"/>
        <v>42169</v>
      </c>
      <c r="B7471" s="111">
        <f t="shared" si="126"/>
        <v>63</v>
      </c>
      <c r="C7471" s="111"/>
      <c r="D7471" s="111">
        <f t="shared" si="127"/>
        <v>165</v>
      </c>
      <c r="E7471" s="111"/>
    </row>
    <row r="7472" spans="1:5" x14ac:dyDescent="0.2">
      <c r="A7472" s="112">
        <f t="shared" si="128"/>
        <v>42170</v>
      </c>
      <c r="B7472" s="111">
        <f t="shared" si="126"/>
        <v>63</v>
      </c>
      <c r="C7472" s="111"/>
      <c r="D7472" s="111">
        <f t="shared" si="127"/>
        <v>166</v>
      </c>
      <c r="E7472" s="111"/>
    </row>
    <row r="7473" spans="1:5" x14ac:dyDescent="0.2">
      <c r="A7473" s="112">
        <f t="shared" si="128"/>
        <v>42171</v>
      </c>
      <c r="B7473" s="111">
        <f t="shared" si="126"/>
        <v>63</v>
      </c>
      <c r="C7473" s="111"/>
      <c r="D7473" s="111">
        <f t="shared" si="127"/>
        <v>167</v>
      </c>
      <c r="E7473" s="111"/>
    </row>
    <row r="7474" spans="1:5" x14ac:dyDescent="0.2">
      <c r="A7474" s="112">
        <f t="shared" si="128"/>
        <v>42172</v>
      </c>
      <c r="B7474" s="111">
        <f t="shared" si="126"/>
        <v>63</v>
      </c>
      <c r="C7474" s="111"/>
      <c r="D7474" s="111">
        <f t="shared" si="127"/>
        <v>168</v>
      </c>
      <c r="E7474" s="111"/>
    </row>
    <row r="7475" spans="1:5" x14ac:dyDescent="0.2">
      <c r="A7475" s="112">
        <f t="shared" si="128"/>
        <v>42173</v>
      </c>
      <c r="B7475" s="111">
        <f t="shared" si="126"/>
        <v>63</v>
      </c>
      <c r="C7475" s="111"/>
      <c r="D7475" s="111">
        <f t="shared" si="127"/>
        <v>169</v>
      </c>
      <c r="E7475" s="111"/>
    </row>
    <row r="7476" spans="1:5" x14ac:dyDescent="0.2">
      <c r="A7476" s="112">
        <f t="shared" si="128"/>
        <v>42174</v>
      </c>
      <c r="B7476" s="111">
        <f t="shared" si="126"/>
        <v>63</v>
      </c>
      <c r="C7476" s="111"/>
      <c r="D7476" s="111">
        <f t="shared" si="127"/>
        <v>170</v>
      </c>
      <c r="E7476" s="111"/>
    </row>
    <row r="7477" spans="1:5" x14ac:dyDescent="0.2">
      <c r="A7477" s="112">
        <f t="shared" si="128"/>
        <v>42175</v>
      </c>
      <c r="B7477" s="111">
        <f t="shared" si="126"/>
        <v>63</v>
      </c>
      <c r="C7477" s="111"/>
      <c r="D7477" s="111">
        <f t="shared" si="127"/>
        <v>171</v>
      </c>
      <c r="E7477" s="111"/>
    </row>
    <row r="7478" spans="1:5" x14ac:dyDescent="0.2">
      <c r="A7478" s="112">
        <f t="shared" si="128"/>
        <v>42176</v>
      </c>
      <c r="B7478" s="111">
        <f t="shared" si="126"/>
        <v>64</v>
      </c>
      <c r="C7478" s="111"/>
      <c r="D7478" s="111">
        <f t="shared" si="127"/>
        <v>172</v>
      </c>
      <c r="E7478" s="111"/>
    </row>
    <row r="7479" spans="1:5" x14ac:dyDescent="0.2">
      <c r="A7479" s="112">
        <f t="shared" si="128"/>
        <v>42177</v>
      </c>
      <c r="B7479" s="111">
        <f t="shared" si="126"/>
        <v>64</v>
      </c>
      <c r="C7479" s="111"/>
      <c r="D7479" s="111">
        <f t="shared" si="127"/>
        <v>173</v>
      </c>
      <c r="E7479" s="111"/>
    </row>
    <row r="7480" spans="1:5" x14ac:dyDescent="0.2">
      <c r="A7480" s="112">
        <f t="shared" si="128"/>
        <v>42178</v>
      </c>
      <c r="B7480" s="111">
        <f t="shared" si="126"/>
        <v>64</v>
      </c>
      <c r="C7480" s="111"/>
      <c r="D7480" s="111">
        <f t="shared" si="127"/>
        <v>174</v>
      </c>
      <c r="E7480" s="111"/>
    </row>
    <row r="7481" spans="1:5" x14ac:dyDescent="0.2">
      <c r="A7481" s="112">
        <f t="shared" si="128"/>
        <v>42179</v>
      </c>
      <c r="B7481" s="111">
        <f t="shared" si="126"/>
        <v>64</v>
      </c>
      <c r="C7481" s="111"/>
      <c r="D7481" s="111">
        <f t="shared" si="127"/>
        <v>175</v>
      </c>
      <c r="E7481" s="111"/>
    </row>
    <row r="7482" spans="1:5" x14ac:dyDescent="0.2">
      <c r="A7482" s="112">
        <f t="shared" si="128"/>
        <v>42180</v>
      </c>
      <c r="B7482" s="111">
        <f t="shared" si="126"/>
        <v>64</v>
      </c>
      <c r="C7482" s="111"/>
      <c r="D7482" s="111">
        <f t="shared" si="127"/>
        <v>176</v>
      </c>
      <c r="E7482" s="111"/>
    </row>
    <row r="7483" spans="1:5" x14ac:dyDescent="0.2">
      <c r="A7483" s="112">
        <f t="shared" si="128"/>
        <v>42181</v>
      </c>
      <c r="B7483" s="111">
        <f t="shared" si="126"/>
        <v>64</v>
      </c>
      <c r="C7483" s="111"/>
      <c r="D7483" s="111">
        <f t="shared" si="127"/>
        <v>177</v>
      </c>
      <c r="E7483" s="111"/>
    </row>
    <row r="7484" spans="1:5" x14ac:dyDescent="0.2">
      <c r="A7484" s="112">
        <f t="shared" si="128"/>
        <v>42182</v>
      </c>
      <c r="B7484" s="111">
        <f t="shared" si="126"/>
        <v>64</v>
      </c>
      <c r="C7484" s="111"/>
      <c r="D7484" s="111">
        <f t="shared" si="127"/>
        <v>178</v>
      </c>
      <c r="E7484" s="111"/>
    </row>
    <row r="7485" spans="1:5" x14ac:dyDescent="0.2">
      <c r="A7485" s="112">
        <f t="shared" si="128"/>
        <v>42183</v>
      </c>
      <c r="B7485" s="111">
        <f t="shared" si="126"/>
        <v>71</v>
      </c>
      <c r="C7485" s="111"/>
      <c r="D7485" s="111">
        <f t="shared" si="127"/>
        <v>179</v>
      </c>
      <c r="E7485" s="111"/>
    </row>
    <row r="7486" spans="1:5" x14ac:dyDescent="0.2">
      <c r="A7486" s="112">
        <f t="shared" si="128"/>
        <v>42184</v>
      </c>
      <c r="B7486" s="111">
        <f t="shared" si="126"/>
        <v>71</v>
      </c>
      <c r="C7486" s="111"/>
      <c r="D7486" s="111">
        <f t="shared" si="127"/>
        <v>180</v>
      </c>
      <c r="E7486" s="111"/>
    </row>
    <row r="7487" spans="1:5" x14ac:dyDescent="0.2">
      <c r="A7487" s="112">
        <f t="shared" si="128"/>
        <v>42185</v>
      </c>
      <c r="B7487" s="111">
        <f t="shared" si="126"/>
        <v>71</v>
      </c>
      <c r="C7487" s="111"/>
      <c r="D7487" s="111">
        <f t="shared" si="127"/>
        <v>181</v>
      </c>
      <c r="E7487" s="111"/>
    </row>
    <row r="7488" spans="1:5" x14ac:dyDescent="0.2">
      <c r="A7488" s="112">
        <f t="shared" si="128"/>
        <v>42186</v>
      </c>
      <c r="B7488" s="111">
        <f t="shared" si="126"/>
        <v>71</v>
      </c>
      <c r="C7488" s="111"/>
      <c r="D7488" s="111">
        <f t="shared" si="127"/>
        <v>182</v>
      </c>
      <c r="E7488" s="111"/>
    </row>
    <row r="7489" spans="1:5" x14ac:dyDescent="0.2">
      <c r="A7489" s="112">
        <f t="shared" si="128"/>
        <v>42187</v>
      </c>
      <c r="B7489" s="111">
        <f t="shared" si="126"/>
        <v>71</v>
      </c>
      <c r="C7489" s="111"/>
      <c r="D7489" s="111">
        <f t="shared" si="127"/>
        <v>183</v>
      </c>
      <c r="E7489" s="111"/>
    </row>
    <row r="7490" spans="1:5" x14ac:dyDescent="0.2">
      <c r="A7490" s="112">
        <f t="shared" si="128"/>
        <v>42188</v>
      </c>
      <c r="B7490" s="111">
        <f t="shared" ref="B7490:B7553" si="129">VLOOKUP(WEEKNUM(A7490),$D$3:$E$58,2)</f>
        <v>71</v>
      </c>
      <c r="C7490" s="111"/>
      <c r="D7490" s="111">
        <f t="shared" si="127"/>
        <v>184</v>
      </c>
      <c r="E7490" s="111"/>
    </row>
    <row r="7491" spans="1:5" x14ac:dyDescent="0.2">
      <c r="A7491" s="112">
        <f t="shared" si="128"/>
        <v>42189</v>
      </c>
      <c r="B7491" s="111">
        <f t="shared" si="129"/>
        <v>71</v>
      </c>
      <c r="C7491" s="111"/>
      <c r="D7491" s="111">
        <f t="shared" si="127"/>
        <v>185</v>
      </c>
      <c r="E7491" s="111"/>
    </row>
    <row r="7492" spans="1:5" x14ac:dyDescent="0.2">
      <c r="A7492" s="112">
        <f t="shared" si="128"/>
        <v>42190</v>
      </c>
      <c r="B7492" s="111">
        <f t="shared" si="129"/>
        <v>72</v>
      </c>
      <c r="C7492" s="111"/>
      <c r="D7492" s="111">
        <f t="shared" si="127"/>
        <v>186</v>
      </c>
      <c r="E7492" s="111"/>
    </row>
    <row r="7493" spans="1:5" x14ac:dyDescent="0.2">
      <c r="A7493" s="112">
        <f t="shared" si="128"/>
        <v>42191</v>
      </c>
      <c r="B7493" s="111">
        <f t="shared" si="129"/>
        <v>72</v>
      </c>
      <c r="C7493" s="111"/>
      <c r="D7493" s="111">
        <f t="shared" si="127"/>
        <v>187</v>
      </c>
      <c r="E7493" s="111"/>
    </row>
    <row r="7494" spans="1:5" x14ac:dyDescent="0.2">
      <c r="A7494" s="112">
        <f t="shared" si="128"/>
        <v>42192</v>
      </c>
      <c r="B7494" s="111">
        <f t="shared" si="129"/>
        <v>72</v>
      </c>
      <c r="C7494" s="111"/>
      <c r="D7494" s="111">
        <f t="shared" si="127"/>
        <v>188</v>
      </c>
      <c r="E7494" s="111"/>
    </row>
    <row r="7495" spans="1:5" x14ac:dyDescent="0.2">
      <c r="A7495" s="112">
        <f t="shared" si="128"/>
        <v>42193</v>
      </c>
      <c r="B7495" s="111">
        <f t="shared" si="129"/>
        <v>72</v>
      </c>
      <c r="C7495" s="111"/>
      <c r="D7495" s="111">
        <f t="shared" si="127"/>
        <v>189</v>
      </c>
      <c r="E7495" s="111"/>
    </row>
    <row r="7496" spans="1:5" x14ac:dyDescent="0.2">
      <c r="A7496" s="112">
        <f t="shared" si="128"/>
        <v>42194</v>
      </c>
      <c r="B7496" s="111">
        <f t="shared" si="129"/>
        <v>72</v>
      </c>
      <c r="C7496" s="111"/>
      <c r="D7496" s="111">
        <f t="shared" si="127"/>
        <v>190</v>
      </c>
      <c r="E7496" s="111"/>
    </row>
    <row r="7497" spans="1:5" x14ac:dyDescent="0.2">
      <c r="A7497" s="112">
        <f t="shared" si="128"/>
        <v>42195</v>
      </c>
      <c r="B7497" s="111">
        <f t="shared" si="129"/>
        <v>72</v>
      </c>
      <c r="C7497" s="111"/>
      <c r="D7497" s="111">
        <f t="shared" si="127"/>
        <v>191</v>
      </c>
      <c r="E7497" s="111"/>
    </row>
    <row r="7498" spans="1:5" x14ac:dyDescent="0.2">
      <c r="A7498" s="112">
        <f t="shared" si="128"/>
        <v>42196</v>
      </c>
      <c r="B7498" s="111">
        <f t="shared" si="129"/>
        <v>72</v>
      </c>
      <c r="C7498" s="111"/>
      <c r="D7498" s="111">
        <f t="shared" si="127"/>
        <v>192</v>
      </c>
      <c r="E7498" s="111"/>
    </row>
    <row r="7499" spans="1:5" x14ac:dyDescent="0.2">
      <c r="A7499" s="112">
        <f t="shared" si="128"/>
        <v>42197</v>
      </c>
      <c r="B7499" s="111">
        <f t="shared" si="129"/>
        <v>73</v>
      </c>
      <c r="C7499" s="111"/>
      <c r="D7499" s="111">
        <f t="shared" si="127"/>
        <v>193</v>
      </c>
      <c r="E7499" s="111"/>
    </row>
    <row r="7500" spans="1:5" x14ac:dyDescent="0.2">
      <c r="A7500" s="112">
        <f t="shared" si="128"/>
        <v>42198</v>
      </c>
      <c r="B7500" s="111">
        <f t="shared" si="129"/>
        <v>73</v>
      </c>
      <c r="C7500" s="111"/>
      <c r="D7500" s="111">
        <f t="shared" ref="D7500:D7563" si="130">D7499+1</f>
        <v>194</v>
      </c>
      <c r="E7500" s="111"/>
    </row>
    <row r="7501" spans="1:5" x14ac:dyDescent="0.2">
      <c r="A7501" s="112">
        <f t="shared" si="128"/>
        <v>42199</v>
      </c>
      <c r="B7501" s="111">
        <f t="shared" si="129"/>
        <v>73</v>
      </c>
      <c r="C7501" s="111"/>
      <c r="D7501" s="111">
        <f t="shared" si="130"/>
        <v>195</v>
      </c>
      <c r="E7501" s="111"/>
    </row>
    <row r="7502" spans="1:5" x14ac:dyDescent="0.2">
      <c r="A7502" s="112">
        <f t="shared" si="128"/>
        <v>42200</v>
      </c>
      <c r="B7502" s="111">
        <f t="shared" si="129"/>
        <v>73</v>
      </c>
      <c r="C7502" s="111"/>
      <c r="D7502" s="111">
        <f t="shared" si="130"/>
        <v>196</v>
      </c>
      <c r="E7502" s="111"/>
    </row>
    <row r="7503" spans="1:5" x14ac:dyDescent="0.2">
      <c r="A7503" s="112">
        <f t="shared" si="128"/>
        <v>42201</v>
      </c>
      <c r="B7503" s="111">
        <f t="shared" si="129"/>
        <v>73</v>
      </c>
      <c r="C7503" s="111"/>
      <c r="D7503" s="111">
        <f t="shared" si="130"/>
        <v>197</v>
      </c>
      <c r="E7503" s="111"/>
    </row>
    <row r="7504" spans="1:5" x14ac:dyDescent="0.2">
      <c r="A7504" s="112">
        <f t="shared" si="128"/>
        <v>42202</v>
      </c>
      <c r="B7504" s="111">
        <f t="shared" si="129"/>
        <v>73</v>
      </c>
      <c r="C7504" s="111"/>
      <c r="D7504" s="111">
        <f t="shared" si="130"/>
        <v>198</v>
      </c>
      <c r="E7504" s="111"/>
    </row>
    <row r="7505" spans="1:5" x14ac:dyDescent="0.2">
      <c r="A7505" s="112">
        <f t="shared" si="128"/>
        <v>42203</v>
      </c>
      <c r="B7505" s="111">
        <f t="shared" si="129"/>
        <v>73</v>
      </c>
      <c r="C7505" s="111"/>
      <c r="D7505" s="111">
        <f t="shared" si="130"/>
        <v>199</v>
      </c>
      <c r="E7505" s="111"/>
    </row>
    <row r="7506" spans="1:5" x14ac:dyDescent="0.2">
      <c r="A7506" s="112">
        <f t="shared" si="128"/>
        <v>42204</v>
      </c>
      <c r="B7506" s="111">
        <f t="shared" si="129"/>
        <v>74</v>
      </c>
      <c r="C7506" s="111"/>
      <c r="D7506" s="111">
        <f t="shared" si="130"/>
        <v>200</v>
      </c>
      <c r="E7506" s="111"/>
    </row>
    <row r="7507" spans="1:5" x14ac:dyDescent="0.2">
      <c r="A7507" s="112">
        <f t="shared" si="128"/>
        <v>42205</v>
      </c>
      <c r="B7507" s="111">
        <f t="shared" si="129"/>
        <v>74</v>
      </c>
      <c r="C7507" s="111"/>
      <c r="D7507" s="111">
        <f t="shared" si="130"/>
        <v>201</v>
      </c>
      <c r="E7507" s="111"/>
    </row>
    <row r="7508" spans="1:5" x14ac:dyDescent="0.2">
      <c r="A7508" s="112">
        <f t="shared" si="128"/>
        <v>42206</v>
      </c>
      <c r="B7508" s="111">
        <f t="shared" si="129"/>
        <v>74</v>
      </c>
      <c r="C7508" s="111"/>
      <c r="D7508" s="111">
        <f t="shared" si="130"/>
        <v>202</v>
      </c>
      <c r="E7508" s="111"/>
    </row>
    <row r="7509" spans="1:5" x14ac:dyDescent="0.2">
      <c r="A7509" s="112">
        <f t="shared" si="128"/>
        <v>42207</v>
      </c>
      <c r="B7509" s="111">
        <f t="shared" si="129"/>
        <v>74</v>
      </c>
      <c r="C7509" s="111"/>
      <c r="D7509" s="111">
        <f t="shared" si="130"/>
        <v>203</v>
      </c>
      <c r="E7509" s="111"/>
    </row>
    <row r="7510" spans="1:5" x14ac:dyDescent="0.2">
      <c r="A7510" s="112">
        <f t="shared" si="128"/>
        <v>42208</v>
      </c>
      <c r="B7510" s="111">
        <f t="shared" si="129"/>
        <v>74</v>
      </c>
      <c r="C7510" s="111"/>
      <c r="D7510" s="111">
        <f t="shared" si="130"/>
        <v>204</v>
      </c>
      <c r="E7510" s="111"/>
    </row>
    <row r="7511" spans="1:5" x14ac:dyDescent="0.2">
      <c r="A7511" s="112">
        <f t="shared" si="128"/>
        <v>42209</v>
      </c>
      <c r="B7511" s="111">
        <f t="shared" si="129"/>
        <v>74</v>
      </c>
      <c r="C7511" s="111"/>
      <c r="D7511" s="111">
        <f t="shared" si="130"/>
        <v>205</v>
      </c>
      <c r="E7511" s="111"/>
    </row>
    <row r="7512" spans="1:5" x14ac:dyDescent="0.2">
      <c r="A7512" s="112">
        <f t="shared" si="128"/>
        <v>42210</v>
      </c>
      <c r="B7512" s="111">
        <f t="shared" si="129"/>
        <v>74</v>
      </c>
      <c r="C7512" s="111"/>
      <c r="D7512" s="111">
        <f t="shared" si="130"/>
        <v>206</v>
      </c>
      <c r="E7512" s="111"/>
    </row>
    <row r="7513" spans="1:5" x14ac:dyDescent="0.2">
      <c r="A7513" s="112">
        <f t="shared" si="128"/>
        <v>42211</v>
      </c>
      <c r="B7513" s="111">
        <f t="shared" si="129"/>
        <v>75</v>
      </c>
      <c r="C7513" s="111"/>
      <c r="D7513" s="111">
        <f t="shared" si="130"/>
        <v>207</v>
      </c>
      <c r="E7513" s="111"/>
    </row>
    <row r="7514" spans="1:5" x14ac:dyDescent="0.2">
      <c r="A7514" s="112">
        <f t="shared" si="128"/>
        <v>42212</v>
      </c>
      <c r="B7514" s="111">
        <f t="shared" si="129"/>
        <v>75</v>
      </c>
      <c r="C7514" s="111"/>
      <c r="D7514" s="111">
        <f t="shared" si="130"/>
        <v>208</v>
      </c>
      <c r="E7514" s="111"/>
    </row>
    <row r="7515" spans="1:5" x14ac:dyDescent="0.2">
      <c r="A7515" s="112">
        <f t="shared" si="128"/>
        <v>42213</v>
      </c>
      <c r="B7515" s="111">
        <f t="shared" si="129"/>
        <v>75</v>
      </c>
      <c r="C7515" s="111"/>
      <c r="D7515" s="111">
        <f t="shared" si="130"/>
        <v>209</v>
      </c>
      <c r="E7515" s="111"/>
    </row>
    <row r="7516" spans="1:5" x14ac:dyDescent="0.2">
      <c r="A7516" s="112">
        <f t="shared" si="128"/>
        <v>42214</v>
      </c>
      <c r="B7516" s="111">
        <f t="shared" si="129"/>
        <v>75</v>
      </c>
      <c r="C7516" s="111"/>
      <c r="D7516" s="111">
        <f t="shared" si="130"/>
        <v>210</v>
      </c>
      <c r="E7516" s="111"/>
    </row>
    <row r="7517" spans="1:5" x14ac:dyDescent="0.2">
      <c r="A7517" s="112">
        <f t="shared" si="128"/>
        <v>42215</v>
      </c>
      <c r="B7517" s="111">
        <f t="shared" si="129"/>
        <v>75</v>
      </c>
      <c r="C7517" s="111"/>
      <c r="D7517" s="111">
        <f t="shared" si="130"/>
        <v>211</v>
      </c>
      <c r="E7517" s="111"/>
    </row>
    <row r="7518" spans="1:5" x14ac:dyDescent="0.2">
      <c r="A7518" s="112">
        <f t="shared" si="128"/>
        <v>42216</v>
      </c>
      <c r="B7518" s="111">
        <f t="shared" si="129"/>
        <v>75</v>
      </c>
      <c r="C7518" s="111"/>
      <c r="D7518" s="111">
        <f t="shared" si="130"/>
        <v>212</v>
      </c>
      <c r="E7518" s="111"/>
    </row>
    <row r="7519" spans="1:5" x14ac:dyDescent="0.2">
      <c r="A7519" s="112">
        <f t="shared" ref="A7519:A7582" si="131">A7518+1</f>
        <v>42217</v>
      </c>
      <c r="B7519" s="111">
        <f t="shared" si="129"/>
        <v>75</v>
      </c>
      <c r="C7519" s="111"/>
      <c r="D7519" s="111">
        <f t="shared" si="130"/>
        <v>213</v>
      </c>
      <c r="E7519" s="111"/>
    </row>
    <row r="7520" spans="1:5" x14ac:dyDescent="0.2">
      <c r="A7520" s="112">
        <f t="shared" si="131"/>
        <v>42218</v>
      </c>
      <c r="B7520" s="111">
        <f t="shared" si="129"/>
        <v>81</v>
      </c>
      <c r="C7520" s="111"/>
      <c r="D7520" s="111">
        <f t="shared" si="130"/>
        <v>214</v>
      </c>
      <c r="E7520" s="111"/>
    </row>
    <row r="7521" spans="1:5" x14ac:dyDescent="0.2">
      <c r="A7521" s="112">
        <f t="shared" si="131"/>
        <v>42219</v>
      </c>
      <c r="B7521" s="111">
        <f t="shared" si="129"/>
        <v>81</v>
      </c>
      <c r="C7521" s="111"/>
      <c r="D7521" s="111">
        <f t="shared" si="130"/>
        <v>215</v>
      </c>
      <c r="E7521" s="111"/>
    </row>
    <row r="7522" spans="1:5" x14ac:dyDescent="0.2">
      <c r="A7522" s="112">
        <f t="shared" si="131"/>
        <v>42220</v>
      </c>
      <c r="B7522" s="111">
        <f t="shared" si="129"/>
        <v>81</v>
      </c>
      <c r="C7522" s="111"/>
      <c r="D7522" s="111">
        <f t="shared" si="130"/>
        <v>216</v>
      </c>
      <c r="E7522" s="111"/>
    </row>
    <row r="7523" spans="1:5" x14ac:dyDescent="0.2">
      <c r="A7523" s="112">
        <f t="shared" si="131"/>
        <v>42221</v>
      </c>
      <c r="B7523" s="111">
        <f t="shared" si="129"/>
        <v>81</v>
      </c>
      <c r="C7523" s="111"/>
      <c r="D7523" s="111">
        <f t="shared" si="130"/>
        <v>217</v>
      </c>
      <c r="E7523" s="111"/>
    </row>
    <row r="7524" spans="1:5" x14ac:dyDescent="0.2">
      <c r="A7524" s="112">
        <f t="shared" si="131"/>
        <v>42222</v>
      </c>
      <c r="B7524" s="111">
        <f t="shared" si="129"/>
        <v>81</v>
      </c>
      <c r="C7524" s="111"/>
      <c r="D7524" s="111">
        <f t="shared" si="130"/>
        <v>218</v>
      </c>
      <c r="E7524" s="111"/>
    </row>
    <row r="7525" spans="1:5" x14ac:dyDescent="0.2">
      <c r="A7525" s="112">
        <f t="shared" si="131"/>
        <v>42223</v>
      </c>
      <c r="B7525" s="111">
        <f t="shared" si="129"/>
        <v>81</v>
      </c>
      <c r="C7525" s="111"/>
      <c r="D7525" s="111">
        <f t="shared" si="130"/>
        <v>219</v>
      </c>
      <c r="E7525" s="111"/>
    </row>
    <row r="7526" spans="1:5" x14ac:dyDescent="0.2">
      <c r="A7526" s="112">
        <f t="shared" si="131"/>
        <v>42224</v>
      </c>
      <c r="B7526" s="111">
        <f t="shared" si="129"/>
        <v>81</v>
      </c>
      <c r="C7526" s="111"/>
      <c r="D7526" s="111">
        <f t="shared" si="130"/>
        <v>220</v>
      </c>
      <c r="E7526" s="111"/>
    </row>
    <row r="7527" spans="1:5" x14ac:dyDescent="0.2">
      <c r="A7527" s="112">
        <f t="shared" si="131"/>
        <v>42225</v>
      </c>
      <c r="B7527" s="111">
        <f t="shared" si="129"/>
        <v>82</v>
      </c>
      <c r="C7527" s="111"/>
      <c r="D7527" s="111">
        <f t="shared" si="130"/>
        <v>221</v>
      </c>
      <c r="E7527" s="111"/>
    </row>
    <row r="7528" spans="1:5" x14ac:dyDescent="0.2">
      <c r="A7528" s="112">
        <f t="shared" si="131"/>
        <v>42226</v>
      </c>
      <c r="B7528" s="111">
        <f t="shared" si="129"/>
        <v>82</v>
      </c>
      <c r="C7528" s="111"/>
      <c r="D7528" s="111">
        <f t="shared" si="130"/>
        <v>222</v>
      </c>
      <c r="E7528" s="111"/>
    </row>
    <row r="7529" spans="1:5" x14ac:dyDescent="0.2">
      <c r="A7529" s="112">
        <f t="shared" si="131"/>
        <v>42227</v>
      </c>
      <c r="B7529" s="111">
        <f t="shared" si="129"/>
        <v>82</v>
      </c>
      <c r="C7529" s="111"/>
      <c r="D7529" s="111">
        <f t="shared" si="130"/>
        <v>223</v>
      </c>
      <c r="E7529" s="111"/>
    </row>
    <row r="7530" spans="1:5" x14ac:dyDescent="0.2">
      <c r="A7530" s="112">
        <f t="shared" si="131"/>
        <v>42228</v>
      </c>
      <c r="B7530" s="111">
        <f t="shared" si="129"/>
        <v>82</v>
      </c>
      <c r="C7530" s="111"/>
      <c r="D7530" s="111">
        <f t="shared" si="130"/>
        <v>224</v>
      </c>
      <c r="E7530" s="111"/>
    </row>
    <row r="7531" spans="1:5" x14ac:dyDescent="0.2">
      <c r="A7531" s="112">
        <f t="shared" si="131"/>
        <v>42229</v>
      </c>
      <c r="B7531" s="111">
        <f t="shared" si="129"/>
        <v>82</v>
      </c>
      <c r="C7531" s="111"/>
      <c r="D7531" s="111">
        <f t="shared" si="130"/>
        <v>225</v>
      </c>
      <c r="E7531" s="111"/>
    </row>
    <row r="7532" spans="1:5" x14ac:dyDescent="0.2">
      <c r="A7532" s="112">
        <f t="shared" si="131"/>
        <v>42230</v>
      </c>
      <c r="B7532" s="111">
        <f t="shared" si="129"/>
        <v>82</v>
      </c>
      <c r="C7532" s="111"/>
      <c r="D7532" s="111">
        <f t="shared" si="130"/>
        <v>226</v>
      </c>
      <c r="E7532" s="111"/>
    </row>
    <row r="7533" spans="1:5" x14ac:dyDescent="0.2">
      <c r="A7533" s="112">
        <f t="shared" si="131"/>
        <v>42231</v>
      </c>
      <c r="B7533" s="111">
        <f t="shared" si="129"/>
        <v>82</v>
      </c>
      <c r="C7533" s="111"/>
      <c r="D7533" s="111">
        <f t="shared" si="130"/>
        <v>227</v>
      </c>
      <c r="E7533" s="111"/>
    </row>
    <row r="7534" spans="1:5" x14ac:dyDescent="0.2">
      <c r="A7534" s="112">
        <f t="shared" si="131"/>
        <v>42232</v>
      </c>
      <c r="B7534" s="111">
        <f t="shared" si="129"/>
        <v>83</v>
      </c>
      <c r="C7534" s="111"/>
      <c r="D7534" s="111">
        <f t="shared" si="130"/>
        <v>228</v>
      </c>
      <c r="E7534" s="111"/>
    </row>
    <row r="7535" spans="1:5" x14ac:dyDescent="0.2">
      <c r="A7535" s="112">
        <f t="shared" si="131"/>
        <v>42233</v>
      </c>
      <c r="B7535" s="111">
        <f t="shared" si="129"/>
        <v>83</v>
      </c>
      <c r="C7535" s="111"/>
      <c r="D7535" s="111">
        <f t="shared" si="130"/>
        <v>229</v>
      </c>
      <c r="E7535" s="111"/>
    </row>
    <row r="7536" spans="1:5" x14ac:dyDescent="0.2">
      <c r="A7536" s="112">
        <f t="shared" si="131"/>
        <v>42234</v>
      </c>
      <c r="B7536" s="111">
        <f t="shared" si="129"/>
        <v>83</v>
      </c>
      <c r="C7536" s="111"/>
      <c r="D7536" s="111">
        <f t="shared" si="130"/>
        <v>230</v>
      </c>
      <c r="E7536" s="111"/>
    </row>
    <row r="7537" spans="1:5" x14ac:dyDescent="0.2">
      <c r="A7537" s="112">
        <f t="shared" si="131"/>
        <v>42235</v>
      </c>
      <c r="B7537" s="111">
        <f t="shared" si="129"/>
        <v>83</v>
      </c>
      <c r="C7537" s="111"/>
      <c r="D7537" s="111">
        <f t="shared" si="130"/>
        <v>231</v>
      </c>
      <c r="E7537" s="111"/>
    </row>
    <row r="7538" spans="1:5" x14ac:dyDescent="0.2">
      <c r="A7538" s="112">
        <f t="shared" si="131"/>
        <v>42236</v>
      </c>
      <c r="B7538" s="111">
        <f t="shared" si="129"/>
        <v>83</v>
      </c>
      <c r="C7538" s="111"/>
      <c r="D7538" s="111">
        <f t="shared" si="130"/>
        <v>232</v>
      </c>
      <c r="E7538" s="111"/>
    </row>
    <row r="7539" spans="1:5" x14ac:dyDescent="0.2">
      <c r="A7539" s="112">
        <f t="shared" si="131"/>
        <v>42237</v>
      </c>
      <c r="B7539" s="111">
        <f t="shared" si="129"/>
        <v>83</v>
      </c>
      <c r="C7539" s="111"/>
      <c r="D7539" s="111">
        <f t="shared" si="130"/>
        <v>233</v>
      </c>
      <c r="E7539" s="111"/>
    </row>
    <row r="7540" spans="1:5" x14ac:dyDescent="0.2">
      <c r="A7540" s="112">
        <f t="shared" si="131"/>
        <v>42238</v>
      </c>
      <c r="B7540" s="111">
        <f t="shared" si="129"/>
        <v>83</v>
      </c>
      <c r="C7540" s="111"/>
      <c r="D7540" s="111">
        <f t="shared" si="130"/>
        <v>234</v>
      </c>
      <c r="E7540" s="111"/>
    </row>
    <row r="7541" spans="1:5" x14ac:dyDescent="0.2">
      <c r="A7541" s="112">
        <f t="shared" si="131"/>
        <v>42239</v>
      </c>
      <c r="B7541" s="111">
        <f t="shared" si="129"/>
        <v>84</v>
      </c>
      <c r="C7541" s="111"/>
      <c r="D7541" s="111">
        <f t="shared" si="130"/>
        <v>235</v>
      </c>
      <c r="E7541" s="111"/>
    </row>
    <row r="7542" spans="1:5" x14ac:dyDescent="0.2">
      <c r="A7542" s="112">
        <f t="shared" si="131"/>
        <v>42240</v>
      </c>
      <c r="B7542" s="111">
        <f t="shared" si="129"/>
        <v>84</v>
      </c>
      <c r="C7542" s="111"/>
      <c r="D7542" s="111">
        <f t="shared" si="130"/>
        <v>236</v>
      </c>
      <c r="E7542" s="111"/>
    </row>
    <row r="7543" spans="1:5" x14ac:dyDescent="0.2">
      <c r="A7543" s="112">
        <f t="shared" si="131"/>
        <v>42241</v>
      </c>
      <c r="B7543" s="111">
        <f t="shared" si="129"/>
        <v>84</v>
      </c>
      <c r="C7543" s="111"/>
      <c r="D7543" s="111">
        <f t="shared" si="130"/>
        <v>237</v>
      </c>
      <c r="E7543" s="111"/>
    </row>
    <row r="7544" spans="1:5" x14ac:dyDescent="0.2">
      <c r="A7544" s="112">
        <f t="shared" si="131"/>
        <v>42242</v>
      </c>
      <c r="B7544" s="111">
        <f t="shared" si="129"/>
        <v>84</v>
      </c>
      <c r="C7544" s="111"/>
      <c r="D7544" s="111">
        <f t="shared" si="130"/>
        <v>238</v>
      </c>
      <c r="E7544" s="111"/>
    </row>
    <row r="7545" spans="1:5" x14ac:dyDescent="0.2">
      <c r="A7545" s="112">
        <f t="shared" si="131"/>
        <v>42243</v>
      </c>
      <c r="B7545" s="111">
        <f t="shared" si="129"/>
        <v>84</v>
      </c>
      <c r="C7545" s="111"/>
      <c r="D7545" s="111">
        <f t="shared" si="130"/>
        <v>239</v>
      </c>
      <c r="E7545" s="111"/>
    </row>
    <row r="7546" spans="1:5" x14ac:dyDescent="0.2">
      <c r="A7546" s="112">
        <f t="shared" si="131"/>
        <v>42244</v>
      </c>
      <c r="B7546" s="111">
        <f t="shared" si="129"/>
        <v>84</v>
      </c>
      <c r="C7546" s="111"/>
      <c r="D7546" s="111">
        <f t="shared" si="130"/>
        <v>240</v>
      </c>
      <c r="E7546" s="111"/>
    </row>
    <row r="7547" spans="1:5" x14ac:dyDescent="0.2">
      <c r="A7547" s="112">
        <f t="shared" si="131"/>
        <v>42245</v>
      </c>
      <c r="B7547" s="111">
        <f t="shared" si="129"/>
        <v>84</v>
      </c>
      <c r="C7547" s="111"/>
      <c r="D7547" s="111">
        <f t="shared" si="130"/>
        <v>241</v>
      </c>
      <c r="E7547" s="111"/>
    </row>
    <row r="7548" spans="1:5" x14ac:dyDescent="0.2">
      <c r="A7548" s="112">
        <f t="shared" si="131"/>
        <v>42246</v>
      </c>
      <c r="B7548" s="111">
        <f t="shared" si="129"/>
        <v>91</v>
      </c>
      <c r="C7548" s="111"/>
      <c r="D7548" s="111">
        <f t="shared" si="130"/>
        <v>242</v>
      </c>
      <c r="E7548" s="111"/>
    </row>
    <row r="7549" spans="1:5" x14ac:dyDescent="0.2">
      <c r="A7549" s="112">
        <f t="shared" si="131"/>
        <v>42247</v>
      </c>
      <c r="B7549" s="111">
        <f t="shared" si="129"/>
        <v>91</v>
      </c>
      <c r="C7549" s="111"/>
      <c r="D7549" s="111">
        <f t="shared" si="130"/>
        <v>243</v>
      </c>
      <c r="E7549" s="111"/>
    </row>
    <row r="7550" spans="1:5" x14ac:dyDescent="0.2">
      <c r="A7550" s="112">
        <f t="shared" si="131"/>
        <v>42248</v>
      </c>
      <c r="B7550" s="111">
        <f t="shared" si="129"/>
        <v>91</v>
      </c>
      <c r="C7550" s="111"/>
      <c r="D7550" s="111">
        <f t="shared" si="130"/>
        <v>244</v>
      </c>
      <c r="E7550" s="111"/>
    </row>
    <row r="7551" spans="1:5" x14ac:dyDescent="0.2">
      <c r="A7551" s="112">
        <f t="shared" si="131"/>
        <v>42249</v>
      </c>
      <c r="B7551" s="111">
        <f t="shared" si="129"/>
        <v>91</v>
      </c>
      <c r="C7551" s="111"/>
      <c r="D7551" s="111">
        <f t="shared" si="130"/>
        <v>245</v>
      </c>
      <c r="E7551" s="111"/>
    </row>
    <row r="7552" spans="1:5" x14ac:dyDescent="0.2">
      <c r="A7552" s="112">
        <f t="shared" si="131"/>
        <v>42250</v>
      </c>
      <c r="B7552" s="111">
        <f t="shared" si="129"/>
        <v>91</v>
      </c>
      <c r="C7552" s="111"/>
      <c r="D7552" s="111">
        <f t="shared" si="130"/>
        <v>246</v>
      </c>
      <c r="E7552" s="111"/>
    </row>
    <row r="7553" spans="1:5" x14ac:dyDescent="0.2">
      <c r="A7553" s="112">
        <f t="shared" si="131"/>
        <v>42251</v>
      </c>
      <c r="B7553" s="111">
        <f t="shared" si="129"/>
        <v>91</v>
      </c>
      <c r="C7553" s="111"/>
      <c r="D7553" s="111">
        <f t="shared" si="130"/>
        <v>247</v>
      </c>
      <c r="E7553" s="111"/>
    </row>
    <row r="7554" spans="1:5" x14ac:dyDescent="0.2">
      <c r="A7554" s="112">
        <f t="shared" si="131"/>
        <v>42252</v>
      </c>
      <c r="B7554" s="111">
        <f t="shared" ref="B7554:B7617" si="132">VLOOKUP(WEEKNUM(A7554),$D$3:$E$58,2)</f>
        <v>91</v>
      </c>
      <c r="C7554" s="111"/>
      <c r="D7554" s="111">
        <f t="shared" si="130"/>
        <v>248</v>
      </c>
      <c r="E7554" s="111"/>
    </row>
    <row r="7555" spans="1:5" x14ac:dyDescent="0.2">
      <c r="A7555" s="112">
        <f t="shared" si="131"/>
        <v>42253</v>
      </c>
      <c r="B7555" s="111">
        <f t="shared" si="132"/>
        <v>92</v>
      </c>
      <c r="C7555" s="111"/>
      <c r="D7555" s="111">
        <f t="shared" si="130"/>
        <v>249</v>
      </c>
      <c r="E7555" s="111"/>
    </row>
    <row r="7556" spans="1:5" x14ac:dyDescent="0.2">
      <c r="A7556" s="112">
        <f t="shared" si="131"/>
        <v>42254</v>
      </c>
      <c r="B7556" s="111">
        <f t="shared" si="132"/>
        <v>92</v>
      </c>
      <c r="C7556" s="111"/>
      <c r="D7556" s="111">
        <f t="shared" si="130"/>
        <v>250</v>
      </c>
      <c r="E7556" s="111"/>
    </row>
    <row r="7557" spans="1:5" x14ac:dyDescent="0.2">
      <c r="A7557" s="112">
        <f t="shared" si="131"/>
        <v>42255</v>
      </c>
      <c r="B7557" s="111">
        <f t="shared" si="132"/>
        <v>92</v>
      </c>
      <c r="C7557" s="111"/>
      <c r="D7557" s="111">
        <f t="shared" si="130"/>
        <v>251</v>
      </c>
      <c r="E7557" s="111"/>
    </row>
    <row r="7558" spans="1:5" x14ac:dyDescent="0.2">
      <c r="A7558" s="112">
        <f t="shared" si="131"/>
        <v>42256</v>
      </c>
      <c r="B7558" s="111">
        <f t="shared" si="132"/>
        <v>92</v>
      </c>
      <c r="C7558" s="111"/>
      <c r="D7558" s="111">
        <f t="shared" si="130"/>
        <v>252</v>
      </c>
      <c r="E7558" s="111"/>
    </row>
    <row r="7559" spans="1:5" x14ac:dyDescent="0.2">
      <c r="A7559" s="112">
        <f t="shared" si="131"/>
        <v>42257</v>
      </c>
      <c r="B7559" s="111">
        <f t="shared" si="132"/>
        <v>92</v>
      </c>
      <c r="C7559" s="111"/>
      <c r="D7559" s="111">
        <f t="shared" si="130"/>
        <v>253</v>
      </c>
      <c r="E7559" s="111"/>
    </row>
    <row r="7560" spans="1:5" x14ac:dyDescent="0.2">
      <c r="A7560" s="112">
        <f t="shared" si="131"/>
        <v>42258</v>
      </c>
      <c r="B7560" s="111">
        <f t="shared" si="132"/>
        <v>92</v>
      </c>
      <c r="C7560" s="111"/>
      <c r="D7560" s="111">
        <f t="shared" si="130"/>
        <v>254</v>
      </c>
      <c r="E7560" s="111"/>
    </row>
    <row r="7561" spans="1:5" x14ac:dyDescent="0.2">
      <c r="A7561" s="112">
        <f t="shared" si="131"/>
        <v>42259</v>
      </c>
      <c r="B7561" s="111">
        <f t="shared" si="132"/>
        <v>92</v>
      </c>
      <c r="C7561" s="111"/>
      <c r="D7561" s="111">
        <f t="shared" si="130"/>
        <v>255</v>
      </c>
      <c r="E7561" s="111"/>
    </row>
    <row r="7562" spans="1:5" x14ac:dyDescent="0.2">
      <c r="A7562" s="112">
        <f t="shared" si="131"/>
        <v>42260</v>
      </c>
      <c r="B7562" s="111">
        <f t="shared" si="132"/>
        <v>93</v>
      </c>
      <c r="C7562" s="111"/>
      <c r="D7562" s="111">
        <f t="shared" si="130"/>
        <v>256</v>
      </c>
      <c r="E7562" s="111"/>
    </row>
    <row r="7563" spans="1:5" x14ac:dyDescent="0.2">
      <c r="A7563" s="112">
        <f t="shared" si="131"/>
        <v>42261</v>
      </c>
      <c r="B7563" s="111">
        <f t="shared" si="132"/>
        <v>93</v>
      </c>
      <c r="C7563" s="111"/>
      <c r="D7563" s="111">
        <f t="shared" si="130"/>
        <v>257</v>
      </c>
      <c r="E7563" s="111"/>
    </row>
    <row r="7564" spans="1:5" x14ac:dyDescent="0.2">
      <c r="A7564" s="112">
        <f t="shared" si="131"/>
        <v>42262</v>
      </c>
      <c r="B7564" s="111">
        <f t="shared" si="132"/>
        <v>93</v>
      </c>
      <c r="C7564" s="111"/>
      <c r="D7564" s="111">
        <f t="shared" ref="D7564:D7627" si="133">D7563+1</f>
        <v>258</v>
      </c>
      <c r="E7564" s="111"/>
    </row>
    <row r="7565" spans="1:5" x14ac:dyDescent="0.2">
      <c r="A7565" s="112">
        <f t="shared" si="131"/>
        <v>42263</v>
      </c>
      <c r="B7565" s="111">
        <f t="shared" si="132"/>
        <v>93</v>
      </c>
      <c r="C7565" s="111"/>
      <c r="D7565" s="111">
        <f t="shared" si="133"/>
        <v>259</v>
      </c>
      <c r="E7565" s="111"/>
    </row>
    <row r="7566" spans="1:5" x14ac:dyDescent="0.2">
      <c r="A7566" s="112">
        <f t="shared" si="131"/>
        <v>42264</v>
      </c>
      <c r="B7566" s="111">
        <f t="shared" si="132"/>
        <v>93</v>
      </c>
      <c r="C7566" s="111"/>
      <c r="D7566" s="111">
        <f t="shared" si="133"/>
        <v>260</v>
      </c>
      <c r="E7566" s="111"/>
    </row>
    <row r="7567" spans="1:5" x14ac:dyDescent="0.2">
      <c r="A7567" s="112">
        <f t="shared" si="131"/>
        <v>42265</v>
      </c>
      <c r="B7567" s="111">
        <f t="shared" si="132"/>
        <v>93</v>
      </c>
      <c r="C7567" s="111"/>
      <c r="D7567" s="111">
        <f t="shared" si="133"/>
        <v>261</v>
      </c>
      <c r="E7567" s="111"/>
    </row>
    <row r="7568" spans="1:5" x14ac:dyDescent="0.2">
      <c r="A7568" s="112">
        <f t="shared" si="131"/>
        <v>42266</v>
      </c>
      <c r="B7568" s="111">
        <f t="shared" si="132"/>
        <v>93</v>
      </c>
      <c r="C7568" s="111"/>
      <c r="D7568" s="111">
        <f t="shared" si="133"/>
        <v>262</v>
      </c>
      <c r="E7568" s="111"/>
    </row>
    <row r="7569" spans="1:5" x14ac:dyDescent="0.2">
      <c r="A7569" s="112">
        <f t="shared" si="131"/>
        <v>42267</v>
      </c>
      <c r="B7569" s="111">
        <f t="shared" si="132"/>
        <v>94</v>
      </c>
      <c r="C7569" s="111"/>
      <c r="D7569" s="111">
        <f t="shared" si="133"/>
        <v>263</v>
      </c>
      <c r="E7569" s="111"/>
    </row>
    <row r="7570" spans="1:5" x14ac:dyDescent="0.2">
      <c r="A7570" s="112">
        <f t="shared" si="131"/>
        <v>42268</v>
      </c>
      <c r="B7570" s="111">
        <f t="shared" si="132"/>
        <v>94</v>
      </c>
      <c r="C7570" s="111"/>
      <c r="D7570" s="111">
        <f t="shared" si="133"/>
        <v>264</v>
      </c>
      <c r="E7570" s="111"/>
    </row>
    <row r="7571" spans="1:5" x14ac:dyDescent="0.2">
      <c r="A7571" s="112">
        <f t="shared" si="131"/>
        <v>42269</v>
      </c>
      <c r="B7571" s="111">
        <f t="shared" si="132"/>
        <v>94</v>
      </c>
      <c r="C7571" s="111"/>
      <c r="D7571" s="111">
        <f t="shared" si="133"/>
        <v>265</v>
      </c>
      <c r="E7571" s="111"/>
    </row>
    <row r="7572" spans="1:5" x14ac:dyDescent="0.2">
      <c r="A7572" s="112">
        <f t="shared" si="131"/>
        <v>42270</v>
      </c>
      <c r="B7572" s="111">
        <f t="shared" si="132"/>
        <v>94</v>
      </c>
      <c r="C7572" s="111"/>
      <c r="D7572" s="111">
        <f t="shared" si="133"/>
        <v>266</v>
      </c>
      <c r="E7572" s="111"/>
    </row>
    <row r="7573" spans="1:5" x14ac:dyDescent="0.2">
      <c r="A7573" s="112">
        <f t="shared" si="131"/>
        <v>42271</v>
      </c>
      <c r="B7573" s="111">
        <f t="shared" si="132"/>
        <v>94</v>
      </c>
      <c r="C7573" s="111"/>
      <c r="D7573" s="111">
        <f t="shared" si="133"/>
        <v>267</v>
      </c>
      <c r="E7573" s="111"/>
    </row>
    <row r="7574" spans="1:5" x14ac:dyDescent="0.2">
      <c r="A7574" s="112">
        <f t="shared" si="131"/>
        <v>42272</v>
      </c>
      <c r="B7574" s="111">
        <f t="shared" si="132"/>
        <v>94</v>
      </c>
      <c r="C7574" s="111"/>
      <c r="D7574" s="111">
        <f t="shared" si="133"/>
        <v>268</v>
      </c>
      <c r="E7574" s="111"/>
    </row>
    <row r="7575" spans="1:5" x14ac:dyDescent="0.2">
      <c r="A7575" s="112">
        <f t="shared" si="131"/>
        <v>42273</v>
      </c>
      <c r="B7575" s="111">
        <f t="shared" si="132"/>
        <v>94</v>
      </c>
      <c r="C7575" s="111"/>
      <c r="D7575" s="111">
        <f t="shared" si="133"/>
        <v>269</v>
      </c>
      <c r="E7575" s="111"/>
    </row>
    <row r="7576" spans="1:5" x14ac:dyDescent="0.2">
      <c r="A7576" s="112">
        <f t="shared" si="131"/>
        <v>42274</v>
      </c>
      <c r="B7576" s="111">
        <f t="shared" si="132"/>
        <v>101</v>
      </c>
      <c r="C7576" s="111"/>
      <c r="D7576" s="111">
        <f t="shared" si="133"/>
        <v>270</v>
      </c>
      <c r="E7576" s="111"/>
    </row>
    <row r="7577" spans="1:5" x14ac:dyDescent="0.2">
      <c r="A7577" s="112">
        <f t="shared" si="131"/>
        <v>42275</v>
      </c>
      <c r="B7577" s="111">
        <f t="shared" si="132"/>
        <v>101</v>
      </c>
      <c r="C7577" s="111"/>
      <c r="D7577" s="111">
        <f t="shared" si="133"/>
        <v>271</v>
      </c>
      <c r="E7577" s="111"/>
    </row>
    <row r="7578" spans="1:5" x14ac:dyDescent="0.2">
      <c r="A7578" s="112">
        <f t="shared" si="131"/>
        <v>42276</v>
      </c>
      <c r="B7578" s="111">
        <f t="shared" si="132"/>
        <v>101</v>
      </c>
      <c r="C7578" s="111"/>
      <c r="D7578" s="111">
        <f t="shared" si="133"/>
        <v>272</v>
      </c>
      <c r="E7578" s="111"/>
    </row>
    <row r="7579" spans="1:5" x14ac:dyDescent="0.2">
      <c r="A7579" s="112">
        <f t="shared" si="131"/>
        <v>42277</v>
      </c>
      <c r="B7579" s="111">
        <f t="shared" si="132"/>
        <v>101</v>
      </c>
      <c r="C7579" s="111"/>
      <c r="D7579" s="111">
        <f t="shared" si="133"/>
        <v>273</v>
      </c>
      <c r="E7579" s="111"/>
    </row>
    <row r="7580" spans="1:5" x14ac:dyDescent="0.2">
      <c r="A7580" s="112">
        <f t="shared" si="131"/>
        <v>42278</v>
      </c>
      <c r="B7580" s="111">
        <f t="shared" si="132"/>
        <v>101</v>
      </c>
      <c r="C7580" s="111"/>
      <c r="D7580" s="111">
        <f t="shared" si="133"/>
        <v>274</v>
      </c>
      <c r="E7580" s="111"/>
    </row>
    <row r="7581" spans="1:5" x14ac:dyDescent="0.2">
      <c r="A7581" s="112">
        <f t="shared" si="131"/>
        <v>42279</v>
      </c>
      <c r="B7581" s="111">
        <f t="shared" si="132"/>
        <v>101</v>
      </c>
      <c r="C7581" s="111"/>
      <c r="D7581" s="111">
        <f t="shared" si="133"/>
        <v>275</v>
      </c>
      <c r="E7581" s="111"/>
    </row>
    <row r="7582" spans="1:5" x14ac:dyDescent="0.2">
      <c r="A7582" s="112">
        <f t="shared" si="131"/>
        <v>42280</v>
      </c>
      <c r="B7582" s="111">
        <f t="shared" si="132"/>
        <v>101</v>
      </c>
      <c r="C7582" s="111"/>
      <c r="D7582" s="111">
        <f t="shared" si="133"/>
        <v>276</v>
      </c>
      <c r="E7582" s="111"/>
    </row>
    <row r="7583" spans="1:5" x14ac:dyDescent="0.2">
      <c r="A7583" s="112">
        <f t="shared" ref="A7583:A7646" si="134">A7582+1</f>
        <v>42281</v>
      </c>
      <c r="B7583" s="111">
        <f t="shared" si="132"/>
        <v>102</v>
      </c>
      <c r="C7583" s="111"/>
      <c r="D7583" s="111">
        <f t="shared" si="133"/>
        <v>277</v>
      </c>
      <c r="E7583" s="111"/>
    </row>
    <row r="7584" spans="1:5" x14ac:dyDescent="0.2">
      <c r="A7584" s="112">
        <f t="shared" si="134"/>
        <v>42282</v>
      </c>
      <c r="B7584" s="111">
        <f t="shared" si="132"/>
        <v>102</v>
      </c>
      <c r="C7584" s="111"/>
      <c r="D7584" s="111">
        <f t="shared" si="133"/>
        <v>278</v>
      </c>
      <c r="E7584" s="111"/>
    </row>
    <row r="7585" spans="1:5" x14ac:dyDescent="0.2">
      <c r="A7585" s="112">
        <f t="shared" si="134"/>
        <v>42283</v>
      </c>
      <c r="B7585" s="111">
        <f t="shared" si="132"/>
        <v>102</v>
      </c>
      <c r="C7585" s="111"/>
      <c r="D7585" s="111">
        <f t="shared" si="133"/>
        <v>279</v>
      </c>
      <c r="E7585" s="111"/>
    </row>
    <row r="7586" spans="1:5" x14ac:dyDescent="0.2">
      <c r="A7586" s="112">
        <f t="shared" si="134"/>
        <v>42284</v>
      </c>
      <c r="B7586" s="111">
        <f t="shared" si="132"/>
        <v>102</v>
      </c>
      <c r="C7586" s="111"/>
      <c r="D7586" s="111">
        <f t="shared" si="133"/>
        <v>280</v>
      </c>
      <c r="E7586" s="111"/>
    </row>
    <row r="7587" spans="1:5" x14ac:dyDescent="0.2">
      <c r="A7587" s="112">
        <f t="shared" si="134"/>
        <v>42285</v>
      </c>
      <c r="B7587" s="111">
        <f t="shared" si="132"/>
        <v>102</v>
      </c>
      <c r="C7587" s="111"/>
      <c r="D7587" s="111">
        <f t="shared" si="133"/>
        <v>281</v>
      </c>
      <c r="E7587" s="111"/>
    </row>
    <row r="7588" spans="1:5" x14ac:dyDescent="0.2">
      <c r="A7588" s="112">
        <f t="shared" si="134"/>
        <v>42286</v>
      </c>
      <c r="B7588" s="111">
        <f t="shared" si="132"/>
        <v>102</v>
      </c>
      <c r="C7588" s="111"/>
      <c r="D7588" s="111">
        <f t="shared" si="133"/>
        <v>282</v>
      </c>
      <c r="E7588" s="111"/>
    </row>
    <row r="7589" spans="1:5" x14ac:dyDescent="0.2">
      <c r="A7589" s="112">
        <f t="shared" si="134"/>
        <v>42287</v>
      </c>
      <c r="B7589" s="111">
        <f t="shared" si="132"/>
        <v>102</v>
      </c>
      <c r="C7589" s="111"/>
      <c r="D7589" s="111">
        <f t="shared" si="133"/>
        <v>283</v>
      </c>
      <c r="E7589" s="111"/>
    </row>
    <row r="7590" spans="1:5" x14ac:dyDescent="0.2">
      <c r="A7590" s="112">
        <f t="shared" si="134"/>
        <v>42288</v>
      </c>
      <c r="B7590" s="111">
        <f t="shared" si="132"/>
        <v>103</v>
      </c>
      <c r="C7590" s="111"/>
      <c r="D7590" s="111">
        <f t="shared" si="133"/>
        <v>284</v>
      </c>
      <c r="E7590" s="111"/>
    </row>
    <row r="7591" spans="1:5" x14ac:dyDescent="0.2">
      <c r="A7591" s="112">
        <f t="shared" si="134"/>
        <v>42289</v>
      </c>
      <c r="B7591" s="111">
        <f t="shared" si="132"/>
        <v>103</v>
      </c>
      <c r="C7591" s="111"/>
      <c r="D7591" s="111">
        <f t="shared" si="133"/>
        <v>285</v>
      </c>
      <c r="E7591" s="111"/>
    </row>
    <row r="7592" spans="1:5" x14ac:dyDescent="0.2">
      <c r="A7592" s="112">
        <f t="shared" si="134"/>
        <v>42290</v>
      </c>
      <c r="B7592" s="111">
        <f t="shared" si="132"/>
        <v>103</v>
      </c>
      <c r="C7592" s="111"/>
      <c r="D7592" s="111">
        <f t="shared" si="133"/>
        <v>286</v>
      </c>
      <c r="E7592" s="111"/>
    </row>
    <row r="7593" spans="1:5" x14ac:dyDescent="0.2">
      <c r="A7593" s="112">
        <f t="shared" si="134"/>
        <v>42291</v>
      </c>
      <c r="B7593" s="111">
        <f t="shared" si="132"/>
        <v>103</v>
      </c>
      <c r="C7593" s="111"/>
      <c r="D7593" s="111">
        <f t="shared" si="133"/>
        <v>287</v>
      </c>
      <c r="E7593" s="111"/>
    </row>
    <row r="7594" spans="1:5" x14ac:dyDescent="0.2">
      <c r="A7594" s="112">
        <f t="shared" si="134"/>
        <v>42292</v>
      </c>
      <c r="B7594" s="111">
        <f t="shared" si="132"/>
        <v>103</v>
      </c>
      <c r="C7594" s="111"/>
      <c r="D7594" s="111">
        <f t="shared" si="133"/>
        <v>288</v>
      </c>
      <c r="E7594" s="111"/>
    </row>
    <row r="7595" spans="1:5" x14ac:dyDescent="0.2">
      <c r="A7595" s="112">
        <f t="shared" si="134"/>
        <v>42293</v>
      </c>
      <c r="B7595" s="111">
        <f t="shared" si="132"/>
        <v>103</v>
      </c>
      <c r="C7595" s="111"/>
      <c r="D7595" s="111">
        <f t="shared" si="133"/>
        <v>289</v>
      </c>
      <c r="E7595" s="111"/>
    </row>
    <row r="7596" spans="1:5" x14ac:dyDescent="0.2">
      <c r="A7596" s="112">
        <f t="shared" si="134"/>
        <v>42294</v>
      </c>
      <c r="B7596" s="111">
        <f t="shared" si="132"/>
        <v>103</v>
      </c>
      <c r="C7596" s="111"/>
      <c r="D7596" s="111">
        <f t="shared" si="133"/>
        <v>290</v>
      </c>
      <c r="E7596" s="111"/>
    </row>
    <row r="7597" spans="1:5" x14ac:dyDescent="0.2">
      <c r="A7597" s="112">
        <f t="shared" si="134"/>
        <v>42295</v>
      </c>
      <c r="B7597" s="111">
        <f t="shared" si="132"/>
        <v>104</v>
      </c>
      <c r="C7597" s="111"/>
      <c r="D7597" s="111">
        <f t="shared" si="133"/>
        <v>291</v>
      </c>
      <c r="E7597" s="111"/>
    </row>
    <row r="7598" spans="1:5" x14ac:dyDescent="0.2">
      <c r="A7598" s="112">
        <f t="shared" si="134"/>
        <v>42296</v>
      </c>
      <c r="B7598" s="111">
        <f t="shared" si="132"/>
        <v>104</v>
      </c>
      <c r="C7598" s="111"/>
      <c r="D7598" s="111">
        <f t="shared" si="133"/>
        <v>292</v>
      </c>
      <c r="E7598" s="111"/>
    </row>
    <row r="7599" spans="1:5" x14ac:dyDescent="0.2">
      <c r="A7599" s="112">
        <f t="shared" si="134"/>
        <v>42297</v>
      </c>
      <c r="B7599" s="111">
        <f t="shared" si="132"/>
        <v>104</v>
      </c>
      <c r="C7599" s="111"/>
      <c r="D7599" s="111">
        <f t="shared" si="133"/>
        <v>293</v>
      </c>
      <c r="E7599" s="111"/>
    </row>
    <row r="7600" spans="1:5" x14ac:dyDescent="0.2">
      <c r="A7600" s="112">
        <f t="shared" si="134"/>
        <v>42298</v>
      </c>
      <c r="B7600" s="111">
        <f t="shared" si="132"/>
        <v>104</v>
      </c>
      <c r="C7600" s="111"/>
      <c r="D7600" s="111">
        <f t="shared" si="133"/>
        <v>294</v>
      </c>
      <c r="E7600" s="111"/>
    </row>
    <row r="7601" spans="1:5" x14ac:dyDescent="0.2">
      <c r="A7601" s="112">
        <f t="shared" si="134"/>
        <v>42299</v>
      </c>
      <c r="B7601" s="111">
        <f t="shared" si="132"/>
        <v>104</v>
      </c>
      <c r="C7601" s="111"/>
      <c r="D7601" s="111">
        <f t="shared" si="133"/>
        <v>295</v>
      </c>
      <c r="E7601" s="111"/>
    </row>
    <row r="7602" spans="1:5" x14ac:dyDescent="0.2">
      <c r="A7602" s="112">
        <f t="shared" si="134"/>
        <v>42300</v>
      </c>
      <c r="B7602" s="111">
        <f t="shared" si="132"/>
        <v>104</v>
      </c>
      <c r="C7602" s="111"/>
      <c r="D7602" s="111">
        <f t="shared" si="133"/>
        <v>296</v>
      </c>
      <c r="E7602" s="111"/>
    </row>
    <row r="7603" spans="1:5" x14ac:dyDescent="0.2">
      <c r="A7603" s="112">
        <f t="shared" si="134"/>
        <v>42301</v>
      </c>
      <c r="B7603" s="111">
        <f t="shared" si="132"/>
        <v>104</v>
      </c>
      <c r="C7603" s="111"/>
      <c r="D7603" s="111">
        <f t="shared" si="133"/>
        <v>297</v>
      </c>
      <c r="E7603" s="111"/>
    </row>
    <row r="7604" spans="1:5" x14ac:dyDescent="0.2">
      <c r="A7604" s="112">
        <f t="shared" si="134"/>
        <v>42302</v>
      </c>
      <c r="B7604" s="111">
        <f t="shared" si="132"/>
        <v>105</v>
      </c>
      <c r="C7604" s="111"/>
      <c r="D7604" s="111">
        <f t="shared" si="133"/>
        <v>298</v>
      </c>
      <c r="E7604" s="111"/>
    </row>
    <row r="7605" spans="1:5" x14ac:dyDescent="0.2">
      <c r="A7605" s="112">
        <f t="shared" si="134"/>
        <v>42303</v>
      </c>
      <c r="B7605" s="111">
        <f t="shared" si="132"/>
        <v>105</v>
      </c>
      <c r="C7605" s="111"/>
      <c r="D7605" s="111">
        <f t="shared" si="133"/>
        <v>299</v>
      </c>
      <c r="E7605" s="111"/>
    </row>
    <row r="7606" spans="1:5" x14ac:dyDescent="0.2">
      <c r="A7606" s="112">
        <f t="shared" si="134"/>
        <v>42304</v>
      </c>
      <c r="B7606" s="111">
        <f t="shared" si="132"/>
        <v>105</v>
      </c>
      <c r="C7606" s="111"/>
      <c r="D7606" s="111">
        <f t="shared" si="133"/>
        <v>300</v>
      </c>
      <c r="E7606" s="111"/>
    </row>
    <row r="7607" spans="1:5" x14ac:dyDescent="0.2">
      <c r="A7607" s="112">
        <f t="shared" si="134"/>
        <v>42305</v>
      </c>
      <c r="B7607" s="111">
        <f t="shared" si="132"/>
        <v>105</v>
      </c>
      <c r="C7607" s="111"/>
      <c r="D7607" s="111">
        <f t="shared" si="133"/>
        <v>301</v>
      </c>
      <c r="E7607" s="111"/>
    </row>
    <row r="7608" spans="1:5" x14ac:dyDescent="0.2">
      <c r="A7608" s="112">
        <f t="shared" si="134"/>
        <v>42306</v>
      </c>
      <c r="B7608" s="111">
        <f t="shared" si="132"/>
        <v>105</v>
      </c>
      <c r="C7608" s="111"/>
      <c r="D7608" s="111">
        <f t="shared" si="133"/>
        <v>302</v>
      </c>
      <c r="E7608" s="111"/>
    </row>
    <row r="7609" spans="1:5" x14ac:dyDescent="0.2">
      <c r="A7609" s="112">
        <f t="shared" si="134"/>
        <v>42307</v>
      </c>
      <c r="B7609" s="111">
        <f t="shared" si="132"/>
        <v>105</v>
      </c>
      <c r="C7609" s="111"/>
      <c r="D7609" s="111">
        <f t="shared" si="133"/>
        <v>303</v>
      </c>
      <c r="E7609" s="111"/>
    </row>
    <row r="7610" spans="1:5" x14ac:dyDescent="0.2">
      <c r="A7610" s="112">
        <f t="shared" si="134"/>
        <v>42308</v>
      </c>
      <c r="B7610" s="111">
        <f t="shared" si="132"/>
        <v>105</v>
      </c>
      <c r="C7610" s="111"/>
      <c r="D7610" s="111">
        <f t="shared" si="133"/>
        <v>304</v>
      </c>
      <c r="E7610" s="111"/>
    </row>
    <row r="7611" spans="1:5" x14ac:dyDescent="0.2">
      <c r="A7611" s="112">
        <f t="shared" si="134"/>
        <v>42309</v>
      </c>
      <c r="B7611" s="111">
        <f t="shared" si="132"/>
        <v>111</v>
      </c>
      <c r="C7611" s="111"/>
      <c r="D7611" s="111">
        <f t="shared" si="133"/>
        <v>305</v>
      </c>
      <c r="E7611" s="111"/>
    </row>
    <row r="7612" spans="1:5" x14ac:dyDescent="0.2">
      <c r="A7612" s="112">
        <f t="shared" si="134"/>
        <v>42310</v>
      </c>
      <c r="B7612" s="111">
        <f t="shared" si="132"/>
        <v>111</v>
      </c>
      <c r="C7612" s="111"/>
      <c r="D7612" s="111">
        <f t="shared" si="133"/>
        <v>306</v>
      </c>
      <c r="E7612" s="111"/>
    </row>
    <row r="7613" spans="1:5" x14ac:dyDescent="0.2">
      <c r="A7613" s="112">
        <f t="shared" si="134"/>
        <v>42311</v>
      </c>
      <c r="B7613" s="111">
        <f t="shared" si="132"/>
        <v>111</v>
      </c>
      <c r="C7613" s="111"/>
      <c r="D7613" s="111">
        <f t="shared" si="133"/>
        <v>307</v>
      </c>
      <c r="E7613" s="111"/>
    </row>
    <row r="7614" spans="1:5" x14ac:dyDescent="0.2">
      <c r="A7614" s="112">
        <f t="shared" si="134"/>
        <v>42312</v>
      </c>
      <c r="B7614" s="111">
        <f t="shared" si="132"/>
        <v>111</v>
      </c>
      <c r="C7614" s="111"/>
      <c r="D7614" s="111">
        <f t="shared" si="133"/>
        <v>308</v>
      </c>
      <c r="E7614" s="111"/>
    </row>
    <row r="7615" spans="1:5" x14ac:dyDescent="0.2">
      <c r="A7615" s="112">
        <f t="shared" si="134"/>
        <v>42313</v>
      </c>
      <c r="B7615" s="111">
        <f t="shared" si="132"/>
        <v>111</v>
      </c>
      <c r="C7615" s="111"/>
      <c r="D7615" s="111">
        <f t="shared" si="133"/>
        <v>309</v>
      </c>
      <c r="E7615" s="111"/>
    </row>
    <row r="7616" spans="1:5" x14ac:dyDescent="0.2">
      <c r="A7616" s="112">
        <f t="shared" si="134"/>
        <v>42314</v>
      </c>
      <c r="B7616" s="111">
        <f t="shared" si="132"/>
        <v>111</v>
      </c>
      <c r="C7616" s="111"/>
      <c r="D7616" s="111">
        <f t="shared" si="133"/>
        <v>310</v>
      </c>
      <c r="E7616" s="111"/>
    </row>
    <row r="7617" spans="1:5" x14ac:dyDescent="0.2">
      <c r="A7617" s="112">
        <f t="shared" si="134"/>
        <v>42315</v>
      </c>
      <c r="B7617" s="111">
        <f t="shared" si="132"/>
        <v>111</v>
      </c>
      <c r="C7617" s="111"/>
      <c r="D7617" s="111">
        <f t="shared" si="133"/>
        <v>311</v>
      </c>
      <c r="E7617" s="111"/>
    </row>
    <row r="7618" spans="1:5" x14ac:dyDescent="0.2">
      <c r="A7618" s="112">
        <f t="shared" si="134"/>
        <v>42316</v>
      </c>
      <c r="B7618" s="111">
        <f t="shared" ref="B7618:B7681" si="135">VLOOKUP(WEEKNUM(A7618),$D$3:$E$58,2)</f>
        <v>112</v>
      </c>
      <c r="C7618" s="111"/>
      <c r="D7618" s="111">
        <f t="shared" si="133"/>
        <v>312</v>
      </c>
      <c r="E7618" s="111"/>
    </row>
    <row r="7619" spans="1:5" x14ac:dyDescent="0.2">
      <c r="A7619" s="112">
        <f t="shared" si="134"/>
        <v>42317</v>
      </c>
      <c r="B7619" s="111">
        <f t="shared" si="135"/>
        <v>112</v>
      </c>
      <c r="C7619" s="111"/>
      <c r="D7619" s="111">
        <f t="shared" si="133"/>
        <v>313</v>
      </c>
      <c r="E7619" s="111"/>
    </row>
    <row r="7620" spans="1:5" x14ac:dyDescent="0.2">
      <c r="A7620" s="112">
        <f t="shared" si="134"/>
        <v>42318</v>
      </c>
      <c r="B7620" s="111">
        <f t="shared" si="135"/>
        <v>112</v>
      </c>
      <c r="C7620" s="111"/>
      <c r="D7620" s="111">
        <f t="shared" si="133"/>
        <v>314</v>
      </c>
      <c r="E7620" s="111"/>
    </row>
    <row r="7621" spans="1:5" x14ac:dyDescent="0.2">
      <c r="A7621" s="112">
        <f t="shared" si="134"/>
        <v>42319</v>
      </c>
      <c r="B7621" s="111">
        <f t="shared" si="135"/>
        <v>112</v>
      </c>
      <c r="C7621" s="111"/>
      <c r="D7621" s="111">
        <f t="shared" si="133"/>
        <v>315</v>
      </c>
      <c r="E7621" s="111"/>
    </row>
    <row r="7622" spans="1:5" x14ac:dyDescent="0.2">
      <c r="A7622" s="112">
        <f t="shared" si="134"/>
        <v>42320</v>
      </c>
      <c r="B7622" s="111">
        <f t="shared" si="135"/>
        <v>112</v>
      </c>
      <c r="C7622" s="111"/>
      <c r="D7622" s="111">
        <f t="shared" si="133"/>
        <v>316</v>
      </c>
      <c r="E7622" s="111"/>
    </row>
    <row r="7623" spans="1:5" x14ac:dyDescent="0.2">
      <c r="A7623" s="112">
        <f t="shared" si="134"/>
        <v>42321</v>
      </c>
      <c r="B7623" s="111">
        <f t="shared" si="135"/>
        <v>112</v>
      </c>
      <c r="C7623" s="111"/>
      <c r="D7623" s="111">
        <f t="shared" si="133"/>
        <v>317</v>
      </c>
      <c r="E7623" s="111"/>
    </row>
    <row r="7624" spans="1:5" x14ac:dyDescent="0.2">
      <c r="A7624" s="112">
        <f t="shared" si="134"/>
        <v>42322</v>
      </c>
      <c r="B7624" s="111">
        <f t="shared" si="135"/>
        <v>112</v>
      </c>
      <c r="C7624" s="111"/>
      <c r="D7624" s="111">
        <f t="shared" si="133"/>
        <v>318</v>
      </c>
      <c r="E7624" s="111"/>
    </row>
    <row r="7625" spans="1:5" x14ac:dyDescent="0.2">
      <c r="A7625" s="112">
        <f t="shared" si="134"/>
        <v>42323</v>
      </c>
      <c r="B7625" s="111">
        <f t="shared" si="135"/>
        <v>113</v>
      </c>
      <c r="C7625" s="111"/>
      <c r="D7625" s="111">
        <f t="shared" si="133"/>
        <v>319</v>
      </c>
      <c r="E7625" s="111"/>
    </row>
    <row r="7626" spans="1:5" x14ac:dyDescent="0.2">
      <c r="A7626" s="112">
        <f t="shared" si="134"/>
        <v>42324</v>
      </c>
      <c r="B7626" s="111">
        <f t="shared" si="135"/>
        <v>113</v>
      </c>
      <c r="C7626" s="111"/>
      <c r="D7626" s="111">
        <f t="shared" si="133"/>
        <v>320</v>
      </c>
      <c r="E7626" s="111"/>
    </row>
    <row r="7627" spans="1:5" x14ac:dyDescent="0.2">
      <c r="A7627" s="112">
        <f t="shared" si="134"/>
        <v>42325</v>
      </c>
      <c r="B7627" s="111">
        <f t="shared" si="135"/>
        <v>113</v>
      </c>
      <c r="C7627" s="111"/>
      <c r="D7627" s="111">
        <f t="shared" si="133"/>
        <v>321</v>
      </c>
      <c r="E7627" s="111"/>
    </row>
    <row r="7628" spans="1:5" x14ac:dyDescent="0.2">
      <c r="A7628" s="112">
        <f t="shared" si="134"/>
        <v>42326</v>
      </c>
      <c r="B7628" s="111">
        <f t="shared" si="135"/>
        <v>113</v>
      </c>
      <c r="C7628" s="111"/>
      <c r="D7628" s="111">
        <f t="shared" ref="D7628:D7671" si="136">D7627+1</f>
        <v>322</v>
      </c>
      <c r="E7628" s="111"/>
    </row>
    <row r="7629" spans="1:5" x14ac:dyDescent="0.2">
      <c r="A7629" s="112">
        <f t="shared" si="134"/>
        <v>42327</v>
      </c>
      <c r="B7629" s="111">
        <f t="shared" si="135"/>
        <v>113</v>
      </c>
      <c r="C7629" s="111"/>
      <c r="D7629" s="111">
        <f t="shared" si="136"/>
        <v>323</v>
      </c>
      <c r="E7629" s="111"/>
    </row>
    <row r="7630" spans="1:5" x14ac:dyDescent="0.2">
      <c r="A7630" s="112">
        <f t="shared" si="134"/>
        <v>42328</v>
      </c>
      <c r="B7630" s="111">
        <f t="shared" si="135"/>
        <v>113</v>
      </c>
      <c r="C7630" s="111"/>
      <c r="D7630" s="111">
        <f t="shared" si="136"/>
        <v>324</v>
      </c>
      <c r="E7630" s="111"/>
    </row>
    <row r="7631" spans="1:5" x14ac:dyDescent="0.2">
      <c r="A7631" s="112">
        <f t="shared" si="134"/>
        <v>42329</v>
      </c>
      <c r="B7631" s="111">
        <f t="shared" si="135"/>
        <v>113</v>
      </c>
      <c r="C7631" s="111"/>
      <c r="D7631" s="111">
        <f t="shared" si="136"/>
        <v>325</v>
      </c>
      <c r="E7631" s="111"/>
    </row>
    <row r="7632" spans="1:5" x14ac:dyDescent="0.2">
      <c r="A7632" s="112">
        <f t="shared" si="134"/>
        <v>42330</v>
      </c>
      <c r="B7632" s="111">
        <f t="shared" si="135"/>
        <v>114</v>
      </c>
      <c r="C7632" s="111"/>
      <c r="D7632" s="111">
        <f t="shared" si="136"/>
        <v>326</v>
      </c>
      <c r="E7632" s="111"/>
    </row>
    <row r="7633" spans="1:5" x14ac:dyDescent="0.2">
      <c r="A7633" s="112">
        <f t="shared" si="134"/>
        <v>42331</v>
      </c>
      <c r="B7633" s="111">
        <f t="shared" si="135"/>
        <v>114</v>
      </c>
      <c r="C7633" s="111"/>
      <c r="D7633" s="111">
        <f t="shared" si="136"/>
        <v>327</v>
      </c>
      <c r="E7633" s="111"/>
    </row>
    <row r="7634" spans="1:5" x14ac:dyDescent="0.2">
      <c r="A7634" s="112">
        <f t="shared" si="134"/>
        <v>42332</v>
      </c>
      <c r="B7634" s="111">
        <f t="shared" si="135"/>
        <v>114</v>
      </c>
      <c r="C7634" s="111"/>
      <c r="D7634" s="111">
        <f t="shared" si="136"/>
        <v>328</v>
      </c>
      <c r="E7634" s="111"/>
    </row>
    <row r="7635" spans="1:5" x14ac:dyDescent="0.2">
      <c r="A7635" s="112">
        <f t="shared" si="134"/>
        <v>42333</v>
      </c>
      <c r="B7635" s="111">
        <f t="shared" si="135"/>
        <v>114</v>
      </c>
      <c r="C7635" s="111"/>
      <c r="D7635" s="111">
        <f t="shared" si="136"/>
        <v>329</v>
      </c>
      <c r="E7635" s="111"/>
    </row>
    <row r="7636" spans="1:5" x14ac:dyDescent="0.2">
      <c r="A7636" s="112">
        <f t="shared" si="134"/>
        <v>42334</v>
      </c>
      <c r="B7636" s="111">
        <f t="shared" si="135"/>
        <v>114</v>
      </c>
      <c r="C7636" s="111"/>
      <c r="D7636" s="111">
        <f t="shared" si="136"/>
        <v>330</v>
      </c>
      <c r="E7636" s="111"/>
    </row>
    <row r="7637" spans="1:5" x14ac:dyDescent="0.2">
      <c r="A7637" s="112">
        <f t="shared" si="134"/>
        <v>42335</v>
      </c>
      <c r="B7637" s="111">
        <f t="shared" si="135"/>
        <v>114</v>
      </c>
      <c r="C7637" s="111"/>
      <c r="D7637" s="111">
        <f t="shared" si="136"/>
        <v>331</v>
      </c>
      <c r="E7637" s="111"/>
    </row>
    <row r="7638" spans="1:5" x14ac:dyDescent="0.2">
      <c r="A7638" s="112">
        <f t="shared" si="134"/>
        <v>42336</v>
      </c>
      <c r="B7638" s="111">
        <f t="shared" si="135"/>
        <v>114</v>
      </c>
      <c r="C7638" s="111"/>
      <c r="D7638" s="111">
        <f t="shared" si="136"/>
        <v>332</v>
      </c>
      <c r="E7638" s="111"/>
    </row>
    <row r="7639" spans="1:5" x14ac:dyDescent="0.2">
      <c r="A7639" s="112">
        <f t="shared" si="134"/>
        <v>42337</v>
      </c>
      <c r="B7639" s="111">
        <f t="shared" si="135"/>
        <v>115</v>
      </c>
      <c r="C7639" s="111"/>
      <c r="D7639" s="111">
        <f t="shared" si="136"/>
        <v>333</v>
      </c>
      <c r="E7639" s="111"/>
    </row>
    <row r="7640" spans="1:5" x14ac:dyDescent="0.2">
      <c r="A7640" s="112">
        <f t="shared" si="134"/>
        <v>42338</v>
      </c>
      <c r="B7640" s="111">
        <f t="shared" si="135"/>
        <v>115</v>
      </c>
      <c r="C7640" s="111"/>
      <c r="D7640" s="111">
        <f t="shared" si="136"/>
        <v>334</v>
      </c>
      <c r="E7640" s="111"/>
    </row>
    <row r="7641" spans="1:5" x14ac:dyDescent="0.2">
      <c r="A7641" s="112">
        <f t="shared" si="134"/>
        <v>42339</v>
      </c>
      <c r="B7641" s="111">
        <f t="shared" si="135"/>
        <v>115</v>
      </c>
      <c r="C7641" s="111"/>
      <c r="D7641" s="111">
        <f t="shared" si="136"/>
        <v>335</v>
      </c>
      <c r="E7641" s="111"/>
    </row>
    <row r="7642" spans="1:5" x14ac:dyDescent="0.2">
      <c r="A7642" s="112">
        <f t="shared" si="134"/>
        <v>42340</v>
      </c>
      <c r="B7642" s="111">
        <f t="shared" si="135"/>
        <v>115</v>
      </c>
      <c r="C7642" s="111"/>
      <c r="D7642" s="111">
        <f t="shared" si="136"/>
        <v>336</v>
      </c>
      <c r="E7642" s="111"/>
    </row>
    <row r="7643" spans="1:5" x14ac:dyDescent="0.2">
      <c r="A7643" s="112">
        <f t="shared" si="134"/>
        <v>42341</v>
      </c>
      <c r="B7643" s="111">
        <f t="shared" si="135"/>
        <v>115</v>
      </c>
      <c r="C7643" s="111"/>
      <c r="D7643" s="111">
        <f t="shared" si="136"/>
        <v>337</v>
      </c>
      <c r="E7643" s="111"/>
    </row>
    <row r="7644" spans="1:5" x14ac:dyDescent="0.2">
      <c r="A7644" s="112">
        <f t="shared" si="134"/>
        <v>42342</v>
      </c>
      <c r="B7644" s="111">
        <f t="shared" si="135"/>
        <v>115</v>
      </c>
      <c r="C7644" s="111"/>
      <c r="D7644" s="111">
        <f t="shared" si="136"/>
        <v>338</v>
      </c>
      <c r="E7644" s="111"/>
    </row>
    <row r="7645" spans="1:5" x14ac:dyDescent="0.2">
      <c r="A7645" s="112">
        <f t="shared" si="134"/>
        <v>42343</v>
      </c>
      <c r="B7645" s="111">
        <f t="shared" si="135"/>
        <v>115</v>
      </c>
      <c r="C7645" s="111"/>
      <c r="D7645" s="111">
        <f t="shared" si="136"/>
        <v>339</v>
      </c>
      <c r="E7645" s="111"/>
    </row>
    <row r="7646" spans="1:5" x14ac:dyDescent="0.2">
      <c r="A7646" s="112">
        <f t="shared" si="134"/>
        <v>42344</v>
      </c>
      <c r="B7646" s="111">
        <f t="shared" si="135"/>
        <v>121</v>
      </c>
      <c r="C7646" s="111"/>
      <c r="D7646" s="111">
        <f t="shared" si="136"/>
        <v>340</v>
      </c>
      <c r="E7646" s="111"/>
    </row>
    <row r="7647" spans="1:5" x14ac:dyDescent="0.2">
      <c r="A7647" s="112">
        <f t="shared" ref="A7647:A7710" si="137">A7646+1</f>
        <v>42345</v>
      </c>
      <c r="B7647" s="111">
        <f t="shared" si="135"/>
        <v>121</v>
      </c>
      <c r="C7647" s="111"/>
      <c r="D7647" s="111">
        <f t="shared" si="136"/>
        <v>341</v>
      </c>
      <c r="E7647" s="111"/>
    </row>
    <row r="7648" spans="1:5" x14ac:dyDescent="0.2">
      <c r="A7648" s="112">
        <f t="shared" si="137"/>
        <v>42346</v>
      </c>
      <c r="B7648" s="111">
        <f t="shared" si="135"/>
        <v>121</v>
      </c>
      <c r="C7648" s="111"/>
      <c r="D7648" s="111">
        <f t="shared" si="136"/>
        <v>342</v>
      </c>
      <c r="E7648" s="111"/>
    </row>
    <row r="7649" spans="1:5" x14ac:dyDescent="0.2">
      <c r="A7649" s="112">
        <f t="shared" si="137"/>
        <v>42347</v>
      </c>
      <c r="B7649" s="111">
        <f t="shared" si="135"/>
        <v>121</v>
      </c>
      <c r="C7649" s="111"/>
      <c r="D7649" s="111">
        <f t="shared" si="136"/>
        <v>343</v>
      </c>
      <c r="E7649" s="111"/>
    </row>
    <row r="7650" spans="1:5" x14ac:dyDescent="0.2">
      <c r="A7650" s="112">
        <f t="shared" si="137"/>
        <v>42348</v>
      </c>
      <c r="B7650" s="111">
        <f t="shared" si="135"/>
        <v>121</v>
      </c>
      <c r="C7650" s="111"/>
      <c r="D7650" s="111">
        <f t="shared" si="136"/>
        <v>344</v>
      </c>
      <c r="E7650" s="111"/>
    </row>
    <row r="7651" spans="1:5" x14ac:dyDescent="0.2">
      <c r="A7651" s="112">
        <f t="shared" si="137"/>
        <v>42349</v>
      </c>
      <c r="B7651" s="111">
        <f t="shared" si="135"/>
        <v>121</v>
      </c>
      <c r="C7651" s="111"/>
      <c r="D7651" s="111">
        <f t="shared" si="136"/>
        <v>345</v>
      </c>
      <c r="E7651" s="111"/>
    </row>
    <row r="7652" spans="1:5" x14ac:dyDescent="0.2">
      <c r="A7652" s="112">
        <f t="shared" si="137"/>
        <v>42350</v>
      </c>
      <c r="B7652" s="111">
        <f t="shared" si="135"/>
        <v>121</v>
      </c>
      <c r="C7652" s="111"/>
      <c r="D7652" s="111">
        <f t="shared" si="136"/>
        <v>346</v>
      </c>
      <c r="E7652" s="111"/>
    </row>
    <row r="7653" spans="1:5" x14ac:dyDescent="0.2">
      <c r="A7653" s="112">
        <f t="shared" si="137"/>
        <v>42351</v>
      </c>
      <c r="B7653" s="111">
        <f t="shared" si="135"/>
        <v>122</v>
      </c>
      <c r="C7653" s="111"/>
      <c r="D7653" s="111">
        <f t="shared" si="136"/>
        <v>347</v>
      </c>
      <c r="E7653" s="111"/>
    </row>
    <row r="7654" spans="1:5" x14ac:dyDescent="0.2">
      <c r="A7654" s="112">
        <f t="shared" si="137"/>
        <v>42352</v>
      </c>
      <c r="B7654" s="111">
        <f t="shared" si="135"/>
        <v>122</v>
      </c>
      <c r="C7654" s="111"/>
      <c r="D7654" s="111">
        <f t="shared" si="136"/>
        <v>348</v>
      </c>
      <c r="E7654" s="111"/>
    </row>
    <row r="7655" spans="1:5" x14ac:dyDescent="0.2">
      <c r="A7655" s="112">
        <f t="shared" si="137"/>
        <v>42353</v>
      </c>
      <c r="B7655" s="111">
        <f t="shared" si="135"/>
        <v>122</v>
      </c>
      <c r="C7655" s="111"/>
      <c r="D7655" s="111">
        <f t="shared" si="136"/>
        <v>349</v>
      </c>
      <c r="E7655" s="111"/>
    </row>
    <row r="7656" spans="1:5" x14ac:dyDescent="0.2">
      <c r="A7656" s="112">
        <f t="shared" si="137"/>
        <v>42354</v>
      </c>
      <c r="B7656" s="111">
        <f t="shared" si="135"/>
        <v>122</v>
      </c>
      <c r="C7656" s="111"/>
      <c r="D7656" s="111">
        <f t="shared" si="136"/>
        <v>350</v>
      </c>
      <c r="E7656" s="111"/>
    </row>
    <row r="7657" spans="1:5" x14ac:dyDescent="0.2">
      <c r="A7657" s="112">
        <f t="shared" si="137"/>
        <v>42355</v>
      </c>
      <c r="B7657" s="111">
        <f t="shared" si="135"/>
        <v>122</v>
      </c>
      <c r="C7657" s="111"/>
      <c r="D7657" s="111">
        <f t="shared" si="136"/>
        <v>351</v>
      </c>
      <c r="E7657" s="111"/>
    </row>
    <row r="7658" spans="1:5" x14ac:dyDescent="0.2">
      <c r="A7658" s="112">
        <f t="shared" si="137"/>
        <v>42356</v>
      </c>
      <c r="B7658" s="111">
        <f t="shared" si="135"/>
        <v>122</v>
      </c>
      <c r="C7658" s="111"/>
      <c r="D7658" s="111">
        <f t="shared" si="136"/>
        <v>352</v>
      </c>
      <c r="E7658" s="111"/>
    </row>
    <row r="7659" spans="1:5" x14ac:dyDescent="0.2">
      <c r="A7659" s="112">
        <f t="shared" si="137"/>
        <v>42357</v>
      </c>
      <c r="B7659" s="111">
        <f t="shared" si="135"/>
        <v>122</v>
      </c>
      <c r="C7659" s="111"/>
      <c r="D7659" s="111">
        <f t="shared" si="136"/>
        <v>353</v>
      </c>
      <c r="E7659" s="111"/>
    </row>
    <row r="7660" spans="1:5" x14ac:dyDescent="0.2">
      <c r="A7660" s="112">
        <f t="shared" si="137"/>
        <v>42358</v>
      </c>
      <c r="B7660" s="111">
        <f t="shared" si="135"/>
        <v>123</v>
      </c>
      <c r="C7660" s="111"/>
      <c r="D7660" s="111">
        <f t="shared" si="136"/>
        <v>354</v>
      </c>
      <c r="E7660" s="111"/>
    </row>
    <row r="7661" spans="1:5" x14ac:dyDescent="0.2">
      <c r="A7661" s="112">
        <f t="shared" si="137"/>
        <v>42359</v>
      </c>
      <c r="B7661" s="111">
        <f t="shared" si="135"/>
        <v>123</v>
      </c>
      <c r="C7661" s="111"/>
      <c r="D7661" s="111">
        <f t="shared" si="136"/>
        <v>355</v>
      </c>
      <c r="E7661" s="111"/>
    </row>
    <row r="7662" spans="1:5" x14ac:dyDescent="0.2">
      <c r="A7662" s="112">
        <f t="shared" si="137"/>
        <v>42360</v>
      </c>
      <c r="B7662" s="111">
        <f t="shared" si="135"/>
        <v>123</v>
      </c>
      <c r="C7662" s="111"/>
      <c r="D7662" s="111">
        <f t="shared" si="136"/>
        <v>356</v>
      </c>
      <c r="E7662" s="111"/>
    </row>
    <row r="7663" spans="1:5" x14ac:dyDescent="0.2">
      <c r="A7663" s="112">
        <f t="shared" si="137"/>
        <v>42361</v>
      </c>
      <c r="B7663" s="111">
        <f t="shared" si="135"/>
        <v>123</v>
      </c>
      <c r="C7663" s="111"/>
      <c r="D7663" s="111">
        <f t="shared" si="136"/>
        <v>357</v>
      </c>
      <c r="E7663" s="111"/>
    </row>
    <row r="7664" spans="1:5" x14ac:dyDescent="0.2">
      <c r="A7664" s="112">
        <f t="shared" si="137"/>
        <v>42362</v>
      </c>
      <c r="B7664" s="111">
        <f t="shared" si="135"/>
        <v>123</v>
      </c>
      <c r="C7664" s="111"/>
      <c r="D7664" s="111">
        <f t="shared" si="136"/>
        <v>358</v>
      </c>
      <c r="E7664" s="111"/>
    </row>
    <row r="7665" spans="1:5" x14ac:dyDescent="0.2">
      <c r="A7665" s="112">
        <f t="shared" si="137"/>
        <v>42363</v>
      </c>
      <c r="B7665" s="111">
        <f t="shared" si="135"/>
        <v>123</v>
      </c>
      <c r="C7665" s="111"/>
      <c r="D7665" s="111">
        <f t="shared" si="136"/>
        <v>359</v>
      </c>
      <c r="E7665" s="111"/>
    </row>
    <row r="7666" spans="1:5" x14ac:dyDescent="0.2">
      <c r="A7666" s="112">
        <f t="shared" si="137"/>
        <v>42364</v>
      </c>
      <c r="B7666" s="111">
        <f t="shared" si="135"/>
        <v>123</v>
      </c>
      <c r="C7666" s="111"/>
      <c r="D7666" s="111">
        <f t="shared" si="136"/>
        <v>360</v>
      </c>
      <c r="E7666" s="111"/>
    </row>
    <row r="7667" spans="1:5" x14ac:dyDescent="0.2">
      <c r="A7667" s="112">
        <f t="shared" si="137"/>
        <v>42365</v>
      </c>
      <c r="B7667" s="111">
        <f t="shared" si="135"/>
        <v>124</v>
      </c>
      <c r="C7667" s="111"/>
      <c r="D7667" s="111">
        <f t="shared" si="136"/>
        <v>361</v>
      </c>
      <c r="E7667" s="111"/>
    </row>
    <row r="7668" spans="1:5" x14ac:dyDescent="0.2">
      <c r="A7668" s="112">
        <f t="shared" si="137"/>
        <v>42366</v>
      </c>
      <c r="B7668" s="111">
        <f t="shared" si="135"/>
        <v>124</v>
      </c>
      <c r="C7668" s="111"/>
      <c r="D7668" s="111">
        <f t="shared" si="136"/>
        <v>362</v>
      </c>
      <c r="E7668" s="111"/>
    </row>
    <row r="7669" spans="1:5" x14ac:dyDescent="0.2">
      <c r="A7669" s="112">
        <f t="shared" si="137"/>
        <v>42367</v>
      </c>
      <c r="B7669" s="111">
        <f t="shared" si="135"/>
        <v>124</v>
      </c>
      <c r="C7669" s="111"/>
      <c r="D7669" s="111">
        <f t="shared" si="136"/>
        <v>363</v>
      </c>
      <c r="E7669" s="111"/>
    </row>
    <row r="7670" spans="1:5" x14ac:dyDescent="0.2">
      <c r="A7670" s="112">
        <f t="shared" si="137"/>
        <v>42368</v>
      </c>
      <c r="B7670" s="111">
        <f t="shared" si="135"/>
        <v>124</v>
      </c>
      <c r="C7670" s="111"/>
      <c r="D7670" s="111">
        <f t="shared" si="136"/>
        <v>364</v>
      </c>
      <c r="E7670" s="111"/>
    </row>
    <row r="7671" spans="1:5" x14ac:dyDescent="0.2">
      <c r="A7671" s="112">
        <f t="shared" si="137"/>
        <v>42369</v>
      </c>
      <c r="B7671" s="111">
        <f t="shared" si="135"/>
        <v>124</v>
      </c>
      <c r="C7671" s="111"/>
      <c r="D7671" s="111">
        <f t="shared" si="136"/>
        <v>365</v>
      </c>
      <c r="E7671" s="111"/>
    </row>
    <row r="7672" spans="1:5" x14ac:dyDescent="0.2">
      <c r="A7672" s="112">
        <f t="shared" si="137"/>
        <v>42370</v>
      </c>
      <c r="B7672" s="111">
        <f t="shared" si="135"/>
        <v>11</v>
      </c>
      <c r="C7672" s="111"/>
      <c r="D7672" s="111">
        <f>1</f>
        <v>1</v>
      </c>
      <c r="E7672" s="111"/>
    </row>
    <row r="7673" spans="1:5" x14ac:dyDescent="0.2">
      <c r="A7673" s="112">
        <f t="shared" si="137"/>
        <v>42371</v>
      </c>
      <c r="B7673" s="111">
        <f t="shared" si="135"/>
        <v>11</v>
      </c>
      <c r="C7673" s="111"/>
      <c r="D7673" s="111">
        <f t="shared" ref="D7673:D7736" si="138">D7672+1</f>
        <v>2</v>
      </c>
      <c r="E7673" s="111"/>
    </row>
    <row r="7674" spans="1:5" x14ac:dyDescent="0.2">
      <c r="A7674" s="112">
        <f t="shared" si="137"/>
        <v>42372</v>
      </c>
      <c r="B7674" s="111">
        <f t="shared" si="135"/>
        <v>12</v>
      </c>
      <c r="C7674" s="111"/>
      <c r="D7674" s="111">
        <f t="shared" si="138"/>
        <v>3</v>
      </c>
      <c r="E7674" s="111"/>
    </row>
    <row r="7675" spans="1:5" x14ac:dyDescent="0.2">
      <c r="A7675" s="112">
        <f t="shared" si="137"/>
        <v>42373</v>
      </c>
      <c r="B7675" s="111">
        <f t="shared" si="135"/>
        <v>12</v>
      </c>
      <c r="C7675" s="111"/>
      <c r="D7675" s="111">
        <f t="shared" si="138"/>
        <v>4</v>
      </c>
      <c r="E7675" s="111"/>
    </row>
    <row r="7676" spans="1:5" x14ac:dyDescent="0.2">
      <c r="A7676" s="112">
        <f t="shared" si="137"/>
        <v>42374</v>
      </c>
      <c r="B7676" s="111">
        <f t="shared" si="135"/>
        <v>12</v>
      </c>
      <c r="C7676" s="111"/>
      <c r="D7676" s="111">
        <f t="shared" si="138"/>
        <v>5</v>
      </c>
      <c r="E7676" s="111"/>
    </row>
    <row r="7677" spans="1:5" x14ac:dyDescent="0.2">
      <c r="A7677" s="112">
        <f t="shared" si="137"/>
        <v>42375</v>
      </c>
      <c r="B7677" s="111">
        <f t="shared" si="135"/>
        <v>12</v>
      </c>
      <c r="C7677" s="111"/>
      <c r="D7677" s="111">
        <f t="shared" si="138"/>
        <v>6</v>
      </c>
      <c r="E7677" s="111"/>
    </row>
    <row r="7678" spans="1:5" x14ac:dyDescent="0.2">
      <c r="A7678" s="112">
        <f t="shared" si="137"/>
        <v>42376</v>
      </c>
      <c r="B7678" s="111">
        <f t="shared" si="135"/>
        <v>12</v>
      </c>
      <c r="C7678" s="111"/>
      <c r="D7678" s="111">
        <f t="shared" si="138"/>
        <v>7</v>
      </c>
      <c r="E7678" s="111"/>
    </row>
    <row r="7679" spans="1:5" x14ac:dyDescent="0.2">
      <c r="A7679" s="112">
        <f t="shared" si="137"/>
        <v>42377</v>
      </c>
      <c r="B7679" s="111">
        <f t="shared" si="135"/>
        <v>12</v>
      </c>
      <c r="C7679" s="111"/>
      <c r="D7679" s="111">
        <f t="shared" si="138"/>
        <v>8</v>
      </c>
      <c r="E7679" s="111"/>
    </row>
    <row r="7680" spans="1:5" x14ac:dyDescent="0.2">
      <c r="A7680" s="112">
        <f t="shared" si="137"/>
        <v>42378</v>
      </c>
      <c r="B7680" s="111">
        <f t="shared" si="135"/>
        <v>12</v>
      </c>
      <c r="C7680" s="111"/>
      <c r="D7680" s="111">
        <f t="shared" si="138"/>
        <v>9</v>
      </c>
      <c r="E7680" s="111"/>
    </row>
    <row r="7681" spans="1:5" x14ac:dyDescent="0.2">
      <c r="A7681" s="112">
        <f t="shared" si="137"/>
        <v>42379</v>
      </c>
      <c r="B7681" s="111">
        <f t="shared" si="135"/>
        <v>13</v>
      </c>
      <c r="C7681" s="111"/>
      <c r="D7681" s="111">
        <f t="shared" si="138"/>
        <v>10</v>
      </c>
      <c r="E7681" s="111"/>
    </row>
    <row r="7682" spans="1:5" x14ac:dyDescent="0.2">
      <c r="A7682" s="112">
        <f t="shared" si="137"/>
        <v>42380</v>
      </c>
      <c r="B7682" s="111">
        <f t="shared" ref="B7682:B7745" si="139">VLOOKUP(WEEKNUM(A7682),$D$3:$E$58,2)</f>
        <v>13</v>
      </c>
      <c r="C7682" s="111"/>
      <c r="D7682" s="111">
        <f t="shared" si="138"/>
        <v>11</v>
      </c>
      <c r="E7682" s="111"/>
    </row>
    <row r="7683" spans="1:5" x14ac:dyDescent="0.2">
      <c r="A7683" s="112">
        <f t="shared" si="137"/>
        <v>42381</v>
      </c>
      <c r="B7683" s="111">
        <f t="shared" si="139"/>
        <v>13</v>
      </c>
      <c r="C7683" s="111"/>
      <c r="D7683" s="111">
        <f t="shared" si="138"/>
        <v>12</v>
      </c>
      <c r="E7683" s="111"/>
    </row>
    <row r="7684" spans="1:5" x14ac:dyDescent="0.2">
      <c r="A7684" s="112">
        <f t="shared" si="137"/>
        <v>42382</v>
      </c>
      <c r="B7684" s="111">
        <f t="shared" si="139"/>
        <v>13</v>
      </c>
      <c r="C7684" s="111"/>
      <c r="D7684" s="111">
        <f t="shared" si="138"/>
        <v>13</v>
      </c>
      <c r="E7684" s="111"/>
    </row>
    <row r="7685" spans="1:5" x14ac:dyDescent="0.2">
      <c r="A7685" s="112">
        <f t="shared" si="137"/>
        <v>42383</v>
      </c>
      <c r="B7685" s="111">
        <f t="shared" si="139"/>
        <v>13</v>
      </c>
      <c r="C7685" s="111"/>
      <c r="D7685" s="111">
        <f t="shared" si="138"/>
        <v>14</v>
      </c>
      <c r="E7685" s="111"/>
    </row>
    <row r="7686" spans="1:5" x14ac:dyDescent="0.2">
      <c r="A7686" s="112">
        <f t="shared" si="137"/>
        <v>42384</v>
      </c>
      <c r="B7686" s="111">
        <f t="shared" si="139"/>
        <v>13</v>
      </c>
      <c r="C7686" s="111"/>
      <c r="D7686" s="111">
        <f t="shared" si="138"/>
        <v>15</v>
      </c>
      <c r="E7686" s="111"/>
    </row>
    <row r="7687" spans="1:5" x14ac:dyDescent="0.2">
      <c r="A7687" s="112">
        <f t="shared" si="137"/>
        <v>42385</v>
      </c>
      <c r="B7687" s="111">
        <f t="shared" si="139"/>
        <v>13</v>
      </c>
      <c r="C7687" s="111"/>
      <c r="D7687" s="111">
        <f t="shared" si="138"/>
        <v>16</v>
      </c>
      <c r="E7687" s="111"/>
    </row>
    <row r="7688" spans="1:5" x14ac:dyDescent="0.2">
      <c r="A7688" s="112">
        <f t="shared" si="137"/>
        <v>42386</v>
      </c>
      <c r="B7688" s="111">
        <f t="shared" si="139"/>
        <v>14</v>
      </c>
      <c r="C7688" s="111"/>
      <c r="D7688" s="111">
        <f t="shared" si="138"/>
        <v>17</v>
      </c>
      <c r="E7688" s="111"/>
    </row>
    <row r="7689" spans="1:5" x14ac:dyDescent="0.2">
      <c r="A7689" s="112">
        <f t="shared" si="137"/>
        <v>42387</v>
      </c>
      <c r="B7689" s="111">
        <f t="shared" si="139"/>
        <v>14</v>
      </c>
      <c r="C7689" s="111"/>
      <c r="D7689" s="111">
        <f t="shared" si="138"/>
        <v>18</v>
      </c>
      <c r="E7689" s="111"/>
    </row>
    <row r="7690" spans="1:5" x14ac:dyDescent="0.2">
      <c r="A7690" s="112">
        <f t="shared" si="137"/>
        <v>42388</v>
      </c>
      <c r="B7690" s="111">
        <f t="shared" si="139"/>
        <v>14</v>
      </c>
      <c r="C7690" s="111"/>
      <c r="D7690" s="111">
        <f t="shared" si="138"/>
        <v>19</v>
      </c>
      <c r="E7690" s="111"/>
    </row>
    <row r="7691" spans="1:5" x14ac:dyDescent="0.2">
      <c r="A7691" s="112">
        <f t="shared" si="137"/>
        <v>42389</v>
      </c>
      <c r="B7691" s="111">
        <f t="shared" si="139"/>
        <v>14</v>
      </c>
      <c r="C7691" s="111"/>
      <c r="D7691" s="111">
        <f t="shared" si="138"/>
        <v>20</v>
      </c>
      <c r="E7691" s="111"/>
    </row>
    <row r="7692" spans="1:5" x14ac:dyDescent="0.2">
      <c r="A7692" s="112">
        <f t="shared" si="137"/>
        <v>42390</v>
      </c>
      <c r="B7692" s="111">
        <f t="shared" si="139"/>
        <v>14</v>
      </c>
      <c r="C7692" s="111"/>
      <c r="D7692" s="111">
        <f t="shared" si="138"/>
        <v>21</v>
      </c>
      <c r="E7692" s="111"/>
    </row>
    <row r="7693" spans="1:5" x14ac:dyDescent="0.2">
      <c r="A7693" s="112">
        <f t="shared" si="137"/>
        <v>42391</v>
      </c>
      <c r="B7693" s="111">
        <f t="shared" si="139"/>
        <v>14</v>
      </c>
      <c r="C7693" s="111"/>
      <c r="D7693" s="111">
        <f t="shared" si="138"/>
        <v>22</v>
      </c>
      <c r="E7693" s="111"/>
    </row>
    <row r="7694" spans="1:5" x14ac:dyDescent="0.2">
      <c r="A7694" s="112">
        <f t="shared" si="137"/>
        <v>42392</v>
      </c>
      <c r="B7694" s="111">
        <f t="shared" si="139"/>
        <v>14</v>
      </c>
      <c r="C7694" s="111"/>
      <c r="D7694" s="111">
        <f t="shared" si="138"/>
        <v>23</v>
      </c>
      <c r="E7694" s="111"/>
    </row>
    <row r="7695" spans="1:5" x14ac:dyDescent="0.2">
      <c r="A7695" s="112">
        <f t="shared" si="137"/>
        <v>42393</v>
      </c>
      <c r="B7695" s="111">
        <f t="shared" si="139"/>
        <v>15</v>
      </c>
      <c r="C7695" s="111"/>
      <c r="D7695" s="111">
        <f t="shared" si="138"/>
        <v>24</v>
      </c>
      <c r="E7695" s="111"/>
    </row>
    <row r="7696" spans="1:5" x14ac:dyDescent="0.2">
      <c r="A7696" s="112">
        <f t="shared" si="137"/>
        <v>42394</v>
      </c>
      <c r="B7696" s="111">
        <f t="shared" si="139"/>
        <v>15</v>
      </c>
      <c r="C7696" s="111"/>
      <c r="D7696" s="111">
        <f t="shared" si="138"/>
        <v>25</v>
      </c>
      <c r="E7696" s="111"/>
    </row>
    <row r="7697" spans="1:5" x14ac:dyDescent="0.2">
      <c r="A7697" s="112">
        <f t="shared" si="137"/>
        <v>42395</v>
      </c>
      <c r="B7697" s="111">
        <f t="shared" si="139"/>
        <v>15</v>
      </c>
      <c r="C7697" s="111"/>
      <c r="D7697" s="111">
        <f t="shared" si="138"/>
        <v>26</v>
      </c>
      <c r="E7697" s="111"/>
    </row>
    <row r="7698" spans="1:5" x14ac:dyDescent="0.2">
      <c r="A7698" s="112">
        <f t="shared" si="137"/>
        <v>42396</v>
      </c>
      <c r="B7698" s="111">
        <f t="shared" si="139"/>
        <v>15</v>
      </c>
      <c r="C7698" s="111"/>
      <c r="D7698" s="111">
        <f t="shared" si="138"/>
        <v>27</v>
      </c>
      <c r="E7698" s="111"/>
    </row>
    <row r="7699" spans="1:5" x14ac:dyDescent="0.2">
      <c r="A7699" s="112">
        <f t="shared" si="137"/>
        <v>42397</v>
      </c>
      <c r="B7699" s="111">
        <f t="shared" si="139"/>
        <v>15</v>
      </c>
      <c r="C7699" s="111"/>
      <c r="D7699" s="111">
        <f t="shared" si="138"/>
        <v>28</v>
      </c>
      <c r="E7699" s="111"/>
    </row>
    <row r="7700" spans="1:5" x14ac:dyDescent="0.2">
      <c r="A7700" s="112">
        <f t="shared" si="137"/>
        <v>42398</v>
      </c>
      <c r="B7700" s="111">
        <f t="shared" si="139"/>
        <v>15</v>
      </c>
      <c r="C7700" s="111"/>
      <c r="D7700" s="111">
        <f t="shared" si="138"/>
        <v>29</v>
      </c>
      <c r="E7700" s="111"/>
    </row>
    <row r="7701" spans="1:5" x14ac:dyDescent="0.2">
      <c r="A7701" s="112">
        <f t="shared" si="137"/>
        <v>42399</v>
      </c>
      <c r="B7701" s="111">
        <f t="shared" si="139"/>
        <v>15</v>
      </c>
      <c r="C7701" s="111"/>
      <c r="D7701" s="111">
        <f t="shared" si="138"/>
        <v>30</v>
      </c>
      <c r="E7701" s="111"/>
    </row>
    <row r="7702" spans="1:5" x14ac:dyDescent="0.2">
      <c r="A7702" s="112">
        <f t="shared" si="137"/>
        <v>42400</v>
      </c>
      <c r="B7702" s="111">
        <f t="shared" si="139"/>
        <v>21</v>
      </c>
      <c r="C7702" s="111"/>
      <c r="D7702" s="111">
        <f t="shared" si="138"/>
        <v>31</v>
      </c>
      <c r="E7702" s="111"/>
    </row>
    <row r="7703" spans="1:5" x14ac:dyDescent="0.2">
      <c r="A7703" s="112">
        <f t="shared" si="137"/>
        <v>42401</v>
      </c>
      <c r="B7703" s="111">
        <f t="shared" si="139"/>
        <v>21</v>
      </c>
      <c r="C7703" s="111"/>
      <c r="D7703" s="111">
        <f t="shared" si="138"/>
        <v>32</v>
      </c>
      <c r="E7703" s="111"/>
    </row>
    <row r="7704" spans="1:5" x14ac:dyDescent="0.2">
      <c r="A7704" s="112">
        <f t="shared" si="137"/>
        <v>42402</v>
      </c>
      <c r="B7704" s="111">
        <f t="shared" si="139"/>
        <v>21</v>
      </c>
      <c r="C7704" s="111"/>
      <c r="D7704" s="111">
        <f t="shared" si="138"/>
        <v>33</v>
      </c>
      <c r="E7704" s="111"/>
    </row>
    <row r="7705" spans="1:5" x14ac:dyDescent="0.2">
      <c r="A7705" s="112">
        <f t="shared" si="137"/>
        <v>42403</v>
      </c>
      <c r="B7705" s="111">
        <f t="shared" si="139"/>
        <v>21</v>
      </c>
      <c r="C7705" s="111"/>
      <c r="D7705" s="111">
        <f t="shared" si="138"/>
        <v>34</v>
      </c>
      <c r="E7705" s="111"/>
    </row>
    <row r="7706" spans="1:5" x14ac:dyDescent="0.2">
      <c r="A7706" s="112">
        <f t="shared" si="137"/>
        <v>42404</v>
      </c>
      <c r="B7706" s="111">
        <f t="shared" si="139"/>
        <v>21</v>
      </c>
      <c r="C7706" s="111"/>
      <c r="D7706" s="111">
        <f t="shared" si="138"/>
        <v>35</v>
      </c>
      <c r="E7706" s="111"/>
    </row>
    <row r="7707" spans="1:5" x14ac:dyDescent="0.2">
      <c r="A7707" s="112">
        <f t="shared" si="137"/>
        <v>42405</v>
      </c>
      <c r="B7707" s="111">
        <f t="shared" si="139"/>
        <v>21</v>
      </c>
      <c r="C7707" s="111"/>
      <c r="D7707" s="111">
        <f t="shared" si="138"/>
        <v>36</v>
      </c>
      <c r="E7707" s="111"/>
    </row>
    <row r="7708" spans="1:5" x14ac:dyDescent="0.2">
      <c r="A7708" s="112">
        <f t="shared" si="137"/>
        <v>42406</v>
      </c>
      <c r="B7708" s="111">
        <f t="shared" si="139"/>
        <v>21</v>
      </c>
      <c r="C7708" s="111"/>
      <c r="D7708" s="111">
        <f t="shared" si="138"/>
        <v>37</v>
      </c>
      <c r="E7708" s="111"/>
    </row>
    <row r="7709" spans="1:5" x14ac:dyDescent="0.2">
      <c r="A7709" s="112">
        <f t="shared" si="137"/>
        <v>42407</v>
      </c>
      <c r="B7709" s="111">
        <f t="shared" si="139"/>
        <v>22</v>
      </c>
      <c r="C7709" s="111"/>
      <c r="D7709" s="111">
        <f t="shared" si="138"/>
        <v>38</v>
      </c>
      <c r="E7709" s="111"/>
    </row>
    <row r="7710" spans="1:5" x14ac:dyDescent="0.2">
      <c r="A7710" s="112">
        <f t="shared" si="137"/>
        <v>42408</v>
      </c>
      <c r="B7710" s="111">
        <f t="shared" si="139"/>
        <v>22</v>
      </c>
      <c r="C7710" s="111"/>
      <c r="D7710" s="111">
        <f t="shared" si="138"/>
        <v>39</v>
      </c>
      <c r="E7710" s="111"/>
    </row>
    <row r="7711" spans="1:5" x14ac:dyDescent="0.2">
      <c r="A7711" s="112">
        <f t="shared" ref="A7711:A7774" si="140">A7710+1</f>
        <v>42409</v>
      </c>
      <c r="B7711" s="111">
        <f t="shared" si="139"/>
        <v>22</v>
      </c>
      <c r="C7711" s="111"/>
      <c r="D7711" s="111">
        <f t="shared" si="138"/>
        <v>40</v>
      </c>
      <c r="E7711" s="111"/>
    </row>
    <row r="7712" spans="1:5" x14ac:dyDescent="0.2">
      <c r="A7712" s="112">
        <f t="shared" si="140"/>
        <v>42410</v>
      </c>
      <c r="B7712" s="111">
        <f t="shared" si="139"/>
        <v>22</v>
      </c>
      <c r="C7712" s="111"/>
      <c r="D7712" s="111">
        <f t="shared" si="138"/>
        <v>41</v>
      </c>
      <c r="E7712" s="111"/>
    </row>
    <row r="7713" spans="1:5" x14ac:dyDescent="0.2">
      <c r="A7713" s="112">
        <f t="shared" si="140"/>
        <v>42411</v>
      </c>
      <c r="B7713" s="111">
        <f t="shared" si="139"/>
        <v>22</v>
      </c>
      <c r="C7713" s="111"/>
      <c r="D7713" s="111">
        <f t="shared" si="138"/>
        <v>42</v>
      </c>
      <c r="E7713" s="111"/>
    </row>
    <row r="7714" spans="1:5" x14ac:dyDescent="0.2">
      <c r="A7714" s="112">
        <f t="shared" si="140"/>
        <v>42412</v>
      </c>
      <c r="B7714" s="111">
        <f t="shared" si="139"/>
        <v>22</v>
      </c>
      <c r="C7714" s="111"/>
      <c r="D7714" s="111">
        <f t="shared" si="138"/>
        <v>43</v>
      </c>
      <c r="E7714" s="111"/>
    </row>
    <row r="7715" spans="1:5" x14ac:dyDescent="0.2">
      <c r="A7715" s="112">
        <f t="shared" si="140"/>
        <v>42413</v>
      </c>
      <c r="B7715" s="111">
        <f t="shared" si="139"/>
        <v>22</v>
      </c>
      <c r="C7715" s="111"/>
      <c r="D7715" s="111">
        <f t="shared" si="138"/>
        <v>44</v>
      </c>
      <c r="E7715" s="111"/>
    </row>
    <row r="7716" spans="1:5" x14ac:dyDescent="0.2">
      <c r="A7716" s="112">
        <f t="shared" si="140"/>
        <v>42414</v>
      </c>
      <c r="B7716" s="111">
        <f t="shared" si="139"/>
        <v>23</v>
      </c>
      <c r="C7716" s="111"/>
      <c r="D7716" s="111">
        <f t="shared" si="138"/>
        <v>45</v>
      </c>
      <c r="E7716" s="111"/>
    </row>
    <row r="7717" spans="1:5" x14ac:dyDescent="0.2">
      <c r="A7717" s="112">
        <f t="shared" si="140"/>
        <v>42415</v>
      </c>
      <c r="B7717" s="111">
        <f t="shared" si="139"/>
        <v>23</v>
      </c>
      <c r="C7717" s="111"/>
      <c r="D7717" s="111">
        <f t="shared" si="138"/>
        <v>46</v>
      </c>
      <c r="E7717" s="111"/>
    </row>
    <row r="7718" spans="1:5" x14ac:dyDescent="0.2">
      <c r="A7718" s="112">
        <f t="shared" si="140"/>
        <v>42416</v>
      </c>
      <c r="B7718" s="111">
        <f t="shared" si="139"/>
        <v>23</v>
      </c>
      <c r="C7718" s="111"/>
      <c r="D7718" s="111">
        <f t="shared" si="138"/>
        <v>47</v>
      </c>
      <c r="E7718" s="111"/>
    </row>
    <row r="7719" spans="1:5" x14ac:dyDescent="0.2">
      <c r="A7719" s="112">
        <f t="shared" si="140"/>
        <v>42417</v>
      </c>
      <c r="B7719" s="111">
        <f t="shared" si="139"/>
        <v>23</v>
      </c>
      <c r="C7719" s="111"/>
      <c r="D7719" s="111">
        <f t="shared" si="138"/>
        <v>48</v>
      </c>
      <c r="E7719" s="111"/>
    </row>
    <row r="7720" spans="1:5" x14ac:dyDescent="0.2">
      <c r="A7720" s="112">
        <f t="shared" si="140"/>
        <v>42418</v>
      </c>
      <c r="B7720" s="111">
        <f t="shared" si="139"/>
        <v>23</v>
      </c>
      <c r="C7720" s="111"/>
      <c r="D7720" s="111">
        <f t="shared" si="138"/>
        <v>49</v>
      </c>
      <c r="E7720" s="111"/>
    </row>
    <row r="7721" spans="1:5" x14ac:dyDescent="0.2">
      <c r="A7721" s="112">
        <f t="shared" si="140"/>
        <v>42419</v>
      </c>
      <c r="B7721" s="111">
        <f t="shared" si="139"/>
        <v>23</v>
      </c>
      <c r="C7721" s="111"/>
      <c r="D7721" s="111">
        <f t="shared" si="138"/>
        <v>50</v>
      </c>
      <c r="E7721" s="111"/>
    </row>
    <row r="7722" spans="1:5" x14ac:dyDescent="0.2">
      <c r="A7722" s="112">
        <f t="shared" si="140"/>
        <v>42420</v>
      </c>
      <c r="B7722" s="111">
        <f t="shared" si="139"/>
        <v>23</v>
      </c>
      <c r="C7722" s="111"/>
      <c r="D7722" s="111">
        <f t="shared" si="138"/>
        <v>51</v>
      </c>
      <c r="E7722" s="111"/>
    </row>
    <row r="7723" spans="1:5" x14ac:dyDescent="0.2">
      <c r="A7723" s="112">
        <f t="shared" si="140"/>
        <v>42421</v>
      </c>
      <c r="B7723" s="111">
        <f t="shared" si="139"/>
        <v>24</v>
      </c>
      <c r="C7723" s="111"/>
      <c r="D7723" s="111">
        <f t="shared" si="138"/>
        <v>52</v>
      </c>
      <c r="E7723" s="111"/>
    </row>
    <row r="7724" spans="1:5" x14ac:dyDescent="0.2">
      <c r="A7724" s="112">
        <f t="shared" si="140"/>
        <v>42422</v>
      </c>
      <c r="B7724" s="111">
        <f t="shared" si="139"/>
        <v>24</v>
      </c>
      <c r="C7724" s="111"/>
      <c r="D7724" s="111">
        <f t="shared" si="138"/>
        <v>53</v>
      </c>
      <c r="E7724" s="111"/>
    </row>
    <row r="7725" spans="1:5" x14ac:dyDescent="0.2">
      <c r="A7725" s="112">
        <f t="shared" si="140"/>
        <v>42423</v>
      </c>
      <c r="B7725" s="111">
        <f t="shared" si="139"/>
        <v>24</v>
      </c>
      <c r="C7725" s="111"/>
      <c r="D7725" s="111">
        <f t="shared" si="138"/>
        <v>54</v>
      </c>
      <c r="E7725" s="111"/>
    </row>
    <row r="7726" spans="1:5" x14ac:dyDescent="0.2">
      <c r="A7726" s="112">
        <f t="shared" si="140"/>
        <v>42424</v>
      </c>
      <c r="B7726" s="111">
        <f t="shared" si="139"/>
        <v>24</v>
      </c>
      <c r="C7726" s="111"/>
      <c r="D7726" s="111">
        <f t="shared" si="138"/>
        <v>55</v>
      </c>
      <c r="E7726" s="111"/>
    </row>
    <row r="7727" spans="1:5" x14ac:dyDescent="0.2">
      <c r="A7727" s="112">
        <f t="shared" si="140"/>
        <v>42425</v>
      </c>
      <c r="B7727" s="111">
        <f t="shared" si="139"/>
        <v>24</v>
      </c>
      <c r="C7727" s="111"/>
      <c r="D7727" s="111">
        <f t="shared" si="138"/>
        <v>56</v>
      </c>
      <c r="E7727" s="111"/>
    </row>
    <row r="7728" spans="1:5" x14ac:dyDescent="0.2">
      <c r="A7728" s="112">
        <f t="shared" si="140"/>
        <v>42426</v>
      </c>
      <c r="B7728" s="111">
        <f t="shared" si="139"/>
        <v>24</v>
      </c>
      <c r="C7728" s="111"/>
      <c r="D7728" s="111">
        <f t="shared" si="138"/>
        <v>57</v>
      </c>
      <c r="E7728" s="111"/>
    </row>
    <row r="7729" spans="1:5" x14ac:dyDescent="0.2">
      <c r="A7729" s="112">
        <f t="shared" si="140"/>
        <v>42427</v>
      </c>
      <c r="B7729" s="111">
        <f t="shared" si="139"/>
        <v>24</v>
      </c>
      <c r="C7729" s="111"/>
      <c r="D7729" s="111">
        <f t="shared" si="138"/>
        <v>58</v>
      </c>
      <c r="E7729" s="111"/>
    </row>
    <row r="7730" spans="1:5" x14ac:dyDescent="0.2">
      <c r="A7730" s="112">
        <f t="shared" si="140"/>
        <v>42428</v>
      </c>
      <c r="B7730" s="111">
        <f t="shared" si="139"/>
        <v>31</v>
      </c>
      <c r="C7730" s="111"/>
      <c r="D7730" s="111">
        <f t="shared" si="138"/>
        <v>59</v>
      </c>
      <c r="E7730" s="111"/>
    </row>
    <row r="7731" spans="1:5" x14ac:dyDescent="0.2">
      <c r="A7731" s="112">
        <f t="shared" si="140"/>
        <v>42429</v>
      </c>
      <c r="B7731" s="111">
        <f t="shared" si="139"/>
        <v>31</v>
      </c>
      <c r="C7731" s="111"/>
      <c r="D7731" s="111">
        <f t="shared" si="138"/>
        <v>60</v>
      </c>
      <c r="E7731" s="111"/>
    </row>
    <row r="7732" spans="1:5" x14ac:dyDescent="0.2">
      <c r="A7732" s="112">
        <f t="shared" si="140"/>
        <v>42430</v>
      </c>
      <c r="B7732" s="111">
        <f t="shared" si="139"/>
        <v>31</v>
      </c>
      <c r="C7732" s="111"/>
      <c r="D7732" s="111">
        <f t="shared" si="138"/>
        <v>61</v>
      </c>
      <c r="E7732" s="111"/>
    </row>
    <row r="7733" spans="1:5" x14ac:dyDescent="0.2">
      <c r="A7733" s="112">
        <f t="shared" si="140"/>
        <v>42431</v>
      </c>
      <c r="B7733" s="111">
        <f t="shared" si="139"/>
        <v>31</v>
      </c>
      <c r="C7733" s="111"/>
      <c r="D7733" s="111">
        <f t="shared" si="138"/>
        <v>62</v>
      </c>
      <c r="E7733" s="111"/>
    </row>
    <row r="7734" spans="1:5" x14ac:dyDescent="0.2">
      <c r="A7734" s="112">
        <f t="shared" si="140"/>
        <v>42432</v>
      </c>
      <c r="B7734" s="111">
        <f t="shared" si="139"/>
        <v>31</v>
      </c>
      <c r="C7734" s="111"/>
      <c r="D7734" s="111">
        <f t="shared" si="138"/>
        <v>63</v>
      </c>
      <c r="E7734" s="111"/>
    </row>
    <row r="7735" spans="1:5" x14ac:dyDescent="0.2">
      <c r="A7735" s="112">
        <f t="shared" si="140"/>
        <v>42433</v>
      </c>
      <c r="B7735" s="111">
        <f t="shared" si="139"/>
        <v>31</v>
      </c>
      <c r="C7735" s="111"/>
      <c r="D7735" s="111">
        <f t="shared" si="138"/>
        <v>64</v>
      </c>
      <c r="E7735" s="111"/>
    </row>
    <row r="7736" spans="1:5" x14ac:dyDescent="0.2">
      <c r="A7736" s="112">
        <f t="shared" si="140"/>
        <v>42434</v>
      </c>
      <c r="B7736" s="111">
        <f t="shared" si="139"/>
        <v>31</v>
      </c>
      <c r="C7736" s="111"/>
      <c r="D7736" s="111">
        <f t="shared" si="138"/>
        <v>65</v>
      </c>
      <c r="E7736" s="111"/>
    </row>
    <row r="7737" spans="1:5" x14ac:dyDescent="0.2">
      <c r="A7737" s="112">
        <f t="shared" si="140"/>
        <v>42435</v>
      </c>
      <c r="B7737" s="111">
        <f t="shared" si="139"/>
        <v>32</v>
      </c>
      <c r="C7737" s="111"/>
      <c r="D7737" s="111">
        <f t="shared" ref="D7737:D7800" si="141">D7736+1</f>
        <v>66</v>
      </c>
      <c r="E7737" s="111"/>
    </row>
    <row r="7738" spans="1:5" x14ac:dyDescent="0.2">
      <c r="A7738" s="112">
        <f t="shared" si="140"/>
        <v>42436</v>
      </c>
      <c r="B7738" s="111">
        <f t="shared" si="139"/>
        <v>32</v>
      </c>
      <c r="C7738" s="111"/>
      <c r="D7738" s="111">
        <f t="shared" si="141"/>
        <v>67</v>
      </c>
      <c r="E7738" s="111"/>
    </row>
    <row r="7739" spans="1:5" x14ac:dyDescent="0.2">
      <c r="A7739" s="112">
        <f t="shared" si="140"/>
        <v>42437</v>
      </c>
      <c r="B7739" s="111">
        <f t="shared" si="139"/>
        <v>32</v>
      </c>
      <c r="C7739" s="111"/>
      <c r="D7739" s="111">
        <f t="shared" si="141"/>
        <v>68</v>
      </c>
      <c r="E7739" s="111"/>
    </row>
    <row r="7740" spans="1:5" x14ac:dyDescent="0.2">
      <c r="A7740" s="112">
        <f t="shared" si="140"/>
        <v>42438</v>
      </c>
      <c r="B7740" s="111">
        <f t="shared" si="139"/>
        <v>32</v>
      </c>
      <c r="C7740" s="111"/>
      <c r="D7740" s="111">
        <f t="shared" si="141"/>
        <v>69</v>
      </c>
      <c r="E7740" s="111"/>
    </row>
    <row r="7741" spans="1:5" x14ac:dyDescent="0.2">
      <c r="A7741" s="112">
        <f t="shared" si="140"/>
        <v>42439</v>
      </c>
      <c r="B7741" s="111">
        <f t="shared" si="139"/>
        <v>32</v>
      </c>
      <c r="C7741" s="111"/>
      <c r="D7741" s="111">
        <f t="shared" si="141"/>
        <v>70</v>
      </c>
      <c r="E7741" s="111"/>
    </row>
    <row r="7742" spans="1:5" x14ac:dyDescent="0.2">
      <c r="A7742" s="112">
        <f t="shared" si="140"/>
        <v>42440</v>
      </c>
      <c r="B7742" s="111">
        <f t="shared" si="139"/>
        <v>32</v>
      </c>
      <c r="C7742" s="111"/>
      <c r="D7742" s="111">
        <f t="shared" si="141"/>
        <v>71</v>
      </c>
      <c r="E7742" s="111"/>
    </row>
    <row r="7743" spans="1:5" x14ac:dyDescent="0.2">
      <c r="A7743" s="112">
        <f t="shared" si="140"/>
        <v>42441</v>
      </c>
      <c r="B7743" s="111">
        <f t="shared" si="139"/>
        <v>32</v>
      </c>
      <c r="C7743" s="111"/>
      <c r="D7743" s="111">
        <f t="shared" si="141"/>
        <v>72</v>
      </c>
      <c r="E7743" s="111"/>
    </row>
    <row r="7744" spans="1:5" x14ac:dyDescent="0.2">
      <c r="A7744" s="112">
        <f t="shared" si="140"/>
        <v>42442</v>
      </c>
      <c r="B7744" s="111">
        <f t="shared" si="139"/>
        <v>33</v>
      </c>
      <c r="C7744" s="111"/>
      <c r="D7744" s="111">
        <f t="shared" si="141"/>
        <v>73</v>
      </c>
      <c r="E7744" s="111"/>
    </row>
    <row r="7745" spans="1:5" x14ac:dyDescent="0.2">
      <c r="A7745" s="112">
        <f t="shared" si="140"/>
        <v>42443</v>
      </c>
      <c r="B7745" s="111">
        <f t="shared" si="139"/>
        <v>33</v>
      </c>
      <c r="C7745" s="111"/>
      <c r="D7745" s="111">
        <f t="shared" si="141"/>
        <v>74</v>
      </c>
      <c r="E7745" s="111"/>
    </row>
    <row r="7746" spans="1:5" x14ac:dyDescent="0.2">
      <c r="A7746" s="112">
        <f t="shared" si="140"/>
        <v>42444</v>
      </c>
      <c r="B7746" s="111">
        <f t="shared" ref="B7746:B7809" si="142">VLOOKUP(WEEKNUM(A7746),$D$3:$E$58,2)</f>
        <v>33</v>
      </c>
      <c r="C7746" s="111"/>
      <c r="D7746" s="111">
        <f t="shared" si="141"/>
        <v>75</v>
      </c>
      <c r="E7746" s="111"/>
    </row>
    <row r="7747" spans="1:5" x14ac:dyDescent="0.2">
      <c r="A7747" s="112">
        <f t="shared" si="140"/>
        <v>42445</v>
      </c>
      <c r="B7747" s="111">
        <f t="shared" si="142"/>
        <v>33</v>
      </c>
      <c r="C7747" s="111"/>
      <c r="D7747" s="111">
        <f t="shared" si="141"/>
        <v>76</v>
      </c>
      <c r="E7747" s="111"/>
    </row>
    <row r="7748" spans="1:5" x14ac:dyDescent="0.2">
      <c r="A7748" s="112">
        <f t="shared" si="140"/>
        <v>42446</v>
      </c>
      <c r="B7748" s="111">
        <f t="shared" si="142"/>
        <v>33</v>
      </c>
      <c r="C7748" s="111"/>
      <c r="D7748" s="111">
        <f t="shared" si="141"/>
        <v>77</v>
      </c>
      <c r="E7748" s="111"/>
    </row>
    <row r="7749" spans="1:5" x14ac:dyDescent="0.2">
      <c r="A7749" s="112">
        <f t="shared" si="140"/>
        <v>42447</v>
      </c>
      <c r="B7749" s="111">
        <f t="shared" si="142"/>
        <v>33</v>
      </c>
      <c r="C7749" s="111"/>
      <c r="D7749" s="111">
        <f t="shared" si="141"/>
        <v>78</v>
      </c>
      <c r="E7749" s="111"/>
    </row>
    <row r="7750" spans="1:5" x14ac:dyDescent="0.2">
      <c r="A7750" s="112">
        <f t="shared" si="140"/>
        <v>42448</v>
      </c>
      <c r="B7750" s="111">
        <f t="shared" si="142"/>
        <v>33</v>
      </c>
      <c r="C7750" s="111"/>
      <c r="D7750" s="111">
        <f t="shared" si="141"/>
        <v>79</v>
      </c>
      <c r="E7750" s="111"/>
    </row>
    <row r="7751" spans="1:5" x14ac:dyDescent="0.2">
      <c r="A7751" s="112">
        <f t="shared" si="140"/>
        <v>42449</v>
      </c>
      <c r="B7751" s="111">
        <f t="shared" si="142"/>
        <v>34</v>
      </c>
      <c r="C7751" s="111"/>
      <c r="D7751" s="111">
        <f t="shared" si="141"/>
        <v>80</v>
      </c>
      <c r="E7751" s="111"/>
    </row>
    <row r="7752" spans="1:5" x14ac:dyDescent="0.2">
      <c r="A7752" s="112">
        <f t="shared" si="140"/>
        <v>42450</v>
      </c>
      <c r="B7752" s="111">
        <f t="shared" si="142"/>
        <v>34</v>
      </c>
      <c r="C7752" s="111"/>
      <c r="D7752" s="111">
        <f t="shared" si="141"/>
        <v>81</v>
      </c>
      <c r="E7752" s="111"/>
    </row>
    <row r="7753" spans="1:5" x14ac:dyDescent="0.2">
      <c r="A7753" s="112">
        <f t="shared" si="140"/>
        <v>42451</v>
      </c>
      <c r="B7753" s="111">
        <f t="shared" si="142"/>
        <v>34</v>
      </c>
      <c r="C7753" s="111"/>
      <c r="D7753" s="111">
        <f t="shared" si="141"/>
        <v>82</v>
      </c>
      <c r="E7753" s="111"/>
    </row>
    <row r="7754" spans="1:5" x14ac:dyDescent="0.2">
      <c r="A7754" s="112">
        <f t="shared" si="140"/>
        <v>42452</v>
      </c>
      <c r="B7754" s="111">
        <f t="shared" si="142"/>
        <v>34</v>
      </c>
      <c r="C7754" s="111"/>
      <c r="D7754" s="111">
        <f t="shared" si="141"/>
        <v>83</v>
      </c>
      <c r="E7754" s="111"/>
    </row>
    <row r="7755" spans="1:5" x14ac:dyDescent="0.2">
      <c r="A7755" s="112">
        <f t="shared" si="140"/>
        <v>42453</v>
      </c>
      <c r="B7755" s="111">
        <f t="shared" si="142"/>
        <v>34</v>
      </c>
      <c r="C7755" s="111"/>
      <c r="D7755" s="111">
        <f t="shared" si="141"/>
        <v>84</v>
      </c>
      <c r="E7755" s="111"/>
    </row>
    <row r="7756" spans="1:5" x14ac:dyDescent="0.2">
      <c r="A7756" s="112">
        <f t="shared" si="140"/>
        <v>42454</v>
      </c>
      <c r="B7756" s="111">
        <f t="shared" si="142"/>
        <v>34</v>
      </c>
      <c r="C7756" s="111"/>
      <c r="D7756" s="111">
        <f t="shared" si="141"/>
        <v>85</v>
      </c>
      <c r="E7756" s="111"/>
    </row>
    <row r="7757" spans="1:5" x14ac:dyDescent="0.2">
      <c r="A7757" s="112">
        <f t="shared" si="140"/>
        <v>42455</v>
      </c>
      <c r="B7757" s="111">
        <f t="shared" si="142"/>
        <v>34</v>
      </c>
      <c r="C7757" s="111"/>
      <c r="D7757" s="111">
        <f t="shared" si="141"/>
        <v>86</v>
      </c>
      <c r="E7757" s="111"/>
    </row>
    <row r="7758" spans="1:5" x14ac:dyDescent="0.2">
      <c r="A7758" s="112">
        <f t="shared" si="140"/>
        <v>42456</v>
      </c>
      <c r="B7758" s="111">
        <f t="shared" si="142"/>
        <v>41</v>
      </c>
      <c r="C7758" s="111"/>
      <c r="D7758" s="111">
        <f t="shared" si="141"/>
        <v>87</v>
      </c>
      <c r="E7758" s="111"/>
    </row>
    <row r="7759" spans="1:5" x14ac:dyDescent="0.2">
      <c r="A7759" s="112">
        <f t="shared" si="140"/>
        <v>42457</v>
      </c>
      <c r="B7759" s="111">
        <f t="shared" si="142"/>
        <v>41</v>
      </c>
      <c r="C7759" s="111"/>
      <c r="D7759" s="111">
        <f t="shared" si="141"/>
        <v>88</v>
      </c>
      <c r="E7759" s="111"/>
    </row>
    <row r="7760" spans="1:5" x14ac:dyDescent="0.2">
      <c r="A7760" s="112">
        <f t="shared" si="140"/>
        <v>42458</v>
      </c>
      <c r="B7760" s="111">
        <f t="shared" si="142"/>
        <v>41</v>
      </c>
      <c r="C7760" s="111"/>
      <c r="D7760" s="111">
        <f t="shared" si="141"/>
        <v>89</v>
      </c>
      <c r="E7760" s="111"/>
    </row>
    <row r="7761" spans="1:5" x14ac:dyDescent="0.2">
      <c r="A7761" s="112">
        <f t="shared" si="140"/>
        <v>42459</v>
      </c>
      <c r="B7761" s="111">
        <f t="shared" si="142"/>
        <v>41</v>
      </c>
      <c r="C7761" s="111"/>
      <c r="D7761" s="111">
        <f t="shared" si="141"/>
        <v>90</v>
      </c>
      <c r="E7761" s="111"/>
    </row>
    <row r="7762" spans="1:5" x14ac:dyDescent="0.2">
      <c r="A7762" s="112">
        <f t="shared" si="140"/>
        <v>42460</v>
      </c>
      <c r="B7762" s="111">
        <f t="shared" si="142"/>
        <v>41</v>
      </c>
      <c r="C7762" s="111"/>
      <c r="D7762" s="111">
        <f t="shared" si="141"/>
        <v>91</v>
      </c>
      <c r="E7762" s="111"/>
    </row>
    <row r="7763" spans="1:5" x14ac:dyDescent="0.2">
      <c r="A7763" s="112">
        <f t="shared" si="140"/>
        <v>42461</v>
      </c>
      <c r="B7763" s="111">
        <f t="shared" si="142"/>
        <v>41</v>
      </c>
      <c r="C7763" s="111"/>
      <c r="D7763" s="111">
        <f t="shared" si="141"/>
        <v>92</v>
      </c>
      <c r="E7763" s="111"/>
    </row>
    <row r="7764" spans="1:5" x14ac:dyDescent="0.2">
      <c r="A7764" s="112">
        <f t="shared" si="140"/>
        <v>42462</v>
      </c>
      <c r="B7764" s="111">
        <f t="shared" si="142"/>
        <v>41</v>
      </c>
      <c r="C7764" s="111"/>
      <c r="D7764" s="111">
        <f t="shared" si="141"/>
        <v>93</v>
      </c>
      <c r="E7764" s="111"/>
    </row>
    <row r="7765" spans="1:5" x14ac:dyDescent="0.2">
      <c r="A7765" s="112">
        <f t="shared" si="140"/>
        <v>42463</v>
      </c>
      <c r="B7765" s="111">
        <f t="shared" si="142"/>
        <v>42</v>
      </c>
      <c r="C7765" s="111"/>
      <c r="D7765" s="111">
        <f t="shared" si="141"/>
        <v>94</v>
      </c>
      <c r="E7765" s="111"/>
    </row>
    <row r="7766" spans="1:5" x14ac:dyDescent="0.2">
      <c r="A7766" s="112">
        <f t="shared" si="140"/>
        <v>42464</v>
      </c>
      <c r="B7766" s="111">
        <f t="shared" si="142"/>
        <v>42</v>
      </c>
      <c r="C7766" s="111"/>
      <c r="D7766" s="111">
        <f t="shared" si="141"/>
        <v>95</v>
      </c>
      <c r="E7766" s="111"/>
    </row>
    <row r="7767" spans="1:5" x14ac:dyDescent="0.2">
      <c r="A7767" s="112">
        <f t="shared" si="140"/>
        <v>42465</v>
      </c>
      <c r="B7767" s="111">
        <f t="shared" si="142"/>
        <v>42</v>
      </c>
      <c r="C7767" s="111"/>
      <c r="D7767" s="111">
        <f t="shared" si="141"/>
        <v>96</v>
      </c>
      <c r="E7767" s="111"/>
    </row>
    <row r="7768" spans="1:5" x14ac:dyDescent="0.2">
      <c r="A7768" s="112">
        <f t="shared" si="140"/>
        <v>42466</v>
      </c>
      <c r="B7768" s="111">
        <f t="shared" si="142"/>
        <v>42</v>
      </c>
      <c r="C7768" s="111"/>
      <c r="D7768" s="111">
        <f t="shared" si="141"/>
        <v>97</v>
      </c>
      <c r="E7768" s="111"/>
    </row>
    <row r="7769" spans="1:5" x14ac:dyDescent="0.2">
      <c r="A7769" s="112">
        <f t="shared" si="140"/>
        <v>42467</v>
      </c>
      <c r="B7769" s="111">
        <f t="shared" si="142"/>
        <v>42</v>
      </c>
      <c r="C7769" s="111"/>
      <c r="D7769" s="111">
        <f t="shared" si="141"/>
        <v>98</v>
      </c>
      <c r="E7769" s="111"/>
    </row>
    <row r="7770" spans="1:5" x14ac:dyDescent="0.2">
      <c r="A7770" s="112">
        <f t="shared" si="140"/>
        <v>42468</v>
      </c>
      <c r="B7770" s="111">
        <f t="shared" si="142"/>
        <v>42</v>
      </c>
      <c r="C7770" s="111"/>
      <c r="D7770" s="111">
        <f t="shared" si="141"/>
        <v>99</v>
      </c>
      <c r="E7770" s="111"/>
    </row>
    <row r="7771" spans="1:5" x14ac:dyDescent="0.2">
      <c r="A7771" s="112">
        <f t="shared" si="140"/>
        <v>42469</v>
      </c>
      <c r="B7771" s="111">
        <f t="shared" si="142"/>
        <v>42</v>
      </c>
      <c r="C7771" s="111"/>
      <c r="D7771" s="111">
        <f t="shared" si="141"/>
        <v>100</v>
      </c>
      <c r="E7771" s="111"/>
    </row>
    <row r="7772" spans="1:5" x14ac:dyDescent="0.2">
      <c r="A7772" s="112">
        <f t="shared" si="140"/>
        <v>42470</v>
      </c>
      <c r="B7772" s="111">
        <f t="shared" si="142"/>
        <v>43</v>
      </c>
      <c r="C7772" s="111"/>
      <c r="D7772" s="111">
        <f t="shared" si="141"/>
        <v>101</v>
      </c>
      <c r="E7772" s="111"/>
    </row>
    <row r="7773" spans="1:5" x14ac:dyDescent="0.2">
      <c r="A7773" s="112">
        <f t="shared" si="140"/>
        <v>42471</v>
      </c>
      <c r="B7773" s="111">
        <f t="shared" si="142"/>
        <v>43</v>
      </c>
      <c r="C7773" s="111"/>
      <c r="D7773" s="111">
        <f t="shared" si="141"/>
        <v>102</v>
      </c>
      <c r="E7773" s="111"/>
    </row>
    <row r="7774" spans="1:5" x14ac:dyDescent="0.2">
      <c r="A7774" s="112">
        <f t="shared" si="140"/>
        <v>42472</v>
      </c>
      <c r="B7774" s="111">
        <f t="shared" si="142"/>
        <v>43</v>
      </c>
      <c r="C7774" s="111"/>
      <c r="D7774" s="111">
        <f t="shared" si="141"/>
        <v>103</v>
      </c>
      <c r="E7774" s="111"/>
    </row>
    <row r="7775" spans="1:5" x14ac:dyDescent="0.2">
      <c r="A7775" s="112">
        <f t="shared" ref="A7775:A7838" si="143">A7774+1</f>
        <v>42473</v>
      </c>
      <c r="B7775" s="111">
        <f t="shared" si="142"/>
        <v>43</v>
      </c>
      <c r="C7775" s="111"/>
      <c r="D7775" s="111">
        <f t="shared" si="141"/>
        <v>104</v>
      </c>
      <c r="E7775" s="111"/>
    </row>
    <row r="7776" spans="1:5" x14ac:dyDescent="0.2">
      <c r="A7776" s="112">
        <f t="shared" si="143"/>
        <v>42474</v>
      </c>
      <c r="B7776" s="111">
        <f t="shared" si="142"/>
        <v>43</v>
      </c>
      <c r="C7776" s="111"/>
      <c r="D7776" s="111">
        <f t="shared" si="141"/>
        <v>105</v>
      </c>
      <c r="E7776" s="111"/>
    </row>
    <row r="7777" spans="1:5" x14ac:dyDescent="0.2">
      <c r="A7777" s="112">
        <f t="shared" si="143"/>
        <v>42475</v>
      </c>
      <c r="B7777" s="111">
        <f t="shared" si="142"/>
        <v>43</v>
      </c>
      <c r="C7777" s="111"/>
      <c r="D7777" s="111">
        <f t="shared" si="141"/>
        <v>106</v>
      </c>
      <c r="E7777" s="111"/>
    </row>
    <row r="7778" spans="1:5" x14ac:dyDescent="0.2">
      <c r="A7778" s="112">
        <f t="shared" si="143"/>
        <v>42476</v>
      </c>
      <c r="B7778" s="111">
        <f t="shared" si="142"/>
        <v>43</v>
      </c>
      <c r="C7778" s="111"/>
      <c r="D7778" s="111">
        <f t="shared" si="141"/>
        <v>107</v>
      </c>
      <c r="E7778" s="111"/>
    </row>
    <row r="7779" spans="1:5" x14ac:dyDescent="0.2">
      <c r="A7779" s="112">
        <f t="shared" si="143"/>
        <v>42477</v>
      </c>
      <c r="B7779" s="111">
        <f t="shared" si="142"/>
        <v>44</v>
      </c>
      <c r="C7779" s="111"/>
      <c r="D7779" s="111">
        <f t="shared" si="141"/>
        <v>108</v>
      </c>
      <c r="E7779" s="111"/>
    </row>
    <row r="7780" spans="1:5" x14ac:dyDescent="0.2">
      <c r="A7780" s="112">
        <f t="shared" si="143"/>
        <v>42478</v>
      </c>
      <c r="B7780" s="111">
        <f t="shared" si="142"/>
        <v>44</v>
      </c>
      <c r="C7780" s="111"/>
      <c r="D7780" s="111">
        <f t="shared" si="141"/>
        <v>109</v>
      </c>
      <c r="E7780" s="111"/>
    </row>
    <row r="7781" spans="1:5" x14ac:dyDescent="0.2">
      <c r="A7781" s="112">
        <f t="shared" si="143"/>
        <v>42479</v>
      </c>
      <c r="B7781" s="111">
        <f t="shared" si="142"/>
        <v>44</v>
      </c>
      <c r="C7781" s="111"/>
      <c r="D7781" s="111">
        <f t="shared" si="141"/>
        <v>110</v>
      </c>
      <c r="E7781" s="111"/>
    </row>
    <row r="7782" spans="1:5" x14ac:dyDescent="0.2">
      <c r="A7782" s="112">
        <f t="shared" si="143"/>
        <v>42480</v>
      </c>
      <c r="B7782" s="111">
        <f t="shared" si="142"/>
        <v>44</v>
      </c>
      <c r="C7782" s="111"/>
      <c r="D7782" s="111">
        <f t="shared" si="141"/>
        <v>111</v>
      </c>
      <c r="E7782" s="111"/>
    </row>
    <row r="7783" spans="1:5" x14ac:dyDescent="0.2">
      <c r="A7783" s="112">
        <f t="shared" si="143"/>
        <v>42481</v>
      </c>
      <c r="B7783" s="111">
        <f t="shared" si="142"/>
        <v>44</v>
      </c>
      <c r="C7783" s="111"/>
      <c r="D7783" s="111">
        <f t="shared" si="141"/>
        <v>112</v>
      </c>
      <c r="E7783" s="111"/>
    </row>
    <row r="7784" spans="1:5" x14ac:dyDescent="0.2">
      <c r="A7784" s="112">
        <f t="shared" si="143"/>
        <v>42482</v>
      </c>
      <c r="B7784" s="111">
        <f t="shared" si="142"/>
        <v>44</v>
      </c>
      <c r="C7784" s="111"/>
      <c r="D7784" s="111">
        <f t="shared" si="141"/>
        <v>113</v>
      </c>
      <c r="E7784" s="111"/>
    </row>
    <row r="7785" spans="1:5" x14ac:dyDescent="0.2">
      <c r="A7785" s="112">
        <f t="shared" si="143"/>
        <v>42483</v>
      </c>
      <c r="B7785" s="111">
        <f t="shared" si="142"/>
        <v>44</v>
      </c>
      <c r="C7785" s="111"/>
      <c r="D7785" s="111">
        <f t="shared" si="141"/>
        <v>114</v>
      </c>
      <c r="E7785" s="111"/>
    </row>
    <row r="7786" spans="1:5" x14ac:dyDescent="0.2">
      <c r="A7786" s="112">
        <f t="shared" si="143"/>
        <v>42484</v>
      </c>
      <c r="B7786" s="111">
        <f t="shared" si="142"/>
        <v>45</v>
      </c>
      <c r="C7786" s="111"/>
      <c r="D7786" s="111">
        <f t="shared" si="141"/>
        <v>115</v>
      </c>
      <c r="E7786" s="111"/>
    </row>
    <row r="7787" spans="1:5" x14ac:dyDescent="0.2">
      <c r="A7787" s="112">
        <f t="shared" si="143"/>
        <v>42485</v>
      </c>
      <c r="B7787" s="111">
        <f t="shared" si="142"/>
        <v>45</v>
      </c>
      <c r="C7787" s="111"/>
      <c r="D7787" s="111">
        <f t="shared" si="141"/>
        <v>116</v>
      </c>
      <c r="E7787" s="111"/>
    </row>
    <row r="7788" spans="1:5" x14ac:dyDescent="0.2">
      <c r="A7788" s="112">
        <f t="shared" si="143"/>
        <v>42486</v>
      </c>
      <c r="B7788" s="111">
        <f t="shared" si="142"/>
        <v>45</v>
      </c>
      <c r="C7788" s="111"/>
      <c r="D7788" s="111">
        <f t="shared" si="141"/>
        <v>117</v>
      </c>
      <c r="E7788" s="111"/>
    </row>
    <row r="7789" spans="1:5" x14ac:dyDescent="0.2">
      <c r="A7789" s="112">
        <f t="shared" si="143"/>
        <v>42487</v>
      </c>
      <c r="B7789" s="111">
        <f t="shared" si="142"/>
        <v>45</v>
      </c>
      <c r="C7789" s="111"/>
      <c r="D7789" s="111">
        <f t="shared" si="141"/>
        <v>118</v>
      </c>
      <c r="E7789" s="111"/>
    </row>
    <row r="7790" spans="1:5" x14ac:dyDescent="0.2">
      <c r="A7790" s="112">
        <f t="shared" si="143"/>
        <v>42488</v>
      </c>
      <c r="B7790" s="111">
        <f t="shared" si="142"/>
        <v>45</v>
      </c>
      <c r="C7790" s="111"/>
      <c r="D7790" s="111">
        <f t="shared" si="141"/>
        <v>119</v>
      </c>
      <c r="E7790" s="111"/>
    </row>
    <row r="7791" spans="1:5" x14ac:dyDescent="0.2">
      <c r="A7791" s="112">
        <f t="shared" si="143"/>
        <v>42489</v>
      </c>
      <c r="B7791" s="111">
        <f t="shared" si="142"/>
        <v>45</v>
      </c>
      <c r="C7791" s="111"/>
      <c r="D7791" s="111">
        <f t="shared" si="141"/>
        <v>120</v>
      </c>
      <c r="E7791" s="111"/>
    </row>
    <row r="7792" spans="1:5" x14ac:dyDescent="0.2">
      <c r="A7792" s="112">
        <f t="shared" si="143"/>
        <v>42490</v>
      </c>
      <c r="B7792" s="111">
        <f t="shared" si="142"/>
        <v>45</v>
      </c>
      <c r="C7792" s="111"/>
      <c r="D7792" s="111">
        <f t="shared" si="141"/>
        <v>121</v>
      </c>
      <c r="E7792" s="111"/>
    </row>
    <row r="7793" spans="1:5" x14ac:dyDescent="0.2">
      <c r="A7793" s="112">
        <f t="shared" si="143"/>
        <v>42491</v>
      </c>
      <c r="B7793" s="111">
        <f t="shared" si="142"/>
        <v>51</v>
      </c>
      <c r="C7793" s="111"/>
      <c r="D7793" s="111">
        <f t="shared" si="141"/>
        <v>122</v>
      </c>
      <c r="E7793" s="111"/>
    </row>
    <row r="7794" spans="1:5" x14ac:dyDescent="0.2">
      <c r="A7794" s="112">
        <f t="shared" si="143"/>
        <v>42492</v>
      </c>
      <c r="B7794" s="111">
        <f t="shared" si="142"/>
        <v>51</v>
      </c>
      <c r="C7794" s="111"/>
      <c r="D7794" s="111">
        <f t="shared" si="141"/>
        <v>123</v>
      </c>
      <c r="E7794" s="111"/>
    </row>
    <row r="7795" spans="1:5" x14ac:dyDescent="0.2">
      <c r="A7795" s="112">
        <f t="shared" si="143"/>
        <v>42493</v>
      </c>
      <c r="B7795" s="111">
        <f t="shared" si="142"/>
        <v>51</v>
      </c>
      <c r="C7795" s="111"/>
      <c r="D7795" s="111">
        <f t="shared" si="141"/>
        <v>124</v>
      </c>
      <c r="E7795" s="111"/>
    </row>
    <row r="7796" spans="1:5" x14ac:dyDescent="0.2">
      <c r="A7796" s="112">
        <f t="shared" si="143"/>
        <v>42494</v>
      </c>
      <c r="B7796" s="111">
        <f t="shared" si="142"/>
        <v>51</v>
      </c>
      <c r="C7796" s="111"/>
      <c r="D7796" s="111">
        <f t="shared" si="141"/>
        <v>125</v>
      </c>
      <c r="E7796" s="111"/>
    </row>
    <row r="7797" spans="1:5" x14ac:dyDescent="0.2">
      <c r="A7797" s="112">
        <f t="shared" si="143"/>
        <v>42495</v>
      </c>
      <c r="B7797" s="111">
        <f t="shared" si="142"/>
        <v>51</v>
      </c>
      <c r="C7797" s="111"/>
      <c r="D7797" s="111">
        <f t="shared" si="141"/>
        <v>126</v>
      </c>
      <c r="E7797" s="111"/>
    </row>
    <row r="7798" spans="1:5" x14ac:dyDescent="0.2">
      <c r="A7798" s="112">
        <f t="shared" si="143"/>
        <v>42496</v>
      </c>
      <c r="B7798" s="111">
        <f t="shared" si="142"/>
        <v>51</v>
      </c>
      <c r="C7798" s="111"/>
      <c r="D7798" s="111">
        <f t="shared" si="141"/>
        <v>127</v>
      </c>
      <c r="E7798" s="111"/>
    </row>
    <row r="7799" spans="1:5" x14ac:dyDescent="0.2">
      <c r="A7799" s="112">
        <f t="shared" si="143"/>
        <v>42497</v>
      </c>
      <c r="B7799" s="111">
        <f t="shared" si="142"/>
        <v>51</v>
      </c>
      <c r="C7799" s="111"/>
      <c r="D7799" s="111">
        <f t="shared" si="141"/>
        <v>128</v>
      </c>
      <c r="E7799" s="111"/>
    </row>
    <row r="7800" spans="1:5" x14ac:dyDescent="0.2">
      <c r="A7800" s="112">
        <f t="shared" si="143"/>
        <v>42498</v>
      </c>
      <c r="B7800" s="111">
        <f t="shared" si="142"/>
        <v>52</v>
      </c>
      <c r="C7800" s="111"/>
      <c r="D7800" s="111">
        <f t="shared" si="141"/>
        <v>129</v>
      </c>
      <c r="E7800" s="111"/>
    </row>
    <row r="7801" spans="1:5" x14ac:dyDescent="0.2">
      <c r="A7801" s="112">
        <f t="shared" si="143"/>
        <v>42499</v>
      </c>
      <c r="B7801" s="111">
        <f t="shared" si="142"/>
        <v>52</v>
      </c>
      <c r="C7801" s="111"/>
      <c r="D7801" s="111">
        <f t="shared" ref="D7801:D7864" si="144">D7800+1</f>
        <v>130</v>
      </c>
      <c r="E7801" s="111"/>
    </row>
    <row r="7802" spans="1:5" x14ac:dyDescent="0.2">
      <c r="A7802" s="112">
        <f t="shared" si="143"/>
        <v>42500</v>
      </c>
      <c r="B7802" s="111">
        <f t="shared" si="142"/>
        <v>52</v>
      </c>
      <c r="C7802" s="111"/>
      <c r="D7802" s="111">
        <f t="shared" si="144"/>
        <v>131</v>
      </c>
      <c r="E7802" s="111"/>
    </row>
    <row r="7803" spans="1:5" x14ac:dyDescent="0.2">
      <c r="A7803" s="112">
        <f t="shared" si="143"/>
        <v>42501</v>
      </c>
      <c r="B7803" s="111">
        <f t="shared" si="142"/>
        <v>52</v>
      </c>
      <c r="C7803" s="111"/>
      <c r="D7803" s="111">
        <f t="shared" si="144"/>
        <v>132</v>
      </c>
      <c r="E7803" s="111"/>
    </row>
    <row r="7804" spans="1:5" x14ac:dyDescent="0.2">
      <c r="A7804" s="112">
        <f t="shared" si="143"/>
        <v>42502</v>
      </c>
      <c r="B7804" s="111">
        <f t="shared" si="142"/>
        <v>52</v>
      </c>
      <c r="C7804" s="111"/>
      <c r="D7804" s="111">
        <f t="shared" si="144"/>
        <v>133</v>
      </c>
      <c r="E7804" s="111"/>
    </row>
    <row r="7805" spans="1:5" x14ac:dyDescent="0.2">
      <c r="A7805" s="112">
        <f t="shared" si="143"/>
        <v>42503</v>
      </c>
      <c r="B7805" s="111">
        <f t="shared" si="142"/>
        <v>52</v>
      </c>
      <c r="C7805" s="111"/>
      <c r="D7805" s="111">
        <f t="shared" si="144"/>
        <v>134</v>
      </c>
      <c r="E7805" s="111"/>
    </row>
    <row r="7806" spans="1:5" x14ac:dyDescent="0.2">
      <c r="A7806" s="112">
        <f t="shared" si="143"/>
        <v>42504</v>
      </c>
      <c r="B7806" s="111">
        <f t="shared" si="142"/>
        <v>52</v>
      </c>
      <c r="C7806" s="111"/>
      <c r="D7806" s="111">
        <f t="shared" si="144"/>
        <v>135</v>
      </c>
      <c r="E7806" s="111"/>
    </row>
    <row r="7807" spans="1:5" x14ac:dyDescent="0.2">
      <c r="A7807" s="112">
        <f t="shared" si="143"/>
        <v>42505</v>
      </c>
      <c r="B7807" s="111">
        <f t="shared" si="142"/>
        <v>53</v>
      </c>
      <c r="C7807" s="111"/>
      <c r="D7807" s="111">
        <f t="shared" si="144"/>
        <v>136</v>
      </c>
      <c r="E7807" s="111"/>
    </row>
    <row r="7808" spans="1:5" x14ac:dyDescent="0.2">
      <c r="A7808" s="112">
        <f t="shared" si="143"/>
        <v>42506</v>
      </c>
      <c r="B7808" s="111">
        <f t="shared" si="142"/>
        <v>53</v>
      </c>
      <c r="C7808" s="111"/>
      <c r="D7808" s="111">
        <f t="shared" si="144"/>
        <v>137</v>
      </c>
      <c r="E7808" s="111"/>
    </row>
    <row r="7809" spans="1:5" x14ac:dyDescent="0.2">
      <c r="A7809" s="112">
        <f t="shared" si="143"/>
        <v>42507</v>
      </c>
      <c r="B7809" s="111">
        <f t="shared" si="142"/>
        <v>53</v>
      </c>
      <c r="C7809" s="111"/>
      <c r="D7809" s="111">
        <f t="shared" si="144"/>
        <v>138</v>
      </c>
      <c r="E7809" s="111"/>
    </row>
    <row r="7810" spans="1:5" x14ac:dyDescent="0.2">
      <c r="A7810" s="112">
        <f t="shared" si="143"/>
        <v>42508</v>
      </c>
      <c r="B7810" s="111">
        <f t="shared" ref="B7810:B7873" si="145">VLOOKUP(WEEKNUM(A7810),$D$3:$E$58,2)</f>
        <v>53</v>
      </c>
      <c r="C7810" s="111"/>
      <c r="D7810" s="111">
        <f t="shared" si="144"/>
        <v>139</v>
      </c>
      <c r="E7810" s="111"/>
    </row>
    <row r="7811" spans="1:5" x14ac:dyDescent="0.2">
      <c r="A7811" s="112">
        <f t="shared" si="143"/>
        <v>42509</v>
      </c>
      <c r="B7811" s="111">
        <f t="shared" si="145"/>
        <v>53</v>
      </c>
      <c r="C7811" s="111"/>
      <c r="D7811" s="111">
        <f t="shared" si="144"/>
        <v>140</v>
      </c>
      <c r="E7811" s="111"/>
    </row>
    <row r="7812" spans="1:5" x14ac:dyDescent="0.2">
      <c r="A7812" s="112">
        <f t="shared" si="143"/>
        <v>42510</v>
      </c>
      <c r="B7812" s="111">
        <f t="shared" si="145"/>
        <v>53</v>
      </c>
      <c r="C7812" s="111"/>
      <c r="D7812" s="111">
        <f t="shared" si="144"/>
        <v>141</v>
      </c>
      <c r="E7812" s="111"/>
    </row>
    <row r="7813" spans="1:5" x14ac:dyDescent="0.2">
      <c r="A7813" s="112">
        <f t="shared" si="143"/>
        <v>42511</v>
      </c>
      <c r="B7813" s="111">
        <f t="shared" si="145"/>
        <v>53</v>
      </c>
      <c r="C7813" s="111"/>
      <c r="D7813" s="111">
        <f t="shared" si="144"/>
        <v>142</v>
      </c>
      <c r="E7813" s="111"/>
    </row>
    <row r="7814" spans="1:5" x14ac:dyDescent="0.2">
      <c r="A7814" s="112">
        <f t="shared" si="143"/>
        <v>42512</v>
      </c>
      <c r="B7814" s="111">
        <f t="shared" si="145"/>
        <v>54</v>
      </c>
      <c r="C7814" s="111"/>
      <c r="D7814" s="111">
        <f t="shared" si="144"/>
        <v>143</v>
      </c>
      <c r="E7814" s="111"/>
    </row>
    <row r="7815" spans="1:5" x14ac:dyDescent="0.2">
      <c r="A7815" s="112">
        <f t="shared" si="143"/>
        <v>42513</v>
      </c>
      <c r="B7815" s="111">
        <f t="shared" si="145"/>
        <v>54</v>
      </c>
      <c r="C7815" s="111"/>
      <c r="D7815" s="111">
        <f t="shared" si="144"/>
        <v>144</v>
      </c>
      <c r="E7815" s="111"/>
    </row>
    <row r="7816" spans="1:5" x14ac:dyDescent="0.2">
      <c r="A7816" s="112">
        <f t="shared" si="143"/>
        <v>42514</v>
      </c>
      <c r="B7816" s="111">
        <f t="shared" si="145"/>
        <v>54</v>
      </c>
      <c r="C7816" s="111"/>
      <c r="D7816" s="111">
        <f t="shared" si="144"/>
        <v>145</v>
      </c>
      <c r="E7816" s="111"/>
    </row>
    <row r="7817" spans="1:5" x14ac:dyDescent="0.2">
      <c r="A7817" s="112">
        <f t="shared" si="143"/>
        <v>42515</v>
      </c>
      <c r="B7817" s="111">
        <f t="shared" si="145"/>
        <v>54</v>
      </c>
      <c r="C7817" s="111"/>
      <c r="D7817" s="111">
        <f t="shared" si="144"/>
        <v>146</v>
      </c>
      <c r="E7817" s="111"/>
    </row>
    <row r="7818" spans="1:5" x14ac:dyDescent="0.2">
      <c r="A7818" s="112">
        <f t="shared" si="143"/>
        <v>42516</v>
      </c>
      <c r="B7818" s="111">
        <f t="shared" si="145"/>
        <v>54</v>
      </c>
      <c r="C7818" s="111"/>
      <c r="D7818" s="111">
        <f t="shared" si="144"/>
        <v>147</v>
      </c>
      <c r="E7818" s="111"/>
    </row>
    <row r="7819" spans="1:5" x14ac:dyDescent="0.2">
      <c r="A7819" s="112">
        <f t="shared" si="143"/>
        <v>42517</v>
      </c>
      <c r="B7819" s="111">
        <f t="shared" si="145"/>
        <v>54</v>
      </c>
      <c r="C7819" s="111"/>
      <c r="D7819" s="111">
        <f t="shared" si="144"/>
        <v>148</v>
      </c>
      <c r="E7819" s="111"/>
    </row>
    <row r="7820" spans="1:5" x14ac:dyDescent="0.2">
      <c r="A7820" s="112">
        <f t="shared" si="143"/>
        <v>42518</v>
      </c>
      <c r="B7820" s="111">
        <f t="shared" si="145"/>
        <v>54</v>
      </c>
      <c r="C7820" s="111"/>
      <c r="D7820" s="111">
        <f t="shared" si="144"/>
        <v>149</v>
      </c>
      <c r="E7820" s="111"/>
    </row>
    <row r="7821" spans="1:5" x14ac:dyDescent="0.2">
      <c r="A7821" s="112">
        <f t="shared" si="143"/>
        <v>42519</v>
      </c>
      <c r="B7821" s="111">
        <f t="shared" si="145"/>
        <v>61</v>
      </c>
      <c r="C7821" s="111"/>
      <c r="D7821" s="111">
        <f t="shared" si="144"/>
        <v>150</v>
      </c>
      <c r="E7821" s="111"/>
    </row>
    <row r="7822" spans="1:5" x14ac:dyDescent="0.2">
      <c r="A7822" s="112">
        <f t="shared" si="143"/>
        <v>42520</v>
      </c>
      <c r="B7822" s="111">
        <f t="shared" si="145"/>
        <v>61</v>
      </c>
      <c r="C7822" s="111"/>
      <c r="D7822" s="111">
        <f t="shared" si="144"/>
        <v>151</v>
      </c>
      <c r="E7822" s="111"/>
    </row>
    <row r="7823" spans="1:5" x14ac:dyDescent="0.2">
      <c r="A7823" s="112">
        <f t="shared" si="143"/>
        <v>42521</v>
      </c>
      <c r="B7823" s="111">
        <f t="shared" si="145"/>
        <v>61</v>
      </c>
      <c r="C7823" s="111"/>
      <c r="D7823" s="111">
        <f t="shared" si="144"/>
        <v>152</v>
      </c>
      <c r="E7823" s="111"/>
    </row>
    <row r="7824" spans="1:5" x14ac:dyDescent="0.2">
      <c r="A7824" s="112">
        <f t="shared" si="143"/>
        <v>42522</v>
      </c>
      <c r="B7824" s="111">
        <f t="shared" si="145"/>
        <v>61</v>
      </c>
      <c r="C7824" s="111"/>
      <c r="D7824" s="111">
        <f t="shared" si="144"/>
        <v>153</v>
      </c>
      <c r="E7824" s="111"/>
    </row>
    <row r="7825" spans="1:5" x14ac:dyDescent="0.2">
      <c r="A7825" s="112">
        <f t="shared" si="143"/>
        <v>42523</v>
      </c>
      <c r="B7825" s="111">
        <f t="shared" si="145"/>
        <v>61</v>
      </c>
      <c r="C7825" s="111"/>
      <c r="D7825" s="111">
        <f t="shared" si="144"/>
        <v>154</v>
      </c>
      <c r="E7825" s="111"/>
    </row>
    <row r="7826" spans="1:5" x14ac:dyDescent="0.2">
      <c r="A7826" s="112">
        <f t="shared" si="143"/>
        <v>42524</v>
      </c>
      <c r="B7826" s="111">
        <f t="shared" si="145"/>
        <v>61</v>
      </c>
      <c r="C7826" s="111"/>
      <c r="D7826" s="111">
        <f t="shared" si="144"/>
        <v>155</v>
      </c>
      <c r="E7826" s="111"/>
    </row>
    <row r="7827" spans="1:5" x14ac:dyDescent="0.2">
      <c r="A7827" s="112">
        <f t="shared" si="143"/>
        <v>42525</v>
      </c>
      <c r="B7827" s="111">
        <f t="shared" si="145"/>
        <v>61</v>
      </c>
      <c r="C7827" s="111"/>
      <c r="D7827" s="111">
        <f t="shared" si="144"/>
        <v>156</v>
      </c>
      <c r="E7827" s="111"/>
    </row>
    <row r="7828" spans="1:5" x14ac:dyDescent="0.2">
      <c r="A7828" s="112">
        <f t="shared" si="143"/>
        <v>42526</v>
      </c>
      <c r="B7828" s="111">
        <f t="shared" si="145"/>
        <v>62</v>
      </c>
      <c r="C7828" s="111"/>
      <c r="D7828" s="111">
        <f t="shared" si="144"/>
        <v>157</v>
      </c>
      <c r="E7828" s="111"/>
    </row>
    <row r="7829" spans="1:5" x14ac:dyDescent="0.2">
      <c r="A7829" s="112">
        <f t="shared" si="143"/>
        <v>42527</v>
      </c>
      <c r="B7829" s="111">
        <f t="shared" si="145"/>
        <v>62</v>
      </c>
      <c r="C7829" s="111"/>
      <c r="D7829" s="111">
        <f t="shared" si="144"/>
        <v>158</v>
      </c>
      <c r="E7829" s="111"/>
    </row>
    <row r="7830" spans="1:5" x14ac:dyDescent="0.2">
      <c r="A7830" s="112">
        <f t="shared" si="143"/>
        <v>42528</v>
      </c>
      <c r="B7830" s="111">
        <f t="shared" si="145"/>
        <v>62</v>
      </c>
      <c r="C7830" s="111"/>
      <c r="D7830" s="111">
        <f t="shared" si="144"/>
        <v>159</v>
      </c>
      <c r="E7830" s="111"/>
    </row>
    <row r="7831" spans="1:5" x14ac:dyDescent="0.2">
      <c r="A7831" s="112">
        <f t="shared" si="143"/>
        <v>42529</v>
      </c>
      <c r="B7831" s="111">
        <f t="shared" si="145"/>
        <v>62</v>
      </c>
      <c r="C7831" s="111"/>
      <c r="D7831" s="111">
        <f t="shared" si="144"/>
        <v>160</v>
      </c>
      <c r="E7831" s="111"/>
    </row>
    <row r="7832" spans="1:5" x14ac:dyDescent="0.2">
      <c r="A7832" s="112">
        <f t="shared" si="143"/>
        <v>42530</v>
      </c>
      <c r="B7832" s="111">
        <f t="shared" si="145"/>
        <v>62</v>
      </c>
      <c r="C7832" s="111"/>
      <c r="D7832" s="111">
        <f t="shared" si="144"/>
        <v>161</v>
      </c>
      <c r="E7832" s="111"/>
    </row>
    <row r="7833" spans="1:5" x14ac:dyDescent="0.2">
      <c r="A7833" s="112">
        <f t="shared" si="143"/>
        <v>42531</v>
      </c>
      <c r="B7833" s="111">
        <f t="shared" si="145"/>
        <v>62</v>
      </c>
      <c r="C7833" s="111"/>
      <c r="D7833" s="111">
        <f t="shared" si="144"/>
        <v>162</v>
      </c>
      <c r="E7833" s="111"/>
    </row>
    <row r="7834" spans="1:5" x14ac:dyDescent="0.2">
      <c r="A7834" s="112">
        <f t="shared" si="143"/>
        <v>42532</v>
      </c>
      <c r="B7834" s="111">
        <f t="shared" si="145"/>
        <v>62</v>
      </c>
      <c r="C7834" s="111"/>
      <c r="D7834" s="111">
        <f t="shared" si="144"/>
        <v>163</v>
      </c>
      <c r="E7834" s="111"/>
    </row>
    <row r="7835" spans="1:5" x14ac:dyDescent="0.2">
      <c r="A7835" s="112">
        <f t="shared" si="143"/>
        <v>42533</v>
      </c>
      <c r="B7835" s="111">
        <f t="shared" si="145"/>
        <v>63</v>
      </c>
      <c r="C7835" s="111"/>
      <c r="D7835" s="111">
        <f t="shared" si="144"/>
        <v>164</v>
      </c>
      <c r="E7835" s="111"/>
    </row>
    <row r="7836" spans="1:5" x14ac:dyDescent="0.2">
      <c r="A7836" s="112">
        <f t="shared" si="143"/>
        <v>42534</v>
      </c>
      <c r="B7836" s="111">
        <f t="shared" si="145"/>
        <v>63</v>
      </c>
      <c r="C7836" s="111"/>
      <c r="D7836" s="111">
        <f t="shared" si="144"/>
        <v>165</v>
      </c>
      <c r="E7836" s="111"/>
    </row>
    <row r="7837" spans="1:5" x14ac:dyDescent="0.2">
      <c r="A7837" s="112">
        <f t="shared" si="143"/>
        <v>42535</v>
      </c>
      <c r="B7837" s="111">
        <f t="shared" si="145"/>
        <v>63</v>
      </c>
      <c r="C7837" s="111"/>
      <c r="D7837" s="111">
        <f t="shared" si="144"/>
        <v>166</v>
      </c>
      <c r="E7837" s="111"/>
    </row>
    <row r="7838" spans="1:5" x14ac:dyDescent="0.2">
      <c r="A7838" s="112">
        <f t="shared" si="143"/>
        <v>42536</v>
      </c>
      <c r="B7838" s="111">
        <f t="shared" si="145"/>
        <v>63</v>
      </c>
      <c r="C7838" s="111"/>
      <c r="D7838" s="111">
        <f t="shared" si="144"/>
        <v>167</v>
      </c>
      <c r="E7838" s="111"/>
    </row>
    <row r="7839" spans="1:5" x14ac:dyDescent="0.2">
      <c r="A7839" s="112">
        <f t="shared" ref="A7839:A7902" si="146">A7838+1</f>
        <v>42537</v>
      </c>
      <c r="B7839" s="111">
        <f t="shared" si="145"/>
        <v>63</v>
      </c>
      <c r="C7839" s="111"/>
      <c r="D7839" s="111">
        <f t="shared" si="144"/>
        <v>168</v>
      </c>
      <c r="E7839" s="111"/>
    </row>
    <row r="7840" spans="1:5" x14ac:dyDescent="0.2">
      <c r="A7840" s="112">
        <f t="shared" si="146"/>
        <v>42538</v>
      </c>
      <c r="B7840" s="111">
        <f t="shared" si="145"/>
        <v>63</v>
      </c>
      <c r="C7840" s="111"/>
      <c r="D7840" s="111">
        <f t="shared" si="144"/>
        <v>169</v>
      </c>
      <c r="E7840" s="111"/>
    </row>
    <row r="7841" spans="1:5" x14ac:dyDescent="0.2">
      <c r="A7841" s="112">
        <f t="shared" si="146"/>
        <v>42539</v>
      </c>
      <c r="B7841" s="111">
        <f t="shared" si="145"/>
        <v>63</v>
      </c>
      <c r="C7841" s="111"/>
      <c r="D7841" s="111">
        <f t="shared" si="144"/>
        <v>170</v>
      </c>
      <c r="E7841" s="111"/>
    </row>
    <row r="7842" spans="1:5" x14ac:dyDescent="0.2">
      <c r="A7842" s="112">
        <f t="shared" si="146"/>
        <v>42540</v>
      </c>
      <c r="B7842" s="111">
        <f t="shared" si="145"/>
        <v>64</v>
      </c>
      <c r="C7842" s="111"/>
      <c r="D7842" s="111">
        <f t="shared" si="144"/>
        <v>171</v>
      </c>
      <c r="E7842" s="111"/>
    </row>
    <row r="7843" spans="1:5" x14ac:dyDescent="0.2">
      <c r="A7843" s="112">
        <f t="shared" si="146"/>
        <v>42541</v>
      </c>
      <c r="B7843" s="111">
        <f t="shared" si="145"/>
        <v>64</v>
      </c>
      <c r="C7843" s="111"/>
      <c r="D7843" s="111">
        <f t="shared" si="144"/>
        <v>172</v>
      </c>
      <c r="E7843" s="111"/>
    </row>
    <row r="7844" spans="1:5" x14ac:dyDescent="0.2">
      <c r="A7844" s="112">
        <f t="shared" si="146"/>
        <v>42542</v>
      </c>
      <c r="B7844" s="111">
        <f t="shared" si="145"/>
        <v>64</v>
      </c>
      <c r="C7844" s="111"/>
      <c r="D7844" s="111">
        <f t="shared" si="144"/>
        <v>173</v>
      </c>
      <c r="E7844" s="111"/>
    </row>
    <row r="7845" spans="1:5" x14ac:dyDescent="0.2">
      <c r="A7845" s="112">
        <f t="shared" si="146"/>
        <v>42543</v>
      </c>
      <c r="B7845" s="111">
        <f t="shared" si="145"/>
        <v>64</v>
      </c>
      <c r="C7845" s="111"/>
      <c r="D7845" s="111">
        <f t="shared" si="144"/>
        <v>174</v>
      </c>
      <c r="E7845" s="111"/>
    </row>
    <row r="7846" spans="1:5" x14ac:dyDescent="0.2">
      <c r="A7846" s="112">
        <f t="shared" si="146"/>
        <v>42544</v>
      </c>
      <c r="B7846" s="111">
        <f t="shared" si="145"/>
        <v>64</v>
      </c>
      <c r="C7846" s="111"/>
      <c r="D7846" s="111">
        <f t="shared" si="144"/>
        <v>175</v>
      </c>
      <c r="E7846" s="111"/>
    </row>
    <row r="7847" spans="1:5" x14ac:dyDescent="0.2">
      <c r="A7847" s="112">
        <f t="shared" si="146"/>
        <v>42545</v>
      </c>
      <c r="B7847" s="111">
        <f t="shared" si="145"/>
        <v>64</v>
      </c>
      <c r="C7847" s="111"/>
      <c r="D7847" s="111">
        <f t="shared" si="144"/>
        <v>176</v>
      </c>
      <c r="E7847" s="111"/>
    </row>
    <row r="7848" spans="1:5" x14ac:dyDescent="0.2">
      <c r="A7848" s="112">
        <f t="shared" si="146"/>
        <v>42546</v>
      </c>
      <c r="B7848" s="111">
        <f t="shared" si="145"/>
        <v>64</v>
      </c>
      <c r="C7848" s="111"/>
      <c r="D7848" s="111">
        <f t="shared" si="144"/>
        <v>177</v>
      </c>
      <c r="E7848" s="111"/>
    </row>
    <row r="7849" spans="1:5" x14ac:dyDescent="0.2">
      <c r="A7849" s="112">
        <f t="shared" si="146"/>
        <v>42547</v>
      </c>
      <c r="B7849" s="111">
        <f t="shared" si="145"/>
        <v>71</v>
      </c>
      <c r="C7849" s="111"/>
      <c r="D7849" s="111">
        <f t="shared" si="144"/>
        <v>178</v>
      </c>
      <c r="E7849" s="111"/>
    </row>
    <row r="7850" spans="1:5" x14ac:dyDescent="0.2">
      <c r="A7850" s="112">
        <f t="shared" si="146"/>
        <v>42548</v>
      </c>
      <c r="B7850" s="111">
        <f t="shared" si="145"/>
        <v>71</v>
      </c>
      <c r="C7850" s="111"/>
      <c r="D7850" s="111">
        <f t="shared" si="144"/>
        <v>179</v>
      </c>
      <c r="E7850" s="111"/>
    </row>
    <row r="7851" spans="1:5" x14ac:dyDescent="0.2">
      <c r="A7851" s="112">
        <f t="shared" si="146"/>
        <v>42549</v>
      </c>
      <c r="B7851" s="111">
        <f t="shared" si="145"/>
        <v>71</v>
      </c>
      <c r="C7851" s="111"/>
      <c r="D7851" s="111">
        <f t="shared" si="144"/>
        <v>180</v>
      </c>
      <c r="E7851" s="111"/>
    </row>
    <row r="7852" spans="1:5" x14ac:dyDescent="0.2">
      <c r="A7852" s="112">
        <f t="shared" si="146"/>
        <v>42550</v>
      </c>
      <c r="B7852" s="111">
        <f t="shared" si="145"/>
        <v>71</v>
      </c>
      <c r="C7852" s="111"/>
      <c r="D7852" s="111">
        <f t="shared" si="144"/>
        <v>181</v>
      </c>
      <c r="E7852" s="111"/>
    </row>
    <row r="7853" spans="1:5" x14ac:dyDescent="0.2">
      <c r="A7853" s="112">
        <f t="shared" si="146"/>
        <v>42551</v>
      </c>
      <c r="B7853" s="111">
        <f t="shared" si="145"/>
        <v>71</v>
      </c>
      <c r="C7853" s="111"/>
      <c r="D7853" s="111">
        <f t="shared" si="144"/>
        <v>182</v>
      </c>
      <c r="E7853" s="111"/>
    </row>
    <row r="7854" spans="1:5" x14ac:dyDescent="0.2">
      <c r="A7854" s="112">
        <f t="shared" si="146"/>
        <v>42552</v>
      </c>
      <c r="B7854" s="111">
        <f t="shared" si="145"/>
        <v>71</v>
      </c>
      <c r="C7854" s="111"/>
      <c r="D7854" s="111">
        <f t="shared" si="144"/>
        <v>183</v>
      </c>
      <c r="E7854" s="111"/>
    </row>
    <row r="7855" spans="1:5" x14ac:dyDescent="0.2">
      <c r="A7855" s="112">
        <f t="shared" si="146"/>
        <v>42553</v>
      </c>
      <c r="B7855" s="111">
        <f t="shared" si="145"/>
        <v>71</v>
      </c>
      <c r="C7855" s="111"/>
      <c r="D7855" s="111">
        <f t="shared" si="144"/>
        <v>184</v>
      </c>
      <c r="E7855" s="111"/>
    </row>
    <row r="7856" spans="1:5" x14ac:dyDescent="0.2">
      <c r="A7856" s="112">
        <f t="shared" si="146"/>
        <v>42554</v>
      </c>
      <c r="B7856" s="111">
        <f t="shared" si="145"/>
        <v>72</v>
      </c>
      <c r="C7856" s="111"/>
      <c r="D7856" s="111">
        <f t="shared" si="144"/>
        <v>185</v>
      </c>
      <c r="E7856" s="111"/>
    </row>
    <row r="7857" spans="1:5" x14ac:dyDescent="0.2">
      <c r="A7857" s="112">
        <f t="shared" si="146"/>
        <v>42555</v>
      </c>
      <c r="B7857" s="111">
        <f t="shared" si="145"/>
        <v>72</v>
      </c>
      <c r="C7857" s="111"/>
      <c r="D7857" s="111">
        <f t="shared" si="144"/>
        <v>186</v>
      </c>
      <c r="E7857" s="111"/>
    </row>
    <row r="7858" spans="1:5" x14ac:dyDescent="0.2">
      <c r="A7858" s="112">
        <f t="shared" si="146"/>
        <v>42556</v>
      </c>
      <c r="B7858" s="111">
        <f t="shared" si="145"/>
        <v>72</v>
      </c>
      <c r="C7858" s="111"/>
      <c r="D7858" s="111">
        <f t="shared" si="144"/>
        <v>187</v>
      </c>
      <c r="E7858" s="111"/>
    </row>
    <row r="7859" spans="1:5" x14ac:dyDescent="0.2">
      <c r="A7859" s="112">
        <f t="shared" si="146"/>
        <v>42557</v>
      </c>
      <c r="B7859" s="111">
        <f t="shared" si="145"/>
        <v>72</v>
      </c>
      <c r="C7859" s="111"/>
      <c r="D7859" s="111">
        <f t="shared" si="144"/>
        <v>188</v>
      </c>
      <c r="E7859" s="111"/>
    </row>
    <row r="7860" spans="1:5" x14ac:dyDescent="0.2">
      <c r="A7860" s="112">
        <f t="shared" si="146"/>
        <v>42558</v>
      </c>
      <c r="B7860" s="111">
        <f t="shared" si="145"/>
        <v>72</v>
      </c>
      <c r="C7860" s="111"/>
      <c r="D7860" s="111">
        <f t="shared" si="144"/>
        <v>189</v>
      </c>
      <c r="E7860" s="111"/>
    </row>
    <row r="7861" spans="1:5" x14ac:dyDescent="0.2">
      <c r="A7861" s="112">
        <f t="shared" si="146"/>
        <v>42559</v>
      </c>
      <c r="B7861" s="111">
        <f t="shared" si="145"/>
        <v>72</v>
      </c>
      <c r="C7861" s="111"/>
      <c r="D7861" s="111">
        <f t="shared" si="144"/>
        <v>190</v>
      </c>
      <c r="E7861" s="111"/>
    </row>
    <row r="7862" spans="1:5" x14ac:dyDescent="0.2">
      <c r="A7862" s="112">
        <f t="shared" si="146"/>
        <v>42560</v>
      </c>
      <c r="B7862" s="111">
        <f t="shared" si="145"/>
        <v>72</v>
      </c>
      <c r="C7862" s="111"/>
      <c r="D7862" s="111">
        <f t="shared" si="144"/>
        <v>191</v>
      </c>
      <c r="E7862" s="111"/>
    </row>
    <row r="7863" spans="1:5" x14ac:dyDescent="0.2">
      <c r="A7863" s="112">
        <f t="shared" si="146"/>
        <v>42561</v>
      </c>
      <c r="B7863" s="111">
        <f t="shared" si="145"/>
        <v>73</v>
      </c>
      <c r="C7863" s="111"/>
      <c r="D7863" s="111">
        <f t="shared" si="144"/>
        <v>192</v>
      </c>
      <c r="E7863" s="111"/>
    </row>
    <row r="7864" spans="1:5" x14ac:dyDescent="0.2">
      <c r="A7864" s="112">
        <f t="shared" si="146"/>
        <v>42562</v>
      </c>
      <c r="B7864" s="111">
        <f t="shared" si="145"/>
        <v>73</v>
      </c>
      <c r="C7864" s="111"/>
      <c r="D7864" s="111">
        <f t="shared" si="144"/>
        <v>193</v>
      </c>
      <c r="E7864" s="111"/>
    </row>
    <row r="7865" spans="1:5" x14ac:dyDescent="0.2">
      <c r="A7865" s="112">
        <f t="shared" si="146"/>
        <v>42563</v>
      </c>
      <c r="B7865" s="111">
        <f t="shared" si="145"/>
        <v>73</v>
      </c>
      <c r="C7865" s="111"/>
      <c r="D7865" s="111">
        <f t="shared" ref="D7865:D7928" si="147">D7864+1</f>
        <v>194</v>
      </c>
      <c r="E7865" s="111"/>
    </row>
    <row r="7866" spans="1:5" x14ac:dyDescent="0.2">
      <c r="A7866" s="112">
        <f t="shared" si="146"/>
        <v>42564</v>
      </c>
      <c r="B7866" s="111">
        <f t="shared" si="145"/>
        <v>73</v>
      </c>
      <c r="C7866" s="111"/>
      <c r="D7866" s="111">
        <f t="shared" si="147"/>
        <v>195</v>
      </c>
      <c r="E7866" s="111"/>
    </row>
    <row r="7867" spans="1:5" x14ac:dyDescent="0.2">
      <c r="A7867" s="112">
        <f t="shared" si="146"/>
        <v>42565</v>
      </c>
      <c r="B7867" s="111">
        <f t="shared" si="145"/>
        <v>73</v>
      </c>
      <c r="C7867" s="111"/>
      <c r="D7867" s="111">
        <f t="shared" si="147"/>
        <v>196</v>
      </c>
      <c r="E7867" s="111"/>
    </row>
    <row r="7868" spans="1:5" x14ac:dyDescent="0.2">
      <c r="A7868" s="112">
        <f t="shared" si="146"/>
        <v>42566</v>
      </c>
      <c r="B7868" s="111">
        <f t="shared" si="145"/>
        <v>73</v>
      </c>
      <c r="C7868" s="111"/>
      <c r="D7868" s="111">
        <f t="shared" si="147"/>
        <v>197</v>
      </c>
      <c r="E7868" s="111"/>
    </row>
    <row r="7869" spans="1:5" x14ac:dyDescent="0.2">
      <c r="A7869" s="112">
        <f t="shared" si="146"/>
        <v>42567</v>
      </c>
      <c r="B7869" s="111">
        <f t="shared" si="145"/>
        <v>73</v>
      </c>
      <c r="C7869" s="111"/>
      <c r="D7869" s="111">
        <f t="shared" si="147"/>
        <v>198</v>
      </c>
      <c r="E7869" s="111"/>
    </row>
    <row r="7870" spans="1:5" x14ac:dyDescent="0.2">
      <c r="A7870" s="112">
        <f t="shared" si="146"/>
        <v>42568</v>
      </c>
      <c r="B7870" s="111">
        <f t="shared" si="145"/>
        <v>74</v>
      </c>
      <c r="C7870" s="111"/>
      <c r="D7870" s="111">
        <f t="shared" si="147"/>
        <v>199</v>
      </c>
      <c r="E7870" s="111"/>
    </row>
    <row r="7871" spans="1:5" x14ac:dyDescent="0.2">
      <c r="A7871" s="112">
        <f t="shared" si="146"/>
        <v>42569</v>
      </c>
      <c r="B7871" s="111">
        <f t="shared" si="145"/>
        <v>74</v>
      </c>
      <c r="C7871" s="111"/>
      <c r="D7871" s="111">
        <f t="shared" si="147"/>
        <v>200</v>
      </c>
      <c r="E7871" s="111"/>
    </row>
    <row r="7872" spans="1:5" x14ac:dyDescent="0.2">
      <c r="A7872" s="112">
        <f t="shared" si="146"/>
        <v>42570</v>
      </c>
      <c r="B7872" s="111">
        <f t="shared" si="145"/>
        <v>74</v>
      </c>
      <c r="C7872" s="111"/>
      <c r="D7872" s="111">
        <f t="shared" si="147"/>
        <v>201</v>
      </c>
      <c r="E7872" s="111"/>
    </row>
    <row r="7873" spans="1:5" x14ac:dyDescent="0.2">
      <c r="A7873" s="112">
        <f t="shared" si="146"/>
        <v>42571</v>
      </c>
      <c r="B7873" s="111">
        <f t="shared" si="145"/>
        <v>74</v>
      </c>
      <c r="C7873" s="111"/>
      <c r="D7873" s="111">
        <f t="shared" si="147"/>
        <v>202</v>
      </c>
      <c r="E7873" s="111"/>
    </row>
    <row r="7874" spans="1:5" x14ac:dyDescent="0.2">
      <c r="A7874" s="112">
        <f t="shared" si="146"/>
        <v>42572</v>
      </c>
      <c r="B7874" s="111">
        <f t="shared" ref="B7874:B7937" si="148">VLOOKUP(WEEKNUM(A7874),$D$3:$E$58,2)</f>
        <v>74</v>
      </c>
      <c r="C7874" s="111"/>
      <c r="D7874" s="111">
        <f t="shared" si="147"/>
        <v>203</v>
      </c>
      <c r="E7874" s="111"/>
    </row>
    <row r="7875" spans="1:5" x14ac:dyDescent="0.2">
      <c r="A7875" s="112">
        <f t="shared" si="146"/>
        <v>42573</v>
      </c>
      <c r="B7875" s="111">
        <f t="shared" si="148"/>
        <v>74</v>
      </c>
      <c r="C7875" s="111"/>
      <c r="D7875" s="111">
        <f t="shared" si="147"/>
        <v>204</v>
      </c>
      <c r="E7875" s="111"/>
    </row>
    <row r="7876" spans="1:5" x14ac:dyDescent="0.2">
      <c r="A7876" s="112">
        <f t="shared" si="146"/>
        <v>42574</v>
      </c>
      <c r="B7876" s="111">
        <f t="shared" si="148"/>
        <v>74</v>
      </c>
      <c r="C7876" s="111"/>
      <c r="D7876" s="111">
        <f t="shared" si="147"/>
        <v>205</v>
      </c>
      <c r="E7876" s="111"/>
    </row>
    <row r="7877" spans="1:5" x14ac:dyDescent="0.2">
      <c r="A7877" s="112">
        <f t="shared" si="146"/>
        <v>42575</v>
      </c>
      <c r="B7877" s="111">
        <f t="shared" si="148"/>
        <v>75</v>
      </c>
      <c r="C7877" s="111"/>
      <c r="D7877" s="111">
        <f t="shared" si="147"/>
        <v>206</v>
      </c>
      <c r="E7877" s="111"/>
    </row>
    <row r="7878" spans="1:5" x14ac:dyDescent="0.2">
      <c r="A7878" s="112">
        <f t="shared" si="146"/>
        <v>42576</v>
      </c>
      <c r="B7878" s="111">
        <f t="shared" si="148"/>
        <v>75</v>
      </c>
      <c r="C7878" s="111"/>
      <c r="D7878" s="111">
        <f t="shared" si="147"/>
        <v>207</v>
      </c>
      <c r="E7878" s="111"/>
    </row>
    <row r="7879" spans="1:5" x14ac:dyDescent="0.2">
      <c r="A7879" s="112">
        <f t="shared" si="146"/>
        <v>42577</v>
      </c>
      <c r="B7879" s="111">
        <f t="shared" si="148"/>
        <v>75</v>
      </c>
      <c r="C7879" s="111"/>
      <c r="D7879" s="111">
        <f t="shared" si="147"/>
        <v>208</v>
      </c>
      <c r="E7879" s="111"/>
    </row>
    <row r="7880" spans="1:5" x14ac:dyDescent="0.2">
      <c r="A7880" s="112">
        <f t="shared" si="146"/>
        <v>42578</v>
      </c>
      <c r="B7880" s="111">
        <f t="shared" si="148"/>
        <v>75</v>
      </c>
      <c r="C7880" s="111"/>
      <c r="D7880" s="111">
        <f t="shared" si="147"/>
        <v>209</v>
      </c>
      <c r="E7880" s="111"/>
    </row>
    <row r="7881" spans="1:5" x14ac:dyDescent="0.2">
      <c r="A7881" s="112">
        <f t="shared" si="146"/>
        <v>42579</v>
      </c>
      <c r="B7881" s="111">
        <f t="shared" si="148"/>
        <v>75</v>
      </c>
      <c r="C7881" s="111"/>
      <c r="D7881" s="111">
        <f t="shared" si="147"/>
        <v>210</v>
      </c>
      <c r="E7881" s="111"/>
    </row>
    <row r="7882" spans="1:5" x14ac:dyDescent="0.2">
      <c r="A7882" s="112">
        <f t="shared" si="146"/>
        <v>42580</v>
      </c>
      <c r="B7882" s="111">
        <f t="shared" si="148"/>
        <v>75</v>
      </c>
      <c r="C7882" s="111"/>
      <c r="D7882" s="111">
        <f t="shared" si="147"/>
        <v>211</v>
      </c>
      <c r="E7882" s="111"/>
    </row>
    <row r="7883" spans="1:5" x14ac:dyDescent="0.2">
      <c r="A7883" s="112">
        <f t="shared" si="146"/>
        <v>42581</v>
      </c>
      <c r="B7883" s="111">
        <f t="shared" si="148"/>
        <v>75</v>
      </c>
      <c r="C7883" s="111"/>
      <c r="D7883" s="111">
        <f t="shared" si="147"/>
        <v>212</v>
      </c>
      <c r="E7883" s="111"/>
    </row>
    <row r="7884" spans="1:5" x14ac:dyDescent="0.2">
      <c r="A7884" s="112">
        <f t="shared" si="146"/>
        <v>42582</v>
      </c>
      <c r="B7884" s="111">
        <f t="shared" si="148"/>
        <v>81</v>
      </c>
      <c r="C7884" s="111"/>
      <c r="D7884" s="111">
        <f t="shared" si="147"/>
        <v>213</v>
      </c>
      <c r="E7884" s="111"/>
    </row>
    <row r="7885" spans="1:5" x14ac:dyDescent="0.2">
      <c r="A7885" s="112">
        <f t="shared" si="146"/>
        <v>42583</v>
      </c>
      <c r="B7885" s="111">
        <f t="shared" si="148"/>
        <v>81</v>
      </c>
      <c r="C7885" s="111"/>
      <c r="D7885" s="111">
        <f t="shared" si="147"/>
        <v>214</v>
      </c>
      <c r="E7885" s="111"/>
    </row>
    <row r="7886" spans="1:5" x14ac:dyDescent="0.2">
      <c r="A7886" s="112">
        <f t="shared" si="146"/>
        <v>42584</v>
      </c>
      <c r="B7886" s="111">
        <f t="shared" si="148"/>
        <v>81</v>
      </c>
      <c r="C7886" s="111"/>
      <c r="D7886" s="111">
        <f t="shared" si="147"/>
        <v>215</v>
      </c>
      <c r="E7886" s="111"/>
    </row>
    <row r="7887" spans="1:5" x14ac:dyDescent="0.2">
      <c r="A7887" s="112">
        <f t="shared" si="146"/>
        <v>42585</v>
      </c>
      <c r="B7887" s="111">
        <f t="shared" si="148"/>
        <v>81</v>
      </c>
      <c r="C7887" s="111"/>
      <c r="D7887" s="111">
        <f t="shared" si="147"/>
        <v>216</v>
      </c>
      <c r="E7887" s="111"/>
    </row>
    <row r="7888" spans="1:5" x14ac:dyDescent="0.2">
      <c r="A7888" s="112">
        <f t="shared" si="146"/>
        <v>42586</v>
      </c>
      <c r="B7888" s="111">
        <f t="shared" si="148"/>
        <v>81</v>
      </c>
      <c r="C7888" s="111"/>
      <c r="D7888" s="111">
        <f t="shared" si="147"/>
        <v>217</v>
      </c>
      <c r="E7888" s="111"/>
    </row>
    <row r="7889" spans="1:5" x14ac:dyDescent="0.2">
      <c r="A7889" s="112">
        <f t="shared" si="146"/>
        <v>42587</v>
      </c>
      <c r="B7889" s="111">
        <f t="shared" si="148"/>
        <v>81</v>
      </c>
      <c r="C7889" s="111"/>
      <c r="D7889" s="111">
        <f t="shared" si="147"/>
        <v>218</v>
      </c>
      <c r="E7889" s="111"/>
    </row>
    <row r="7890" spans="1:5" x14ac:dyDescent="0.2">
      <c r="A7890" s="112">
        <f t="shared" si="146"/>
        <v>42588</v>
      </c>
      <c r="B7890" s="111">
        <f t="shared" si="148"/>
        <v>81</v>
      </c>
      <c r="C7890" s="111"/>
      <c r="D7890" s="111">
        <f t="shared" si="147"/>
        <v>219</v>
      </c>
      <c r="E7890" s="111"/>
    </row>
    <row r="7891" spans="1:5" x14ac:dyDescent="0.2">
      <c r="A7891" s="112">
        <f t="shared" si="146"/>
        <v>42589</v>
      </c>
      <c r="B7891" s="111">
        <f t="shared" si="148"/>
        <v>82</v>
      </c>
      <c r="C7891" s="111"/>
      <c r="D7891" s="111">
        <f t="shared" si="147"/>
        <v>220</v>
      </c>
      <c r="E7891" s="111"/>
    </row>
    <row r="7892" spans="1:5" x14ac:dyDescent="0.2">
      <c r="A7892" s="112">
        <f t="shared" si="146"/>
        <v>42590</v>
      </c>
      <c r="B7892" s="111">
        <f t="shared" si="148"/>
        <v>82</v>
      </c>
      <c r="C7892" s="111"/>
      <c r="D7892" s="111">
        <f t="shared" si="147"/>
        <v>221</v>
      </c>
      <c r="E7892" s="111"/>
    </row>
    <row r="7893" spans="1:5" x14ac:dyDescent="0.2">
      <c r="A7893" s="112">
        <f t="shared" si="146"/>
        <v>42591</v>
      </c>
      <c r="B7893" s="111">
        <f t="shared" si="148"/>
        <v>82</v>
      </c>
      <c r="C7893" s="111"/>
      <c r="D7893" s="111">
        <f t="shared" si="147"/>
        <v>222</v>
      </c>
      <c r="E7893" s="111"/>
    </row>
    <row r="7894" spans="1:5" x14ac:dyDescent="0.2">
      <c r="A7894" s="112">
        <f t="shared" si="146"/>
        <v>42592</v>
      </c>
      <c r="B7894" s="111">
        <f t="shared" si="148"/>
        <v>82</v>
      </c>
      <c r="C7894" s="111"/>
      <c r="D7894" s="111">
        <f t="shared" si="147"/>
        <v>223</v>
      </c>
      <c r="E7894" s="111"/>
    </row>
    <row r="7895" spans="1:5" x14ac:dyDescent="0.2">
      <c r="A7895" s="112">
        <f t="shared" si="146"/>
        <v>42593</v>
      </c>
      <c r="B7895" s="111">
        <f t="shared" si="148"/>
        <v>82</v>
      </c>
      <c r="C7895" s="111"/>
      <c r="D7895" s="111">
        <f t="shared" si="147"/>
        <v>224</v>
      </c>
      <c r="E7895" s="111"/>
    </row>
    <row r="7896" spans="1:5" x14ac:dyDescent="0.2">
      <c r="A7896" s="112">
        <f t="shared" si="146"/>
        <v>42594</v>
      </c>
      <c r="B7896" s="111">
        <f t="shared" si="148"/>
        <v>82</v>
      </c>
      <c r="C7896" s="111"/>
      <c r="D7896" s="111">
        <f t="shared" si="147"/>
        <v>225</v>
      </c>
      <c r="E7896" s="111"/>
    </row>
    <row r="7897" spans="1:5" x14ac:dyDescent="0.2">
      <c r="A7897" s="112">
        <f t="shared" si="146"/>
        <v>42595</v>
      </c>
      <c r="B7897" s="111">
        <f t="shared" si="148"/>
        <v>82</v>
      </c>
      <c r="C7897" s="111"/>
      <c r="D7897" s="111">
        <f t="shared" si="147"/>
        <v>226</v>
      </c>
      <c r="E7897" s="111"/>
    </row>
    <row r="7898" spans="1:5" x14ac:dyDescent="0.2">
      <c r="A7898" s="112">
        <f t="shared" si="146"/>
        <v>42596</v>
      </c>
      <c r="B7898" s="111">
        <f t="shared" si="148"/>
        <v>83</v>
      </c>
      <c r="C7898" s="111"/>
      <c r="D7898" s="111">
        <f t="shared" si="147"/>
        <v>227</v>
      </c>
      <c r="E7898" s="111"/>
    </row>
    <row r="7899" spans="1:5" x14ac:dyDescent="0.2">
      <c r="A7899" s="112">
        <f t="shared" si="146"/>
        <v>42597</v>
      </c>
      <c r="B7899" s="111">
        <f t="shared" si="148"/>
        <v>83</v>
      </c>
      <c r="C7899" s="111"/>
      <c r="D7899" s="111">
        <f t="shared" si="147"/>
        <v>228</v>
      </c>
      <c r="E7899" s="111"/>
    </row>
    <row r="7900" spans="1:5" x14ac:dyDescent="0.2">
      <c r="A7900" s="112">
        <f t="shared" si="146"/>
        <v>42598</v>
      </c>
      <c r="B7900" s="111">
        <f t="shared" si="148"/>
        <v>83</v>
      </c>
      <c r="C7900" s="111"/>
      <c r="D7900" s="111">
        <f t="shared" si="147"/>
        <v>229</v>
      </c>
      <c r="E7900" s="111"/>
    </row>
    <row r="7901" spans="1:5" x14ac:dyDescent="0.2">
      <c r="A7901" s="112">
        <f t="shared" si="146"/>
        <v>42599</v>
      </c>
      <c r="B7901" s="111">
        <f t="shared" si="148"/>
        <v>83</v>
      </c>
      <c r="C7901" s="111"/>
      <c r="D7901" s="111">
        <f t="shared" si="147"/>
        <v>230</v>
      </c>
      <c r="E7901" s="111"/>
    </row>
    <row r="7902" spans="1:5" x14ac:dyDescent="0.2">
      <c r="A7902" s="112">
        <f t="shared" si="146"/>
        <v>42600</v>
      </c>
      <c r="B7902" s="111">
        <f t="shared" si="148"/>
        <v>83</v>
      </c>
      <c r="C7902" s="111"/>
      <c r="D7902" s="111">
        <f t="shared" si="147"/>
        <v>231</v>
      </c>
      <c r="E7902" s="111"/>
    </row>
    <row r="7903" spans="1:5" x14ac:dyDescent="0.2">
      <c r="A7903" s="112">
        <f t="shared" ref="A7903:A7966" si="149">A7902+1</f>
        <v>42601</v>
      </c>
      <c r="B7903" s="111">
        <f t="shared" si="148"/>
        <v>83</v>
      </c>
      <c r="C7903" s="111"/>
      <c r="D7903" s="111">
        <f t="shared" si="147"/>
        <v>232</v>
      </c>
      <c r="E7903" s="111"/>
    </row>
    <row r="7904" spans="1:5" x14ac:dyDescent="0.2">
      <c r="A7904" s="112">
        <f t="shared" si="149"/>
        <v>42602</v>
      </c>
      <c r="B7904" s="111">
        <f t="shared" si="148"/>
        <v>83</v>
      </c>
      <c r="C7904" s="111"/>
      <c r="D7904" s="111">
        <f t="shared" si="147"/>
        <v>233</v>
      </c>
      <c r="E7904" s="111"/>
    </row>
    <row r="7905" spans="1:5" x14ac:dyDescent="0.2">
      <c r="A7905" s="112">
        <f t="shared" si="149"/>
        <v>42603</v>
      </c>
      <c r="B7905" s="111">
        <f t="shared" si="148"/>
        <v>84</v>
      </c>
      <c r="C7905" s="111"/>
      <c r="D7905" s="111">
        <f t="shared" si="147"/>
        <v>234</v>
      </c>
      <c r="E7905" s="111"/>
    </row>
    <row r="7906" spans="1:5" x14ac:dyDescent="0.2">
      <c r="A7906" s="112">
        <f t="shared" si="149"/>
        <v>42604</v>
      </c>
      <c r="B7906" s="111">
        <f t="shared" si="148"/>
        <v>84</v>
      </c>
      <c r="C7906" s="111"/>
      <c r="D7906" s="111">
        <f t="shared" si="147"/>
        <v>235</v>
      </c>
      <c r="E7906" s="111"/>
    </row>
    <row r="7907" spans="1:5" x14ac:dyDescent="0.2">
      <c r="A7907" s="112">
        <f t="shared" si="149"/>
        <v>42605</v>
      </c>
      <c r="B7907" s="111">
        <f t="shared" si="148"/>
        <v>84</v>
      </c>
      <c r="C7907" s="111"/>
      <c r="D7907" s="111">
        <f t="shared" si="147"/>
        <v>236</v>
      </c>
      <c r="E7907" s="111"/>
    </row>
    <row r="7908" spans="1:5" x14ac:dyDescent="0.2">
      <c r="A7908" s="112">
        <f t="shared" si="149"/>
        <v>42606</v>
      </c>
      <c r="B7908" s="111">
        <f t="shared" si="148"/>
        <v>84</v>
      </c>
      <c r="C7908" s="111"/>
      <c r="D7908" s="111">
        <f t="shared" si="147"/>
        <v>237</v>
      </c>
      <c r="E7908" s="111"/>
    </row>
    <row r="7909" spans="1:5" x14ac:dyDescent="0.2">
      <c r="A7909" s="112">
        <f t="shared" si="149"/>
        <v>42607</v>
      </c>
      <c r="B7909" s="111">
        <f t="shared" si="148"/>
        <v>84</v>
      </c>
      <c r="C7909" s="111"/>
      <c r="D7909" s="111">
        <f t="shared" si="147"/>
        <v>238</v>
      </c>
      <c r="E7909" s="111"/>
    </row>
    <row r="7910" spans="1:5" x14ac:dyDescent="0.2">
      <c r="A7910" s="112">
        <f t="shared" si="149"/>
        <v>42608</v>
      </c>
      <c r="B7910" s="111">
        <f t="shared" si="148"/>
        <v>84</v>
      </c>
      <c r="C7910" s="111"/>
      <c r="D7910" s="111">
        <f t="shared" si="147"/>
        <v>239</v>
      </c>
      <c r="E7910" s="111"/>
    </row>
    <row r="7911" spans="1:5" x14ac:dyDescent="0.2">
      <c r="A7911" s="112">
        <f t="shared" si="149"/>
        <v>42609</v>
      </c>
      <c r="B7911" s="111">
        <f t="shared" si="148"/>
        <v>84</v>
      </c>
      <c r="C7911" s="111"/>
      <c r="D7911" s="111">
        <f t="shared" si="147"/>
        <v>240</v>
      </c>
      <c r="E7911" s="111"/>
    </row>
    <row r="7912" spans="1:5" x14ac:dyDescent="0.2">
      <c r="A7912" s="112">
        <f t="shared" si="149"/>
        <v>42610</v>
      </c>
      <c r="B7912" s="111">
        <f t="shared" si="148"/>
        <v>91</v>
      </c>
      <c r="C7912" s="111"/>
      <c r="D7912" s="111">
        <f t="shared" si="147"/>
        <v>241</v>
      </c>
      <c r="E7912" s="111"/>
    </row>
    <row r="7913" spans="1:5" x14ac:dyDescent="0.2">
      <c r="A7913" s="112">
        <f t="shared" si="149"/>
        <v>42611</v>
      </c>
      <c r="B7913" s="111">
        <f t="shared" si="148"/>
        <v>91</v>
      </c>
      <c r="C7913" s="111"/>
      <c r="D7913" s="111">
        <f t="shared" si="147"/>
        <v>242</v>
      </c>
      <c r="E7913" s="111"/>
    </row>
    <row r="7914" spans="1:5" x14ac:dyDescent="0.2">
      <c r="A7914" s="112">
        <f t="shared" si="149"/>
        <v>42612</v>
      </c>
      <c r="B7914" s="111">
        <f t="shared" si="148"/>
        <v>91</v>
      </c>
      <c r="C7914" s="111"/>
      <c r="D7914" s="111">
        <f t="shared" si="147"/>
        <v>243</v>
      </c>
      <c r="E7914" s="111"/>
    </row>
    <row r="7915" spans="1:5" x14ac:dyDescent="0.2">
      <c r="A7915" s="112">
        <f t="shared" si="149"/>
        <v>42613</v>
      </c>
      <c r="B7915" s="111">
        <f t="shared" si="148"/>
        <v>91</v>
      </c>
      <c r="C7915" s="111"/>
      <c r="D7915" s="111">
        <f t="shared" si="147"/>
        <v>244</v>
      </c>
      <c r="E7915" s="111"/>
    </row>
    <row r="7916" spans="1:5" x14ac:dyDescent="0.2">
      <c r="A7916" s="112">
        <f t="shared" si="149"/>
        <v>42614</v>
      </c>
      <c r="B7916" s="111">
        <f t="shared" si="148"/>
        <v>91</v>
      </c>
      <c r="C7916" s="111"/>
      <c r="D7916" s="111">
        <f t="shared" si="147"/>
        <v>245</v>
      </c>
      <c r="E7916" s="111"/>
    </row>
    <row r="7917" spans="1:5" x14ac:dyDescent="0.2">
      <c r="A7917" s="112">
        <f t="shared" si="149"/>
        <v>42615</v>
      </c>
      <c r="B7917" s="111">
        <f t="shared" si="148"/>
        <v>91</v>
      </c>
      <c r="C7917" s="111"/>
      <c r="D7917" s="111">
        <f t="shared" si="147"/>
        <v>246</v>
      </c>
      <c r="E7917" s="111"/>
    </row>
    <row r="7918" spans="1:5" x14ac:dyDescent="0.2">
      <c r="A7918" s="112">
        <f t="shared" si="149"/>
        <v>42616</v>
      </c>
      <c r="B7918" s="111">
        <f t="shared" si="148"/>
        <v>91</v>
      </c>
      <c r="C7918" s="111"/>
      <c r="D7918" s="111">
        <f t="shared" si="147"/>
        <v>247</v>
      </c>
      <c r="E7918" s="111"/>
    </row>
    <row r="7919" spans="1:5" x14ac:dyDescent="0.2">
      <c r="A7919" s="112">
        <f t="shared" si="149"/>
        <v>42617</v>
      </c>
      <c r="B7919" s="111">
        <f t="shared" si="148"/>
        <v>92</v>
      </c>
      <c r="C7919" s="111"/>
      <c r="D7919" s="111">
        <f t="shared" si="147"/>
        <v>248</v>
      </c>
      <c r="E7919" s="111"/>
    </row>
    <row r="7920" spans="1:5" x14ac:dyDescent="0.2">
      <c r="A7920" s="112">
        <f t="shared" si="149"/>
        <v>42618</v>
      </c>
      <c r="B7920" s="111">
        <f t="shared" si="148"/>
        <v>92</v>
      </c>
      <c r="C7920" s="111"/>
      <c r="D7920" s="111">
        <f t="shared" si="147"/>
        <v>249</v>
      </c>
      <c r="E7920" s="111"/>
    </row>
    <row r="7921" spans="1:5" x14ac:dyDescent="0.2">
      <c r="A7921" s="112">
        <f t="shared" si="149"/>
        <v>42619</v>
      </c>
      <c r="B7921" s="111">
        <f t="shared" si="148"/>
        <v>92</v>
      </c>
      <c r="C7921" s="111"/>
      <c r="D7921" s="111">
        <f t="shared" si="147"/>
        <v>250</v>
      </c>
      <c r="E7921" s="111"/>
    </row>
    <row r="7922" spans="1:5" x14ac:dyDescent="0.2">
      <c r="A7922" s="112">
        <f t="shared" si="149"/>
        <v>42620</v>
      </c>
      <c r="B7922" s="111">
        <f t="shared" si="148"/>
        <v>92</v>
      </c>
      <c r="C7922" s="111"/>
      <c r="D7922" s="111">
        <f t="shared" si="147"/>
        <v>251</v>
      </c>
      <c r="E7922" s="111"/>
    </row>
    <row r="7923" spans="1:5" x14ac:dyDescent="0.2">
      <c r="A7923" s="112">
        <f t="shared" si="149"/>
        <v>42621</v>
      </c>
      <c r="B7923" s="111">
        <f t="shared" si="148"/>
        <v>92</v>
      </c>
      <c r="C7923" s="111"/>
      <c r="D7923" s="111">
        <f t="shared" si="147"/>
        <v>252</v>
      </c>
      <c r="E7923" s="111"/>
    </row>
    <row r="7924" spans="1:5" x14ac:dyDescent="0.2">
      <c r="A7924" s="112">
        <f t="shared" si="149"/>
        <v>42622</v>
      </c>
      <c r="B7924" s="111">
        <f t="shared" si="148"/>
        <v>92</v>
      </c>
      <c r="C7924" s="111"/>
      <c r="D7924" s="111">
        <f t="shared" si="147"/>
        <v>253</v>
      </c>
      <c r="E7924" s="111"/>
    </row>
    <row r="7925" spans="1:5" x14ac:dyDescent="0.2">
      <c r="A7925" s="112">
        <f t="shared" si="149"/>
        <v>42623</v>
      </c>
      <c r="B7925" s="111">
        <f t="shared" si="148"/>
        <v>92</v>
      </c>
      <c r="C7925" s="111"/>
      <c r="D7925" s="111">
        <f t="shared" si="147"/>
        <v>254</v>
      </c>
      <c r="E7925" s="111"/>
    </row>
    <row r="7926" spans="1:5" x14ac:dyDescent="0.2">
      <c r="A7926" s="112">
        <f t="shared" si="149"/>
        <v>42624</v>
      </c>
      <c r="B7926" s="111">
        <f t="shared" si="148"/>
        <v>93</v>
      </c>
      <c r="C7926" s="111"/>
      <c r="D7926" s="111">
        <f t="shared" si="147"/>
        <v>255</v>
      </c>
      <c r="E7926" s="111"/>
    </row>
    <row r="7927" spans="1:5" x14ac:dyDescent="0.2">
      <c r="A7927" s="112">
        <f t="shared" si="149"/>
        <v>42625</v>
      </c>
      <c r="B7927" s="111">
        <f t="shared" si="148"/>
        <v>93</v>
      </c>
      <c r="C7927" s="111"/>
      <c r="D7927" s="111">
        <f t="shared" si="147"/>
        <v>256</v>
      </c>
      <c r="E7927" s="111"/>
    </row>
    <row r="7928" spans="1:5" x14ac:dyDescent="0.2">
      <c r="A7928" s="112">
        <f t="shared" si="149"/>
        <v>42626</v>
      </c>
      <c r="B7928" s="111">
        <f t="shared" si="148"/>
        <v>93</v>
      </c>
      <c r="C7928" s="111"/>
      <c r="D7928" s="111">
        <f t="shared" si="147"/>
        <v>257</v>
      </c>
      <c r="E7928" s="111"/>
    </row>
    <row r="7929" spans="1:5" x14ac:dyDescent="0.2">
      <c r="A7929" s="112">
        <f t="shared" si="149"/>
        <v>42627</v>
      </c>
      <c r="B7929" s="111">
        <f t="shared" si="148"/>
        <v>93</v>
      </c>
      <c r="C7929" s="111"/>
      <c r="D7929" s="111">
        <f t="shared" ref="D7929:D7992" si="150">D7928+1</f>
        <v>258</v>
      </c>
      <c r="E7929" s="111"/>
    </row>
    <row r="7930" spans="1:5" x14ac:dyDescent="0.2">
      <c r="A7930" s="112">
        <f t="shared" si="149"/>
        <v>42628</v>
      </c>
      <c r="B7930" s="111">
        <f t="shared" si="148"/>
        <v>93</v>
      </c>
      <c r="C7930" s="111"/>
      <c r="D7930" s="111">
        <f t="shared" si="150"/>
        <v>259</v>
      </c>
      <c r="E7930" s="111"/>
    </row>
    <row r="7931" spans="1:5" x14ac:dyDescent="0.2">
      <c r="A7931" s="112">
        <f t="shared" si="149"/>
        <v>42629</v>
      </c>
      <c r="B7931" s="111">
        <f t="shared" si="148"/>
        <v>93</v>
      </c>
      <c r="C7931" s="111"/>
      <c r="D7931" s="111">
        <f t="shared" si="150"/>
        <v>260</v>
      </c>
      <c r="E7931" s="111"/>
    </row>
    <row r="7932" spans="1:5" x14ac:dyDescent="0.2">
      <c r="A7932" s="112">
        <f t="shared" si="149"/>
        <v>42630</v>
      </c>
      <c r="B7932" s="111">
        <f t="shared" si="148"/>
        <v>93</v>
      </c>
      <c r="C7932" s="111"/>
      <c r="D7932" s="111">
        <f t="shared" si="150"/>
        <v>261</v>
      </c>
      <c r="E7932" s="111"/>
    </row>
    <row r="7933" spans="1:5" x14ac:dyDescent="0.2">
      <c r="A7933" s="112">
        <f t="shared" si="149"/>
        <v>42631</v>
      </c>
      <c r="B7933" s="111">
        <f t="shared" si="148"/>
        <v>94</v>
      </c>
      <c r="C7933" s="111"/>
      <c r="D7933" s="111">
        <f t="shared" si="150"/>
        <v>262</v>
      </c>
      <c r="E7933" s="111"/>
    </row>
    <row r="7934" spans="1:5" x14ac:dyDescent="0.2">
      <c r="A7934" s="112">
        <f t="shared" si="149"/>
        <v>42632</v>
      </c>
      <c r="B7934" s="111">
        <f t="shared" si="148"/>
        <v>94</v>
      </c>
      <c r="C7934" s="111"/>
      <c r="D7934" s="111">
        <f t="shared" si="150"/>
        <v>263</v>
      </c>
      <c r="E7934" s="111"/>
    </row>
    <row r="7935" spans="1:5" x14ac:dyDescent="0.2">
      <c r="A7935" s="112">
        <f t="shared" si="149"/>
        <v>42633</v>
      </c>
      <c r="B7935" s="111">
        <f t="shared" si="148"/>
        <v>94</v>
      </c>
      <c r="C7935" s="111"/>
      <c r="D7935" s="111">
        <f t="shared" si="150"/>
        <v>264</v>
      </c>
      <c r="E7935" s="111"/>
    </row>
    <row r="7936" spans="1:5" x14ac:dyDescent="0.2">
      <c r="A7936" s="112">
        <f t="shared" si="149"/>
        <v>42634</v>
      </c>
      <c r="B7936" s="111">
        <f t="shared" si="148"/>
        <v>94</v>
      </c>
      <c r="C7936" s="111"/>
      <c r="D7936" s="111">
        <f t="shared" si="150"/>
        <v>265</v>
      </c>
      <c r="E7936" s="111"/>
    </row>
    <row r="7937" spans="1:5" x14ac:dyDescent="0.2">
      <c r="A7937" s="112">
        <f t="shared" si="149"/>
        <v>42635</v>
      </c>
      <c r="B7937" s="111">
        <f t="shared" si="148"/>
        <v>94</v>
      </c>
      <c r="C7937" s="111"/>
      <c r="D7937" s="111">
        <f t="shared" si="150"/>
        <v>266</v>
      </c>
      <c r="E7937" s="111"/>
    </row>
    <row r="7938" spans="1:5" x14ac:dyDescent="0.2">
      <c r="A7938" s="112">
        <f t="shared" si="149"/>
        <v>42636</v>
      </c>
      <c r="B7938" s="111">
        <f t="shared" ref="B7938:B8001" si="151">VLOOKUP(WEEKNUM(A7938),$D$3:$E$58,2)</f>
        <v>94</v>
      </c>
      <c r="C7938" s="111"/>
      <c r="D7938" s="111">
        <f t="shared" si="150"/>
        <v>267</v>
      </c>
      <c r="E7938" s="111"/>
    </row>
    <row r="7939" spans="1:5" x14ac:dyDescent="0.2">
      <c r="A7939" s="112">
        <f t="shared" si="149"/>
        <v>42637</v>
      </c>
      <c r="B7939" s="111">
        <f t="shared" si="151"/>
        <v>94</v>
      </c>
      <c r="C7939" s="111"/>
      <c r="D7939" s="111">
        <f t="shared" si="150"/>
        <v>268</v>
      </c>
      <c r="E7939" s="111"/>
    </row>
    <row r="7940" spans="1:5" x14ac:dyDescent="0.2">
      <c r="A7940" s="112">
        <f t="shared" si="149"/>
        <v>42638</v>
      </c>
      <c r="B7940" s="111">
        <f t="shared" si="151"/>
        <v>101</v>
      </c>
      <c r="C7940" s="111"/>
      <c r="D7940" s="111">
        <f t="shared" si="150"/>
        <v>269</v>
      </c>
      <c r="E7940" s="111"/>
    </row>
    <row r="7941" spans="1:5" x14ac:dyDescent="0.2">
      <c r="A7941" s="112">
        <f t="shared" si="149"/>
        <v>42639</v>
      </c>
      <c r="B7941" s="111">
        <f t="shared" si="151"/>
        <v>101</v>
      </c>
      <c r="C7941" s="111"/>
      <c r="D7941" s="111">
        <f t="shared" si="150"/>
        <v>270</v>
      </c>
      <c r="E7941" s="111"/>
    </row>
    <row r="7942" spans="1:5" x14ac:dyDescent="0.2">
      <c r="A7942" s="112">
        <f t="shared" si="149"/>
        <v>42640</v>
      </c>
      <c r="B7942" s="111">
        <f t="shared" si="151"/>
        <v>101</v>
      </c>
      <c r="C7942" s="111"/>
      <c r="D7942" s="111">
        <f t="shared" si="150"/>
        <v>271</v>
      </c>
      <c r="E7942" s="111"/>
    </row>
    <row r="7943" spans="1:5" x14ac:dyDescent="0.2">
      <c r="A7943" s="112">
        <f t="shared" si="149"/>
        <v>42641</v>
      </c>
      <c r="B7943" s="111">
        <f t="shared" si="151"/>
        <v>101</v>
      </c>
      <c r="C7943" s="111"/>
      <c r="D7943" s="111">
        <f t="shared" si="150"/>
        <v>272</v>
      </c>
      <c r="E7943" s="111"/>
    </row>
    <row r="7944" spans="1:5" x14ac:dyDescent="0.2">
      <c r="A7944" s="112">
        <f t="shared" si="149"/>
        <v>42642</v>
      </c>
      <c r="B7944" s="111">
        <f t="shared" si="151"/>
        <v>101</v>
      </c>
      <c r="C7944" s="111"/>
      <c r="D7944" s="111">
        <f t="shared" si="150"/>
        <v>273</v>
      </c>
      <c r="E7944" s="111"/>
    </row>
    <row r="7945" spans="1:5" x14ac:dyDescent="0.2">
      <c r="A7945" s="112">
        <f t="shared" si="149"/>
        <v>42643</v>
      </c>
      <c r="B7945" s="111">
        <f t="shared" si="151"/>
        <v>101</v>
      </c>
      <c r="C7945" s="111"/>
      <c r="D7945" s="111">
        <f t="shared" si="150"/>
        <v>274</v>
      </c>
      <c r="E7945" s="111"/>
    </row>
    <row r="7946" spans="1:5" x14ac:dyDescent="0.2">
      <c r="A7946" s="112">
        <f t="shared" si="149"/>
        <v>42644</v>
      </c>
      <c r="B7946" s="111">
        <f t="shared" si="151"/>
        <v>101</v>
      </c>
      <c r="C7946" s="111"/>
      <c r="D7946" s="111">
        <f t="shared" si="150"/>
        <v>275</v>
      </c>
      <c r="E7946" s="111"/>
    </row>
    <row r="7947" spans="1:5" x14ac:dyDescent="0.2">
      <c r="A7947" s="112">
        <f t="shared" si="149"/>
        <v>42645</v>
      </c>
      <c r="B7947" s="111">
        <f t="shared" si="151"/>
        <v>102</v>
      </c>
      <c r="C7947" s="111"/>
      <c r="D7947" s="111">
        <f t="shared" si="150"/>
        <v>276</v>
      </c>
      <c r="E7947" s="111"/>
    </row>
    <row r="7948" spans="1:5" x14ac:dyDescent="0.2">
      <c r="A7948" s="112">
        <f t="shared" si="149"/>
        <v>42646</v>
      </c>
      <c r="B7948" s="111">
        <f t="shared" si="151"/>
        <v>102</v>
      </c>
      <c r="C7948" s="111"/>
      <c r="D7948" s="111">
        <f t="shared" si="150"/>
        <v>277</v>
      </c>
      <c r="E7948" s="111"/>
    </row>
    <row r="7949" spans="1:5" x14ac:dyDescent="0.2">
      <c r="A7949" s="112">
        <f t="shared" si="149"/>
        <v>42647</v>
      </c>
      <c r="B7949" s="111">
        <f t="shared" si="151"/>
        <v>102</v>
      </c>
      <c r="C7949" s="111"/>
      <c r="D7949" s="111">
        <f t="shared" si="150"/>
        <v>278</v>
      </c>
      <c r="E7949" s="111"/>
    </row>
    <row r="7950" spans="1:5" x14ac:dyDescent="0.2">
      <c r="A7950" s="112">
        <f t="shared" si="149"/>
        <v>42648</v>
      </c>
      <c r="B7950" s="111">
        <f t="shared" si="151"/>
        <v>102</v>
      </c>
      <c r="C7950" s="111"/>
      <c r="D7950" s="111">
        <f t="shared" si="150"/>
        <v>279</v>
      </c>
      <c r="E7950" s="111"/>
    </row>
    <row r="7951" spans="1:5" x14ac:dyDescent="0.2">
      <c r="A7951" s="112">
        <f t="shared" si="149"/>
        <v>42649</v>
      </c>
      <c r="B7951" s="111">
        <f t="shared" si="151"/>
        <v>102</v>
      </c>
      <c r="C7951" s="111"/>
      <c r="D7951" s="111">
        <f t="shared" si="150"/>
        <v>280</v>
      </c>
      <c r="E7951" s="111"/>
    </row>
    <row r="7952" spans="1:5" x14ac:dyDescent="0.2">
      <c r="A7952" s="112">
        <f t="shared" si="149"/>
        <v>42650</v>
      </c>
      <c r="B7952" s="111">
        <f t="shared" si="151"/>
        <v>102</v>
      </c>
      <c r="C7952" s="111"/>
      <c r="D7952" s="111">
        <f t="shared" si="150"/>
        <v>281</v>
      </c>
      <c r="E7952" s="111"/>
    </row>
    <row r="7953" spans="1:5" x14ac:dyDescent="0.2">
      <c r="A7953" s="112">
        <f t="shared" si="149"/>
        <v>42651</v>
      </c>
      <c r="B7953" s="111">
        <f t="shared" si="151"/>
        <v>102</v>
      </c>
      <c r="C7953" s="111"/>
      <c r="D7953" s="111">
        <f t="shared" si="150"/>
        <v>282</v>
      </c>
      <c r="E7953" s="111"/>
    </row>
    <row r="7954" spans="1:5" x14ac:dyDescent="0.2">
      <c r="A7954" s="112">
        <f t="shared" si="149"/>
        <v>42652</v>
      </c>
      <c r="B7954" s="111">
        <f t="shared" si="151"/>
        <v>103</v>
      </c>
      <c r="C7954" s="111"/>
      <c r="D7954" s="111">
        <f t="shared" si="150"/>
        <v>283</v>
      </c>
      <c r="E7954" s="111"/>
    </row>
    <row r="7955" spans="1:5" x14ac:dyDescent="0.2">
      <c r="A7955" s="112">
        <f t="shared" si="149"/>
        <v>42653</v>
      </c>
      <c r="B7955" s="111">
        <f t="shared" si="151"/>
        <v>103</v>
      </c>
      <c r="C7955" s="111"/>
      <c r="D7955" s="111">
        <f t="shared" si="150"/>
        <v>284</v>
      </c>
      <c r="E7955" s="111"/>
    </row>
    <row r="7956" spans="1:5" x14ac:dyDescent="0.2">
      <c r="A7956" s="112">
        <f t="shared" si="149"/>
        <v>42654</v>
      </c>
      <c r="B7956" s="111">
        <f t="shared" si="151"/>
        <v>103</v>
      </c>
      <c r="C7956" s="111"/>
      <c r="D7956" s="111">
        <f t="shared" si="150"/>
        <v>285</v>
      </c>
      <c r="E7956" s="111"/>
    </row>
    <row r="7957" spans="1:5" x14ac:dyDescent="0.2">
      <c r="A7957" s="112">
        <f t="shared" si="149"/>
        <v>42655</v>
      </c>
      <c r="B7957" s="111">
        <f t="shared" si="151"/>
        <v>103</v>
      </c>
      <c r="C7957" s="111"/>
      <c r="D7957" s="111">
        <f t="shared" si="150"/>
        <v>286</v>
      </c>
      <c r="E7957" s="111"/>
    </row>
    <row r="7958" spans="1:5" x14ac:dyDescent="0.2">
      <c r="A7958" s="112">
        <f t="shared" si="149"/>
        <v>42656</v>
      </c>
      <c r="B7958" s="111">
        <f t="shared" si="151"/>
        <v>103</v>
      </c>
      <c r="C7958" s="111"/>
      <c r="D7958" s="111">
        <f t="shared" si="150"/>
        <v>287</v>
      </c>
      <c r="E7958" s="111"/>
    </row>
    <row r="7959" spans="1:5" x14ac:dyDescent="0.2">
      <c r="A7959" s="112">
        <f t="shared" si="149"/>
        <v>42657</v>
      </c>
      <c r="B7959" s="111">
        <f t="shared" si="151"/>
        <v>103</v>
      </c>
      <c r="C7959" s="111"/>
      <c r="D7959" s="111">
        <f t="shared" si="150"/>
        <v>288</v>
      </c>
      <c r="E7959" s="111"/>
    </row>
    <row r="7960" spans="1:5" x14ac:dyDescent="0.2">
      <c r="A7960" s="112">
        <f t="shared" si="149"/>
        <v>42658</v>
      </c>
      <c r="B7960" s="111">
        <f t="shared" si="151"/>
        <v>103</v>
      </c>
      <c r="C7960" s="111"/>
      <c r="D7960" s="111">
        <f t="shared" si="150"/>
        <v>289</v>
      </c>
      <c r="E7960" s="111"/>
    </row>
    <row r="7961" spans="1:5" x14ac:dyDescent="0.2">
      <c r="A7961" s="112">
        <f t="shared" si="149"/>
        <v>42659</v>
      </c>
      <c r="B7961" s="111">
        <f t="shared" si="151"/>
        <v>104</v>
      </c>
      <c r="C7961" s="111"/>
      <c r="D7961" s="111">
        <f t="shared" si="150"/>
        <v>290</v>
      </c>
      <c r="E7961" s="111"/>
    </row>
    <row r="7962" spans="1:5" x14ac:dyDescent="0.2">
      <c r="A7962" s="112">
        <f t="shared" si="149"/>
        <v>42660</v>
      </c>
      <c r="B7962" s="111">
        <f t="shared" si="151"/>
        <v>104</v>
      </c>
      <c r="C7962" s="111"/>
      <c r="D7962" s="111">
        <f t="shared" si="150"/>
        <v>291</v>
      </c>
      <c r="E7962" s="111"/>
    </row>
    <row r="7963" spans="1:5" x14ac:dyDescent="0.2">
      <c r="A7963" s="112">
        <f t="shared" si="149"/>
        <v>42661</v>
      </c>
      <c r="B7963" s="111">
        <f t="shared" si="151"/>
        <v>104</v>
      </c>
      <c r="C7963" s="111"/>
      <c r="D7963" s="111">
        <f t="shared" si="150"/>
        <v>292</v>
      </c>
      <c r="E7963" s="111"/>
    </row>
    <row r="7964" spans="1:5" x14ac:dyDescent="0.2">
      <c r="A7964" s="112">
        <f t="shared" si="149"/>
        <v>42662</v>
      </c>
      <c r="B7964" s="111">
        <f t="shared" si="151"/>
        <v>104</v>
      </c>
      <c r="C7964" s="111"/>
      <c r="D7964" s="111">
        <f t="shared" si="150"/>
        <v>293</v>
      </c>
      <c r="E7964" s="111"/>
    </row>
    <row r="7965" spans="1:5" x14ac:dyDescent="0.2">
      <c r="A7965" s="112">
        <f t="shared" si="149"/>
        <v>42663</v>
      </c>
      <c r="B7965" s="111">
        <f t="shared" si="151"/>
        <v>104</v>
      </c>
      <c r="C7965" s="111"/>
      <c r="D7965" s="111">
        <f t="shared" si="150"/>
        <v>294</v>
      </c>
      <c r="E7965" s="111"/>
    </row>
    <row r="7966" spans="1:5" x14ac:dyDescent="0.2">
      <c r="A7966" s="112">
        <f t="shared" si="149"/>
        <v>42664</v>
      </c>
      <c r="B7966" s="111">
        <f t="shared" si="151"/>
        <v>104</v>
      </c>
      <c r="C7966" s="111"/>
      <c r="D7966" s="111">
        <f t="shared" si="150"/>
        <v>295</v>
      </c>
      <c r="E7966" s="111"/>
    </row>
    <row r="7967" spans="1:5" x14ac:dyDescent="0.2">
      <c r="A7967" s="112">
        <f t="shared" ref="A7967:A8030" si="152">A7966+1</f>
        <v>42665</v>
      </c>
      <c r="B7967" s="111">
        <f t="shared" si="151"/>
        <v>104</v>
      </c>
      <c r="C7967" s="111"/>
      <c r="D7967" s="111">
        <f t="shared" si="150"/>
        <v>296</v>
      </c>
      <c r="E7967" s="111"/>
    </row>
    <row r="7968" spans="1:5" x14ac:dyDescent="0.2">
      <c r="A7968" s="112">
        <f t="shared" si="152"/>
        <v>42666</v>
      </c>
      <c r="B7968" s="111">
        <f t="shared" si="151"/>
        <v>105</v>
      </c>
      <c r="C7968" s="111"/>
      <c r="D7968" s="111">
        <f t="shared" si="150"/>
        <v>297</v>
      </c>
      <c r="E7968" s="111"/>
    </row>
    <row r="7969" spans="1:5" x14ac:dyDescent="0.2">
      <c r="A7969" s="112">
        <f t="shared" si="152"/>
        <v>42667</v>
      </c>
      <c r="B7969" s="111">
        <f t="shared" si="151"/>
        <v>105</v>
      </c>
      <c r="C7969" s="111"/>
      <c r="D7969" s="111">
        <f t="shared" si="150"/>
        <v>298</v>
      </c>
      <c r="E7969" s="111"/>
    </row>
    <row r="7970" spans="1:5" x14ac:dyDescent="0.2">
      <c r="A7970" s="112">
        <f t="shared" si="152"/>
        <v>42668</v>
      </c>
      <c r="B7970" s="111">
        <f t="shared" si="151"/>
        <v>105</v>
      </c>
      <c r="C7970" s="111"/>
      <c r="D7970" s="111">
        <f t="shared" si="150"/>
        <v>299</v>
      </c>
      <c r="E7970" s="111"/>
    </row>
    <row r="7971" spans="1:5" x14ac:dyDescent="0.2">
      <c r="A7971" s="112">
        <f t="shared" si="152"/>
        <v>42669</v>
      </c>
      <c r="B7971" s="111">
        <f t="shared" si="151"/>
        <v>105</v>
      </c>
      <c r="C7971" s="111"/>
      <c r="D7971" s="111">
        <f t="shared" si="150"/>
        <v>300</v>
      </c>
      <c r="E7971" s="111"/>
    </row>
    <row r="7972" spans="1:5" x14ac:dyDescent="0.2">
      <c r="A7972" s="112">
        <f t="shared" si="152"/>
        <v>42670</v>
      </c>
      <c r="B7972" s="111">
        <f t="shared" si="151"/>
        <v>105</v>
      </c>
      <c r="C7972" s="111"/>
      <c r="D7972" s="111">
        <f t="shared" si="150"/>
        <v>301</v>
      </c>
      <c r="E7972" s="111"/>
    </row>
    <row r="7973" spans="1:5" x14ac:dyDescent="0.2">
      <c r="A7973" s="112">
        <f t="shared" si="152"/>
        <v>42671</v>
      </c>
      <c r="B7973" s="111">
        <f t="shared" si="151"/>
        <v>105</v>
      </c>
      <c r="C7973" s="111"/>
      <c r="D7973" s="111">
        <f t="shared" si="150"/>
        <v>302</v>
      </c>
      <c r="E7973" s="111"/>
    </row>
    <row r="7974" spans="1:5" x14ac:dyDescent="0.2">
      <c r="A7974" s="112">
        <f t="shared" si="152"/>
        <v>42672</v>
      </c>
      <c r="B7974" s="111">
        <f t="shared" si="151"/>
        <v>105</v>
      </c>
      <c r="C7974" s="111"/>
      <c r="D7974" s="111">
        <f t="shared" si="150"/>
        <v>303</v>
      </c>
      <c r="E7974" s="111"/>
    </row>
    <row r="7975" spans="1:5" x14ac:dyDescent="0.2">
      <c r="A7975" s="112">
        <f t="shared" si="152"/>
        <v>42673</v>
      </c>
      <c r="B7975" s="111">
        <f t="shared" si="151"/>
        <v>111</v>
      </c>
      <c r="C7975" s="111"/>
      <c r="D7975" s="111">
        <f t="shared" si="150"/>
        <v>304</v>
      </c>
      <c r="E7975" s="111"/>
    </row>
    <row r="7976" spans="1:5" x14ac:dyDescent="0.2">
      <c r="A7976" s="112">
        <f t="shared" si="152"/>
        <v>42674</v>
      </c>
      <c r="B7976" s="111">
        <f t="shared" si="151"/>
        <v>111</v>
      </c>
      <c r="C7976" s="111"/>
      <c r="D7976" s="111">
        <f t="shared" si="150"/>
        <v>305</v>
      </c>
      <c r="E7976" s="111"/>
    </row>
    <row r="7977" spans="1:5" x14ac:dyDescent="0.2">
      <c r="A7977" s="112">
        <f t="shared" si="152"/>
        <v>42675</v>
      </c>
      <c r="B7977" s="111">
        <f t="shared" si="151"/>
        <v>111</v>
      </c>
      <c r="C7977" s="111"/>
      <c r="D7977" s="111">
        <f t="shared" si="150"/>
        <v>306</v>
      </c>
      <c r="E7977" s="111"/>
    </row>
    <row r="7978" spans="1:5" x14ac:dyDescent="0.2">
      <c r="A7978" s="112">
        <f t="shared" si="152"/>
        <v>42676</v>
      </c>
      <c r="B7978" s="111">
        <f t="shared" si="151"/>
        <v>111</v>
      </c>
      <c r="C7978" s="111"/>
      <c r="D7978" s="111">
        <f t="shared" si="150"/>
        <v>307</v>
      </c>
      <c r="E7978" s="111"/>
    </row>
    <row r="7979" spans="1:5" x14ac:dyDescent="0.2">
      <c r="A7979" s="112">
        <f t="shared" si="152"/>
        <v>42677</v>
      </c>
      <c r="B7979" s="111">
        <f t="shared" si="151"/>
        <v>111</v>
      </c>
      <c r="C7979" s="111"/>
      <c r="D7979" s="111">
        <f t="shared" si="150"/>
        <v>308</v>
      </c>
      <c r="E7979" s="111"/>
    </row>
    <row r="7980" spans="1:5" x14ac:dyDescent="0.2">
      <c r="A7980" s="112">
        <f t="shared" si="152"/>
        <v>42678</v>
      </c>
      <c r="B7980" s="111">
        <f t="shared" si="151"/>
        <v>111</v>
      </c>
      <c r="C7980" s="111"/>
      <c r="D7980" s="111">
        <f t="shared" si="150"/>
        <v>309</v>
      </c>
      <c r="E7980" s="111"/>
    </row>
    <row r="7981" spans="1:5" x14ac:dyDescent="0.2">
      <c r="A7981" s="112">
        <f t="shared" si="152"/>
        <v>42679</v>
      </c>
      <c r="B7981" s="111">
        <f t="shared" si="151"/>
        <v>111</v>
      </c>
      <c r="C7981" s="111"/>
      <c r="D7981" s="111">
        <f t="shared" si="150"/>
        <v>310</v>
      </c>
      <c r="E7981" s="111"/>
    </row>
    <row r="7982" spans="1:5" x14ac:dyDescent="0.2">
      <c r="A7982" s="112">
        <f t="shared" si="152"/>
        <v>42680</v>
      </c>
      <c r="B7982" s="111">
        <f t="shared" si="151"/>
        <v>112</v>
      </c>
      <c r="C7982" s="111"/>
      <c r="D7982" s="111">
        <f t="shared" si="150"/>
        <v>311</v>
      </c>
      <c r="E7982" s="111"/>
    </row>
    <row r="7983" spans="1:5" x14ac:dyDescent="0.2">
      <c r="A7983" s="112">
        <f t="shared" si="152"/>
        <v>42681</v>
      </c>
      <c r="B7983" s="111">
        <f t="shared" si="151"/>
        <v>112</v>
      </c>
      <c r="C7983" s="111"/>
      <c r="D7983" s="111">
        <f t="shared" si="150"/>
        <v>312</v>
      </c>
      <c r="E7983" s="111"/>
    </row>
    <row r="7984" spans="1:5" x14ac:dyDescent="0.2">
      <c r="A7984" s="112">
        <f t="shared" si="152"/>
        <v>42682</v>
      </c>
      <c r="B7984" s="111">
        <f t="shared" si="151"/>
        <v>112</v>
      </c>
      <c r="C7984" s="111"/>
      <c r="D7984" s="111">
        <f t="shared" si="150"/>
        <v>313</v>
      </c>
      <c r="E7984" s="111"/>
    </row>
    <row r="7985" spans="1:5" x14ac:dyDescent="0.2">
      <c r="A7985" s="112">
        <f t="shared" si="152"/>
        <v>42683</v>
      </c>
      <c r="B7985" s="111">
        <f t="shared" si="151"/>
        <v>112</v>
      </c>
      <c r="C7985" s="111"/>
      <c r="D7985" s="111">
        <f t="shared" si="150"/>
        <v>314</v>
      </c>
      <c r="E7985" s="111"/>
    </row>
    <row r="7986" spans="1:5" x14ac:dyDescent="0.2">
      <c r="A7986" s="112">
        <f t="shared" si="152"/>
        <v>42684</v>
      </c>
      <c r="B7986" s="111">
        <f t="shared" si="151"/>
        <v>112</v>
      </c>
      <c r="C7986" s="111"/>
      <c r="D7986" s="111">
        <f t="shared" si="150"/>
        <v>315</v>
      </c>
      <c r="E7986" s="111"/>
    </row>
    <row r="7987" spans="1:5" x14ac:dyDescent="0.2">
      <c r="A7987" s="112">
        <f t="shared" si="152"/>
        <v>42685</v>
      </c>
      <c r="B7987" s="111">
        <f t="shared" si="151"/>
        <v>112</v>
      </c>
      <c r="C7987" s="111"/>
      <c r="D7987" s="111">
        <f t="shared" si="150"/>
        <v>316</v>
      </c>
      <c r="E7987" s="111"/>
    </row>
    <row r="7988" spans="1:5" x14ac:dyDescent="0.2">
      <c r="A7988" s="112">
        <f t="shared" si="152"/>
        <v>42686</v>
      </c>
      <c r="B7988" s="111">
        <f t="shared" si="151"/>
        <v>112</v>
      </c>
      <c r="C7988" s="111"/>
      <c r="D7988" s="111">
        <f t="shared" si="150"/>
        <v>317</v>
      </c>
      <c r="E7988" s="111"/>
    </row>
    <row r="7989" spans="1:5" x14ac:dyDescent="0.2">
      <c r="A7989" s="112">
        <f t="shared" si="152"/>
        <v>42687</v>
      </c>
      <c r="B7989" s="111">
        <f t="shared" si="151"/>
        <v>113</v>
      </c>
      <c r="C7989" s="111"/>
      <c r="D7989" s="111">
        <f t="shared" si="150"/>
        <v>318</v>
      </c>
      <c r="E7989" s="111"/>
    </row>
    <row r="7990" spans="1:5" x14ac:dyDescent="0.2">
      <c r="A7990" s="112">
        <f t="shared" si="152"/>
        <v>42688</v>
      </c>
      <c r="B7990" s="111">
        <f t="shared" si="151"/>
        <v>113</v>
      </c>
      <c r="C7990" s="111"/>
      <c r="D7990" s="111">
        <f t="shared" si="150"/>
        <v>319</v>
      </c>
      <c r="E7990" s="111"/>
    </row>
    <row r="7991" spans="1:5" x14ac:dyDescent="0.2">
      <c r="A7991" s="112">
        <f t="shared" si="152"/>
        <v>42689</v>
      </c>
      <c r="B7991" s="111">
        <f t="shared" si="151"/>
        <v>113</v>
      </c>
      <c r="C7991" s="111"/>
      <c r="D7991" s="111">
        <f t="shared" si="150"/>
        <v>320</v>
      </c>
      <c r="E7991" s="111"/>
    </row>
    <row r="7992" spans="1:5" x14ac:dyDescent="0.2">
      <c r="A7992" s="112">
        <f t="shared" si="152"/>
        <v>42690</v>
      </c>
      <c r="B7992" s="111">
        <f t="shared" si="151"/>
        <v>113</v>
      </c>
      <c r="C7992" s="111"/>
      <c r="D7992" s="111">
        <f t="shared" si="150"/>
        <v>321</v>
      </c>
      <c r="E7992" s="111"/>
    </row>
    <row r="7993" spans="1:5" x14ac:dyDescent="0.2">
      <c r="A7993" s="112">
        <f t="shared" si="152"/>
        <v>42691</v>
      </c>
      <c r="B7993" s="111">
        <f t="shared" si="151"/>
        <v>113</v>
      </c>
      <c r="C7993" s="111"/>
      <c r="D7993" s="111">
        <f t="shared" ref="D7993:D8037" si="153">D7992+1</f>
        <v>322</v>
      </c>
      <c r="E7993" s="111"/>
    </row>
    <row r="7994" spans="1:5" x14ac:dyDescent="0.2">
      <c r="A7994" s="112">
        <f t="shared" si="152"/>
        <v>42692</v>
      </c>
      <c r="B7994" s="111">
        <f t="shared" si="151"/>
        <v>113</v>
      </c>
      <c r="C7994" s="111"/>
      <c r="D7994" s="111">
        <f t="shared" si="153"/>
        <v>323</v>
      </c>
      <c r="E7994" s="111"/>
    </row>
    <row r="7995" spans="1:5" x14ac:dyDescent="0.2">
      <c r="A7995" s="112">
        <f t="shared" si="152"/>
        <v>42693</v>
      </c>
      <c r="B7995" s="111">
        <f t="shared" si="151"/>
        <v>113</v>
      </c>
      <c r="C7995" s="111"/>
      <c r="D7995" s="111">
        <f t="shared" si="153"/>
        <v>324</v>
      </c>
      <c r="E7995" s="111"/>
    </row>
    <row r="7996" spans="1:5" x14ac:dyDescent="0.2">
      <c r="A7996" s="112">
        <f t="shared" si="152"/>
        <v>42694</v>
      </c>
      <c r="B7996" s="111">
        <f t="shared" si="151"/>
        <v>114</v>
      </c>
      <c r="C7996" s="111"/>
      <c r="D7996" s="111">
        <f t="shared" si="153"/>
        <v>325</v>
      </c>
      <c r="E7996" s="111"/>
    </row>
    <row r="7997" spans="1:5" x14ac:dyDescent="0.2">
      <c r="A7997" s="112">
        <f t="shared" si="152"/>
        <v>42695</v>
      </c>
      <c r="B7997" s="111">
        <f t="shared" si="151"/>
        <v>114</v>
      </c>
      <c r="C7997" s="111"/>
      <c r="D7997" s="111">
        <f t="shared" si="153"/>
        <v>326</v>
      </c>
      <c r="E7997" s="111"/>
    </row>
    <row r="7998" spans="1:5" x14ac:dyDescent="0.2">
      <c r="A7998" s="112">
        <f t="shared" si="152"/>
        <v>42696</v>
      </c>
      <c r="B7998" s="111">
        <f t="shared" si="151"/>
        <v>114</v>
      </c>
      <c r="C7998" s="111"/>
      <c r="D7998" s="111">
        <f t="shared" si="153"/>
        <v>327</v>
      </c>
      <c r="E7998" s="111"/>
    </row>
    <row r="7999" spans="1:5" x14ac:dyDescent="0.2">
      <c r="A7999" s="112">
        <f t="shared" si="152"/>
        <v>42697</v>
      </c>
      <c r="B7999" s="111">
        <f t="shared" si="151"/>
        <v>114</v>
      </c>
      <c r="C7999" s="111"/>
      <c r="D7999" s="111">
        <f t="shared" si="153"/>
        <v>328</v>
      </c>
      <c r="E7999" s="111"/>
    </row>
    <row r="8000" spans="1:5" x14ac:dyDescent="0.2">
      <c r="A8000" s="112">
        <f t="shared" si="152"/>
        <v>42698</v>
      </c>
      <c r="B8000" s="111">
        <f t="shared" si="151"/>
        <v>114</v>
      </c>
      <c r="C8000" s="111"/>
      <c r="D8000" s="111">
        <f t="shared" si="153"/>
        <v>329</v>
      </c>
      <c r="E8000" s="111"/>
    </row>
    <row r="8001" spans="1:5" x14ac:dyDescent="0.2">
      <c r="A8001" s="112">
        <f t="shared" si="152"/>
        <v>42699</v>
      </c>
      <c r="B8001" s="111">
        <f t="shared" si="151"/>
        <v>114</v>
      </c>
      <c r="C8001" s="111"/>
      <c r="D8001" s="111">
        <f t="shared" si="153"/>
        <v>330</v>
      </c>
      <c r="E8001" s="111"/>
    </row>
    <row r="8002" spans="1:5" x14ac:dyDescent="0.2">
      <c r="A8002" s="112">
        <f t="shared" si="152"/>
        <v>42700</v>
      </c>
      <c r="B8002" s="111">
        <f t="shared" ref="B8002:B8065" si="154">VLOOKUP(WEEKNUM(A8002),$D$3:$E$58,2)</f>
        <v>114</v>
      </c>
      <c r="C8002" s="111"/>
      <c r="D8002" s="111">
        <f t="shared" si="153"/>
        <v>331</v>
      </c>
      <c r="E8002" s="111"/>
    </row>
    <row r="8003" spans="1:5" x14ac:dyDescent="0.2">
      <c r="A8003" s="112">
        <f t="shared" si="152"/>
        <v>42701</v>
      </c>
      <c r="B8003" s="111">
        <f t="shared" si="154"/>
        <v>115</v>
      </c>
      <c r="C8003" s="111"/>
      <c r="D8003" s="111">
        <f t="shared" si="153"/>
        <v>332</v>
      </c>
      <c r="E8003" s="111"/>
    </row>
    <row r="8004" spans="1:5" x14ac:dyDescent="0.2">
      <c r="A8004" s="112">
        <f t="shared" si="152"/>
        <v>42702</v>
      </c>
      <c r="B8004" s="111">
        <f t="shared" si="154"/>
        <v>115</v>
      </c>
      <c r="C8004" s="111"/>
      <c r="D8004" s="111">
        <f t="shared" si="153"/>
        <v>333</v>
      </c>
      <c r="E8004" s="111"/>
    </row>
    <row r="8005" spans="1:5" x14ac:dyDescent="0.2">
      <c r="A8005" s="112">
        <f t="shared" si="152"/>
        <v>42703</v>
      </c>
      <c r="B8005" s="111">
        <f t="shared" si="154"/>
        <v>115</v>
      </c>
      <c r="C8005" s="111"/>
      <c r="D8005" s="111">
        <f t="shared" si="153"/>
        <v>334</v>
      </c>
      <c r="E8005" s="111"/>
    </row>
    <row r="8006" spans="1:5" x14ac:dyDescent="0.2">
      <c r="A8006" s="112">
        <f t="shared" si="152"/>
        <v>42704</v>
      </c>
      <c r="B8006" s="111">
        <f t="shared" si="154"/>
        <v>115</v>
      </c>
      <c r="C8006" s="111"/>
      <c r="D8006" s="111">
        <f t="shared" si="153"/>
        <v>335</v>
      </c>
      <c r="E8006" s="111"/>
    </row>
    <row r="8007" spans="1:5" x14ac:dyDescent="0.2">
      <c r="A8007" s="112">
        <f t="shared" si="152"/>
        <v>42705</v>
      </c>
      <c r="B8007" s="111">
        <f t="shared" si="154"/>
        <v>115</v>
      </c>
      <c r="C8007" s="111"/>
      <c r="D8007" s="111">
        <f t="shared" si="153"/>
        <v>336</v>
      </c>
      <c r="E8007" s="111"/>
    </row>
    <row r="8008" spans="1:5" x14ac:dyDescent="0.2">
      <c r="A8008" s="112">
        <f t="shared" si="152"/>
        <v>42706</v>
      </c>
      <c r="B8008" s="111">
        <f t="shared" si="154"/>
        <v>115</v>
      </c>
      <c r="C8008" s="111"/>
      <c r="D8008" s="111">
        <f t="shared" si="153"/>
        <v>337</v>
      </c>
      <c r="E8008" s="111"/>
    </row>
    <row r="8009" spans="1:5" x14ac:dyDescent="0.2">
      <c r="A8009" s="112">
        <f t="shared" si="152"/>
        <v>42707</v>
      </c>
      <c r="B8009" s="111">
        <f t="shared" si="154"/>
        <v>115</v>
      </c>
      <c r="C8009" s="111"/>
      <c r="D8009" s="111">
        <f t="shared" si="153"/>
        <v>338</v>
      </c>
      <c r="E8009" s="111"/>
    </row>
    <row r="8010" spans="1:5" x14ac:dyDescent="0.2">
      <c r="A8010" s="112">
        <f t="shared" si="152"/>
        <v>42708</v>
      </c>
      <c r="B8010" s="111">
        <f t="shared" si="154"/>
        <v>121</v>
      </c>
      <c r="C8010" s="111"/>
      <c r="D8010" s="111">
        <f t="shared" si="153"/>
        <v>339</v>
      </c>
      <c r="E8010" s="111"/>
    </row>
    <row r="8011" spans="1:5" x14ac:dyDescent="0.2">
      <c r="A8011" s="112">
        <f t="shared" si="152"/>
        <v>42709</v>
      </c>
      <c r="B8011" s="111">
        <f t="shared" si="154"/>
        <v>121</v>
      </c>
      <c r="C8011" s="111"/>
      <c r="D8011" s="111">
        <f t="shared" si="153"/>
        <v>340</v>
      </c>
      <c r="E8011" s="111"/>
    </row>
    <row r="8012" spans="1:5" x14ac:dyDescent="0.2">
      <c r="A8012" s="112">
        <f t="shared" si="152"/>
        <v>42710</v>
      </c>
      <c r="B8012" s="111">
        <f t="shared" si="154"/>
        <v>121</v>
      </c>
      <c r="C8012" s="111"/>
      <c r="D8012" s="111">
        <f t="shared" si="153"/>
        <v>341</v>
      </c>
      <c r="E8012" s="111"/>
    </row>
    <row r="8013" spans="1:5" x14ac:dyDescent="0.2">
      <c r="A8013" s="112">
        <f t="shared" si="152"/>
        <v>42711</v>
      </c>
      <c r="B8013" s="111">
        <f t="shared" si="154"/>
        <v>121</v>
      </c>
      <c r="C8013" s="111"/>
      <c r="D8013" s="111">
        <f t="shared" si="153"/>
        <v>342</v>
      </c>
      <c r="E8013" s="111"/>
    </row>
    <row r="8014" spans="1:5" x14ac:dyDescent="0.2">
      <c r="A8014" s="112">
        <f t="shared" si="152"/>
        <v>42712</v>
      </c>
      <c r="B8014" s="111">
        <f t="shared" si="154"/>
        <v>121</v>
      </c>
      <c r="C8014" s="111"/>
      <c r="D8014" s="111">
        <f t="shared" si="153"/>
        <v>343</v>
      </c>
      <c r="E8014" s="111"/>
    </row>
    <row r="8015" spans="1:5" x14ac:dyDescent="0.2">
      <c r="A8015" s="112">
        <f t="shared" si="152"/>
        <v>42713</v>
      </c>
      <c r="B8015" s="111">
        <f t="shared" si="154"/>
        <v>121</v>
      </c>
      <c r="C8015" s="111"/>
      <c r="D8015" s="111">
        <f t="shared" si="153"/>
        <v>344</v>
      </c>
      <c r="E8015" s="111"/>
    </row>
    <row r="8016" spans="1:5" x14ac:dyDescent="0.2">
      <c r="A8016" s="112">
        <f t="shared" si="152"/>
        <v>42714</v>
      </c>
      <c r="B8016" s="111">
        <f t="shared" si="154"/>
        <v>121</v>
      </c>
      <c r="C8016" s="111"/>
      <c r="D8016" s="111">
        <f t="shared" si="153"/>
        <v>345</v>
      </c>
      <c r="E8016" s="111"/>
    </row>
    <row r="8017" spans="1:5" x14ac:dyDescent="0.2">
      <c r="A8017" s="112">
        <f t="shared" si="152"/>
        <v>42715</v>
      </c>
      <c r="B8017" s="111">
        <f t="shared" si="154"/>
        <v>122</v>
      </c>
      <c r="C8017" s="111"/>
      <c r="D8017" s="111">
        <f t="shared" si="153"/>
        <v>346</v>
      </c>
      <c r="E8017" s="111"/>
    </row>
    <row r="8018" spans="1:5" x14ac:dyDescent="0.2">
      <c r="A8018" s="112">
        <f t="shared" si="152"/>
        <v>42716</v>
      </c>
      <c r="B8018" s="111">
        <f t="shared" si="154"/>
        <v>122</v>
      </c>
      <c r="C8018" s="111"/>
      <c r="D8018" s="111">
        <f t="shared" si="153"/>
        <v>347</v>
      </c>
      <c r="E8018" s="111"/>
    </row>
    <row r="8019" spans="1:5" x14ac:dyDescent="0.2">
      <c r="A8019" s="112">
        <f t="shared" si="152"/>
        <v>42717</v>
      </c>
      <c r="B8019" s="111">
        <f t="shared" si="154"/>
        <v>122</v>
      </c>
      <c r="C8019" s="111"/>
      <c r="D8019" s="111">
        <f t="shared" si="153"/>
        <v>348</v>
      </c>
      <c r="E8019" s="111"/>
    </row>
    <row r="8020" spans="1:5" x14ac:dyDescent="0.2">
      <c r="A8020" s="112">
        <f t="shared" si="152"/>
        <v>42718</v>
      </c>
      <c r="B8020" s="111">
        <f t="shared" si="154"/>
        <v>122</v>
      </c>
      <c r="C8020" s="111"/>
      <c r="D8020" s="111">
        <f t="shared" si="153"/>
        <v>349</v>
      </c>
      <c r="E8020" s="111"/>
    </row>
    <row r="8021" spans="1:5" x14ac:dyDescent="0.2">
      <c r="A8021" s="112">
        <f t="shared" si="152"/>
        <v>42719</v>
      </c>
      <c r="B8021" s="111">
        <f t="shared" si="154"/>
        <v>122</v>
      </c>
      <c r="C8021" s="111"/>
      <c r="D8021" s="111">
        <f t="shared" si="153"/>
        <v>350</v>
      </c>
      <c r="E8021" s="111"/>
    </row>
    <row r="8022" spans="1:5" x14ac:dyDescent="0.2">
      <c r="A8022" s="112">
        <f t="shared" si="152"/>
        <v>42720</v>
      </c>
      <c r="B8022" s="111">
        <f t="shared" si="154"/>
        <v>122</v>
      </c>
      <c r="C8022" s="111"/>
      <c r="D8022" s="111">
        <f t="shared" si="153"/>
        <v>351</v>
      </c>
      <c r="E8022" s="111"/>
    </row>
    <row r="8023" spans="1:5" x14ac:dyDescent="0.2">
      <c r="A8023" s="112">
        <f t="shared" si="152"/>
        <v>42721</v>
      </c>
      <c r="B8023" s="111">
        <f t="shared" si="154"/>
        <v>122</v>
      </c>
      <c r="C8023" s="111"/>
      <c r="D8023" s="111">
        <f t="shared" si="153"/>
        <v>352</v>
      </c>
      <c r="E8023" s="111"/>
    </row>
    <row r="8024" spans="1:5" x14ac:dyDescent="0.2">
      <c r="A8024" s="112">
        <f t="shared" si="152"/>
        <v>42722</v>
      </c>
      <c r="B8024" s="111">
        <f t="shared" si="154"/>
        <v>123</v>
      </c>
      <c r="C8024" s="111"/>
      <c r="D8024" s="111">
        <f t="shared" si="153"/>
        <v>353</v>
      </c>
      <c r="E8024" s="111"/>
    </row>
    <row r="8025" spans="1:5" x14ac:dyDescent="0.2">
      <c r="A8025" s="112">
        <f t="shared" si="152"/>
        <v>42723</v>
      </c>
      <c r="B8025" s="111">
        <f t="shared" si="154"/>
        <v>123</v>
      </c>
      <c r="C8025" s="111"/>
      <c r="D8025" s="111">
        <f t="shared" si="153"/>
        <v>354</v>
      </c>
      <c r="E8025" s="111"/>
    </row>
    <row r="8026" spans="1:5" x14ac:dyDescent="0.2">
      <c r="A8026" s="112">
        <f t="shared" si="152"/>
        <v>42724</v>
      </c>
      <c r="B8026" s="111">
        <f t="shared" si="154"/>
        <v>123</v>
      </c>
      <c r="C8026" s="111"/>
      <c r="D8026" s="111">
        <f t="shared" si="153"/>
        <v>355</v>
      </c>
      <c r="E8026" s="111"/>
    </row>
    <row r="8027" spans="1:5" x14ac:dyDescent="0.2">
      <c r="A8027" s="112">
        <f t="shared" si="152"/>
        <v>42725</v>
      </c>
      <c r="B8027" s="111">
        <f t="shared" si="154"/>
        <v>123</v>
      </c>
      <c r="C8027" s="111"/>
      <c r="D8027" s="111">
        <f t="shared" si="153"/>
        <v>356</v>
      </c>
      <c r="E8027" s="111"/>
    </row>
    <row r="8028" spans="1:5" x14ac:dyDescent="0.2">
      <c r="A8028" s="112">
        <f t="shared" si="152"/>
        <v>42726</v>
      </c>
      <c r="B8028" s="111">
        <f t="shared" si="154"/>
        <v>123</v>
      </c>
      <c r="C8028" s="111"/>
      <c r="D8028" s="111">
        <f t="shared" si="153"/>
        <v>357</v>
      </c>
      <c r="E8028" s="111"/>
    </row>
    <row r="8029" spans="1:5" x14ac:dyDescent="0.2">
      <c r="A8029" s="112">
        <f t="shared" si="152"/>
        <v>42727</v>
      </c>
      <c r="B8029" s="111">
        <f t="shared" si="154"/>
        <v>123</v>
      </c>
      <c r="C8029" s="111"/>
      <c r="D8029" s="111">
        <f t="shared" si="153"/>
        <v>358</v>
      </c>
      <c r="E8029" s="111"/>
    </row>
    <row r="8030" spans="1:5" x14ac:dyDescent="0.2">
      <c r="A8030" s="112">
        <f t="shared" si="152"/>
        <v>42728</v>
      </c>
      <c r="B8030" s="111">
        <f t="shared" si="154"/>
        <v>123</v>
      </c>
      <c r="C8030" s="111"/>
      <c r="D8030" s="111">
        <f t="shared" si="153"/>
        <v>359</v>
      </c>
      <c r="E8030" s="111"/>
    </row>
    <row r="8031" spans="1:5" x14ac:dyDescent="0.2">
      <c r="A8031" s="112">
        <f t="shared" ref="A8031:A8094" si="155">A8030+1</f>
        <v>42729</v>
      </c>
      <c r="B8031" s="111">
        <f t="shared" si="154"/>
        <v>124</v>
      </c>
      <c r="C8031" s="111"/>
      <c r="D8031" s="111">
        <f t="shared" si="153"/>
        <v>360</v>
      </c>
      <c r="E8031" s="111"/>
    </row>
    <row r="8032" spans="1:5" x14ac:dyDescent="0.2">
      <c r="A8032" s="112">
        <f t="shared" si="155"/>
        <v>42730</v>
      </c>
      <c r="B8032" s="111">
        <f t="shared" si="154"/>
        <v>124</v>
      </c>
      <c r="C8032" s="111"/>
      <c r="D8032" s="111">
        <f t="shared" si="153"/>
        <v>361</v>
      </c>
      <c r="E8032" s="111"/>
    </row>
    <row r="8033" spans="1:5" x14ac:dyDescent="0.2">
      <c r="A8033" s="112">
        <f t="shared" si="155"/>
        <v>42731</v>
      </c>
      <c r="B8033" s="111">
        <f t="shared" si="154"/>
        <v>124</v>
      </c>
      <c r="C8033" s="111"/>
      <c r="D8033" s="111">
        <f t="shared" si="153"/>
        <v>362</v>
      </c>
      <c r="E8033" s="111"/>
    </row>
    <row r="8034" spans="1:5" x14ac:dyDescent="0.2">
      <c r="A8034" s="112">
        <f t="shared" si="155"/>
        <v>42732</v>
      </c>
      <c r="B8034" s="111">
        <f t="shared" si="154"/>
        <v>124</v>
      </c>
      <c r="C8034" s="111"/>
      <c r="D8034" s="111">
        <f t="shared" si="153"/>
        <v>363</v>
      </c>
      <c r="E8034" s="111"/>
    </row>
    <row r="8035" spans="1:5" x14ac:dyDescent="0.2">
      <c r="A8035" s="112">
        <f t="shared" si="155"/>
        <v>42733</v>
      </c>
      <c r="B8035" s="111">
        <f t="shared" si="154"/>
        <v>124</v>
      </c>
      <c r="C8035" s="111"/>
      <c r="D8035" s="111">
        <f t="shared" si="153"/>
        <v>364</v>
      </c>
      <c r="E8035" s="111"/>
    </row>
    <row r="8036" spans="1:5" x14ac:dyDescent="0.2">
      <c r="A8036" s="112">
        <f t="shared" si="155"/>
        <v>42734</v>
      </c>
      <c r="B8036" s="111">
        <f t="shared" si="154"/>
        <v>124</v>
      </c>
      <c r="C8036" s="111"/>
      <c r="D8036" s="111">
        <f t="shared" si="153"/>
        <v>365</v>
      </c>
      <c r="E8036" s="111"/>
    </row>
    <row r="8037" spans="1:5" x14ac:dyDescent="0.2">
      <c r="A8037" s="112">
        <f t="shared" si="155"/>
        <v>42735</v>
      </c>
      <c r="B8037" s="111">
        <f t="shared" si="154"/>
        <v>124</v>
      </c>
      <c r="C8037" s="111"/>
      <c r="D8037" s="111">
        <f t="shared" si="153"/>
        <v>366</v>
      </c>
      <c r="E8037" s="111"/>
    </row>
    <row r="8038" spans="1:5" x14ac:dyDescent="0.2">
      <c r="A8038" s="112">
        <f t="shared" si="155"/>
        <v>42736</v>
      </c>
      <c r="B8038" s="111">
        <f t="shared" si="154"/>
        <v>11</v>
      </c>
      <c r="C8038" s="111"/>
      <c r="D8038" s="111"/>
      <c r="E8038" s="111"/>
    </row>
    <row r="8039" spans="1:5" x14ac:dyDescent="0.2">
      <c r="A8039" s="112">
        <f t="shared" si="155"/>
        <v>42737</v>
      </c>
      <c r="B8039" s="111">
        <f t="shared" si="154"/>
        <v>11</v>
      </c>
      <c r="C8039" s="111"/>
      <c r="D8039" s="111"/>
      <c r="E8039" s="111"/>
    </row>
    <row r="8040" spans="1:5" x14ac:dyDescent="0.2">
      <c r="A8040" s="112">
        <f t="shared" si="155"/>
        <v>42738</v>
      </c>
      <c r="B8040" s="111">
        <f t="shared" si="154"/>
        <v>11</v>
      </c>
      <c r="C8040" s="111"/>
      <c r="D8040" s="111"/>
      <c r="E8040" s="111"/>
    </row>
    <row r="8041" spans="1:5" x14ac:dyDescent="0.2">
      <c r="A8041" s="112">
        <f t="shared" si="155"/>
        <v>42739</v>
      </c>
      <c r="B8041" s="111">
        <f t="shared" si="154"/>
        <v>11</v>
      </c>
      <c r="C8041" s="111"/>
      <c r="D8041" s="111"/>
      <c r="E8041" s="111"/>
    </row>
    <row r="8042" spans="1:5" x14ac:dyDescent="0.2">
      <c r="A8042" s="112">
        <f t="shared" si="155"/>
        <v>42740</v>
      </c>
      <c r="B8042" s="111">
        <f t="shared" si="154"/>
        <v>11</v>
      </c>
      <c r="C8042" s="111"/>
      <c r="D8042" s="111"/>
      <c r="E8042" s="111"/>
    </row>
    <row r="8043" spans="1:5" x14ac:dyDescent="0.2">
      <c r="A8043" s="112">
        <f t="shared" si="155"/>
        <v>42741</v>
      </c>
      <c r="B8043" s="111">
        <f t="shared" si="154"/>
        <v>11</v>
      </c>
      <c r="C8043" s="111"/>
      <c r="D8043" s="111"/>
      <c r="E8043" s="111"/>
    </row>
    <row r="8044" spans="1:5" x14ac:dyDescent="0.2">
      <c r="A8044" s="112">
        <f t="shared" si="155"/>
        <v>42742</v>
      </c>
      <c r="B8044" s="111">
        <f t="shared" si="154"/>
        <v>11</v>
      </c>
      <c r="C8044" s="111"/>
      <c r="D8044" s="111"/>
      <c r="E8044" s="111"/>
    </row>
    <row r="8045" spans="1:5" x14ac:dyDescent="0.2">
      <c r="A8045" s="112">
        <f t="shared" si="155"/>
        <v>42743</v>
      </c>
      <c r="B8045" s="111">
        <f t="shared" si="154"/>
        <v>12</v>
      </c>
      <c r="C8045" s="111"/>
      <c r="D8045" s="111"/>
      <c r="E8045" s="111"/>
    </row>
    <row r="8046" spans="1:5" x14ac:dyDescent="0.2">
      <c r="A8046" s="112">
        <f t="shared" si="155"/>
        <v>42744</v>
      </c>
      <c r="B8046" s="111">
        <f t="shared" si="154"/>
        <v>12</v>
      </c>
      <c r="C8046" s="111"/>
      <c r="D8046" s="111"/>
      <c r="E8046" s="111"/>
    </row>
    <row r="8047" spans="1:5" x14ac:dyDescent="0.2">
      <c r="A8047" s="112">
        <f t="shared" si="155"/>
        <v>42745</v>
      </c>
      <c r="B8047" s="111">
        <f t="shared" si="154"/>
        <v>12</v>
      </c>
      <c r="C8047" s="111"/>
      <c r="D8047" s="111"/>
      <c r="E8047" s="111"/>
    </row>
    <row r="8048" spans="1:5" x14ac:dyDescent="0.2">
      <c r="A8048" s="112">
        <f t="shared" si="155"/>
        <v>42746</v>
      </c>
      <c r="B8048" s="111">
        <f t="shared" si="154"/>
        <v>12</v>
      </c>
      <c r="C8048" s="111"/>
      <c r="D8048" s="111"/>
      <c r="E8048" s="111"/>
    </row>
    <row r="8049" spans="1:5" x14ac:dyDescent="0.2">
      <c r="A8049" s="112">
        <f t="shared" si="155"/>
        <v>42747</v>
      </c>
      <c r="B8049" s="111">
        <f t="shared" si="154"/>
        <v>12</v>
      </c>
      <c r="C8049" s="111"/>
      <c r="D8049" s="111"/>
      <c r="E8049" s="111"/>
    </row>
    <row r="8050" spans="1:5" x14ac:dyDescent="0.2">
      <c r="A8050" s="112">
        <f t="shared" si="155"/>
        <v>42748</v>
      </c>
      <c r="B8050" s="111">
        <f t="shared" si="154"/>
        <v>12</v>
      </c>
      <c r="C8050" s="111"/>
      <c r="D8050" s="111"/>
      <c r="E8050" s="111"/>
    </row>
    <row r="8051" spans="1:5" x14ac:dyDescent="0.2">
      <c r="A8051" s="112">
        <f t="shared" si="155"/>
        <v>42749</v>
      </c>
      <c r="B8051" s="111">
        <f t="shared" si="154"/>
        <v>12</v>
      </c>
      <c r="C8051" s="111"/>
      <c r="D8051" s="111"/>
      <c r="E8051" s="111"/>
    </row>
    <row r="8052" spans="1:5" x14ac:dyDescent="0.2">
      <c r="A8052" s="112">
        <f t="shared" si="155"/>
        <v>42750</v>
      </c>
      <c r="B8052" s="111">
        <f t="shared" si="154"/>
        <v>13</v>
      </c>
      <c r="C8052" s="111"/>
      <c r="D8052" s="111"/>
      <c r="E8052" s="111"/>
    </row>
    <row r="8053" spans="1:5" x14ac:dyDescent="0.2">
      <c r="A8053" s="112">
        <f t="shared" si="155"/>
        <v>42751</v>
      </c>
      <c r="B8053" s="111">
        <f t="shared" si="154"/>
        <v>13</v>
      </c>
      <c r="C8053" s="111"/>
      <c r="D8053" s="111"/>
      <c r="E8053" s="111"/>
    </row>
    <row r="8054" spans="1:5" x14ac:dyDescent="0.2">
      <c r="A8054" s="112">
        <f t="shared" si="155"/>
        <v>42752</v>
      </c>
      <c r="B8054" s="111">
        <f t="shared" si="154"/>
        <v>13</v>
      </c>
      <c r="C8054" s="111"/>
      <c r="D8054" s="111"/>
      <c r="E8054" s="111"/>
    </row>
    <row r="8055" spans="1:5" x14ac:dyDescent="0.2">
      <c r="A8055" s="112">
        <f t="shared" si="155"/>
        <v>42753</v>
      </c>
      <c r="B8055" s="111">
        <f t="shared" si="154"/>
        <v>13</v>
      </c>
      <c r="C8055" s="111"/>
      <c r="D8055" s="111"/>
      <c r="E8055" s="111"/>
    </row>
    <row r="8056" spans="1:5" x14ac:dyDescent="0.2">
      <c r="A8056" s="112">
        <f t="shared" si="155"/>
        <v>42754</v>
      </c>
      <c r="B8056" s="111">
        <f t="shared" si="154"/>
        <v>13</v>
      </c>
      <c r="C8056" s="111"/>
      <c r="D8056" s="111"/>
      <c r="E8056" s="111"/>
    </row>
    <row r="8057" spans="1:5" x14ac:dyDescent="0.2">
      <c r="A8057" s="112">
        <f t="shared" si="155"/>
        <v>42755</v>
      </c>
      <c r="B8057" s="111">
        <f t="shared" si="154"/>
        <v>13</v>
      </c>
      <c r="C8057" s="111"/>
      <c r="D8057" s="111"/>
      <c r="E8057" s="111"/>
    </row>
    <row r="8058" spans="1:5" x14ac:dyDescent="0.2">
      <c r="A8058" s="112">
        <f t="shared" si="155"/>
        <v>42756</v>
      </c>
      <c r="B8058" s="111">
        <f t="shared" si="154"/>
        <v>13</v>
      </c>
      <c r="C8058" s="111"/>
      <c r="D8058" s="111"/>
      <c r="E8058" s="111"/>
    </row>
    <row r="8059" spans="1:5" x14ac:dyDescent="0.2">
      <c r="A8059" s="112">
        <f t="shared" si="155"/>
        <v>42757</v>
      </c>
      <c r="B8059" s="111">
        <f t="shared" si="154"/>
        <v>14</v>
      </c>
      <c r="C8059" s="111"/>
      <c r="D8059" s="111"/>
      <c r="E8059" s="111"/>
    </row>
    <row r="8060" spans="1:5" x14ac:dyDescent="0.2">
      <c r="A8060" s="112">
        <f t="shared" si="155"/>
        <v>42758</v>
      </c>
      <c r="B8060" s="111">
        <f t="shared" si="154"/>
        <v>14</v>
      </c>
      <c r="C8060" s="111"/>
      <c r="D8060" s="111"/>
      <c r="E8060" s="111"/>
    </row>
    <row r="8061" spans="1:5" x14ac:dyDescent="0.2">
      <c r="A8061" s="112">
        <f t="shared" si="155"/>
        <v>42759</v>
      </c>
      <c r="B8061" s="111">
        <f t="shared" si="154"/>
        <v>14</v>
      </c>
      <c r="C8061" s="111"/>
      <c r="D8061" s="111"/>
      <c r="E8061" s="111"/>
    </row>
    <row r="8062" spans="1:5" x14ac:dyDescent="0.2">
      <c r="A8062" s="112">
        <f t="shared" si="155"/>
        <v>42760</v>
      </c>
      <c r="B8062" s="111">
        <f t="shared" si="154"/>
        <v>14</v>
      </c>
      <c r="C8062" s="111"/>
      <c r="D8062" s="111"/>
      <c r="E8062" s="111"/>
    </row>
    <row r="8063" spans="1:5" x14ac:dyDescent="0.2">
      <c r="A8063" s="112">
        <f t="shared" si="155"/>
        <v>42761</v>
      </c>
      <c r="B8063" s="111">
        <f t="shared" si="154"/>
        <v>14</v>
      </c>
      <c r="C8063" s="111"/>
      <c r="D8063" s="111"/>
      <c r="E8063" s="111"/>
    </row>
    <row r="8064" spans="1:5" x14ac:dyDescent="0.2">
      <c r="A8064" s="112">
        <f t="shared" si="155"/>
        <v>42762</v>
      </c>
      <c r="B8064" s="111">
        <f t="shared" si="154"/>
        <v>14</v>
      </c>
      <c r="C8064" s="111"/>
      <c r="D8064" s="111"/>
      <c r="E8064" s="111"/>
    </row>
    <row r="8065" spans="1:5" x14ac:dyDescent="0.2">
      <c r="A8065" s="112">
        <f t="shared" si="155"/>
        <v>42763</v>
      </c>
      <c r="B8065" s="111">
        <f t="shared" si="154"/>
        <v>14</v>
      </c>
      <c r="C8065" s="111"/>
      <c r="D8065" s="111"/>
      <c r="E8065" s="111"/>
    </row>
    <row r="8066" spans="1:5" x14ac:dyDescent="0.2">
      <c r="A8066" s="112">
        <f t="shared" si="155"/>
        <v>42764</v>
      </c>
      <c r="B8066" s="111">
        <f t="shared" ref="B8066:B8129" si="156">VLOOKUP(WEEKNUM(A8066),$D$3:$E$58,2)</f>
        <v>15</v>
      </c>
      <c r="C8066" s="111"/>
      <c r="D8066" s="111"/>
      <c r="E8066" s="111"/>
    </row>
    <row r="8067" spans="1:5" x14ac:dyDescent="0.2">
      <c r="A8067" s="112">
        <f t="shared" si="155"/>
        <v>42765</v>
      </c>
      <c r="B8067" s="111">
        <f t="shared" si="156"/>
        <v>15</v>
      </c>
      <c r="C8067" s="111"/>
      <c r="D8067" s="111"/>
      <c r="E8067" s="111"/>
    </row>
    <row r="8068" spans="1:5" x14ac:dyDescent="0.2">
      <c r="A8068" s="112">
        <f t="shared" si="155"/>
        <v>42766</v>
      </c>
      <c r="B8068" s="111">
        <f t="shared" si="156"/>
        <v>15</v>
      </c>
      <c r="C8068" s="111"/>
      <c r="D8068" s="111"/>
      <c r="E8068" s="111"/>
    </row>
    <row r="8069" spans="1:5" x14ac:dyDescent="0.2">
      <c r="A8069" s="112">
        <f t="shared" si="155"/>
        <v>42767</v>
      </c>
      <c r="B8069" s="111">
        <f t="shared" si="156"/>
        <v>15</v>
      </c>
      <c r="C8069" s="111"/>
      <c r="D8069" s="111"/>
      <c r="E8069" s="111"/>
    </row>
    <row r="8070" spans="1:5" x14ac:dyDescent="0.2">
      <c r="A8070" s="112">
        <f t="shared" si="155"/>
        <v>42768</v>
      </c>
      <c r="B8070" s="111">
        <f t="shared" si="156"/>
        <v>15</v>
      </c>
      <c r="C8070" s="111"/>
      <c r="D8070" s="111"/>
      <c r="E8070" s="111"/>
    </row>
    <row r="8071" spans="1:5" x14ac:dyDescent="0.2">
      <c r="A8071" s="112">
        <f t="shared" si="155"/>
        <v>42769</v>
      </c>
      <c r="B8071" s="111">
        <f t="shared" si="156"/>
        <v>15</v>
      </c>
      <c r="C8071" s="111"/>
      <c r="D8071" s="111"/>
      <c r="E8071" s="111"/>
    </row>
    <row r="8072" spans="1:5" x14ac:dyDescent="0.2">
      <c r="A8072" s="112">
        <f t="shared" si="155"/>
        <v>42770</v>
      </c>
      <c r="B8072" s="111">
        <f t="shared" si="156"/>
        <v>15</v>
      </c>
      <c r="C8072" s="111"/>
      <c r="D8072" s="111"/>
      <c r="E8072" s="111"/>
    </row>
    <row r="8073" spans="1:5" x14ac:dyDescent="0.2">
      <c r="A8073" s="112">
        <f t="shared" si="155"/>
        <v>42771</v>
      </c>
      <c r="B8073" s="111">
        <f t="shared" si="156"/>
        <v>21</v>
      </c>
      <c r="C8073" s="111"/>
      <c r="D8073" s="111"/>
      <c r="E8073" s="111"/>
    </row>
    <row r="8074" spans="1:5" x14ac:dyDescent="0.2">
      <c r="A8074" s="112">
        <f t="shared" si="155"/>
        <v>42772</v>
      </c>
      <c r="B8074" s="111">
        <f t="shared" si="156"/>
        <v>21</v>
      </c>
      <c r="C8074" s="111"/>
      <c r="D8074" s="111"/>
      <c r="E8074" s="111"/>
    </row>
    <row r="8075" spans="1:5" x14ac:dyDescent="0.2">
      <c r="A8075" s="112">
        <f t="shared" si="155"/>
        <v>42773</v>
      </c>
      <c r="B8075" s="111">
        <f t="shared" si="156"/>
        <v>21</v>
      </c>
      <c r="C8075" s="111"/>
      <c r="D8075" s="111"/>
      <c r="E8075" s="111"/>
    </row>
    <row r="8076" spans="1:5" x14ac:dyDescent="0.2">
      <c r="A8076" s="112">
        <f t="shared" si="155"/>
        <v>42774</v>
      </c>
      <c r="B8076" s="111">
        <f t="shared" si="156"/>
        <v>21</v>
      </c>
      <c r="C8076" s="111"/>
      <c r="D8076" s="111"/>
      <c r="E8076" s="111"/>
    </row>
    <row r="8077" spans="1:5" x14ac:dyDescent="0.2">
      <c r="A8077" s="112">
        <f t="shared" si="155"/>
        <v>42775</v>
      </c>
      <c r="B8077" s="111">
        <f t="shared" si="156"/>
        <v>21</v>
      </c>
      <c r="C8077" s="111"/>
      <c r="D8077" s="111"/>
      <c r="E8077" s="111"/>
    </row>
    <row r="8078" spans="1:5" x14ac:dyDescent="0.2">
      <c r="A8078" s="112">
        <f t="shared" si="155"/>
        <v>42776</v>
      </c>
      <c r="B8078" s="111">
        <f t="shared" si="156"/>
        <v>21</v>
      </c>
      <c r="C8078" s="111"/>
      <c r="D8078" s="111"/>
      <c r="E8078" s="111"/>
    </row>
    <row r="8079" spans="1:5" x14ac:dyDescent="0.2">
      <c r="A8079" s="112">
        <f t="shared" si="155"/>
        <v>42777</v>
      </c>
      <c r="B8079" s="111">
        <f t="shared" si="156"/>
        <v>21</v>
      </c>
      <c r="C8079" s="111"/>
      <c r="D8079" s="111"/>
      <c r="E8079" s="111"/>
    </row>
    <row r="8080" spans="1:5" x14ac:dyDescent="0.2">
      <c r="A8080" s="112">
        <f t="shared" si="155"/>
        <v>42778</v>
      </c>
      <c r="B8080" s="111">
        <f t="shared" si="156"/>
        <v>22</v>
      </c>
      <c r="C8080" s="111"/>
      <c r="D8080" s="111"/>
      <c r="E8080" s="111"/>
    </row>
    <row r="8081" spans="1:5" x14ac:dyDescent="0.2">
      <c r="A8081" s="112">
        <f t="shared" si="155"/>
        <v>42779</v>
      </c>
      <c r="B8081" s="111">
        <f t="shared" si="156"/>
        <v>22</v>
      </c>
      <c r="C8081" s="111"/>
      <c r="D8081" s="111"/>
      <c r="E8081" s="111"/>
    </row>
    <row r="8082" spans="1:5" x14ac:dyDescent="0.2">
      <c r="A8082" s="112">
        <f t="shared" si="155"/>
        <v>42780</v>
      </c>
      <c r="B8082" s="111">
        <f t="shared" si="156"/>
        <v>22</v>
      </c>
      <c r="C8082" s="111"/>
      <c r="D8082" s="111"/>
      <c r="E8082" s="111"/>
    </row>
    <row r="8083" spans="1:5" x14ac:dyDescent="0.2">
      <c r="A8083" s="112">
        <f t="shared" si="155"/>
        <v>42781</v>
      </c>
      <c r="B8083" s="111">
        <f t="shared" si="156"/>
        <v>22</v>
      </c>
      <c r="C8083" s="111"/>
      <c r="D8083" s="111"/>
      <c r="E8083" s="111"/>
    </row>
    <row r="8084" spans="1:5" x14ac:dyDescent="0.2">
      <c r="A8084" s="112">
        <f t="shared" si="155"/>
        <v>42782</v>
      </c>
      <c r="B8084" s="111">
        <f t="shared" si="156"/>
        <v>22</v>
      </c>
      <c r="C8084" s="111"/>
      <c r="D8084" s="111"/>
      <c r="E8084" s="111"/>
    </row>
    <row r="8085" spans="1:5" x14ac:dyDescent="0.2">
      <c r="A8085" s="112">
        <f t="shared" si="155"/>
        <v>42783</v>
      </c>
      <c r="B8085" s="111">
        <f t="shared" si="156"/>
        <v>22</v>
      </c>
      <c r="C8085" s="111"/>
      <c r="D8085" s="111"/>
      <c r="E8085" s="111"/>
    </row>
    <row r="8086" spans="1:5" x14ac:dyDescent="0.2">
      <c r="A8086" s="112">
        <f t="shared" si="155"/>
        <v>42784</v>
      </c>
      <c r="B8086" s="111">
        <f t="shared" si="156"/>
        <v>22</v>
      </c>
      <c r="C8086" s="111"/>
      <c r="D8086" s="111"/>
      <c r="E8086" s="111"/>
    </row>
    <row r="8087" spans="1:5" x14ac:dyDescent="0.2">
      <c r="A8087" s="112">
        <f t="shared" si="155"/>
        <v>42785</v>
      </c>
      <c r="B8087" s="111">
        <f t="shared" si="156"/>
        <v>23</v>
      </c>
      <c r="C8087" s="111"/>
      <c r="D8087" s="111"/>
      <c r="E8087" s="111"/>
    </row>
    <row r="8088" spans="1:5" x14ac:dyDescent="0.2">
      <c r="A8088" s="112">
        <f t="shared" si="155"/>
        <v>42786</v>
      </c>
      <c r="B8088" s="111">
        <f t="shared" si="156"/>
        <v>23</v>
      </c>
      <c r="C8088" s="111"/>
      <c r="D8088" s="111"/>
      <c r="E8088" s="111"/>
    </row>
    <row r="8089" spans="1:5" x14ac:dyDescent="0.2">
      <c r="A8089" s="112">
        <f t="shared" si="155"/>
        <v>42787</v>
      </c>
      <c r="B8089" s="111">
        <f t="shared" si="156"/>
        <v>23</v>
      </c>
      <c r="C8089" s="111"/>
      <c r="D8089" s="111"/>
      <c r="E8089" s="111"/>
    </row>
    <row r="8090" spans="1:5" x14ac:dyDescent="0.2">
      <c r="A8090" s="112">
        <f t="shared" si="155"/>
        <v>42788</v>
      </c>
      <c r="B8090" s="111">
        <f t="shared" si="156"/>
        <v>23</v>
      </c>
      <c r="C8090" s="111"/>
      <c r="D8090" s="111"/>
      <c r="E8090" s="111"/>
    </row>
    <row r="8091" spans="1:5" x14ac:dyDescent="0.2">
      <c r="A8091" s="112">
        <f t="shared" si="155"/>
        <v>42789</v>
      </c>
      <c r="B8091" s="111">
        <f t="shared" si="156"/>
        <v>23</v>
      </c>
      <c r="C8091" s="111"/>
      <c r="D8091" s="111"/>
      <c r="E8091" s="111"/>
    </row>
    <row r="8092" spans="1:5" x14ac:dyDescent="0.2">
      <c r="A8092" s="112">
        <f t="shared" si="155"/>
        <v>42790</v>
      </c>
      <c r="B8092" s="111">
        <f t="shared" si="156"/>
        <v>23</v>
      </c>
      <c r="C8092" s="111"/>
      <c r="D8092" s="111"/>
      <c r="E8092" s="111"/>
    </row>
    <row r="8093" spans="1:5" x14ac:dyDescent="0.2">
      <c r="A8093" s="112">
        <f t="shared" si="155"/>
        <v>42791</v>
      </c>
      <c r="B8093" s="111">
        <f t="shared" si="156"/>
        <v>23</v>
      </c>
      <c r="C8093" s="111"/>
      <c r="D8093" s="111"/>
      <c r="E8093" s="111"/>
    </row>
    <row r="8094" spans="1:5" x14ac:dyDescent="0.2">
      <c r="A8094" s="112">
        <f t="shared" si="155"/>
        <v>42792</v>
      </c>
      <c r="B8094" s="111">
        <f t="shared" si="156"/>
        <v>24</v>
      </c>
      <c r="C8094" s="111"/>
      <c r="D8094" s="111"/>
      <c r="E8094" s="111"/>
    </row>
    <row r="8095" spans="1:5" x14ac:dyDescent="0.2">
      <c r="A8095" s="112">
        <f t="shared" ref="A8095:A8158" si="157">A8094+1</f>
        <v>42793</v>
      </c>
      <c r="B8095" s="111">
        <f t="shared" si="156"/>
        <v>24</v>
      </c>
      <c r="C8095" s="111"/>
      <c r="D8095" s="111"/>
      <c r="E8095" s="111"/>
    </row>
    <row r="8096" spans="1:5" x14ac:dyDescent="0.2">
      <c r="A8096" s="112">
        <f t="shared" si="157"/>
        <v>42794</v>
      </c>
      <c r="B8096" s="111">
        <f t="shared" si="156"/>
        <v>24</v>
      </c>
      <c r="C8096" s="111"/>
      <c r="D8096" s="111"/>
      <c r="E8096" s="111"/>
    </row>
    <row r="8097" spans="1:5" x14ac:dyDescent="0.2">
      <c r="A8097" s="112">
        <f t="shared" si="157"/>
        <v>42795</v>
      </c>
      <c r="B8097" s="111">
        <f t="shared" si="156"/>
        <v>24</v>
      </c>
      <c r="C8097" s="111"/>
      <c r="D8097" s="111"/>
      <c r="E8097" s="111"/>
    </row>
    <row r="8098" spans="1:5" x14ac:dyDescent="0.2">
      <c r="A8098" s="112">
        <f t="shared" si="157"/>
        <v>42796</v>
      </c>
      <c r="B8098" s="111">
        <f t="shared" si="156"/>
        <v>24</v>
      </c>
      <c r="C8098" s="111"/>
      <c r="D8098" s="111"/>
      <c r="E8098" s="111"/>
    </row>
    <row r="8099" spans="1:5" x14ac:dyDescent="0.2">
      <c r="A8099" s="112">
        <f t="shared" si="157"/>
        <v>42797</v>
      </c>
      <c r="B8099" s="111">
        <f t="shared" si="156"/>
        <v>24</v>
      </c>
      <c r="C8099" s="111"/>
      <c r="D8099" s="111"/>
      <c r="E8099" s="111"/>
    </row>
    <row r="8100" spans="1:5" x14ac:dyDescent="0.2">
      <c r="A8100" s="112">
        <f t="shared" si="157"/>
        <v>42798</v>
      </c>
      <c r="B8100" s="111">
        <f t="shared" si="156"/>
        <v>24</v>
      </c>
      <c r="C8100" s="111"/>
      <c r="D8100" s="111"/>
      <c r="E8100" s="111"/>
    </row>
    <row r="8101" spans="1:5" x14ac:dyDescent="0.2">
      <c r="A8101" s="112">
        <f t="shared" si="157"/>
        <v>42799</v>
      </c>
      <c r="B8101" s="111">
        <f t="shared" si="156"/>
        <v>31</v>
      </c>
      <c r="C8101" s="111"/>
      <c r="D8101" s="111"/>
      <c r="E8101" s="111"/>
    </row>
    <row r="8102" spans="1:5" x14ac:dyDescent="0.2">
      <c r="A8102" s="112">
        <f t="shared" si="157"/>
        <v>42800</v>
      </c>
      <c r="B8102" s="111">
        <f t="shared" si="156"/>
        <v>31</v>
      </c>
      <c r="C8102" s="111"/>
      <c r="D8102" s="111"/>
      <c r="E8102" s="111"/>
    </row>
    <row r="8103" spans="1:5" x14ac:dyDescent="0.2">
      <c r="A8103" s="112">
        <f t="shared" si="157"/>
        <v>42801</v>
      </c>
      <c r="B8103" s="111">
        <f t="shared" si="156"/>
        <v>31</v>
      </c>
      <c r="C8103" s="111"/>
      <c r="D8103" s="111"/>
      <c r="E8103" s="111"/>
    </row>
    <row r="8104" spans="1:5" x14ac:dyDescent="0.2">
      <c r="A8104" s="112">
        <f t="shared" si="157"/>
        <v>42802</v>
      </c>
      <c r="B8104" s="111">
        <f t="shared" si="156"/>
        <v>31</v>
      </c>
      <c r="C8104" s="111"/>
      <c r="D8104" s="111"/>
      <c r="E8104" s="111"/>
    </row>
    <row r="8105" spans="1:5" x14ac:dyDescent="0.2">
      <c r="A8105" s="112">
        <f t="shared" si="157"/>
        <v>42803</v>
      </c>
      <c r="B8105" s="111">
        <f t="shared" si="156"/>
        <v>31</v>
      </c>
      <c r="C8105" s="111"/>
      <c r="D8105" s="111"/>
      <c r="E8105" s="111"/>
    </row>
    <row r="8106" spans="1:5" x14ac:dyDescent="0.2">
      <c r="A8106" s="112">
        <f t="shared" si="157"/>
        <v>42804</v>
      </c>
      <c r="B8106" s="111">
        <f t="shared" si="156"/>
        <v>31</v>
      </c>
      <c r="C8106" s="111"/>
      <c r="D8106" s="111"/>
      <c r="E8106" s="111"/>
    </row>
    <row r="8107" spans="1:5" x14ac:dyDescent="0.2">
      <c r="A8107" s="112">
        <f t="shared" si="157"/>
        <v>42805</v>
      </c>
      <c r="B8107" s="111">
        <f t="shared" si="156"/>
        <v>31</v>
      </c>
      <c r="C8107" s="111"/>
      <c r="D8107" s="111"/>
      <c r="E8107" s="111"/>
    </row>
    <row r="8108" spans="1:5" x14ac:dyDescent="0.2">
      <c r="A8108" s="112">
        <f t="shared" si="157"/>
        <v>42806</v>
      </c>
      <c r="B8108" s="111">
        <f t="shared" si="156"/>
        <v>32</v>
      </c>
      <c r="C8108" s="111"/>
      <c r="D8108" s="111"/>
      <c r="E8108" s="111"/>
    </row>
    <row r="8109" spans="1:5" x14ac:dyDescent="0.2">
      <c r="A8109" s="112">
        <f t="shared" si="157"/>
        <v>42807</v>
      </c>
      <c r="B8109" s="111">
        <f t="shared" si="156"/>
        <v>32</v>
      </c>
      <c r="C8109" s="111"/>
      <c r="D8109" s="111"/>
      <c r="E8109" s="111"/>
    </row>
    <row r="8110" spans="1:5" x14ac:dyDescent="0.2">
      <c r="A8110" s="112">
        <f t="shared" si="157"/>
        <v>42808</v>
      </c>
      <c r="B8110" s="111">
        <f t="shared" si="156"/>
        <v>32</v>
      </c>
      <c r="C8110" s="111"/>
      <c r="D8110" s="111"/>
      <c r="E8110" s="111"/>
    </row>
    <row r="8111" spans="1:5" x14ac:dyDescent="0.2">
      <c r="A8111" s="112">
        <f t="shared" si="157"/>
        <v>42809</v>
      </c>
      <c r="B8111" s="111">
        <f t="shared" si="156"/>
        <v>32</v>
      </c>
      <c r="C8111" s="111"/>
      <c r="D8111" s="111"/>
      <c r="E8111" s="111"/>
    </row>
    <row r="8112" spans="1:5" x14ac:dyDescent="0.2">
      <c r="A8112" s="112">
        <f t="shared" si="157"/>
        <v>42810</v>
      </c>
      <c r="B8112" s="111">
        <f t="shared" si="156"/>
        <v>32</v>
      </c>
      <c r="C8112" s="111"/>
      <c r="D8112" s="111"/>
      <c r="E8112" s="111"/>
    </row>
    <row r="8113" spans="1:5" x14ac:dyDescent="0.2">
      <c r="A8113" s="112">
        <f t="shared" si="157"/>
        <v>42811</v>
      </c>
      <c r="B8113" s="111">
        <f t="shared" si="156"/>
        <v>32</v>
      </c>
      <c r="C8113" s="111"/>
      <c r="D8113" s="111"/>
      <c r="E8113" s="111"/>
    </row>
    <row r="8114" spans="1:5" x14ac:dyDescent="0.2">
      <c r="A8114" s="112">
        <f t="shared" si="157"/>
        <v>42812</v>
      </c>
      <c r="B8114" s="111">
        <f t="shared" si="156"/>
        <v>32</v>
      </c>
      <c r="C8114" s="111"/>
      <c r="D8114" s="111"/>
      <c r="E8114" s="111"/>
    </row>
    <row r="8115" spans="1:5" x14ac:dyDescent="0.2">
      <c r="A8115" s="112">
        <f t="shared" si="157"/>
        <v>42813</v>
      </c>
      <c r="B8115" s="111">
        <f t="shared" si="156"/>
        <v>33</v>
      </c>
      <c r="C8115" s="111"/>
      <c r="D8115" s="111"/>
      <c r="E8115" s="111"/>
    </row>
    <row r="8116" spans="1:5" x14ac:dyDescent="0.2">
      <c r="A8116" s="112">
        <f t="shared" si="157"/>
        <v>42814</v>
      </c>
      <c r="B8116" s="111">
        <f t="shared" si="156"/>
        <v>33</v>
      </c>
      <c r="C8116" s="111"/>
      <c r="D8116" s="111"/>
      <c r="E8116" s="111"/>
    </row>
    <row r="8117" spans="1:5" x14ac:dyDescent="0.2">
      <c r="A8117" s="112">
        <f t="shared" si="157"/>
        <v>42815</v>
      </c>
      <c r="B8117" s="111">
        <f t="shared" si="156"/>
        <v>33</v>
      </c>
      <c r="C8117" s="111"/>
      <c r="D8117" s="111"/>
      <c r="E8117" s="111"/>
    </row>
    <row r="8118" spans="1:5" x14ac:dyDescent="0.2">
      <c r="A8118" s="112">
        <f t="shared" si="157"/>
        <v>42816</v>
      </c>
      <c r="B8118" s="111">
        <f t="shared" si="156"/>
        <v>33</v>
      </c>
      <c r="C8118" s="111"/>
      <c r="D8118" s="111"/>
      <c r="E8118" s="111"/>
    </row>
    <row r="8119" spans="1:5" x14ac:dyDescent="0.2">
      <c r="A8119" s="112">
        <f t="shared" si="157"/>
        <v>42817</v>
      </c>
      <c r="B8119" s="111">
        <f t="shared" si="156"/>
        <v>33</v>
      </c>
      <c r="C8119" s="111"/>
      <c r="D8119" s="111"/>
      <c r="E8119" s="111"/>
    </row>
    <row r="8120" spans="1:5" x14ac:dyDescent="0.2">
      <c r="A8120" s="112">
        <f t="shared" si="157"/>
        <v>42818</v>
      </c>
      <c r="B8120" s="111">
        <f t="shared" si="156"/>
        <v>33</v>
      </c>
      <c r="C8120" s="111"/>
      <c r="D8120" s="111"/>
      <c r="E8120" s="111"/>
    </row>
    <row r="8121" spans="1:5" x14ac:dyDescent="0.2">
      <c r="A8121" s="112">
        <f t="shared" si="157"/>
        <v>42819</v>
      </c>
      <c r="B8121" s="111">
        <f t="shared" si="156"/>
        <v>33</v>
      </c>
      <c r="C8121" s="111"/>
      <c r="D8121" s="111"/>
      <c r="E8121" s="111"/>
    </row>
    <row r="8122" spans="1:5" x14ac:dyDescent="0.2">
      <c r="A8122" s="112">
        <f t="shared" si="157"/>
        <v>42820</v>
      </c>
      <c r="B8122" s="111">
        <f t="shared" si="156"/>
        <v>34</v>
      </c>
      <c r="C8122" s="111"/>
      <c r="D8122" s="111"/>
      <c r="E8122" s="111"/>
    </row>
    <row r="8123" spans="1:5" x14ac:dyDescent="0.2">
      <c r="A8123" s="112">
        <f t="shared" si="157"/>
        <v>42821</v>
      </c>
      <c r="B8123" s="111">
        <f t="shared" si="156"/>
        <v>34</v>
      </c>
      <c r="C8123" s="111"/>
      <c r="D8123" s="111"/>
      <c r="E8123" s="111"/>
    </row>
    <row r="8124" spans="1:5" x14ac:dyDescent="0.2">
      <c r="A8124" s="112">
        <f t="shared" si="157"/>
        <v>42822</v>
      </c>
      <c r="B8124" s="111">
        <f t="shared" si="156"/>
        <v>34</v>
      </c>
      <c r="C8124" s="111"/>
      <c r="D8124" s="111"/>
      <c r="E8124" s="111"/>
    </row>
    <row r="8125" spans="1:5" x14ac:dyDescent="0.2">
      <c r="A8125" s="112">
        <f t="shared" si="157"/>
        <v>42823</v>
      </c>
      <c r="B8125" s="111">
        <f t="shared" si="156"/>
        <v>34</v>
      </c>
      <c r="C8125" s="111"/>
      <c r="D8125" s="111"/>
      <c r="E8125" s="111"/>
    </row>
    <row r="8126" spans="1:5" x14ac:dyDescent="0.2">
      <c r="A8126" s="112">
        <f t="shared" si="157"/>
        <v>42824</v>
      </c>
      <c r="B8126" s="111">
        <f t="shared" si="156"/>
        <v>34</v>
      </c>
      <c r="C8126" s="111"/>
      <c r="D8126" s="111"/>
      <c r="E8126" s="111"/>
    </row>
    <row r="8127" spans="1:5" x14ac:dyDescent="0.2">
      <c r="A8127" s="112">
        <f t="shared" si="157"/>
        <v>42825</v>
      </c>
      <c r="B8127" s="111">
        <f t="shared" si="156"/>
        <v>34</v>
      </c>
      <c r="C8127" s="111"/>
      <c r="D8127" s="111"/>
      <c r="E8127" s="111"/>
    </row>
    <row r="8128" spans="1:5" x14ac:dyDescent="0.2">
      <c r="A8128" s="112">
        <f t="shared" si="157"/>
        <v>42826</v>
      </c>
      <c r="B8128" s="111">
        <f t="shared" si="156"/>
        <v>34</v>
      </c>
      <c r="C8128" s="111"/>
      <c r="D8128" s="111"/>
      <c r="E8128" s="111"/>
    </row>
    <row r="8129" spans="1:5" x14ac:dyDescent="0.2">
      <c r="A8129" s="112">
        <f t="shared" si="157"/>
        <v>42827</v>
      </c>
      <c r="B8129" s="111">
        <f t="shared" si="156"/>
        <v>41</v>
      </c>
      <c r="C8129" s="111"/>
      <c r="D8129" s="111"/>
      <c r="E8129" s="111"/>
    </row>
    <row r="8130" spans="1:5" x14ac:dyDescent="0.2">
      <c r="A8130" s="112">
        <f t="shared" si="157"/>
        <v>42828</v>
      </c>
      <c r="B8130" s="111">
        <f t="shared" ref="B8130:B8193" si="158">VLOOKUP(WEEKNUM(A8130),$D$3:$E$58,2)</f>
        <v>41</v>
      </c>
      <c r="C8130" s="111"/>
      <c r="D8130" s="111"/>
      <c r="E8130" s="111"/>
    </row>
    <row r="8131" spans="1:5" x14ac:dyDescent="0.2">
      <c r="A8131" s="112">
        <f t="shared" si="157"/>
        <v>42829</v>
      </c>
      <c r="B8131" s="111">
        <f t="shared" si="158"/>
        <v>41</v>
      </c>
      <c r="C8131" s="111"/>
      <c r="D8131" s="111"/>
      <c r="E8131" s="111"/>
    </row>
    <row r="8132" spans="1:5" x14ac:dyDescent="0.2">
      <c r="A8132" s="112">
        <f t="shared" si="157"/>
        <v>42830</v>
      </c>
      <c r="B8132" s="111">
        <f t="shared" si="158"/>
        <v>41</v>
      </c>
      <c r="C8132" s="111"/>
      <c r="D8132" s="111"/>
      <c r="E8132" s="111"/>
    </row>
    <row r="8133" spans="1:5" x14ac:dyDescent="0.2">
      <c r="A8133" s="112">
        <f t="shared" si="157"/>
        <v>42831</v>
      </c>
      <c r="B8133" s="111">
        <f t="shared" si="158"/>
        <v>41</v>
      </c>
      <c r="C8133" s="111"/>
      <c r="D8133" s="111"/>
      <c r="E8133" s="111"/>
    </row>
    <row r="8134" spans="1:5" x14ac:dyDescent="0.2">
      <c r="A8134" s="112">
        <f t="shared" si="157"/>
        <v>42832</v>
      </c>
      <c r="B8134" s="111">
        <f t="shared" si="158"/>
        <v>41</v>
      </c>
      <c r="C8134" s="111"/>
      <c r="D8134" s="111"/>
      <c r="E8134" s="111"/>
    </row>
    <row r="8135" spans="1:5" x14ac:dyDescent="0.2">
      <c r="A8135" s="112">
        <f t="shared" si="157"/>
        <v>42833</v>
      </c>
      <c r="B8135" s="111">
        <f t="shared" si="158"/>
        <v>41</v>
      </c>
      <c r="C8135" s="111"/>
      <c r="D8135" s="111"/>
      <c r="E8135" s="111"/>
    </row>
    <row r="8136" spans="1:5" x14ac:dyDescent="0.2">
      <c r="A8136" s="112">
        <f t="shared" si="157"/>
        <v>42834</v>
      </c>
      <c r="B8136" s="111">
        <f t="shared" si="158"/>
        <v>42</v>
      </c>
      <c r="C8136" s="111"/>
      <c r="D8136" s="111"/>
      <c r="E8136" s="111"/>
    </row>
    <row r="8137" spans="1:5" x14ac:dyDescent="0.2">
      <c r="A8137" s="112">
        <f t="shared" si="157"/>
        <v>42835</v>
      </c>
      <c r="B8137" s="111">
        <f t="shared" si="158"/>
        <v>42</v>
      </c>
      <c r="C8137" s="111"/>
      <c r="D8137" s="111"/>
      <c r="E8137" s="111"/>
    </row>
    <row r="8138" spans="1:5" x14ac:dyDescent="0.2">
      <c r="A8138" s="112">
        <f t="shared" si="157"/>
        <v>42836</v>
      </c>
      <c r="B8138" s="111">
        <f t="shared" si="158"/>
        <v>42</v>
      </c>
      <c r="C8138" s="111"/>
      <c r="D8138" s="111"/>
      <c r="E8138" s="111"/>
    </row>
    <row r="8139" spans="1:5" x14ac:dyDescent="0.2">
      <c r="A8139" s="112">
        <f t="shared" si="157"/>
        <v>42837</v>
      </c>
      <c r="B8139" s="111">
        <f t="shared" si="158"/>
        <v>42</v>
      </c>
      <c r="C8139" s="111"/>
      <c r="D8139" s="111"/>
      <c r="E8139" s="111"/>
    </row>
    <row r="8140" spans="1:5" x14ac:dyDescent="0.2">
      <c r="A8140" s="112">
        <f t="shared" si="157"/>
        <v>42838</v>
      </c>
      <c r="B8140" s="111">
        <f t="shared" si="158"/>
        <v>42</v>
      </c>
      <c r="C8140" s="111"/>
      <c r="D8140" s="111"/>
      <c r="E8140" s="111"/>
    </row>
    <row r="8141" spans="1:5" x14ac:dyDescent="0.2">
      <c r="A8141" s="112">
        <f t="shared" si="157"/>
        <v>42839</v>
      </c>
      <c r="B8141" s="111">
        <f t="shared" si="158"/>
        <v>42</v>
      </c>
      <c r="C8141" s="111"/>
      <c r="D8141" s="111"/>
      <c r="E8141" s="111"/>
    </row>
    <row r="8142" spans="1:5" x14ac:dyDescent="0.2">
      <c r="A8142" s="112">
        <f t="shared" si="157"/>
        <v>42840</v>
      </c>
      <c r="B8142" s="111">
        <f t="shared" si="158"/>
        <v>42</v>
      </c>
      <c r="C8142" s="111"/>
      <c r="D8142" s="111"/>
      <c r="E8142" s="111"/>
    </row>
    <row r="8143" spans="1:5" x14ac:dyDescent="0.2">
      <c r="A8143" s="112">
        <f t="shared" si="157"/>
        <v>42841</v>
      </c>
      <c r="B8143" s="111">
        <f t="shared" si="158"/>
        <v>43</v>
      </c>
      <c r="C8143" s="111"/>
      <c r="D8143" s="111"/>
      <c r="E8143" s="111"/>
    </row>
    <row r="8144" spans="1:5" x14ac:dyDescent="0.2">
      <c r="A8144" s="112">
        <f t="shared" si="157"/>
        <v>42842</v>
      </c>
      <c r="B8144" s="111">
        <f t="shared" si="158"/>
        <v>43</v>
      </c>
      <c r="C8144" s="111"/>
      <c r="D8144" s="111"/>
      <c r="E8144" s="111"/>
    </row>
    <row r="8145" spans="1:5" x14ac:dyDescent="0.2">
      <c r="A8145" s="112">
        <f t="shared" si="157"/>
        <v>42843</v>
      </c>
      <c r="B8145" s="111">
        <f t="shared" si="158"/>
        <v>43</v>
      </c>
      <c r="C8145" s="111"/>
      <c r="D8145" s="111"/>
      <c r="E8145" s="111"/>
    </row>
    <row r="8146" spans="1:5" x14ac:dyDescent="0.2">
      <c r="A8146" s="112">
        <f t="shared" si="157"/>
        <v>42844</v>
      </c>
      <c r="B8146" s="111">
        <f t="shared" si="158"/>
        <v>43</v>
      </c>
      <c r="C8146" s="111"/>
      <c r="D8146" s="111"/>
      <c r="E8146" s="111"/>
    </row>
    <row r="8147" spans="1:5" x14ac:dyDescent="0.2">
      <c r="A8147" s="112">
        <f t="shared" si="157"/>
        <v>42845</v>
      </c>
      <c r="B8147" s="111">
        <f t="shared" si="158"/>
        <v>43</v>
      </c>
      <c r="C8147" s="111"/>
      <c r="D8147" s="111"/>
      <c r="E8147" s="111"/>
    </row>
    <row r="8148" spans="1:5" x14ac:dyDescent="0.2">
      <c r="A8148" s="112">
        <f t="shared" si="157"/>
        <v>42846</v>
      </c>
      <c r="B8148" s="111">
        <f t="shared" si="158"/>
        <v>43</v>
      </c>
      <c r="C8148" s="111"/>
      <c r="D8148" s="111"/>
      <c r="E8148" s="111"/>
    </row>
    <row r="8149" spans="1:5" x14ac:dyDescent="0.2">
      <c r="A8149" s="112">
        <f t="shared" si="157"/>
        <v>42847</v>
      </c>
      <c r="B8149" s="111">
        <f t="shared" si="158"/>
        <v>43</v>
      </c>
      <c r="C8149" s="111"/>
      <c r="D8149" s="111"/>
      <c r="E8149" s="111"/>
    </row>
    <row r="8150" spans="1:5" x14ac:dyDescent="0.2">
      <c r="A8150" s="112">
        <f t="shared" si="157"/>
        <v>42848</v>
      </c>
      <c r="B8150" s="111">
        <f t="shared" si="158"/>
        <v>44</v>
      </c>
      <c r="C8150" s="111"/>
      <c r="D8150" s="111"/>
      <c r="E8150" s="111"/>
    </row>
    <row r="8151" spans="1:5" x14ac:dyDescent="0.2">
      <c r="A8151" s="112">
        <f t="shared" si="157"/>
        <v>42849</v>
      </c>
      <c r="B8151" s="111">
        <f t="shared" si="158"/>
        <v>44</v>
      </c>
      <c r="C8151" s="111"/>
      <c r="D8151" s="111"/>
      <c r="E8151" s="111"/>
    </row>
    <row r="8152" spans="1:5" x14ac:dyDescent="0.2">
      <c r="A8152" s="112">
        <f t="shared" si="157"/>
        <v>42850</v>
      </c>
      <c r="B8152" s="111">
        <f t="shared" si="158"/>
        <v>44</v>
      </c>
      <c r="C8152" s="111"/>
      <c r="D8152" s="111"/>
      <c r="E8152" s="111"/>
    </row>
    <row r="8153" spans="1:5" x14ac:dyDescent="0.2">
      <c r="A8153" s="112">
        <f t="shared" si="157"/>
        <v>42851</v>
      </c>
      <c r="B8153" s="111">
        <f t="shared" si="158"/>
        <v>44</v>
      </c>
      <c r="C8153" s="111"/>
      <c r="D8153" s="111"/>
      <c r="E8153" s="111"/>
    </row>
    <row r="8154" spans="1:5" x14ac:dyDescent="0.2">
      <c r="A8154" s="112">
        <f t="shared" si="157"/>
        <v>42852</v>
      </c>
      <c r="B8154" s="111">
        <f t="shared" si="158"/>
        <v>44</v>
      </c>
      <c r="C8154" s="111"/>
      <c r="D8154" s="111"/>
      <c r="E8154" s="111"/>
    </row>
    <row r="8155" spans="1:5" x14ac:dyDescent="0.2">
      <c r="A8155" s="112">
        <f t="shared" si="157"/>
        <v>42853</v>
      </c>
      <c r="B8155" s="111">
        <f t="shared" si="158"/>
        <v>44</v>
      </c>
      <c r="C8155" s="111"/>
      <c r="D8155" s="111"/>
      <c r="E8155" s="111"/>
    </row>
    <row r="8156" spans="1:5" x14ac:dyDescent="0.2">
      <c r="A8156" s="112">
        <f t="shared" si="157"/>
        <v>42854</v>
      </c>
      <c r="B8156" s="111">
        <f t="shared" si="158"/>
        <v>44</v>
      </c>
      <c r="C8156" s="111"/>
      <c r="D8156" s="111"/>
      <c r="E8156" s="111"/>
    </row>
    <row r="8157" spans="1:5" x14ac:dyDescent="0.2">
      <c r="A8157" s="112">
        <f t="shared" si="157"/>
        <v>42855</v>
      </c>
      <c r="B8157" s="111">
        <f t="shared" si="158"/>
        <v>45</v>
      </c>
      <c r="C8157" s="111"/>
      <c r="D8157" s="111"/>
      <c r="E8157" s="111"/>
    </row>
    <row r="8158" spans="1:5" x14ac:dyDescent="0.2">
      <c r="A8158" s="112">
        <f t="shared" si="157"/>
        <v>42856</v>
      </c>
      <c r="B8158" s="111">
        <f t="shared" si="158"/>
        <v>45</v>
      </c>
      <c r="C8158" s="111"/>
      <c r="D8158" s="111"/>
      <c r="E8158" s="111"/>
    </row>
    <row r="8159" spans="1:5" x14ac:dyDescent="0.2">
      <c r="A8159" s="112">
        <f t="shared" ref="A8159:A8222" si="159">A8158+1</f>
        <v>42857</v>
      </c>
      <c r="B8159" s="111">
        <f t="shared" si="158"/>
        <v>45</v>
      </c>
      <c r="C8159" s="111"/>
      <c r="D8159" s="111"/>
      <c r="E8159" s="111"/>
    </row>
    <row r="8160" spans="1:5" x14ac:dyDescent="0.2">
      <c r="A8160" s="112">
        <f t="shared" si="159"/>
        <v>42858</v>
      </c>
      <c r="B8160" s="111">
        <f t="shared" si="158"/>
        <v>45</v>
      </c>
      <c r="C8160" s="111"/>
      <c r="D8160" s="111"/>
      <c r="E8160" s="111"/>
    </row>
    <row r="8161" spans="1:5" x14ac:dyDescent="0.2">
      <c r="A8161" s="112">
        <f t="shared" si="159"/>
        <v>42859</v>
      </c>
      <c r="B8161" s="111">
        <f t="shared" si="158"/>
        <v>45</v>
      </c>
      <c r="C8161" s="111"/>
      <c r="D8161" s="111"/>
      <c r="E8161" s="111"/>
    </row>
    <row r="8162" spans="1:5" x14ac:dyDescent="0.2">
      <c r="A8162" s="112">
        <f t="shared" si="159"/>
        <v>42860</v>
      </c>
      <c r="B8162" s="111">
        <f t="shared" si="158"/>
        <v>45</v>
      </c>
      <c r="C8162" s="111"/>
      <c r="D8162" s="111"/>
      <c r="E8162" s="111"/>
    </row>
    <row r="8163" spans="1:5" x14ac:dyDescent="0.2">
      <c r="A8163" s="112">
        <f t="shared" si="159"/>
        <v>42861</v>
      </c>
      <c r="B8163" s="111">
        <f t="shared" si="158"/>
        <v>45</v>
      </c>
      <c r="C8163" s="111"/>
      <c r="D8163" s="111"/>
      <c r="E8163" s="111"/>
    </row>
    <row r="8164" spans="1:5" x14ac:dyDescent="0.2">
      <c r="A8164" s="112">
        <f t="shared" si="159"/>
        <v>42862</v>
      </c>
      <c r="B8164" s="111">
        <f t="shared" si="158"/>
        <v>51</v>
      </c>
      <c r="C8164" s="111"/>
      <c r="D8164" s="111"/>
      <c r="E8164" s="111"/>
    </row>
    <row r="8165" spans="1:5" x14ac:dyDescent="0.2">
      <c r="A8165" s="112">
        <f t="shared" si="159"/>
        <v>42863</v>
      </c>
      <c r="B8165" s="111">
        <f t="shared" si="158"/>
        <v>51</v>
      </c>
      <c r="C8165" s="111"/>
      <c r="D8165" s="111"/>
      <c r="E8165" s="111"/>
    </row>
    <row r="8166" spans="1:5" x14ac:dyDescent="0.2">
      <c r="A8166" s="112">
        <f t="shared" si="159"/>
        <v>42864</v>
      </c>
      <c r="B8166" s="111">
        <f t="shared" si="158"/>
        <v>51</v>
      </c>
      <c r="C8166" s="111"/>
      <c r="D8166" s="111"/>
      <c r="E8166" s="111"/>
    </row>
    <row r="8167" spans="1:5" x14ac:dyDescent="0.2">
      <c r="A8167" s="112">
        <f t="shared" si="159"/>
        <v>42865</v>
      </c>
      <c r="B8167" s="111">
        <f t="shared" si="158"/>
        <v>51</v>
      </c>
      <c r="C8167" s="111"/>
      <c r="D8167" s="111"/>
      <c r="E8167" s="111"/>
    </row>
    <row r="8168" spans="1:5" x14ac:dyDescent="0.2">
      <c r="A8168" s="112">
        <f t="shared" si="159"/>
        <v>42866</v>
      </c>
      <c r="B8168" s="111">
        <f t="shared" si="158"/>
        <v>51</v>
      </c>
      <c r="C8168" s="111"/>
      <c r="D8168" s="111"/>
      <c r="E8168" s="111"/>
    </row>
    <row r="8169" spans="1:5" x14ac:dyDescent="0.2">
      <c r="A8169" s="112">
        <f t="shared" si="159"/>
        <v>42867</v>
      </c>
      <c r="B8169" s="111">
        <f t="shared" si="158"/>
        <v>51</v>
      </c>
      <c r="C8169" s="111"/>
      <c r="D8169" s="111"/>
      <c r="E8169" s="111"/>
    </row>
    <row r="8170" spans="1:5" x14ac:dyDescent="0.2">
      <c r="A8170" s="112">
        <f t="shared" si="159"/>
        <v>42868</v>
      </c>
      <c r="B8170" s="111">
        <f t="shared" si="158"/>
        <v>51</v>
      </c>
      <c r="C8170" s="111"/>
      <c r="D8170" s="111"/>
      <c r="E8170" s="111"/>
    </row>
    <row r="8171" spans="1:5" x14ac:dyDescent="0.2">
      <c r="A8171" s="112">
        <f t="shared" si="159"/>
        <v>42869</v>
      </c>
      <c r="B8171" s="111">
        <f t="shared" si="158"/>
        <v>52</v>
      </c>
      <c r="C8171" s="111"/>
      <c r="D8171" s="111"/>
      <c r="E8171" s="111"/>
    </row>
    <row r="8172" spans="1:5" x14ac:dyDescent="0.2">
      <c r="A8172" s="112">
        <f t="shared" si="159"/>
        <v>42870</v>
      </c>
      <c r="B8172" s="111">
        <f t="shared" si="158"/>
        <v>52</v>
      </c>
      <c r="C8172" s="111"/>
      <c r="D8172" s="111"/>
      <c r="E8172" s="111"/>
    </row>
    <row r="8173" spans="1:5" x14ac:dyDescent="0.2">
      <c r="A8173" s="112">
        <f t="shared" si="159"/>
        <v>42871</v>
      </c>
      <c r="B8173" s="111">
        <f t="shared" si="158"/>
        <v>52</v>
      </c>
      <c r="C8173" s="111"/>
      <c r="D8173" s="111"/>
      <c r="E8173" s="111"/>
    </row>
    <row r="8174" spans="1:5" x14ac:dyDescent="0.2">
      <c r="A8174" s="112">
        <f t="shared" si="159"/>
        <v>42872</v>
      </c>
      <c r="B8174" s="111">
        <f t="shared" si="158"/>
        <v>52</v>
      </c>
      <c r="C8174" s="111"/>
      <c r="D8174" s="111"/>
      <c r="E8174" s="111"/>
    </row>
    <row r="8175" spans="1:5" x14ac:dyDescent="0.2">
      <c r="A8175" s="112">
        <f t="shared" si="159"/>
        <v>42873</v>
      </c>
      <c r="B8175" s="111">
        <f t="shared" si="158"/>
        <v>52</v>
      </c>
      <c r="C8175" s="111"/>
      <c r="D8175" s="111"/>
      <c r="E8175" s="111"/>
    </row>
    <row r="8176" spans="1:5" x14ac:dyDescent="0.2">
      <c r="A8176" s="112">
        <f t="shared" si="159"/>
        <v>42874</v>
      </c>
      <c r="B8176" s="111">
        <f t="shared" si="158"/>
        <v>52</v>
      </c>
      <c r="C8176" s="111"/>
      <c r="D8176" s="111"/>
      <c r="E8176" s="111"/>
    </row>
    <row r="8177" spans="1:5" x14ac:dyDescent="0.2">
      <c r="A8177" s="112">
        <f t="shared" si="159"/>
        <v>42875</v>
      </c>
      <c r="B8177" s="111">
        <f t="shared" si="158"/>
        <v>52</v>
      </c>
      <c r="C8177" s="111"/>
      <c r="D8177" s="111"/>
      <c r="E8177" s="111"/>
    </row>
    <row r="8178" spans="1:5" x14ac:dyDescent="0.2">
      <c r="A8178" s="112">
        <f t="shared" si="159"/>
        <v>42876</v>
      </c>
      <c r="B8178" s="111">
        <f t="shared" si="158"/>
        <v>53</v>
      </c>
      <c r="C8178" s="111"/>
      <c r="D8178" s="111"/>
      <c r="E8178" s="111"/>
    </row>
    <row r="8179" spans="1:5" x14ac:dyDescent="0.2">
      <c r="A8179" s="112">
        <f t="shared" si="159"/>
        <v>42877</v>
      </c>
      <c r="B8179" s="111">
        <f t="shared" si="158"/>
        <v>53</v>
      </c>
      <c r="C8179" s="111"/>
      <c r="D8179" s="111"/>
      <c r="E8179" s="111"/>
    </row>
    <row r="8180" spans="1:5" x14ac:dyDescent="0.2">
      <c r="A8180" s="112">
        <f t="shared" si="159"/>
        <v>42878</v>
      </c>
      <c r="B8180" s="111">
        <f t="shared" si="158"/>
        <v>53</v>
      </c>
      <c r="C8180" s="111"/>
      <c r="D8180" s="111"/>
      <c r="E8180" s="111"/>
    </row>
    <row r="8181" spans="1:5" x14ac:dyDescent="0.2">
      <c r="A8181" s="112">
        <f t="shared" si="159"/>
        <v>42879</v>
      </c>
      <c r="B8181" s="111">
        <f t="shared" si="158"/>
        <v>53</v>
      </c>
      <c r="C8181" s="111"/>
      <c r="D8181" s="111"/>
      <c r="E8181" s="111"/>
    </row>
    <row r="8182" spans="1:5" x14ac:dyDescent="0.2">
      <c r="A8182" s="112">
        <f t="shared" si="159"/>
        <v>42880</v>
      </c>
      <c r="B8182" s="111">
        <f t="shared" si="158"/>
        <v>53</v>
      </c>
      <c r="C8182" s="111"/>
      <c r="D8182" s="111"/>
      <c r="E8182" s="111"/>
    </row>
    <row r="8183" spans="1:5" x14ac:dyDescent="0.2">
      <c r="A8183" s="112">
        <f t="shared" si="159"/>
        <v>42881</v>
      </c>
      <c r="B8183" s="111">
        <f t="shared" si="158"/>
        <v>53</v>
      </c>
      <c r="C8183" s="111"/>
      <c r="D8183" s="111"/>
      <c r="E8183" s="111"/>
    </row>
    <row r="8184" spans="1:5" x14ac:dyDescent="0.2">
      <c r="A8184" s="112">
        <f t="shared" si="159"/>
        <v>42882</v>
      </c>
      <c r="B8184" s="111">
        <f t="shared" si="158"/>
        <v>53</v>
      </c>
      <c r="C8184" s="111"/>
      <c r="D8184" s="111"/>
      <c r="E8184" s="111"/>
    </row>
    <row r="8185" spans="1:5" x14ac:dyDescent="0.2">
      <c r="A8185" s="112">
        <f t="shared" si="159"/>
        <v>42883</v>
      </c>
      <c r="B8185" s="111">
        <f t="shared" si="158"/>
        <v>54</v>
      </c>
      <c r="C8185" s="111"/>
      <c r="D8185" s="111"/>
      <c r="E8185" s="111"/>
    </row>
    <row r="8186" spans="1:5" x14ac:dyDescent="0.2">
      <c r="A8186" s="112">
        <f t="shared" si="159"/>
        <v>42884</v>
      </c>
      <c r="B8186" s="111">
        <f t="shared" si="158"/>
        <v>54</v>
      </c>
      <c r="C8186" s="111"/>
      <c r="D8186" s="111"/>
      <c r="E8186" s="111"/>
    </row>
    <row r="8187" spans="1:5" x14ac:dyDescent="0.2">
      <c r="A8187" s="112">
        <f t="shared" si="159"/>
        <v>42885</v>
      </c>
      <c r="B8187" s="111">
        <f t="shared" si="158"/>
        <v>54</v>
      </c>
      <c r="C8187" s="111"/>
      <c r="D8187" s="111"/>
      <c r="E8187" s="111"/>
    </row>
    <row r="8188" spans="1:5" x14ac:dyDescent="0.2">
      <c r="A8188" s="112">
        <f t="shared" si="159"/>
        <v>42886</v>
      </c>
      <c r="B8188" s="111">
        <f t="shared" si="158"/>
        <v>54</v>
      </c>
      <c r="C8188" s="111"/>
      <c r="D8188" s="111"/>
      <c r="E8188" s="111"/>
    </row>
    <row r="8189" spans="1:5" x14ac:dyDescent="0.2">
      <c r="A8189" s="112">
        <f t="shared" si="159"/>
        <v>42887</v>
      </c>
      <c r="B8189" s="111">
        <f t="shared" si="158"/>
        <v>54</v>
      </c>
      <c r="C8189" s="111"/>
      <c r="D8189" s="111"/>
      <c r="E8189" s="111"/>
    </row>
    <row r="8190" spans="1:5" x14ac:dyDescent="0.2">
      <c r="A8190" s="112">
        <f t="shared" si="159"/>
        <v>42888</v>
      </c>
      <c r="B8190" s="111">
        <f t="shared" si="158"/>
        <v>54</v>
      </c>
      <c r="C8190" s="111"/>
      <c r="D8190" s="111"/>
      <c r="E8190" s="111"/>
    </row>
    <row r="8191" spans="1:5" x14ac:dyDescent="0.2">
      <c r="A8191" s="112">
        <f t="shared" si="159"/>
        <v>42889</v>
      </c>
      <c r="B8191" s="111">
        <f t="shared" si="158"/>
        <v>54</v>
      </c>
      <c r="C8191" s="111"/>
      <c r="D8191" s="111"/>
      <c r="E8191" s="111"/>
    </row>
    <row r="8192" spans="1:5" x14ac:dyDescent="0.2">
      <c r="A8192" s="112">
        <f t="shared" si="159"/>
        <v>42890</v>
      </c>
      <c r="B8192" s="111">
        <f t="shared" si="158"/>
        <v>61</v>
      </c>
      <c r="C8192" s="111"/>
      <c r="D8192" s="111"/>
      <c r="E8192" s="111"/>
    </row>
    <row r="8193" spans="1:5" x14ac:dyDescent="0.2">
      <c r="A8193" s="112">
        <f t="shared" si="159"/>
        <v>42891</v>
      </c>
      <c r="B8193" s="111">
        <f t="shared" si="158"/>
        <v>61</v>
      </c>
      <c r="C8193" s="111"/>
      <c r="D8193" s="111"/>
      <c r="E8193" s="111"/>
    </row>
    <row r="8194" spans="1:5" x14ac:dyDescent="0.2">
      <c r="A8194" s="112">
        <f t="shared" si="159"/>
        <v>42892</v>
      </c>
      <c r="B8194" s="111">
        <f t="shared" ref="B8194:B8255" si="160">VLOOKUP(WEEKNUM(A8194),$D$3:$E$58,2)</f>
        <v>61</v>
      </c>
      <c r="C8194" s="111"/>
      <c r="D8194" s="111"/>
      <c r="E8194" s="111"/>
    </row>
    <row r="8195" spans="1:5" x14ac:dyDescent="0.2">
      <c r="A8195" s="112">
        <f t="shared" si="159"/>
        <v>42893</v>
      </c>
      <c r="B8195" s="111">
        <f t="shared" si="160"/>
        <v>61</v>
      </c>
      <c r="C8195" s="111"/>
      <c r="D8195" s="111"/>
      <c r="E8195" s="111"/>
    </row>
    <row r="8196" spans="1:5" x14ac:dyDescent="0.2">
      <c r="A8196" s="112">
        <f t="shared" si="159"/>
        <v>42894</v>
      </c>
      <c r="B8196" s="111">
        <f t="shared" si="160"/>
        <v>61</v>
      </c>
      <c r="C8196" s="111"/>
      <c r="D8196" s="111"/>
      <c r="E8196" s="111"/>
    </row>
    <row r="8197" spans="1:5" x14ac:dyDescent="0.2">
      <c r="A8197" s="112">
        <f t="shared" si="159"/>
        <v>42895</v>
      </c>
      <c r="B8197" s="111">
        <f t="shared" si="160"/>
        <v>61</v>
      </c>
      <c r="C8197" s="111"/>
      <c r="D8197" s="111"/>
      <c r="E8197" s="111"/>
    </row>
    <row r="8198" spans="1:5" x14ac:dyDescent="0.2">
      <c r="A8198" s="112">
        <f t="shared" si="159"/>
        <v>42896</v>
      </c>
      <c r="B8198" s="111">
        <f t="shared" si="160"/>
        <v>61</v>
      </c>
      <c r="C8198" s="111"/>
      <c r="D8198" s="111"/>
      <c r="E8198" s="111"/>
    </row>
    <row r="8199" spans="1:5" x14ac:dyDescent="0.2">
      <c r="A8199" s="112">
        <f t="shared" si="159"/>
        <v>42897</v>
      </c>
      <c r="B8199" s="111">
        <f t="shared" si="160"/>
        <v>62</v>
      </c>
      <c r="C8199" s="111"/>
      <c r="D8199" s="111"/>
      <c r="E8199" s="111"/>
    </row>
    <row r="8200" spans="1:5" x14ac:dyDescent="0.2">
      <c r="A8200" s="112">
        <f t="shared" si="159"/>
        <v>42898</v>
      </c>
      <c r="B8200" s="111">
        <f t="shared" si="160"/>
        <v>62</v>
      </c>
      <c r="C8200" s="111"/>
      <c r="D8200" s="111"/>
      <c r="E8200" s="111"/>
    </row>
    <row r="8201" spans="1:5" x14ac:dyDescent="0.2">
      <c r="A8201" s="112">
        <f t="shared" si="159"/>
        <v>42899</v>
      </c>
      <c r="B8201" s="111">
        <f t="shared" si="160"/>
        <v>62</v>
      </c>
      <c r="C8201" s="111"/>
      <c r="D8201" s="111"/>
      <c r="E8201" s="111"/>
    </row>
    <row r="8202" spans="1:5" x14ac:dyDescent="0.2">
      <c r="A8202" s="112">
        <f t="shared" si="159"/>
        <v>42900</v>
      </c>
      <c r="B8202" s="111">
        <f t="shared" si="160"/>
        <v>62</v>
      </c>
      <c r="C8202" s="111"/>
      <c r="D8202" s="111"/>
      <c r="E8202" s="111"/>
    </row>
    <row r="8203" spans="1:5" x14ac:dyDescent="0.2">
      <c r="A8203" s="112">
        <f t="shared" si="159"/>
        <v>42901</v>
      </c>
      <c r="B8203" s="111">
        <f t="shared" si="160"/>
        <v>62</v>
      </c>
      <c r="C8203" s="111"/>
      <c r="D8203" s="111"/>
      <c r="E8203" s="111"/>
    </row>
    <row r="8204" spans="1:5" x14ac:dyDescent="0.2">
      <c r="A8204" s="112">
        <f t="shared" si="159"/>
        <v>42902</v>
      </c>
      <c r="B8204" s="111">
        <f t="shared" si="160"/>
        <v>62</v>
      </c>
      <c r="C8204" s="111"/>
      <c r="D8204" s="111"/>
      <c r="E8204" s="111"/>
    </row>
    <row r="8205" spans="1:5" x14ac:dyDescent="0.2">
      <c r="A8205" s="112">
        <f t="shared" si="159"/>
        <v>42903</v>
      </c>
      <c r="B8205" s="111">
        <f t="shared" si="160"/>
        <v>62</v>
      </c>
      <c r="C8205" s="111"/>
      <c r="D8205" s="111"/>
      <c r="E8205" s="111"/>
    </row>
    <row r="8206" spans="1:5" x14ac:dyDescent="0.2">
      <c r="A8206" s="112">
        <f t="shared" si="159"/>
        <v>42904</v>
      </c>
      <c r="B8206" s="111">
        <f t="shared" si="160"/>
        <v>63</v>
      </c>
      <c r="C8206" s="111"/>
      <c r="D8206" s="111"/>
      <c r="E8206" s="111"/>
    </row>
    <row r="8207" spans="1:5" x14ac:dyDescent="0.2">
      <c r="A8207" s="112">
        <f t="shared" si="159"/>
        <v>42905</v>
      </c>
      <c r="B8207" s="111">
        <f t="shared" si="160"/>
        <v>63</v>
      </c>
      <c r="C8207" s="111"/>
      <c r="D8207" s="111"/>
      <c r="E8207" s="111"/>
    </row>
    <row r="8208" spans="1:5" x14ac:dyDescent="0.2">
      <c r="A8208" s="112">
        <f t="shared" si="159"/>
        <v>42906</v>
      </c>
      <c r="B8208" s="111">
        <f t="shared" si="160"/>
        <v>63</v>
      </c>
      <c r="C8208" s="111"/>
      <c r="D8208" s="111"/>
      <c r="E8208" s="111"/>
    </row>
    <row r="8209" spans="1:5" x14ac:dyDescent="0.2">
      <c r="A8209" s="112">
        <f t="shared" si="159"/>
        <v>42907</v>
      </c>
      <c r="B8209" s="111">
        <f t="shared" si="160"/>
        <v>63</v>
      </c>
      <c r="C8209" s="111"/>
      <c r="D8209" s="111"/>
      <c r="E8209" s="111"/>
    </row>
    <row r="8210" spans="1:5" x14ac:dyDescent="0.2">
      <c r="A8210" s="112">
        <f t="shared" si="159"/>
        <v>42908</v>
      </c>
      <c r="B8210" s="111">
        <f t="shared" si="160"/>
        <v>63</v>
      </c>
      <c r="C8210" s="111"/>
      <c r="D8210" s="111"/>
      <c r="E8210" s="111"/>
    </row>
    <row r="8211" spans="1:5" x14ac:dyDescent="0.2">
      <c r="A8211" s="112">
        <f t="shared" si="159"/>
        <v>42909</v>
      </c>
      <c r="B8211" s="111">
        <f t="shared" si="160"/>
        <v>63</v>
      </c>
      <c r="C8211" s="111"/>
      <c r="D8211" s="111"/>
      <c r="E8211" s="111"/>
    </row>
    <row r="8212" spans="1:5" x14ac:dyDescent="0.2">
      <c r="A8212" s="112">
        <f t="shared" si="159"/>
        <v>42910</v>
      </c>
      <c r="B8212" s="111">
        <f t="shared" si="160"/>
        <v>63</v>
      </c>
      <c r="C8212" s="111"/>
      <c r="D8212" s="111"/>
      <c r="E8212" s="111"/>
    </row>
    <row r="8213" spans="1:5" x14ac:dyDescent="0.2">
      <c r="A8213" s="112">
        <f t="shared" si="159"/>
        <v>42911</v>
      </c>
      <c r="B8213" s="111">
        <f t="shared" si="160"/>
        <v>64</v>
      </c>
      <c r="C8213" s="111"/>
      <c r="D8213" s="111"/>
      <c r="E8213" s="111"/>
    </row>
    <row r="8214" spans="1:5" x14ac:dyDescent="0.2">
      <c r="A8214" s="112">
        <f t="shared" si="159"/>
        <v>42912</v>
      </c>
      <c r="B8214" s="111">
        <f t="shared" si="160"/>
        <v>64</v>
      </c>
      <c r="C8214" s="111"/>
      <c r="D8214" s="111"/>
      <c r="E8214" s="111"/>
    </row>
    <row r="8215" spans="1:5" x14ac:dyDescent="0.2">
      <c r="A8215" s="112">
        <f t="shared" si="159"/>
        <v>42913</v>
      </c>
      <c r="B8215" s="111">
        <f t="shared" si="160"/>
        <v>64</v>
      </c>
      <c r="C8215" s="111"/>
      <c r="D8215" s="111"/>
      <c r="E8215" s="111"/>
    </row>
    <row r="8216" spans="1:5" x14ac:dyDescent="0.2">
      <c r="A8216" s="112">
        <f t="shared" si="159"/>
        <v>42914</v>
      </c>
      <c r="B8216" s="111">
        <f t="shared" si="160"/>
        <v>64</v>
      </c>
      <c r="C8216" s="111"/>
      <c r="D8216" s="111"/>
      <c r="E8216" s="111"/>
    </row>
    <row r="8217" spans="1:5" x14ac:dyDescent="0.2">
      <c r="A8217" s="112">
        <f t="shared" si="159"/>
        <v>42915</v>
      </c>
      <c r="B8217" s="111">
        <f t="shared" si="160"/>
        <v>64</v>
      </c>
      <c r="C8217" s="111"/>
      <c r="D8217" s="111"/>
      <c r="E8217" s="111"/>
    </row>
    <row r="8218" spans="1:5" x14ac:dyDescent="0.2">
      <c r="A8218" s="112">
        <f t="shared" si="159"/>
        <v>42916</v>
      </c>
      <c r="B8218" s="111">
        <f t="shared" si="160"/>
        <v>64</v>
      </c>
      <c r="C8218" s="111"/>
      <c r="D8218" s="111"/>
      <c r="E8218" s="111"/>
    </row>
    <row r="8219" spans="1:5" x14ac:dyDescent="0.2">
      <c r="A8219" s="112">
        <f t="shared" si="159"/>
        <v>42917</v>
      </c>
      <c r="B8219" s="111">
        <f t="shared" si="160"/>
        <v>64</v>
      </c>
      <c r="C8219" s="111"/>
      <c r="D8219" s="111"/>
      <c r="E8219" s="111"/>
    </row>
    <row r="8220" spans="1:5" x14ac:dyDescent="0.2">
      <c r="A8220" s="112">
        <f t="shared" si="159"/>
        <v>42918</v>
      </c>
      <c r="B8220" s="111">
        <f t="shared" si="160"/>
        <v>71</v>
      </c>
      <c r="C8220" s="111"/>
      <c r="D8220" s="111"/>
      <c r="E8220" s="111"/>
    </row>
    <row r="8221" spans="1:5" x14ac:dyDescent="0.2">
      <c r="A8221" s="112">
        <f t="shared" si="159"/>
        <v>42919</v>
      </c>
      <c r="B8221" s="111">
        <f t="shared" si="160"/>
        <v>71</v>
      </c>
      <c r="C8221" s="111"/>
      <c r="D8221" s="111"/>
      <c r="E8221" s="111"/>
    </row>
    <row r="8222" spans="1:5" x14ac:dyDescent="0.2">
      <c r="A8222" s="112">
        <f t="shared" si="159"/>
        <v>42920</v>
      </c>
      <c r="B8222" s="111">
        <f t="shared" si="160"/>
        <v>71</v>
      </c>
      <c r="C8222" s="111"/>
      <c r="D8222" s="111"/>
      <c r="E8222" s="111"/>
    </row>
    <row r="8223" spans="1:5" x14ac:dyDescent="0.2">
      <c r="A8223" s="112">
        <f t="shared" ref="A8223:A8286" si="161">A8222+1</f>
        <v>42921</v>
      </c>
      <c r="B8223" s="111">
        <f t="shared" si="160"/>
        <v>71</v>
      </c>
      <c r="C8223" s="111"/>
      <c r="D8223" s="111"/>
      <c r="E8223" s="111"/>
    </row>
    <row r="8224" spans="1:5" x14ac:dyDescent="0.2">
      <c r="A8224" s="112">
        <f t="shared" si="161"/>
        <v>42922</v>
      </c>
      <c r="B8224" s="111">
        <f t="shared" si="160"/>
        <v>71</v>
      </c>
      <c r="C8224" s="111"/>
      <c r="D8224" s="111"/>
      <c r="E8224" s="111"/>
    </row>
    <row r="8225" spans="1:5" x14ac:dyDescent="0.2">
      <c r="A8225" s="112">
        <f t="shared" si="161"/>
        <v>42923</v>
      </c>
      <c r="B8225" s="111">
        <f t="shared" si="160"/>
        <v>71</v>
      </c>
      <c r="C8225" s="111"/>
      <c r="D8225" s="111"/>
      <c r="E8225" s="111"/>
    </row>
    <row r="8226" spans="1:5" x14ac:dyDescent="0.2">
      <c r="A8226" s="112">
        <f t="shared" si="161"/>
        <v>42924</v>
      </c>
      <c r="B8226" s="111">
        <f t="shared" si="160"/>
        <v>71</v>
      </c>
      <c r="C8226" s="111"/>
      <c r="D8226" s="111"/>
      <c r="E8226" s="111"/>
    </row>
    <row r="8227" spans="1:5" x14ac:dyDescent="0.2">
      <c r="A8227" s="112">
        <f t="shared" si="161"/>
        <v>42925</v>
      </c>
      <c r="B8227" s="111">
        <f t="shared" si="160"/>
        <v>72</v>
      </c>
      <c r="C8227" s="111"/>
      <c r="D8227" s="111"/>
      <c r="E8227" s="111"/>
    </row>
    <row r="8228" spans="1:5" x14ac:dyDescent="0.2">
      <c r="A8228" s="112">
        <f t="shared" si="161"/>
        <v>42926</v>
      </c>
      <c r="B8228" s="111">
        <f t="shared" si="160"/>
        <v>72</v>
      </c>
      <c r="C8228" s="111"/>
      <c r="D8228" s="111"/>
      <c r="E8228" s="111"/>
    </row>
    <row r="8229" spans="1:5" x14ac:dyDescent="0.2">
      <c r="A8229" s="112">
        <f t="shared" si="161"/>
        <v>42927</v>
      </c>
      <c r="B8229" s="111">
        <f t="shared" si="160"/>
        <v>72</v>
      </c>
      <c r="C8229" s="111"/>
      <c r="D8229" s="111"/>
      <c r="E8229" s="111"/>
    </row>
    <row r="8230" spans="1:5" x14ac:dyDescent="0.2">
      <c r="A8230" s="112">
        <f t="shared" si="161"/>
        <v>42928</v>
      </c>
      <c r="B8230" s="111">
        <f t="shared" si="160"/>
        <v>72</v>
      </c>
      <c r="C8230" s="111"/>
      <c r="D8230" s="111"/>
      <c r="E8230" s="111"/>
    </row>
    <row r="8231" spans="1:5" x14ac:dyDescent="0.2">
      <c r="A8231" s="112">
        <f t="shared" si="161"/>
        <v>42929</v>
      </c>
      <c r="B8231" s="111">
        <f t="shared" si="160"/>
        <v>72</v>
      </c>
      <c r="C8231" s="111"/>
      <c r="D8231" s="111"/>
      <c r="E8231" s="111"/>
    </row>
    <row r="8232" spans="1:5" x14ac:dyDescent="0.2">
      <c r="A8232" s="112">
        <f t="shared" si="161"/>
        <v>42930</v>
      </c>
      <c r="B8232" s="111">
        <f t="shared" si="160"/>
        <v>72</v>
      </c>
      <c r="C8232" s="111"/>
      <c r="D8232" s="111"/>
      <c r="E8232" s="111"/>
    </row>
    <row r="8233" spans="1:5" x14ac:dyDescent="0.2">
      <c r="A8233" s="112">
        <f t="shared" si="161"/>
        <v>42931</v>
      </c>
      <c r="B8233" s="111">
        <f t="shared" si="160"/>
        <v>72</v>
      </c>
      <c r="C8233" s="111"/>
      <c r="D8233" s="111"/>
      <c r="E8233" s="111"/>
    </row>
    <row r="8234" spans="1:5" x14ac:dyDescent="0.2">
      <c r="A8234" s="112">
        <f t="shared" si="161"/>
        <v>42932</v>
      </c>
      <c r="B8234" s="111">
        <f t="shared" si="160"/>
        <v>73</v>
      </c>
      <c r="C8234" s="111"/>
      <c r="D8234" s="111"/>
      <c r="E8234" s="111"/>
    </row>
    <row r="8235" spans="1:5" x14ac:dyDescent="0.2">
      <c r="A8235" s="112">
        <f t="shared" si="161"/>
        <v>42933</v>
      </c>
      <c r="B8235" s="111">
        <f t="shared" si="160"/>
        <v>73</v>
      </c>
      <c r="C8235" s="111"/>
      <c r="D8235" s="111"/>
      <c r="E8235" s="111"/>
    </row>
    <row r="8236" spans="1:5" x14ac:dyDescent="0.2">
      <c r="A8236" s="112">
        <f t="shared" si="161"/>
        <v>42934</v>
      </c>
      <c r="B8236" s="111">
        <f t="shared" si="160"/>
        <v>73</v>
      </c>
      <c r="C8236" s="111"/>
      <c r="D8236" s="111"/>
      <c r="E8236" s="111"/>
    </row>
    <row r="8237" spans="1:5" x14ac:dyDescent="0.2">
      <c r="A8237" s="112">
        <f t="shared" si="161"/>
        <v>42935</v>
      </c>
      <c r="B8237" s="111">
        <f t="shared" si="160"/>
        <v>73</v>
      </c>
      <c r="C8237" s="111"/>
      <c r="D8237" s="111"/>
      <c r="E8237" s="111"/>
    </row>
    <row r="8238" spans="1:5" x14ac:dyDescent="0.2">
      <c r="A8238" s="112">
        <f t="shared" si="161"/>
        <v>42936</v>
      </c>
      <c r="B8238" s="111">
        <f t="shared" si="160"/>
        <v>73</v>
      </c>
      <c r="C8238" s="111"/>
      <c r="D8238" s="111"/>
      <c r="E8238" s="111"/>
    </row>
    <row r="8239" spans="1:5" x14ac:dyDescent="0.2">
      <c r="A8239" s="112">
        <f t="shared" si="161"/>
        <v>42937</v>
      </c>
      <c r="B8239" s="111">
        <f t="shared" si="160"/>
        <v>73</v>
      </c>
      <c r="C8239" s="111"/>
      <c r="D8239" s="111"/>
      <c r="E8239" s="111"/>
    </row>
    <row r="8240" spans="1:5" x14ac:dyDescent="0.2">
      <c r="A8240" s="112">
        <f t="shared" si="161"/>
        <v>42938</v>
      </c>
      <c r="B8240" s="111">
        <f t="shared" si="160"/>
        <v>73</v>
      </c>
      <c r="C8240" s="111"/>
      <c r="D8240" s="111"/>
      <c r="E8240" s="111"/>
    </row>
    <row r="8241" spans="1:5" x14ac:dyDescent="0.2">
      <c r="A8241" s="112">
        <f t="shared" si="161"/>
        <v>42939</v>
      </c>
      <c r="B8241" s="111">
        <f t="shared" si="160"/>
        <v>74</v>
      </c>
      <c r="C8241" s="111"/>
      <c r="D8241" s="111"/>
      <c r="E8241" s="111"/>
    </row>
    <row r="8242" spans="1:5" x14ac:dyDescent="0.2">
      <c r="A8242" s="112">
        <f t="shared" si="161"/>
        <v>42940</v>
      </c>
      <c r="B8242" s="111">
        <f t="shared" si="160"/>
        <v>74</v>
      </c>
      <c r="C8242" s="111"/>
      <c r="D8242" s="111"/>
      <c r="E8242" s="111"/>
    </row>
    <row r="8243" spans="1:5" x14ac:dyDescent="0.2">
      <c r="A8243" s="112">
        <f t="shared" si="161"/>
        <v>42941</v>
      </c>
      <c r="B8243" s="111">
        <f t="shared" si="160"/>
        <v>74</v>
      </c>
      <c r="C8243" s="111"/>
      <c r="D8243" s="111"/>
      <c r="E8243" s="111"/>
    </row>
    <row r="8244" spans="1:5" x14ac:dyDescent="0.2">
      <c r="A8244" s="112">
        <f t="shared" si="161"/>
        <v>42942</v>
      </c>
      <c r="B8244" s="111">
        <f t="shared" si="160"/>
        <v>74</v>
      </c>
      <c r="C8244" s="111"/>
      <c r="D8244" s="111"/>
      <c r="E8244" s="111"/>
    </row>
    <row r="8245" spans="1:5" x14ac:dyDescent="0.2">
      <c r="A8245" s="112">
        <f t="shared" si="161"/>
        <v>42943</v>
      </c>
      <c r="B8245" s="111">
        <f t="shared" si="160"/>
        <v>74</v>
      </c>
      <c r="C8245" s="111"/>
      <c r="D8245" s="111"/>
      <c r="E8245" s="111"/>
    </row>
    <row r="8246" spans="1:5" x14ac:dyDescent="0.2">
      <c r="A8246" s="112">
        <f t="shared" si="161"/>
        <v>42944</v>
      </c>
      <c r="B8246" s="111">
        <f t="shared" si="160"/>
        <v>74</v>
      </c>
      <c r="C8246" s="111"/>
      <c r="D8246" s="111"/>
      <c r="E8246" s="111"/>
    </row>
    <row r="8247" spans="1:5" x14ac:dyDescent="0.2">
      <c r="A8247" s="112">
        <f t="shared" si="161"/>
        <v>42945</v>
      </c>
      <c r="B8247" s="111">
        <f t="shared" si="160"/>
        <v>74</v>
      </c>
      <c r="C8247" s="111"/>
      <c r="D8247" s="111"/>
      <c r="E8247" s="111"/>
    </row>
    <row r="8248" spans="1:5" x14ac:dyDescent="0.2">
      <c r="A8248" s="112">
        <f t="shared" si="161"/>
        <v>42946</v>
      </c>
      <c r="B8248" s="111">
        <f t="shared" si="160"/>
        <v>75</v>
      </c>
      <c r="C8248" s="111"/>
      <c r="D8248" s="111"/>
      <c r="E8248" s="111"/>
    </row>
    <row r="8249" spans="1:5" x14ac:dyDescent="0.2">
      <c r="A8249" s="112">
        <f t="shared" si="161"/>
        <v>42947</v>
      </c>
      <c r="B8249" s="111">
        <f t="shared" si="160"/>
        <v>75</v>
      </c>
      <c r="C8249" s="111"/>
      <c r="D8249" s="111"/>
      <c r="E8249" s="111"/>
    </row>
    <row r="8250" spans="1:5" x14ac:dyDescent="0.2">
      <c r="A8250" s="112">
        <f t="shared" si="161"/>
        <v>42948</v>
      </c>
      <c r="B8250" s="111">
        <f t="shared" si="160"/>
        <v>75</v>
      </c>
      <c r="C8250" s="111"/>
      <c r="D8250" s="111"/>
      <c r="E8250" s="111"/>
    </row>
    <row r="8251" spans="1:5" x14ac:dyDescent="0.2">
      <c r="A8251" s="112">
        <f t="shared" si="161"/>
        <v>42949</v>
      </c>
      <c r="B8251" s="111">
        <f t="shared" si="160"/>
        <v>75</v>
      </c>
      <c r="C8251" s="111"/>
      <c r="D8251" s="111"/>
      <c r="E8251" s="111"/>
    </row>
    <row r="8252" spans="1:5" x14ac:dyDescent="0.2">
      <c r="A8252" s="112">
        <f t="shared" si="161"/>
        <v>42950</v>
      </c>
      <c r="B8252" s="111">
        <f t="shared" si="160"/>
        <v>75</v>
      </c>
      <c r="C8252" s="111"/>
      <c r="D8252" s="111"/>
      <c r="E8252" s="111"/>
    </row>
    <row r="8253" spans="1:5" x14ac:dyDescent="0.2">
      <c r="A8253" s="112">
        <f t="shared" si="161"/>
        <v>42951</v>
      </c>
      <c r="B8253" s="111">
        <f t="shared" si="160"/>
        <v>75</v>
      </c>
      <c r="C8253" s="111"/>
      <c r="D8253" s="111"/>
      <c r="E8253" s="111"/>
    </row>
    <row r="8254" spans="1:5" x14ac:dyDescent="0.2">
      <c r="A8254" s="112">
        <f t="shared" si="161"/>
        <v>42952</v>
      </c>
      <c r="B8254" s="111">
        <f t="shared" si="160"/>
        <v>75</v>
      </c>
      <c r="C8254" s="111"/>
      <c r="D8254" s="111"/>
      <c r="E8254" s="111"/>
    </row>
    <row r="8255" spans="1:5" x14ac:dyDescent="0.2">
      <c r="A8255" s="112">
        <f t="shared" si="161"/>
        <v>42953</v>
      </c>
      <c r="B8255" s="111">
        <f t="shared" si="160"/>
        <v>81</v>
      </c>
      <c r="C8255" s="111"/>
      <c r="D8255" s="111"/>
      <c r="E8255" s="111"/>
    </row>
    <row r="8256" spans="1:5" x14ac:dyDescent="0.2">
      <c r="A8256" s="112">
        <f t="shared" si="161"/>
        <v>42954</v>
      </c>
      <c r="B8256" s="111">
        <f t="shared" ref="B8256:B8316" si="162">VLOOKUP(WEEKNUM(A8256),$D$3:$E$58,2)</f>
        <v>81</v>
      </c>
      <c r="C8256" s="111"/>
      <c r="D8256" s="111"/>
      <c r="E8256" s="111"/>
    </row>
    <row r="8257" spans="1:5" x14ac:dyDescent="0.2">
      <c r="A8257" s="112">
        <f t="shared" si="161"/>
        <v>42955</v>
      </c>
      <c r="B8257" s="111">
        <f t="shared" si="162"/>
        <v>81</v>
      </c>
      <c r="C8257" s="111"/>
      <c r="D8257" s="111"/>
      <c r="E8257" s="111"/>
    </row>
    <row r="8258" spans="1:5" x14ac:dyDescent="0.2">
      <c r="A8258" s="112">
        <f t="shared" si="161"/>
        <v>42956</v>
      </c>
      <c r="B8258" s="111">
        <f t="shared" si="162"/>
        <v>81</v>
      </c>
      <c r="C8258" s="111"/>
      <c r="D8258" s="111"/>
      <c r="E8258" s="111"/>
    </row>
    <row r="8259" spans="1:5" x14ac:dyDescent="0.2">
      <c r="A8259" s="112">
        <f t="shared" si="161"/>
        <v>42957</v>
      </c>
      <c r="B8259" s="111">
        <f t="shared" si="162"/>
        <v>81</v>
      </c>
      <c r="C8259" s="111"/>
      <c r="D8259" s="111"/>
      <c r="E8259" s="111"/>
    </row>
    <row r="8260" spans="1:5" x14ac:dyDescent="0.2">
      <c r="A8260" s="112">
        <f t="shared" si="161"/>
        <v>42958</v>
      </c>
      <c r="B8260" s="111">
        <f t="shared" si="162"/>
        <v>81</v>
      </c>
      <c r="C8260" s="111"/>
      <c r="D8260" s="111"/>
      <c r="E8260" s="111"/>
    </row>
    <row r="8261" spans="1:5" x14ac:dyDescent="0.2">
      <c r="A8261" s="112">
        <f t="shared" si="161"/>
        <v>42959</v>
      </c>
      <c r="B8261" s="111">
        <f t="shared" si="162"/>
        <v>81</v>
      </c>
      <c r="C8261" s="111"/>
      <c r="D8261" s="111"/>
      <c r="E8261" s="111"/>
    </row>
    <row r="8262" spans="1:5" x14ac:dyDescent="0.2">
      <c r="A8262" s="112">
        <f t="shared" si="161"/>
        <v>42960</v>
      </c>
      <c r="B8262" s="111">
        <f t="shared" si="162"/>
        <v>82</v>
      </c>
    </row>
    <row r="8263" spans="1:5" x14ac:dyDescent="0.2">
      <c r="A8263" s="112">
        <f t="shared" si="161"/>
        <v>42961</v>
      </c>
      <c r="B8263" s="111">
        <f t="shared" si="162"/>
        <v>82</v>
      </c>
    </row>
    <row r="8264" spans="1:5" x14ac:dyDescent="0.2">
      <c r="A8264" s="112">
        <f t="shared" si="161"/>
        <v>42962</v>
      </c>
      <c r="B8264" s="111">
        <f t="shared" si="162"/>
        <v>82</v>
      </c>
    </row>
    <row r="8265" spans="1:5" x14ac:dyDescent="0.2">
      <c r="A8265" s="112">
        <f t="shared" si="161"/>
        <v>42963</v>
      </c>
      <c r="B8265" s="111">
        <f t="shared" si="162"/>
        <v>82</v>
      </c>
    </row>
    <row r="8266" spans="1:5" x14ac:dyDescent="0.2">
      <c r="A8266" s="112">
        <f t="shared" si="161"/>
        <v>42964</v>
      </c>
      <c r="B8266" s="111">
        <f t="shared" si="162"/>
        <v>82</v>
      </c>
    </row>
    <row r="8267" spans="1:5" x14ac:dyDescent="0.2">
      <c r="A8267" s="112">
        <f t="shared" si="161"/>
        <v>42965</v>
      </c>
      <c r="B8267" s="111">
        <f t="shared" si="162"/>
        <v>82</v>
      </c>
    </row>
    <row r="8268" spans="1:5" x14ac:dyDescent="0.2">
      <c r="A8268" s="112">
        <f t="shared" si="161"/>
        <v>42966</v>
      </c>
      <c r="B8268" s="111">
        <f t="shared" si="162"/>
        <v>82</v>
      </c>
    </row>
    <row r="8269" spans="1:5" x14ac:dyDescent="0.2">
      <c r="A8269" s="112">
        <f t="shared" si="161"/>
        <v>42967</v>
      </c>
      <c r="B8269" s="111">
        <f t="shared" si="162"/>
        <v>83</v>
      </c>
    </row>
    <row r="8270" spans="1:5" x14ac:dyDescent="0.2">
      <c r="A8270" s="112">
        <f t="shared" si="161"/>
        <v>42968</v>
      </c>
      <c r="B8270" s="111">
        <f t="shared" si="162"/>
        <v>83</v>
      </c>
    </row>
    <row r="8271" spans="1:5" x14ac:dyDescent="0.2">
      <c r="A8271" s="112">
        <f t="shared" si="161"/>
        <v>42969</v>
      </c>
      <c r="B8271" s="111">
        <f t="shared" si="162"/>
        <v>83</v>
      </c>
    </row>
    <row r="8272" spans="1:5" x14ac:dyDescent="0.2">
      <c r="A8272" s="112">
        <f t="shared" si="161"/>
        <v>42970</v>
      </c>
      <c r="B8272" s="111">
        <f t="shared" si="162"/>
        <v>83</v>
      </c>
    </row>
    <row r="8273" spans="1:2" x14ac:dyDescent="0.2">
      <c r="A8273" s="112">
        <f t="shared" si="161"/>
        <v>42971</v>
      </c>
      <c r="B8273" s="111">
        <f t="shared" si="162"/>
        <v>83</v>
      </c>
    </row>
    <row r="8274" spans="1:2" x14ac:dyDescent="0.2">
      <c r="A8274" s="112">
        <f t="shared" si="161"/>
        <v>42972</v>
      </c>
      <c r="B8274" s="111">
        <f t="shared" si="162"/>
        <v>83</v>
      </c>
    </row>
    <row r="8275" spans="1:2" x14ac:dyDescent="0.2">
      <c r="A8275" s="112">
        <f t="shared" si="161"/>
        <v>42973</v>
      </c>
      <c r="B8275" s="111">
        <f t="shared" si="162"/>
        <v>83</v>
      </c>
    </row>
    <row r="8276" spans="1:2" x14ac:dyDescent="0.2">
      <c r="A8276" s="112">
        <f t="shared" si="161"/>
        <v>42974</v>
      </c>
      <c r="B8276" s="111">
        <f t="shared" si="162"/>
        <v>84</v>
      </c>
    </row>
    <row r="8277" spans="1:2" x14ac:dyDescent="0.2">
      <c r="A8277" s="112">
        <f t="shared" si="161"/>
        <v>42975</v>
      </c>
      <c r="B8277" s="111">
        <f t="shared" si="162"/>
        <v>84</v>
      </c>
    </row>
    <row r="8278" spans="1:2" x14ac:dyDescent="0.2">
      <c r="A8278" s="112">
        <f t="shared" si="161"/>
        <v>42976</v>
      </c>
      <c r="B8278" s="111">
        <f t="shared" si="162"/>
        <v>84</v>
      </c>
    </row>
    <row r="8279" spans="1:2" x14ac:dyDescent="0.2">
      <c r="A8279" s="112">
        <f t="shared" si="161"/>
        <v>42977</v>
      </c>
      <c r="B8279" s="111">
        <f t="shared" si="162"/>
        <v>84</v>
      </c>
    </row>
    <row r="8280" spans="1:2" x14ac:dyDescent="0.2">
      <c r="A8280" s="112">
        <f t="shared" si="161"/>
        <v>42978</v>
      </c>
      <c r="B8280" s="111">
        <f t="shared" si="162"/>
        <v>84</v>
      </c>
    </row>
    <row r="8281" spans="1:2" x14ac:dyDescent="0.2">
      <c r="A8281" s="112">
        <f t="shared" si="161"/>
        <v>42979</v>
      </c>
      <c r="B8281" s="111">
        <f t="shared" si="162"/>
        <v>84</v>
      </c>
    </row>
    <row r="8282" spans="1:2" x14ac:dyDescent="0.2">
      <c r="A8282" s="112">
        <f t="shared" si="161"/>
        <v>42980</v>
      </c>
      <c r="B8282" s="111">
        <f t="shared" si="162"/>
        <v>84</v>
      </c>
    </row>
    <row r="8283" spans="1:2" x14ac:dyDescent="0.2">
      <c r="A8283" s="112">
        <f t="shared" si="161"/>
        <v>42981</v>
      </c>
      <c r="B8283" s="111">
        <f t="shared" si="162"/>
        <v>91</v>
      </c>
    </row>
    <row r="8284" spans="1:2" x14ac:dyDescent="0.2">
      <c r="A8284" s="112">
        <f t="shared" si="161"/>
        <v>42982</v>
      </c>
      <c r="B8284" s="111">
        <f t="shared" si="162"/>
        <v>91</v>
      </c>
    </row>
    <row r="8285" spans="1:2" x14ac:dyDescent="0.2">
      <c r="A8285" s="112">
        <f t="shared" si="161"/>
        <v>42983</v>
      </c>
      <c r="B8285" s="111">
        <f t="shared" si="162"/>
        <v>91</v>
      </c>
    </row>
    <row r="8286" spans="1:2" x14ac:dyDescent="0.2">
      <c r="A8286" s="112">
        <f t="shared" si="161"/>
        <v>42984</v>
      </c>
      <c r="B8286" s="111">
        <f t="shared" si="162"/>
        <v>91</v>
      </c>
    </row>
    <row r="8287" spans="1:2" x14ac:dyDescent="0.2">
      <c r="A8287" s="112">
        <f t="shared" ref="A8287:A8350" si="163">A8286+1</f>
        <v>42985</v>
      </c>
      <c r="B8287" s="111">
        <f t="shared" si="162"/>
        <v>91</v>
      </c>
    </row>
    <row r="8288" spans="1:2" x14ac:dyDescent="0.2">
      <c r="A8288" s="112">
        <f t="shared" si="163"/>
        <v>42986</v>
      </c>
      <c r="B8288" s="111">
        <f t="shared" si="162"/>
        <v>91</v>
      </c>
    </row>
    <row r="8289" spans="1:2" x14ac:dyDescent="0.2">
      <c r="A8289" s="112">
        <f t="shared" si="163"/>
        <v>42987</v>
      </c>
      <c r="B8289" s="111">
        <f t="shared" si="162"/>
        <v>91</v>
      </c>
    </row>
    <row r="8290" spans="1:2" x14ac:dyDescent="0.2">
      <c r="A8290" s="112">
        <f t="shared" si="163"/>
        <v>42988</v>
      </c>
      <c r="B8290" s="111">
        <f t="shared" si="162"/>
        <v>92</v>
      </c>
    </row>
    <row r="8291" spans="1:2" x14ac:dyDescent="0.2">
      <c r="A8291" s="112">
        <f t="shared" si="163"/>
        <v>42989</v>
      </c>
      <c r="B8291" s="111">
        <f t="shared" si="162"/>
        <v>92</v>
      </c>
    </row>
    <row r="8292" spans="1:2" x14ac:dyDescent="0.2">
      <c r="A8292" s="112">
        <f t="shared" si="163"/>
        <v>42990</v>
      </c>
      <c r="B8292" s="111">
        <f t="shared" si="162"/>
        <v>92</v>
      </c>
    </row>
    <row r="8293" spans="1:2" x14ac:dyDescent="0.2">
      <c r="A8293" s="112">
        <f t="shared" si="163"/>
        <v>42991</v>
      </c>
      <c r="B8293" s="111">
        <f t="shared" si="162"/>
        <v>92</v>
      </c>
    </row>
    <row r="8294" spans="1:2" x14ac:dyDescent="0.2">
      <c r="A8294" s="112">
        <f t="shared" si="163"/>
        <v>42992</v>
      </c>
      <c r="B8294" s="111">
        <f t="shared" si="162"/>
        <v>92</v>
      </c>
    </row>
    <row r="8295" spans="1:2" x14ac:dyDescent="0.2">
      <c r="A8295" s="112">
        <f t="shared" si="163"/>
        <v>42993</v>
      </c>
      <c r="B8295" s="111">
        <f t="shared" si="162"/>
        <v>92</v>
      </c>
    </row>
    <row r="8296" spans="1:2" x14ac:dyDescent="0.2">
      <c r="A8296" s="112">
        <f t="shared" si="163"/>
        <v>42994</v>
      </c>
      <c r="B8296" s="111">
        <f t="shared" si="162"/>
        <v>92</v>
      </c>
    </row>
    <row r="8297" spans="1:2" x14ac:dyDescent="0.2">
      <c r="A8297" s="112">
        <f t="shared" si="163"/>
        <v>42995</v>
      </c>
      <c r="B8297" s="111">
        <f t="shared" si="162"/>
        <v>93</v>
      </c>
    </row>
    <row r="8298" spans="1:2" x14ac:dyDescent="0.2">
      <c r="A8298" s="112">
        <f t="shared" si="163"/>
        <v>42996</v>
      </c>
      <c r="B8298" s="111">
        <f t="shared" si="162"/>
        <v>93</v>
      </c>
    </row>
    <row r="8299" spans="1:2" x14ac:dyDescent="0.2">
      <c r="A8299" s="112">
        <f t="shared" si="163"/>
        <v>42997</v>
      </c>
      <c r="B8299" s="111">
        <f t="shared" si="162"/>
        <v>93</v>
      </c>
    </row>
    <row r="8300" spans="1:2" x14ac:dyDescent="0.2">
      <c r="A8300" s="112">
        <f t="shared" si="163"/>
        <v>42998</v>
      </c>
      <c r="B8300" s="111">
        <f t="shared" si="162"/>
        <v>93</v>
      </c>
    </row>
    <row r="8301" spans="1:2" x14ac:dyDescent="0.2">
      <c r="A8301" s="112">
        <f t="shared" si="163"/>
        <v>42999</v>
      </c>
      <c r="B8301" s="111">
        <f t="shared" si="162"/>
        <v>93</v>
      </c>
    </row>
    <row r="8302" spans="1:2" x14ac:dyDescent="0.2">
      <c r="A8302" s="112">
        <f t="shared" si="163"/>
        <v>43000</v>
      </c>
      <c r="B8302" s="111">
        <f t="shared" si="162"/>
        <v>93</v>
      </c>
    </row>
    <row r="8303" spans="1:2" x14ac:dyDescent="0.2">
      <c r="A8303" s="112">
        <f t="shared" si="163"/>
        <v>43001</v>
      </c>
      <c r="B8303" s="111">
        <f t="shared" si="162"/>
        <v>93</v>
      </c>
    </row>
    <row r="8304" spans="1:2" x14ac:dyDescent="0.2">
      <c r="A8304" s="112">
        <f t="shared" si="163"/>
        <v>43002</v>
      </c>
      <c r="B8304" s="111">
        <f t="shared" si="162"/>
        <v>94</v>
      </c>
    </row>
    <row r="8305" spans="1:2" x14ac:dyDescent="0.2">
      <c r="A8305" s="112">
        <f t="shared" si="163"/>
        <v>43003</v>
      </c>
      <c r="B8305" s="111">
        <f t="shared" si="162"/>
        <v>94</v>
      </c>
    </row>
    <row r="8306" spans="1:2" x14ac:dyDescent="0.2">
      <c r="A8306" s="112">
        <f t="shared" si="163"/>
        <v>43004</v>
      </c>
      <c r="B8306" s="111">
        <f t="shared" si="162"/>
        <v>94</v>
      </c>
    </row>
    <row r="8307" spans="1:2" x14ac:dyDescent="0.2">
      <c r="A8307" s="112">
        <f t="shared" si="163"/>
        <v>43005</v>
      </c>
      <c r="B8307" s="111">
        <f t="shared" si="162"/>
        <v>94</v>
      </c>
    </row>
    <row r="8308" spans="1:2" x14ac:dyDescent="0.2">
      <c r="A8308" s="112">
        <f t="shared" si="163"/>
        <v>43006</v>
      </c>
      <c r="B8308" s="111">
        <f t="shared" si="162"/>
        <v>94</v>
      </c>
    </row>
    <row r="8309" spans="1:2" x14ac:dyDescent="0.2">
      <c r="A8309" s="112">
        <f t="shared" si="163"/>
        <v>43007</v>
      </c>
      <c r="B8309" s="111">
        <f t="shared" si="162"/>
        <v>94</v>
      </c>
    </row>
    <row r="8310" spans="1:2" x14ac:dyDescent="0.2">
      <c r="A8310" s="112">
        <f t="shared" si="163"/>
        <v>43008</v>
      </c>
      <c r="B8310" s="111">
        <f t="shared" si="162"/>
        <v>94</v>
      </c>
    </row>
    <row r="8311" spans="1:2" x14ac:dyDescent="0.2">
      <c r="A8311" s="112">
        <f t="shared" si="163"/>
        <v>43009</v>
      </c>
      <c r="B8311" s="111">
        <f t="shared" si="162"/>
        <v>101</v>
      </c>
    </row>
    <row r="8312" spans="1:2" x14ac:dyDescent="0.2">
      <c r="A8312" s="112">
        <f t="shared" si="163"/>
        <v>43010</v>
      </c>
      <c r="B8312" s="111">
        <f t="shared" si="162"/>
        <v>101</v>
      </c>
    </row>
    <row r="8313" spans="1:2" x14ac:dyDescent="0.2">
      <c r="A8313" s="112">
        <f t="shared" si="163"/>
        <v>43011</v>
      </c>
      <c r="B8313" s="111">
        <f t="shared" si="162"/>
        <v>101</v>
      </c>
    </row>
    <row r="8314" spans="1:2" x14ac:dyDescent="0.2">
      <c r="A8314" s="112">
        <f t="shared" si="163"/>
        <v>43012</v>
      </c>
      <c r="B8314" s="111">
        <f t="shared" si="162"/>
        <v>101</v>
      </c>
    </row>
    <row r="8315" spans="1:2" x14ac:dyDescent="0.2">
      <c r="A8315" s="112">
        <f t="shared" si="163"/>
        <v>43013</v>
      </c>
      <c r="B8315" s="111">
        <f t="shared" si="162"/>
        <v>101</v>
      </c>
    </row>
    <row r="8316" spans="1:2" x14ac:dyDescent="0.2">
      <c r="A8316" s="112">
        <f t="shared" si="163"/>
        <v>43014</v>
      </c>
      <c r="B8316" s="111">
        <f t="shared" si="162"/>
        <v>101</v>
      </c>
    </row>
    <row r="8317" spans="1:2" x14ac:dyDescent="0.2">
      <c r="A8317" s="112">
        <f t="shared" si="163"/>
        <v>43015</v>
      </c>
      <c r="B8317" s="111">
        <f t="shared" ref="B8317:B8380" si="164">VLOOKUP(WEEKNUM(A8317),$D$3:$E$58,2)</f>
        <v>101</v>
      </c>
    </row>
    <row r="8318" spans="1:2" x14ac:dyDescent="0.2">
      <c r="A8318" s="112">
        <f t="shared" si="163"/>
        <v>43016</v>
      </c>
      <c r="B8318" s="111">
        <f t="shared" si="164"/>
        <v>102</v>
      </c>
    </row>
    <row r="8319" spans="1:2" x14ac:dyDescent="0.2">
      <c r="A8319" s="112">
        <f t="shared" si="163"/>
        <v>43017</v>
      </c>
      <c r="B8319" s="111">
        <f t="shared" si="164"/>
        <v>102</v>
      </c>
    </row>
    <row r="8320" spans="1:2" x14ac:dyDescent="0.2">
      <c r="A8320" s="112">
        <f t="shared" si="163"/>
        <v>43018</v>
      </c>
      <c r="B8320" s="111">
        <f t="shared" si="164"/>
        <v>102</v>
      </c>
    </row>
    <row r="8321" spans="1:2" x14ac:dyDescent="0.2">
      <c r="A8321" s="112">
        <f t="shared" si="163"/>
        <v>43019</v>
      </c>
      <c r="B8321" s="111">
        <f t="shared" si="164"/>
        <v>102</v>
      </c>
    </row>
    <row r="8322" spans="1:2" x14ac:dyDescent="0.2">
      <c r="A8322" s="112">
        <f t="shared" si="163"/>
        <v>43020</v>
      </c>
      <c r="B8322" s="111">
        <f t="shared" si="164"/>
        <v>102</v>
      </c>
    </row>
    <row r="8323" spans="1:2" x14ac:dyDescent="0.2">
      <c r="A8323" s="112">
        <f t="shared" si="163"/>
        <v>43021</v>
      </c>
      <c r="B8323" s="111">
        <f t="shared" si="164"/>
        <v>102</v>
      </c>
    </row>
    <row r="8324" spans="1:2" x14ac:dyDescent="0.2">
      <c r="A8324" s="112">
        <f t="shared" si="163"/>
        <v>43022</v>
      </c>
      <c r="B8324" s="111">
        <f t="shared" si="164"/>
        <v>102</v>
      </c>
    </row>
    <row r="8325" spans="1:2" x14ac:dyDescent="0.2">
      <c r="A8325" s="112">
        <f t="shared" si="163"/>
        <v>43023</v>
      </c>
      <c r="B8325" s="111">
        <f t="shared" si="164"/>
        <v>103</v>
      </c>
    </row>
    <row r="8326" spans="1:2" x14ac:dyDescent="0.2">
      <c r="A8326" s="112">
        <f t="shared" si="163"/>
        <v>43024</v>
      </c>
      <c r="B8326" s="111">
        <f t="shared" si="164"/>
        <v>103</v>
      </c>
    </row>
    <row r="8327" spans="1:2" x14ac:dyDescent="0.2">
      <c r="A8327" s="112">
        <f t="shared" si="163"/>
        <v>43025</v>
      </c>
      <c r="B8327" s="111">
        <f t="shared" si="164"/>
        <v>103</v>
      </c>
    </row>
    <row r="8328" spans="1:2" x14ac:dyDescent="0.2">
      <c r="A8328" s="112">
        <f t="shared" si="163"/>
        <v>43026</v>
      </c>
      <c r="B8328" s="111">
        <f t="shared" si="164"/>
        <v>103</v>
      </c>
    </row>
    <row r="8329" spans="1:2" x14ac:dyDescent="0.2">
      <c r="A8329" s="112">
        <f t="shared" si="163"/>
        <v>43027</v>
      </c>
      <c r="B8329" s="111">
        <f t="shared" si="164"/>
        <v>103</v>
      </c>
    </row>
    <row r="8330" spans="1:2" x14ac:dyDescent="0.2">
      <c r="A8330" s="112">
        <f t="shared" si="163"/>
        <v>43028</v>
      </c>
      <c r="B8330" s="111">
        <f t="shared" si="164"/>
        <v>103</v>
      </c>
    </row>
    <row r="8331" spans="1:2" x14ac:dyDescent="0.2">
      <c r="A8331" s="112">
        <f t="shared" si="163"/>
        <v>43029</v>
      </c>
      <c r="B8331" s="111">
        <f t="shared" si="164"/>
        <v>103</v>
      </c>
    </row>
    <row r="8332" spans="1:2" x14ac:dyDescent="0.2">
      <c r="A8332" s="112">
        <f t="shared" si="163"/>
        <v>43030</v>
      </c>
      <c r="B8332" s="111">
        <f t="shared" si="164"/>
        <v>104</v>
      </c>
    </row>
    <row r="8333" spans="1:2" x14ac:dyDescent="0.2">
      <c r="A8333" s="112">
        <f t="shared" si="163"/>
        <v>43031</v>
      </c>
      <c r="B8333" s="111">
        <f t="shared" si="164"/>
        <v>104</v>
      </c>
    </row>
    <row r="8334" spans="1:2" x14ac:dyDescent="0.2">
      <c r="A8334" s="112">
        <f t="shared" si="163"/>
        <v>43032</v>
      </c>
      <c r="B8334" s="111">
        <f t="shared" si="164"/>
        <v>104</v>
      </c>
    </row>
    <row r="8335" spans="1:2" x14ac:dyDescent="0.2">
      <c r="A8335" s="112">
        <f t="shared" si="163"/>
        <v>43033</v>
      </c>
      <c r="B8335" s="111">
        <f t="shared" si="164"/>
        <v>104</v>
      </c>
    </row>
    <row r="8336" spans="1:2" x14ac:dyDescent="0.2">
      <c r="A8336" s="112">
        <f t="shared" si="163"/>
        <v>43034</v>
      </c>
      <c r="B8336" s="111">
        <f t="shared" si="164"/>
        <v>104</v>
      </c>
    </row>
    <row r="8337" spans="1:2" x14ac:dyDescent="0.2">
      <c r="A8337" s="112">
        <f t="shared" si="163"/>
        <v>43035</v>
      </c>
      <c r="B8337" s="111">
        <f t="shared" si="164"/>
        <v>104</v>
      </c>
    </row>
    <row r="8338" spans="1:2" x14ac:dyDescent="0.2">
      <c r="A8338" s="112">
        <f t="shared" si="163"/>
        <v>43036</v>
      </c>
      <c r="B8338" s="111">
        <f t="shared" si="164"/>
        <v>104</v>
      </c>
    </row>
    <row r="8339" spans="1:2" x14ac:dyDescent="0.2">
      <c r="A8339" s="112">
        <f t="shared" si="163"/>
        <v>43037</v>
      </c>
      <c r="B8339" s="111">
        <f t="shared" si="164"/>
        <v>105</v>
      </c>
    </row>
    <row r="8340" spans="1:2" x14ac:dyDescent="0.2">
      <c r="A8340" s="112">
        <f t="shared" si="163"/>
        <v>43038</v>
      </c>
      <c r="B8340" s="111">
        <f t="shared" si="164"/>
        <v>105</v>
      </c>
    </row>
    <row r="8341" spans="1:2" x14ac:dyDescent="0.2">
      <c r="A8341" s="112">
        <f t="shared" si="163"/>
        <v>43039</v>
      </c>
      <c r="B8341" s="111">
        <f t="shared" si="164"/>
        <v>105</v>
      </c>
    </row>
    <row r="8342" spans="1:2" x14ac:dyDescent="0.2">
      <c r="A8342" s="112">
        <f t="shared" si="163"/>
        <v>43040</v>
      </c>
      <c r="B8342" s="111">
        <f t="shared" si="164"/>
        <v>105</v>
      </c>
    </row>
    <row r="8343" spans="1:2" x14ac:dyDescent="0.2">
      <c r="A8343" s="112">
        <f t="shared" si="163"/>
        <v>43041</v>
      </c>
      <c r="B8343" s="111">
        <f t="shared" si="164"/>
        <v>105</v>
      </c>
    </row>
    <row r="8344" spans="1:2" x14ac:dyDescent="0.2">
      <c r="A8344" s="112">
        <f t="shared" si="163"/>
        <v>43042</v>
      </c>
      <c r="B8344" s="111">
        <f t="shared" si="164"/>
        <v>105</v>
      </c>
    </row>
    <row r="8345" spans="1:2" x14ac:dyDescent="0.2">
      <c r="A8345" s="112">
        <f t="shared" si="163"/>
        <v>43043</v>
      </c>
      <c r="B8345" s="111">
        <f t="shared" si="164"/>
        <v>105</v>
      </c>
    </row>
    <row r="8346" spans="1:2" x14ac:dyDescent="0.2">
      <c r="A8346" s="112">
        <f t="shared" si="163"/>
        <v>43044</v>
      </c>
      <c r="B8346" s="111">
        <f t="shared" si="164"/>
        <v>111</v>
      </c>
    </row>
    <row r="8347" spans="1:2" x14ac:dyDescent="0.2">
      <c r="A8347" s="112">
        <f t="shared" si="163"/>
        <v>43045</v>
      </c>
      <c r="B8347" s="111">
        <f t="shared" si="164"/>
        <v>111</v>
      </c>
    </row>
    <row r="8348" spans="1:2" x14ac:dyDescent="0.2">
      <c r="A8348" s="112">
        <f t="shared" si="163"/>
        <v>43046</v>
      </c>
      <c r="B8348" s="111">
        <f t="shared" si="164"/>
        <v>111</v>
      </c>
    </row>
    <row r="8349" spans="1:2" x14ac:dyDescent="0.2">
      <c r="A8349" s="112">
        <f t="shared" si="163"/>
        <v>43047</v>
      </c>
      <c r="B8349" s="111">
        <f t="shared" si="164"/>
        <v>111</v>
      </c>
    </row>
    <row r="8350" spans="1:2" x14ac:dyDescent="0.2">
      <c r="A8350" s="112">
        <f t="shared" si="163"/>
        <v>43048</v>
      </c>
      <c r="B8350" s="111">
        <f t="shared" si="164"/>
        <v>111</v>
      </c>
    </row>
    <row r="8351" spans="1:2" x14ac:dyDescent="0.2">
      <c r="A8351" s="112">
        <f t="shared" ref="A8351:A8416" si="165">A8350+1</f>
        <v>43049</v>
      </c>
      <c r="B8351" s="111">
        <f t="shared" si="164"/>
        <v>111</v>
      </c>
    </row>
    <row r="8352" spans="1:2" x14ac:dyDescent="0.2">
      <c r="A8352" s="112">
        <f t="shared" si="165"/>
        <v>43050</v>
      </c>
      <c r="B8352" s="111">
        <f t="shared" si="164"/>
        <v>111</v>
      </c>
    </row>
    <row r="8353" spans="1:2" x14ac:dyDescent="0.2">
      <c r="A8353" s="112">
        <f t="shared" si="165"/>
        <v>43051</v>
      </c>
      <c r="B8353" s="111">
        <f t="shared" si="164"/>
        <v>112</v>
      </c>
    </row>
    <row r="8354" spans="1:2" x14ac:dyDescent="0.2">
      <c r="A8354" s="112">
        <f t="shared" si="165"/>
        <v>43052</v>
      </c>
      <c r="B8354" s="111">
        <f t="shared" si="164"/>
        <v>112</v>
      </c>
    </row>
    <row r="8355" spans="1:2" x14ac:dyDescent="0.2">
      <c r="A8355" s="112">
        <f t="shared" si="165"/>
        <v>43053</v>
      </c>
      <c r="B8355" s="111">
        <f t="shared" si="164"/>
        <v>112</v>
      </c>
    </row>
    <row r="8356" spans="1:2" x14ac:dyDescent="0.2">
      <c r="A8356" s="112">
        <f t="shared" si="165"/>
        <v>43054</v>
      </c>
      <c r="B8356" s="111">
        <f t="shared" si="164"/>
        <v>112</v>
      </c>
    </row>
    <row r="8357" spans="1:2" x14ac:dyDescent="0.2">
      <c r="A8357" s="112">
        <f t="shared" si="165"/>
        <v>43055</v>
      </c>
      <c r="B8357" s="111">
        <f t="shared" si="164"/>
        <v>112</v>
      </c>
    </row>
    <row r="8358" spans="1:2" x14ac:dyDescent="0.2">
      <c r="A8358" s="112">
        <f t="shared" si="165"/>
        <v>43056</v>
      </c>
      <c r="B8358" s="111">
        <f t="shared" si="164"/>
        <v>112</v>
      </c>
    </row>
    <row r="8359" spans="1:2" x14ac:dyDescent="0.2">
      <c r="A8359" s="112">
        <f t="shared" si="165"/>
        <v>43057</v>
      </c>
      <c r="B8359" s="111">
        <f t="shared" si="164"/>
        <v>112</v>
      </c>
    </row>
    <row r="8360" spans="1:2" x14ac:dyDescent="0.2">
      <c r="A8360" s="112">
        <f t="shared" si="165"/>
        <v>43058</v>
      </c>
      <c r="B8360" s="111">
        <f t="shared" si="164"/>
        <v>113</v>
      </c>
    </row>
    <row r="8361" spans="1:2" x14ac:dyDescent="0.2">
      <c r="A8361" s="112">
        <f t="shared" si="165"/>
        <v>43059</v>
      </c>
      <c r="B8361" s="111">
        <f t="shared" si="164"/>
        <v>113</v>
      </c>
    </row>
    <row r="8362" spans="1:2" x14ac:dyDescent="0.2">
      <c r="A8362" s="112">
        <f t="shared" si="165"/>
        <v>43060</v>
      </c>
      <c r="B8362" s="111">
        <f t="shared" si="164"/>
        <v>113</v>
      </c>
    </row>
    <row r="8363" spans="1:2" x14ac:dyDescent="0.2">
      <c r="A8363" s="112">
        <f t="shared" si="165"/>
        <v>43061</v>
      </c>
      <c r="B8363" s="111">
        <f t="shared" si="164"/>
        <v>113</v>
      </c>
    </row>
    <row r="8364" spans="1:2" x14ac:dyDescent="0.2">
      <c r="A8364" s="112">
        <f t="shared" si="165"/>
        <v>43062</v>
      </c>
      <c r="B8364" s="111">
        <f t="shared" si="164"/>
        <v>113</v>
      </c>
    </row>
    <row r="8365" spans="1:2" x14ac:dyDescent="0.2">
      <c r="A8365" s="112">
        <f t="shared" si="165"/>
        <v>43063</v>
      </c>
      <c r="B8365" s="111">
        <f t="shared" si="164"/>
        <v>113</v>
      </c>
    </row>
    <row r="8366" spans="1:2" x14ac:dyDescent="0.2">
      <c r="A8366" s="112">
        <f t="shared" si="165"/>
        <v>43064</v>
      </c>
      <c r="B8366" s="111">
        <f t="shared" si="164"/>
        <v>113</v>
      </c>
    </row>
    <row r="8367" spans="1:2" x14ac:dyDescent="0.2">
      <c r="A8367" s="112">
        <f t="shared" si="165"/>
        <v>43065</v>
      </c>
      <c r="B8367" s="111">
        <f t="shared" si="164"/>
        <v>114</v>
      </c>
    </row>
    <row r="8368" spans="1:2" x14ac:dyDescent="0.2">
      <c r="A8368" s="112">
        <f t="shared" si="165"/>
        <v>43066</v>
      </c>
      <c r="B8368" s="111">
        <f t="shared" si="164"/>
        <v>114</v>
      </c>
    </row>
    <row r="8369" spans="1:2" x14ac:dyDescent="0.2">
      <c r="A8369" s="112">
        <f t="shared" si="165"/>
        <v>43067</v>
      </c>
      <c r="B8369" s="111">
        <f t="shared" si="164"/>
        <v>114</v>
      </c>
    </row>
    <row r="8370" spans="1:2" x14ac:dyDescent="0.2">
      <c r="A8370" s="112">
        <f t="shared" si="165"/>
        <v>43068</v>
      </c>
      <c r="B8370" s="111">
        <f t="shared" si="164"/>
        <v>114</v>
      </c>
    </row>
    <row r="8371" spans="1:2" x14ac:dyDescent="0.2">
      <c r="A8371" s="112">
        <f t="shared" si="165"/>
        <v>43069</v>
      </c>
      <c r="B8371" s="111">
        <f t="shared" si="164"/>
        <v>114</v>
      </c>
    </row>
    <row r="8372" spans="1:2" x14ac:dyDescent="0.2">
      <c r="A8372" s="112">
        <f t="shared" si="165"/>
        <v>43070</v>
      </c>
      <c r="B8372" s="111">
        <f t="shared" si="164"/>
        <v>114</v>
      </c>
    </row>
    <row r="8373" spans="1:2" x14ac:dyDescent="0.2">
      <c r="A8373" s="112">
        <f t="shared" si="165"/>
        <v>43071</v>
      </c>
      <c r="B8373" s="111">
        <f t="shared" si="164"/>
        <v>114</v>
      </c>
    </row>
    <row r="8374" spans="1:2" x14ac:dyDescent="0.2">
      <c r="A8374" s="112">
        <f t="shared" si="165"/>
        <v>43072</v>
      </c>
      <c r="B8374" s="111">
        <f t="shared" si="164"/>
        <v>115</v>
      </c>
    </row>
    <row r="8375" spans="1:2" x14ac:dyDescent="0.2">
      <c r="A8375" s="112">
        <f t="shared" si="165"/>
        <v>43073</v>
      </c>
      <c r="B8375" s="111">
        <f t="shared" si="164"/>
        <v>115</v>
      </c>
    </row>
    <row r="8376" spans="1:2" x14ac:dyDescent="0.2">
      <c r="A8376" s="112">
        <f t="shared" si="165"/>
        <v>43074</v>
      </c>
      <c r="B8376" s="111">
        <f t="shared" si="164"/>
        <v>115</v>
      </c>
    </row>
    <row r="8377" spans="1:2" x14ac:dyDescent="0.2">
      <c r="A8377" s="112">
        <f t="shared" si="165"/>
        <v>43075</v>
      </c>
      <c r="B8377" s="111">
        <f t="shared" si="164"/>
        <v>115</v>
      </c>
    </row>
    <row r="8378" spans="1:2" x14ac:dyDescent="0.2">
      <c r="A8378" s="112">
        <f t="shared" si="165"/>
        <v>43076</v>
      </c>
      <c r="B8378" s="111">
        <f t="shared" si="164"/>
        <v>115</v>
      </c>
    </row>
    <row r="8379" spans="1:2" x14ac:dyDescent="0.2">
      <c r="A8379" s="112">
        <f t="shared" si="165"/>
        <v>43077</v>
      </c>
      <c r="B8379" s="111">
        <f t="shared" si="164"/>
        <v>115</v>
      </c>
    </row>
    <row r="8380" spans="1:2" x14ac:dyDescent="0.2">
      <c r="A8380" s="112">
        <f t="shared" si="165"/>
        <v>43078</v>
      </c>
      <c r="B8380" s="111">
        <f t="shared" si="164"/>
        <v>115</v>
      </c>
    </row>
    <row r="8381" spans="1:2" x14ac:dyDescent="0.2">
      <c r="A8381" s="112">
        <f t="shared" si="165"/>
        <v>43079</v>
      </c>
      <c r="B8381" s="111">
        <f t="shared" ref="B8381:B8433" si="166">VLOOKUP(WEEKNUM(A8381),$D$3:$E$58,2)</f>
        <v>121</v>
      </c>
    </row>
    <row r="8382" spans="1:2" x14ac:dyDescent="0.2">
      <c r="A8382" s="112">
        <f t="shared" si="165"/>
        <v>43080</v>
      </c>
      <c r="B8382" s="111">
        <f t="shared" si="166"/>
        <v>121</v>
      </c>
    </row>
    <row r="8383" spans="1:2" x14ac:dyDescent="0.2">
      <c r="A8383" s="112">
        <f t="shared" si="165"/>
        <v>43081</v>
      </c>
      <c r="B8383" s="111">
        <f t="shared" si="166"/>
        <v>121</v>
      </c>
    </row>
    <row r="8384" spans="1:2" x14ac:dyDescent="0.2">
      <c r="A8384" s="112">
        <f t="shared" si="165"/>
        <v>43082</v>
      </c>
      <c r="B8384" s="111">
        <f t="shared" si="166"/>
        <v>121</v>
      </c>
    </row>
    <row r="8385" spans="1:2" x14ac:dyDescent="0.2">
      <c r="A8385" s="112">
        <f t="shared" si="165"/>
        <v>43083</v>
      </c>
      <c r="B8385" s="111">
        <f t="shared" si="166"/>
        <v>121</v>
      </c>
    </row>
    <row r="8386" spans="1:2" x14ac:dyDescent="0.2">
      <c r="A8386" s="112">
        <f t="shared" si="165"/>
        <v>43084</v>
      </c>
      <c r="B8386" s="111">
        <f t="shared" si="166"/>
        <v>121</v>
      </c>
    </row>
    <row r="8387" spans="1:2" x14ac:dyDescent="0.2">
      <c r="A8387" s="112">
        <f t="shared" si="165"/>
        <v>43085</v>
      </c>
      <c r="B8387" s="111">
        <f t="shared" si="166"/>
        <v>121</v>
      </c>
    </row>
    <row r="8388" spans="1:2" x14ac:dyDescent="0.2">
      <c r="A8388" s="112">
        <f t="shared" si="165"/>
        <v>43086</v>
      </c>
      <c r="B8388" s="111">
        <f t="shared" si="166"/>
        <v>122</v>
      </c>
    </row>
    <row r="8389" spans="1:2" x14ac:dyDescent="0.2">
      <c r="A8389" s="112">
        <f t="shared" si="165"/>
        <v>43087</v>
      </c>
      <c r="B8389" s="111">
        <f t="shared" si="166"/>
        <v>122</v>
      </c>
    </row>
    <row r="8390" spans="1:2" x14ac:dyDescent="0.2">
      <c r="A8390" s="112">
        <f t="shared" si="165"/>
        <v>43088</v>
      </c>
      <c r="B8390" s="111">
        <f t="shared" si="166"/>
        <v>122</v>
      </c>
    </row>
    <row r="8391" spans="1:2" x14ac:dyDescent="0.2">
      <c r="A8391" s="112">
        <f t="shared" si="165"/>
        <v>43089</v>
      </c>
      <c r="B8391" s="111">
        <f t="shared" si="166"/>
        <v>122</v>
      </c>
    </row>
    <row r="8392" spans="1:2" x14ac:dyDescent="0.2">
      <c r="A8392" s="112">
        <f t="shared" si="165"/>
        <v>43090</v>
      </c>
      <c r="B8392" s="111">
        <f t="shared" si="166"/>
        <v>122</v>
      </c>
    </row>
    <row r="8393" spans="1:2" x14ac:dyDescent="0.2">
      <c r="A8393" s="112">
        <f t="shared" si="165"/>
        <v>43091</v>
      </c>
      <c r="B8393" s="111">
        <f t="shared" si="166"/>
        <v>122</v>
      </c>
    </row>
    <row r="8394" spans="1:2" x14ac:dyDescent="0.2">
      <c r="A8394" s="112">
        <f t="shared" si="165"/>
        <v>43092</v>
      </c>
      <c r="B8394" s="111">
        <f t="shared" si="166"/>
        <v>122</v>
      </c>
    </row>
    <row r="8395" spans="1:2" x14ac:dyDescent="0.2">
      <c r="A8395" s="112">
        <f t="shared" si="165"/>
        <v>43093</v>
      </c>
      <c r="B8395" s="111">
        <f t="shared" si="166"/>
        <v>123</v>
      </c>
    </row>
    <row r="8396" spans="1:2" x14ac:dyDescent="0.2">
      <c r="A8396" s="112">
        <f t="shared" si="165"/>
        <v>43094</v>
      </c>
      <c r="B8396" s="111">
        <f t="shared" si="166"/>
        <v>123</v>
      </c>
    </row>
    <row r="8397" spans="1:2" x14ac:dyDescent="0.2">
      <c r="A8397" s="112">
        <f t="shared" si="165"/>
        <v>43095</v>
      </c>
      <c r="B8397" s="111">
        <f t="shared" si="166"/>
        <v>123</v>
      </c>
    </row>
    <row r="8398" spans="1:2" x14ac:dyDescent="0.2">
      <c r="A8398" s="112">
        <f t="shared" si="165"/>
        <v>43096</v>
      </c>
      <c r="B8398" s="111">
        <f t="shared" si="166"/>
        <v>123</v>
      </c>
    </row>
    <row r="8399" spans="1:2" x14ac:dyDescent="0.2">
      <c r="A8399" s="112">
        <f t="shared" si="165"/>
        <v>43097</v>
      </c>
      <c r="B8399" s="111">
        <f t="shared" si="166"/>
        <v>123</v>
      </c>
    </row>
    <row r="8400" spans="1:2" x14ac:dyDescent="0.2">
      <c r="A8400" s="112">
        <f t="shared" si="165"/>
        <v>43098</v>
      </c>
      <c r="B8400" s="111">
        <f t="shared" si="166"/>
        <v>123</v>
      </c>
    </row>
    <row r="8401" spans="1:2" x14ac:dyDescent="0.2">
      <c r="A8401" s="112">
        <f t="shared" si="165"/>
        <v>43099</v>
      </c>
      <c r="B8401" s="111">
        <f t="shared" si="166"/>
        <v>123</v>
      </c>
    </row>
    <row r="8402" spans="1:2" x14ac:dyDescent="0.2">
      <c r="A8402" s="112">
        <f t="shared" si="165"/>
        <v>43100</v>
      </c>
      <c r="B8402" s="111">
        <f t="shared" si="166"/>
        <v>124</v>
      </c>
    </row>
    <row r="8403" spans="1:2" x14ac:dyDescent="0.2">
      <c r="A8403" s="112">
        <f t="shared" si="165"/>
        <v>43101</v>
      </c>
      <c r="B8403" s="111">
        <f t="shared" si="166"/>
        <v>11</v>
      </c>
    </row>
    <row r="8404" spans="1:2" x14ac:dyDescent="0.2">
      <c r="A8404" s="112">
        <f t="shared" si="165"/>
        <v>43102</v>
      </c>
      <c r="B8404" s="111">
        <f t="shared" si="166"/>
        <v>11</v>
      </c>
    </row>
    <row r="8405" spans="1:2" x14ac:dyDescent="0.2">
      <c r="A8405" s="112">
        <f t="shared" si="165"/>
        <v>43103</v>
      </c>
      <c r="B8405" s="111">
        <f t="shared" si="166"/>
        <v>11</v>
      </c>
    </row>
    <row r="8406" spans="1:2" x14ac:dyDescent="0.2">
      <c r="A8406" s="112">
        <f t="shared" si="165"/>
        <v>43104</v>
      </c>
      <c r="B8406" s="111">
        <f t="shared" si="166"/>
        <v>11</v>
      </c>
    </row>
    <row r="8407" spans="1:2" x14ac:dyDescent="0.2">
      <c r="A8407" s="112">
        <f t="shared" si="165"/>
        <v>43105</v>
      </c>
      <c r="B8407" s="111">
        <f t="shared" si="166"/>
        <v>11</v>
      </c>
    </row>
    <row r="8408" spans="1:2" x14ac:dyDescent="0.2">
      <c r="A8408" s="112">
        <f t="shared" si="165"/>
        <v>43106</v>
      </c>
      <c r="B8408" s="111">
        <f t="shared" si="166"/>
        <v>11</v>
      </c>
    </row>
    <row r="8409" spans="1:2" x14ac:dyDescent="0.2">
      <c r="A8409" s="112">
        <f t="shared" si="165"/>
        <v>43107</v>
      </c>
      <c r="B8409" s="111">
        <f t="shared" si="166"/>
        <v>12</v>
      </c>
    </row>
    <row r="8410" spans="1:2" x14ac:dyDescent="0.2">
      <c r="A8410" s="112">
        <f t="shared" si="165"/>
        <v>43108</v>
      </c>
      <c r="B8410" s="111">
        <f t="shared" si="166"/>
        <v>12</v>
      </c>
    </row>
    <row r="8411" spans="1:2" x14ac:dyDescent="0.2">
      <c r="A8411" s="112">
        <f t="shared" si="165"/>
        <v>43109</v>
      </c>
      <c r="B8411" s="111">
        <f t="shared" si="166"/>
        <v>12</v>
      </c>
    </row>
    <row r="8412" spans="1:2" x14ac:dyDescent="0.2">
      <c r="A8412" s="112">
        <f t="shared" si="165"/>
        <v>43110</v>
      </c>
      <c r="B8412" s="111">
        <f t="shared" si="166"/>
        <v>12</v>
      </c>
    </row>
    <row r="8413" spans="1:2" x14ac:dyDescent="0.2">
      <c r="A8413" s="112">
        <f t="shared" si="165"/>
        <v>43111</v>
      </c>
      <c r="B8413" s="111">
        <f t="shared" si="166"/>
        <v>12</v>
      </c>
    </row>
    <row r="8414" spans="1:2" x14ac:dyDescent="0.2">
      <c r="A8414" s="112">
        <f t="shared" si="165"/>
        <v>43112</v>
      </c>
      <c r="B8414" s="111">
        <f t="shared" si="166"/>
        <v>12</v>
      </c>
    </row>
    <row r="8415" spans="1:2" x14ac:dyDescent="0.2">
      <c r="A8415" s="112">
        <f t="shared" ref="A8415:A8478" si="167">A8414+1</f>
        <v>43113</v>
      </c>
      <c r="B8415" s="111">
        <f t="shared" si="166"/>
        <v>12</v>
      </c>
    </row>
    <row r="8416" spans="1:2" x14ac:dyDescent="0.2">
      <c r="A8416" s="112">
        <f t="shared" si="165"/>
        <v>43114</v>
      </c>
      <c r="B8416" s="111">
        <f t="shared" si="166"/>
        <v>13</v>
      </c>
    </row>
    <row r="8417" spans="1:2" x14ac:dyDescent="0.2">
      <c r="A8417" s="112">
        <f t="shared" si="167"/>
        <v>43115</v>
      </c>
      <c r="B8417" s="111">
        <f t="shared" si="166"/>
        <v>13</v>
      </c>
    </row>
    <row r="8418" spans="1:2" x14ac:dyDescent="0.2">
      <c r="A8418" s="112">
        <f t="shared" si="167"/>
        <v>43116</v>
      </c>
      <c r="B8418" s="111">
        <f t="shared" si="166"/>
        <v>13</v>
      </c>
    </row>
    <row r="8419" spans="1:2" x14ac:dyDescent="0.2">
      <c r="A8419" s="112">
        <f t="shared" si="167"/>
        <v>43117</v>
      </c>
      <c r="B8419" s="111">
        <f t="shared" si="166"/>
        <v>13</v>
      </c>
    </row>
    <row r="8420" spans="1:2" x14ac:dyDescent="0.2">
      <c r="A8420" s="112">
        <f t="shared" si="167"/>
        <v>43118</v>
      </c>
      <c r="B8420" s="111">
        <f t="shared" si="166"/>
        <v>13</v>
      </c>
    </row>
    <row r="8421" spans="1:2" x14ac:dyDescent="0.2">
      <c r="A8421" s="112">
        <f t="shared" si="167"/>
        <v>43119</v>
      </c>
      <c r="B8421" s="111">
        <f t="shared" si="166"/>
        <v>13</v>
      </c>
    </row>
    <row r="8422" spans="1:2" x14ac:dyDescent="0.2">
      <c r="A8422" s="112">
        <f t="shared" si="167"/>
        <v>43120</v>
      </c>
      <c r="B8422" s="111">
        <f t="shared" si="166"/>
        <v>13</v>
      </c>
    </row>
    <row r="8423" spans="1:2" x14ac:dyDescent="0.2">
      <c r="A8423" s="112">
        <f t="shared" si="167"/>
        <v>43121</v>
      </c>
      <c r="B8423" s="111">
        <f t="shared" si="166"/>
        <v>14</v>
      </c>
    </row>
    <row r="8424" spans="1:2" x14ac:dyDescent="0.2">
      <c r="A8424" s="112">
        <f t="shared" si="167"/>
        <v>43122</v>
      </c>
      <c r="B8424" s="111">
        <f t="shared" si="166"/>
        <v>14</v>
      </c>
    </row>
    <row r="8425" spans="1:2" x14ac:dyDescent="0.2">
      <c r="A8425" s="112">
        <f t="shared" si="167"/>
        <v>43123</v>
      </c>
      <c r="B8425" s="111">
        <f t="shared" si="166"/>
        <v>14</v>
      </c>
    </row>
    <row r="8426" spans="1:2" x14ac:dyDescent="0.2">
      <c r="A8426" s="112">
        <f t="shared" si="167"/>
        <v>43124</v>
      </c>
      <c r="B8426" s="111">
        <f t="shared" si="166"/>
        <v>14</v>
      </c>
    </row>
    <row r="8427" spans="1:2" x14ac:dyDescent="0.2">
      <c r="A8427" s="112">
        <f t="shared" si="167"/>
        <v>43125</v>
      </c>
      <c r="B8427" s="111">
        <f t="shared" si="166"/>
        <v>14</v>
      </c>
    </row>
    <row r="8428" spans="1:2" x14ac:dyDescent="0.2">
      <c r="A8428" s="112">
        <f t="shared" si="167"/>
        <v>43126</v>
      </c>
      <c r="B8428" s="111">
        <f t="shared" si="166"/>
        <v>14</v>
      </c>
    </row>
    <row r="8429" spans="1:2" x14ac:dyDescent="0.2">
      <c r="A8429" s="112">
        <f t="shared" si="167"/>
        <v>43127</v>
      </c>
      <c r="B8429" s="111">
        <f t="shared" si="166"/>
        <v>14</v>
      </c>
    </row>
    <row r="8430" spans="1:2" x14ac:dyDescent="0.2">
      <c r="A8430" s="112">
        <f t="shared" si="167"/>
        <v>43128</v>
      </c>
      <c r="B8430" s="111">
        <f t="shared" si="166"/>
        <v>15</v>
      </c>
    </row>
    <row r="8431" spans="1:2" x14ac:dyDescent="0.2">
      <c r="A8431" s="112">
        <f t="shared" si="167"/>
        <v>43129</v>
      </c>
      <c r="B8431" s="111">
        <f t="shared" si="166"/>
        <v>15</v>
      </c>
    </row>
    <row r="8432" spans="1:2" x14ac:dyDescent="0.2">
      <c r="A8432" s="112">
        <f t="shared" si="167"/>
        <v>43130</v>
      </c>
      <c r="B8432" s="111">
        <f t="shared" si="166"/>
        <v>15</v>
      </c>
    </row>
    <row r="8433" spans="1:2" x14ac:dyDescent="0.2">
      <c r="A8433" s="112">
        <f t="shared" si="167"/>
        <v>43131</v>
      </c>
      <c r="B8433" s="111">
        <f t="shared" si="166"/>
        <v>15</v>
      </c>
    </row>
    <row r="8434" spans="1:2" x14ac:dyDescent="0.2">
      <c r="A8434" s="112">
        <f t="shared" si="167"/>
        <v>43132</v>
      </c>
      <c r="B8434" s="111">
        <f t="shared" ref="B8434:B8497" si="168">VLOOKUP(WEEKNUM(A8434),$D$3:$E$58,2)</f>
        <v>15</v>
      </c>
    </row>
    <row r="8435" spans="1:2" x14ac:dyDescent="0.2">
      <c r="A8435" s="112">
        <f t="shared" si="167"/>
        <v>43133</v>
      </c>
      <c r="B8435" s="111">
        <f t="shared" si="168"/>
        <v>15</v>
      </c>
    </row>
    <row r="8436" spans="1:2" x14ac:dyDescent="0.2">
      <c r="A8436" s="112">
        <f t="shared" si="167"/>
        <v>43134</v>
      </c>
      <c r="B8436" s="111">
        <f t="shared" si="168"/>
        <v>15</v>
      </c>
    </row>
    <row r="8437" spans="1:2" x14ac:dyDescent="0.2">
      <c r="A8437" s="112">
        <f t="shared" si="167"/>
        <v>43135</v>
      </c>
      <c r="B8437" s="111">
        <f t="shared" si="168"/>
        <v>21</v>
      </c>
    </row>
    <row r="8438" spans="1:2" x14ac:dyDescent="0.2">
      <c r="A8438" s="112">
        <f t="shared" si="167"/>
        <v>43136</v>
      </c>
      <c r="B8438" s="111">
        <f t="shared" si="168"/>
        <v>21</v>
      </c>
    </row>
    <row r="8439" spans="1:2" x14ac:dyDescent="0.2">
      <c r="A8439" s="112">
        <f t="shared" si="167"/>
        <v>43137</v>
      </c>
      <c r="B8439" s="111">
        <f t="shared" si="168"/>
        <v>21</v>
      </c>
    </row>
    <row r="8440" spans="1:2" x14ac:dyDescent="0.2">
      <c r="A8440" s="112">
        <f t="shared" si="167"/>
        <v>43138</v>
      </c>
      <c r="B8440" s="111">
        <f t="shared" si="168"/>
        <v>21</v>
      </c>
    </row>
    <row r="8441" spans="1:2" x14ac:dyDescent="0.2">
      <c r="A8441" s="112">
        <f t="shared" si="167"/>
        <v>43139</v>
      </c>
      <c r="B8441" s="111">
        <f t="shared" si="168"/>
        <v>21</v>
      </c>
    </row>
    <row r="8442" spans="1:2" x14ac:dyDescent="0.2">
      <c r="A8442" s="112">
        <f t="shared" si="167"/>
        <v>43140</v>
      </c>
      <c r="B8442" s="111">
        <f t="shared" si="168"/>
        <v>21</v>
      </c>
    </row>
    <row r="8443" spans="1:2" x14ac:dyDescent="0.2">
      <c r="A8443" s="112">
        <f t="shared" si="167"/>
        <v>43141</v>
      </c>
      <c r="B8443" s="111">
        <f t="shared" si="168"/>
        <v>21</v>
      </c>
    </row>
    <row r="8444" spans="1:2" x14ac:dyDescent="0.2">
      <c r="A8444" s="112">
        <f t="shared" si="167"/>
        <v>43142</v>
      </c>
      <c r="B8444" s="111">
        <f t="shared" si="168"/>
        <v>22</v>
      </c>
    </row>
    <row r="8445" spans="1:2" x14ac:dyDescent="0.2">
      <c r="A8445" s="112">
        <f t="shared" si="167"/>
        <v>43143</v>
      </c>
      <c r="B8445" s="111">
        <f t="shared" si="168"/>
        <v>22</v>
      </c>
    </row>
    <row r="8446" spans="1:2" x14ac:dyDescent="0.2">
      <c r="A8446" s="112">
        <f t="shared" si="167"/>
        <v>43144</v>
      </c>
      <c r="B8446" s="111">
        <f t="shared" si="168"/>
        <v>22</v>
      </c>
    </row>
    <row r="8447" spans="1:2" x14ac:dyDescent="0.2">
      <c r="A8447" s="112">
        <f t="shared" si="167"/>
        <v>43145</v>
      </c>
      <c r="B8447" s="111">
        <f t="shared" si="168"/>
        <v>22</v>
      </c>
    </row>
    <row r="8448" spans="1:2" x14ac:dyDescent="0.2">
      <c r="A8448" s="112">
        <f t="shared" si="167"/>
        <v>43146</v>
      </c>
      <c r="B8448" s="111">
        <f t="shared" si="168"/>
        <v>22</v>
      </c>
    </row>
    <row r="8449" spans="1:2" x14ac:dyDescent="0.2">
      <c r="A8449" s="112">
        <f t="shared" si="167"/>
        <v>43147</v>
      </c>
      <c r="B8449" s="111">
        <f t="shared" si="168"/>
        <v>22</v>
      </c>
    </row>
    <row r="8450" spans="1:2" x14ac:dyDescent="0.2">
      <c r="A8450" s="112">
        <f t="shared" si="167"/>
        <v>43148</v>
      </c>
      <c r="B8450" s="111">
        <f t="shared" si="168"/>
        <v>22</v>
      </c>
    </row>
    <row r="8451" spans="1:2" x14ac:dyDescent="0.2">
      <c r="A8451" s="112">
        <f t="shared" si="167"/>
        <v>43149</v>
      </c>
      <c r="B8451" s="111">
        <f t="shared" si="168"/>
        <v>23</v>
      </c>
    </row>
    <row r="8452" spans="1:2" x14ac:dyDescent="0.2">
      <c r="A8452" s="112">
        <f t="shared" si="167"/>
        <v>43150</v>
      </c>
      <c r="B8452" s="111">
        <f t="shared" si="168"/>
        <v>23</v>
      </c>
    </row>
    <row r="8453" spans="1:2" x14ac:dyDescent="0.2">
      <c r="A8453" s="112">
        <f t="shared" si="167"/>
        <v>43151</v>
      </c>
      <c r="B8453" s="111">
        <f t="shared" si="168"/>
        <v>23</v>
      </c>
    </row>
    <row r="8454" spans="1:2" x14ac:dyDescent="0.2">
      <c r="A8454" s="112">
        <f t="shared" si="167"/>
        <v>43152</v>
      </c>
      <c r="B8454" s="111">
        <f t="shared" si="168"/>
        <v>23</v>
      </c>
    </row>
    <row r="8455" spans="1:2" x14ac:dyDescent="0.2">
      <c r="A8455" s="112">
        <f t="shared" si="167"/>
        <v>43153</v>
      </c>
      <c r="B8455" s="111">
        <f t="shared" si="168"/>
        <v>23</v>
      </c>
    </row>
    <row r="8456" spans="1:2" x14ac:dyDescent="0.2">
      <c r="A8456" s="112">
        <f t="shared" si="167"/>
        <v>43154</v>
      </c>
      <c r="B8456" s="111">
        <f t="shared" si="168"/>
        <v>23</v>
      </c>
    </row>
    <row r="8457" spans="1:2" x14ac:dyDescent="0.2">
      <c r="A8457" s="112">
        <f t="shared" si="167"/>
        <v>43155</v>
      </c>
      <c r="B8457" s="111">
        <f t="shared" si="168"/>
        <v>23</v>
      </c>
    </row>
    <row r="8458" spans="1:2" x14ac:dyDescent="0.2">
      <c r="A8458" s="112">
        <f t="shared" si="167"/>
        <v>43156</v>
      </c>
      <c r="B8458" s="111">
        <f t="shared" si="168"/>
        <v>24</v>
      </c>
    </row>
    <row r="8459" spans="1:2" x14ac:dyDescent="0.2">
      <c r="A8459" s="112">
        <f t="shared" si="167"/>
        <v>43157</v>
      </c>
      <c r="B8459" s="111">
        <f t="shared" si="168"/>
        <v>24</v>
      </c>
    </row>
    <row r="8460" spans="1:2" x14ac:dyDescent="0.2">
      <c r="A8460" s="112">
        <f t="shared" si="167"/>
        <v>43158</v>
      </c>
      <c r="B8460" s="111">
        <f t="shared" si="168"/>
        <v>24</v>
      </c>
    </row>
    <row r="8461" spans="1:2" x14ac:dyDescent="0.2">
      <c r="A8461" s="112">
        <f t="shared" si="167"/>
        <v>43159</v>
      </c>
      <c r="B8461" s="111">
        <f t="shared" si="168"/>
        <v>24</v>
      </c>
    </row>
    <row r="8462" spans="1:2" x14ac:dyDescent="0.2">
      <c r="A8462" s="112">
        <f t="shared" si="167"/>
        <v>43160</v>
      </c>
      <c r="B8462" s="111">
        <f t="shared" si="168"/>
        <v>24</v>
      </c>
    </row>
    <row r="8463" spans="1:2" x14ac:dyDescent="0.2">
      <c r="A8463" s="112">
        <f t="shared" si="167"/>
        <v>43161</v>
      </c>
      <c r="B8463" s="111">
        <f t="shared" si="168"/>
        <v>24</v>
      </c>
    </row>
    <row r="8464" spans="1:2" x14ac:dyDescent="0.2">
      <c r="A8464" s="112">
        <f t="shared" si="167"/>
        <v>43162</v>
      </c>
      <c r="B8464" s="111">
        <f t="shared" si="168"/>
        <v>24</v>
      </c>
    </row>
    <row r="8465" spans="1:2" x14ac:dyDescent="0.2">
      <c r="A8465" s="112">
        <f t="shared" si="167"/>
        <v>43163</v>
      </c>
      <c r="B8465" s="111">
        <f t="shared" si="168"/>
        <v>31</v>
      </c>
    </row>
    <row r="8466" spans="1:2" x14ac:dyDescent="0.2">
      <c r="A8466" s="112">
        <f t="shared" si="167"/>
        <v>43164</v>
      </c>
      <c r="B8466" s="111">
        <f t="shared" si="168"/>
        <v>31</v>
      </c>
    </row>
    <row r="8467" spans="1:2" x14ac:dyDescent="0.2">
      <c r="A8467" s="112">
        <f t="shared" si="167"/>
        <v>43165</v>
      </c>
      <c r="B8467" s="111">
        <f t="shared" si="168"/>
        <v>31</v>
      </c>
    </row>
    <row r="8468" spans="1:2" x14ac:dyDescent="0.2">
      <c r="A8468" s="112">
        <f t="shared" si="167"/>
        <v>43166</v>
      </c>
      <c r="B8468" s="111">
        <f t="shared" si="168"/>
        <v>31</v>
      </c>
    </row>
    <row r="8469" spans="1:2" x14ac:dyDescent="0.2">
      <c r="A8469" s="112">
        <f t="shared" si="167"/>
        <v>43167</v>
      </c>
      <c r="B8469" s="111">
        <f t="shared" si="168"/>
        <v>31</v>
      </c>
    </row>
    <row r="8470" spans="1:2" x14ac:dyDescent="0.2">
      <c r="A8470" s="112">
        <f t="shared" si="167"/>
        <v>43168</v>
      </c>
      <c r="B8470" s="111">
        <f t="shared" si="168"/>
        <v>31</v>
      </c>
    </row>
    <row r="8471" spans="1:2" x14ac:dyDescent="0.2">
      <c r="A8471" s="112">
        <f t="shared" si="167"/>
        <v>43169</v>
      </c>
      <c r="B8471" s="111">
        <f t="shared" si="168"/>
        <v>31</v>
      </c>
    </row>
    <row r="8472" spans="1:2" x14ac:dyDescent="0.2">
      <c r="A8472" s="112">
        <f t="shared" si="167"/>
        <v>43170</v>
      </c>
      <c r="B8472" s="111">
        <f t="shared" si="168"/>
        <v>32</v>
      </c>
    </row>
    <row r="8473" spans="1:2" x14ac:dyDescent="0.2">
      <c r="A8473" s="112">
        <f t="shared" si="167"/>
        <v>43171</v>
      </c>
      <c r="B8473" s="111">
        <f t="shared" si="168"/>
        <v>32</v>
      </c>
    </row>
    <row r="8474" spans="1:2" x14ac:dyDescent="0.2">
      <c r="A8474" s="112">
        <f t="shared" si="167"/>
        <v>43172</v>
      </c>
      <c r="B8474" s="111">
        <f t="shared" si="168"/>
        <v>32</v>
      </c>
    </row>
    <row r="8475" spans="1:2" x14ac:dyDescent="0.2">
      <c r="A8475" s="112">
        <f t="shared" si="167"/>
        <v>43173</v>
      </c>
      <c r="B8475" s="111">
        <f t="shared" si="168"/>
        <v>32</v>
      </c>
    </row>
    <row r="8476" spans="1:2" x14ac:dyDescent="0.2">
      <c r="A8476" s="112">
        <f t="shared" si="167"/>
        <v>43174</v>
      </c>
      <c r="B8476" s="111">
        <f t="shared" si="168"/>
        <v>32</v>
      </c>
    </row>
    <row r="8477" spans="1:2" x14ac:dyDescent="0.2">
      <c r="A8477" s="112">
        <f t="shared" si="167"/>
        <v>43175</v>
      </c>
      <c r="B8477" s="111">
        <f t="shared" si="168"/>
        <v>32</v>
      </c>
    </row>
    <row r="8478" spans="1:2" x14ac:dyDescent="0.2">
      <c r="A8478" s="112">
        <f t="shared" si="167"/>
        <v>43176</v>
      </c>
      <c r="B8478" s="111">
        <f t="shared" si="168"/>
        <v>32</v>
      </c>
    </row>
    <row r="8479" spans="1:2" x14ac:dyDescent="0.2">
      <c r="A8479" s="112">
        <f t="shared" ref="A8479:A8542" si="169">A8478+1</f>
        <v>43177</v>
      </c>
      <c r="B8479" s="111">
        <f t="shared" si="168"/>
        <v>33</v>
      </c>
    </row>
    <row r="8480" spans="1:2" x14ac:dyDescent="0.2">
      <c r="A8480" s="112">
        <f t="shared" si="169"/>
        <v>43178</v>
      </c>
      <c r="B8480" s="111">
        <f t="shared" si="168"/>
        <v>33</v>
      </c>
    </row>
    <row r="8481" spans="1:2" x14ac:dyDescent="0.2">
      <c r="A8481" s="112">
        <f t="shared" si="169"/>
        <v>43179</v>
      </c>
      <c r="B8481" s="111">
        <f t="shared" si="168"/>
        <v>33</v>
      </c>
    </row>
    <row r="8482" spans="1:2" x14ac:dyDescent="0.2">
      <c r="A8482" s="112">
        <f t="shared" si="169"/>
        <v>43180</v>
      </c>
      <c r="B8482" s="111">
        <f t="shared" si="168"/>
        <v>33</v>
      </c>
    </row>
    <row r="8483" spans="1:2" x14ac:dyDescent="0.2">
      <c r="A8483" s="112">
        <f t="shared" si="169"/>
        <v>43181</v>
      </c>
      <c r="B8483" s="111">
        <f t="shared" si="168"/>
        <v>33</v>
      </c>
    </row>
    <row r="8484" spans="1:2" x14ac:dyDescent="0.2">
      <c r="A8484" s="112">
        <f t="shared" si="169"/>
        <v>43182</v>
      </c>
      <c r="B8484" s="111">
        <f t="shared" si="168"/>
        <v>33</v>
      </c>
    </row>
    <row r="8485" spans="1:2" x14ac:dyDescent="0.2">
      <c r="A8485" s="112">
        <f t="shared" si="169"/>
        <v>43183</v>
      </c>
      <c r="B8485" s="111">
        <f t="shared" si="168"/>
        <v>33</v>
      </c>
    </row>
    <row r="8486" spans="1:2" x14ac:dyDescent="0.2">
      <c r="A8486" s="112">
        <f t="shared" si="169"/>
        <v>43184</v>
      </c>
      <c r="B8486" s="111">
        <f t="shared" si="168"/>
        <v>34</v>
      </c>
    </row>
    <row r="8487" spans="1:2" x14ac:dyDescent="0.2">
      <c r="A8487" s="112">
        <f t="shared" si="169"/>
        <v>43185</v>
      </c>
      <c r="B8487" s="111">
        <f t="shared" si="168"/>
        <v>34</v>
      </c>
    </row>
    <row r="8488" spans="1:2" x14ac:dyDescent="0.2">
      <c r="A8488" s="112">
        <f t="shared" si="169"/>
        <v>43186</v>
      </c>
      <c r="B8488" s="111">
        <f t="shared" si="168"/>
        <v>34</v>
      </c>
    </row>
    <row r="8489" spans="1:2" x14ac:dyDescent="0.2">
      <c r="A8489" s="112">
        <f t="shared" si="169"/>
        <v>43187</v>
      </c>
      <c r="B8489" s="111">
        <f t="shared" si="168"/>
        <v>34</v>
      </c>
    </row>
    <row r="8490" spans="1:2" x14ac:dyDescent="0.2">
      <c r="A8490" s="112">
        <f t="shared" si="169"/>
        <v>43188</v>
      </c>
      <c r="B8490" s="111">
        <f t="shared" si="168"/>
        <v>34</v>
      </c>
    </row>
    <row r="8491" spans="1:2" x14ac:dyDescent="0.2">
      <c r="A8491" s="112">
        <f t="shared" si="169"/>
        <v>43189</v>
      </c>
      <c r="B8491" s="111">
        <f t="shared" si="168"/>
        <v>34</v>
      </c>
    </row>
    <row r="8492" spans="1:2" x14ac:dyDescent="0.2">
      <c r="A8492" s="112">
        <f t="shared" si="169"/>
        <v>43190</v>
      </c>
      <c r="B8492" s="111">
        <f t="shared" si="168"/>
        <v>34</v>
      </c>
    </row>
    <row r="8493" spans="1:2" x14ac:dyDescent="0.2">
      <c r="A8493" s="112">
        <f t="shared" si="169"/>
        <v>43191</v>
      </c>
      <c r="B8493" s="111">
        <f t="shared" si="168"/>
        <v>41</v>
      </c>
    </row>
    <row r="8494" spans="1:2" x14ac:dyDescent="0.2">
      <c r="A8494" s="112">
        <f t="shared" si="169"/>
        <v>43192</v>
      </c>
      <c r="B8494" s="111">
        <f t="shared" si="168"/>
        <v>41</v>
      </c>
    </row>
    <row r="8495" spans="1:2" x14ac:dyDescent="0.2">
      <c r="A8495" s="112">
        <f t="shared" si="169"/>
        <v>43193</v>
      </c>
      <c r="B8495" s="111">
        <f t="shared" si="168"/>
        <v>41</v>
      </c>
    </row>
    <row r="8496" spans="1:2" x14ac:dyDescent="0.2">
      <c r="A8496" s="112">
        <f t="shared" si="169"/>
        <v>43194</v>
      </c>
      <c r="B8496" s="111">
        <f t="shared" si="168"/>
        <v>41</v>
      </c>
    </row>
    <row r="8497" spans="1:2" x14ac:dyDescent="0.2">
      <c r="A8497" s="112">
        <f t="shared" si="169"/>
        <v>43195</v>
      </c>
      <c r="B8497" s="111">
        <f t="shared" si="168"/>
        <v>41</v>
      </c>
    </row>
    <row r="8498" spans="1:2" x14ac:dyDescent="0.2">
      <c r="A8498" s="112">
        <f t="shared" si="169"/>
        <v>43196</v>
      </c>
      <c r="B8498" s="111">
        <f t="shared" ref="B8498:B8561" si="170">VLOOKUP(WEEKNUM(A8498),$D$3:$E$58,2)</f>
        <v>41</v>
      </c>
    </row>
    <row r="8499" spans="1:2" x14ac:dyDescent="0.2">
      <c r="A8499" s="112">
        <f t="shared" si="169"/>
        <v>43197</v>
      </c>
      <c r="B8499" s="111">
        <f t="shared" si="170"/>
        <v>41</v>
      </c>
    </row>
    <row r="8500" spans="1:2" x14ac:dyDescent="0.2">
      <c r="A8500" s="112">
        <f t="shared" si="169"/>
        <v>43198</v>
      </c>
      <c r="B8500" s="111">
        <f t="shared" si="170"/>
        <v>42</v>
      </c>
    </row>
    <row r="8501" spans="1:2" x14ac:dyDescent="0.2">
      <c r="A8501" s="112">
        <f t="shared" si="169"/>
        <v>43199</v>
      </c>
      <c r="B8501" s="111">
        <f t="shared" si="170"/>
        <v>42</v>
      </c>
    </row>
    <row r="8502" spans="1:2" x14ac:dyDescent="0.2">
      <c r="A8502" s="112">
        <f t="shared" si="169"/>
        <v>43200</v>
      </c>
      <c r="B8502" s="111">
        <f t="shared" si="170"/>
        <v>42</v>
      </c>
    </row>
    <row r="8503" spans="1:2" x14ac:dyDescent="0.2">
      <c r="A8503" s="112">
        <f t="shared" si="169"/>
        <v>43201</v>
      </c>
      <c r="B8503" s="111">
        <f t="shared" si="170"/>
        <v>42</v>
      </c>
    </row>
    <row r="8504" spans="1:2" x14ac:dyDescent="0.2">
      <c r="A8504" s="112">
        <f t="shared" si="169"/>
        <v>43202</v>
      </c>
      <c r="B8504" s="111">
        <f t="shared" si="170"/>
        <v>42</v>
      </c>
    </row>
    <row r="8505" spans="1:2" x14ac:dyDescent="0.2">
      <c r="A8505" s="112">
        <f t="shared" si="169"/>
        <v>43203</v>
      </c>
      <c r="B8505" s="111">
        <f t="shared" si="170"/>
        <v>42</v>
      </c>
    </row>
    <row r="8506" spans="1:2" x14ac:dyDescent="0.2">
      <c r="A8506" s="112">
        <f t="shared" si="169"/>
        <v>43204</v>
      </c>
      <c r="B8506" s="111">
        <f t="shared" si="170"/>
        <v>42</v>
      </c>
    </row>
    <row r="8507" spans="1:2" x14ac:dyDescent="0.2">
      <c r="A8507" s="112">
        <f t="shared" si="169"/>
        <v>43205</v>
      </c>
      <c r="B8507" s="111">
        <f t="shared" si="170"/>
        <v>43</v>
      </c>
    </row>
    <row r="8508" spans="1:2" x14ac:dyDescent="0.2">
      <c r="A8508" s="112">
        <f t="shared" si="169"/>
        <v>43206</v>
      </c>
      <c r="B8508" s="111">
        <f t="shared" si="170"/>
        <v>43</v>
      </c>
    </row>
    <row r="8509" spans="1:2" x14ac:dyDescent="0.2">
      <c r="A8509" s="112">
        <f t="shared" si="169"/>
        <v>43207</v>
      </c>
      <c r="B8509" s="111">
        <f t="shared" si="170"/>
        <v>43</v>
      </c>
    </row>
    <row r="8510" spans="1:2" x14ac:dyDescent="0.2">
      <c r="A8510" s="112">
        <f t="shared" si="169"/>
        <v>43208</v>
      </c>
      <c r="B8510" s="111">
        <f t="shared" si="170"/>
        <v>43</v>
      </c>
    </row>
    <row r="8511" spans="1:2" x14ac:dyDescent="0.2">
      <c r="A8511" s="112">
        <f t="shared" si="169"/>
        <v>43209</v>
      </c>
      <c r="B8511" s="111">
        <f t="shared" si="170"/>
        <v>43</v>
      </c>
    </row>
    <row r="8512" spans="1:2" x14ac:dyDescent="0.2">
      <c r="A8512" s="112">
        <f t="shared" si="169"/>
        <v>43210</v>
      </c>
      <c r="B8512" s="111">
        <f t="shared" si="170"/>
        <v>43</v>
      </c>
    </row>
    <row r="8513" spans="1:2" x14ac:dyDescent="0.2">
      <c r="A8513" s="112">
        <f t="shared" si="169"/>
        <v>43211</v>
      </c>
      <c r="B8513" s="111">
        <f t="shared" si="170"/>
        <v>43</v>
      </c>
    </row>
    <row r="8514" spans="1:2" x14ac:dyDescent="0.2">
      <c r="A8514" s="112">
        <f t="shared" si="169"/>
        <v>43212</v>
      </c>
      <c r="B8514" s="111">
        <f t="shared" si="170"/>
        <v>44</v>
      </c>
    </row>
    <row r="8515" spans="1:2" x14ac:dyDescent="0.2">
      <c r="A8515" s="112">
        <f t="shared" si="169"/>
        <v>43213</v>
      </c>
      <c r="B8515" s="111">
        <f t="shared" si="170"/>
        <v>44</v>
      </c>
    </row>
    <row r="8516" spans="1:2" x14ac:dyDescent="0.2">
      <c r="A8516" s="112">
        <f t="shared" si="169"/>
        <v>43214</v>
      </c>
      <c r="B8516" s="111">
        <f t="shared" si="170"/>
        <v>44</v>
      </c>
    </row>
    <row r="8517" spans="1:2" x14ac:dyDescent="0.2">
      <c r="A8517" s="112">
        <f t="shared" si="169"/>
        <v>43215</v>
      </c>
      <c r="B8517" s="111">
        <f t="shared" si="170"/>
        <v>44</v>
      </c>
    </row>
    <row r="8518" spans="1:2" x14ac:dyDescent="0.2">
      <c r="A8518" s="112">
        <f t="shared" si="169"/>
        <v>43216</v>
      </c>
      <c r="B8518" s="111">
        <f t="shared" si="170"/>
        <v>44</v>
      </c>
    </row>
    <row r="8519" spans="1:2" x14ac:dyDescent="0.2">
      <c r="A8519" s="112">
        <f t="shared" si="169"/>
        <v>43217</v>
      </c>
      <c r="B8519" s="111">
        <f t="shared" si="170"/>
        <v>44</v>
      </c>
    </row>
    <row r="8520" spans="1:2" x14ac:dyDescent="0.2">
      <c r="A8520" s="112">
        <f t="shared" si="169"/>
        <v>43218</v>
      </c>
      <c r="B8520" s="111">
        <f t="shared" si="170"/>
        <v>44</v>
      </c>
    </row>
    <row r="8521" spans="1:2" x14ac:dyDescent="0.2">
      <c r="A8521" s="112">
        <f t="shared" si="169"/>
        <v>43219</v>
      </c>
      <c r="B8521" s="111">
        <f t="shared" si="170"/>
        <v>45</v>
      </c>
    </row>
    <row r="8522" spans="1:2" x14ac:dyDescent="0.2">
      <c r="A8522" s="112">
        <f t="shared" si="169"/>
        <v>43220</v>
      </c>
      <c r="B8522" s="111">
        <f t="shared" si="170"/>
        <v>45</v>
      </c>
    </row>
    <row r="8523" spans="1:2" x14ac:dyDescent="0.2">
      <c r="A8523" s="112">
        <f t="shared" si="169"/>
        <v>43221</v>
      </c>
      <c r="B8523" s="111">
        <f t="shared" si="170"/>
        <v>45</v>
      </c>
    </row>
    <row r="8524" spans="1:2" x14ac:dyDescent="0.2">
      <c r="A8524" s="112">
        <f t="shared" si="169"/>
        <v>43222</v>
      </c>
      <c r="B8524" s="111">
        <f t="shared" si="170"/>
        <v>45</v>
      </c>
    </row>
    <row r="8525" spans="1:2" x14ac:dyDescent="0.2">
      <c r="A8525" s="112">
        <f t="shared" si="169"/>
        <v>43223</v>
      </c>
      <c r="B8525" s="111">
        <f t="shared" si="170"/>
        <v>45</v>
      </c>
    </row>
    <row r="8526" spans="1:2" x14ac:dyDescent="0.2">
      <c r="A8526" s="112">
        <f t="shared" si="169"/>
        <v>43224</v>
      </c>
      <c r="B8526" s="111">
        <f t="shared" si="170"/>
        <v>45</v>
      </c>
    </row>
    <row r="8527" spans="1:2" x14ac:dyDescent="0.2">
      <c r="A8527" s="112">
        <f t="shared" si="169"/>
        <v>43225</v>
      </c>
      <c r="B8527" s="111">
        <f t="shared" si="170"/>
        <v>45</v>
      </c>
    </row>
    <row r="8528" spans="1:2" x14ac:dyDescent="0.2">
      <c r="A8528" s="112">
        <f t="shared" si="169"/>
        <v>43226</v>
      </c>
      <c r="B8528" s="111">
        <f t="shared" si="170"/>
        <v>51</v>
      </c>
    </row>
    <row r="8529" spans="1:2" x14ac:dyDescent="0.2">
      <c r="A8529" s="112">
        <f t="shared" si="169"/>
        <v>43227</v>
      </c>
      <c r="B8529" s="111">
        <f t="shared" si="170"/>
        <v>51</v>
      </c>
    </row>
    <row r="8530" spans="1:2" x14ac:dyDescent="0.2">
      <c r="A8530" s="112">
        <f t="shared" si="169"/>
        <v>43228</v>
      </c>
      <c r="B8530" s="111">
        <f t="shared" si="170"/>
        <v>51</v>
      </c>
    </row>
    <row r="8531" spans="1:2" x14ac:dyDescent="0.2">
      <c r="A8531" s="112">
        <f t="shared" si="169"/>
        <v>43229</v>
      </c>
      <c r="B8531" s="111">
        <f t="shared" si="170"/>
        <v>51</v>
      </c>
    </row>
    <row r="8532" spans="1:2" x14ac:dyDescent="0.2">
      <c r="A8532" s="112">
        <f t="shared" si="169"/>
        <v>43230</v>
      </c>
      <c r="B8532" s="111">
        <f t="shared" si="170"/>
        <v>51</v>
      </c>
    </row>
    <row r="8533" spans="1:2" x14ac:dyDescent="0.2">
      <c r="A8533" s="112">
        <f t="shared" si="169"/>
        <v>43231</v>
      </c>
      <c r="B8533" s="111">
        <f t="shared" si="170"/>
        <v>51</v>
      </c>
    </row>
    <row r="8534" spans="1:2" x14ac:dyDescent="0.2">
      <c r="A8534" s="112">
        <f t="shared" si="169"/>
        <v>43232</v>
      </c>
      <c r="B8534" s="111">
        <f t="shared" si="170"/>
        <v>51</v>
      </c>
    </row>
    <row r="8535" spans="1:2" x14ac:dyDescent="0.2">
      <c r="A8535" s="112">
        <f t="shared" si="169"/>
        <v>43233</v>
      </c>
      <c r="B8535" s="111">
        <f t="shared" si="170"/>
        <v>52</v>
      </c>
    </row>
    <row r="8536" spans="1:2" x14ac:dyDescent="0.2">
      <c r="A8536" s="112">
        <f t="shared" si="169"/>
        <v>43234</v>
      </c>
      <c r="B8536" s="111">
        <f t="shared" si="170"/>
        <v>52</v>
      </c>
    </row>
    <row r="8537" spans="1:2" x14ac:dyDescent="0.2">
      <c r="A8537" s="112">
        <f t="shared" si="169"/>
        <v>43235</v>
      </c>
      <c r="B8537" s="111">
        <f t="shared" si="170"/>
        <v>52</v>
      </c>
    </row>
    <row r="8538" spans="1:2" x14ac:dyDescent="0.2">
      <c r="A8538" s="112">
        <f t="shared" si="169"/>
        <v>43236</v>
      </c>
      <c r="B8538" s="111">
        <f t="shared" si="170"/>
        <v>52</v>
      </c>
    </row>
    <row r="8539" spans="1:2" x14ac:dyDescent="0.2">
      <c r="A8539" s="112">
        <f t="shared" si="169"/>
        <v>43237</v>
      </c>
      <c r="B8539" s="111">
        <f t="shared" si="170"/>
        <v>52</v>
      </c>
    </row>
    <row r="8540" spans="1:2" x14ac:dyDescent="0.2">
      <c r="A8540" s="112">
        <f t="shared" si="169"/>
        <v>43238</v>
      </c>
      <c r="B8540" s="111">
        <f t="shared" si="170"/>
        <v>52</v>
      </c>
    </row>
    <row r="8541" spans="1:2" x14ac:dyDescent="0.2">
      <c r="A8541" s="112">
        <f t="shared" si="169"/>
        <v>43239</v>
      </c>
      <c r="B8541" s="111">
        <f t="shared" si="170"/>
        <v>52</v>
      </c>
    </row>
    <row r="8542" spans="1:2" x14ac:dyDescent="0.2">
      <c r="A8542" s="112">
        <f t="shared" si="169"/>
        <v>43240</v>
      </c>
      <c r="B8542" s="111">
        <f t="shared" si="170"/>
        <v>53</v>
      </c>
    </row>
    <row r="8543" spans="1:2" x14ac:dyDescent="0.2">
      <c r="A8543" s="112">
        <f t="shared" ref="A8543:A8606" si="171">A8542+1</f>
        <v>43241</v>
      </c>
      <c r="B8543" s="111">
        <f t="shared" si="170"/>
        <v>53</v>
      </c>
    </row>
    <row r="8544" spans="1:2" x14ac:dyDescent="0.2">
      <c r="A8544" s="112">
        <f t="shared" si="171"/>
        <v>43242</v>
      </c>
      <c r="B8544" s="111">
        <f t="shared" si="170"/>
        <v>53</v>
      </c>
    </row>
    <row r="8545" spans="1:2" x14ac:dyDescent="0.2">
      <c r="A8545" s="112">
        <f t="shared" si="171"/>
        <v>43243</v>
      </c>
      <c r="B8545" s="111">
        <f t="shared" si="170"/>
        <v>53</v>
      </c>
    </row>
    <row r="8546" spans="1:2" x14ac:dyDescent="0.2">
      <c r="A8546" s="112">
        <f t="shared" si="171"/>
        <v>43244</v>
      </c>
      <c r="B8546" s="111">
        <f t="shared" si="170"/>
        <v>53</v>
      </c>
    </row>
    <row r="8547" spans="1:2" x14ac:dyDescent="0.2">
      <c r="A8547" s="112">
        <f t="shared" si="171"/>
        <v>43245</v>
      </c>
      <c r="B8547" s="111">
        <f t="shared" si="170"/>
        <v>53</v>
      </c>
    </row>
    <row r="8548" spans="1:2" x14ac:dyDescent="0.2">
      <c r="A8548" s="112">
        <f t="shared" si="171"/>
        <v>43246</v>
      </c>
      <c r="B8548" s="111">
        <f t="shared" si="170"/>
        <v>53</v>
      </c>
    </row>
    <row r="8549" spans="1:2" x14ac:dyDescent="0.2">
      <c r="A8549" s="112">
        <f t="shared" si="171"/>
        <v>43247</v>
      </c>
      <c r="B8549" s="111">
        <f t="shared" si="170"/>
        <v>54</v>
      </c>
    </row>
    <row r="8550" spans="1:2" x14ac:dyDescent="0.2">
      <c r="A8550" s="112">
        <f t="shared" si="171"/>
        <v>43248</v>
      </c>
      <c r="B8550" s="111">
        <f t="shared" si="170"/>
        <v>54</v>
      </c>
    </row>
    <row r="8551" spans="1:2" x14ac:dyDescent="0.2">
      <c r="A8551" s="112">
        <f t="shared" si="171"/>
        <v>43249</v>
      </c>
      <c r="B8551" s="111">
        <f t="shared" si="170"/>
        <v>54</v>
      </c>
    </row>
    <row r="8552" spans="1:2" x14ac:dyDescent="0.2">
      <c r="A8552" s="112">
        <f t="shared" si="171"/>
        <v>43250</v>
      </c>
      <c r="B8552" s="111">
        <f t="shared" si="170"/>
        <v>54</v>
      </c>
    </row>
    <row r="8553" spans="1:2" x14ac:dyDescent="0.2">
      <c r="A8553" s="112">
        <f t="shared" si="171"/>
        <v>43251</v>
      </c>
      <c r="B8553" s="111">
        <f t="shared" si="170"/>
        <v>54</v>
      </c>
    </row>
    <row r="8554" spans="1:2" x14ac:dyDescent="0.2">
      <c r="A8554" s="112">
        <f t="shared" si="171"/>
        <v>43252</v>
      </c>
      <c r="B8554" s="111">
        <f t="shared" si="170"/>
        <v>54</v>
      </c>
    </row>
    <row r="8555" spans="1:2" x14ac:dyDescent="0.2">
      <c r="A8555" s="112">
        <f t="shared" si="171"/>
        <v>43253</v>
      </c>
      <c r="B8555" s="111">
        <f t="shared" si="170"/>
        <v>54</v>
      </c>
    </row>
    <row r="8556" spans="1:2" x14ac:dyDescent="0.2">
      <c r="A8556" s="112">
        <f t="shared" si="171"/>
        <v>43254</v>
      </c>
      <c r="B8556" s="111">
        <f t="shared" si="170"/>
        <v>61</v>
      </c>
    </row>
    <row r="8557" spans="1:2" x14ac:dyDescent="0.2">
      <c r="A8557" s="112">
        <f t="shared" si="171"/>
        <v>43255</v>
      </c>
      <c r="B8557" s="111">
        <f t="shared" si="170"/>
        <v>61</v>
      </c>
    </row>
    <row r="8558" spans="1:2" x14ac:dyDescent="0.2">
      <c r="A8558" s="112">
        <f t="shared" si="171"/>
        <v>43256</v>
      </c>
      <c r="B8558" s="111">
        <f t="shared" si="170"/>
        <v>61</v>
      </c>
    </row>
    <row r="8559" spans="1:2" x14ac:dyDescent="0.2">
      <c r="A8559" s="112">
        <f t="shared" si="171"/>
        <v>43257</v>
      </c>
      <c r="B8559" s="111">
        <f t="shared" si="170"/>
        <v>61</v>
      </c>
    </row>
    <row r="8560" spans="1:2" x14ac:dyDescent="0.2">
      <c r="A8560" s="112">
        <f t="shared" si="171"/>
        <v>43258</v>
      </c>
      <c r="B8560" s="111">
        <f t="shared" si="170"/>
        <v>61</v>
      </c>
    </row>
    <row r="8561" spans="1:2" x14ac:dyDescent="0.2">
      <c r="A8561" s="112">
        <f t="shared" si="171"/>
        <v>43259</v>
      </c>
      <c r="B8561" s="111">
        <f t="shared" si="170"/>
        <v>61</v>
      </c>
    </row>
    <row r="8562" spans="1:2" x14ac:dyDescent="0.2">
      <c r="A8562" s="112">
        <f t="shared" si="171"/>
        <v>43260</v>
      </c>
      <c r="B8562" s="111">
        <f t="shared" ref="B8562:B8625" si="172">VLOOKUP(WEEKNUM(A8562),$D$3:$E$58,2)</f>
        <v>61</v>
      </c>
    </row>
    <row r="8563" spans="1:2" x14ac:dyDescent="0.2">
      <c r="A8563" s="112">
        <f t="shared" si="171"/>
        <v>43261</v>
      </c>
      <c r="B8563" s="111">
        <f t="shared" si="172"/>
        <v>62</v>
      </c>
    </row>
    <row r="8564" spans="1:2" x14ac:dyDescent="0.2">
      <c r="A8564" s="112">
        <f t="shared" si="171"/>
        <v>43262</v>
      </c>
      <c r="B8564" s="111">
        <f t="shared" si="172"/>
        <v>62</v>
      </c>
    </row>
    <row r="8565" spans="1:2" x14ac:dyDescent="0.2">
      <c r="A8565" s="112">
        <f t="shared" si="171"/>
        <v>43263</v>
      </c>
      <c r="B8565" s="111">
        <f t="shared" si="172"/>
        <v>62</v>
      </c>
    </row>
    <row r="8566" spans="1:2" x14ac:dyDescent="0.2">
      <c r="A8566" s="112">
        <f t="shared" si="171"/>
        <v>43264</v>
      </c>
      <c r="B8566" s="111">
        <f t="shared" si="172"/>
        <v>62</v>
      </c>
    </row>
    <row r="8567" spans="1:2" x14ac:dyDescent="0.2">
      <c r="A8567" s="112">
        <f t="shared" si="171"/>
        <v>43265</v>
      </c>
      <c r="B8567" s="111">
        <f t="shared" si="172"/>
        <v>62</v>
      </c>
    </row>
    <row r="8568" spans="1:2" x14ac:dyDescent="0.2">
      <c r="A8568" s="112">
        <f t="shared" si="171"/>
        <v>43266</v>
      </c>
      <c r="B8568" s="111">
        <f t="shared" si="172"/>
        <v>62</v>
      </c>
    </row>
    <row r="8569" spans="1:2" x14ac:dyDescent="0.2">
      <c r="A8569" s="112">
        <f t="shared" si="171"/>
        <v>43267</v>
      </c>
      <c r="B8569" s="111">
        <f t="shared" si="172"/>
        <v>62</v>
      </c>
    </row>
    <row r="8570" spans="1:2" x14ac:dyDescent="0.2">
      <c r="A8570" s="112">
        <f t="shared" si="171"/>
        <v>43268</v>
      </c>
      <c r="B8570" s="111">
        <f t="shared" si="172"/>
        <v>63</v>
      </c>
    </row>
    <row r="8571" spans="1:2" x14ac:dyDescent="0.2">
      <c r="A8571" s="112">
        <f t="shared" si="171"/>
        <v>43269</v>
      </c>
      <c r="B8571" s="111">
        <f t="shared" si="172"/>
        <v>63</v>
      </c>
    </row>
    <row r="8572" spans="1:2" x14ac:dyDescent="0.2">
      <c r="A8572" s="112">
        <f t="shared" si="171"/>
        <v>43270</v>
      </c>
      <c r="B8572" s="111">
        <f t="shared" si="172"/>
        <v>63</v>
      </c>
    </row>
    <row r="8573" spans="1:2" x14ac:dyDescent="0.2">
      <c r="A8573" s="112">
        <f t="shared" si="171"/>
        <v>43271</v>
      </c>
      <c r="B8573" s="111">
        <f t="shared" si="172"/>
        <v>63</v>
      </c>
    </row>
    <row r="8574" spans="1:2" x14ac:dyDescent="0.2">
      <c r="A8574" s="112">
        <f t="shared" si="171"/>
        <v>43272</v>
      </c>
      <c r="B8574" s="111">
        <f t="shared" si="172"/>
        <v>63</v>
      </c>
    </row>
    <row r="8575" spans="1:2" x14ac:dyDescent="0.2">
      <c r="A8575" s="112">
        <f t="shared" si="171"/>
        <v>43273</v>
      </c>
      <c r="B8575" s="111">
        <f t="shared" si="172"/>
        <v>63</v>
      </c>
    </row>
    <row r="8576" spans="1:2" x14ac:dyDescent="0.2">
      <c r="A8576" s="112">
        <f t="shared" si="171"/>
        <v>43274</v>
      </c>
      <c r="B8576" s="111">
        <f t="shared" si="172"/>
        <v>63</v>
      </c>
    </row>
    <row r="8577" spans="1:2" x14ac:dyDescent="0.2">
      <c r="A8577" s="112">
        <f t="shared" si="171"/>
        <v>43275</v>
      </c>
      <c r="B8577" s="111">
        <f t="shared" si="172"/>
        <v>64</v>
      </c>
    </row>
    <row r="8578" spans="1:2" x14ac:dyDescent="0.2">
      <c r="A8578" s="112">
        <f t="shared" si="171"/>
        <v>43276</v>
      </c>
      <c r="B8578" s="111">
        <f t="shared" si="172"/>
        <v>64</v>
      </c>
    </row>
    <row r="8579" spans="1:2" x14ac:dyDescent="0.2">
      <c r="A8579" s="112">
        <f t="shared" si="171"/>
        <v>43277</v>
      </c>
      <c r="B8579" s="111">
        <f t="shared" si="172"/>
        <v>64</v>
      </c>
    </row>
    <row r="8580" spans="1:2" x14ac:dyDescent="0.2">
      <c r="A8580" s="112">
        <f t="shared" si="171"/>
        <v>43278</v>
      </c>
      <c r="B8580" s="111">
        <f t="shared" si="172"/>
        <v>64</v>
      </c>
    </row>
    <row r="8581" spans="1:2" x14ac:dyDescent="0.2">
      <c r="A8581" s="112">
        <f t="shared" si="171"/>
        <v>43279</v>
      </c>
      <c r="B8581" s="111">
        <f t="shared" si="172"/>
        <v>64</v>
      </c>
    </row>
    <row r="8582" spans="1:2" x14ac:dyDescent="0.2">
      <c r="A8582" s="112">
        <f t="shared" si="171"/>
        <v>43280</v>
      </c>
      <c r="B8582" s="111">
        <f t="shared" si="172"/>
        <v>64</v>
      </c>
    </row>
    <row r="8583" spans="1:2" x14ac:dyDescent="0.2">
      <c r="A8583" s="112">
        <f t="shared" si="171"/>
        <v>43281</v>
      </c>
      <c r="B8583" s="111">
        <f t="shared" si="172"/>
        <v>64</v>
      </c>
    </row>
    <row r="8584" spans="1:2" x14ac:dyDescent="0.2">
      <c r="A8584" s="112">
        <f t="shared" si="171"/>
        <v>43282</v>
      </c>
      <c r="B8584" s="111">
        <f t="shared" si="172"/>
        <v>71</v>
      </c>
    </row>
    <row r="8585" spans="1:2" x14ac:dyDescent="0.2">
      <c r="A8585" s="112">
        <f t="shared" si="171"/>
        <v>43283</v>
      </c>
      <c r="B8585" s="111">
        <f t="shared" si="172"/>
        <v>71</v>
      </c>
    </row>
    <row r="8586" spans="1:2" x14ac:dyDescent="0.2">
      <c r="A8586" s="112">
        <f t="shared" si="171"/>
        <v>43284</v>
      </c>
      <c r="B8586" s="111">
        <f t="shared" si="172"/>
        <v>71</v>
      </c>
    </row>
    <row r="8587" spans="1:2" x14ac:dyDescent="0.2">
      <c r="A8587" s="112">
        <f t="shared" si="171"/>
        <v>43285</v>
      </c>
      <c r="B8587" s="111">
        <f t="shared" si="172"/>
        <v>71</v>
      </c>
    </row>
    <row r="8588" spans="1:2" x14ac:dyDescent="0.2">
      <c r="A8588" s="112">
        <f t="shared" si="171"/>
        <v>43286</v>
      </c>
      <c r="B8588" s="111">
        <f t="shared" si="172"/>
        <v>71</v>
      </c>
    </row>
    <row r="8589" spans="1:2" x14ac:dyDescent="0.2">
      <c r="A8589" s="112">
        <f t="shared" si="171"/>
        <v>43287</v>
      </c>
      <c r="B8589" s="111">
        <f t="shared" si="172"/>
        <v>71</v>
      </c>
    </row>
    <row r="8590" spans="1:2" x14ac:dyDescent="0.2">
      <c r="A8590" s="112">
        <f t="shared" si="171"/>
        <v>43288</v>
      </c>
      <c r="B8590" s="111">
        <f t="shared" si="172"/>
        <v>71</v>
      </c>
    </row>
    <row r="8591" spans="1:2" x14ac:dyDescent="0.2">
      <c r="A8591" s="112">
        <f t="shared" si="171"/>
        <v>43289</v>
      </c>
      <c r="B8591" s="111">
        <f t="shared" si="172"/>
        <v>72</v>
      </c>
    </row>
    <row r="8592" spans="1:2" x14ac:dyDescent="0.2">
      <c r="A8592" s="112">
        <f t="shared" si="171"/>
        <v>43290</v>
      </c>
      <c r="B8592" s="111">
        <f t="shared" si="172"/>
        <v>72</v>
      </c>
    </row>
    <row r="8593" spans="1:2" x14ac:dyDescent="0.2">
      <c r="A8593" s="112">
        <f t="shared" si="171"/>
        <v>43291</v>
      </c>
      <c r="B8593" s="111">
        <f t="shared" si="172"/>
        <v>72</v>
      </c>
    </row>
    <row r="8594" spans="1:2" x14ac:dyDescent="0.2">
      <c r="A8594" s="112">
        <f t="shared" si="171"/>
        <v>43292</v>
      </c>
      <c r="B8594" s="111">
        <f t="shared" si="172"/>
        <v>72</v>
      </c>
    </row>
    <row r="8595" spans="1:2" x14ac:dyDescent="0.2">
      <c r="A8595" s="112">
        <f t="shared" si="171"/>
        <v>43293</v>
      </c>
      <c r="B8595" s="111">
        <f t="shared" si="172"/>
        <v>72</v>
      </c>
    </row>
    <row r="8596" spans="1:2" x14ac:dyDescent="0.2">
      <c r="A8596" s="112">
        <f t="shared" si="171"/>
        <v>43294</v>
      </c>
      <c r="B8596" s="111">
        <f t="shared" si="172"/>
        <v>72</v>
      </c>
    </row>
    <row r="8597" spans="1:2" x14ac:dyDescent="0.2">
      <c r="A8597" s="112">
        <f t="shared" si="171"/>
        <v>43295</v>
      </c>
      <c r="B8597" s="111">
        <f t="shared" si="172"/>
        <v>72</v>
      </c>
    </row>
    <row r="8598" spans="1:2" x14ac:dyDescent="0.2">
      <c r="A8598" s="112">
        <f t="shared" si="171"/>
        <v>43296</v>
      </c>
      <c r="B8598" s="111">
        <f t="shared" si="172"/>
        <v>73</v>
      </c>
    </row>
    <row r="8599" spans="1:2" x14ac:dyDescent="0.2">
      <c r="A8599" s="112">
        <f t="shared" si="171"/>
        <v>43297</v>
      </c>
      <c r="B8599" s="111">
        <f t="shared" si="172"/>
        <v>73</v>
      </c>
    </row>
    <row r="8600" spans="1:2" x14ac:dyDescent="0.2">
      <c r="A8600" s="112">
        <f t="shared" si="171"/>
        <v>43298</v>
      </c>
      <c r="B8600" s="111">
        <f t="shared" si="172"/>
        <v>73</v>
      </c>
    </row>
    <row r="8601" spans="1:2" x14ac:dyDescent="0.2">
      <c r="A8601" s="112">
        <f t="shared" si="171"/>
        <v>43299</v>
      </c>
      <c r="B8601" s="111">
        <f t="shared" si="172"/>
        <v>73</v>
      </c>
    </row>
    <row r="8602" spans="1:2" x14ac:dyDescent="0.2">
      <c r="A8602" s="112">
        <f t="shared" si="171"/>
        <v>43300</v>
      </c>
      <c r="B8602" s="111">
        <f t="shared" si="172"/>
        <v>73</v>
      </c>
    </row>
    <row r="8603" spans="1:2" x14ac:dyDescent="0.2">
      <c r="A8603" s="112">
        <f t="shared" si="171"/>
        <v>43301</v>
      </c>
      <c r="B8603" s="111">
        <f t="shared" si="172"/>
        <v>73</v>
      </c>
    </row>
    <row r="8604" spans="1:2" x14ac:dyDescent="0.2">
      <c r="A8604" s="112">
        <f t="shared" si="171"/>
        <v>43302</v>
      </c>
      <c r="B8604" s="111">
        <f t="shared" si="172"/>
        <v>73</v>
      </c>
    </row>
    <row r="8605" spans="1:2" x14ac:dyDescent="0.2">
      <c r="A8605" s="112">
        <f t="shared" si="171"/>
        <v>43303</v>
      </c>
      <c r="B8605" s="111">
        <f t="shared" si="172"/>
        <v>74</v>
      </c>
    </row>
    <row r="8606" spans="1:2" x14ac:dyDescent="0.2">
      <c r="A8606" s="112">
        <f t="shared" si="171"/>
        <v>43304</v>
      </c>
      <c r="B8606" s="111">
        <f t="shared" si="172"/>
        <v>74</v>
      </c>
    </row>
    <row r="8607" spans="1:2" x14ac:dyDescent="0.2">
      <c r="A8607" s="112">
        <f t="shared" ref="A8607:A8670" si="173">A8606+1</f>
        <v>43305</v>
      </c>
      <c r="B8607" s="111">
        <f t="shared" si="172"/>
        <v>74</v>
      </c>
    </row>
    <row r="8608" spans="1:2" x14ac:dyDescent="0.2">
      <c r="A8608" s="112">
        <f t="shared" si="173"/>
        <v>43306</v>
      </c>
      <c r="B8608" s="111">
        <f t="shared" si="172"/>
        <v>74</v>
      </c>
    </row>
    <row r="8609" spans="1:2" x14ac:dyDescent="0.2">
      <c r="A8609" s="112">
        <f t="shared" si="173"/>
        <v>43307</v>
      </c>
      <c r="B8609" s="111">
        <f t="shared" si="172"/>
        <v>74</v>
      </c>
    </row>
    <row r="8610" spans="1:2" x14ac:dyDescent="0.2">
      <c r="A8610" s="112">
        <f t="shared" si="173"/>
        <v>43308</v>
      </c>
      <c r="B8610" s="111">
        <f t="shared" si="172"/>
        <v>74</v>
      </c>
    </row>
    <row r="8611" spans="1:2" x14ac:dyDescent="0.2">
      <c r="A8611" s="112">
        <f t="shared" si="173"/>
        <v>43309</v>
      </c>
      <c r="B8611" s="111">
        <f t="shared" si="172"/>
        <v>74</v>
      </c>
    </row>
    <row r="8612" spans="1:2" x14ac:dyDescent="0.2">
      <c r="A8612" s="112">
        <f t="shared" si="173"/>
        <v>43310</v>
      </c>
      <c r="B8612" s="111">
        <f t="shared" si="172"/>
        <v>75</v>
      </c>
    </row>
    <row r="8613" spans="1:2" x14ac:dyDescent="0.2">
      <c r="A8613" s="112">
        <f t="shared" si="173"/>
        <v>43311</v>
      </c>
      <c r="B8613" s="111">
        <f t="shared" si="172"/>
        <v>75</v>
      </c>
    </row>
    <row r="8614" spans="1:2" x14ac:dyDescent="0.2">
      <c r="A8614" s="112">
        <f t="shared" si="173"/>
        <v>43312</v>
      </c>
      <c r="B8614" s="111">
        <f t="shared" si="172"/>
        <v>75</v>
      </c>
    </row>
    <row r="8615" spans="1:2" x14ac:dyDescent="0.2">
      <c r="A8615" s="112">
        <f t="shared" si="173"/>
        <v>43313</v>
      </c>
      <c r="B8615" s="111">
        <f t="shared" si="172"/>
        <v>75</v>
      </c>
    </row>
    <row r="8616" spans="1:2" x14ac:dyDescent="0.2">
      <c r="A8616" s="112">
        <f t="shared" si="173"/>
        <v>43314</v>
      </c>
      <c r="B8616" s="111">
        <f t="shared" si="172"/>
        <v>75</v>
      </c>
    </row>
    <row r="8617" spans="1:2" x14ac:dyDescent="0.2">
      <c r="A8617" s="112">
        <f t="shared" si="173"/>
        <v>43315</v>
      </c>
      <c r="B8617" s="111">
        <f t="shared" si="172"/>
        <v>75</v>
      </c>
    </row>
    <row r="8618" spans="1:2" x14ac:dyDescent="0.2">
      <c r="A8618" s="112">
        <f t="shared" si="173"/>
        <v>43316</v>
      </c>
      <c r="B8618" s="111">
        <f t="shared" si="172"/>
        <v>75</v>
      </c>
    </row>
    <row r="8619" spans="1:2" x14ac:dyDescent="0.2">
      <c r="A8619" s="112">
        <f t="shared" si="173"/>
        <v>43317</v>
      </c>
      <c r="B8619" s="111">
        <f t="shared" si="172"/>
        <v>81</v>
      </c>
    </row>
    <row r="8620" spans="1:2" x14ac:dyDescent="0.2">
      <c r="A8620" s="112">
        <f t="shared" si="173"/>
        <v>43318</v>
      </c>
      <c r="B8620" s="111">
        <f t="shared" si="172"/>
        <v>81</v>
      </c>
    </row>
    <row r="8621" spans="1:2" x14ac:dyDescent="0.2">
      <c r="A8621" s="112">
        <f t="shared" si="173"/>
        <v>43319</v>
      </c>
      <c r="B8621" s="111">
        <f t="shared" si="172"/>
        <v>81</v>
      </c>
    </row>
    <row r="8622" spans="1:2" x14ac:dyDescent="0.2">
      <c r="A8622" s="112">
        <f t="shared" si="173"/>
        <v>43320</v>
      </c>
      <c r="B8622" s="111">
        <f t="shared" si="172"/>
        <v>81</v>
      </c>
    </row>
    <row r="8623" spans="1:2" x14ac:dyDescent="0.2">
      <c r="A8623" s="112">
        <f t="shared" si="173"/>
        <v>43321</v>
      </c>
      <c r="B8623" s="111">
        <f t="shared" si="172"/>
        <v>81</v>
      </c>
    </row>
    <row r="8624" spans="1:2" x14ac:dyDescent="0.2">
      <c r="A8624" s="112">
        <f t="shared" si="173"/>
        <v>43322</v>
      </c>
      <c r="B8624" s="111">
        <f t="shared" si="172"/>
        <v>81</v>
      </c>
    </row>
    <row r="8625" spans="1:2" x14ac:dyDescent="0.2">
      <c r="A8625" s="112">
        <f t="shared" si="173"/>
        <v>43323</v>
      </c>
      <c r="B8625" s="111">
        <f t="shared" si="172"/>
        <v>81</v>
      </c>
    </row>
    <row r="8626" spans="1:2" x14ac:dyDescent="0.2">
      <c r="A8626" s="112">
        <f t="shared" si="173"/>
        <v>43324</v>
      </c>
      <c r="B8626" s="111">
        <f t="shared" ref="B8626:B8689" si="174">VLOOKUP(WEEKNUM(A8626),$D$3:$E$58,2)</f>
        <v>82</v>
      </c>
    </row>
    <row r="8627" spans="1:2" x14ac:dyDescent="0.2">
      <c r="A8627" s="112">
        <f t="shared" si="173"/>
        <v>43325</v>
      </c>
      <c r="B8627" s="111">
        <f t="shared" si="174"/>
        <v>82</v>
      </c>
    </row>
    <row r="8628" spans="1:2" x14ac:dyDescent="0.2">
      <c r="A8628" s="112">
        <f t="shared" si="173"/>
        <v>43326</v>
      </c>
      <c r="B8628" s="111">
        <f t="shared" si="174"/>
        <v>82</v>
      </c>
    </row>
    <row r="8629" spans="1:2" x14ac:dyDescent="0.2">
      <c r="A8629" s="112">
        <f t="shared" si="173"/>
        <v>43327</v>
      </c>
      <c r="B8629" s="111">
        <f t="shared" si="174"/>
        <v>82</v>
      </c>
    </row>
    <row r="8630" spans="1:2" x14ac:dyDescent="0.2">
      <c r="A8630" s="112">
        <f t="shared" si="173"/>
        <v>43328</v>
      </c>
      <c r="B8630" s="111">
        <f t="shared" si="174"/>
        <v>82</v>
      </c>
    </row>
    <row r="8631" spans="1:2" x14ac:dyDescent="0.2">
      <c r="A8631" s="112">
        <f t="shared" si="173"/>
        <v>43329</v>
      </c>
      <c r="B8631" s="111">
        <f t="shared" si="174"/>
        <v>82</v>
      </c>
    </row>
    <row r="8632" spans="1:2" x14ac:dyDescent="0.2">
      <c r="A8632" s="112">
        <f t="shared" si="173"/>
        <v>43330</v>
      </c>
      <c r="B8632" s="111">
        <f t="shared" si="174"/>
        <v>82</v>
      </c>
    </row>
    <row r="8633" spans="1:2" x14ac:dyDescent="0.2">
      <c r="A8633" s="112">
        <f t="shared" si="173"/>
        <v>43331</v>
      </c>
      <c r="B8633" s="111">
        <f t="shared" si="174"/>
        <v>83</v>
      </c>
    </row>
    <row r="8634" spans="1:2" x14ac:dyDescent="0.2">
      <c r="A8634" s="112">
        <f t="shared" si="173"/>
        <v>43332</v>
      </c>
      <c r="B8634" s="111">
        <f t="shared" si="174"/>
        <v>83</v>
      </c>
    </row>
    <row r="8635" spans="1:2" x14ac:dyDescent="0.2">
      <c r="A8635" s="112">
        <f t="shared" si="173"/>
        <v>43333</v>
      </c>
      <c r="B8635" s="111">
        <f t="shared" si="174"/>
        <v>83</v>
      </c>
    </row>
    <row r="8636" spans="1:2" x14ac:dyDescent="0.2">
      <c r="A8636" s="112">
        <f t="shared" si="173"/>
        <v>43334</v>
      </c>
      <c r="B8636" s="111">
        <f t="shared" si="174"/>
        <v>83</v>
      </c>
    </row>
    <row r="8637" spans="1:2" x14ac:dyDescent="0.2">
      <c r="A8637" s="112">
        <f t="shared" si="173"/>
        <v>43335</v>
      </c>
      <c r="B8637" s="111">
        <f t="shared" si="174"/>
        <v>83</v>
      </c>
    </row>
    <row r="8638" spans="1:2" x14ac:dyDescent="0.2">
      <c r="A8638" s="112">
        <f t="shared" si="173"/>
        <v>43336</v>
      </c>
      <c r="B8638" s="111">
        <f t="shared" si="174"/>
        <v>83</v>
      </c>
    </row>
    <row r="8639" spans="1:2" x14ac:dyDescent="0.2">
      <c r="A8639" s="112">
        <f t="shared" si="173"/>
        <v>43337</v>
      </c>
      <c r="B8639" s="111">
        <f t="shared" si="174"/>
        <v>83</v>
      </c>
    </row>
    <row r="8640" spans="1:2" x14ac:dyDescent="0.2">
      <c r="A8640" s="112">
        <f t="shared" si="173"/>
        <v>43338</v>
      </c>
      <c r="B8640" s="111">
        <f t="shared" si="174"/>
        <v>84</v>
      </c>
    </row>
    <row r="8641" spans="1:2" x14ac:dyDescent="0.2">
      <c r="A8641" s="112">
        <f t="shared" si="173"/>
        <v>43339</v>
      </c>
      <c r="B8641" s="111">
        <f t="shared" si="174"/>
        <v>84</v>
      </c>
    </row>
    <row r="8642" spans="1:2" x14ac:dyDescent="0.2">
      <c r="A8642" s="112">
        <f t="shared" si="173"/>
        <v>43340</v>
      </c>
      <c r="B8642" s="111">
        <f t="shared" si="174"/>
        <v>84</v>
      </c>
    </row>
    <row r="8643" spans="1:2" x14ac:dyDescent="0.2">
      <c r="A8643" s="112">
        <f t="shared" si="173"/>
        <v>43341</v>
      </c>
      <c r="B8643" s="111">
        <f t="shared" si="174"/>
        <v>84</v>
      </c>
    </row>
    <row r="8644" spans="1:2" x14ac:dyDescent="0.2">
      <c r="A8644" s="112">
        <f t="shared" si="173"/>
        <v>43342</v>
      </c>
      <c r="B8644" s="111">
        <f t="shared" si="174"/>
        <v>84</v>
      </c>
    </row>
    <row r="8645" spans="1:2" x14ac:dyDescent="0.2">
      <c r="A8645" s="112">
        <f t="shared" si="173"/>
        <v>43343</v>
      </c>
      <c r="B8645" s="111">
        <f t="shared" si="174"/>
        <v>84</v>
      </c>
    </row>
    <row r="8646" spans="1:2" x14ac:dyDescent="0.2">
      <c r="A8646" s="112">
        <f t="shared" si="173"/>
        <v>43344</v>
      </c>
      <c r="B8646" s="111">
        <f t="shared" si="174"/>
        <v>84</v>
      </c>
    </row>
    <row r="8647" spans="1:2" x14ac:dyDescent="0.2">
      <c r="A8647" s="112">
        <f t="shared" si="173"/>
        <v>43345</v>
      </c>
      <c r="B8647" s="111">
        <f t="shared" si="174"/>
        <v>91</v>
      </c>
    </row>
    <row r="8648" spans="1:2" x14ac:dyDescent="0.2">
      <c r="A8648" s="112">
        <f t="shared" si="173"/>
        <v>43346</v>
      </c>
      <c r="B8648" s="111">
        <f t="shared" si="174"/>
        <v>91</v>
      </c>
    </row>
    <row r="8649" spans="1:2" x14ac:dyDescent="0.2">
      <c r="A8649" s="112">
        <f t="shared" si="173"/>
        <v>43347</v>
      </c>
      <c r="B8649" s="111">
        <f t="shared" si="174"/>
        <v>91</v>
      </c>
    </row>
    <row r="8650" spans="1:2" x14ac:dyDescent="0.2">
      <c r="A8650" s="112">
        <f t="shared" si="173"/>
        <v>43348</v>
      </c>
      <c r="B8650" s="111">
        <f t="shared" si="174"/>
        <v>91</v>
      </c>
    </row>
    <row r="8651" spans="1:2" x14ac:dyDescent="0.2">
      <c r="A8651" s="112">
        <f t="shared" si="173"/>
        <v>43349</v>
      </c>
      <c r="B8651" s="111">
        <f t="shared" si="174"/>
        <v>91</v>
      </c>
    </row>
    <row r="8652" spans="1:2" x14ac:dyDescent="0.2">
      <c r="A8652" s="112">
        <f t="shared" si="173"/>
        <v>43350</v>
      </c>
      <c r="B8652" s="111">
        <f t="shared" si="174"/>
        <v>91</v>
      </c>
    </row>
    <row r="8653" spans="1:2" x14ac:dyDescent="0.2">
      <c r="A8653" s="112">
        <f t="shared" si="173"/>
        <v>43351</v>
      </c>
      <c r="B8653" s="111">
        <f t="shared" si="174"/>
        <v>91</v>
      </c>
    </row>
    <row r="8654" spans="1:2" x14ac:dyDescent="0.2">
      <c r="A8654" s="112">
        <f t="shared" si="173"/>
        <v>43352</v>
      </c>
      <c r="B8654" s="111">
        <f t="shared" si="174"/>
        <v>92</v>
      </c>
    </row>
    <row r="8655" spans="1:2" x14ac:dyDescent="0.2">
      <c r="A8655" s="112">
        <f t="shared" si="173"/>
        <v>43353</v>
      </c>
      <c r="B8655" s="111">
        <f t="shared" si="174"/>
        <v>92</v>
      </c>
    </row>
    <row r="8656" spans="1:2" x14ac:dyDescent="0.2">
      <c r="A8656" s="112">
        <f t="shared" si="173"/>
        <v>43354</v>
      </c>
      <c r="B8656" s="111">
        <f t="shared" si="174"/>
        <v>92</v>
      </c>
    </row>
    <row r="8657" spans="1:2" x14ac:dyDescent="0.2">
      <c r="A8657" s="112">
        <f t="shared" si="173"/>
        <v>43355</v>
      </c>
      <c r="B8657" s="111">
        <f t="shared" si="174"/>
        <v>92</v>
      </c>
    </row>
    <row r="8658" spans="1:2" x14ac:dyDescent="0.2">
      <c r="A8658" s="112">
        <f t="shared" si="173"/>
        <v>43356</v>
      </c>
      <c r="B8658" s="111">
        <f t="shared" si="174"/>
        <v>92</v>
      </c>
    </row>
    <row r="8659" spans="1:2" x14ac:dyDescent="0.2">
      <c r="A8659" s="112">
        <f t="shared" si="173"/>
        <v>43357</v>
      </c>
      <c r="B8659" s="111">
        <f t="shared" si="174"/>
        <v>92</v>
      </c>
    </row>
    <row r="8660" spans="1:2" x14ac:dyDescent="0.2">
      <c r="A8660" s="112">
        <f t="shared" si="173"/>
        <v>43358</v>
      </c>
      <c r="B8660" s="111">
        <f t="shared" si="174"/>
        <v>92</v>
      </c>
    </row>
    <row r="8661" spans="1:2" x14ac:dyDescent="0.2">
      <c r="A8661" s="112">
        <f t="shared" si="173"/>
        <v>43359</v>
      </c>
      <c r="B8661" s="111">
        <f t="shared" si="174"/>
        <v>93</v>
      </c>
    </row>
    <row r="8662" spans="1:2" x14ac:dyDescent="0.2">
      <c r="A8662" s="112">
        <f t="shared" si="173"/>
        <v>43360</v>
      </c>
      <c r="B8662" s="111">
        <f t="shared" si="174"/>
        <v>93</v>
      </c>
    </row>
    <row r="8663" spans="1:2" x14ac:dyDescent="0.2">
      <c r="A8663" s="112">
        <f t="shared" si="173"/>
        <v>43361</v>
      </c>
      <c r="B8663" s="111">
        <f t="shared" si="174"/>
        <v>93</v>
      </c>
    </row>
    <row r="8664" spans="1:2" x14ac:dyDescent="0.2">
      <c r="A8664" s="112">
        <f t="shared" si="173"/>
        <v>43362</v>
      </c>
      <c r="B8664" s="111">
        <f t="shared" si="174"/>
        <v>93</v>
      </c>
    </row>
    <row r="8665" spans="1:2" x14ac:dyDescent="0.2">
      <c r="A8665" s="112">
        <f t="shared" si="173"/>
        <v>43363</v>
      </c>
      <c r="B8665" s="111">
        <f t="shared" si="174"/>
        <v>93</v>
      </c>
    </row>
    <row r="8666" spans="1:2" x14ac:dyDescent="0.2">
      <c r="A8666" s="112">
        <f t="shared" si="173"/>
        <v>43364</v>
      </c>
      <c r="B8666" s="111">
        <f t="shared" si="174"/>
        <v>93</v>
      </c>
    </row>
    <row r="8667" spans="1:2" x14ac:dyDescent="0.2">
      <c r="A8667" s="112">
        <f t="shared" si="173"/>
        <v>43365</v>
      </c>
      <c r="B8667" s="111">
        <f t="shared" si="174"/>
        <v>93</v>
      </c>
    </row>
    <row r="8668" spans="1:2" x14ac:dyDescent="0.2">
      <c r="A8668" s="112">
        <f t="shared" si="173"/>
        <v>43366</v>
      </c>
      <c r="B8668" s="111">
        <f t="shared" si="174"/>
        <v>94</v>
      </c>
    </row>
    <row r="8669" spans="1:2" x14ac:dyDescent="0.2">
      <c r="A8669" s="112">
        <f t="shared" si="173"/>
        <v>43367</v>
      </c>
      <c r="B8669" s="111">
        <f t="shared" si="174"/>
        <v>94</v>
      </c>
    </row>
    <row r="8670" spans="1:2" x14ac:dyDescent="0.2">
      <c r="A8670" s="112">
        <f t="shared" si="173"/>
        <v>43368</v>
      </c>
      <c r="B8670" s="111">
        <f t="shared" si="174"/>
        <v>94</v>
      </c>
    </row>
    <row r="8671" spans="1:2" x14ac:dyDescent="0.2">
      <c r="A8671" s="112">
        <f t="shared" ref="A8671:A8734" si="175">A8670+1</f>
        <v>43369</v>
      </c>
      <c r="B8671" s="111">
        <f t="shared" si="174"/>
        <v>94</v>
      </c>
    </row>
    <row r="8672" spans="1:2" x14ac:dyDescent="0.2">
      <c r="A8672" s="112">
        <f t="shared" si="175"/>
        <v>43370</v>
      </c>
      <c r="B8672" s="111">
        <f t="shared" si="174"/>
        <v>94</v>
      </c>
    </row>
    <row r="8673" spans="1:2" x14ac:dyDescent="0.2">
      <c r="A8673" s="112">
        <f t="shared" si="175"/>
        <v>43371</v>
      </c>
      <c r="B8673" s="111">
        <f t="shared" si="174"/>
        <v>94</v>
      </c>
    </row>
    <row r="8674" spans="1:2" x14ac:dyDescent="0.2">
      <c r="A8674" s="112">
        <f t="shared" si="175"/>
        <v>43372</v>
      </c>
      <c r="B8674" s="111">
        <f t="shared" si="174"/>
        <v>94</v>
      </c>
    </row>
    <row r="8675" spans="1:2" x14ac:dyDescent="0.2">
      <c r="A8675" s="112">
        <f t="shared" si="175"/>
        <v>43373</v>
      </c>
      <c r="B8675" s="111">
        <f t="shared" si="174"/>
        <v>101</v>
      </c>
    </row>
    <row r="8676" spans="1:2" x14ac:dyDescent="0.2">
      <c r="A8676" s="112">
        <f t="shared" si="175"/>
        <v>43374</v>
      </c>
      <c r="B8676" s="111">
        <f t="shared" si="174"/>
        <v>101</v>
      </c>
    </row>
    <row r="8677" spans="1:2" x14ac:dyDescent="0.2">
      <c r="A8677" s="112">
        <f t="shared" si="175"/>
        <v>43375</v>
      </c>
      <c r="B8677" s="111">
        <f t="shared" si="174"/>
        <v>101</v>
      </c>
    </row>
    <row r="8678" spans="1:2" x14ac:dyDescent="0.2">
      <c r="A8678" s="112">
        <f t="shared" si="175"/>
        <v>43376</v>
      </c>
      <c r="B8678" s="111">
        <f t="shared" si="174"/>
        <v>101</v>
      </c>
    </row>
    <row r="8679" spans="1:2" x14ac:dyDescent="0.2">
      <c r="A8679" s="112">
        <f t="shared" si="175"/>
        <v>43377</v>
      </c>
      <c r="B8679" s="111">
        <f t="shared" si="174"/>
        <v>101</v>
      </c>
    </row>
    <row r="8680" spans="1:2" x14ac:dyDescent="0.2">
      <c r="A8680" s="112">
        <f t="shared" si="175"/>
        <v>43378</v>
      </c>
      <c r="B8680" s="111">
        <f t="shared" si="174"/>
        <v>101</v>
      </c>
    </row>
    <row r="8681" spans="1:2" x14ac:dyDescent="0.2">
      <c r="A8681" s="112">
        <f t="shared" si="175"/>
        <v>43379</v>
      </c>
      <c r="B8681" s="111">
        <f t="shared" si="174"/>
        <v>101</v>
      </c>
    </row>
    <row r="8682" spans="1:2" x14ac:dyDescent="0.2">
      <c r="A8682" s="112">
        <f t="shared" si="175"/>
        <v>43380</v>
      </c>
      <c r="B8682" s="111">
        <f t="shared" si="174"/>
        <v>102</v>
      </c>
    </row>
    <row r="8683" spans="1:2" x14ac:dyDescent="0.2">
      <c r="A8683" s="112">
        <f t="shared" si="175"/>
        <v>43381</v>
      </c>
      <c r="B8683" s="111">
        <f t="shared" si="174"/>
        <v>102</v>
      </c>
    </row>
    <row r="8684" spans="1:2" x14ac:dyDescent="0.2">
      <c r="A8684" s="112">
        <f t="shared" si="175"/>
        <v>43382</v>
      </c>
      <c r="B8684" s="111">
        <f t="shared" si="174"/>
        <v>102</v>
      </c>
    </row>
    <row r="8685" spans="1:2" x14ac:dyDescent="0.2">
      <c r="A8685" s="112">
        <f t="shared" si="175"/>
        <v>43383</v>
      </c>
      <c r="B8685" s="111">
        <f t="shared" si="174"/>
        <v>102</v>
      </c>
    </row>
    <row r="8686" spans="1:2" x14ac:dyDescent="0.2">
      <c r="A8686" s="112">
        <f t="shared" si="175"/>
        <v>43384</v>
      </c>
      <c r="B8686" s="111">
        <f t="shared" si="174"/>
        <v>102</v>
      </c>
    </row>
    <row r="8687" spans="1:2" x14ac:dyDescent="0.2">
      <c r="A8687" s="112">
        <f t="shared" si="175"/>
        <v>43385</v>
      </c>
      <c r="B8687" s="111">
        <f t="shared" si="174"/>
        <v>102</v>
      </c>
    </row>
    <row r="8688" spans="1:2" x14ac:dyDescent="0.2">
      <c r="A8688" s="112">
        <f t="shared" si="175"/>
        <v>43386</v>
      </c>
      <c r="B8688" s="111">
        <f t="shared" si="174"/>
        <v>102</v>
      </c>
    </row>
    <row r="8689" spans="1:2" x14ac:dyDescent="0.2">
      <c r="A8689" s="112">
        <f t="shared" si="175"/>
        <v>43387</v>
      </c>
      <c r="B8689" s="111">
        <f t="shared" si="174"/>
        <v>103</v>
      </c>
    </row>
    <row r="8690" spans="1:2" x14ac:dyDescent="0.2">
      <c r="A8690" s="112">
        <f t="shared" si="175"/>
        <v>43388</v>
      </c>
      <c r="B8690" s="111">
        <f t="shared" ref="B8690:B8753" si="176">VLOOKUP(WEEKNUM(A8690),$D$3:$E$58,2)</f>
        <v>103</v>
      </c>
    </row>
    <row r="8691" spans="1:2" x14ac:dyDescent="0.2">
      <c r="A8691" s="112">
        <f t="shared" si="175"/>
        <v>43389</v>
      </c>
      <c r="B8691" s="111">
        <f t="shared" si="176"/>
        <v>103</v>
      </c>
    </row>
    <row r="8692" spans="1:2" x14ac:dyDescent="0.2">
      <c r="A8692" s="112">
        <f t="shared" si="175"/>
        <v>43390</v>
      </c>
      <c r="B8692" s="111">
        <f t="shared" si="176"/>
        <v>103</v>
      </c>
    </row>
    <row r="8693" spans="1:2" x14ac:dyDescent="0.2">
      <c r="A8693" s="112">
        <f t="shared" si="175"/>
        <v>43391</v>
      </c>
      <c r="B8693" s="111">
        <f t="shared" si="176"/>
        <v>103</v>
      </c>
    </row>
    <row r="8694" spans="1:2" x14ac:dyDescent="0.2">
      <c r="A8694" s="112">
        <f t="shared" si="175"/>
        <v>43392</v>
      </c>
      <c r="B8694" s="111">
        <f t="shared" si="176"/>
        <v>103</v>
      </c>
    </row>
    <row r="8695" spans="1:2" x14ac:dyDescent="0.2">
      <c r="A8695" s="112">
        <f t="shared" si="175"/>
        <v>43393</v>
      </c>
      <c r="B8695" s="111">
        <f t="shared" si="176"/>
        <v>103</v>
      </c>
    </row>
    <row r="8696" spans="1:2" x14ac:dyDescent="0.2">
      <c r="A8696" s="112">
        <f t="shared" si="175"/>
        <v>43394</v>
      </c>
      <c r="B8696" s="111">
        <f t="shared" si="176"/>
        <v>104</v>
      </c>
    </row>
    <row r="8697" spans="1:2" x14ac:dyDescent="0.2">
      <c r="A8697" s="112">
        <f t="shared" si="175"/>
        <v>43395</v>
      </c>
      <c r="B8697" s="111">
        <f t="shared" si="176"/>
        <v>104</v>
      </c>
    </row>
    <row r="8698" spans="1:2" x14ac:dyDescent="0.2">
      <c r="A8698" s="112">
        <f t="shared" si="175"/>
        <v>43396</v>
      </c>
      <c r="B8698" s="111">
        <f t="shared" si="176"/>
        <v>104</v>
      </c>
    </row>
    <row r="8699" spans="1:2" x14ac:dyDescent="0.2">
      <c r="A8699" s="112">
        <f t="shared" si="175"/>
        <v>43397</v>
      </c>
      <c r="B8699" s="111">
        <f t="shared" si="176"/>
        <v>104</v>
      </c>
    </row>
    <row r="8700" spans="1:2" x14ac:dyDescent="0.2">
      <c r="A8700" s="112">
        <f t="shared" si="175"/>
        <v>43398</v>
      </c>
      <c r="B8700" s="111">
        <f t="shared" si="176"/>
        <v>104</v>
      </c>
    </row>
    <row r="8701" spans="1:2" x14ac:dyDescent="0.2">
      <c r="A8701" s="112">
        <f t="shared" si="175"/>
        <v>43399</v>
      </c>
      <c r="B8701" s="111">
        <f t="shared" si="176"/>
        <v>104</v>
      </c>
    </row>
    <row r="8702" spans="1:2" x14ac:dyDescent="0.2">
      <c r="A8702" s="112">
        <f t="shared" si="175"/>
        <v>43400</v>
      </c>
      <c r="B8702" s="111">
        <f t="shared" si="176"/>
        <v>104</v>
      </c>
    </row>
    <row r="8703" spans="1:2" x14ac:dyDescent="0.2">
      <c r="A8703" s="112">
        <f t="shared" si="175"/>
        <v>43401</v>
      </c>
      <c r="B8703" s="111">
        <f t="shared" si="176"/>
        <v>105</v>
      </c>
    </row>
    <row r="8704" spans="1:2" x14ac:dyDescent="0.2">
      <c r="A8704" s="112">
        <f t="shared" si="175"/>
        <v>43402</v>
      </c>
      <c r="B8704" s="111">
        <f t="shared" si="176"/>
        <v>105</v>
      </c>
    </row>
    <row r="8705" spans="1:2" x14ac:dyDescent="0.2">
      <c r="A8705" s="112">
        <f t="shared" si="175"/>
        <v>43403</v>
      </c>
      <c r="B8705" s="111">
        <f t="shared" si="176"/>
        <v>105</v>
      </c>
    </row>
    <row r="8706" spans="1:2" x14ac:dyDescent="0.2">
      <c r="A8706" s="112">
        <f t="shared" si="175"/>
        <v>43404</v>
      </c>
      <c r="B8706" s="111">
        <f t="shared" si="176"/>
        <v>105</v>
      </c>
    </row>
    <row r="8707" spans="1:2" x14ac:dyDescent="0.2">
      <c r="A8707" s="112">
        <f t="shared" si="175"/>
        <v>43405</v>
      </c>
      <c r="B8707" s="111">
        <f t="shared" si="176"/>
        <v>105</v>
      </c>
    </row>
    <row r="8708" spans="1:2" x14ac:dyDescent="0.2">
      <c r="A8708" s="112">
        <f t="shared" si="175"/>
        <v>43406</v>
      </c>
      <c r="B8708" s="111">
        <f t="shared" si="176"/>
        <v>105</v>
      </c>
    </row>
    <row r="8709" spans="1:2" x14ac:dyDescent="0.2">
      <c r="A8709" s="112">
        <f t="shared" si="175"/>
        <v>43407</v>
      </c>
      <c r="B8709" s="111">
        <f t="shared" si="176"/>
        <v>105</v>
      </c>
    </row>
    <row r="8710" spans="1:2" x14ac:dyDescent="0.2">
      <c r="A8710" s="112">
        <f t="shared" si="175"/>
        <v>43408</v>
      </c>
      <c r="B8710" s="111">
        <f t="shared" si="176"/>
        <v>111</v>
      </c>
    </row>
    <row r="8711" spans="1:2" x14ac:dyDescent="0.2">
      <c r="A8711" s="112">
        <f t="shared" si="175"/>
        <v>43409</v>
      </c>
      <c r="B8711" s="111">
        <f t="shared" si="176"/>
        <v>111</v>
      </c>
    </row>
    <row r="8712" spans="1:2" x14ac:dyDescent="0.2">
      <c r="A8712" s="112">
        <f t="shared" si="175"/>
        <v>43410</v>
      </c>
      <c r="B8712" s="111">
        <f t="shared" si="176"/>
        <v>111</v>
      </c>
    </row>
    <row r="8713" spans="1:2" x14ac:dyDescent="0.2">
      <c r="A8713" s="112">
        <f t="shared" si="175"/>
        <v>43411</v>
      </c>
      <c r="B8713" s="111">
        <f t="shared" si="176"/>
        <v>111</v>
      </c>
    </row>
    <row r="8714" spans="1:2" x14ac:dyDescent="0.2">
      <c r="A8714" s="112">
        <f t="shared" si="175"/>
        <v>43412</v>
      </c>
      <c r="B8714" s="111">
        <f t="shared" si="176"/>
        <v>111</v>
      </c>
    </row>
    <row r="8715" spans="1:2" x14ac:dyDescent="0.2">
      <c r="A8715" s="112">
        <f t="shared" si="175"/>
        <v>43413</v>
      </c>
      <c r="B8715" s="111">
        <f t="shared" si="176"/>
        <v>111</v>
      </c>
    </row>
    <row r="8716" spans="1:2" x14ac:dyDescent="0.2">
      <c r="A8716" s="112">
        <f t="shared" si="175"/>
        <v>43414</v>
      </c>
      <c r="B8716" s="111">
        <f t="shared" si="176"/>
        <v>111</v>
      </c>
    </row>
    <row r="8717" spans="1:2" x14ac:dyDescent="0.2">
      <c r="A8717" s="112">
        <f t="shared" si="175"/>
        <v>43415</v>
      </c>
      <c r="B8717" s="111">
        <f t="shared" si="176"/>
        <v>112</v>
      </c>
    </row>
    <row r="8718" spans="1:2" x14ac:dyDescent="0.2">
      <c r="A8718" s="112">
        <f t="shared" si="175"/>
        <v>43416</v>
      </c>
      <c r="B8718" s="111">
        <f t="shared" si="176"/>
        <v>112</v>
      </c>
    </row>
    <row r="8719" spans="1:2" x14ac:dyDescent="0.2">
      <c r="A8719" s="112">
        <f t="shared" si="175"/>
        <v>43417</v>
      </c>
      <c r="B8719" s="111">
        <f t="shared" si="176"/>
        <v>112</v>
      </c>
    </row>
    <row r="8720" spans="1:2" x14ac:dyDescent="0.2">
      <c r="A8720" s="112">
        <f t="shared" si="175"/>
        <v>43418</v>
      </c>
      <c r="B8720" s="111">
        <f t="shared" si="176"/>
        <v>112</v>
      </c>
    </row>
    <row r="8721" spans="1:2" x14ac:dyDescent="0.2">
      <c r="A8721" s="112">
        <f t="shared" si="175"/>
        <v>43419</v>
      </c>
      <c r="B8721" s="111">
        <f t="shared" si="176"/>
        <v>112</v>
      </c>
    </row>
    <row r="8722" spans="1:2" x14ac:dyDescent="0.2">
      <c r="A8722" s="112">
        <f t="shared" si="175"/>
        <v>43420</v>
      </c>
      <c r="B8722" s="111">
        <f t="shared" si="176"/>
        <v>112</v>
      </c>
    </row>
    <row r="8723" spans="1:2" x14ac:dyDescent="0.2">
      <c r="A8723" s="112">
        <f t="shared" si="175"/>
        <v>43421</v>
      </c>
      <c r="B8723" s="111">
        <f t="shared" si="176"/>
        <v>112</v>
      </c>
    </row>
    <row r="8724" spans="1:2" x14ac:dyDescent="0.2">
      <c r="A8724" s="112">
        <f t="shared" si="175"/>
        <v>43422</v>
      </c>
      <c r="B8724" s="111">
        <f t="shared" si="176"/>
        <v>113</v>
      </c>
    </row>
    <row r="8725" spans="1:2" x14ac:dyDescent="0.2">
      <c r="A8725" s="112">
        <f t="shared" si="175"/>
        <v>43423</v>
      </c>
      <c r="B8725" s="111">
        <f t="shared" si="176"/>
        <v>113</v>
      </c>
    </row>
    <row r="8726" spans="1:2" x14ac:dyDescent="0.2">
      <c r="A8726" s="112">
        <f t="shared" si="175"/>
        <v>43424</v>
      </c>
      <c r="B8726" s="111">
        <f t="shared" si="176"/>
        <v>113</v>
      </c>
    </row>
    <row r="8727" spans="1:2" x14ac:dyDescent="0.2">
      <c r="A8727" s="112">
        <f t="shared" si="175"/>
        <v>43425</v>
      </c>
      <c r="B8727" s="111">
        <f t="shared" si="176"/>
        <v>113</v>
      </c>
    </row>
    <row r="8728" spans="1:2" x14ac:dyDescent="0.2">
      <c r="A8728" s="112">
        <f t="shared" si="175"/>
        <v>43426</v>
      </c>
      <c r="B8728" s="111">
        <f t="shared" si="176"/>
        <v>113</v>
      </c>
    </row>
    <row r="8729" spans="1:2" x14ac:dyDescent="0.2">
      <c r="A8729" s="112">
        <f t="shared" si="175"/>
        <v>43427</v>
      </c>
      <c r="B8729" s="111">
        <f t="shared" si="176"/>
        <v>113</v>
      </c>
    </row>
    <row r="8730" spans="1:2" x14ac:dyDescent="0.2">
      <c r="A8730" s="112">
        <f t="shared" si="175"/>
        <v>43428</v>
      </c>
      <c r="B8730" s="111">
        <f t="shared" si="176"/>
        <v>113</v>
      </c>
    </row>
    <row r="8731" spans="1:2" x14ac:dyDescent="0.2">
      <c r="A8731" s="112">
        <f t="shared" si="175"/>
        <v>43429</v>
      </c>
      <c r="B8731" s="111">
        <f t="shared" si="176"/>
        <v>114</v>
      </c>
    </row>
    <row r="8732" spans="1:2" x14ac:dyDescent="0.2">
      <c r="A8732" s="112">
        <f t="shared" si="175"/>
        <v>43430</v>
      </c>
      <c r="B8732" s="111">
        <f t="shared" si="176"/>
        <v>114</v>
      </c>
    </row>
    <row r="8733" spans="1:2" x14ac:dyDescent="0.2">
      <c r="A8733" s="112">
        <f t="shared" si="175"/>
        <v>43431</v>
      </c>
      <c r="B8733" s="111">
        <f t="shared" si="176"/>
        <v>114</v>
      </c>
    </row>
    <row r="8734" spans="1:2" x14ac:dyDescent="0.2">
      <c r="A8734" s="112">
        <f t="shared" si="175"/>
        <v>43432</v>
      </c>
      <c r="B8734" s="111">
        <f t="shared" si="176"/>
        <v>114</v>
      </c>
    </row>
    <row r="8735" spans="1:2" x14ac:dyDescent="0.2">
      <c r="A8735" s="112">
        <f t="shared" ref="A8735:A8798" si="177">A8734+1</f>
        <v>43433</v>
      </c>
      <c r="B8735" s="111">
        <f t="shared" si="176"/>
        <v>114</v>
      </c>
    </row>
    <row r="8736" spans="1:2" x14ac:dyDescent="0.2">
      <c r="A8736" s="112">
        <f t="shared" si="177"/>
        <v>43434</v>
      </c>
      <c r="B8736" s="111">
        <f t="shared" si="176"/>
        <v>114</v>
      </c>
    </row>
    <row r="8737" spans="1:2" x14ac:dyDescent="0.2">
      <c r="A8737" s="112">
        <f t="shared" si="177"/>
        <v>43435</v>
      </c>
      <c r="B8737" s="111">
        <f t="shared" si="176"/>
        <v>114</v>
      </c>
    </row>
    <row r="8738" spans="1:2" x14ac:dyDescent="0.2">
      <c r="A8738" s="112">
        <f t="shared" si="177"/>
        <v>43436</v>
      </c>
      <c r="B8738" s="111">
        <f t="shared" si="176"/>
        <v>115</v>
      </c>
    </row>
    <row r="8739" spans="1:2" x14ac:dyDescent="0.2">
      <c r="A8739" s="112">
        <f t="shared" si="177"/>
        <v>43437</v>
      </c>
      <c r="B8739" s="111">
        <f t="shared" si="176"/>
        <v>115</v>
      </c>
    </row>
    <row r="8740" spans="1:2" x14ac:dyDescent="0.2">
      <c r="A8740" s="112">
        <f t="shared" si="177"/>
        <v>43438</v>
      </c>
      <c r="B8740" s="111">
        <f t="shared" si="176"/>
        <v>115</v>
      </c>
    </row>
    <row r="8741" spans="1:2" x14ac:dyDescent="0.2">
      <c r="A8741" s="112">
        <f t="shared" si="177"/>
        <v>43439</v>
      </c>
      <c r="B8741" s="111">
        <f t="shared" si="176"/>
        <v>115</v>
      </c>
    </row>
    <row r="8742" spans="1:2" x14ac:dyDescent="0.2">
      <c r="A8742" s="112">
        <f t="shared" si="177"/>
        <v>43440</v>
      </c>
      <c r="B8742" s="111">
        <f t="shared" si="176"/>
        <v>115</v>
      </c>
    </row>
    <row r="8743" spans="1:2" x14ac:dyDescent="0.2">
      <c r="A8743" s="112">
        <f t="shared" si="177"/>
        <v>43441</v>
      </c>
      <c r="B8743" s="111">
        <f t="shared" si="176"/>
        <v>115</v>
      </c>
    </row>
    <row r="8744" spans="1:2" x14ac:dyDescent="0.2">
      <c r="A8744" s="112">
        <f t="shared" si="177"/>
        <v>43442</v>
      </c>
      <c r="B8744" s="111">
        <f t="shared" si="176"/>
        <v>115</v>
      </c>
    </row>
    <row r="8745" spans="1:2" x14ac:dyDescent="0.2">
      <c r="A8745" s="112">
        <f t="shared" si="177"/>
        <v>43443</v>
      </c>
      <c r="B8745" s="111">
        <f t="shared" si="176"/>
        <v>121</v>
      </c>
    </row>
    <row r="8746" spans="1:2" x14ac:dyDescent="0.2">
      <c r="A8746" s="112">
        <f t="shared" si="177"/>
        <v>43444</v>
      </c>
      <c r="B8746" s="111">
        <f t="shared" si="176"/>
        <v>121</v>
      </c>
    </row>
    <row r="8747" spans="1:2" x14ac:dyDescent="0.2">
      <c r="A8747" s="112">
        <f t="shared" si="177"/>
        <v>43445</v>
      </c>
      <c r="B8747" s="111">
        <f t="shared" si="176"/>
        <v>121</v>
      </c>
    </row>
    <row r="8748" spans="1:2" x14ac:dyDescent="0.2">
      <c r="A8748" s="112">
        <f t="shared" si="177"/>
        <v>43446</v>
      </c>
      <c r="B8748" s="111">
        <f t="shared" si="176"/>
        <v>121</v>
      </c>
    </row>
    <row r="8749" spans="1:2" x14ac:dyDescent="0.2">
      <c r="A8749" s="112">
        <f t="shared" si="177"/>
        <v>43447</v>
      </c>
      <c r="B8749" s="111">
        <f t="shared" si="176"/>
        <v>121</v>
      </c>
    </row>
    <row r="8750" spans="1:2" x14ac:dyDescent="0.2">
      <c r="A8750" s="112">
        <f t="shared" si="177"/>
        <v>43448</v>
      </c>
      <c r="B8750" s="111">
        <f t="shared" si="176"/>
        <v>121</v>
      </c>
    </row>
    <row r="8751" spans="1:2" x14ac:dyDescent="0.2">
      <c r="A8751" s="112">
        <f t="shared" si="177"/>
        <v>43449</v>
      </c>
      <c r="B8751" s="111">
        <f t="shared" si="176"/>
        <v>121</v>
      </c>
    </row>
    <row r="8752" spans="1:2" x14ac:dyDescent="0.2">
      <c r="A8752" s="112">
        <f t="shared" si="177"/>
        <v>43450</v>
      </c>
      <c r="B8752" s="111">
        <f t="shared" si="176"/>
        <v>122</v>
      </c>
    </row>
    <row r="8753" spans="1:2" x14ac:dyDescent="0.2">
      <c r="A8753" s="112">
        <f t="shared" si="177"/>
        <v>43451</v>
      </c>
      <c r="B8753" s="111">
        <f t="shared" si="176"/>
        <v>122</v>
      </c>
    </row>
    <row r="8754" spans="1:2" x14ac:dyDescent="0.2">
      <c r="A8754" s="112">
        <f t="shared" si="177"/>
        <v>43452</v>
      </c>
      <c r="B8754" s="111">
        <f t="shared" ref="B8754:B8767" si="178">VLOOKUP(WEEKNUM(A8754),$D$3:$E$58,2)</f>
        <v>122</v>
      </c>
    </row>
    <row r="8755" spans="1:2" x14ac:dyDescent="0.2">
      <c r="A8755" s="112">
        <f t="shared" si="177"/>
        <v>43453</v>
      </c>
      <c r="B8755" s="111">
        <f t="shared" si="178"/>
        <v>122</v>
      </c>
    </row>
    <row r="8756" spans="1:2" x14ac:dyDescent="0.2">
      <c r="A8756" s="112">
        <f t="shared" si="177"/>
        <v>43454</v>
      </c>
      <c r="B8756" s="111">
        <f t="shared" si="178"/>
        <v>122</v>
      </c>
    </row>
    <row r="8757" spans="1:2" x14ac:dyDescent="0.2">
      <c r="A8757" s="112">
        <f t="shared" si="177"/>
        <v>43455</v>
      </c>
      <c r="B8757" s="111">
        <f t="shared" si="178"/>
        <v>122</v>
      </c>
    </row>
    <row r="8758" spans="1:2" x14ac:dyDescent="0.2">
      <c r="A8758" s="112">
        <f t="shared" si="177"/>
        <v>43456</v>
      </c>
      <c r="B8758" s="111">
        <f t="shared" si="178"/>
        <v>122</v>
      </c>
    </row>
    <row r="8759" spans="1:2" x14ac:dyDescent="0.2">
      <c r="A8759" s="112">
        <f t="shared" si="177"/>
        <v>43457</v>
      </c>
      <c r="B8759" s="111">
        <f t="shared" si="178"/>
        <v>123</v>
      </c>
    </row>
    <row r="8760" spans="1:2" x14ac:dyDescent="0.2">
      <c r="A8760" s="112">
        <f t="shared" si="177"/>
        <v>43458</v>
      </c>
      <c r="B8760" s="111">
        <f t="shared" si="178"/>
        <v>123</v>
      </c>
    </row>
    <row r="8761" spans="1:2" x14ac:dyDescent="0.2">
      <c r="A8761" s="112">
        <f t="shared" si="177"/>
        <v>43459</v>
      </c>
      <c r="B8761" s="111">
        <f t="shared" si="178"/>
        <v>123</v>
      </c>
    </row>
    <row r="8762" spans="1:2" x14ac:dyDescent="0.2">
      <c r="A8762" s="112">
        <f t="shared" si="177"/>
        <v>43460</v>
      </c>
      <c r="B8762" s="111">
        <f t="shared" si="178"/>
        <v>123</v>
      </c>
    </row>
    <row r="8763" spans="1:2" x14ac:dyDescent="0.2">
      <c r="A8763" s="112">
        <f t="shared" si="177"/>
        <v>43461</v>
      </c>
      <c r="B8763" s="111">
        <f t="shared" si="178"/>
        <v>123</v>
      </c>
    </row>
    <row r="8764" spans="1:2" x14ac:dyDescent="0.2">
      <c r="A8764" s="112">
        <f t="shared" si="177"/>
        <v>43462</v>
      </c>
      <c r="B8764" s="111">
        <f t="shared" si="178"/>
        <v>123</v>
      </c>
    </row>
    <row r="8765" spans="1:2" x14ac:dyDescent="0.2">
      <c r="A8765" s="112">
        <f t="shared" si="177"/>
        <v>43463</v>
      </c>
      <c r="B8765" s="111">
        <f t="shared" si="178"/>
        <v>123</v>
      </c>
    </row>
    <row r="8766" spans="1:2" x14ac:dyDescent="0.2">
      <c r="A8766" s="112">
        <f t="shared" si="177"/>
        <v>43464</v>
      </c>
      <c r="B8766" s="111">
        <f t="shared" si="178"/>
        <v>124</v>
      </c>
    </row>
    <row r="8767" spans="1:2" x14ac:dyDescent="0.2">
      <c r="A8767" s="112">
        <f t="shared" si="177"/>
        <v>43465</v>
      </c>
      <c r="B8767" s="111">
        <f t="shared" si="178"/>
        <v>124</v>
      </c>
    </row>
    <row r="8768" spans="1:2" x14ac:dyDescent="0.2">
      <c r="A8768" s="112">
        <f t="shared" si="177"/>
        <v>43466</v>
      </c>
      <c r="B8768" s="111">
        <f t="shared" ref="B8768:B8803" si="179">VLOOKUP(WEEKNUM(A8768),$D$3:$E$58,2)</f>
        <v>11</v>
      </c>
    </row>
    <row r="8769" spans="1:2" x14ac:dyDescent="0.2">
      <c r="A8769" s="112">
        <f t="shared" si="177"/>
        <v>43467</v>
      </c>
      <c r="B8769" s="111">
        <f t="shared" si="179"/>
        <v>11</v>
      </c>
    </row>
    <row r="8770" spans="1:2" x14ac:dyDescent="0.2">
      <c r="A8770" s="112">
        <f t="shared" si="177"/>
        <v>43468</v>
      </c>
      <c r="B8770" s="111">
        <f t="shared" si="179"/>
        <v>11</v>
      </c>
    </row>
    <row r="8771" spans="1:2" x14ac:dyDescent="0.2">
      <c r="A8771" s="112">
        <f t="shared" si="177"/>
        <v>43469</v>
      </c>
      <c r="B8771" s="111">
        <f t="shared" si="179"/>
        <v>11</v>
      </c>
    </row>
    <row r="8772" spans="1:2" x14ac:dyDescent="0.2">
      <c r="A8772" s="112">
        <f t="shared" si="177"/>
        <v>43470</v>
      </c>
      <c r="B8772" s="111">
        <f t="shared" si="179"/>
        <v>11</v>
      </c>
    </row>
    <row r="8773" spans="1:2" x14ac:dyDescent="0.2">
      <c r="A8773" s="112">
        <f t="shared" si="177"/>
        <v>43471</v>
      </c>
      <c r="B8773" s="111">
        <f t="shared" si="179"/>
        <v>12</v>
      </c>
    </row>
    <row r="8774" spans="1:2" x14ac:dyDescent="0.2">
      <c r="A8774" s="112">
        <f t="shared" si="177"/>
        <v>43472</v>
      </c>
      <c r="B8774" s="111">
        <f t="shared" si="179"/>
        <v>12</v>
      </c>
    </row>
    <row r="8775" spans="1:2" x14ac:dyDescent="0.2">
      <c r="A8775" s="112">
        <f t="shared" si="177"/>
        <v>43473</v>
      </c>
      <c r="B8775" s="111">
        <f t="shared" si="179"/>
        <v>12</v>
      </c>
    </row>
    <row r="8776" spans="1:2" x14ac:dyDescent="0.2">
      <c r="A8776" s="112">
        <f t="shared" si="177"/>
        <v>43474</v>
      </c>
      <c r="B8776" s="111">
        <f t="shared" si="179"/>
        <v>12</v>
      </c>
    </row>
    <row r="8777" spans="1:2" x14ac:dyDescent="0.2">
      <c r="A8777" s="112">
        <f t="shared" si="177"/>
        <v>43475</v>
      </c>
      <c r="B8777" s="111">
        <f t="shared" si="179"/>
        <v>12</v>
      </c>
    </row>
    <row r="8778" spans="1:2" x14ac:dyDescent="0.2">
      <c r="A8778" s="112">
        <f t="shared" si="177"/>
        <v>43476</v>
      </c>
      <c r="B8778" s="111">
        <f t="shared" si="179"/>
        <v>12</v>
      </c>
    </row>
    <row r="8779" spans="1:2" x14ac:dyDescent="0.2">
      <c r="A8779" s="112">
        <f t="shared" si="177"/>
        <v>43477</v>
      </c>
      <c r="B8779" s="111">
        <f t="shared" si="179"/>
        <v>12</v>
      </c>
    </row>
    <row r="8780" spans="1:2" x14ac:dyDescent="0.2">
      <c r="A8780" s="112">
        <f t="shared" si="177"/>
        <v>43478</v>
      </c>
      <c r="B8780" s="111">
        <f t="shared" si="179"/>
        <v>13</v>
      </c>
    </row>
    <row r="8781" spans="1:2" x14ac:dyDescent="0.2">
      <c r="A8781" s="112">
        <f t="shared" si="177"/>
        <v>43479</v>
      </c>
      <c r="B8781" s="111">
        <f t="shared" si="179"/>
        <v>13</v>
      </c>
    </row>
    <row r="8782" spans="1:2" x14ac:dyDescent="0.2">
      <c r="A8782" s="112">
        <f t="shared" si="177"/>
        <v>43480</v>
      </c>
      <c r="B8782" s="111">
        <f t="shared" si="179"/>
        <v>13</v>
      </c>
    </row>
    <row r="8783" spans="1:2" x14ac:dyDescent="0.2">
      <c r="A8783" s="112">
        <f t="shared" si="177"/>
        <v>43481</v>
      </c>
      <c r="B8783" s="111">
        <f t="shared" si="179"/>
        <v>13</v>
      </c>
    </row>
    <row r="8784" spans="1:2" x14ac:dyDescent="0.2">
      <c r="A8784" s="112">
        <f t="shared" si="177"/>
        <v>43482</v>
      </c>
      <c r="B8784" s="111">
        <f t="shared" si="179"/>
        <v>13</v>
      </c>
    </row>
    <row r="8785" spans="1:2" x14ac:dyDescent="0.2">
      <c r="A8785" s="112">
        <f t="shared" si="177"/>
        <v>43483</v>
      </c>
      <c r="B8785" s="111">
        <f t="shared" si="179"/>
        <v>13</v>
      </c>
    </row>
    <row r="8786" spans="1:2" x14ac:dyDescent="0.2">
      <c r="A8786" s="112">
        <f t="shared" si="177"/>
        <v>43484</v>
      </c>
      <c r="B8786" s="111">
        <f t="shared" si="179"/>
        <v>13</v>
      </c>
    </row>
    <row r="8787" spans="1:2" x14ac:dyDescent="0.2">
      <c r="A8787" s="112">
        <f t="shared" si="177"/>
        <v>43485</v>
      </c>
      <c r="B8787" s="111">
        <f t="shared" si="179"/>
        <v>14</v>
      </c>
    </row>
    <row r="8788" spans="1:2" x14ac:dyDescent="0.2">
      <c r="A8788" s="112">
        <f t="shared" si="177"/>
        <v>43486</v>
      </c>
      <c r="B8788" s="111">
        <f t="shared" si="179"/>
        <v>14</v>
      </c>
    </row>
    <row r="8789" spans="1:2" x14ac:dyDescent="0.2">
      <c r="A8789" s="112">
        <f t="shared" si="177"/>
        <v>43487</v>
      </c>
      <c r="B8789" s="111">
        <f t="shared" si="179"/>
        <v>14</v>
      </c>
    </row>
    <row r="8790" spans="1:2" x14ac:dyDescent="0.2">
      <c r="A8790" s="112">
        <f t="shared" si="177"/>
        <v>43488</v>
      </c>
      <c r="B8790" s="111">
        <f t="shared" si="179"/>
        <v>14</v>
      </c>
    </row>
    <row r="8791" spans="1:2" x14ac:dyDescent="0.2">
      <c r="A8791" s="112">
        <f t="shared" si="177"/>
        <v>43489</v>
      </c>
      <c r="B8791" s="111">
        <f t="shared" si="179"/>
        <v>14</v>
      </c>
    </row>
    <row r="8792" spans="1:2" x14ac:dyDescent="0.2">
      <c r="A8792" s="112">
        <f t="shared" si="177"/>
        <v>43490</v>
      </c>
      <c r="B8792" s="111">
        <f t="shared" si="179"/>
        <v>14</v>
      </c>
    </row>
    <row r="8793" spans="1:2" x14ac:dyDescent="0.2">
      <c r="A8793" s="112">
        <f t="shared" si="177"/>
        <v>43491</v>
      </c>
      <c r="B8793" s="111">
        <f t="shared" si="179"/>
        <v>14</v>
      </c>
    </row>
    <row r="8794" spans="1:2" x14ac:dyDescent="0.2">
      <c r="A8794" s="112">
        <f t="shared" si="177"/>
        <v>43492</v>
      </c>
      <c r="B8794" s="111">
        <f t="shared" si="179"/>
        <v>15</v>
      </c>
    </row>
    <row r="8795" spans="1:2" x14ac:dyDescent="0.2">
      <c r="A8795" s="112">
        <f t="shared" si="177"/>
        <v>43493</v>
      </c>
      <c r="B8795" s="111">
        <f t="shared" si="179"/>
        <v>15</v>
      </c>
    </row>
    <row r="8796" spans="1:2" x14ac:dyDescent="0.2">
      <c r="A8796" s="112">
        <f t="shared" si="177"/>
        <v>43494</v>
      </c>
      <c r="B8796" s="111">
        <f t="shared" si="179"/>
        <v>15</v>
      </c>
    </row>
    <row r="8797" spans="1:2" x14ac:dyDescent="0.2">
      <c r="A8797" s="112">
        <f t="shared" si="177"/>
        <v>43495</v>
      </c>
      <c r="B8797" s="111">
        <f t="shared" si="179"/>
        <v>15</v>
      </c>
    </row>
    <row r="8798" spans="1:2" x14ac:dyDescent="0.2">
      <c r="A8798" s="112">
        <f t="shared" si="177"/>
        <v>43496</v>
      </c>
      <c r="B8798" s="111">
        <f t="shared" si="179"/>
        <v>15</v>
      </c>
    </row>
    <row r="8799" spans="1:2" x14ac:dyDescent="0.2">
      <c r="A8799" s="112">
        <f>A8798+1</f>
        <v>43497</v>
      </c>
      <c r="B8799" s="111">
        <f t="shared" si="179"/>
        <v>15</v>
      </c>
    </row>
    <row r="8800" spans="1:2" x14ac:dyDescent="0.2">
      <c r="A8800" s="112">
        <f>A8799+1</f>
        <v>43498</v>
      </c>
      <c r="B8800" s="111">
        <f t="shared" si="179"/>
        <v>15</v>
      </c>
    </row>
    <row r="8801" spans="1:2" x14ac:dyDescent="0.2">
      <c r="A8801" s="112">
        <f>A8800+1</f>
        <v>43499</v>
      </c>
      <c r="B8801" s="111">
        <f t="shared" si="179"/>
        <v>21</v>
      </c>
    </row>
    <row r="8802" spans="1:2" x14ac:dyDescent="0.2">
      <c r="A8802" s="112">
        <f>A8801+1</f>
        <v>43500</v>
      </c>
      <c r="B8802" s="111">
        <f t="shared" si="179"/>
        <v>21</v>
      </c>
    </row>
    <row r="8803" spans="1:2" x14ac:dyDescent="0.2">
      <c r="A8803" s="112">
        <f>A8802+1</f>
        <v>43501</v>
      </c>
      <c r="B8803" s="111">
        <f t="shared" si="179"/>
        <v>21</v>
      </c>
    </row>
    <row r="8804" spans="1:2" x14ac:dyDescent="0.2">
      <c r="A8804" s="112">
        <f t="shared" ref="A8804:A8867" si="180">A8803+1</f>
        <v>43502</v>
      </c>
      <c r="B8804" s="111">
        <f t="shared" ref="B8804:B8825" si="181">VLOOKUP(WEEKNUM(A8804),$D$3:$E$58,2)</f>
        <v>21</v>
      </c>
    </row>
    <row r="8805" spans="1:2" x14ac:dyDescent="0.2">
      <c r="A8805" s="112">
        <f t="shared" si="180"/>
        <v>43503</v>
      </c>
      <c r="B8805" s="111">
        <f t="shared" si="181"/>
        <v>21</v>
      </c>
    </row>
    <row r="8806" spans="1:2" x14ac:dyDescent="0.2">
      <c r="A8806" s="112">
        <f t="shared" si="180"/>
        <v>43504</v>
      </c>
      <c r="B8806" s="111">
        <f t="shared" si="181"/>
        <v>21</v>
      </c>
    </row>
    <row r="8807" spans="1:2" x14ac:dyDescent="0.2">
      <c r="A8807" s="112">
        <f t="shared" si="180"/>
        <v>43505</v>
      </c>
      <c r="B8807" s="111">
        <f t="shared" si="181"/>
        <v>21</v>
      </c>
    </row>
    <row r="8808" spans="1:2" x14ac:dyDescent="0.2">
      <c r="A8808" s="112">
        <f t="shared" si="180"/>
        <v>43506</v>
      </c>
      <c r="B8808" s="111">
        <f t="shared" si="181"/>
        <v>22</v>
      </c>
    </row>
    <row r="8809" spans="1:2" x14ac:dyDescent="0.2">
      <c r="A8809" s="112">
        <f t="shared" si="180"/>
        <v>43507</v>
      </c>
      <c r="B8809" s="111">
        <f t="shared" si="181"/>
        <v>22</v>
      </c>
    </row>
    <row r="8810" spans="1:2" x14ac:dyDescent="0.2">
      <c r="A8810" s="112">
        <f t="shared" si="180"/>
        <v>43508</v>
      </c>
      <c r="B8810" s="111">
        <f t="shared" si="181"/>
        <v>22</v>
      </c>
    </row>
    <row r="8811" spans="1:2" x14ac:dyDescent="0.2">
      <c r="A8811" s="112">
        <f t="shared" si="180"/>
        <v>43509</v>
      </c>
      <c r="B8811" s="111">
        <f t="shared" si="181"/>
        <v>22</v>
      </c>
    </row>
    <row r="8812" spans="1:2" x14ac:dyDescent="0.2">
      <c r="A8812" s="112">
        <f t="shared" si="180"/>
        <v>43510</v>
      </c>
      <c r="B8812" s="111">
        <f t="shared" si="181"/>
        <v>22</v>
      </c>
    </row>
    <row r="8813" spans="1:2" x14ac:dyDescent="0.2">
      <c r="A8813" s="112">
        <f t="shared" si="180"/>
        <v>43511</v>
      </c>
      <c r="B8813" s="111">
        <f t="shared" si="181"/>
        <v>22</v>
      </c>
    </row>
    <row r="8814" spans="1:2" x14ac:dyDescent="0.2">
      <c r="A8814" s="112">
        <f t="shared" si="180"/>
        <v>43512</v>
      </c>
      <c r="B8814" s="111">
        <f t="shared" si="181"/>
        <v>22</v>
      </c>
    </row>
    <row r="8815" spans="1:2" x14ac:dyDescent="0.2">
      <c r="A8815" s="112">
        <f t="shared" si="180"/>
        <v>43513</v>
      </c>
      <c r="B8815" s="111">
        <f t="shared" si="181"/>
        <v>23</v>
      </c>
    </row>
    <row r="8816" spans="1:2" x14ac:dyDescent="0.2">
      <c r="A8816" s="112">
        <f t="shared" si="180"/>
        <v>43514</v>
      </c>
      <c r="B8816" s="111">
        <f t="shared" si="181"/>
        <v>23</v>
      </c>
    </row>
    <row r="8817" spans="1:2" x14ac:dyDescent="0.2">
      <c r="A8817" s="112">
        <f t="shared" si="180"/>
        <v>43515</v>
      </c>
      <c r="B8817" s="111">
        <f t="shared" si="181"/>
        <v>23</v>
      </c>
    </row>
    <row r="8818" spans="1:2" x14ac:dyDescent="0.2">
      <c r="A8818" s="112">
        <f t="shared" si="180"/>
        <v>43516</v>
      </c>
      <c r="B8818" s="111">
        <f t="shared" si="181"/>
        <v>23</v>
      </c>
    </row>
    <row r="8819" spans="1:2" x14ac:dyDescent="0.2">
      <c r="A8819" s="112">
        <f t="shared" si="180"/>
        <v>43517</v>
      </c>
      <c r="B8819" s="111">
        <f t="shared" si="181"/>
        <v>23</v>
      </c>
    </row>
    <row r="8820" spans="1:2" x14ac:dyDescent="0.2">
      <c r="A8820" s="112">
        <f t="shared" si="180"/>
        <v>43518</v>
      </c>
      <c r="B8820" s="111">
        <f t="shared" si="181"/>
        <v>23</v>
      </c>
    </row>
    <row r="8821" spans="1:2" x14ac:dyDescent="0.2">
      <c r="A8821" s="112">
        <f t="shared" si="180"/>
        <v>43519</v>
      </c>
      <c r="B8821" s="111">
        <f t="shared" si="181"/>
        <v>23</v>
      </c>
    </row>
    <row r="8822" spans="1:2" x14ac:dyDescent="0.2">
      <c r="A8822" s="112">
        <f t="shared" si="180"/>
        <v>43520</v>
      </c>
      <c r="B8822" s="111">
        <f t="shared" si="181"/>
        <v>24</v>
      </c>
    </row>
    <row r="8823" spans="1:2" x14ac:dyDescent="0.2">
      <c r="A8823" s="112">
        <f t="shared" si="180"/>
        <v>43521</v>
      </c>
      <c r="B8823" s="111">
        <f t="shared" si="181"/>
        <v>24</v>
      </c>
    </row>
    <row r="8824" spans="1:2" x14ac:dyDescent="0.2">
      <c r="A8824" s="112">
        <f t="shared" si="180"/>
        <v>43522</v>
      </c>
      <c r="B8824" s="111">
        <f t="shared" si="181"/>
        <v>24</v>
      </c>
    </row>
    <row r="8825" spans="1:2" x14ac:dyDescent="0.2">
      <c r="A8825" s="112">
        <f t="shared" si="180"/>
        <v>43523</v>
      </c>
      <c r="B8825" s="111">
        <f t="shared" si="181"/>
        <v>24</v>
      </c>
    </row>
    <row r="8826" spans="1:2" x14ac:dyDescent="0.2">
      <c r="A8826" s="112">
        <f t="shared" si="180"/>
        <v>43524</v>
      </c>
      <c r="B8826" s="111">
        <f t="shared" ref="B8826:B8889" si="182">VLOOKUP(WEEKNUM(A8826),$D$3:$E$58,2)</f>
        <v>24</v>
      </c>
    </row>
    <row r="8827" spans="1:2" x14ac:dyDescent="0.2">
      <c r="A8827" s="112">
        <f t="shared" si="180"/>
        <v>43525</v>
      </c>
      <c r="B8827" s="111">
        <f t="shared" si="182"/>
        <v>24</v>
      </c>
    </row>
    <row r="8828" spans="1:2" x14ac:dyDescent="0.2">
      <c r="A8828" s="112">
        <f t="shared" si="180"/>
        <v>43526</v>
      </c>
      <c r="B8828" s="111">
        <f t="shared" si="182"/>
        <v>24</v>
      </c>
    </row>
    <row r="8829" spans="1:2" x14ac:dyDescent="0.2">
      <c r="A8829" s="112">
        <f t="shared" si="180"/>
        <v>43527</v>
      </c>
      <c r="B8829" s="111">
        <f t="shared" si="182"/>
        <v>31</v>
      </c>
    </row>
    <row r="8830" spans="1:2" x14ac:dyDescent="0.2">
      <c r="A8830" s="112">
        <f t="shared" si="180"/>
        <v>43528</v>
      </c>
      <c r="B8830" s="111">
        <f t="shared" si="182"/>
        <v>31</v>
      </c>
    </row>
    <row r="8831" spans="1:2" x14ac:dyDescent="0.2">
      <c r="A8831" s="112">
        <f t="shared" si="180"/>
        <v>43529</v>
      </c>
      <c r="B8831" s="111">
        <f t="shared" si="182"/>
        <v>31</v>
      </c>
    </row>
    <row r="8832" spans="1:2" x14ac:dyDescent="0.2">
      <c r="A8832" s="112">
        <f t="shared" si="180"/>
        <v>43530</v>
      </c>
      <c r="B8832" s="111">
        <f t="shared" si="182"/>
        <v>31</v>
      </c>
    </row>
    <row r="8833" spans="1:2" x14ac:dyDescent="0.2">
      <c r="A8833" s="112">
        <f t="shared" si="180"/>
        <v>43531</v>
      </c>
      <c r="B8833" s="111">
        <f t="shared" si="182"/>
        <v>31</v>
      </c>
    </row>
    <row r="8834" spans="1:2" x14ac:dyDescent="0.2">
      <c r="A8834" s="112">
        <f t="shared" si="180"/>
        <v>43532</v>
      </c>
      <c r="B8834" s="111">
        <f t="shared" si="182"/>
        <v>31</v>
      </c>
    </row>
    <row r="8835" spans="1:2" x14ac:dyDescent="0.2">
      <c r="A8835" s="112">
        <f t="shared" si="180"/>
        <v>43533</v>
      </c>
      <c r="B8835" s="111">
        <f t="shared" si="182"/>
        <v>31</v>
      </c>
    </row>
    <row r="8836" spans="1:2" x14ac:dyDescent="0.2">
      <c r="A8836" s="112">
        <f t="shared" si="180"/>
        <v>43534</v>
      </c>
      <c r="B8836" s="111">
        <f t="shared" si="182"/>
        <v>32</v>
      </c>
    </row>
    <row r="8837" spans="1:2" x14ac:dyDescent="0.2">
      <c r="A8837" s="112">
        <f t="shared" si="180"/>
        <v>43535</v>
      </c>
      <c r="B8837" s="111">
        <f t="shared" si="182"/>
        <v>32</v>
      </c>
    </row>
    <row r="8838" spans="1:2" x14ac:dyDescent="0.2">
      <c r="A8838" s="112">
        <f t="shared" si="180"/>
        <v>43536</v>
      </c>
      <c r="B8838" s="111">
        <f t="shared" si="182"/>
        <v>32</v>
      </c>
    </row>
    <row r="8839" spans="1:2" x14ac:dyDescent="0.2">
      <c r="A8839" s="112">
        <f t="shared" si="180"/>
        <v>43537</v>
      </c>
      <c r="B8839" s="111">
        <f t="shared" si="182"/>
        <v>32</v>
      </c>
    </row>
    <row r="8840" spans="1:2" x14ac:dyDescent="0.2">
      <c r="A8840" s="112">
        <f t="shared" si="180"/>
        <v>43538</v>
      </c>
      <c r="B8840" s="111">
        <f t="shared" si="182"/>
        <v>32</v>
      </c>
    </row>
    <row r="8841" spans="1:2" x14ac:dyDescent="0.2">
      <c r="A8841" s="112">
        <f t="shared" si="180"/>
        <v>43539</v>
      </c>
      <c r="B8841" s="111">
        <f t="shared" si="182"/>
        <v>32</v>
      </c>
    </row>
    <row r="8842" spans="1:2" x14ac:dyDescent="0.2">
      <c r="A8842" s="112">
        <f t="shared" si="180"/>
        <v>43540</v>
      </c>
      <c r="B8842" s="111">
        <f t="shared" si="182"/>
        <v>32</v>
      </c>
    </row>
    <row r="8843" spans="1:2" x14ac:dyDescent="0.2">
      <c r="A8843" s="112">
        <f t="shared" si="180"/>
        <v>43541</v>
      </c>
      <c r="B8843" s="111">
        <f t="shared" si="182"/>
        <v>33</v>
      </c>
    </row>
    <row r="8844" spans="1:2" x14ac:dyDescent="0.2">
      <c r="A8844" s="112">
        <f t="shared" si="180"/>
        <v>43542</v>
      </c>
      <c r="B8844" s="111">
        <f t="shared" si="182"/>
        <v>33</v>
      </c>
    </row>
    <row r="8845" spans="1:2" x14ac:dyDescent="0.2">
      <c r="A8845" s="112">
        <f t="shared" si="180"/>
        <v>43543</v>
      </c>
      <c r="B8845" s="111">
        <f t="shared" si="182"/>
        <v>33</v>
      </c>
    </row>
    <row r="8846" spans="1:2" x14ac:dyDescent="0.2">
      <c r="A8846" s="112">
        <f t="shared" si="180"/>
        <v>43544</v>
      </c>
      <c r="B8846" s="111">
        <f t="shared" si="182"/>
        <v>33</v>
      </c>
    </row>
    <row r="8847" spans="1:2" x14ac:dyDescent="0.2">
      <c r="A8847" s="112">
        <f t="shared" si="180"/>
        <v>43545</v>
      </c>
      <c r="B8847" s="111">
        <f t="shared" si="182"/>
        <v>33</v>
      </c>
    </row>
    <row r="8848" spans="1:2" x14ac:dyDescent="0.2">
      <c r="A8848" s="112">
        <f t="shared" si="180"/>
        <v>43546</v>
      </c>
      <c r="B8848" s="111">
        <f t="shared" si="182"/>
        <v>33</v>
      </c>
    </row>
    <row r="8849" spans="1:2" x14ac:dyDescent="0.2">
      <c r="A8849" s="112">
        <f t="shared" si="180"/>
        <v>43547</v>
      </c>
      <c r="B8849" s="111">
        <f t="shared" si="182"/>
        <v>33</v>
      </c>
    </row>
    <row r="8850" spans="1:2" x14ac:dyDescent="0.2">
      <c r="A8850" s="112">
        <f t="shared" si="180"/>
        <v>43548</v>
      </c>
      <c r="B8850" s="111">
        <f t="shared" si="182"/>
        <v>34</v>
      </c>
    </row>
    <row r="8851" spans="1:2" x14ac:dyDescent="0.2">
      <c r="A8851" s="112">
        <f t="shared" si="180"/>
        <v>43549</v>
      </c>
      <c r="B8851" s="111">
        <f t="shared" si="182"/>
        <v>34</v>
      </c>
    </row>
    <row r="8852" spans="1:2" x14ac:dyDescent="0.2">
      <c r="A8852" s="112">
        <f t="shared" si="180"/>
        <v>43550</v>
      </c>
      <c r="B8852" s="111">
        <f t="shared" si="182"/>
        <v>34</v>
      </c>
    </row>
    <row r="8853" spans="1:2" x14ac:dyDescent="0.2">
      <c r="A8853" s="112">
        <f t="shared" si="180"/>
        <v>43551</v>
      </c>
      <c r="B8853" s="111">
        <f t="shared" si="182"/>
        <v>34</v>
      </c>
    </row>
    <row r="8854" spans="1:2" x14ac:dyDescent="0.2">
      <c r="A8854" s="112">
        <f t="shared" si="180"/>
        <v>43552</v>
      </c>
      <c r="B8854" s="111">
        <f t="shared" si="182"/>
        <v>34</v>
      </c>
    </row>
    <row r="8855" spans="1:2" x14ac:dyDescent="0.2">
      <c r="A8855" s="112">
        <f t="shared" si="180"/>
        <v>43553</v>
      </c>
      <c r="B8855" s="111">
        <f t="shared" si="182"/>
        <v>34</v>
      </c>
    </row>
    <row r="8856" spans="1:2" x14ac:dyDescent="0.2">
      <c r="A8856" s="112">
        <f t="shared" si="180"/>
        <v>43554</v>
      </c>
      <c r="B8856" s="111">
        <f t="shared" si="182"/>
        <v>34</v>
      </c>
    </row>
    <row r="8857" spans="1:2" x14ac:dyDescent="0.2">
      <c r="A8857" s="112">
        <f t="shared" si="180"/>
        <v>43555</v>
      </c>
      <c r="B8857" s="111">
        <f t="shared" si="182"/>
        <v>41</v>
      </c>
    </row>
    <row r="8858" spans="1:2" x14ac:dyDescent="0.2">
      <c r="A8858" s="112">
        <f t="shared" si="180"/>
        <v>43556</v>
      </c>
      <c r="B8858" s="111">
        <f t="shared" si="182"/>
        <v>41</v>
      </c>
    </row>
    <row r="8859" spans="1:2" x14ac:dyDescent="0.2">
      <c r="A8859" s="112">
        <f t="shared" si="180"/>
        <v>43557</v>
      </c>
      <c r="B8859" s="111">
        <f t="shared" si="182"/>
        <v>41</v>
      </c>
    </row>
    <row r="8860" spans="1:2" x14ac:dyDescent="0.2">
      <c r="A8860" s="112">
        <f t="shared" si="180"/>
        <v>43558</v>
      </c>
      <c r="B8860" s="111">
        <f t="shared" si="182"/>
        <v>41</v>
      </c>
    </row>
    <row r="8861" spans="1:2" x14ac:dyDescent="0.2">
      <c r="A8861" s="112">
        <f t="shared" si="180"/>
        <v>43559</v>
      </c>
      <c r="B8861" s="111">
        <f t="shared" si="182"/>
        <v>41</v>
      </c>
    </row>
    <row r="8862" spans="1:2" x14ac:dyDescent="0.2">
      <c r="A8862" s="112">
        <f t="shared" si="180"/>
        <v>43560</v>
      </c>
      <c r="B8862" s="111">
        <f t="shared" si="182"/>
        <v>41</v>
      </c>
    </row>
    <row r="8863" spans="1:2" x14ac:dyDescent="0.2">
      <c r="A8863" s="112">
        <f t="shared" si="180"/>
        <v>43561</v>
      </c>
      <c r="B8863" s="111">
        <f t="shared" si="182"/>
        <v>41</v>
      </c>
    </row>
    <row r="8864" spans="1:2" x14ac:dyDescent="0.2">
      <c r="A8864" s="112">
        <f t="shared" si="180"/>
        <v>43562</v>
      </c>
      <c r="B8864" s="111">
        <f t="shared" si="182"/>
        <v>42</v>
      </c>
    </row>
    <row r="8865" spans="1:2" x14ac:dyDescent="0.2">
      <c r="A8865" s="112">
        <f t="shared" si="180"/>
        <v>43563</v>
      </c>
      <c r="B8865" s="111">
        <f t="shared" si="182"/>
        <v>42</v>
      </c>
    </row>
    <row r="8866" spans="1:2" x14ac:dyDescent="0.2">
      <c r="A8866" s="112">
        <f t="shared" si="180"/>
        <v>43564</v>
      </c>
      <c r="B8866" s="111">
        <f t="shared" si="182"/>
        <v>42</v>
      </c>
    </row>
    <row r="8867" spans="1:2" x14ac:dyDescent="0.2">
      <c r="A8867" s="112">
        <f t="shared" si="180"/>
        <v>43565</v>
      </c>
      <c r="B8867" s="111">
        <f t="shared" si="182"/>
        <v>42</v>
      </c>
    </row>
    <row r="8868" spans="1:2" x14ac:dyDescent="0.2">
      <c r="A8868" s="112">
        <f t="shared" ref="A8868:A8878" si="183">A8867+1</f>
        <v>43566</v>
      </c>
      <c r="B8868" s="111">
        <f t="shared" si="182"/>
        <v>42</v>
      </c>
    </row>
    <row r="8869" spans="1:2" x14ac:dyDescent="0.2">
      <c r="A8869" s="112">
        <f t="shared" si="183"/>
        <v>43567</v>
      </c>
      <c r="B8869" s="111">
        <f t="shared" si="182"/>
        <v>42</v>
      </c>
    </row>
    <row r="8870" spans="1:2" x14ac:dyDescent="0.2">
      <c r="A8870" s="112">
        <f t="shared" si="183"/>
        <v>43568</v>
      </c>
      <c r="B8870" s="111">
        <f t="shared" si="182"/>
        <v>42</v>
      </c>
    </row>
    <row r="8871" spans="1:2" x14ac:dyDescent="0.2">
      <c r="A8871" s="112">
        <f t="shared" si="183"/>
        <v>43569</v>
      </c>
      <c r="B8871" s="111">
        <f t="shared" si="182"/>
        <v>43</v>
      </c>
    </row>
    <row r="8872" spans="1:2" x14ac:dyDescent="0.2">
      <c r="A8872" s="112">
        <f t="shared" si="183"/>
        <v>43570</v>
      </c>
      <c r="B8872" s="111">
        <f t="shared" si="182"/>
        <v>43</v>
      </c>
    </row>
    <row r="8873" spans="1:2" x14ac:dyDescent="0.2">
      <c r="A8873" s="112">
        <f t="shared" si="183"/>
        <v>43571</v>
      </c>
      <c r="B8873" s="111">
        <f t="shared" si="182"/>
        <v>43</v>
      </c>
    </row>
    <row r="8874" spans="1:2" x14ac:dyDescent="0.2">
      <c r="A8874" s="112">
        <f t="shared" si="183"/>
        <v>43572</v>
      </c>
      <c r="B8874" s="111">
        <f t="shared" si="182"/>
        <v>43</v>
      </c>
    </row>
    <row r="8875" spans="1:2" x14ac:dyDescent="0.2">
      <c r="A8875" s="112">
        <f t="shared" si="183"/>
        <v>43573</v>
      </c>
      <c r="B8875" s="111">
        <f t="shared" si="182"/>
        <v>43</v>
      </c>
    </row>
    <row r="8876" spans="1:2" x14ac:dyDescent="0.2">
      <c r="A8876" s="112">
        <f t="shared" si="183"/>
        <v>43574</v>
      </c>
      <c r="B8876" s="111">
        <f t="shared" si="182"/>
        <v>43</v>
      </c>
    </row>
    <row r="8877" spans="1:2" x14ac:dyDescent="0.2">
      <c r="A8877" s="112">
        <f t="shared" si="183"/>
        <v>43575</v>
      </c>
      <c r="B8877" s="111">
        <f t="shared" si="182"/>
        <v>43</v>
      </c>
    </row>
    <row r="8878" spans="1:2" x14ac:dyDescent="0.2">
      <c r="A8878" s="112">
        <f t="shared" si="183"/>
        <v>43576</v>
      </c>
      <c r="B8878" s="111">
        <f t="shared" si="182"/>
        <v>44</v>
      </c>
    </row>
    <row r="8879" spans="1:2" x14ac:dyDescent="0.2">
      <c r="A8879" s="112">
        <f>A8878+1</f>
        <v>43577</v>
      </c>
      <c r="B8879" s="111">
        <f t="shared" si="182"/>
        <v>44</v>
      </c>
    </row>
    <row r="8880" spans="1:2" x14ac:dyDescent="0.2">
      <c r="A8880" s="112">
        <f>A8879+1</f>
        <v>43578</v>
      </c>
      <c r="B8880" s="111">
        <f t="shared" si="182"/>
        <v>44</v>
      </c>
    </row>
    <row r="8881" spans="1:2" x14ac:dyDescent="0.2">
      <c r="A8881" s="112">
        <f>A8880+1</f>
        <v>43579</v>
      </c>
      <c r="B8881" s="111">
        <f t="shared" si="182"/>
        <v>44</v>
      </c>
    </row>
    <row r="8882" spans="1:2" x14ac:dyDescent="0.2">
      <c r="A8882" s="112">
        <f>A8881+1</f>
        <v>43580</v>
      </c>
      <c r="B8882" s="111">
        <f t="shared" si="182"/>
        <v>44</v>
      </c>
    </row>
    <row r="8883" spans="1:2" x14ac:dyDescent="0.2">
      <c r="A8883" s="112">
        <f>A8882+1</f>
        <v>43581</v>
      </c>
      <c r="B8883" s="111">
        <f t="shared" si="182"/>
        <v>44</v>
      </c>
    </row>
    <row r="8884" spans="1:2" x14ac:dyDescent="0.2">
      <c r="A8884" s="112">
        <f t="shared" ref="A8884:A8892" si="184">A8883+1</f>
        <v>43582</v>
      </c>
      <c r="B8884" s="111">
        <f t="shared" si="182"/>
        <v>44</v>
      </c>
    </row>
    <row r="8885" spans="1:2" x14ac:dyDescent="0.2">
      <c r="A8885" s="112">
        <f t="shared" si="184"/>
        <v>43583</v>
      </c>
      <c r="B8885" s="111">
        <f t="shared" si="182"/>
        <v>45</v>
      </c>
    </row>
    <row r="8886" spans="1:2" x14ac:dyDescent="0.2">
      <c r="A8886" s="112">
        <f t="shared" si="184"/>
        <v>43584</v>
      </c>
      <c r="B8886" s="111">
        <f t="shared" si="182"/>
        <v>45</v>
      </c>
    </row>
    <row r="8887" spans="1:2" x14ac:dyDescent="0.2">
      <c r="A8887" s="112">
        <f t="shared" si="184"/>
        <v>43585</v>
      </c>
      <c r="B8887" s="111">
        <f t="shared" si="182"/>
        <v>45</v>
      </c>
    </row>
    <row r="8888" spans="1:2" x14ac:dyDescent="0.2">
      <c r="A8888" s="112">
        <f t="shared" si="184"/>
        <v>43586</v>
      </c>
      <c r="B8888" s="111">
        <f t="shared" si="182"/>
        <v>45</v>
      </c>
    </row>
    <row r="8889" spans="1:2" x14ac:dyDescent="0.2">
      <c r="A8889" s="112">
        <f t="shared" si="184"/>
        <v>43587</v>
      </c>
      <c r="B8889" s="111">
        <f t="shared" si="182"/>
        <v>45</v>
      </c>
    </row>
    <row r="8890" spans="1:2" x14ac:dyDescent="0.2">
      <c r="A8890" s="112">
        <f t="shared" si="184"/>
        <v>43588</v>
      </c>
      <c r="B8890" s="111">
        <f t="shared" ref="B8890:B8953" si="185">VLOOKUP(WEEKNUM(A8890),$D$3:$E$58,2)</f>
        <v>45</v>
      </c>
    </row>
    <row r="8891" spans="1:2" x14ac:dyDescent="0.2">
      <c r="A8891" s="112">
        <f t="shared" si="184"/>
        <v>43589</v>
      </c>
      <c r="B8891" s="111">
        <f t="shared" si="185"/>
        <v>45</v>
      </c>
    </row>
    <row r="8892" spans="1:2" x14ac:dyDescent="0.2">
      <c r="A8892" s="112">
        <f t="shared" si="184"/>
        <v>43590</v>
      </c>
      <c r="B8892" s="111">
        <f t="shared" si="185"/>
        <v>51</v>
      </c>
    </row>
    <row r="8893" spans="1:2" x14ac:dyDescent="0.2">
      <c r="A8893" s="112">
        <f>A8892+1</f>
        <v>43591</v>
      </c>
      <c r="B8893" s="111">
        <f t="shared" si="185"/>
        <v>51</v>
      </c>
    </row>
    <row r="8894" spans="1:2" x14ac:dyDescent="0.2">
      <c r="A8894" s="112">
        <f>A8893+1</f>
        <v>43592</v>
      </c>
      <c r="B8894" s="111">
        <f t="shared" si="185"/>
        <v>51</v>
      </c>
    </row>
    <row r="8895" spans="1:2" x14ac:dyDescent="0.2">
      <c r="A8895" s="112">
        <f>A8894+1</f>
        <v>43593</v>
      </c>
      <c r="B8895" s="111">
        <f t="shared" si="185"/>
        <v>51</v>
      </c>
    </row>
    <row r="8896" spans="1:2" x14ac:dyDescent="0.2">
      <c r="A8896" s="112">
        <f>A8895+1</f>
        <v>43594</v>
      </c>
      <c r="B8896" s="111">
        <f t="shared" si="185"/>
        <v>51</v>
      </c>
    </row>
    <row r="8897" spans="1:2" x14ac:dyDescent="0.2">
      <c r="A8897" s="112">
        <f>A8896+1</f>
        <v>43595</v>
      </c>
      <c r="B8897" s="111">
        <f t="shared" si="185"/>
        <v>51</v>
      </c>
    </row>
    <row r="8898" spans="1:2" x14ac:dyDescent="0.2">
      <c r="A8898" s="112">
        <f t="shared" ref="A8898:A8906" si="186">A8897+1</f>
        <v>43596</v>
      </c>
      <c r="B8898" s="111">
        <f t="shared" si="185"/>
        <v>51</v>
      </c>
    </row>
    <row r="8899" spans="1:2" x14ac:dyDescent="0.2">
      <c r="A8899" s="112">
        <f t="shared" si="186"/>
        <v>43597</v>
      </c>
      <c r="B8899" s="111">
        <f t="shared" si="185"/>
        <v>52</v>
      </c>
    </row>
    <row r="8900" spans="1:2" x14ac:dyDescent="0.2">
      <c r="A8900" s="112">
        <f t="shared" si="186"/>
        <v>43598</v>
      </c>
      <c r="B8900" s="111">
        <f t="shared" si="185"/>
        <v>52</v>
      </c>
    </row>
    <row r="8901" spans="1:2" x14ac:dyDescent="0.2">
      <c r="A8901" s="112">
        <f t="shared" si="186"/>
        <v>43599</v>
      </c>
      <c r="B8901" s="111">
        <f t="shared" si="185"/>
        <v>52</v>
      </c>
    </row>
    <row r="8902" spans="1:2" x14ac:dyDescent="0.2">
      <c r="A8902" s="112">
        <f t="shared" si="186"/>
        <v>43600</v>
      </c>
      <c r="B8902" s="111">
        <f t="shared" si="185"/>
        <v>52</v>
      </c>
    </row>
    <row r="8903" spans="1:2" x14ac:dyDescent="0.2">
      <c r="A8903" s="112">
        <f t="shared" si="186"/>
        <v>43601</v>
      </c>
      <c r="B8903" s="111">
        <f t="shared" si="185"/>
        <v>52</v>
      </c>
    </row>
    <row r="8904" spans="1:2" x14ac:dyDescent="0.2">
      <c r="A8904" s="112">
        <f t="shared" si="186"/>
        <v>43602</v>
      </c>
      <c r="B8904" s="111">
        <f t="shared" si="185"/>
        <v>52</v>
      </c>
    </row>
    <row r="8905" spans="1:2" x14ac:dyDescent="0.2">
      <c r="A8905" s="112">
        <f t="shared" si="186"/>
        <v>43603</v>
      </c>
      <c r="B8905" s="111">
        <f t="shared" si="185"/>
        <v>52</v>
      </c>
    </row>
    <row r="8906" spans="1:2" x14ac:dyDescent="0.2">
      <c r="A8906" s="112">
        <f t="shared" si="186"/>
        <v>43604</v>
      </c>
      <c r="B8906" s="111">
        <f t="shared" si="185"/>
        <v>53</v>
      </c>
    </row>
    <row r="8907" spans="1:2" x14ac:dyDescent="0.2">
      <c r="A8907" s="112">
        <f t="shared" ref="A8907:A8921" si="187">A8906+1</f>
        <v>43605</v>
      </c>
      <c r="B8907" s="111">
        <f t="shared" si="185"/>
        <v>53</v>
      </c>
    </row>
    <row r="8908" spans="1:2" x14ac:dyDescent="0.2">
      <c r="A8908" s="112">
        <f t="shared" si="187"/>
        <v>43606</v>
      </c>
      <c r="B8908" s="111">
        <f t="shared" si="185"/>
        <v>53</v>
      </c>
    </row>
    <row r="8909" spans="1:2" x14ac:dyDescent="0.2">
      <c r="A8909" s="112">
        <f t="shared" si="187"/>
        <v>43607</v>
      </c>
      <c r="B8909" s="111">
        <f t="shared" si="185"/>
        <v>53</v>
      </c>
    </row>
    <row r="8910" spans="1:2" x14ac:dyDescent="0.2">
      <c r="A8910" s="112">
        <f t="shared" si="187"/>
        <v>43608</v>
      </c>
      <c r="B8910" s="111">
        <f t="shared" si="185"/>
        <v>53</v>
      </c>
    </row>
    <row r="8911" spans="1:2" x14ac:dyDescent="0.2">
      <c r="A8911" s="112">
        <f t="shared" si="187"/>
        <v>43609</v>
      </c>
      <c r="B8911" s="111">
        <f t="shared" si="185"/>
        <v>53</v>
      </c>
    </row>
    <row r="8912" spans="1:2" x14ac:dyDescent="0.2">
      <c r="A8912" s="112">
        <f t="shared" si="187"/>
        <v>43610</v>
      </c>
      <c r="B8912" s="111">
        <f t="shared" si="185"/>
        <v>53</v>
      </c>
    </row>
    <row r="8913" spans="1:2" x14ac:dyDescent="0.2">
      <c r="A8913" s="112">
        <f t="shared" si="187"/>
        <v>43611</v>
      </c>
      <c r="B8913" s="111">
        <f t="shared" si="185"/>
        <v>54</v>
      </c>
    </row>
    <row r="8914" spans="1:2" x14ac:dyDescent="0.2">
      <c r="A8914" s="112">
        <f t="shared" si="187"/>
        <v>43612</v>
      </c>
      <c r="B8914" s="111">
        <f t="shared" si="185"/>
        <v>54</v>
      </c>
    </row>
    <row r="8915" spans="1:2" x14ac:dyDescent="0.2">
      <c r="A8915" s="112">
        <f t="shared" si="187"/>
        <v>43613</v>
      </c>
      <c r="B8915" s="111">
        <f t="shared" si="185"/>
        <v>54</v>
      </c>
    </row>
    <row r="8916" spans="1:2" x14ac:dyDescent="0.2">
      <c r="A8916" s="112">
        <f t="shared" si="187"/>
        <v>43614</v>
      </c>
      <c r="B8916" s="111">
        <f t="shared" si="185"/>
        <v>54</v>
      </c>
    </row>
    <row r="8917" spans="1:2" x14ac:dyDescent="0.2">
      <c r="A8917" s="112">
        <f t="shared" si="187"/>
        <v>43615</v>
      </c>
      <c r="B8917" s="111">
        <f t="shared" si="185"/>
        <v>54</v>
      </c>
    </row>
    <row r="8918" spans="1:2" x14ac:dyDescent="0.2">
      <c r="A8918" s="112">
        <f t="shared" si="187"/>
        <v>43616</v>
      </c>
      <c r="B8918" s="111">
        <f t="shared" si="185"/>
        <v>54</v>
      </c>
    </row>
    <row r="8919" spans="1:2" x14ac:dyDescent="0.2">
      <c r="A8919" s="112">
        <f t="shared" si="187"/>
        <v>43617</v>
      </c>
      <c r="B8919" s="111">
        <f t="shared" si="185"/>
        <v>54</v>
      </c>
    </row>
    <row r="8920" spans="1:2" x14ac:dyDescent="0.2">
      <c r="A8920" s="112">
        <f t="shared" si="187"/>
        <v>43618</v>
      </c>
      <c r="B8920" s="111">
        <f t="shared" si="185"/>
        <v>61</v>
      </c>
    </row>
    <row r="8921" spans="1:2" x14ac:dyDescent="0.2">
      <c r="A8921" s="112">
        <f t="shared" si="187"/>
        <v>43619</v>
      </c>
      <c r="B8921" s="111">
        <f t="shared" si="185"/>
        <v>61</v>
      </c>
    </row>
    <row r="8922" spans="1:2" x14ac:dyDescent="0.2">
      <c r="A8922" s="112">
        <f t="shared" ref="A8922:A8934" si="188">A8921+1</f>
        <v>43620</v>
      </c>
      <c r="B8922" s="111">
        <f t="shared" si="185"/>
        <v>61</v>
      </c>
    </row>
    <row r="8923" spans="1:2" x14ac:dyDescent="0.2">
      <c r="A8923" s="112">
        <f t="shared" si="188"/>
        <v>43621</v>
      </c>
      <c r="B8923" s="111">
        <f t="shared" si="185"/>
        <v>61</v>
      </c>
    </row>
    <row r="8924" spans="1:2" x14ac:dyDescent="0.2">
      <c r="A8924" s="112">
        <f t="shared" si="188"/>
        <v>43622</v>
      </c>
      <c r="B8924" s="111">
        <f t="shared" si="185"/>
        <v>61</v>
      </c>
    </row>
    <row r="8925" spans="1:2" x14ac:dyDescent="0.2">
      <c r="A8925" s="112">
        <f t="shared" si="188"/>
        <v>43623</v>
      </c>
      <c r="B8925" s="111">
        <f t="shared" si="185"/>
        <v>61</v>
      </c>
    </row>
    <row r="8926" spans="1:2" x14ac:dyDescent="0.2">
      <c r="A8926" s="112">
        <f t="shared" si="188"/>
        <v>43624</v>
      </c>
      <c r="B8926" s="111">
        <f t="shared" si="185"/>
        <v>61</v>
      </c>
    </row>
    <row r="8927" spans="1:2" x14ac:dyDescent="0.2">
      <c r="A8927" s="112">
        <f t="shared" si="188"/>
        <v>43625</v>
      </c>
      <c r="B8927" s="111">
        <f t="shared" si="185"/>
        <v>62</v>
      </c>
    </row>
    <row r="8928" spans="1:2" x14ac:dyDescent="0.2">
      <c r="A8928" s="112">
        <f t="shared" si="188"/>
        <v>43626</v>
      </c>
      <c r="B8928" s="111">
        <f t="shared" si="185"/>
        <v>62</v>
      </c>
    </row>
    <row r="8929" spans="1:2" x14ac:dyDescent="0.2">
      <c r="A8929" s="112">
        <f t="shared" si="188"/>
        <v>43627</v>
      </c>
      <c r="B8929" s="111">
        <f t="shared" si="185"/>
        <v>62</v>
      </c>
    </row>
    <row r="8930" spans="1:2" x14ac:dyDescent="0.2">
      <c r="A8930" s="112">
        <f t="shared" si="188"/>
        <v>43628</v>
      </c>
      <c r="B8930" s="111">
        <f t="shared" si="185"/>
        <v>62</v>
      </c>
    </row>
    <row r="8931" spans="1:2" x14ac:dyDescent="0.2">
      <c r="A8931" s="112">
        <f t="shared" si="188"/>
        <v>43629</v>
      </c>
      <c r="B8931" s="111">
        <f t="shared" si="185"/>
        <v>62</v>
      </c>
    </row>
    <row r="8932" spans="1:2" x14ac:dyDescent="0.2">
      <c r="A8932" s="112">
        <f t="shared" si="188"/>
        <v>43630</v>
      </c>
      <c r="B8932" s="111">
        <f t="shared" si="185"/>
        <v>62</v>
      </c>
    </row>
    <row r="8933" spans="1:2" x14ac:dyDescent="0.2">
      <c r="A8933" s="112">
        <f t="shared" si="188"/>
        <v>43631</v>
      </c>
      <c r="B8933" s="111">
        <f t="shared" si="185"/>
        <v>62</v>
      </c>
    </row>
    <row r="8934" spans="1:2" x14ac:dyDescent="0.2">
      <c r="A8934" s="112">
        <f t="shared" si="188"/>
        <v>43632</v>
      </c>
      <c r="B8934" s="111">
        <f t="shared" si="185"/>
        <v>63</v>
      </c>
    </row>
    <row r="8935" spans="1:2" x14ac:dyDescent="0.2">
      <c r="A8935" s="112">
        <f>A8934+1</f>
        <v>43633</v>
      </c>
      <c r="B8935" s="111">
        <f t="shared" si="185"/>
        <v>63</v>
      </c>
    </row>
    <row r="8936" spans="1:2" x14ac:dyDescent="0.2">
      <c r="A8936" s="112">
        <f>A8935+1</f>
        <v>43634</v>
      </c>
      <c r="B8936" s="111">
        <f t="shared" si="185"/>
        <v>63</v>
      </c>
    </row>
    <row r="8937" spans="1:2" x14ac:dyDescent="0.2">
      <c r="A8937" s="112">
        <f>A8936+1</f>
        <v>43635</v>
      </c>
      <c r="B8937" s="111">
        <f t="shared" si="185"/>
        <v>63</v>
      </c>
    </row>
    <row r="8938" spans="1:2" x14ac:dyDescent="0.2">
      <c r="A8938" s="112">
        <f>A8937+1</f>
        <v>43636</v>
      </c>
      <c r="B8938" s="111">
        <f t="shared" si="185"/>
        <v>63</v>
      </c>
    </row>
    <row r="8939" spans="1:2" x14ac:dyDescent="0.2">
      <c r="A8939" s="112">
        <f>A8938+1</f>
        <v>43637</v>
      </c>
      <c r="B8939" s="111">
        <f t="shared" si="185"/>
        <v>63</v>
      </c>
    </row>
    <row r="8940" spans="1:2" x14ac:dyDescent="0.2">
      <c r="A8940" s="112">
        <f t="shared" ref="A8940:A8952" si="189">A8939+1</f>
        <v>43638</v>
      </c>
      <c r="B8940" s="111">
        <f t="shared" si="185"/>
        <v>63</v>
      </c>
    </row>
    <row r="8941" spans="1:2" x14ac:dyDescent="0.2">
      <c r="A8941" s="112">
        <f t="shared" si="189"/>
        <v>43639</v>
      </c>
      <c r="B8941" s="111">
        <f t="shared" si="185"/>
        <v>64</v>
      </c>
    </row>
    <row r="8942" spans="1:2" x14ac:dyDescent="0.2">
      <c r="A8942" s="112">
        <f t="shared" si="189"/>
        <v>43640</v>
      </c>
      <c r="B8942" s="111">
        <f t="shared" si="185"/>
        <v>64</v>
      </c>
    </row>
    <row r="8943" spans="1:2" x14ac:dyDescent="0.2">
      <c r="A8943" s="112">
        <f t="shared" si="189"/>
        <v>43641</v>
      </c>
      <c r="B8943" s="111">
        <f t="shared" si="185"/>
        <v>64</v>
      </c>
    </row>
    <row r="8944" spans="1:2" x14ac:dyDescent="0.2">
      <c r="A8944" s="112">
        <f t="shared" si="189"/>
        <v>43642</v>
      </c>
      <c r="B8944" s="111">
        <f t="shared" si="185"/>
        <v>64</v>
      </c>
    </row>
    <row r="8945" spans="1:2" x14ac:dyDescent="0.2">
      <c r="A8945" s="112">
        <f t="shared" si="189"/>
        <v>43643</v>
      </c>
      <c r="B8945" s="111">
        <f t="shared" si="185"/>
        <v>64</v>
      </c>
    </row>
    <row r="8946" spans="1:2" x14ac:dyDescent="0.2">
      <c r="A8946" s="112">
        <f t="shared" si="189"/>
        <v>43644</v>
      </c>
      <c r="B8946" s="111">
        <f t="shared" si="185"/>
        <v>64</v>
      </c>
    </row>
    <row r="8947" spans="1:2" x14ac:dyDescent="0.2">
      <c r="A8947" s="112">
        <f t="shared" si="189"/>
        <v>43645</v>
      </c>
      <c r="B8947" s="111">
        <f t="shared" si="185"/>
        <v>64</v>
      </c>
    </row>
    <row r="8948" spans="1:2" x14ac:dyDescent="0.2">
      <c r="A8948" s="112">
        <f t="shared" si="189"/>
        <v>43646</v>
      </c>
      <c r="B8948" s="111">
        <f t="shared" si="185"/>
        <v>71</v>
      </c>
    </row>
    <row r="8949" spans="1:2" x14ac:dyDescent="0.2">
      <c r="A8949" s="112">
        <f t="shared" si="189"/>
        <v>43647</v>
      </c>
      <c r="B8949" s="111">
        <f t="shared" si="185"/>
        <v>71</v>
      </c>
    </row>
    <row r="8950" spans="1:2" x14ac:dyDescent="0.2">
      <c r="A8950" s="112">
        <f t="shared" si="189"/>
        <v>43648</v>
      </c>
      <c r="B8950" s="111">
        <f t="shared" si="185"/>
        <v>71</v>
      </c>
    </row>
    <row r="8951" spans="1:2" x14ac:dyDescent="0.2">
      <c r="A8951" s="112">
        <f t="shared" si="189"/>
        <v>43649</v>
      </c>
      <c r="B8951" s="111">
        <f t="shared" si="185"/>
        <v>71</v>
      </c>
    </row>
    <row r="8952" spans="1:2" x14ac:dyDescent="0.2">
      <c r="A8952" s="112">
        <f t="shared" si="189"/>
        <v>43650</v>
      </c>
      <c r="B8952" s="111">
        <f t="shared" si="185"/>
        <v>71</v>
      </c>
    </row>
    <row r="8953" spans="1:2" x14ac:dyDescent="0.2">
      <c r="A8953" s="112">
        <f>A8952+1</f>
        <v>43651</v>
      </c>
      <c r="B8953" s="111">
        <f t="shared" si="185"/>
        <v>71</v>
      </c>
    </row>
    <row r="8954" spans="1:2" x14ac:dyDescent="0.2">
      <c r="A8954" s="112">
        <f>A8953+1</f>
        <v>43652</v>
      </c>
      <c r="B8954" s="111">
        <f t="shared" ref="B8954:B9017" si="190">VLOOKUP(WEEKNUM(A8954),$D$3:$E$58,2)</f>
        <v>71</v>
      </c>
    </row>
    <row r="8955" spans="1:2" x14ac:dyDescent="0.2">
      <c r="A8955" s="112">
        <f>A8954+1</f>
        <v>43653</v>
      </c>
      <c r="B8955" s="111">
        <f t="shared" si="190"/>
        <v>72</v>
      </c>
    </row>
    <row r="8956" spans="1:2" x14ac:dyDescent="0.2">
      <c r="A8956" s="112">
        <f>A8955+1</f>
        <v>43654</v>
      </c>
      <c r="B8956" s="111">
        <f t="shared" si="190"/>
        <v>72</v>
      </c>
    </row>
    <row r="8957" spans="1:2" x14ac:dyDescent="0.2">
      <c r="A8957" s="112">
        <f>A8956+1</f>
        <v>43655</v>
      </c>
      <c r="B8957" s="111">
        <f t="shared" si="190"/>
        <v>72</v>
      </c>
    </row>
    <row r="8958" spans="1:2" x14ac:dyDescent="0.2">
      <c r="A8958" s="112">
        <f t="shared" ref="A8958:A8965" si="191">A8957+1</f>
        <v>43656</v>
      </c>
      <c r="B8958" s="111">
        <f t="shared" si="190"/>
        <v>72</v>
      </c>
    </row>
    <row r="8959" spans="1:2" x14ac:dyDescent="0.2">
      <c r="A8959" s="112">
        <f t="shared" si="191"/>
        <v>43657</v>
      </c>
      <c r="B8959" s="111">
        <f t="shared" si="190"/>
        <v>72</v>
      </c>
    </row>
    <row r="8960" spans="1:2" x14ac:dyDescent="0.2">
      <c r="A8960" s="112">
        <f t="shared" si="191"/>
        <v>43658</v>
      </c>
      <c r="B8960" s="111">
        <f t="shared" si="190"/>
        <v>72</v>
      </c>
    </row>
    <row r="8961" spans="1:2" x14ac:dyDescent="0.2">
      <c r="A8961" s="112">
        <f t="shared" si="191"/>
        <v>43659</v>
      </c>
      <c r="B8961" s="111">
        <f t="shared" si="190"/>
        <v>72</v>
      </c>
    </row>
    <row r="8962" spans="1:2" x14ac:dyDescent="0.2">
      <c r="A8962" s="112">
        <f t="shared" si="191"/>
        <v>43660</v>
      </c>
      <c r="B8962" s="111">
        <f t="shared" si="190"/>
        <v>73</v>
      </c>
    </row>
    <row r="8963" spans="1:2" x14ac:dyDescent="0.2">
      <c r="A8963" s="112">
        <f t="shared" si="191"/>
        <v>43661</v>
      </c>
      <c r="B8963" s="111">
        <f t="shared" si="190"/>
        <v>73</v>
      </c>
    </row>
    <row r="8964" spans="1:2" x14ac:dyDescent="0.2">
      <c r="A8964" s="112">
        <f t="shared" si="191"/>
        <v>43662</v>
      </c>
      <c r="B8964" s="111">
        <f t="shared" si="190"/>
        <v>73</v>
      </c>
    </row>
    <row r="8965" spans="1:2" x14ac:dyDescent="0.2">
      <c r="A8965" s="112">
        <f t="shared" si="191"/>
        <v>43663</v>
      </c>
      <c r="B8965" s="111">
        <f t="shared" si="190"/>
        <v>73</v>
      </c>
    </row>
    <row r="8966" spans="1:2" x14ac:dyDescent="0.2">
      <c r="A8966" s="112">
        <f>A8965+1</f>
        <v>43664</v>
      </c>
      <c r="B8966" s="111">
        <f t="shared" si="190"/>
        <v>73</v>
      </c>
    </row>
    <row r="8967" spans="1:2" x14ac:dyDescent="0.2">
      <c r="A8967" s="112">
        <f>A8966+1</f>
        <v>43665</v>
      </c>
      <c r="B8967" s="111">
        <f t="shared" si="190"/>
        <v>73</v>
      </c>
    </row>
    <row r="8968" spans="1:2" x14ac:dyDescent="0.2">
      <c r="A8968" s="112">
        <f>A8967+1</f>
        <v>43666</v>
      </c>
      <c r="B8968" s="111">
        <f t="shared" si="190"/>
        <v>73</v>
      </c>
    </row>
    <row r="8969" spans="1:2" x14ac:dyDescent="0.2">
      <c r="A8969" s="112">
        <f>A8968+1</f>
        <v>43667</v>
      </c>
      <c r="B8969" s="111">
        <f t="shared" si="190"/>
        <v>74</v>
      </c>
    </row>
    <row r="8970" spans="1:2" x14ac:dyDescent="0.2">
      <c r="A8970" s="112">
        <f>A8969+1</f>
        <v>43668</v>
      </c>
      <c r="B8970" s="111">
        <f t="shared" si="190"/>
        <v>74</v>
      </c>
    </row>
    <row r="8971" spans="1:2" x14ac:dyDescent="0.2">
      <c r="A8971" s="112">
        <f t="shared" ref="A8971:A8978" si="192">A8970+1</f>
        <v>43669</v>
      </c>
      <c r="B8971" s="111">
        <f t="shared" si="190"/>
        <v>74</v>
      </c>
    </row>
    <row r="8972" spans="1:2" x14ac:dyDescent="0.2">
      <c r="A8972" s="112">
        <f t="shared" si="192"/>
        <v>43670</v>
      </c>
      <c r="B8972" s="111">
        <f t="shared" si="190"/>
        <v>74</v>
      </c>
    </row>
    <row r="8973" spans="1:2" x14ac:dyDescent="0.2">
      <c r="A8973" s="112">
        <f t="shared" si="192"/>
        <v>43671</v>
      </c>
      <c r="B8973" s="111">
        <f t="shared" si="190"/>
        <v>74</v>
      </c>
    </row>
    <row r="8974" spans="1:2" x14ac:dyDescent="0.2">
      <c r="A8974" s="112">
        <f t="shared" si="192"/>
        <v>43672</v>
      </c>
      <c r="B8974" s="111">
        <f t="shared" si="190"/>
        <v>74</v>
      </c>
    </row>
    <row r="8975" spans="1:2" x14ac:dyDescent="0.2">
      <c r="A8975" s="112">
        <f t="shared" si="192"/>
        <v>43673</v>
      </c>
      <c r="B8975" s="111">
        <f t="shared" si="190"/>
        <v>74</v>
      </c>
    </row>
    <row r="8976" spans="1:2" x14ac:dyDescent="0.2">
      <c r="A8976" s="112">
        <f t="shared" si="192"/>
        <v>43674</v>
      </c>
      <c r="B8976" s="111">
        <f t="shared" si="190"/>
        <v>75</v>
      </c>
    </row>
    <row r="8977" spans="1:2" x14ac:dyDescent="0.2">
      <c r="A8977" s="112">
        <f t="shared" si="192"/>
        <v>43675</v>
      </c>
      <c r="B8977" s="111">
        <f t="shared" si="190"/>
        <v>75</v>
      </c>
    </row>
    <row r="8978" spans="1:2" x14ac:dyDescent="0.2">
      <c r="A8978" s="112">
        <f t="shared" si="192"/>
        <v>43676</v>
      </c>
      <c r="B8978" s="111">
        <f t="shared" si="190"/>
        <v>75</v>
      </c>
    </row>
    <row r="8979" spans="1:2" x14ac:dyDescent="0.2">
      <c r="A8979" s="112">
        <f>A8978+1</f>
        <v>43677</v>
      </c>
      <c r="B8979" s="111">
        <f t="shared" si="190"/>
        <v>75</v>
      </c>
    </row>
    <row r="8980" spans="1:2" x14ac:dyDescent="0.2">
      <c r="A8980" s="112">
        <f>A8979+1</f>
        <v>43678</v>
      </c>
      <c r="B8980" s="111">
        <f t="shared" si="190"/>
        <v>75</v>
      </c>
    </row>
    <row r="8981" spans="1:2" x14ac:dyDescent="0.2">
      <c r="A8981" s="112">
        <f>A8980+1</f>
        <v>43679</v>
      </c>
      <c r="B8981" s="111">
        <f t="shared" si="190"/>
        <v>75</v>
      </c>
    </row>
    <row r="8982" spans="1:2" x14ac:dyDescent="0.2">
      <c r="A8982" s="112">
        <f>A8981+1</f>
        <v>43680</v>
      </c>
      <c r="B8982" s="111">
        <f t="shared" si="190"/>
        <v>75</v>
      </c>
    </row>
    <row r="8983" spans="1:2" x14ac:dyDescent="0.2">
      <c r="A8983" s="112">
        <f>A8982+1</f>
        <v>43681</v>
      </c>
      <c r="B8983" s="111">
        <f t="shared" si="190"/>
        <v>81</v>
      </c>
    </row>
    <row r="8984" spans="1:2" x14ac:dyDescent="0.2">
      <c r="A8984" s="112">
        <f t="shared" ref="A8984:A8996" si="193">A8983+1</f>
        <v>43682</v>
      </c>
      <c r="B8984" s="111">
        <f t="shared" si="190"/>
        <v>81</v>
      </c>
    </row>
    <row r="8985" spans="1:2" x14ac:dyDescent="0.2">
      <c r="A8985" s="112">
        <f t="shared" si="193"/>
        <v>43683</v>
      </c>
      <c r="B8985" s="111">
        <f t="shared" si="190"/>
        <v>81</v>
      </c>
    </row>
    <row r="8986" spans="1:2" x14ac:dyDescent="0.2">
      <c r="A8986" s="112">
        <f t="shared" si="193"/>
        <v>43684</v>
      </c>
      <c r="B8986" s="111">
        <f t="shared" si="190"/>
        <v>81</v>
      </c>
    </row>
    <row r="8987" spans="1:2" x14ac:dyDescent="0.2">
      <c r="A8987" s="112">
        <f t="shared" si="193"/>
        <v>43685</v>
      </c>
      <c r="B8987" s="111">
        <f t="shared" si="190"/>
        <v>81</v>
      </c>
    </row>
    <row r="8988" spans="1:2" x14ac:dyDescent="0.2">
      <c r="A8988" s="112">
        <f t="shared" si="193"/>
        <v>43686</v>
      </c>
      <c r="B8988" s="111">
        <f t="shared" si="190"/>
        <v>81</v>
      </c>
    </row>
    <row r="8989" spans="1:2" x14ac:dyDescent="0.2">
      <c r="A8989" s="112">
        <f t="shared" si="193"/>
        <v>43687</v>
      </c>
      <c r="B8989" s="111">
        <f t="shared" si="190"/>
        <v>81</v>
      </c>
    </row>
    <row r="8990" spans="1:2" x14ac:dyDescent="0.2">
      <c r="A8990" s="112">
        <f t="shared" si="193"/>
        <v>43688</v>
      </c>
      <c r="B8990" s="111">
        <f t="shared" si="190"/>
        <v>82</v>
      </c>
    </row>
    <row r="8991" spans="1:2" x14ac:dyDescent="0.2">
      <c r="A8991" s="112">
        <f t="shared" si="193"/>
        <v>43689</v>
      </c>
      <c r="B8991" s="111">
        <f t="shared" si="190"/>
        <v>82</v>
      </c>
    </row>
    <row r="8992" spans="1:2" x14ac:dyDescent="0.2">
      <c r="A8992" s="112">
        <f t="shared" si="193"/>
        <v>43690</v>
      </c>
      <c r="B8992" s="111">
        <f t="shared" si="190"/>
        <v>82</v>
      </c>
    </row>
    <row r="8993" spans="1:2" x14ac:dyDescent="0.2">
      <c r="A8993" s="112">
        <f t="shared" si="193"/>
        <v>43691</v>
      </c>
      <c r="B8993" s="111">
        <f t="shared" si="190"/>
        <v>82</v>
      </c>
    </row>
    <row r="8994" spans="1:2" x14ac:dyDescent="0.2">
      <c r="A8994" s="112">
        <f t="shared" si="193"/>
        <v>43692</v>
      </c>
      <c r="B8994" s="111">
        <f t="shared" si="190"/>
        <v>82</v>
      </c>
    </row>
    <row r="8995" spans="1:2" x14ac:dyDescent="0.2">
      <c r="A8995" s="112">
        <f t="shared" si="193"/>
        <v>43693</v>
      </c>
      <c r="B8995" s="111">
        <f t="shared" si="190"/>
        <v>82</v>
      </c>
    </row>
    <row r="8996" spans="1:2" x14ac:dyDescent="0.2">
      <c r="A8996" s="112">
        <f t="shared" si="193"/>
        <v>43694</v>
      </c>
      <c r="B8996" s="111">
        <f t="shared" si="190"/>
        <v>82</v>
      </c>
    </row>
    <row r="8997" spans="1:2" x14ac:dyDescent="0.2">
      <c r="A8997" s="112">
        <f>A8996+1</f>
        <v>43695</v>
      </c>
      <c r="B8997" s="111">
        <f t="shared" si="190"/>
        <v>83</v>
      </c>
    </row>
    <row r="8998" spans="1:2" x14ac:dyDescent="0.2">
      <c r="A8998" s="112">
        <f>A8997+1</f>
        <v>43696</v>
      </c>
      <c r="B8998" s="111">
        <f t="shared" si="190"/>
        <v>83</v>
      </c>
    </row>
    <row r="8999" spans="1:2" x14ac:dyDescent="0.2">
      <c r="A8999" s="112">
        <f>A8998+1</f>
        <v>43697</v>
      </c>
      <c r="B8999" s="111">
        <f t="shared" si="190"/>
        <v>83</v>
      </c>
    </row>
    <row r="9000" spans="1:2" x14ac:dyDescent="0.2">
      <c r="A9000" s="112">
        <f>A8999+1</f>
        <v>43698</v>
      </c>
      <c r="B9000" s="111">
        <f t="shared" si="190"/>
        <v>83</v>
      </c>
    </row>
    <row r="9001" spans="1:2" x14ac:dyDescent="0.2">
      <c r="A9001" s="112">
        <f>A9000+1</f>
        <v>43699</v>
      </c>
      <c r="B9001" s="111">
        <f t="shared" si="190"/>
        <v>83</v>
      </c>
    </row>
    <row r="9002" spans="1:2" x14ac:dyDescent="0.2">
      <c r="A9002" s="112">
        <f t="shared" ref="A9002:A9023" si="194">A9001+1</f>
        <v>43700</v>
      </c>
      <c r="B9002" s="111">
        <f t="shared" si="190"/>
        <v>83</v>
      </c>
    </row>
    <row r="9003" spans="1:2" x14ac:dyDescent="0.2">
      <c r="A9003" s="112">
        <f t="shared" si="194"/>
        <v>43701</v>
      </c>
      <c r="B9003" s="111">
        <f t="shared" si="190"/>
        <v>83</v>
      </c>
    </row>
    <row r="9004" spans="1:2" x14ac:dyDescent="0.2">
      <c r="A9004" s="112">
        <f t="shared" si="194"/>
        <v>43702</v>
      </c>
      <c r="B9004" s="111">
        <f t="shared" si="190"/>
        <v>84</v>
      </c>
    </row>
    <row r="9005" spans="1:2" x14ac:dyDescent="0.2">
      <c r="A9005" s="112">
        <f t="shared" si="194"/>
        <v>43703</v>
      </c>
      <c r="B9005" s="111">
        <f t="shared" si="190"/>
        <v>84</v>
      </c>
    </row>
    <row r="9006" spans="1:2" x14ac:dyDescent="0.2">
      <c r="A9006" s="112">
        <f t="shared" si="194"/>
        <v>43704</v>
      </c>
      <c r="B9006" s="111">
        <f t="shared" si="190"/>
        <v>84</v>
      </c>
    </row>
    <row r="9007" spans="1:2" x14ac:dyDescent="0.2">
      <c r="A9007" s="112">
        <f t="shared" si="194"/>
        <v>43705</v>
      </c>
      <c r="B9007" s="111">
        <f t="shared" si="190"/>
        <v>84</v>
      </c>
    </row>
    <row r="9008" spans="1:2" x14ac:dyDescent="0.2">
      <c r="A9008" s="112">
        <f t="shared" si="194"/>
        <v>43706</v>
      </c>
      <c r="B9008" s="111">
        <f t="shared" si="190"/>
        <v>84</v>
      </c>
    </row>
    <row r="9009" spans="1:2" x14ac:dyDescent="0.2">
      <c r="A9009" s="112">
        <f t="shared" si="194"/>
        <v>43707</v>
      </c>
      <c r="B9009" s="111">
        <f t="shared" si="190"/>
        <v>84</v>
      </c>
    </row>
    <row r="9010" spans="1:2" x14ac:dyDescent="0.2">
      <c r="A9010" s="112">
        <f t="shared" si="194"/>
        <v>43708</v>
      </c>
      <c r="B9010" s="111">
        <f t="shared" si="190"/>
        <v>84</v>
      </c>
    </row>
    <row r="9011" spans="1:2" x14ac:dyDescent="0.2">
      <c r="A9011" s="112">
        <f t="shared" si="194"/>
        <v>43709</v>
      </c>
      <c r="B9011" s="111">
        <f t="shared" si="190"/>
        <v>91</v>
      </c>
    </row>
    <row r="9012" spans="1:2" x14ac:dyDescent="0.2">
      <c r="A9012" s="112">
        <f t="shared" si="194"/>
        <v>43710</v>
      </c>
      <c r="B9012" s="111">
        <f t="shared" si="190"/>
        <v>91</v>
      </c>
    </row>
    <row r="9013" spans="1:2" x14ac:dyDescent="0.2">
      <c r="A9013" s="112">
        <f t="shared" si="194"/>
        <v>43711</v>
      </c>
      <c r="B9013" s="111">
        <f t="shared" si="190"/>
        <v>91</v>
      </c>
    </row>
    <row r="9014" spans="1:2" x14ac:dyDescent="0.2">
      <c r="A9014" s="112">
        <f t="shared" si="194"/>
        <v>43712</v>
      </c>
      <c r="B9014" s="111">
        <f t="shared" si="190"/>
        <v>91</v>
      </c>
    </row>
    <row r="9015" spans="1:2" x14ac:dyDescent="0.2">
      <c r="A9015" s="112">
        <f t="shared" si="194"/>
        <v>43713</v>
      </c>
      <c r="B9015" s="111">
        <f t="shared" si="190"/>
        <v>91</v>
      </c>
    </row>
    <row r="9016" spans="1:2" x14ac:dyDescent="0.2">
      <c r="A9016" s="112">
        <f t="shared" si="194"/>
        <v>43714</v>
      </c>
      <c r="B9016" s="111">
        <f t="shared" si="190"/>
        <v>91</v>
      </c>
    </row>
    <row r="9017" spans="1:2" x14ac:dyDescent="0.2">
      <c r="A9017" s="112">
        <f t="shared" si="194"/>
        <v>43715</v>
      </c>
      <c r="B9017" s="111">
        <f t="shared" si="190"/>
        <v>91</v>
      </c>
    </row>
    <row r="9018" spans="1:2" x14ac:dyDescent="0.2">
      <c r="A9018" s="112">
        <f t="shared" si="194"/>
        <v>43716</v>
      </c>
      <c r="B9018" s="111">
        <f t="shared" ref="B9018:B9081" si="195">VLOOKUP(WEEKNUM(A9018),$D$3:$E$58,2)</f>
        <v>92</v>
      </c>
    </row>
    <row r="9019" spans="1:2" x14ac:dyDescent="0.2">
      <c r="A9019" s="112">
        <f t="shared" si="194"/>
        <v>43717</v>
      </c>
      <c r="B9019" s="111">
        <f t="shared" si="195"/>
        <v>92</v>
      </c>
    </row>
    <row r="9020" spans="1:2" x14ac:dyDescent="0.2">
      <c r="A9020" s="112">
        <f t="shared" si="194"/>
        <v>43718</v>
      </c>
      <c r="B9020" s="111">
        <f t="shared" si="195"/>
        <v>92</v>
      </c>
    </row>
    <row r="9021" spans="1:2" x14ac:dyDescent="0.2">
      <c r="A9021" s="112">
        <f t="shared" si="194"/>
        <v>43719</v>
      </c>
      <c r="B9021" s="111">
        <f t="shared" si="195"/>
        <v>92</v>
      </c>
    </row>
    <row r="9022" spans="1:2" x14ac:dyDescent="0.2">
      <c r="A9022" s="112">
        <f t="shared" si="194"/>
        <v>43720</v>
      </c>
      <c r="B9022" s="111">
        <f t="shared" si="195"/>
        <v>92</v>
      </c>
    </row>
    <row r="9023" spans="1:2" x14ac:dyDescent="0.2">
      <c r="A9023" s="112">
        <f t="shared" si="194"/>
        <v>43721</v>
      </c>
      <c r="B9023" s="111">
        <f t="shared" si="195"/>
        <v>92</v>
      </c>
    </row>
    <row r="9024" spans="1:2" x14ac:dyDescent="0.2">
      <c r="A9024" s="112">
        <f>A9023+1</f>
        <v>43722</v>
      </c>
      <c r="B9024" s="111">
        <f t="shared" si="195"/>
        <v>92</v>
      </c>
    </row>
    <row r="9025" spans="1:2" x14ac:dyDescent="0.2">
      <c r="A9025" s="112">
        <f>A9024+1</f>
        <v>43723</v>
      </c>
      <c r="B9025" s="111">
        <f t="shared" si="195"/>
        <v>93</v>
      </c>
    </row>
    <row r="9026" spans="1:2" x14ac:dyDescent="0.2">
      <c r="A9026" s="112">
        <f>A9025+1</f>
        <v>43724</v>
      </c>
      <c r="B9026" s="111">
        <f t="shared" si="195"/>
        <v>93</v>
      </c>
    </row>
    <row r="9027" spans="1:2" x14ac:dyDescent="0.2">
      <c r="A9027" s="112">
        <f>A9026+1</f>
        <v>43725</v>
      </c>
      <c r="B9027" s="111">
        <f t="shared" si="195"/>
        <v>93</v>
      </c>
    </row>
    <row r="9028" spans="1:2" x14ac:dyDescent="0.2">
      <c r="A9028" s="112">
        <f>A9027+1</f>
        <v>43726</v>
      </c>
      <c r="B9028" s="111">
        <f t="shared" si="195"/>
        <v>93</v>
      </c>
    </row>
    <row r="9029" spans="1:2" x14ac:dyDescent="0.2">
      <c r="A9029" s="112">
        <f t="shared" ref="A9029:A9044" si="196">A9028+1</f>
        <v>43727</v>
      </c>
      <c r="B9029" s="111">
        <f t="shared" si="195"/>
        <v>93</v>
      </c>
    </row>
    <row r="9030" spans="1:2" x14ac:dyDescent="0.2">
      <c r="A9030" s="112">
        <f t="shared" si="196"/>
        <v>43728</v>
      </c>
      <c r="B9030" s="111">
        <f t="shared" si="195"/>
        <v>93</v>
      </c>
    </row>
    <row r="9031" spans="1:2" x14ac:dyDescent="0.2">
      <c r="A9031" s="112">
        <f t="shared" si="196"/>
        <v>43729</v>
      </c>
      <c r="B9031" s="111">
        <f t="shared" si="195"/>
        <v>93</v>
      </c>
    </row>
    <row r="9032" spans="1:2" x14ac:dyDescent="0.2">
      <c r="A9032" s="112">
        <f t="shared" si="196"/>
        <v>43730</v>
      </c>
      <c r="B9032" s="111">
        <f t="shared" si="195"/>
        <v>94</v>
      </c>
    </row>
    <row r="9033" spans="1:2" x14ac:dyDescent="0.2">
      <c r="A9033" s="112">
        <f t="shared" si="196"/>
        <v>43731</v>
      </c>
      <c r="B9033" s="111">
        <f t="shared" si="195"/>
        <v>94</v>
      </c>
    </row>
    <row r="9034" spans="1:2" x14ac:dyDescent="0.2">
      <c r="A9034" s="112">
        <f t="shared" si="196"/>
        <v>43732</v>
      </c>
      <c r="B9034" s="111">
        <f t="shared" si="195"/>
        <v>94</v>
      </c>
    </row>
    <row r="9035" spans="1:2" x14ac:dyDescent="0.2">
      <c r="A9035" s="112">
        <f t="shared" si="196"/>
        <v>43733</v>
      </c>
      <c r="B9035" s="111">
        <f t="shared" si="195"/>
        <v>94</v>
      </c>
    </row>
    <row r="9036" spans="1:2" x14ac:dyDescent="0.2">
      <c r="A9036" s="112">
        <f t="shared" si="196"/>
        <v>43734</v>
      </c>
      <c r="B9036" s="111">
        <f t="shared" si="195"/>
        <v>94</v>
      </c>
    </row>
    <row r="9037" spans="1:2" x14ac:dyDescent="0.2">
      <c r="A9037" s="112">
        <f t="shared" si="196"/>
        <v>43735</v>
      </c>
      <c r="B9037" s="111">
        <f t="shared" si="195"/>
        <v>94</v>
      </c>
    </row>
    <row r="9038" spans="1:2" x14ac:dyDescent="0.2">
      <c r="A9038" s="112">
        <f t="shared" si="196"/>
        <v>43736</v>
      </c>
      <c r="B9038" s="111">
        <f t="shared" si="195"/>
        <v>94</v>
      </c>
    </row>
    <row r="9039" spans="1:2" x14ac:dyDescent="0.2">
      <c r="A9039" s="112">
        <f t="shared" si="196"/>
        <v>43737</v>
      </c>
      <c r="B9039" s="111">
        <f t="shared" si="195"/>
        <v>101</v>
      </c>
    </row>
    <row r="9040" spans="1:2" x14ac:dyDescent="0.2">
      <c r="A9040" s="112">
        <f t="shared" si="196"/>
        <v>43738</v>
      </c>
      <c r="B9040" s="111">
        <f t="shared" si="195"/>
        <v>101</v>
      </c>
    </row>
    <row r="9041" spans="1:2" x14ac:dyDescent="0.2">
      <c r="A9041" s="112">
        <f t="shared" si="196"/>
        <v>43739</v>
      </c>
      <c r="B9041" s="111">
        <f t="shared" si="195"/>
        <v>101</v>
      </c>
    </row>
    <row r="9042" spans="1:2" x14ac:dyDescent="0.2">
      <c r="A9042" s="112">
        <f t="shared" si="196"/>
        <v>43740</v>
      </c>
      <c r="B9042" s="111">
        <f t="shared" si="195"/>
        <v>101</v>
      </c>
    </row>
    <row r="9043" spans="1:2" x14ac:dyDescent="0.2">
      <c r="A9043" s="112">
        <f t="shared" si="196"/>
        <v>43741</v>
      </c>
      <c r="B9043" s="111">
        <f t="shared" si="195"/>
        <v>101</v>
      </c>
    </row>
    <row r="9044" spans="1:2" x14ac:dyDescent="0.2">
      <c r="A9044" s="112">
        <f t="shared" si="196"/>
        <v>43742</v>
      </c>
      <c r="B9044" s="111">
        <f t="shared" si="195"/>
        <v>101</v>
      </c>
    </row>
    <row r="9045" spans="1:2" x14ac:dyDescent="0.2">
      <c r="A9045" s="112">
        <f>A9044+1</f>
        <v>43743</v>
      </c>
      <c r="B9045" s="111">
        <f t="shared" si="195"/>
        <v>101</v>
      </c>
    </row>
    <row r="9046" spans="1:2" x14ac:dyDescent="0.2">
      <c r="A9046" s="112">
        <f>A9045+1</f>
        <v>43744</v>
      </c>
      <c r="B9046" s="111">
        <f t="shared" si="195"/>
        <v>102</v>
      </c>
    </row>
    <row r="9047" spans="1:2" x14ac:dyDescent="0.2">
      <c r="A9047" s="112">
        <f>A9046+1</f>
        <v>43745</v>
      </c>
      <c r="B9047" s="111">
        <f t="shared" si="195"/>
        <v>102</v>
      </c>
    </row>
    <row r="9048" spans="1:2" x14ac:dyDescent="0.2">
      <c r="A9048" s="112">
        <f>A9047+1</f>
        <v>43746</v>
      </c>
      <c r="B9048" s="111">
        <f t="shared" si="195"/>
        <v>102</v>
      </c>
    </row>
    <row r="9049" spans="1:2" x14ac:dyDescent="0.2">
      <c r="A9049" s="112">
        <f>A9048+1</f>
        <v>43747</v>
      </c>
      <c r="B9049" s="111">
        <f t="shared" si="195"/>
        <v>102</v>
      </c>
    </row>
    <row r="9050" spans="1:2" x14ac:dyDescent="0.2">
      <c r="A9050" s="112">
        <f t="shared" ref="A9050:A9066" si="197">A9049+1</f>
        <v>43748</v>
      </c>
      <c r="B9050" s="111">
        <f t="shared" si="195"/>
        <v>102</v>
      </c>
    </row>
    <row r="9051" spans="1:2" x14ac:dyDescent="0.2">
      <c r="A9051" s="112">
        <f t="shared" si="197"/>
        <v>43749</v>
      </c>
      <c r="B9051" s="111">
        <f t="shared" si="195"/>
        <v>102</v>
      </c>
    </row>
    <row r="9052" spans="1:2" x14ac:dyDescent="0.2">
      <c r="A9052" s="112">
        <f t="shared" si="197"/>
        <v>43750</v>
      </c>
      <c r="B9052" s="111">
        <f t="shared" si="195"/>
        <v>102</v>
      </c>
    </row>
    <row r="9053" spans="1:2" x14ac:dyDescent="0.2">
      <c r="A9053" s="112">
        <f t="shared" si="197"/>
        <v>43751</v>
      </c>
      <c r="B9053" s="111">
        <f t="shared" si="195"/>
        <v>103</v>
      </c>
    </row>
    <row r="9054" spans="1:2" x14ac:dyDescent="0.2">
      <c r="A9054" s="112">
        <f t="shared" si="197"/>
        <v>43752</v>
      </c>
      <c r="B9054" s="111">
        <f t="shared" si="195"/>
        <v>103</v>
      </c>
    </row>
    <row r="9055" spans="1:2" x14ac:dyDescent="0.2">
      <c r="A9055" s="112">
        <f t="shared" si="197"/>
        <v>43753</v>
      </c>
      <c r="B9055" s="111">
        <f t="shared" si="195"/>
        <v>103</v>
      </c>
    </row>
    <row r="9056" spans="1:2" x14ac:dyDescent="0.2">
      <c r="A9056" s="112">
        <f t="shared" si="197"/>
        <v>43754</v>
      </c>
      <c r="B9056" s="111">
        <f t="shared" si="195"/>
        <v>103</v>
      </c>
    </row>
    <row r="9057" spans="1:2" x14ac:dyDescent="0.2">
      <c r="A9057" s="112">
        <f t="shared" si="197"/>
        <v>43755</v>
      </c>
      <c r="B9057" s="111">
        <f t="shared" si="195"/>
        <v>103</v>
      </c>
    </row>
    <row r="9058" spans="1:2" x14ac:dyDescent="0.2">
      <c r="A9058" s="112">
        <f t="shared" si="197"/>
        <v>43756</v>
      </c>
      <c r="B9058" s="111">
        <f t="shared" si="195"/>
        <v>103</v>
      </c>
    </row>
    <row r="9059" spans="1:2" x14ac:dyDescent="0.2">
      <c r="A9059" s="112">
        <f t="shared" si="197"/>
        <v>43757</v>
      </c>
      <c r="B9059" s="111">
        <f t="shared" si="195"/>
        <v>103</v>
      </c>
    </row>
    <row r="9060" spans="1:2" x14ac:dyDescent="0.2">
      <c r="A9060" s="112">
        <f t="shared" si="197"/>
        <v>43758</v>
      </c>
      <c r="B9060" s="111">
        <f t="shared" si="195"/>
        <v>104</v>
      </c>
    </row>
    <row r="9061" spans="1:2" x14ac:dyDescent="0.2">
      <c r="A9061" s="112">
        <f t="shared" si="197"/>
        <v>43759</v>
      </c>
      <c r="B9061" s="111">
        <f t="shared" si="195"/>
        <v>104</v>
      </c>
    </row>
    <row r="9062" spans="1:2" x14ac:dyDescent="0.2">
      <c r="A9062" s="112">
        <f t="shared" si="197"/>
        <v>43760</v>
      </c>
      <c r="B9062" s="111">
        <f t="shared" si="195"/>
        <v>104</v>
      </c>
    </row>
    <row r="9063" spans="1:2" x14ac:dyDescent="0.2">
      <c r="A9063" s="112">
        <f t="shared" si="197"/>
        <v>43761</v>
      </c>
      <c r="B9063" s="111">
        <f t="shared" si="195"/>
        <v>104</v>
      </c>
    </row>
    <row r="9064" spans="1:2" x14ac:dyDescent="0.2">
      <c r="A9064" s="112">
        <f t="shared" si="197"/>
        <v>43762</v>
      </c>
      <c r="B9064" s="111">
        <f t="shared" si="195"/>
        <v>104</v>
      </c>
    </row>
    <row r="9065" spans="1:2" x14ac:dyDescent="0.2">
      <c r="A9065" s="112">
        <f t="shared" si="197"/>
        <v>43763</v>
      </c>
      <c r="B9065" s="111">
        <f t="shared" si="195"/>
        <v>104</v>
      </c>
    </row>
    <row r="9066" spans="1:2" x14ac:dyDescent="0.2">
      <c r="A9066" s="112">
        <f t="shared" si="197"/>
        <v>43764</v>
      </c>
      <c r="B9066" s="111">
        <f t="shared" si="195"/>
        <v>104</v>
      </c>
    </row>
    <row r="9067" spans="1:2" x14ac:dyDescent="0.2">
      <c r="A9067" s="112">
        <f>A9066+1</f>
        <v>43765</v>
      </c>
      <c r="B9067" s="111">
        <f t="shared" si="195"/>
        <v>105</v>
      </c>
    </row>
    <row r="9068" spans="1:2" x14ac:dyDescent="0.2">
      <c r="A9068" s="112">
        <f>A9067+1</f>
        <v>43766</v>
      </c>
      <c r="B9068" s="111">
        <f t="shared" si="195"/>
        <v>105</v>
      </c>
    </row>
    <row r="9069" spans="1:2" x14ac:dyDescent="0.2">
      <c r="A9069" s="112">
        <f>A9068+1</f>
        <v>43767</v>
      </c>
      <c r="B9069" s="111">
        <f t="shared" si="195"/>
        <v>105</v>
      </c>
    </row>
    <row r="9070" spans="1:2" x14ac:dyDescent="0.2">
      <c r="A9070" s="112">
        <f>A9069+1</f>
        <v>43768</v>
      </c>
      <c r="B9070" s="111">
        <f t="shared" si="195"/>
        <v>105</v>
      </c>
    </row>
    <row r="9071" spans="1:2" x14ac:dyDescent="0.2">
      <c r="A9071" s="112">
        <f>A9070+1</f>
        <v>43769</v>
      </c>
      <c r="B9071" s="111">
        <f t="shared" si="195"/>
        <v>105</v>
      </c>
    </row>
    <row r="9072" spans="1:2" x14ac:dyDescent="0.2">
      <c r="A9072" s="112">
        <f t="shared" ref="A9072:A9090" si="198">A9071+1</f>
        <v>43770</v>
      </c>
      <c r="B9072" s="111">
        <f t="shared" si="195"/>
        <v>105</v>
      </c>
    </row>
    <row r="9073" spans="1:2" x14ac:dyDescent="0.2">
      <c r="A9073" s="112">
        <f t="shared" si="198"/>
        <v>43771</v>
      </c>
      <c r="B9073" s="111">
        <f t="shared" si="195"/>
        <v>105</v>
      </c>
    </row>
    <row r="9074" spans="1:2" x14ac:dyDescent="0.2">
      <c r="A9074" s="112">
        <f t="shared" si="198"/>
        <v>43772</v>
      </c>
      <c r="B9074" s="111">
        <f t="shared" si="195"/>
        <v>111</v>
      </c>
    </row>
    <row r="9075" spans="1:2" x14ac:dyDescent="0.2">
      <c r="A9075" s="112">
        <f t="shared" si="198"/>
        <v>43773</v>
      </c>
      <c r="B9075" s="111">
        <f t="shared" si="195"/>
        <v>111</v>
      </c>
    </row>
    <row r="9076" spans="1:2" x14ac:dyDescent="0.2">
      <c r="A9076" s="112">
        <f t="shared" si="198"/>
        <v>43774</v>
      </c>
      <c r="B9076" s="111">
        <f t="shared" si="195"/>
        <v>111</v>
      </c>
    </row>
    <row r="9077" spans="1:2" x14ac:dyDescent="0.2">
      <c r="A9077" s="112">
        <f t="shared" si="198"/>
        <v>43775</v>
      </c>
      <c r="B9077" s="111">
        <f t="shared" si="195"/>
        <v>111</v>
      </c>
    </row>
    <row r="9078" spans="1:2" x14ac:dyDescent="0.2">
      <c r="A9078" s="112">
        <f t="shared" si="198"/>
        <v>43776</v>
      </c>
      <c r="B9078" s="111">
        <f t="shared" si="195"/>
        <v>111</v>
      </c>
    </row>
    <row r="9079" spans="1:2" x14ac:dyDescent="0.2">
      <c r="A9079" s="112">
        <f t="shared" si="198"/>
        <v>43777</v>
      </c>
      <c r="B9079" s="111">
        <f t="shared" si="195"/>
        <v>111</v>
      </c>
    </row>
    <row r="9080" spans="1:2" x14ac:dyDescent="0.2">
      <c r="A9080" s="112">
        <f t="shared" si="198"/>
        <v>43778</v>
      </c>
      <c r="B9080" s="111">
        <f t="shared" si="195"/>
        <v>111</v>
      </c>
    </row>
    <row r="9081" spans="1:2" x14ac:dyDescent="0.2">
      <c r="A9081" s="112">
        <f t="shared" si="198"/>
        <v>43779</v>
      </c>
      <c r="B9081" s="111">
        <f t="shared" si="195"/>
        <v>112</v>
      </c>
    </row>
    <row r="9082" spans="1:2" x14ac:dyDescent="0.2">
      <c r="A9082" s="112">
        <f t="shared" si="198"/>
        <v>43780</v>
      </c>
      <c r="B9082" s="111">
        <f t="shared" ref="B9082:B9139" si="199">VLOOKUP(WEEKNUM(A9082),$D$3:$E$58,2)</f>
        <v>112</v>
      </c>
    </row>
    <row r="9083" spans="1:2" x14ac:dyDescent="0.2">
      <c r="A9083" s="112">
        <f t="shared" si="198"/>
        <v>43781</v>
      </c>
      <c r="B9083" s="111">
        <f t="shared" si="199"/>
        <v>112</v>
      </c>
    </row>
    <row r="9084" spans="1:2" x14ac:dyDescent="0.2">
      <c r="A9084" s="112">
        <f t="shared" si="198"/>
        <v>43782</v>
      </c>
      <c r="B9084" s="111">
        <f t="shared" si="199"/>
        <v>112</v>
      </c>
    </row>
    <row r="9085" spans="1:2" x14ac:dyDescent="0.2">
      <c r="A9085" s="112">
        <f t="shared" si="198"/>
        <v>43783</v>
      </c>
      <c r="B9085" s="111">
        <f t="shared" si="199"/>
        <v>112</v>
      </c>
    </row>
    <row r="9086" spans="1:2" x14ac:dyDescent="0.2">
      <c r="A9086" s="112">
        <f t="shared" si="198"/>
        <v>43784</v>
      </c>
      <c r="B9086" s="111">
        <f t="shared" si="199"/>
        <v>112</v>
      </c>
    </row>
    <row r="9087" spans="1:2" x14ac:dyDescent="0.2">
      <c r="A9087" s="112">
        <f t="shared" si="198"/>
        <v>43785</v>
      </c>
      <c r="B9087" s="111">
        <f t="shared" si="199"/>
        <v>112</v>
      </c>
    </row>
    <row r="9088" spans="1:2" x14ac:dyDescent="0.2">
      <c r="A9088" s="112">
        <f t="shared" si="198"/>
        <v>43786</v>
      </c>
      <c r="B9088" s="111">
        <f t="shared" si="199"/>
        <v>113</v>
      </c>
    </row>
    <row r="9089" spans="1:2" x14ac:dyDescent="0.2">
      <c r="A9089" s="112">
        <f t="shared" si="198"/>
        <v>43787</v>
      </c>
      <c r="B9089" s="111">
        <f t="shared" si="199"/>
        <v>113</v>
      </c>
    </row>
    <row r="9090" spans="1:2" x14ac:dyDescent="0.2">
      <c r="A9090" s="112">
        <f t="shared" si="198"/>
        <v>43788</v>
      </c>
      <c r="B9090" s="111">
        <f t="shared" si="199"/>
        <v>113</v>
      </c>
    </row>
    <row r="9091" spans="1:2" x14ac:dyDescent="0.2">
      <c r="A9091" s="112">
        <f>A9090+1</f>
        <v>43789</v>
      </c>
      <c r="B9091" s="111">
        <f t="shared" si="199"/>
        <v>113</v>
      </c>
    </row>
    <row r="9092" spans="1:2" x14ac:dyDescent="0.2">
      <c r="A9092" s="112">
        <f>A9091+1</f>
        <v>43790</v>
      </c>
      <c r="B9092" s="111">
        <f t="shared" si="199"/>
        <v>113</v>
      </c>
    </row>
    <row r="9093" spans="1:2" x14ac:dyDescent="0.2">
      <c r="A9093" s="112">
        <f>A9092+1</f>
        <v>43791</v>
      </c>
      <c r="B9093" s="111">
        <f t="shared" si="199"/>
        <v>113</v>
      </c>
    </row>
    <row r="9094" spans="1:2" x14ac:dyDescent="0.2">
      <c r="A9094" s="112">
        <f>A9093+1</f>
        <v>43792</v>
      </c>
      <c r="B9094" s="111">
        <f t="shared" si="199"/>
        <v>113</v>
      </c>
    </row>
    <row r="9095" spans="1:2" x14ac:dyDescent="0.2">
      <c r="A9095" s="112">
        <f>A9094+1</f>
        <v>43793</v>
      </c>
      <c r="B9095" s="111">
        <f t="shared" si="199"/>
        <v>114</v>
      </c>
    </row>
    <row r="9096" spans="1:2" x14ac:dyDescent="0.2">
      <c r="A9096" s="112">
        <f t="shared" ref="A9096:A9110" si="200">A9095+1</f>
        <v>43794</v>
      </c>
      <c r="B9096" s="111">
        <f t="shared" si="199"/>
        <v>114</v>
      </c>
    </row>
    <row r="9097" spans="1:2" x14ac:dyDescent="0.2">
      <c r="A9097" s="112">
        <f t="shared" si="200"/>
        <v>43795</v>
      </c>
      <c r="B9097" s="111">
        <f t="shared" si="199"/>
        <v>114</v>
      </c>
    </row>
    <row r="9098" spans="1:2" x14ac:dyDescent="0.2">
      <c r="A9098" s="112">
        <f t="shared" si="200"/>
        <v>43796</v>
      </c>
      <c r="B9098" s="111">
        <f t="shared" si="199"/>
        <v>114</v>
      </c>
    </row>
    <row r="9099" spans="1:2" x14ac:dyDescent="0.2">
      <c r="A9099" s="112">
        <f t="shared" si="200"/>
        <v>43797</v>
      </c>
      <c r="B9099" s="111">
        <f t="shared" si="199"/>
        <v>114</v>
      </c>
    </row>
    <row r="9100" spans="1:2" x14ac:dyDescent="0.2">
      <c r="A9100" s="112">
        <f t="shared" si="200"/>
        <v>43798</v>
      </c>
      <c r="B9100" s="111">
        <f t="shared" si="199"/>
        <v>114</v>
      </c>
    </row>
    <row r="9101" spans="1:2" x14ac:dyDescent="0.2">
      <c r="A9101" s="112">
        <f t="shared" si="200"/>
        <v>43799</v>
      </c>
      <c r="B9101" s="111">
        <f t="shared" si="199"/>
        <v>114</v>
      </c>
    </row>
    <row r="9102" spans="1:2" x14ac:dyDescent="0.2">
      <c r="A9102" s="112">
        <f t="shared" si="200"/>
        <v>43800</v>
      </c>
      <c r="B9102" s="111">
        <f t="shared" si="199"/>
        <v>115</v>
      </c>
    </row>
    <row r="9103" spans="1:2" x14ac:dyDescent="0.2">
      <c r="A9103" s="112">
        <f t="shared" si="200"/>
        <v>43801</v>
      </c>
      <c r="B9103" s="111">
        <f t="shared" si="199"/>
        <v>115</v>
      </c>
    </row>
    <row r="9104" spans="1:2" x14ac:dyDescent="0.2">
      <c r="A9104" s="112">
        <f t="shared" si="200"/>
        <v>43802</v>
      </c>
      <c r="B9104" s="111">
        <f t="shared" si="199"/>
        <v>115</v>
      </c>
    </row>
    <row r="9105" spans="1:2" x14ac:dyDescent="0.2">
      <c r="A9105" s="112">
        <f t="shared" si="200"/>
        <v>43803</v>
      </c>
      <c r="B9105" s="111">
        <f t="shared" si="199"/>
        <v>115</v>
      </c>
    </row>
    <row r="9106" spans="1:2" x14ac:dyDescent="0.2">
      <c r="A9106" s="112">
        <f t="shared" si="200"/>
        <v>43804</v>
      </c>
      <c r="B9106" s="111">
        <f t="shared" si="199"/>
        <v>115</v>
      </c>
    </row>
    <row r="9107" spans="1:2" x14ac:dyDescent="0.2">
      <c r="A9107" s="112">
        <f t="shared" si="200"/>
        <v>43805</v>
      </c>
      <c r="B9107" s="111">
        <f t="shared" si="199"/>
        <v>115</v>
      </c>
    </row>
    <row r="9108" spans="1:2" x14ac:dyDescent="0.2">
      <c r="A9108" s="112">
        <f t="shared" si="200"/>
        <v>43806</v>
      </c>
      <c r="B9108" s="111">
        <f t="shared" si="199"/>
        <v>115</v>
      </c>
    </row>
    <row r="9109" spans="1:2" x14ac:dyDescent="0.2">
      <c r="A9109" s="112">
        <f t="shared" si="200"/>
        <v>43807</v>
      </c>
      <c r="B9109" s="111">
        <f t="shared" si="199"/>
        <v>121</v>
      </c>
    </row>
    <row r="9110" spans="1:2" x14ac:dyDescent="0.2">
      <c r="A9110" s="112">
        <f t="shared" si="200"/>
        <v>43808</v>
      </c>
      <c r="B9110" s="111">
        <f t="shared" si="199"/>
        <v>121</v>
      </c>
    </row>
    <row r="9111" spans="1:2" x14ac:dyDescent="0.2">
      <c r="A9111" s="112">
        <f>A9110+1</f>
        <v>43809</v>
      </c>
      <c r="B9111" s="111">
        <f t="shared" si="199"/>
        <v>121</v>
      </c>
    </row>
    <row r="9112" spans="1:2" x14ac:dyDescent="0.2">
      <c r="A9112" s="112">
        <f>A9111+1</f>
        <v>43810</v>
      </c>
      <c r="B9112" s="111">
        <f t="shared" si="199"/>
        <v>121</v>
      </c>
    </row>
    <row r="9113" spans="1:2" x14ac:dyDescent="0.2">
      <c r="A9113" s="112">
        <f>A9112+1</f>
        <v>43811</v>
      </c>
      <c r="B9113" s="111">
        <f t="shared" si="199"/>
        <v>121</v>
      </c>
    </row>
    <row r="9114" spans="1:2" x14ac:dyDescent="0.2">
      <c r="A9114" s="112">
        <f>A9113+1</f>
        <v>43812</v>
      </c>
      <c r="B9114" s="111">
        <f t="shared" si="199"/>
        <v>121</v>
      </c>
    </row>
    <row r="9115" spans="1:2" x14ac:dyDescent="0.2">
      <c r="A9115" s="112">
        <f>A9114+1</f>
        <v>43813</v>
      </c>
      <c r="B9115" s="111">
        <f t="shared" si="199"/>
        <v>121</v>
      </c>
    </row>
    <row r="9116" spans="1:2" x14ac:dyDescent="0.2">
      <c r="A9116" s="112">
        <f t="shared" ref="A9116:A9129" si="201">A9115+1</f>
        <v>43814</v>
      </c>
      <c r="B9116" s="111">
        <f t="shared" si="199"/>
        <v>122</v>
      </c>
    </row>
    <row r="9117" spans="1:2" x14ac:dyDescent="0.2">
      <c r="A9117" s="112">
        <f t="shared" si="201"/>
        <v>43815</v>
      </c>
      <c r="B9117" s="111">
        <f t="shared" si="199"/>
        <v>122</v>
      </c>
    </row>
    <row r="9118" spans="1:2" x14ac:dyDescent="0.2">
      <c r="A9118" s="112">
        <f t="shared" si="201"/>
        <v>43816</v>
      </c>
      <c r="B9118" s="111">
        <f t="shared" si="199"/>
        <v>122</v>
      </c>
    </row>
    <row r="9119" spans="1:2" x14ac:dyDescent="0.2">
      <c r="A9119" s="112">
        <f t="shared" si="201"/>
        <v>43817</v>
      </c>
      <c r="B9119" s="111">
        <f t="shared" si="199"/>
        <v>122</v>
      </c>
    </row>
    <row r="9120" spans="1:2" x14ac:dyDescent="0.2">
      <c r="A9120" s="112">
        <f t="shared" si="201"/>
        <v>43818</v>
      </c>
      <c r="B9120" s="111">
        <f t="shared" si="199"/>
        <v>122</v>
      </c>
    </row>
    <row r="9121" spans="1:2" x14ac:dyDescent="0.2">
      <c r="A9121" s="112">
        <f t="shared" si="201"/>
        <v>43819</v>
      </c>
      <c r="B9121" s="111">
        <f t="shared" si="199"/>
        <v>122</v>
      </c>
    </row>
    <row r="9122" spans="1:2" x14ac:dyDescent="0.2">
      <c r="A9122" s="112">
        <f t="shared" si="201"/>
        <v>43820</v>
      </c>
      <c r="B9122" s="111">
        <f t="shared" si="199"/>
        <v>122</v>
      </c>
    </row>
    <row r="9123" spans="1:2" x14ac:dyDescent="0.2">
      <c r="A9123" s="112">
        <f t="shared" si="201"/>
        <v>43821</v>
      </c>
      <c r="B9123" s="111">
        <f t="shared" si="199"/>
        <v>123</v>
      </c>
    </row>
    <row r="9124" spans="1:2" x14ac:dyDescent="0.2">
      <c r="A9124" s="112">
        <f t="shared" si="201"/>
        <v>43822</v>
      </c>
      <c r="B9124" s="111">
        <f t="shared" si="199"/>
        <v>123</v>
      </c>
    </row>
    <row r="9125" spans="1:2" x14ac:dyDescent="0.2">
      <c r="A9125" s="112">
        <f t="shared" si="201"/>
        <v>43823</v>
      </c>
      <c r="B9125" s="111">
        <f t="shared" si="199"/>
        <v>123</v>
      </c>
    </row>
    <row r="9126" spans="1:2" x14ac:dyDescent="0.2">
      <c r="A9126" s="112">
        <f t="shared" si="201"/>
        <v>43824</v>
      </c>
      <c r="B9126" s="111">
        <f t="shared" si="199"/>
        <v>123</v>
      </c>
    </row>
    <row r="9127" spans="1:2" x14ac:dyDescent="0.2">
      <c r="A9127" s="112">
        <f t="shared" si="201"/>
        <v>43825</v>
      </c>
      <c r="B9127" s="111">
        <f t="shared" si="199"/>
        <v>123</v>
      </c>
    </row>
    <row r="9128" spans="1:2" x14ac:dyDescent="0.2">
      <c r="A9128" s="112">
        <f t="shared" si="201"/>
        <v>43826</v>
      </c>
      <c r="B9128" s="111">
        <f t="shared" si="199"/>
        <v>123</v>
      </c>
    </row>
    <row r="9129" spans="1:2" x14ac:dyDescent="0.2">
      <c r="A9129" s="112">
        <f t="shared" si="201"/>
        <v>43827</v>
      </c>
      <c r="B9129" s="111">
        <f t="shared" si="199"/>
        <v>123</v>
      </c>
    </row>
    <row r="9130" spans="1:2" x14ac:dyDescent="0.2">
      <c r="A9130" s="112">
        <f t="shared" ref="A9130:A9139" si="202">A9129+1</f>
        <v>43828</v>
      </c>
      <c r="B9130" s="111">
        <f t="shared" si="199"/>
        <v>124</v>
      </c>
    </row>
    <row r="9131" spans="1:2" x14ac:dyDescent="0.2">
      <c r="A9131" s="112">
        <f t="shared" si="202"/>
        <v>43829</v>
      </c>
      <c r="B9131" s="111">
        <f t="shared" si="199"/>
        <v>124</v>
      </c>
    </row>
    <row r="9132" spans="1:2" x14ac:dyDescent="0.2">
      <c r="A9132" s="112">
        <f t="shared" si="202"/>
        <v>43830</v>
      </c>
      <c r="B9132" s="111">
        <f t="shared" si="199"/>
        <v>124</v>
      </c>
    </row>
    <row r="9133" spans="1:2" x14ac:dyDescent="0.2">
      <c r="A9133" s="112">
        <f t="shared" si="202"/>
        <v>43831</v>
      </c>
      <c r="B9133" s="111">
        <f t="shared" si="199"/>
        <v>11</v>
      </c>
    </row>
    <row r="9134" spans="1:2" x14ac:dyDescent="0.2">
      <c r="A9134" s="112">
        <f t="shared" si="202"/>
        <v>43832</v>
      </c>
      <c r="B9134" s="111">
        <f t="shared" si="199"/>
        <v>11</v>
      </c>
    </row>
    <row r="9135" spans="1:2" x14ac:dyDescent="0.2">
      <c r="A9135" s="112">
        <f t="shared" si="202"/>
        <v>43833</v>
      </c>
      <c r="B9135" s="111">
        <f t="shared" si="199"/>
        <v>11</v>
      </c>
    </row>
    <row r="9136" spans="1:2" x14ac:dyDescent="0.2">
      <c r="A9136" s="112">
        <f t="shared" si="202"/>
        <v>43834</v>
      </c>
      <c r="B9136" s="111">
        <f t="shared" si="199"/>
        <v>11</v>
      </c>
    </row>
    <row r="9137" spans="1:2" x14ac:dyDescent="0.2">
      <c r="A9137" s="112">
        <f t="shared" si="202"/>
        <v>43835</v>
      </c>
      <c r="B9137" s="111">
        <f t="shared" si="199"/>
        <v>12</v>
      </c>
    </row>
    <row r="9138" spans="1:2" x14ac:dyDescent="0.2">
      <c r="A9138" s="112">
        <f t="shared" si="202"/>
        <v>43836</v>
      </c>
      <c r="B9138" s="111">
        <f t="shared" si="199"/>
        <v>12</v>
      </c>
    </row>
    <row r="9139" spans="1:2" x14ac:dyDescent="0.2">
      <c r="A9139" s="112">
        <f t="shared" si="202"/>
        <v>43837</v>
      </c>
      <c r="B9139" s="111">
        <f t="shared" si="199"/>
        <v>12</v>
      </c>
    </row>
    <row r="9140" spans="1:2" x14ac:dyDescent="0.2">
      <c r="A9140" s="112">
        <f t="shared" ref="A9140:A9203" si="203">A9139+1</f>
        <v>43838</v>
      </c>
      <c r="B9140" s="111">
        <f t="shared" ref="B9140:B9159" si="204">VLOOKUP(WEEKNUM(A9140),$D$3:$E$58,2)</f>
        <v>12</v>
      </c>
    </row>
    <row r="9141" spans="1:2" x14ac:dyDescent="0.2">
      <c r="A9141" s="112">
        <f t="shared" si="203"/>
        <v>43839</v>
      </c>
      <c r="B9141" s="111">
        <f t="shared" si="204"/>
        <v>12</v>
      </c>
    </row>
    <row r="9142" spans="1:2" x14ac:dyDescent="0.2">
      <c r="A9142" s="112">
        <f t="shared" si="203"/>
        <v>43840</v>
      </c>
      <c r="B9142" s="111">
        <f t="shared" si="204"/>
        <v>12</v>
      </c>
    </row>
    <row r="9143" spans="1:2" x14ac:dyDescent="0.2">
      <c r="A9143" s="112">
        <f t="shared" si="203"/>
        <v>43841</v>
      </c>
      <c r="B9143" s="111">
        <f t="shared" si="204"/>
        <v>12</v>
      </c>
    </row>
    <row r="9144" spans="1:2" x14ac:dyDescent="0.2">
      <c r="A9144" s="112">
        <f t="shared" si="203"/>
        <v>43842</v>
      </c>
      <c r="B9144" s="111">
        <f t="shared" si="204"/>
        <v>13</v>
      </c>
    </row>
    <row r="9145" spans="1:2" x14ac:dyDescent="0.2">
      <c r="A9145" s="112">
        <f t="shared" si="203"/>
        <v>43843</v>
      </c>
      <c r="B9145" s="111">
        <f t="shared" si="204"/>
        <v>13</v>
      </c>
    </row>
    <row r="9146" spans="1:2" x14ac:dyDescent="0.2">
      <c r="A9146" s="112">
        <f t="shared" si="203"/>
        <v>43844</v>
      </c>
      <c r="B9146" s="111">
        <f t="shared" si="204"/>
        <v>13</v>
      </c>
    </row>
    <row r="9147" spans="1:2" x14ac:dyDescent="0.2">
      <c r="A9147" s="112">
        <f t="shared" si="203"/>
        <v>43845</v>
      </c>
      <c r="B9147" s="111">
        <f t="shared" si="204"/>
        <v>13</v>
      </c>
    </row>
    <row r="9148" spans="1:2" x14ac:dyDescent="0.2">
      <c r="A9148" s="112">
        <f t="shared" si="203"/>
        <v>43846</v>
      </c>
      <c r="B9148" s="111">
        <f t="shared" si="204"/>
        <v>13</v>
      </c>
    </row>
    <row r="9149" spans="1:2" x14ac:dyDescent="0.2">
      <c r="A9149" s="112">
        <f t="shared" si="203"/>
        <v>43847</v>
      </c>
      <c r="B9149" s="111">
        <f t="shared" si="204"/>
        <v>13</v>
      </c>
    </row>
    <row r="9150" spans="1:2" x14ac:dyDescent="0.2">
      <c r="A9150" s="112">
        <f t="shared" si="203"/>
        <v>43848</v>
      </c>
      <c r="B9150" s="111">
        <f t="shared" si="204"/>
        <v>13</v>
      </c>
    </row>
    <row r="9151" spans="1:2" x14ac:dyDescent="0.2">
      <c r="A9151" s="112">
        <f t="shared" si="203"/>
        <v>43849</v>
      </c>
      <c r="B9151" s="111">
        <f t="shared" si="204"/>
        <v>14</v>
      </c>
    </row>
    <row r="9152" spans="1:2" x14ac:dyDescent="0.2">
      <c r="A9152" s="112">
        <f t="shared" si="203"/>
        <v>43850</v>
      </c>
      <c r="B9152" s="111">
        <f t="shared" si="204"/>
        <v>14</v>
      </c>
    </row>
    <row r="9153" spans="1:2" x14ac:dyDescent="0.2">
      <c r="A9153" s="112">
        <f t="shared" si="203"/>
        <v>43851</v>
      </c>
      <c r="B9153" s="111">
        <f t="shared" si="204"/>
        <v>14</v>
      </c>
    </row>
    <row r="9154" spans="1:2" x14ac:dyDescent="0.2">
      <c r="A9154" s="112">
        <f t="shared" si="203"/>
        <v>43852</v>
      </c>
      <c r="B9154" s="111">
        <f t="shared" si="204"/>
        <v>14</v>
      </c>
    </row>
    <row r="9155" spans="1:2" x14ac:dyDescent="0.2">
      <c r="A9155" s="112">
        <f t="shared" si="203"/>
        <v>43853</v>
      </c>
      <c r="B9155" s="111">
        <f t="shared" si="204"/>
        <v>14</v>
      </c>
    </row>
    <row r="9156" spans="1:2" x14ac:dyDescent="0.2">
      <c r="A9156" s="112">
        <f t="shared" si="203"/>
        <v>43854</v>
      </c>
      <c r="B9156" s="111">
        <f t="shared" si="204"/>
        <v>14</v>
      </c>
    </row>
    <row r="9157" spans="1:2" x14ac:dyDescent="0.2">
      <c r="A9157" s="112">
        <f t="shared" si="203"/>
        <v>43855</v>
      </c>
      <c r="B9157" s="111">
        <f t="shared" si="204"/>
        <v>14</v>
      </c>
    </row>
    <row r="9158" spans="1:2" x14ac:dyDescent="0.2">
      <c r="A9158" s="112">
        <f t="shared" si="203"/>
        <v>43856</v>
      </c>
      <c r="B9158" s="111">
        <f t="shared" si="204"/>
        <v>15</v>
      </c>
    </row>
    <row r="9159" spans="1:2" x14ac:dyDescent="0.2">
      <c r="A9159" s="112">
        <f t="shared" si="203"/>
        <v>43857</v>
      </c>
      <c r="B9159" s="111">
        <f t="shared" si="204"/>
        <v>15</v>
      </c>
    </row>
    <row r="9160" spans="1:2" x14ac:dyDescent="0.2">
      <c r="A9160" s="112">
        <f t="shared" si="203"/>
        <v>43858</v>
      </c>
      <c r="B9160" s="111">
        <f t="shared" ref="B9160:B9223" si="205">VLOOKUP(WEEKNUM(A9160),$D$3:$E$58,2)</f>
        <v>15</v>
      </c>
    </row>
    <row r="9161" spans="1:2" x14ac:dyDescent="0.2">
      <c r="A9161" s="112">
        <f t="shared" si="203"/>
        <v>43859</v>
      </c>
      <c r="B9161" s="111">
        <f t="shared" si="205"/>
        <v>15</v>
      </c>
    </row>
    <row r="9162" spans="1:2" x14ac:dyDescent="0.2">
      <c r="A9162" s="112">
        <f t="shared" si="203"/>
        <v>43860</v>
      </c>
      <c r="B9162" s="111">
        <f t="shared" si="205"/>
        <v>15</v>
      </c>
    </row>
    <row r="9163" spans="1:2" x14ac:dyDescent="0.2">
      <c r="A9163" s="112">
        <f t="shared" si="203"/>
        <v>43861</v>
      </c>
      <c r="B9163" s="111">
        <f t="shared" si="205"/>
        <v>15</v>
      </c>
    </row>
    <row r="9164" spans="1:2" x14ac:dyDescent="0.2">
      <c r="A9164" s="112">
        <f t="shared" si="203"/>
        <v>43862</v>
      </c>
      <c r="B9164" s="111">
        <f t="shared" si="205"/>
        <v>15</v>
      </c>
    </row>
    <row r="9165" spans="1:2" x14ac:dyDescent="0.2">
      <c r="A9165" s="112">
        <f t="shared" si="203"/>
        <v>43863</v>
      </c>
      <c r="B9165" s="111">
        <f t="shared" si="205"/>
        <v>21</v>
      </c>
    </row>
    <row r="9166" spans="1:2" x14ac:dyDescent="0.2">
      <c r="A9166" s="112">
        <f t="shared" si="203"/>
        <v>43864</v>
      </c>
      <c r="B9166" s="111">
        <f t="shared" si="205"/>
        <v>21</v>
      </c>
    </row>
    <row r="9167" spans="1:2" x14ac:dyDescent="0.2">
      <c r="A9167" s="112">
        <f t="shared" si="203"/>
        <v>43865</v>
      </c>
      <c r="B9167" s="111">
        <f t="shared" si="205"/>
        <v>21</v>
      </c>
    </row>
    <row r="9168" spans="1:2" x14ac:dyDescent="0.2">
      <c r="A9168" s="112">
        <f t="shared" si="203"/>
        <v>43866</v>
      </c>
      <c r="B9168" s="111">
        <f t="shared" si="205"/>
        <v>21</v>
      </c>
    </row>
    <row r="9169" spans="1:2" x14ac:dyDescent="0.2">
      <c r="A9169" s="112">
        <f t="shared" si="203"/>
        <v>43867</v>
      </c>
      <c r="B9169" s="111">
        <f t="shared" si="205"/>
        <v>21</v>
      </c>
    </row>
    <row r="9170" spans="1:2" x14ac:dyDescent="0.2">
      <c r="A9170" s="112">
        <f t="shared" si="203"/>
        <v>43868</v>
      </c>
      <c r="B9170" s="111">
        <f t="shared" si="205"/>
        <v>21</v>
      </c>
    </row>
    <row r="9171" spans="1:2" x14ac:dyDescent="0.2">
      <c r="A9171" s="112">
        <f t="shared" si="203"/>
        <v>43869</v>
      </c>
      <c r="B9171" s="111">
        <f t="shared" si="205"/>
        <v>21</v>
      </c>
    </row>
    <row r="9172" spans="1:2" x14ac:dyDescent="0.2">
      <c r="A9172" s="112">
        <f t="shared" si="203"/>
        <v>43870</v>
      </c>
      <c r="B9172" s="111">
        <f t="shared" si="205"/>
        <v>22</v>
      </c>
    </row>
    <row r="9173" spans="1:2" x14ac:dyDescent="0.2">
      <c r="A9173" s="112">
        <f t="shared" si="203"/>
        <v>43871</v>
      </c>
      <c r="B9173" s="111">
        <f t="shared" si="205"/>
        <v>22</v>
      </c>
    </row>
    <row r="9174" spans="1:2" x14ac:dyDescent="0.2">
      <c r="A9174" s="112">
        <f t="shared" si="203"/>
        <v>43872</v>
      </c>
      <c r="B9174" s="111">
        <f t="shared" si="205"/>
        <v>22</v>
      </c>
    </row>
    <row r="9175" spans="1:2" x14ac:dyDescent="0.2">
      <c r="A9175" s="112">
        <f t="shared" si="203"/>
        <v>43873</v>
      </c>
      <c r="B9175" s="111">
        <f t="shared" si="205"/>
        <v>22</v>
      </c>
    </row>
    <row r="9176" spans="1:2" x14ac:dyDescent="0.2">
      <c r="A9176" s="112">
        <f t="shared" si="203"/>
        <v>43874</v>
      </c>
      <c r="B9176" s="111">
        <f t="shared" si="205"/>
        <v>22</v>
      </c>
    </row>
    <row r="9177" spans="1:2" x14ac:dyDescent="0.2">
      <c r="A9177" s="112">
        <f t="shared" si="203"/>
        <v>43875</v>
      </c>
      <c r="B9177" s="111">
        <f t="shared" si="205"/>
        <v>22</v>
      </c>
    </row>
    <row r="9178" spans="1:2" x14ac:dyDescent="0.2">
      <c r="A9178" s="112">
        <f t="shared" si="203"/>
        <v>43876</v>
      </c>
      <c r="B9178" s="111">
        <f t="shared" si="205"/>
        <v>22</v>
      </c>
    </row>
    <row r="9179" spans="1:2" x14ac:dyDescent="0.2">
      <c r="A9179" s="112">
        <f t="shared" si="203"/>
        <v>43877</v>
      </c>
      <c r="B9179" s="111">
        <f t="shared" si="205"/>
        <v>23</v>
      </c>
    </row>
    <row r="9180" spans="1:2" x14ac:dyDescent="0.2">
      <c r="A9180" s="112">
        <f t="shared" si="203"/>
        <v>43878</v>
      </c>
      <c r="B9180" s="111">
        <f t="shared" si="205"/>
        <v>23</v>
      </c>
    </row>
    <row r="9181" spans="1:2" x14ac:dyDescent="0.2">
      <c r="A9181" s="112">
        <f t="shared" si="203"/>
        <v>43879</v>
      </c>
      <c r="B9181" s="111">
        <f t="shared" si="205"/>
        <v>23</v>
      </c>
    </row>
    <row r="9182" spans="1:2" x14ac:dyDescent="0.2">
      <c r="A9182" s="112">
        <f t="shared" si="203"/>
        <v>43880</v>
      </c>
      <c r="B9182" s="111">
        <f t="shared" si="205"/>
        <v>23</v>
      </c>
    </row>
    <row r="9183" spans="1:2" x14ac:dyDescent="0.2">
      <c r="A9183" s="112">
        <f t="shared" si="203"/>
        <v>43881</v>
      </c>
      <c r="B9183" s="111">
        <f t="shared" si="205"/>
        <v>23</v>
      </c>
    </row>
    <row r="9184" spans="1:2" x14ac:dyDescent="0.2">
      <c r="A9184" s="112">
        <f t="shared" si="203"/>
        <v>43882</v>
      </c>
      <c r="B9184" s="111">
        <f t="shared" si="205"/>
        <v>23</v>
      </c>
    </row>
    <row r="9185" spans="1:2" x14ac:dyDescent="0.2">
      <c r="A9185" s="112">
        <f t="shared" si="203"/>
        <v>43883</v>
      </c>
      <c r="B9185" s="111">
        <f t="shared" si="205"/>
        <v>23</v>
      </c>
    </row>
    <row r="9186" spans="1:2" x14ac:dyDescent="0.2">
      <c r="A9186" s="112">
        <f t="shared" si="203"/>
        <v>43884</v>
      </c>
      <c r="B9186" s="111">
        <f t="shared" si="205"/>
        <v>24</v>
      </c>
    </row>
    <row r="9187" spans="1:2" x14ac:dyDescent="0.2">
      <c r="A9187" s="112">
        <f t="shared" si="203"/>
        <v>43885</v>
      </c>
      <c r="B9187" s="111">
        <f t="shared" si="205"/>
        <v>24</v>
      </c>
    </row>
    <row r="9188" spans="1:2" x14ac:dyDescent="0.2">
      <c r="A9188" s="112">
        <f t="shared" si="203"/>
        <v>43886</v>
      </c>
      <c r="B9188" s="111">
        <f t="shared" si="205"/>
        <v>24</v>
      </c>
    </row>
    <row r="9189" spans="1:2" x14ac:dyDescent="0.2">
      <c r="A9189" s="112">
        <f t="shared" si="203"/>
        <v>43887</v>
      </c>
      <c r="B9189" s="111">
        <f t="shared" si="205"/>
        <v>24</v>
      </c>
    </row>
    <row r="9190" spans="1:2" x14ac:dyDescent="0.2">
      <c r="A9190" s="112">
        <f t="shared" si="203"/>
        <v>43888</v>
      </c>
      <c r="B9190" s="111">
        <f t="shared" si="205"/>
        <v>24</v>
      </c>
    </row>
    <row r="9191" spans="1:2" x14ac:dyDescent="0.2">
      <c r="A9191" s="112">
        <f t="shared" si="203"/>
        <v>43889</v>
      </c>
      <c r="B9191" s="111">
        <f t="shared" si="205"/>
        <v>24</v>
      </c>
    </row>
    <row r="9192" spans="1:2" x14ac:dyDescent="0.2">
      <c r="A9192" s="112">
        <f t="shared" si="203"/>
        <v>43890</v>
      </c>
      <c r="B9192" s="111">
        <f t="shared" si="205"/>
        <v>24</v>
      </c>
    </row>
    <row r="9193" spans="1:2" x14ac:dyDescent="0.2">
      <c r="A9193" s="112">
        <f t="shared" si="203"/>
        <v>43891</v>
      </c>
      <c r="B9193" s="111">
        <f t="shared" si="205"/>
        <v>31</v>
      </c>
    </row>
    <row r="9194" spans="1:2" x14ac:dyDescent="0.2">
      <c r="A9194" s="112">
        <f t="shared" si="203"/>
        <v>43892</v>
      </c>
      <c r="B9194" s="111">
        <f t="shared" si="205"/>
        <v>31</v>
      </c>
    </row>
    <row r="9195" spans="1:2" x14ac:dyDescent="0.2">
      <c r="A9195" s="112">
        <f t="shared" si="203"/>
        <v>43893</v>
      </c>
      <c r="B9195" s="111">
        <f t="shared" si="205"/>
        <v>31</v>
      </c>
    </row>
    <row r="9196" spans="1:2" x14ac:dyDescent="0.2">
      <c r="A9196" s="112">
        <f t="shared" si="203"/>
        <v>43894</v>
      </c>
      <c r="B9196" s="111">
        <f t="shared" si="205"/>
        <v>31</v>
      </c>
    </row>
    <row r="9197" spans="1:2" x14ac:dyDescent="0.2">
      <c r="A9197" s="112">
        <f t="shared" si="203"/>
        <v>43895</v>
      </c>
      <c r="B9197" s="111">
        <f t="shared" si="205"/>
        <v>31</v>
      </c>
    </row>
    <row r="9198" spans="1:2" x14ac:dyDescent="0.2">
      <c r="A9198" s="112">
        <f t="shared" si="203"/>
        <v>43896</v>
      </c>
      <c r="B9198" s="111">
        <f t="shared" si="205"/>
        <v>31</v>
      </c>
    </row>
    <row r="9199" spans="1:2" x14ac:dyDescent="0.2">
      <c r="A9199" s="112">
        <f t="shared" si="203"/>
        <v>43897</v>
      </c>
      <c r="B9199" s="111">
        <f t="shared" si="205"/>
        <v>31</v>
      </c>
    </row>
    <row r="9200" spans="1:2" x14ac:dyDescent="0.2">
      <c r="A9200" s="112">
        <f t="shared" si="203"/>
        <v>43898</v>
      </c>
      <c r="B9200" s="111">
        <f t="shared" si="205"/>
        <v>32</v>
      </c>
    </row>
    <row r="9201" spans="1:2" x14ac:dyDescent="0.2">
      <c r="A9201" s="112">
        <f t="shared" si="203"/>
        <v>43899</v>
      </c>
      <c r="B9201" s="111">
        <f t="shared" si="205"/>
        <v>32</v>
      </c>
    </row>
    <row r="9202" spans="1:2" x14ac:dyDescent="0.2">
      <c r="A9202" s="112">
        <f t="shared" si="203"/>
        <v>43900</v>
      </c>
      <c r="B9202" s="111">
        <f t="shared" si="205"/>
        <v>32</v>
      </c>
    </row>
    <row r="9203" spans="1:2" x14ac:dyDescent="0.2">
      <c r="A9203" s="112">
        <f t="shared" si="203"/>
        <v>43901</v>
      </c>
      <c r="B9203" s="111">
        <f t="shared" si="205"/>
        <v>32</v>
      </c>
    </row>
    <row r="9204" spans="1:2" x14ac:dyDescent="0.2">
      <c r="A9204" s="112">
        <f t="shared" ref="A9204:A9267" si="206">A9203+1</f>
        <v>43902</v>
      </c>
      <c r="B9204" s="111">
        <f t="shared" si="205"/>
        <v>32</v>
      </c>
    </row>
    <row r="9205" spans="1:2" x14ac:dyDescent="0.2">
      <c r="A9205" s="112">
        <f t="shared" si="206"/>
        <v>43903</v>
      </c>
      <c r="B9205" s="111">
        <f t="shared" si="205"/>
        <v>32</v>
      </c>
    </row>
    <row r="9206" spans="1:2" x14ac:dyDescent="0.2">
      <c r="A9206" s="112">
        <f t="shared" si="206"/>
        <v>43904</v>
      </c>
      <c r="B9206" s="111">
        <f t="shared" si="205"/>
        <v>32</v>
      </c>
    </row>
    <row r="9207" spans="1:2" x14ac:dyDescent="0.2">
      <c r="A9207" s="112">
        <f t="shared" si="206"/>
        <v>43905</v>
      </c>
      <c r="B9207" s="111">
        <f t="shared" si="205"/>
        <v>33</v>
      </c>
    </row>
    <row r="9208" spans="1:2" x14ac:dyDescent="0.2">
      <c r="A9208" s="112">
        <f t="shared" si="206"/>
        <v>43906</v>
      </c>
      <c r="B9208" s="111">
        <f t="shared" si="205"/>
        <v>33</v>
      </c>
    </row>
    <row r="9209" spans="1:2" x14ac:dyDescent="0.2">
      <c r="A9209" s="112">
        <f t="shared" si="206"/>
        <v>43907</v>
      </c>
      <c r="B9209" s="111">
        <f t="shared" si="205"/>
        <v>33</v>
      </c>
    </row>
    <row r="9210" spans="1:2" x14ac:dyDescent="0.2">
      <c r="A9210" s="112">
        <f t="shared" si="206"/>
        <v>43908</v>
      </c>
      <c r="B9210" s="111">
        <f t="shared" si="205"/>
        <v>33</v>
      </c>
    </row>
    <row r="9211" spans="1:2" x14ac:dyDescent="0.2">
      <c r="A9211" s="112">
        <f t="shared" si="206"/>
        <v>43909</v>
      </c>
      <c r="B9211" s="111">
        <f t="shared" si="205"/>
        <v>33</v>
      </c>
    </row>
    <row r="9212" spans="1:2" x14ac:dyDescent="0.2">
      <c r="A9212" s="112">
        <f t="shared" si="206"/>
        <v>43910</v>
      </c>
      <c r="B9212" s="111">
        <f t="shared" si="205"/>
        <v>33</v>
      </c>
    </row>
    <row r="9213" spans="1:2" x14ac:dyDescent="0.2">
      <c r="A9213" s="112">
        <f t="shared" si="206"/>
        <v>43911</v>
      </c>
      <c r="B9213" s="111">
        <f t="shared" si="205"/>
        <v>33</v>
      </c>
    </row>
    <row r="9214" spans="1:2" x14ac:dyDescent="0.2">
      <c r="A9214" s="112">
        <f t="shared" si="206"/>
        <v>43912</v>
      </c>
      <c r="B9214" s="111">
        <f t="shared" si="205"/>
        <v>34</v>
      </c>
    </row>
    <row r="9215" spans="1:2" x14ac:dyDescent="0.2">
      <c r="A9215" s="112">
        <f t="shared" si="206"/>
        <v>43913</v>
      </c>
      <c r="B9215" s="111">
        <f t="shared" si="205"/>
        <v>34</v>
      </c>
    </row>
    <row r="9216" spans="1:2" x14ac:dyDescent="0.2">
      <c r="A9216" s="112">
        <f t="shared" si="206"/>
        <v>43914</v>
      </c>
      <c r="B9216" s="111">
        <f t="shared" si="205"/>
        <v>34</v>
      </c>
    </row>
    <row r="9217" spans="1:2" x14ac:dyDescent="0.2">
      <c r="A9217" s="112">
        <f t="shared" si="206"/>
        <v>43915</v>
      </c>
      <c r="B9217" s="111">
        <f t="shared" si="205"/>
        <v>34</v>
      </c>
    </row>
    <row r="9218" spans="1:2" x14ac:dyDescent="0.2">
      <c r="A9218" s="112">
        <f t="shared" si="206"/>
        <v>43916</v>
      </c>
      <c r="B9218" s="111">
        <f t="shared" si="205"/>
        <v>34</v>
      </c>
    </row>
    <row r="9219" spans="1:2" x14ac:dyDescent="0.2">
      <c r="A9219" s="112">
        <f t="shared" si="206"/>
        <v>43917</v>
      </c>
      <c r="B9219" s="111">
        <f t="shared" si="205"/>
        <v>34</v>
      </c>
    </row>
    <row r="9220" spans="1:2" x14ac:dyDescent="0.2">
      <c r="A9220" s="112">
        <f t="shared" si="206"/>
        <v>43918</v>
      </c>
      <c r="B9220" s="111">
        <f t="shared" si="205"/>
        <v>34</v>
      </c>
    </row>
    <row r="9221" spans="1:2" x14ac:dyDescent="0.2">
      <c r="A9221" s="112">
        <f t="shared" si="206"/>
        <v>43919</v>
      </c>
      <c r="B9221" s="111">
        <f t="shared" si="205"/>
        <v>41</v>
      </c>
    </row>
    <row r="9222" spans="1:2" x14ac:dyDescent="0.2">
      <c r="A9222" s="112">
        <f t="shared" si="206"/>
        <v>43920</v>
      </c>
      <c r="B9222" s="111">
        <f t="shared" si="205"/>
        <v>41</v>
      </c>
    </row>
    <row r="9223" spans="1:2" x14ac:dyDescent="0.2">
      <c r="A9223" s="112">
        <f t="shared" si="206"/>
        <v>43921</v>
      </c>
      <c r="B9223" s="111">
        <f t="shared" si="205"/>
        <v>41</v>
      </c>
    </row>
    <row r="9224" spans="1:2" x14ac:dyDescent="0.2">
      <c r="A9224" s="112">
        <f t="shared" si="206"/>
        <v>43922</v>
      </c>
      <c r="B9224" s="111">
        <f t="shared" ref="B9224:B9287" si="207">VLOOKUP(WEEKNUM(A9224),$D$3:$E$58,2)</f>
        <v>41</v>
      </c>
    </row>
    <row r="9225" spans="1:2" x14ac:dyDescent="0.2">
      <c r="A9225" s="112">
        <f t="shared" si="206"/>
        <v>43923</v>
      </c>
      <c r="B9225" s="111">
        <f t="shared" si="207"/>
        <v>41</v>
      </c>
    </row>
    <row r="9226" spans="1:2" x14ac:dyDescent="0.2">
      <c r="A9226" s="112">
        <f t="shared" si="206"/>
        <v>43924</v>
      </c>
      <c r="B9226" s="111">
        <f t="shared" si="207"/>
        <v>41</v>
      </c>
    </row>
    <row r="9227" spans="1:2" x14ac:dyDescent="0.2">
      <c r="A9227" s="112">
        <f t="shared" si="206"/>
        <v>43925</v>
      </c>
      <c r="B9227" s="111">
        <f t="shared" si="207"/>
        <v>41</v>
      </c>
    </row>
    <row r="9228" spans="1:2" x14ac:dyDescent="0.2">
      <c r="A9228" s="112">
        <f t="shared" si="206"/>
        <v>43926</v>
      </c>
      <c r="B9228" s="111">
        <f t="shared" si="207"/>
        <v>42</v>
      </c>
    </row>
    <row r="9229" spans="1:2" x14ac:dyDescent="0.2">
      <c r="A9229" s="112">
        <f t="shared" si="206"/>
        <v>43927</v>
      </c>
      <c r="B9229" s="111">
        <f t="shared" si="207"/>
        <v>42</v>
      </c>
    </row>
    <row r="9230" spans="1:2" x14ac:dyDescent="0.2">
      <c r="A9230" s="112">
        <f t="shared" si="206"/>
        <v>43928</v>
      </c>
      <c r="B9230" s="111">
        <f t="shared" si="207"/>
        <v>42</v>
      </c>
    </row>
    <row r="9231" spans="1:2" x14ac:dyDescent="0.2">
      <c r="A9231" s="112">
        <f t="shared" si="206"/>
        <v>43929</v>
      </c>
      <c r="B9231" s="111">
        <f t="shared" si="207"/>
        <v>42</v>
      </c>
    </row>
    <row r="9232" spans="1:2" x14ac:dyDescent="0.2">
      <c r="A9232" s="112">
        <f t="shared" si="206"/>
        <v>43930</v>
      </c>
      <c r="B9232" s="111">
        <f t="shared" si="207"/>
        <v>42</v>
      </c>
    </row>
    <row r="9233" spans="1:2" x14ac:dyDescent="0.2">
      <c r="A9233" s="112">
        <f t="shared" si="206"/>
        <v>43931</v>
      </c>
      <c r="B9233" s="111">
        <f t="shared" si="207"/>
        <v>42</v>
      </c>
    </row>
    <row r="9234" spans="1:2" x14ac:dyDescent="0.2">
      <c r="A9234" s="112">
        <f t="shared" si="206"/>
        <v>43932</v>
      </c>
      <c r="B9234" s="111">
        <f t="shared" si="207"/>
        <v>42</v>
      </c>
    </row>
    <row r="9235" spans="1:2" x14ac:dyDescent="0.2">
      <c r="A9235" s="112">
        <f t="shared" si="206"/>
        <v>43933</v>
      </c>
      <c r="B9235" s="111">
        <f t="shared" si="207"/>
        <v>43</v>
      </c>
    </row>
    <row r="9236" spans="1:2" x14ac:dyDescent="0.2">
      <c r="A9236" s="112">
        <f t="shared" si="206"/>
        <v>43934</v>
      </c>
      <c r="B9236" s="111">
        <f t="shared" si="207"/>
        <v>43</v>
      </c>
    </row>
    <row r="9237" spans="1:2" x14ac:dyDescent="0.2">
      <c r="A9237" s="112">
        <f t="shared" si="206"/>
        <v>43935</v>
      </c>
      <c r="B9237" s="111">
        <f t="shared" si="207"/>
        <v>43</v>
      </c>
    </row>
    <row r="9238" spans="1:2" x14ac:dyDescent="0.2">
      <c r="A9238" s="112">
        <f t="shared" si="206"/>
        <v>43936</v>
      </c>
      <c r="B9238" s="111">
        <f t="shared" si="207"/>
        <v>43</v>
      </c>
    </row>
    <row r="9239" spans="1:2" x14ac:dyDescent="0.2">
      <c r="A9239" s="112">
        <f t="shared" si="206"/>
        <v>43937</v>
      </c>
      <c r="B9239" s="111">
        <f t="shared" si="207"/>
        <v>43</v>
      </c>
    </row>
    <row r="9240" spans="1:2" x14ac:dyDescent="0.2">
      <c r="A9240" s="112">
        <f t="shared" si="206"/>
        <v>43938</v>
      </c>
      <c r="B9240" s="111">
        <f t="shared" si="207"/>
        <v>43</v>
      </c>
    </row>
    <row r="9241" spans="1:2" x14ac:dyDescent="0.2">
      <c r="A9241" s="112">
        <f t="shared" si="206"/>
        <v>43939</v>
      </c>
      <c r="B9241" s="111">
        <f t="shared" si="207"/>
        <v>43</v>
      </c>
    </row>
    <row r="9242" spans="1:2" x14ac:dyDescent="0.2">
      <c r="A9242" s="112">
        <f t="shared" si="206"/>
        <v>43940</v>
      </c>
      <c r="B9242" s="111">
        <f t="shared" si="207"/>
        <v>44</v>
      </c>
    </row>
    <row r="9243" spans="1:2" x14ac:dyDescent="0.2">
      <c r="A9243" s="112">
        <f t="shared" si="206"/>
        <v>43941</v>
      </c>
      <c r="B9243" s="111">
        <f t="shared" si="207"/>
        <v>44</v>
      </c>
    </row>
    <row r="9244" spans="1:2" x14ac:dyDescent="0.2">
      <c r="A9244" s="112">
        <f t="shared" si="206"/>
        <v>43942</v>
      </c>
      <c r="B9244" s="111">
        <f t="shared" si="207"/>
        <v>44</v>
      </c>
    </row>
    <row r="9245" spans="1:2" x14ac:dyDescent="0.2">
      <c r="A9245" s="112">
        <f t="shared" si="206"/>
        <v>43943</v>
      </c>
      <c r="B9245" s="111">
        <f t="shared" si="207"/>
        <v>44</v>
      </c>
    </row>
    <row r="9246" spans="1:2" x14ac:dyDescent="0.2">
      <c r="A9246" s="112">
        <f t="shared" si="206"/>
        <v>43944</v>
      </c>
      <c r="B9246" s="111">
        <f t="shared" si="207"/>
        <v>44</v>
      </c>
    </row>
    <row r="9247" spans="1:2" x14ac:dyDescent="0.2">
      <c r="A9247" s="112">
        <f t="shared" si="206"/>
        <v>43945</v>
      </c>
      <c r="B9247" s="111">
        <f t="shared" si="207"/>
        <v>44</v>
      </c>
    </row>
    <row r="9248" spans="1:2" x14ac:dyDescent="0.2">
      <c r="A9248" s="112">
        <f t="shared" si="206"/>
        <v>43946</v>
      </c>
      <c r="B9248" s="111">
        <f t="shared" si="207"/>
        <v>44</v>
      </c>
    </row>
    <row r="9249" spans="1:2" x14ac:dyDescent="0.2">
      <c r="A9249" s="112">
        <f t="shared" si="206"/>
        <v>43947</v>
      </c>
      <c r="B9249" s="111">
        <f t="shared" si="207"/>
        <v>45</v>
      </c>
    </row>
    <row r="9250" spans="1:2" x14ac:dyDescent="0.2">
      <c r="A9250" s="112">
        <f t="shared" si="206"/>
        <v>43948</v>
      </c>
      <c r="B9250" s="111">
        <f t="shared" si="207"/>
        <v>45</v>
      </c>
    </row>
    <row r="9251" spans="1:2" x14ac:dyDescent="0.2">
      <c r="A9251" s="112">
        <f t="shared" si="206"/>
        <v>43949</v>
      </c>
      <c r="B9251" s="111">
        <f t="shared" si="207"/>
        <v>45</v>
      </c>
    </row>
    <row r="9252" spans="1:2" x14ac:dyDescent="0.2">
      <c r="A9252" s="112">
        <f t="shared" si="206"/>
        <v>43950</v>
      </c>
      <c r="B9252" s="111">
        <f t="shared" si="207"/>
        <v>45</v>
      </c>
    </row>
    <row r="9253" spans="1:2" x14ac:dyDescent="0.2">
      <c r="A9253" s="112">
        <f t="shared" si="206"/>
        <v>43951</v>
      </c>
      <c r="B9253" s="111">
        <f t="shared" si="207"/>
        <v>45</v>
      </c>
    </row>
    <row r="9254" spans="1:2" x14ac:dyDescent="0.2">
      <c r="A9254" s="112">
        <f t="shared" si="206"/>
        <v>43952</v>
      </c>
      <c r="B9254" s="111">
        <f t="shared" si="207"/>
        <v>45</v>
      </c>
    </row>
    <row r="9255" spans="1:2" x14ac:dyDescent="0.2">
      <c r="A9255" s="112">
        <f t="shared" si="206"/>
        <v>43953</v>
      </c>
      <c r="B9255" s="111">
        <f t="shared" si="207"/>
        <v>45</v>
      </c>
    </row>
    <row r="9256" spans="1:2" x14ac:dyDescent="0.2">
      <c r="A9256" s="112">
        <f t="shared" si="206"/>
        <v>43954</v>
      </c>
      <c r="B9256" s="111">
        <f t="shared" si="207"/>
        <v>51</v>
      </c>
    </row>
    <row r="9257" spans="1:2" x14ac:dyDescent="0.2">
      <c r="A9257" s="112">
        <f t="shared" si="206"/>
        <v>43955</v>
      </c>
      <c r="B9257" s="111">
        <f t="shared" si="207"/>
        <v>51</v>
      </c>
    </row>
    <row r="9258" spans="1:2" x14ac:dyDescent="0.2">
      <c r="A9258" s="112">
        <f t="shared" si="206"/>
        <v>43956</v>
      </c>
      <c r="B9258" s="111">
        <f t="shared" si="207"/>
        <v>51</v>
      </c>
    </row>
    <row r="9259" spans="1:2" x14ac:dyDescent="0.2">
      <c r="A9259" s="112">
        <f t="shared" si="206"/>
        <v>43957</v>
      </c>
      <c r="B9259" s="111">
        <f t="shared" si="207"/>
        <v>51</v>
      </c>
    </row>
    <row r="9260" spans="1:2" x14ac:dyDescent="0.2">
      <c r="A9260" s="112">
        <f t="shared" si="206"/>
        <v>43958</v>
      </c>
      <c r="B9260" s="111">
        <f t="shared" si="207"/>
        <v>51</v>
      </c>
    </row>
    <row r="9261" spans="1:2" x14ac:dyDescent="0.2">
      <c r="A9261" s="112">
        <f t="shared" si="206"/>
        <v>43959</v>
      </c>
      <c r="B9261" s="111">
        <f t="shared" si="207"/>
        <v>51</v>
      </c>
    </row>
    <row r="9262" spans="1:2" x14ac:dyDescent="0.2">
      <c r="A9262" s="112">
        <f t="shared" si="206"/>
        <v>43960</v>
      </c>
      <c r="B9262" s="111">
        <f t="shared" si="207"/>
        <v>51</v>
      </c>
    </row>
    <row r="9263" spans="1:2" x14ac:dyDescent="0.2">
      <c r="A9263" s="112">
        <f t="shared" si="206"/>
        <v>43961</v>
      </c>
      <c r="B9263" s="111">
        <f t="shared" si="207"/>
        <v>52</v>
      </c>
    </row>
    <row r="9264" spans="1:2" x14ac:dyDescent="0.2">
      <c r="A9264" s="112">
        <f t="shared" si="206"/>
        <v>43962</v>
      </c>
      <c r="B9264" s="111">
        <f t="shared" si="207"/>
        <v>52</v>
      </c>
    </row>
    <row r="9265" spans="1:2" x14ac:dyDescent="0.2">
      <c r="A9265" s="112">
        <f t="shared" si="206"/>
        <v>43963</v>
      </c>
      <c r="B9265" s="111">
        <f t="shared" si="207"/>
        <v>52</v>
      </c>
    </row>
    <row r="9266" spans="1:2" x14ac:dyDescent="0.2">
      <c r="A9266" s="112">
        <f t="shared" si="206"/>
        <v>43964</v>
      </c>
      <c r="B9266" s="111">
        <f t="shared" si="207"/>
        <v>52</v>
      </c>
    </row>
    <row r="9267" spans="1:2" x14ac:dyDescent="0.2">
      <c r="A9267" s="112">
        <f t="shared" si="206"/>
        <v>43965</v>
      </c>
      <c r="B9267" s="111">
        <f t="shared" si="207"/>
        <v>52</v>
      </c>
    </row>
    <row r="9268" spans="1:2" x14ac:dyDescent="0.2">
      <c r="A9268" s="112">
        <f t="shared" ref="A9268:A9331" si="208">A9267+1</f>
        <v>43966</v>
      </c>
      <c r="B9268" s="111">
        <f t="shared" si="207"/>
        <v>52</v>
      </c>
    </row>
    <row r="9269" spans="1:2" x14ac:dyDescent="0.2">
      <c r="A9269" s="112">
        <f t="shared" si="208"/>
        <v>43967</v>
      </c>
      <c r="B9269" s="111">
        <f t="shared" si="207"/>
        <v>52</v>
      </c>
    </row>
    <row r="9270" spans="1:2" x14ac:dyDescent="0.2">
      <c r="A9270" s="112">
        <f t="shared" si="208"/>
        <v>43968</v>
      </c>
      <c r="B9270" s="111">
        <f t="shared" si="207"/>
        <v>53</v>
      </c>
    </row>
    <row r="9271" spans="1:2" x14ac:dyDescent="0.2">
      <c r="A9271" s="112">
        <f t="shared" si="208"/>
        <v>43969</v>
      </c>
      <c r="B9271" s="111">
        <f t="shared" si="207"/>
        <v>53</v>
      </c>
    </row>
    <row r="9272" spans="1:2" x14ac:dyDescent="0.2">
      <c r="A9272" s="112">
        <f t="shared" si="208"/>
        <v>43970</v>
      </c>
      <c r="B9272" s="111">
        <f t="shared" si="207"/>
        <v>53</v>
      </c>
    </row>
    <row r="9273" spans="1:2" x14ac:dyDescent="0.2">
      <c r="A9273" s="112">
        <f t="shared" si="208"/>
        <v>43971</v>
      </c>
      <c r="B9273" s="111">
        <f t="shared" si="207"/>
        <v>53</v>
      </c>
    </row>
    <row r="9274" spans="1:2" x14ac:dyDescent="0.2">
      <c r="A9274" s="112">
        <f t="shared" si="208"/>
        <v>43972</v>
      </c>
      <c r="B9274" s="111">
        <f t="shared" si="207"/>
        <v>53</v>
      </c>
    </row>
    <row r="9275" spans="1:2" x14ac:dyDescent="0.2">
      <c r="A9275" s="112">
        <f t="shared" si="208"/>
        <v>43973</v>
      </c>
      <c r="B9275" s="111">
        <f t="shared" si="207"/>
        <v>53</v>
      </c>
    </row>
    <row r="9276" spans="1:2" x14ac:dyDescent="0.2">
      <c r="A9276" s="112">
        <f t="shared" si="208"/>
        <v>43974</v>
      </c>
      <c r="B9276" s="111">
        <f t="shared" si="207"/>
        <v>53</v>
      </c>
    </row>
    <row r="9277" spans="1:2" x14ac:dyDescent="0.2">
      <c r="A9277" s="112">
        <f t="shared" si="208"/>
        <v>43975</v>
      </c>
      <c r="B9277" s="111">
        <f t="shared" si="207"/>
        <v>54</v>
      </c>
    </row>
    <row r="9278" spans="1:2" x14ac:dyDescent="0.2">
      <c r="A9278" s="112">
        <f t="shared" si="208"/>
        <v>43976</v>
      </c>
      <c r="B9278" s="111">
        <f t="shared" si="207"/>
        <v>54</v>
      </c>
    </row>
    <row r="9279" spans="1:2" x14ac:dyDescent="0.2">
      <c r="A9279" s="112">
        <f t="shared" si="208"/>
        <v>43977</v>
      </c>
      <c r="B9279" s="111">
        <f t="shared" si="207"/>
        <v>54</v>
      </c>
    </row>
    <row r="9280" spans="1:2" x14ac:dyDescent="0.2">
      <c r="A9280" s="112">
        <f t="shared" si="208"/>
        <v>43978</v>
      </c>
      <c r="B9280" s="111">
        <f t="shared" si="207"/>
        <v>54</v>
      </c>
    </row>
    <row r="9281" spans="1:2" x14ac:dyDescent="0.2">
      <c r="A9281" s="112">
        <f t="shared" si="208"/>
        <v>43979</v>
      </c>
      <c r="B9281" s="111">
        <f t="shared" si="207"/>
        <v>54</v>
      </c>
    </row>
    <row r="9282" spans="1:2" x14ac:dyDescent="0.2">
      <c r="A9282" s="112">
        <f t="shared" si="208"/>
        <v>43980</v>
      </c>
      <c r="B9282" s="111">
        <f t="shared" si="207"/>
        <v>54</v>
      </c>
    </row>
    <row r="9283" spans="1:2" x14ac:dyDescent="0.2">
      <c r="A9283" s="112">
        <f t="shared" si="208"/>
        <v>43981</v>
      </c>
      <c r="B9283" s="111">
        <f t="shared" si="207"/>
        <v>54</v>
      </c>
    </row>
    <row r="9284" spans="1:2" x14ac:dyDescent="0.2">
      <c r="A9284" s="112">
        <f t="shared" si="208"/>
        <v>43982</v>
      </c>
      <c r="B9284" s="111">
        <f t="shared" si="207"/>
        <v>61</v>
      </c>
    </row>
    <row r="9285" spans="1:2" x14ac:dyDescent="0.2">
      <c r="A9285" s="112">
        <f t="shared" si="208"/>
        <v>43983</v>
      </c>
      <c r="B9285" s="111">
        <f t="shared" si="207"/>
        <v>61</v>
      </c>
    </row>
    <row r="9286" spans="1:2" x14ac:dyDescent="0.2">
      <c r="A9286" s="112">
        <f t="shared" si="208"/>
        <v>43984</v>
      </c>
      <c r="B9286" s="111">
        <f t="shared" si="207"/>
        <v>61</v>
      </c>
    </row>
    <row r="9287" spans="1:2" x14ac:dyDescent="0.2">
      <c r="A9287" s="112">
        <f t="shared" si="208"/>
        <v>43985</v>
      </c>
      <c r="B9287" s="111">
        <f t="shared" si="207"/>
        <v>61</v>
      </c>
    </row>
    <row r="9288" spans="1:2" x14ac:dyDescent="0.2">
      <c r="A9288" s="112">
        <f t="shared" si="208"/>
        <v>43986</v>
      </c>
      <c r="B9288" s="111">
        <f t="shared" ref="B9288:B9351" si="209">VLOOKUP(WEEKNUM(A9288),$D$3:$E$58,2)</f>
        <v>61</v>
      </c>
    </row>
    <row r="9289" spans="1:2" x14ac:dyDescent="0.2">
      <c r="A9289" s="112">
        <f t="shared" si="208"/>
        <v>43987</v>
      </c>
      <c r="B9289" s="111">
        <f t="shared" si="209"/>
        <v>61</v>
      </c>
    </row>
    <row r="9290" spans="1:2" x14ac:dyDescent="0.2">
      <c r="A9290" s="112">
        <f t="shared" si="208"/>
        <v>43988</v>
      </c>
      <c r="B9290" s="111">
        <f t="shared" si="209"/>
        <v>61</v>
      </c>
    </row>
    <row r="9291" spans="1:2" x14ac:dyDescent="0.2">
      <c r="A9291" s="112">
        <f t="shared" si="208"/>
        <v>43989</v>
      </c>
      <c r="B9291" s="111">
        <f t="shared" si="209"/>
        <v>62</v>
      </c>
    </row>
    <row r="9292" spans="1:2" x14ac:dyDescent="0.2">
      <c r="A9292" s="112">
        <f t="shared" si="208"/>
        <v>43990</v>
      </c>
      <c r="B9292" s="111">
        <f t="shared" si="209"/>
        <v>62</v>
      </c>
    </row>
    <row r="9293" spans="1:2" x14ac:dyDescent="0.2">
      <c r="A9293" s="112">
        <f t="shared" si="208"/>
        <v>43991</v>
      </c>
      <c r="B9293" s="111">
        <f t="shared" si="209"/>
        <v>62</v>
      </c>
    </row>
    <row r="9294" spans="1:2" x14ac:dyDescent="0.2">
      <c r="A9294" s="112">
        <f t="shared" si="208"/>
        <v>43992</v>
      </c>
      <c r="B9294" s="111">
        <f t="shared" si="209"/>
        <v>62</v>
      </c>
    </row>
    <row r="9295" spans="1:2" x14ac:dyDescent="0.2">
      <c r="A9295" s="112">
        <f t="shared" si="208"/>
        <v>43993</v>
      </c>
      <c r="B9295" s="111">
        <f t="shared" si="209"/>
        <v>62</v>
      </c>
    </row>
    <row r="9296" spans="1:2" x14ac:dyDescent="0.2">
      <c r="A9296" s="112">
        <f t="shared" si="208"/>
        <v>43994</v>
      </c>
      <c r="B9296" s="111">
        <f t="shared" si="209"/>
        <v>62</v>
      </c>
    </row>
    <row r="9297" spans="1:2" x14ac:dyDescent="0.2">
      <c r="A9297" s="112">
        <f t="shared" si="208"/>
        <v>43995</v>
      </c>
      <c r="B9297" s="111">
        <f t="shared" si="209"/>
        <v>62</v>
      </c>
    </row>
    <row r="9298" spans="1:2" x14ac:dyDescent="0.2">
      <c r="A9298" s="112">
        <f t="shared" si="208"/>
        <v>43996</v>
      </c>
      <c r="B9298" s="111">
        <f t="shared" si="209"/>
        <v>63</v>
      </c>
    </row>
    <row r="9299" spans="1:2" x14ac:dyDescent="0.2">
      <c r="A9299" s="112">
        <f t="shared" si="208"/>
        <v>43997</v>
      </c>
      <c r="B9299" s="111">
        <f t="shared" si="209"/>
        <v>63</v>
      </c>
    </row>
    <row r="9300" spans="1:2" x14ac:dyDescent="0.2">
      <c r="A9300" s="112">
        <f t="shared" si="208"/>
        <v>43998</v>
      </c>
      <c r="B9300" s="111">
        <f t="shared" si="209"/>
        <v>63</v>
      </c>
    </row>
    <row r="9301" spans="1:2" x14ac:dyDescent="0.2">
      <c r="A9301" s="112">
        <f t="shared" si="208"/>
        <v>43999</v>
      </c>
      <c r="B9301" s="111">
        <f t="shared" si="209"/>
        <v>63</v>
      </c>
    </row>
    <row r="9302" spans="1:2" x14ac:dyDescent="0.2">
      <c r="A9302" s="112">
        <f t="shared" si="208"/>
        <v>44000</v>
      </c>
      <c r="B9302" s="111">
        <f t="shared" si="209"/>
        <v>63</v>
      </c>
    </row>
    <row r="9303" spans="1:2" x14ac:dyDescent="0.2">
      <c r="A9303" s="112">
        <f t="shared" si="208"/>
        <v>44001</v>
      </c>
      <c r="B9303" s="111">
        <f t="shared" si="209"/>
        <v>63</v>
      </c>
    </row>
    <row r="9304" spans="1:2" x14ac:dyDescent="0.2">
      <c r="A9304" s="112">
        <f t="shared" si="208"/>
        <v>44002</v>
      </c>
      <c r="B9304" s="111">
        <f t="shared" si="209"/>
        <v>63</v>
      </c>
    </row>
    <row r="9305" spans="1:2" x14ac:dyDescent="0.2">
      <c r="A9305" s="112">
        <f t="shared" si="208"/>
        <v>44003</v>
      </c>
      <c r="B9305" s="111">
        <f t="shared" si="209"/>
        <v>64</v>
      </c>
    </row>
    <row r="9306" spans="1:2" x14ac:dyDescent="0.2">
      <c r="A9306" s="112">
        <f t="shared" si="208"/>
        <v>44004</v>
      </c>
      <c r="B9306" s="111">
        <f t="shared" si="209"/>
        <v>64</v>
      </c>
    </row>
    <row r="9307" spans="1:2" x14ac:dyDescent="0.2">
      <c r="A9307" s="112">
        <f t="shared" si="208"/>
        <v>44005</v>
      </c>
      <c r="B9307" s="111">
        <f t="shared" si="209"/>
        <v>64</v>
      </c>
    </row>
    <row r="9308" spans="1:2" x14ac:dyDescent="0.2">
      <c r="A9308" s="112">
        <f t="shared" si="208"/>
        <v>44006</v>
      </c>
      <c r="B9308" s="111">
        <f t="shared" si="209"/>
        <v>64</v>
      </c>
    </row>
    <row r="9309" spans="1:2" x14ac:dyDescent="0.2">
      <c r="A9309" s="112">
        <f t="shared" si="208"/>
        <v>44007</v>
      </c>
      <c r="B9309" s="111">
        <f t="shared" si="209"/>
        <v>64</v>
      </c>
    </row>
    <row r="9310" spans="1:2" x14ac:dyDescent="0.2">
      <c r="A9310" s="112">
        <f t="shared" si="208"/>
        <v>44008</v>
      </c>
      <c r="B9310" s="111">
        <f t="shared" si="209"/>
        <v>64</v>
      </c>
    </row>
    <row r="9311" spans="1:2" x14ac:dyDescent="0.2">
      <c r="A9311" s="112">
        <f t="shared" si="208"/>
        <v>44009</v>
      </c>
      <c r="B9311" s="111">
        <f t="shared" si="209"/>
        <v>64</v>
      </c>
    </row>
    <row r="9312" spans="1:2" x14ac:dyDescent="0.2">
      <c r="A9312" s="112">
        <f t="shared" si="208"/>
        <v>44010</v>
      </c>
      <c r="B9312" s="111">
        <f t="shared" si="209"/>
        <v>71</v>
      </c>
    </row>
    <row r="9313" spans="1:2" x14ac:dyDescent="0.2">
      <c r="A9313" s="112">
        <f t="shared" si="208"/>
        <v>44011</v>
      </c>
      <c r="B9313" s="111">
        <f t="shared" si="209"/>
        <v>71</v>
      </c>
    </row>
    <row r="9314" spans="1:2" x14ac:dyDescent="0.2">
      <c r="A9314" s="112">
        <f t="shared" si="208"/>
        <v>44012</v>
      </c>
      <c r="B9314" s="111">
        <f t="shared" si="209"/>
        <v>71</v>
      </c>
    </row>
    <row r="9315" spans="1:2" x14ac:dyDescent="0.2">
      <c r="A9315" s="112">
        <f t="shared" si="208"/>
        <v>44013</v>
      </c>
      <c r="B9315" s="111">
        <f t="shared" si="209"/>
        <v>71</v>
      </c>
    </row>
    <row r="9316" spans="1:2" x14ac:dyDescent="0.2">
      <c r="A9316" s="112">
        <f t="shared" si="208"/>
        <v>44014</v>
      </c>
      <c r="B9316" s="111">
        <f t="shared" si="209"/>
        <v>71</v>
      </c>
    </row>
    <row r="9317" spans="1:2" x14ac:dyDescent="0.2">
      <c r="A9317" s="112">
        <f t="shared" si="208"/>
        <v>44015</v>
      </c>
      <c r="B9317" s="111">
        <f t="shared" si="209"/>
        <v>71</v>
      </c>
    </row>
    <row r="9318" spans="1:2" x14ac:dyDescent="0.2">
      <c r="A9318" s="112">
        <f t="shared" si="208"/>
        <v>44016</v>
      </c>
      <c r="B9318" s="111">
        <f t="shared" si="209"/>
        <v>71</v>
      </c>
    </row>
    <row r="9319" spans="1:2" x14ac:dyDescent="0.2">
      <c r="A9319" s="112">
        <f t="shared" si="208"/>
        <v>44017</v>
      </c>
      <c r="B9319" s="111">
        <f t="shared" si="209"/>
        <v>72</v>
      </c>
    </row>
    <row r="9320" spans="1:2" x14ac:dyDescent="0.2">
      <c r="A9320" s="112">
        <f t="shared" si="208"/>
        <v>44018</v>
      </c>
      <c r="B9320" s="111">
        <f t="shared" si="209"/>
        <v>72</v>
      </c>
    </row>
    <row r="9321" spans="1:2" x14ac:dyDescent="0.2">
      <c r="A9321" s="112">
        <f t="shared" si="208"/>
        <v>44019</v>
      </c>
      <c r="B9321" s="111">
        <f t="shared" si="209"/>
        <v>72</v>
      </c>
    </row>
    <row r="9322" spans="1:2" x14ac:dyDescent="0.2">
      <c r="A9322" s="112">
        <f t="shared" si="208"/>
        <v>44020</v>
      </c>
      <c r="B9322" s="111">
        <f t="shared" si="209"/>
        <v>72</v>
      </c>
    </row>
    <row r="9323" spans="1:2" x14ac:dyDescent="0.2">
      <c r="A9323" s="112">
        <f t="shared" si="208"/>
        <v>44021</v>
      </c>
      <c r="B9323" s="111">
        <f t="shared" si="209"/>
        <v>72</v>
      </c>
    </row>
    <row r="9324" spans="1:2" x14ac:dyDescent="0.2">
      <c r="A9324" s="112">
        <f t="shared" si="208"/>
        <v>44022</v>
      </c>
      <c r="B9324" s="111">
        <f t="shared" si="209"/>
        <v>72</v>
      </c>
    </row>
    <row r="9325" spans="1:2" x14ac:dyDescent="0.2">
      <c r="A9325" s="112">
        <f t="shared" si="208"/>
        <v>44023</v>
      </c>
      <c r="B9325" s="111">
        <f t="shared" si="209"/>
        <v>72</v>
      </c>
    </row>
    <row r="9326" spans="1:2" x14ac:dyDescent="0.2">
      <c r="A9326" s="112">
        <f t="shared" si="208"/>
        <v>44024</v>
      </c>
      <c r="B9326" s="111">
        <f t="shared" si="209"/>
        <v>73</v>
      </c>
    </row>
    <row r="9327" spans="1:2" x14ac:dyDescent="0.2">
      <c r="A9327" s="112">
        <f t="shared" si="208"/>
        <v>44025</v>
      </c>
      <c r="B9327" s="111">
        <f t="shared" si="209"/>
        <v>73</v>
      </c>
    </row>
    <row r="9328" spans="1:2" x14ac:dyDescent="0.2">
      <c r="A9328" s="112">
        <f t="shared" si="208"/>
        <v>44026</v>
      </c>
      <c r="B9328" s="111">
        <f t="shared" si="209"/>
        <v>73</v>
      </c>
    </row>
    <row r="9329" spans="1:2" x14ac:dyDescent="0.2">
      <c r="A9329" s="112">
        <f t="shared" si="208"/>
        <v>44027</v>
      </c>
      <c r="B9329" s="111">
        <f t="shared" si="209"/>
        <v>73</v>
      </c>
    </row>
    <row r="9330" spans="1:2" x14ac:dyDescent="0.2">
      <c r="A9330" s="112">
        <f t="shared" si="208"/>
        <v>44028</v>
      </c>
      <c r="B9330" s="111">
        <f t="shared" si="209"/>
        <v>73</v>
      </c>
    </row>
    <row r="9331" spans="1:2" x14ac:dyDescent="0.2">
      <c r="A9331" s="112">
        <f t="shared" si="208"/>
        <v>44029</v>
      </c>
      <c r="B9331" s="111">
        <f t="shared" si="209"/>
        <v>73</v>
      </c>
    </row>
    <row r="9332" spans="1:2" x14ac:dyDescent="0.2">
      <c r="A9332" s="112">
        <f t="shared" ref="A9332:A9395" si="210">A9331+1</f>
        <v>44030</v>
      </c>
      <c r="B9332" s="111">
        <f t="shared" si="209"/>
        <v>73</v>
      </c>
    </row>
    <row r="9333" spans="1:2" x14ac:dyDescent="0.2">
      <c r="A9333" s="112">
        <f t="shared" si="210"/>
        <v>44031</v>
      </c>
      <c r="B9333" s="111">
        <f t="shared" si="209"/>
        <v>74</v>
      </c>
    </row>
    <row r="9334" spans="1:2" x14ac:dyDescent="0.2">
      <c r="A9334" s="112">
        <f t="shared" si="210"/>
        <v>44032</v>
      </c>
      <c r="B9334" s="111">
        <f t="shared" si="209"/>
        <v>74</v>
      </c>
    </row>
    <row r="9335" spans="1:2" x14ac:dyDescent="0.2">
      <c r="A9335" s="112">
        <f t="shared" si="210"/>
        <v>44033</v>
      </c>
      <c r="B9335" s="111">
        <f t="shared" si="209"/>
        <v>74</v>
      </c>
    </row>
    <row r="9336" spans="1:2" x14ac:dyDescent="0.2">
      <c r="A9336" s="112">
        <f t="shared" si="210"/>
        <v>44034</v>
      </c>
      <c r="B9336" s="111">
        <f t="shared" si="209"/>
        <v>74</v>
      </c>
    </row>
    <row r="9337" spans="1:2" x14ac:dyDescent="0.2">
      <c r="A9337" s="112">
        <f t="shared" si="210"/>
        <v>44035</v>
      </c>
      <c r="B9337" s="111">
        <f t="shared" si="209"/>
        <v>74</v>
      </c>
    </row>
    <row r="9338" spans="1:2" x14ac:dyDescent="0.2">
      <c r="A9338" s="112">
        <f t="shared" si="210"/>
        <v>44036</v>
      </c>
      <c r="B9338" s="111">
        <f t="shared" si="209"/>
        <v>74</v>
      </c>
    </row>
    <row r="9339" spans="1:2" x14ac:dyDescent="0.2">
      <c r="A9339" s="112">
        <f t="shared" si="210"/>
        <v>44037</v>
      </c>
      <c r="B9339" s="111">
        <f t="shared" si="209"/>
        <v>74</v>
      </c>
    </row>
    <row r="9340" spans="1:2" x14ac:dyDescent="0.2">
      <c r="A9340" s="112">
        <f t="shared" si="210"/>
        <v>44038</v>
      </c>
      <c r="B9340" s="111">
        <f t="shared" si="209"/>
        <v>75</v>
      </c>
    </row>
    <row r="9341" spans="1:2" x14ac:dyDescent="0.2">
      <c r="A9341" s="112">
        <f t="shared" si="210"/>
        <v>44039</v>
      </c>
      <c r="B9341" s="111">
        <f t="shared" si="209"/>
        <v>75</v>
      </c>
    </row>
    <row r="9342" spans="1:2" x14ac:dyDescent="0.2">
      <c r="A9342" s="112">
        <f t="shared" si="210"/>
        <v>44040</v>
      </c>
      <c r="B9342" s="111">
        <f t="shared" si="209"/>
        <v>75</v>
      </c>
    </row>
    <row r="9343" spans="1:2" x14ac:dyDescent="0.2">
      <c r="A9343" s="112">
        <f t="shared" si="210"/>
        <v>44041</v>
      </c>
      <c r="B9343" s="111">
        <f t="shared" si="209"/>
        <v>75</v>
      </c>
    </row>
    <row r="9344" spans="1:2" x14ac:dyDescent="0.2">
      <c r="A9344" s="112">
        <f t="shared" si="210"/>
        <v>44042</v>
      </c>
      <c r="B9344" s="111">
        <f t="shared" si="209"/>
        <v>75</v>
      </c>
    </row>
    <row r="9345" spans="1:2" x14ac:dyDescent="0.2">
      <c r="A9345" s="112">
        <f t="shared" si="210"/>
        <v>44043</v>
      </c>
      <c r="B9345" s="111">
        <f t="shared" si="209"/>
        <v>75</v>
      </c>
    </row>
    <row r="9346" spans="1:2" x14ac:dyDescent="0.2">
      <c r="A9346" s="112">
        <f t="shared" si="210"/>
        <v>44044</v>
      </c>
      <c r="B9346" s="111">
        <f t="shared" si="209"/>
        <v>75</v>
      </c>
    </row>
    <row r="9347" spans="1:2" x14ac:dyDescent="0.2">
      <c r="A9347" s="112">
        <f t="shared" si="210"/>
        <v>44045</v>
      </c>
      <c r="B9347" s="111">
        <f t="shared" si="209"/>
        <v>81</v>
      </c>
    </row>
    <row r="9348" spans="1:2" x14ac:dyDescent="0.2">
      <c r="A9348" s="112">
        <f t="shared" si="210"/>
        <v>44046</v>
      </c>
      <c r="B9348" s="111">
        <f t="shared" si="209"/>
        <v>81</v>
      </c>
    </row>
    <row r="9349" spans="1:2" x14ac:dyDescent="0.2">
      <c r="A9349" s="112">
        <f t="shared" si="210"/>
        <v>44047</v>
      </c>
      <c r="B9349" s="111">
        <f t="shared" si="209"/>
        <v>81</v>
      </c>
    </row>
    <row r="9350" spans="1:2" x14ac:dyDescent="0.2">
      <c r="A9350" s="112">
        <f t="shared" si="210"/>
        <v>44048</v>
      </c>
      <c r="B9350" s="111">
        <f t="shared" si="209"/>
        <v>81</v>
      </c>
    </row>
    <row r="9351" spans="1:2" x14ac:dyDescent="0.2">
      <c r="A9351" s="112">
        <f t="shared" si="210"/>
        <v>44049</v>
      </c>
      <c r="B9351" s="111">
        <f t="shared" si="209"/>
        <v>81</v>
      </c>
    </row>
    <row r="9352" spans="1:2" x14ac:dyDescent="0.2">
      <c r="A9352" s="112">
        <f t="shared" si="210"/>
        <v>44050</v>
      </c>
      <c r="B9352" s="111">
        <f t="shared" ref="B9352:B9415" si="211">VLOOKUP(WEEKNUM(A9352),$D$3:$E$58,2)</f>
        <v>81</v>
      </c>
    </row>
    <row r="9353" spans="1:2" x14ac:dyDescent="0.2">
      <c r="A9353" s="112">
        <f t="shared" si="210"/>
        <v>44051</v>
      </c>
      <c r="B9353" s="111">
        <f t="shared" si="211"/>
        <v>81</v>
      </c>
    </row>
    <row r="9354" spans="1:2" x14ac:dyDescent="0.2">
      <c r="A9354" s="112">
        <f t="shared" si="210"/>
        <v>44052</v>
      </c>
      <c r="B9354" s="111">
        <f t="shared" si="211"/>
        <v>82</v>
      </c>
    </row>
    <row r="9355" spans="1:2" x14ac:dyDescent="0.2">
      <c r="A9355" s="112">
        <f t="shared" si="210"/>
        <v>44053</v>
      </c>
      <c r="B9355" s="111">
        <f t="shared" si="211"/>
        <v>82</v>
      </c>
    </row>
    <row r="9356" spans="1:2" x14ac:dyDescent="0.2">
      <c r="A9356" s="112">
        <f t="shared" si="210"/>
        <v>44054</v>
      </c>
      <c r="B9356" s="111">
        <f t="shared" si="211"/>
        <v>82</v>
      </c>
    </row>
    <row r="9357" spans="1:2" x14ac:dyDescent="0.2">
      <c r="A9357" s="112">
        <f t="shared" si="210"/>
        <v>44055</v>
      </c>
      <c r="B9357" s="111">
        <f t="shared" si="211"/>
        <v>82</v>
      </c>
    </row>
    <row r="9358" spans="1:2" x14ac:dyDescent="0.2">
      <c r="A9358" s="112">
        <f t="shared" si="210"/>
        <v>44056</v>
      </c>
      <c r="B9358" s="111">
        <f t="shared" si="211"/>
        <v>82</v>
      </c>
    </row>
    <row r="9359" spans="1:2" x14ac:dyDescent="0.2">
      <c r="A9359" s="112">
        <f t="shared" si="210"/>
        <v>44057</v>
      </c>
      <c r="B9359" s="111">
        <f t="shared" si="211"/>
        <v>82</v>
      </c>
    </row>
    <row r="9360" spans="1:2" x14ac:dyDescent="0.2">
      <c r="A9360" s="112">
        <f t="shared" si="210"/>
        <v>44058</v>
      </c>
      <c r="B9360" s="111">
        <f t="shared" si="211"/>
        <v>82</v>
      </c>
    </row>
    <row r="9361" spans="1:2" x14ac:dyDescent="0.2">
      <c r="A9361" s="112">
        <f t="shared" si="210"/>
        <v>44059</v>
      </c>
      <c r="B9361" s="111">
        <f t="shared" si="211"/>
        <v>83</v>
      </c>
    </row>
    <row r="9362" spans="1:2" x14ac:dyDescent="0.2">
      <c r="A9362" s="112">
        <f t="shared" si="210"/>
        <v>44060</v>
      </c>
      <c r="B9362" s="111">
        <f t="shared" si="211"/>
        <v>83</v>
      </c>
    </row>
    <row r="9363" spans="1:2" x14ac:dyDescent="0.2">
      <c r="A9363" s="112">
        <f t="shared" si="210"/>
        <v>44061</v>
      </c>
      <c r="B9363" s="111">
        <f t="shared" si="211"/>
        <v>83</v>
      </c>
    </row>
    <row r="9364" spans="1:2" x14ac:dyDescent="0.2">
      <c r="A9364" s="112">
        <f t="shared" si="210"/>
        <v>44062</v>
      </c>
      <c r="B9364" s="111">
        <f t="shared" si="211"/>
        <v>83</v>
      </c>
    </row>
    <row r="9365" spans="1:2" x14ac:dyDescent="0.2">
      <c r="A9365" s="112">
        <f t="shared" si="210"/>
        <v>44063</v>
      </c>
      <c r="B9365" s="111">
        <f t="shared" si="211"/>
        <v>83</v>
      </c>
    </row>
    <row r="9366" spans="1:2" x14ac:dyDescent="0.2">
      <c r="A9366" s="112">
        <f t="shared" si="210"/>
        <v>44064</v>
      </c>
      <c r="B9366" s="111">
        <f t="shared" si="211"/>
        <v>83</v>
      </c>
    </row>
    <row r="9367" spans="1:2" x14ac:dyDescent="0.2">
      <c r="A9367" s="112">
        <f t="shared" si="210"/>
        <v>44065</v>
      </c>
      <c r="B9367" s="111">
        <f t="shared" si="211"/>
        <v>83</v>
      </c>
    </row>
    <row r="9368" spans="1:2" x14ac:dyDescent="0.2">
      <c r="A9368" s="112">
        <f t="shared" si="210"/>
        <v>44066</v>
      </c>
      <c r="B9368" s="111">
        <f t="shared" si="211"/>
        <v>84</v>
      </c>
    </row>
    <row r="9369" spans="1:2" x14ac:dyDescent="0.2">
      <c r="A9369" s="112">
        <f t="shared" si="210"/>
        <v>44067</v>
      </c>
      <c r="B9369" s="111">
        <f t="shared" si="211"/>
        <v>84</v>
      </c>
    </row>
    <row r="9370" spans="1:2" x14ac:dyDescent="0.2">
      <c r="A9370" s="112">
        <f t="shared" si="210"/>
        <v>44068</v>
      </c>
      <c r="B9370" s="111">
        <f t="shared" si="211"/>
        <v>84</v>
      </c>
    </row>
    <row r="9371" spans="1:2" x14ac:dyDescent="0.2">
      <c r="A9371" s="112">
        <f t="shared" si="210"/>
        <v>44069</v>
      </c>
      <c r="B9371" s="111">
        <f t="shared" si="211"/>
        <v>84</v>
      </c>
    </row>
    <row r="9372" spans="1:2" x14ac:dyDescent="0.2">
      <c r="A9372" s="112">
        <f t="shared" si="210"/>
        <v>44070</v>
      </c>
      <c r="B9372" s="111">
        <f t="shared" si="211"/>
        <v>84</v>
      </c>
    </row>
    <row r="9373" spans="1:2" x14ac:dyDescent="0.2">
      <c r="A9373" s="112">
        <f t="shared" si="210"/>
        <v>44071</v>
      </c>
      <c r="B9373" s="111">
        <f t="shared" si="211"/>
        <v>84</v>
      </c>
    </row>
    <row r="9374" spans="1:2" x14ac:dyDescent="0.2">
      <c r="A9374" s="112">
        <f t="shared" si="210"/>
        <v>44072</v>
      </c>
      <c r="B9374" s="111">
        <f t="shared" si="211"/>
        <v>84</v>
      </c>
    </row>
    <row r="9375" spans="1:2" x14ac:dyDescent="0.2">
      <c r="A9375" s="112">
        <f t="shared" si="210"/>
        <v>44073</v>
      </c>
      <c r="B9375" s="111">
        <f t="shared" si="211"/>
        <v>91</v>
      </c>
    </row>
    <row r="9376" spans="1:2" x14ac:dyDescent="0.2">
      <c r="A9376" s="112">
        <f t="shared" si="210"/>
        <v>44074</v>
      </c>
      <c r="B9376" s="111">
        <f t="shared" si="211"/>
        <v>91</v>
      </c>
    </row>
    <row r="9377" spans="1:2" x14ac:dyDescent="0.2">
      <c r="A9377" s="112">
        <f t="shared" si="210"/>
        <v>44075</v>
      </c>
      <c r="B9377" s="111">
        <f t="shared" si="211"/>
        <v>91</v>
      </c>
    </row>
    <row r="9378" spans="1:2" x14ac:dyDescent="0.2">
      <c r="A9378" s="112">
        <f t="shared" si="210"/>
        <v>44076</v>
      </c>
      <c r="B9378" s="111">
        <f t="shared" si="211"/>
        <v>91</v>
      </c>
    </row>
    <row r="9379" spans="1:2" x14ac:dyDescent="0.2">
      <c r="A9379" s="112">
        <f t="shared" si="210"/>
        <v>44077</v>
      </c>
      <c r="B9379" s="111">
        <f t="shared" si="211"/>
        <v>91</v>
      </c>
    </row>
    <row r="9380" spans="1:2" x14ac:dyDescent="0.2">
      <c r="A9380" s="112">
        <f t="shared" si="210"/>
        <v>44078</v>
      </c>
      <c r="B9380" s="111">
        <f t="shared" si="211"/>
        <v>91</v>
      </c>
    </row>
    <row r="9381" spans="1:2" x14ac:dyDescent="0.2">
      <c r="A9381" s="112">
        <f t="shared" si="210"/>
        <v>44079</v>
      </c>
      <c r="B9381" s="111">
        <f t="shared" si="211"/>
        <v>91</v>
      </c>
    </row>
    <row r="9382" spans="1:2" x14ac:dyDescent="0.2">
      <c r="A9382" s="112">
        <f t="shared" si="210"/>
        <v>44080</v>
      </c>
      <c r="B9382" s="111">
        <f t="shared" si="211"/>
        <v>92</v>
      </c>
    </row>
    <row r="9383" spans="1:2" x14ac:dyDescent="0.2">
      <c r="A9383" s="112">
        <f t="shared" si="210"/>
        <v>44081</v>
      </c>
      <c r="B9383" s="111">
        <f t="shared" si="211"/>
        <v>92</v>
      </c>
    </row>
    <row r="9384" spans="1:2" x14ac:dyDescent="0.2">
      <c r="A9384" s="112">
        <f t="shared" si="210"/>
        <v>44082</v>
      </c>
      <c r="B9384" s="111">
        <f t="shared" si="211"/>
        <v>92</v>
      </c>
    </row>
    <row r="9385" spans="1:2" x14ac:dyDescent="0.2">
      <c r="A9385" s="112">
        <f t="shared" si="210"/>
        <v>44083</v>
      </c>
      <c r="B9385" s="111">
        <f t="shared" si="211"/>
        <v>92</v>
      </c>
    </row>
    <row r="9386" spans="1:2" x14ac:dyDescent="0.2">
      <c r="A9386" s="112">
        <f t="shared" si="210"/>
        <v>44084</v>
      </c>
      <c r="B9386" s="111">
        <f t="shared" si="211"/>
        <v>92</v>
      </c>
    </row>
    <row r="9387" spans="1:2" x14ac:dyDescent="0.2">
      <c r="A9387" s="112">
        <f t="shared" si="210"/>
        <v>44085</v>
      </c>
      <c r="B9387" s="111">
        <f t="shared" si="211"/>
        <v>92</v>
      </c>
    </row>
    <row r="9388" spans="1:2" x14ac:dyDescent="0.2">
      <c r="A9388" s="112">
        <f t="shared" si="210"/>
        <v>44086</v>
      </c>
      <c r="B9388" s="111">
        <f t="shared" si="211"/>
        <v>92</v>
      </c>
    </row>
    <row r="9389" spans="1:2" x14ac:dyDescent="0.2">
      <c r="A9389" s="112">
        <f t="shared" si="210"/>
        <v>44087</v>
      </c>
      <c r="B9389" s="111">
        <f t="shared" si="211"/>
        <v>93</v>
      </c>
    </row>
    <row r="9390" spans="1:2" x14ac:dyDescent="0.2">
      <c r="A9390" s="112">
        <f t="shared" si="210"/>
        <v>44088</v>
      </c>
      <c r="B9390" s="111">
        <f t="shared" si="211"/>
        <v>93</v>
      </c>
    </row>
    <row r="9391" spans="1:2" x14ac:dyDescent="0.2">
      <c r="A9391" s="112">
        <f t="shared" si="210"/>
        <v>44089</v>
      </c>
      <c r="B9391" s="111">
        <f t="shared" si="211"/>
        <v>93</v>
      </c>
    </row>
    <row r="9392" spans="1:2" x14ac:dyDescent="0.2">
      <c r="A9392" s="112">
        <f t="shared" si="210"/>
        <v>44090</v>
      </c>
      <c r="B9392" s="111">
        <f t="shared" si="211"/>
        <v>93</v>
      </c>
    </row>
    <row r="9393" spans="1:2" x14ac:dyDescent="0.2">
      <c r="A9393" s="112">
        <f t="shared" si="210"/>
        <v>44091</v>
      </c>
      <c r="B9393" s="111">
        <f t="shared" si="211"/>
        <v>93</v>
      </c>
    </row>
    <row r="9394" spans="1:2" x14ac:dyDescent="0.2">
      <c r="A9394" s="112">
        <f t="shared" si="210"/>
        <v>44092</v>
      </c>
      <c r="B9394" s="111">
        <f t="shared" si="211"/>
        <v>93</v>
      </c>
    </row>
    <row r="9395" spans="1:2" x14ac:dyDescent="0.2">
      <c r="A9395" s="112">
        <f t="shared" si="210"/>
        <v>44093</v>
      </c>
      <c r="B9395" s="111">
        <f t="shared" si="211"/>
        <v>93</v>
      </c>
    </row>
    <row r="9396" spans="1:2" x14ac:dyDescent="0.2">
      <c r="A9396" s="112">
        <f t="shared" ref="A9396:A9459" si="212">A9395+1</f>
        <v>44094</v>
      </c>
      <c r="B9396" s="111">
        <f t="shared" si="211"/>
        <v>94</v>
      </c>
    </row>
    <row r="9397" spans="1:2" x14ac:dyDescent="0.2">
      <c r="A9397" s="112">
        <f t="shared" si="212"/>
        <v>44095</v>
      </c>
      <c r="B9397" s="111">
        <f t="shared" si="211"/>
        <v>94</v>
      </c>
    </row>
    <row r="9398" spans="1:2" x14ac:dyDescent="0.2">
      <c r="A9398" s="112">
        <f t="shared" si="212"/>
        <v>44096</v>
      </c>
      <c r="B9398" s="111">
        <f t="shared" si="211"/>
        <v>94</v>
      </c>
    </row>
    <row r="9399" spans="1:2" x14ac:dyDescent="0.2">
      <c r="A9399" s="112">
        <f t="shared" si="212"/>
        <v>44097</v>
      </c>
      <c r="B9399" s="111">
        <f t="shared" si="211"/>
        <v>94</v>
      </c>
    </row>
    <row r="9400" spans="1:2" x14ac:dyDescent="0.2">
      <c r="A9400" s="112">
        <f t="shared" si="212"/>
        <v>44098</v>
      </c>
      <c r="B9400" s="111">
        <f t="shared" si="211"/>
        <v>94</v>
      </c>
    </row>
    <row r="9401" spans="1:2" x14ac:dyDescent="0.2">
      <c r="A9401" s="112">
        <f t="shared" si="212"/>
        <v>44099</v>
      </c>
      <c r="B9401" s="111">
        <f t="shared" si="211"/>
        <v>94</v>
      </c>
    </row>
    <row r="9402" spans="1:2" x14ac:dyDescent="0.2">
      <c r="A9402" s="112">
        <f t="shared" si="212"/>
        <v>44100</v>
      </c>
      <c r="B9402" s="111">
        <f t="shared" si="211"/>
        <v>94</v>
      </c>
    </row>
    <row r="9403" spans="1:2" x14ac:dyDescent="0.2">
      <c r="A9403" s="112">
        <f t="shared" si="212"/>
        <v>44101</v>
      </c>
      <c r="B9403" s="111">
        <f t="shared" si="211"/>
        <v>101</v>
      </c>
    </row>
    <row r="9404" spans="1:2" x14ac:dyDescent="0.2">
      <c r="A9404" s="112">
        <f t="shared" si="212"/>
        <v>44102</v>
      </c>
      <c r="B9404" s="111">
        <f t="shared" si="211"/>
        <v>101</v>
      </c>
    </row>
    <row r="9405" spans="1:2" x14ac:dyDescent="0.2">
      <c r="A9405" s="112">
        <f t="shared" si="212"/>
        <v>44103</v>
      </c>
      <c r="B9405" s="111">
        <f t="shared" si="211"/>
        <v>101</v>
      </c>
    </row>
    <row r="9406" spans="1:2" x14ac:dyDescent="0.2">
      <c r="A9406" s="112">
        <f t="shared" si="212"/>
        <v>44104</v>
      </c>
      <c r="B9406" s="111">
        <f t="shared" si="211"/>
        <v>101</v>
      </c>
    </row>
    <row r="9407" spans="1:2" x14ac:dyDescent="0.2">
      <c r="A9407" s="112">
        <f t="shared" si="212"/>
        <v>44105</v>
      </c>
      <c r="B9407" s="111">
        <f t="shared" si="211"/>
        <v>101</v>
      </c>
    </row>
    <row r="9408" spans="1:2" x14ac:dyDescent="0.2">
      <c r="A9408" s="112">
        <f t="shared" si="212"/>
        <v>44106</v>
      </c>
      <c r="B9408" s="111">
        <f t="shared" si="211"/>
        <v>101</v>
      </c>
    </row>
    <row r="9409" spans="1:2" x14ac:dyDescent="0.2">
      <c r="A9409" s="112">
        <f t="shared" si="212"/>
        <v>44107</v>
      </c>
      <c r="B9409" s="111">
        <f t="shared" si="211"/>
        <v>101</v>
      </c>
    </row>
    <row r="9410" spans="1:2" x14ac:dyDescent="0.2">
      <c r="A9410" s="112">
        <f t="shared" si="212"/>
        <v>44108</v>
      </c>
      <c r="B9410" s="111">
        <f t="shared" si="211"/>
        <v>102</v>
      </c>
    </row>
    <row r="9411" spans="1:2" x14ac:dyDescent="0.2">
      <c r="A9411" s="112">
        <f t="shared" si="212"/>
        <v>44109</v>
      </c>
      <c r="B9411" s="111">
        <f t="shared" si="211"/>
        <v>102</v>
      </c>
    </row>
    <row r="9412" spans="1:2" x14ac:dyDescent="0.2">
      <c r="A9412" s="112">
        <f t="shared" si="212"/>
        <v>44110</v>
      </c>
      <c r="B9412" s="111">
        <f t="shared" si="211"/>
        <v>102</v>
      </c>
    </row>
    <row r="9413" spans="1:2" x14ac:dyDescent="0.2">
      <c r="A9413" s="112">
        <f t="shared" si="212"/>
        <v>44111</v>
      </c>
      <c r="B9413" s="111">
        <f t="shared" si="211"/>
        <v>102</v>
      </c>
    </row>
    <row r="9414" spans="1:2" x14ac:dyDescent="0.2">
      <c r="A9414" s="112">
        <f t="shared" si="212"/>
        <v>44112</v>
      </c>
      <c r="B9414" s="111">
        <f t="shared" si="211"/>
        <v>102</v>
      </c>
    </row>
    <row r="9415" spans="1:2" x14ac:dyDescent="0.2">
      <c r="A9415" s="112">
        <f t="shared" si="212"/>
        <v>44113</v>
      </c>
      <c r="B9415" s="111">
        <f t="shared" si="211"/>
        <v>102</v>
      </c>
    </row>
    <row r="9416" spans="1:2" x14ac:dyDescent="0.2">
      <c r="A9416" s="112">
        <f t="shared" si="212"/>
        <v>44114</v>
      </c>
      <c r="B9416" s="111">
        <f t="shared" ref="B9416:B9479" si="213">VLOOKUP(WEEKNUM(A9416),$D$3:$E$58,2)</f>
        <v>102</v>
      </c>
    </row>
    <row r="9417" spans="1:2" x14ac:dyDescent="0.2">
      <c r="A9417" s="112">
        <f t="shared" si="212"/>
        <v>44115</v>
      </c>
      <c r="B9417" s="111">
        <f t="shared" si="213"/>
        <v>103</v>
      </c>
    </row>
    <row r="9418" spans="1:2" x14ac:dyDescent="0.2">
      <c r="A9418" s="112">
        <f t="shared" si="212"/>
        <v>44116</v>
      </c>
      <c r="B9418" s="111">
        <f t="shared" si="213"/>
        <v>103</v>
      </c>
    </row>
    <row r="9419" spans="1:2" x14ac:dyDescent="0.2">
      <c r="A9419" s="112">
        <f t="shared" si="212"/>
        <v>44117</v>
      </c>
      <c r="B9419" s="111">
        <f t="shared" si="213"/>
        <v>103</v>
      </c>
    </row>
    <row r="9420" spans="1:2" x14ac:dyDescent="0.2">
      <c r="A9420" s="112">
        <f t="shared" si="212"/>
        <v>44118</v>
      </c>
      <c r="B9420" s="111">
        <f t="shared" si="213"/>
        <v>103</v>
      </c>
    </row>
    <row r="9421" spans="1:2" x14ac:dyDescent="0.2">
      <c r="A9421" s="112">
        <f t="shared" si="212"/>
        <v>44119</v>
      </c>
      <c r="B9421" s="111">
        <f t="shared" si="213"/>
        <v>103</v>
      </c>
    </row>
    <row r="9422" spans="1:2" x14ac:dyDescent="0.2">
      <c r="A9422" s="112">
        <f t="shared" si="212"/>
        <v>44120</v>
      </c>
      <c r="B9422" s="111">
        <f t="shared" si="213"/>
        <v>103</v>
      </c>
    </row>
    <row r="9423" spans="1:2" x14ac:dyDescent="0.2">
      <c r="A9423" s="112">
        <f t="shared" si="212"/>
        <v>44121</v>
      </c>
      <c r="B9423" s="111">
        <f t="shared" si="213"/>
        <v>103</v>
      </c>
    </row>
    <row r="9424" spans="1:2" x14ac:dyDescent="0.2">
      <c r="A9424" s="112">
        <f t="shared" si="212"/>
        <v>44122</v>
      </c>
      <c r="B9424" s="111">
        <f t="shared" si="213"/>
        <v>104</v>
      </c>
    </row>
    <row r="9425" spans="1:2" x14ac:dyDescent="0.2">
      <c r="A9425" s="112">
        <f t="shared" si="212"/>
        <v>44123</v>
      </c>
      <c r="B9425" s="111">
        <f t="shared" si="213"/>
        <v>104</v>
      </c>
    </row>
    <row r="9426" spans="1:2" x14ac:dyDescent="0.2">
      <c r="A9426" s="112">
        <f t="shared" si="212"/>
        <v>44124</v>
      </c>
      <c r="B9426" s="111">
        <f t="shared" si="213"/>
        <v>104</v>
      </c>
    </row>
    <row r="9427" spans="1:2" x14ac:dyDescent="0.2">
      <c r="A9427" s="112">
        <f t="shared" si="212"/>
        <v>44125</v>
      </c>
      <c r="B9427" s="111">
        <f t="shared" si="213"/>
        <v>104</v>
      </c>
    </row>
    <row r="9428" spans="1:2" x14ac:dyDescent="0.2">
      <c r="A9428" s="112">
        <f t="shared" si="212"/>
        <v>44126</v>
      </c>
      <c r="B9428" s="111">
        <f t="shared" si="213"/>
        <v>104</v>
      </c>
    </row>
    <row r="9429" spans="1:2" x14ac:dyDescent="0.2">
      <c r="A9429" s="112">
        <f t="shared" si="212"/>
        <v>44127</v>
      </c>
      <c r="B9429" s="111">
        <f t="shared" si="213"/>
        <v>104</v>
      </c>
    </row>
    <row r="9430" spans="1:2" x14ac:dyDescent="0.2">
      <c r="A9430" s="112">
        <f t="shared" si="212"/>
        <v>44128</v>
      </c>
      <c r="B9430" s="111">
        <f t="shared" si="213"/>
        <v>104</v>
      </c>
    </row>
    <row r="9431" spans="1:2" x14ac:dyDescent="0.2">
      <c r="A9431" s="112">
        <f t="shared" si="212"/>
        <v>44129</v>
      </c>
      <c r="B9431" s="111">
        <f t="shared" si="213"/>
        <v>105</v>
      </c>
    </row>
    <row r="9432" spans="1:2" x14ac:dyDescent="0.2">
      <c r="A9432" s="112">
        <f t="shared" si="212"/>
        <v>44130</v>
      </c>
      <c r="B9432" s="111">
        <f t="shared" si="213"/>
        <v>105</v>
      </c>
    </row>
    <row r="9433" spans="1:2" x14ac:dyDescent="0.2">
      <c r="A9433" s="112">
        <f t="shared" si="212"/>
        <v>44131</v>
      </c>
      <c r="B9433" s="111">
        <f t="shared" si="213"/>
        <v>105</v>
      </c>
    </row>
    <row r="9434" spans="1:2" x14ac:dyDescent="0.2">
      <c r="A9434" s="112">
        <f t="shared" si="212"/>
        <v>44132</v>
      </c>
      <c r="B9434" s="111">
        <f t="shared" si="213"/>
        <v>105</v>
      </c>
    </row>
    <row r="9435" spans="1:2" x14ac:dyDescent="0.2">
      <c r="A9435" s="112">
        <f t="shared" si="212"/>
        <v>44133</v>
      </c>
      <c r="B9435" s="111">
        <f t="shared" si="213"/>
        <v>105</v>
      </c>
    </row>
    <row r="9436" spans="1:2" x14ac:dyDescent="0.2">
      <c r="A9436" s="112">
        <f t="shared" si="212"/>
        <v>44134</v>
      </c>
      <c r="B9436" s="111">
        <f t="shared" si="213"/>
        <v>105</v>
      </c>
    </row>
    <row r="9437" spans="1:2" x14ac:dyDescent="0.2">
      <c r="A9437" s="112">
        <f t="shared" si="212"/>
        <v>44135</v>
      </c>
      <c r="B9437" s="111">
        <f t="shared" si="213"/>
        <v>105</v>
      </c>
    </row>
    <row r="9438" spans="1:2" x14ac:dyDescent="0.2">
      <c r="A9438" s="112">
        <f t="shared" si="212"/>
        <v>44136</v>
      </c>
      <c r="B9438" s="111">
        <f t="shared" si="213"/>
        <v>111</v>
      </c>
    </row>
    <row r="9439" spans="1:2" x14ac:dyDescent="0.2">
      <c r="A9439" s="112">
        <f t="shared" si="212"/>
        <v>44137</v>
      </c>
      <c r="B9439" s="111">
        <f t="shared" si="213"/>
        <v>111</v>
      </c>
    </row>
    <row r="9440" spans="1:2" x14ac:dyDescent="0.2">
      <c r="A9440" s="112">
        <f t="shared" si="212"/>
        <v>44138</v>
      </c>
      <c r="B9440" s="111">
        <f t="shared" si="213"/>
        <v>111</v>
      </c>
    </row>
    <row r="9441" spans="1:2" x14ac:dyDescent="0.2">
      <c r="A9441" s="112">
        <f t="shared" si="212"/>
        <v>44139</v>
      </c>
      <c r="B9441" s="111">
        <f t="shared" si="213"/>
        <v>111</v>
      </c>
    </row>
    <row r="9442" spans="1:2" x14ac:dyDescent="0.2">
      <c r="A9442" s="112">
        <f t="shared" si="212"/>
        <v>44140</v>
      </c>
      <c r="B9442" s="111">
        <f t="shared" si="213"/>
        <v>111</v>
      </c>
    </row>
    <row r="9443" spans="1:2" x14ac:dyDescent="0.2">
      <c r="A9443" s="112">
        <f t="shared" si="212"/>
        <v>44141</v>
      </c>
      <c r="B9443" s="111">
        <f t="shared" si="213"/>
        <v>111</v>
      </c>
    </row>
    <row r="9444" spans="1:2" x14ac:dyDescent="0.2">
      <c r="A9444" s="112">
        <f t="shared" si="212"/>
        <v>44142</v>
      </c>
      <c r="B9444" s="111">
        <f t="shared" si="213"/>
        <v>111</v>
      </c>
    </row>
    <row r="9445" spans="1:2" x14ac:dyDescent="0.2">
      <c r="A9445" s="112">
        <f t="shared" si="212"/>
        <v>44143</v>
      </c>
      <c r="B9445" s="111">
        <f t="shared" si="213"/>
        <v>112</v>
      </c>
    </row>
    <row r="9446" spans="1:2" x14ac:dyDescent="0.2">
      <c r="A9446" s="112">
        <f t="shared" si="212"/>
        <v>44144</v>
      </c>
      <c r="B9446" s="111">
        <f t="shared" si="213"/>
        <v>112</v>
      </c>
    </row>
    <row r="9447" spans="1:2" x14ac:dyDescent="0.2">
      <c r="A9447" s="112">
        <f t="shared" si="212"/>
        <v>44145</v>
      </c>
      <c r="B9447" s="111">
        <f t="shared" si="213"/>
        <v>112</v>
      </c>
    </row>
    <row r="9448" spans="1:2" x14ac:dyDescent="0.2">
      <c r="A9448" s="112">
        <f t="shared" si="212"/>
        <v>44146</v>
      </c>
      <c r="B9448" s="111">
        <f t="shared" si="213"/>
        <v>112</v>
      </c>
    </row>
    <row r="9449" spans="1:2" x14ac:dyDescent="0.2">
      <c r="A9449" s="112">
        <f t="shared" si="212"/>
        <v>44147</v>
      </c>
      <c r="B9449" s="111">
        <f t="shared" si="213"/>
        <v>112</v>
      </c>
    </row>
    <row r="9450" spans="1:2" x14ac:dyDescent="0.2">
      <c r="A9450" s="112">
        <f t="shared" si="212"/>
        <v>44148</v>
      </c>
      <c r="B9450" s="111">
        <f t="shared" si="213"/>
        <v>112</v>
      </c>
    </row>
    <row r="9451" spans="1:2" x14ac:dyDescent="0.2">
      <c r="A9451" s="112">
        <f t="shared" si="212"/>
        <v>44149</v>
      </c>
      <c r="B9451" s="111">
        <f t="shared" si="213"/>
        <v>112</v>
      </c>
    </row>
    <row r="9452" spans="1:2" x14ac:dyDescent="0.2">
      <c r="A9452" s="112">
        <f t="shared" si="212"/>
        <v>44150</v>
      </c>
      <c r="B9452" s="111">
        <f t="shared" si="213"/>
        <v>113</v>
      </c>
    </row>
    <row r="9453" spans="1:2" x14ac:dyDescent="0.2">
      <c r="A9453" s="112">
        <f t="shared" si="212"/>
        <v>44151</v>
      </c>
      <c r="B9453" s="111">
        <f t="shared" si="213"/>
        <v>113</v>
      </c>
    </row>
    <row r="9454" spans="1:2" x14ac:dyDescent="0.2">
      <c r="A9454" s="112">
        <f t="shared" si="212"/>
        <v>44152</v>
      </c>
      <c r="B9454" s="111">
        <f t="shared" si="213"/>
        <v>113</v>
      </c>
    </row>
    <row r="9455" spans="1:2" x14ac:dyDescent="0.2">
      <c r="A9455" s="112">
        <f t="shared" si="212"/>
        <v>44153</v>
      </c>
      <c r="B9455" s="111">
        <f t="shared" si="213"/>
        <v>113</v>
      </c>
    </row>
    <row r="9456" spans="1:2" x14ac:dyDescent="0.2">
      <c r="A9456" s="112">
        <f t="shared" si="212"/>
        <v>44154</v>
      </c>
      <c r="B9456" s="111">
        <f t="shared" si="213"/>
        <v>113</v>
      </c>
    </row>
    <row r="9457" spans="1:2" x14ac:dyDescent="0.2">
      <c r="A9457" s="112">
        <f t="shared" si="212"/>
        <v>44155</v>
      </c>
      <c r="B9457" s="111">
        <f t="shared" si="213"/>
        <v>113</v>
      </c>
    </row>
    <row r="9458" spans="1:2" x14ac:dyDescent="0.2">
      <c r="A9458" s="112">
        <f t="shared" si="212"/>
        <v>44156</v>
      </c>
      <c r="B9458" s="111">
        <f t="shared" si="213"/>
        <v>113</v>
      </c>
    </row>
    <row r="9459" spans="1:2" x14ac:dyDescent="0.2">
      <c r="A9459" s="112">
        <f t="shared" si="212"/>
        <v>44157</v>
      </c>
      <c r="B9459" s="111">
        <f t="shared" si="213"/>
        <v>114</v>
      </c>
    </row>
    <row r="9460" spans="1:2" x14ac:dyDescent="0.2">
      <c r="A9460" s="112">
        <f t="shared" ref="A9460:A9523" si="214">A9459+1</f>
        <v>44158</v>
      </c>
      <c r="B9460" s="111">
        <f t="shared" si="213"/>
        <v>114</v>
      </c>
    </row>
    <row r="9461" spans="1:2" x14ac:dyDescent="0.2">
      <c r="A9461" s="112">
        <f t="shared" si="214"/>
        <v>44159</v>
      </c>
      <c r="B9461" s="111">
        <f t="shared" si="213"/>
        <v>114</v>
      </c>
    </row>
    <row r="9462" spans="1:2" x14ac:dyDescent="0.2">
      <c r="A9462" s="112">
        <f t="shared" si="214"/>
        <v>44160</v>
      </c>
      <c r="B9462" s="111">
        <f t="shared" si="213"/>
        <v>114</v>
      </c>
    </row>
    <row r="9463" spans="1:2" x14ac:dyDescent="0.2">
      <c r="A9463" s="112">
        <f t="shared" si="214"/>
        <v>44161</v>
      </c>
      <c r="B9463" s="111">
        <f t="shared" si="213"/>
        <v>114</v>
      </c>
    </row>
    <row r="9464" spans="1:2" x14ac:dyDescent="0.2">
      <c r="A9464" s="112">
        <f t="shared" si="214"/>
        <v>44162</v>
      </c>
      <c r="B9464" s="111">
        <f t="shared" si="213"/>
        <v>114</v>
      </c>
    </row>
    <row r="9465" spans="1:2" x14ac:dyDescent="0.2">
      <c r="A9465" s="112">
        <f t="shared" si="214"/>
        <v>44163</v>
      </c>
      <c r="B9465" s="111">
        <f t="shared" si="213"/>
        <v>114</v>
      </c>
    </row>
    <row r="9466" spans="1:2" x14ac:dyDescent="0.2">
      <c r="A9466" s="112">
        <f t="shared" si="214"/>
        <v>44164</v>
      </c>
      <c r="B9466" s="111">
        <f t="shared" si="213"/>
        <v>115</v>
      </c>
    </row>
    <row r="9467" spans="1:2" x14ac:dyDescent="0.2">
      <c r="A9467" s="112">
        <f t="shared" si="214"/>
        <v>44165</v>
      </c>
      <c r="B9467" s="111">
        <f t="shared" si="213"/>
        <v>115</v>
      </c>
    </row>
    <row r="9468" spans="1:2" x14ac:dyDescent="0.2">
      <c r="A9468" s="112">
        <f t="shared" si="214"/>
        <v>44166</v>
      </c>
      <c r="B9468" s="111">
        <f t="shared" si="213"/>
        <v>115</v>
      </c>
    </row>
    <row r="9469" spans="1:2" x14ac:dyDescent="0.2">
      <c r="A9469" s="112">
        <f t="shared" si="214"/>
        <v>44167</v>
      </c>
      <c r="B9469" s="111">
        <f t="shared" si="213"/>
        <v>115</v>
      </c>
    </row>
    <row r="9470" spans="1:2" x14ac:dyDescent="0.2">
      <c r="A9470" s="112">
        <f t="shared" si="214"/>
        <v>44168</v>
      </c>
      <c r="B9470" s="111">
        <f t="shared" si="213"/>
        <v>115</v>
      </c>
    </row>
    <row r="9471" spans="1:2" x14ac:dyDescent="0.2">
      <c r="A9471" s="112">
        <f t="shared" si="214"/>
        <v>44169</v>
      </c>
      <c r="B9471" s="111">
        <f t="shared" si="213"/>
        <v>115</v>
      </c>
    </row>
    <row r="9472" spans="1:2" x14ac:dyDescent="0.2">
      <c r="A9472" s="112">
        <f t="shared" si="214"/>
        <v>44170</v>
      </c>
      <c r="B9472" s="111">
        <f t="shared" si="213"/>
        <v>115</v>
      </c>
    </row>
    <row r="9473" spans="1:2" x14ac:dyDescent="0.2">
      <c r="A9473" s="112">
        <f t="shared" si="214"/>
        <v>44171</v>
      </c>
      <c r="B9473" s="111">
        <f t="shared" si="213"/>
        <v>121</v>
      </c>
    </row>
    <row r="9474" spans="1:2" x14ac:dyDescent="0.2">
      <c r="A9474" s="112">
        <f t="shared" si="214"/>
        <v>44172</v>
      </c>
      <c r="B9474" s="111">
        <f t="shared" si="213"/>
        <v>121</v>
      </c>
    </row>
    <row r="9475" spans="1:2" x14ac:dyDescent="0.2">
      <c r="A9475" s="112">
        <f t="shared" si="214"/>
        <v>44173</v>
      </c>
      <c r="B9475" s="111">
        <f t="shared" si="213"/>
        <v>121</v>
      </c>
    </row>
    <row r="9476" spans="1:2" x14ac:dyDescent="0.2">
      <c r="A9476" s="112">
        <f t="shared" si="214"/>
        <v>44174</v>
      </c>
      <c r="B9476" s="111">
        <f t="shared" si="213"/>
        <v>121</v>
      </c>
    </row>
    <row r="9477" spans="1:2" x14ac:dyDescent="0.2">
      <c r="A9477" s="112">
        <f t="shared" si="214"/>
        <v>44175</v>
      </c>
      <c r="B9477" s="111">
        <f t="shared" si="213"/>
        <v>121</v>
      </c>
    </row>
    <row r="9478" spans="1:2" x14ac:dyDescent="0.2">
      <c r="A9478" s="112">
        <f t="shared" si="214"/>
        <v>44176</v>
      </c>
      <c r="B9478" s="111">
        <f t="shared" si="213"/>
        <v>121</v>
      </c>
    </row>
    <row r="9479" spans="1:2" x14ac:dyDescent="0.2">
      <c r="A9479" s="112">
        <f t="shared" si="214"/>
        <v>44177</v>
      </c>
      <c r="B9479" s="111">
        <f t="shared" si="213"/>
        <v>121</v>
      </c>
    </row>
    <row r="9480" spans="1:2" x14ac:dyDescent="0.2">
      <c r="A9480" s="112">
        <f t="shared" si="214"/>
        <v>44178</v>
      </c>
      <c r="B9480" s="111">
        <f t="shared" ref="B9480:B9543" si="215">VLOOKUP(WEEKNUM(A9480),$D$3:$E$58,2)</f>
        <v>122</v>
      </c>
    </row>
    <row r="9481" spans="1:2" x14ac:dyDescent="0.2">
      <c r="A9481" s="112">
        <f t="shared" si="214"/>
        <v>44179</v>
      </c>
      <c r="B9481" s="111">
        <f t="shared" si="215"/>
        <v>122</v>
      </c>
    </row>
    <row r="9482" spans="1:2" x14ac:dyDescent="0.2">
      <c r="A9482" s="112">
        <f t="shared" si="214"/>
        <v>44180</v>
      </c>
      <c r="B9482" s="111">
        <f t="shared" si="215"/>
        <v>122</v>
      </c>
    </row>
    <row r="9483" spans="1:2" x14ac:dyDescent="0.2">
      <c r="A9483" s="112">
        <f t="shared" si="214"/>
        <v>44181</v>
      </c>
      <c r="B9483" s="111">
        <f t="shared" si="215"/>
        <v>122</v>
      </c>
    </row>
    <row r="9484" spans="1:2" x14ac:dyDescent="0.2">
      <c r="A9484" s="112">
        <f t="shared" si="214"/>
        <v>44182</v>
      </c>
      <c r="B9484" s="111">
        <f t="shared" si="215"/>
        <v>122</v>
      </c>
    </row>
    <row r="9485" spans="1:2" x14ac:dyDescent="0.2">
      <c r="A9485" s="112">
        <f t="shared" si="214"/>
        <v>44183</v>
      </c>
      <c r="B9485" s="111">
        <f t="shared" si="215"/>
        <v>122</v>
      </c>
    </row>
    <row r="9486" spans="1:2" x14ac:dyDescent="0.2">
      <c r="A9486" s="112">
        <f t="shared" si="214"/>
        <v>44184</v>
      </c>
      <c r="B9486" s="111">
        <f t="shared" si="215"/>
        <v>122</v>
      </c>
    </row>
    <row r="9487" spans="1:2" x14ac:dyDescent="0.2">
      <c r="A9487" s="112">
        <f t="shared" si="214"/>
        <v>44185</v>
      </c>
      <c r="B9487" s="111">
        <f t="shared" si="215"/>
        <v>123</v>
      </c>
    </row>
    <row r="9488" spans="1:2" x14ac:dyDescent="0.2">
      <c r="A9488" s="112">
        <f t="shared" si="214"/>
        <v>44186</v>
      </c>
      <c r="B9488" s="111">
        <f t="shared" si="215"/>
        <v>123</v>
      </c>
    </row>
    <row r="9489" spans="1:2" x14ac:dyDescent="0.2">
      <c r="A9489" s="112">
        <f t="shared" si="214"/>
        <v>44187</v>
      </c>
      <c r="B9489" s="111">
        <f t="shared" si="215"/>
        <v>123</v>
      </c>
    </row>
    <row r="9490" spans="1:2" x14ac:dyDescent="0.2">
      <c r="A9490" s="112">
        <f t="shared" si="214"/>
        <v>44188</v>
      </c>
      <c r="B9490" s="111">
        <f t="shared" si="215"/>
        <v>123</v>
      </c>
    </row>
    <row r="9491" spans="1:2" x14ac:dyDescent="0.2">
      <c r="A9491" s="112">
        <f t="shared" si="214"/>
        <v>44189</v>
      </c>
      <c r="B9491" s="111">
        <f t="shared" si="215"/>
        <v>123</v>
      </c>
    </row>
    <row r="9492" spans="1:2" x14ac:dyDescent="0.2">
      <c r="A9492" s="112">
        <f t="shared" si="214"/>
        <v>44190</v>
      </c>
      <c r="B9492" s="111">
        <f t="shared" si="215"/>
        <v>123</v>
      </c>
    </row>
    <row r="9493" spans="1:2" x14ac:dyDescent="0.2">
      <c r="A9493" s="112">
        <f t="shared" si="214"/>
        <v>44191</v>
      </c>
      <c r="B9493" s="111">
        <f t="shared" si="215"/>
        <v>123</v>
      </c>
    </row>
    <row r="9494" spans="1:2" x14ac:dyDescent="0.2">
      <c r="A9494" s="112">
        <f t="shared" si="214"/>
        <v>44192</v>
      </c>
      <c r="B9494" s="111">
        <f t="shared" si="215"/>
        <v>124</v>
      </c>
    </row>
    <row r="9495" spans="1:2" x14ac:dyDescent="0.2">
      <c r="A9495" s="112">
        <f t="shared" si="214"/>
        <v>44193</v>
      </c>
      <c r="B9495" s="111">
        <f t="shared" si="215"/>
        <v>124</v>
      </c>
    </row>
    <row r="9496" spans="1:2" x14ac:dyDescent="0.2">
      <c r="A9496" s="112">
        <f t="shared" si="214"/>
        <v>44194</v>
      </c>
      <c r="B9496" s="111">
        <f t="shared" si="215"/>
        <v>124</v>
      </c>
    </row>
    <row r="9497" spans="1:2" x14ac:dyDescent="0.2">
      <c r="A9497" s="112">
        <f t="shared" si="214"/>
        <v>44195</v>
      </c>
      <c r="B9497" s="111">
        <f t="shared" si="215"/>
        <v>124</v>
      </c>
    </row>
    <row r="9498" spans="1:2" x14ac:dyDescent="0.2">
      <c r="A9498" s="112">
        <f t="shared" si="214"/>
        <v>44196</v>
      </c>
      <c r="B9498" s="111">
        <f t="shared" si="215"/>
        <v>124</v>
      </c>
    </row>
    <row r="9499" spans="1:2" x14ac:dyDescent="0.2">
      <c r="A9499" s="112">
        <f t="shared" si="214"/>
        <v>44197</v>
      </c>
      <c r="B9499" s="111">
        <f t="shared" si="215"/>
        <v>11</v>
      </c>
    </row>
    <row r="9500" spans="1:2" x14ac:dyDescent="0.2">
      <c r="A9500" s="112">
        <f t="shared" si="214"/>
        <v>44198</v>
      </c>
      <c r="B9500" s="111">
        <f>VLOOKUP(WEEKNUM(A9500),$D$3:$E$58,2)</f>
        <v>11</v>
      </c>
    </row>
    <row r="9501" spans="1:2" x14ac:dyDescent="0.2">
      <c r="A9501" s="112">
        <f t="shared" si="214"/>
        <v>44199</v>
      </c>
      <c r="B9501" s="111">
        <f t="shared" si="215"/>
        <v>12</v>
      </c>
    </row>
    <row r="9502" spans="1:2" x14ac:dyDescent="0.2">
      <c r="A9502" s="112">
        <f t="shared" si="214"/>
        <v>44200</v>
      </c>
      <c r="B9502" s="111">
        <f t="shared" si="215"/>
        <v>12</v>
      </c>
    </row>
    <row r="9503" spans="1:2" x14ac:dyDescent="0.2">
      <c r="A9503" s="112">
        <f t="shared" si="214"/>
        <v>44201</v>
      </c>
      <c r="B9503" s="111">
        <f t="shared" si="215"/>
        <v>12</v>
      </c>
    </row>
    <row r="9504" spans="1:2" x14ac:dyDescent="0.2">
      <c r="A9504" s="112">
        <f t="shared" si="214"/>
        <v>44202</v>
      </c>
      <c r="B9504" s="111">
        <f t="shared" si="215"/>
        <v>12</v>
      </c>
    </row>
    <row r="9505" spans="1:2" x14ac:dyDescent="0.2">
      <c r="A9505" s="112">
        <f t="shared" si="214"/>
        <v>44203</v>
      </c>
      <c r="B9505" s="111">
        <f t="shared" si="215"/>
        <v>12</v>
      </c>
    </row>
    <row r="9506" spans="1:2" x14ac:dyDescent="0.2">
      <c r="A9506" s="112">
        <f t="shared" si="214"/>
        <v>44204</v>
      </c>
      <c r="B9506" s="111">
        <f t="shared" si="215"/>
        <v>12</v>
      </c>
    </row>
    <row r="9507" spans="1:2" x14ac:dyDescent="0.2">
      <c r="A9507" s="112">
        <f t="shared" si="214"/>
        <v>44205</v>
      </c>
      <c r="B9507" s="111">
        <f t="shared" si="215"/>
        <v>12</v>
      </c>
    </row>
    <row r="9508" spans="1:2" x14ac:dyDescent="0.2">
      <c r="A9508" s="112">
        <f t="shared" si="214"/>
        <v>44206</v>
      </c>
      <c r="B9508" s="111">
        <f t="shared" si="215"/>
        <v>13</v>
      </c>
    </row>
    <row r="9509" spans="1:2" x14ac:dyDescent="0.2">
      <c r="A9509" s="112">
        <f t="shared" si="214"/>
        <v>44207</v>
      </c>
      <c r="B9509" s="111">
        <f t="shared" si="215"/>
        <v>13</v>
      </c>
    </row>
    <row r="9510" spans="1:2" x14ac:dyDescent="0.2">
      <c r="A9510" s="112">
        <f t="shared" si="214"/>
        <v>44208</v>
      </c>
      <c r="B9510" s="111">
        <f t="shared" si="215"/>
        <v>13</v>
      </c>
    </row>
    <row r="9511" spans="1:2" x14ac:dyDescent="0.2">
      <c r="A9511" s="112">
        <f t="shared" si="214"/>
        <v>44209</v>
      </c>
      <c r="B9511" s="111">
        <f t="shared" si="215"/>
        <v>13</v>
      </c>
    </row>
    <row r="9512" spans="1:2" x14ac:dyDescent="0.2">
      <c r="A9512" s="112">
        <f t="shared" si="214"/>
        <v>44210</v>
      </c>
      <c r="B9512" s="111">
        <f t="shared" si="215"/>
        <v>13</v>
      </c>
    </row>
    <row r="9513" spans="1:2" x14ac:dyDescent="0.2">
      <c r="A9513" s="112">
        <f t="shared" si="214"/>
        <v>44211</v>
      </c>
      <c r="B9513" s="111">
        <f t="shared" si="215"/>
        <v>13</v>
      </c>
    </row>
    <row r="9514" spans="1:2" x14ac:dyDescent="0.2">
      <c r="A9514" s="112">
        <f t="shared" si="214"/>
        <v>44212</v>
      </c>
      <c r="B9514" s="111">
        <f t="shared" si="215"/>
        <v>13</v>
      </c>
    </row>
    <row r="9515" spans="1:2" x14ac:dyDescent="0.2">
      <c r="A9515" s="112">
        <f t="shared" si="214"/>
        <v>44213</v>
      </c>
      <c r="B9515" s="111">
        <f t="shared" si="215"/>
        <v>14</v>
      </c>
    </row>
    <row r="9516" spans="1:2" x14ac:dyDescent="0.2">
      <c r="A9516" s="112">
        <f t="shared" si="214"/>
        <v>44214</v>
      </c>
      <c r="B9516" s="111">
        <f t="shared" si="215"/>
        <v>14</v>
      </c>
    </row>
    <row r="9517" spans="1:2" x14ac:dyDescent="0.2">
      <c r="A9517" s="112">
        <f t="shared" si="214"/>
        <v>44215</v>
      </c>
      <c r="B9517" s="111">
        <f t="shared" si="215"/>
        <v>14</v>
      </c>
    </row>
    <row r="9518" spans="1:2" x14ac:dyDescent="0.2">
      <c r="A9518" s="112">
        <f t="shared" si="214"/>
        <v>44216</v>
      </c>
      <c r="B9518" s="111">
        <f t="shared" si="215"/>
        <v>14</v>
      </c>
    </row>
    <row r="9519" spans="1:2" x14ac:dyDescent="0.2">
      <c r="A9519" s="112">
        <f t="shared" si="214"/>
        <v>44217</v>
      </c>
      <c r="B9519" s="111">
        <f t="shared" si="215"/>
        <v>14</v>
      </c>
    </row>
    <row r="9520" spans="1:2" x14ac:dyDescent="0.2">
      <c r="A9520" s="112">
        <f t="shared" si="214"/>
        <v>44218</v>
      </c>
      <c r="B9520" s="111">
        <f t="shared" si="215"/>
        <v>14</v>
      </c>
    </row>
    <row r="9521" spans="1:2" x14ac:dyDescent="0.2">
      <c r="A9521" s="112">
        <f t="shared" si="214"/>
        <v>44219</v>
      </c>
      <c r="B9521" s="111">
        <f t="shared" si="215"/>
        <v>14</v>
      </c>
    </row>
    <row r="9522" spans="1:2" x14ac:dyDescent="0.2">
      <c r="A9522" s="112">
        <f t="shared" si="214"/>
        <v>44220</v>
      </c>
      <c r="B9522" s="111">
        <f t="shared" si="215"/>
        <v>15</v>
      </c>
    </row>
    <row r="9523" spans="1:2" x14ac:dyDescent="0.2">
      <c r="A9523" s="112">
        <f t="shared" si="214"/>
        <v>44221</v>
      </c>
      <c r="B9523" s="111">
        <f t="shared" si="215"/>
        <v>15</v>
      </c>
    </row>
    <row r="9524" spans="1:2" x14ac:dyDescent="0.2">
      <c r="A9524" s="112">
        <f t="shared" ref="A9524:A9587" si="216">A9523+1</f>
        <v>44222</v>
      </c>
      <c r="B9524" s="111">
        <f t="shared" si="215"/>
        <v>15</v>
      </c>
    </row>
    <row r="9525" spans="1:2" x14ac:dyDescent="0.2">
      <c r="A9525" s="112">
        <f t="shared" si="216"/>
        <v>44223</v>
      </c>
      <c r="B9525" s="111">
        <f t="shared" si="215"/>
        <v>15</v>
      </c>
    </row>
    <row r="9526" spans="1:2" x14ac:dyDescent="0.2">
      <c r="A9526" s="112">
        <f t="shared" si="216"/>
        <v>44224</v>
      </c>
      <c r="B9526" s="111">
        <f t="shared" si="215"/>
        <v>15</v>
      </c>
    </row>
    <row r="9527" spans="1:2" x14ac:dyDescent="0.2">
      <c r="A9527" s="112">
        <f t="shared" si="216"/>
        <v>44225</v>
      </c>
      <c r="B9527" s="111">
        <f t="shared" si="215"/>
        <v>15</v>
      </c>
    </row>
    <row r="9528" spans="1:2" x14ac:dyDescent="0.2">
      <c r="A9528" s="112">
        <f t="shared" si="216"/>
        <v>44226</v>
      </c>
      <c r="B9528" s="111">
        <f t="shared" si="215"/>
        <v>15</v>
      </c>
    </row>
    <row r="9529" spans="1:2" x14ac:dyDescent="0.2">
      <c r="A9529" s="112">
        <f t="shared" si="216"/>
        <v>44227</v>
      </c>
      <c r="B9529" s="111">
        <f t="shared" si="215"/>
        <v>21</v>
      </c>
    </row>
    <row r="9530" spans="1:2" x14ac:dyDescent="0.2">
      <c r="A9530" s="112">
        <f t="shared" si="216"/>
        <v>44228</v>
      </c>
      <c r="B9530" s="111">
        <f t="shared" si="215"/>
        <v>21</v>
      </c>
    </row>
    <row r="9531" spans="1:2" x14ac:dyDescent="0.2">
      <c r="A9531" s="112">
        <f t="shared" si="216"/>
        <v>44229</v>
      </c>
      <c r="B9531" s="111">
        <f t="shared" si="215"/>
        <v>21</v>
      </c>
    </row>
    <row r="9532" spans="1:2" x14ac:dyDescent="0.2">
      <c r="A9532" s="112">
        <f t="shared" si="216"/>
        <v>44230</v>
      </c>
      <c r="B9532" s="111">
        <f t="shared" si="215"/>
        <v>21</v>
      </c>
    </row>
    <row r="9533" spans="1:2" x14ac:dyDescent="0.2">
      <c r="A9533" s="112">
        <f t="shared" si="216"/>
        <v>44231</v>
      </c>
      <c r="B9533" s="111">
        <f t="shared" si="215"/>
        <v>21</v>
      </c>
    </row>
    <row r="9534" spans="1:2" x14ac:dyDescent="0.2">
      <c r="A9534" s="112">
        <f t="shared" si="216"/>
        <v>44232</v>
      </c>
      <c r="B9534" s="111">
        <f t="shared" si="215"/>
        <v>21</v>
      </c>
    </row>
    <row r="9535" spans="1:2" x14ac:dyDescent="0.2">
      <c r="A9535" s="112">
        <f t="shared" si="216"/>
        <v>44233</v>
      </c>
      <c r="B9535" s="111">
        <f t="shared" si="215"/>
        <v>21</v>
      </c>
    </row>
    <row r="9536" spans="1:2" x14ac:dyDescent="0.2">
      <c r="A9536" s="112">
        <f t="shared" si="216"/>
        <v>44234</v>
      </c>
      <c r="B9536" s="111">
        <f t="shared" si="215"/>
        <v>22</v>
      </c>
    </row>
    <row r="9537" spans="1:2" x14ac:dyDescent="0.2">
      <c r="A9537" s="112">
        <f t="shared" si="216"/>
        <v>44235</v>
      </c>
      <c r="B9537" s="111">
        <f t="shared" si="215"/>
        <v>22</v>
      </c>
    </row>
    <row r="9538" spans="1:2" x14ac:dyDescent="0.2">
      <c r="A9538" s="112">
        <f t="shared" si="216"/>
        <v>44236</v>
      </c>
      <c r="B9538" s="111">
        <f t="shared" si="215"/>
        <v>22</v>
      </c>
    </row>
    <row r="9539" spans="1:2" x14ac:dyDescent="0.2">
      <c r="A9539" s="112">
        <f t="shared" si="216"/>
        <v>44237</v>
      </c>
      <c r="B9539" s="111">
        <f t="shared" si="215"/>
        <v>22</v>
      </c>
    </row>
    <row r="9540" spans="1:2" x14ac:dyDescent="0.2">
      <c r="A9540" s="112">
        <f t="shared" si="216"/>
        <v>44238</v>
      </c>
      <c r="B9540" s="111">
        <f t="shared" si="215"/>
        <v>22</v>
      </c>
    </row>
    <row r="9541" spans="1:2" x14ac:dyDescent="0.2">
      <c r="A9541" s="112">
        <f t="shared" si="216"/>
        <v>44239</v>
      </c>
      <c r="B9541" s="111">
        <f t="shared" si="215"/>
        <v>22</v>
      </c>
    </row>
    <row r="9542" spans="1:2" x14ac:dyDescent="0.2">
      <c r="A9542" s="112">
        <f t="shared" si="216"/>
        <v>44240</v>
      </c>
      <c r="B9542" s="111">
        <f t="shared" si="215"/>
        <v>22</v>
      </c>
    </row>
    <row r="9543" spans="1:2" x14ac:dyDescent="0.2">
      <c r="A9543" s="112">
        <f t="shared" si="216"/>
        <v>44241</v>
      </c>
      <c r="B9543" s="111">
        <f t="shared" si="215"/>
        <v>23</v>
      </c>
    </row>
    <row r="9544" spans="1:2" x14ac:dyDescent="0.2">
      <c r="A9544" s="112">
        <f t="shared" si="216"/>
        <v>44242</v>
      </c>
      <c r="B9544" s="111">
        <f t="shared" ref="B9544:B9607" si="217">VLOOKUP(WEEKNUM(A9544),$D$3:$E$58,2)</f>
        <v>23</v>
      </c>
    </row>
    <row r="9545" spans="1:2" x14ac:dyDescent="0.2">
      <c r="A9545" s="112">
        <f t="shared" si="216"/>
        <v>44243</v>
      </c>
      <c r="B9545" s="111">
        <f t="shared" si="217"/>
        <v>23</v>
      </c>
    </row>
    <row r="9546" spans="1:2" x14ac:dyDescent="0.2">
      <c r="A9546" s="112">
        <f t="shared" si="216"/>
        <v>44244</v>
      </c>
      <c r="B9546" s="111">
        <f t="shared" si="217"/>
        <v>23</v>
      </c>
    </row>
    <row r="9547" spans="1:2" x14ac:dyDescent="0.2">
      <c r="A9547" s="112">
        <f t="shared" si="216"/>
        <v>44245</v>
      </c>
      <c r="B9547" s="111">
        <f t="shared" si="217"/>
        <v>23</v>
      </c>
    </row>
    <row r="9548" spans="1:2" x14ac:dyDescent="0.2">
      <c r="A9548" s="112">
        <f t="shared" si="216"/>
        <v>44246</v>
      </c>
      <c r="B9548" s="111">
        <f t="shared" si="217"/>
        <v>23</v>
      </c>
    </row>
    <row r="9549" spans="1:2" x14ac:dyDescent="0.2">
      <c r="A9549" s="112">
        <f t="shared" si="216"/>
        <v>44247</v>
      </c>
      <c r="B9549" s="111">
        <f t="shared" si="217"/>
        <v>23</v>
      </c>
    </row>
    <row r="9550" spans="1:2" x14ac:dyDescent="0.2">
      <c r="A9550" s="112">
        <f t="shared" si="216"/>
        <v>44248</v>
      </c>
      <c r="B9550" s="111">
        <f t="shared" si="217"/>
        <v>24</v>
      </c>
    </row>
    <row r="9551" spans="1:2" x14ac:dyDescent="0.2">
      <c r="A9551" s="112">
        <f t="shared" si="216"/>
        <v>44249</v>
      </c>
      <c r="B9551" s="111">
        <f t="shared" si="217"/>
        <v>24</v>
      </c>
    </row>
    <row r="9552" spans="1:2" x14ac:dyDescent="0.2">
      <c r="A9552" s="112">
        <f t="shared" si="216"/>
        <v>44250</v>
      </c>
      <c r="B9552" s="111">
        <f t="shared" si="217"/>
        <v>24</v>
      </c>
    </row>
    <row r="9553" spans="1:2" x14ac:dyDescent="0.2">
      <c r="A9553" s="112">
        <f t="shared" si="216"/>
        <v>44251</v>
      </c>
      <c r="B9553" s="111">
        <f t="shared" si="217"/>
        <v>24</v>
      </c>
    </row>
    <row r="9554" spans="1:2" x14ac:dyDescent="0.2">
      <c r="A9554" s="112">
        <f t="shared" si="216"/>
        <v>44252</v>
      </c>
      <c r="B9554" s="111">
        <f t="shared" si="217"/>
        <v>24</v>
      </c>
    </row>
    <row r="9555" spans="1:2" x14ac:dyDescent="0.2">
      <c r="A9555" s="112">
        <f t="shared" si="216"/>
        <v>44253</v>
      </c>
      <c r="B9555" s="111">
        <f t="shared" si="217"/>
        <v>24</v>
      </c>
    </row>
    <row r="9556" spans="1:2" x14ac:dyDescent="0.2">
      <c r="A9556" s="112">
        <f t="shared" si="216"/>
        <v>44254</v>
      </c>
      <c r="B9556" s="111">
        <f t="shared" si="217"/>
        <v>24</v>
      </c>
    </row>
    <row r="9557" spans="1:2" x14ac:dyDescent="0.2">
      <c r="A9557" s="112">
        <f t="shared" si="216"/>
        <v>44255</v>
      </c>
      <c r="B9557" s="111">
        <f t="shared" si="217"/>
        <v>31</v>
      </c>
    </row>
    <row r="9558" spans="1:2" x14ac:dyDescent="0.2">
      <c r="A9558" s="112">
        <f t="shared" si="216"/>
        <v>44256</v>
      </c>
      <c r="B9558" s="111">
        <f t="shared" si="217"/>
        <v>31</v>
      </c>
    </row>
    <row r="9559" spans="1:2" x14ac:dyDescent="0.2">
      <c r="A9559" s="112">
        <f t="shared" si="216"/>
        <v>44257</v>
      </c>
      <c r="B9559" s="111">
        <f t="shared" si="217"/>
        <v>31</v>
      </c>
    </row>
    <row r="9560" spans="1:2" x14ac:dyDescent="0.2">
      <c r="A9560" s="112">
        <f t="shared" si="216"/>
        <v>44258</v>
      </c>
      <c r="B9560" s="111">
        <f t="shared" si="217"/>
        <v>31</v>
      </c>
    </row>
    <row r="9561" spans="1:2" x14ac:dyDescent="0.2">
      <c r="A9561" s="112">
        <f t="shared" si="216"/>
        <v>44259</v>
      </c>
      <c r="B9561" s="111">
        <f t="shared" si="217"/>
        <v>31</v>
      </c>
    </row>
    <row r="9562" spans="1:2" x14ac:dyDescent="0.2">
      <c r="A9562" s="112">
        <f t="shared" si="216"/>
        <v>44260</v>
      </c>
      <c r="B9562" s="111">
        <f t="shared" si="217"/>
        <v>31</v>
      </c>
    </row>
    <row r="9563" spans="1:2" x14ac:dyDescent="0.2">
      <c r="A9563" s="112">
        <f t="shared" si="216"/>
        <v>44261</v>
      </c>
      <c r="B9563" s="111">
        <f t="shared" si="217"/>
        <v>31</v>
      </c>
    </row>
    <row r="9564" spans="1:2" x14ac:dyDescent="0.2">
      <c r="A9564" s="112">
        <f t="shared" si="216"/>
        <v>44262</v>
      </c>
      <c r="B9564" s="111">
        <f t="shared" si="217"/>
        <v>32</v>
      </c>
    </row>
    <row r="9565" spans="1:2" x14ac:dyDescent="0.2">
      <c r="A9565" s="112">
        <f t="shared" si="216"/>
        <v>44263</v>
      </c>
      <c r="B9565" s="111">
        <f t="shared" si="217"/>
        <v>32</v>
      </c>
    </row>
    <row r="9566" spans="1:2" x14ac:dyDescent="0.2">
      <c r="A9566" s="112">
        <f t="shared" si="216"/>
        <v>44264</v>
      </c>
      <c r="B9566" s="111">
        <f t="shared" si="217"/>
        <v>32</v>
      </c>
    </row>
    <row r="9567" spans="1:2" x14ac:dyDescent="0.2">
      <c r="A9567" s="112">
        <f t="shared" si="216"/>
        <v>44265</v>
      </c>
      <c r="B9567" s="111">
        <f t="shared" si="217"/>
        <v>32</v>
      </c>
    </row>
    <row r="9568" spans="1:2" x14ac:dyDescent="0.2">
      <c r="A9568" s="112">
        <f t="shared" si="216"/>
        <v>44266</v>
      </c>
      <c r="B9568" s="111">
        <f t="shared" si="217"/>
        <v>32</v>
      </c>
    </row>
    <row r="9569" spans="1:2" x14ac:dyDescent="0.2">
      <c r="A9569" s="112">
        <f t="shared" si="216"/>
        <v>44267</v>
      </c>
      <c r="B9569" s="111">
        <f t="shared" si="217"/>
        <v>32</v>
      </c>
    </row>
    <row r="9570" spans="1:2" x14ac:dyDescent="0.2">
      <c r="A9570" s="112">
        <f t="shared" si="216"/>
        <v>44268</v>
      </c>
      <c r="B9570" s="111">
        <f t="shared" si="217"/>
        <v>32</v>
      </c>
    </row>
    <row r="9571" spans="1:2" x14ac:dyDescent="0.2">
      <c r="A9571" s="112">
        <f t="shared" si="216"/>
        <v>44269</v>
      </c>
      <c r="B9571" s="111">
        <f t="shared" si="217"/>
        <v>33</v>
      </c>
    </row>
    <row r="9572" spans="1:2" x14ac:dyDescent="0.2">
      <c r="A9572" s="112">
        <f t="shared" si="216"/>
        <v>44270</v>
      </c>
      <c r="B9572" s="111">
        <f t="shared" si="217"/>
        <v>33</v>
      </c>
    </row>
    <row r="9573" spans="1:2" x14ac:dyDescent="0.2">
      <c r="A9573" s="112">
        <f t="shared" si="216"/>
        <v>44271</v>
      </c>
      <c r="B9573" s="111">
        <f t="shared" si="217"/>
        <v>33</v>
      </c>
    </row>
    <row r="9574" spans="1:2" x14ac:dyDescent="0.2">
      <c r="A9574" s="112">
        <f t="shared" si="216"/>
        <v>44272</v>
      </c>
      <c r="B9574" s="111">
        <f t="shared" si="217"/>
        <v>33</v>
      </c>
    </row>
    <row r="9575" spans="1:2" x14ac:dyDescent="0.2">
      <c r="A9575" s="112">
        <f t="shared" si="216"/>
        <v>44273</v>
      </c>
      <c r="B9575" s="111">
        <f t="shared" si="217"/>
        <v>33</v>
      </c>
    </row>
    <row r="9576" spans="1:2" x14ac:dyDescent="0.2">
      <c r="A9576" s="112">
        <f t="shared" si="216"/>
        <v>44274</v>
      </c>
      <c r="B9576" s="111">
        <f t="shared" si="217"/>
        <v>33</v>
      </c>
    </row>
    <row r="9577" spans="1:2" x14ac:dyDescent="0.2">
      <c r="A9577" s="112">
        <f t="shared" si="216"/>
        <v>44275</v>
      </c>
      <c r="B9577" s="111">
        <f t="shared" si="217"/>
        <v>33</v>
      </c>
    </row>
    <row r="9578" spans="1:2" x14ac:dyDescent="0.2">
      <c r="A9578" s="112">
        <f t="shared" si="216"/>
        <v>44276</v>
      </c>
      <c r="B9578" s="111">
        <f t="shared" si="217"/>
        <v>34</v>
      </c>
    </row>
    <row r="9579" spans="1:2" x14ac:dyDescent="0.2">
      <c r="A9579" s="112">
        <f t="shared" si="216"/>
        <v>44277</v>
      </c>
      <c r="B9579" s="111">
        <f t="shared" si="217"/>
        <v>34</v>
      </c>
    </row>
    <row r="9580" spans="1:2" x14ac:dyDescent="0.2">
      <c r="A9580" s="112">
        <f t="shared" si="216"/>
        <v>44278</v>
      </c>
      <c r="B9580" s="111">
        <f t="shared" si="217"/>
        <v>34</v>
      </c>
    </row>
    <row r="9581" spans="1:2" x14ac:dyDescent="0.2">
      <c r="A9581" s="112">
        <f t="shared" si="216"/>
        <v>44279</v>
      </c>
      <c r="B9581" s="111">
        <f t="shared" si="217"/>
        <v>34</v>
      </c>
    </row>
    <row r="9582" spans="1:2" x14ac:dyDescent="0.2">
      <c r="A9582" s="112">
        <f t="shared" si="216"/>
        <v>44280</v>
      </c>
      <c r="B9582" s="111">
        <f t="shared" si="217"/>
        <v>34</v>
      </c>
    </row>
    <row r="9583" spans="1:2" x14ac:dyDescent="0.2">
      <c r="A9583" s="112">
        <f t="shared" si="216"/>
        <v>44281</v>
      </c>
      <c r="B9583" s="111">
        <f t="shared" si="217"/>
        <v>34</v>
      </c>
    </row>
    <row r="9584" spans="1:2" x14ac:dyDescent="0.2">
      <c r="A9584" s="112">
        <f t="shared" si="216"/>
        <v>44282</v>
      </c>
      <c r="B9584" s="111">
        <f t="shared" si="217"/>
        <v>34</v>
      </c>
    </row>
    <row r="9585" spans="1:2" x14ac:dyDescent="0.2">
      <c r="A9585" s="112">
        <f t="shared" si="216"/>
        <v>44283</v>
      </c>
      <c r="B9585" s="111">
        <f t="shared" si="217"/>
        <v>41</v>
      </c>
    </row>
    <row r="9586" spans="1:2" x14ac:dyDescent="0.2">
      <c r="A9586" s="112">
        <f t="shared" si="216"/>
        <v>44284</v>
      </c>
      <c r="B9586" s="111">
        <f t="shared" si="217"/>
        <v>41</v>
      </c>
    </row>
    <row r="9587" spans="1:2" x14ac:dyDescent="0.2">
      <c r="A9587" s="112">
        <f t="shared" si="216"/>
        <v>44285</v>
      </c>
      <c r="B9587" s="111">
        <f t="shared" si="217"/>
        <v>41</v>
      </c>
    </row>
    <row r="9588" spans="1:2" x14ac:dyDescent="0.2">
      <c r="A9588" s="112">
        <f t="shared" ref="A9588:A9651" si="218">A9587+1</f>
        <v>44286</v>
      </c>
      <c r="B9588" s="111">
        <f t="shared" si="217"/>
        <v>41</v>
      </c>
    </row>
    <row r="9589" spans="1:2" x14ac:dyDescent="0.2">
      <c r="A9589" s="112">
        <f t="shared" si="218"/>
        <v>44287</v>
      </c>
      <c r="B9589" s="111">
        <f t="shared" si="217"/>
        <v>41</v>
      </c>
    </row>
    <row r="9590" spans="1:2" x14ac:dyDescent="0.2">
      <c r="A9590" s="112">
        <f t="shared" si="218"/>
        <v>44288</v>
      </c>
      <c r="B9590" s="111">
        <f t="shared" si="217"/>
        <v>41</v>
      </c>
    </row>
    <row r="9591" spans="1:2" x14ac:dyDescent="0.2">
      <c r="A9591" s="112">
        <f t="shared" si="218"/>
        <v>44289</v>
      </c>
      <c r="B9591" s="111">
        <f t="shared" si="217"/>
        <v>41</v>
      </c>
    </row>
    <row r="9592" spans="1:2" x14ac:dyDescent="0.2">
      <c r="A9592" s="112">
        <f t="shared" si="218"/>
        <v>44290</v>
      </c>
      <c r="B9592" s="111">
        <f t="shared" si="217"/>
        <v>42</v>
      </c>
    </row>
    <row r="9593" spans="1:2" x14ac:dyDescent="0.2">
      <c r="A9593" s="112">
        <f t="shared" si="218"/>
        <v>44291</v>
      </c>
      <c r="B9593" s="111">
        <f t="shared" si="217"/>
        <v>42</v>
      </c>
    </row>
    <row r="9594" spans="1:2" x14ac:dyDescent="0.2">
      <c r="A9594" s="112">
        <f t="shared" si="218"/>
        <v>44292</v>
      </c>
      <c r="B9594" s="111">
        <f t="shared" si="217"/>
        <v>42</v>
      </c>
    </row>
    <row r="9595" spans="1:2" x14ac:dyDescent="0.2">
      <c r="A9595" s="112">
        <f t="shared" si="218"/>
        <v>44293</v>
      </c>
      <c r="B9595" s="111">
        <f t="shared" si="217"/>
        <v>42</v>
      </c>
    </row>
    <row r="9596" spans="1:2" x14ac:dyDescent="0.2">
      <c r="A9596" s="112">
        <f t="shared" si="218"/>
        <v>44294</v>
      </c>
      <c r="B9596" s="111">
        <f t="shared" si="217"/>
        <v>42</v>
      </c>
    </row>
    <row r="9597" spans="1:2" x14ac:dyDescent="0.2">
      <c r="A9597" s="112">
        <f t="shared" si="218"/>
        <v>44295</v>
      </c>
      <c r="B9597" s="111">
        <f t="shared" si="217"/>
        <v>42</v>
      </c>
    </row>
    <row r="9598" spans="1:2" x14ac:dyDescent="0.2">
      <c r="A9598" s="112">
        <f t="shared" si="218"/>
        <v>44296</v>
      </c>
      <c r="B9598" s="111">
        <f t="shared" si="217"/>
        <v>42</v>
      </c>
    </row>
    <row r="9599" spans="1:2" x14ac:dyDescent="0.2">
      <c r="A9599" s="112">
        <f t="shared" si="218"/>
        <v>44297</v>
      </c>
      <c r="B9599" s="111">
        <f t="shared" si="217"/>
        <v>43</v>
      </c>
    </row>
    <row r="9600" spans="1:2" x14ac:dyDescent="0.2">
      <c r="A9600" s="112">
        <f t="shared" si="218"/>
        <v>44298</v>
      </c>
      <c r="B9600" s="111">
        <f t="shared" si="217"/>
        <v>43</v>
      </c>
    </row>
    <row r="9601" spans="1:2" x14ac:dyDescent="0.2">
      <c r="A9601" s="112">
        <f t="shared" si="218"/>
        <v>44299</v>
      </c>
      <c r="B9601" s="111">
        <f t="shared" si="217"/>
        <v>43</v>
      </c>
    </row>
    <row r="9602" spans="1:2" x14ac:dyDescent="0.2">
      <c r="A9602" s="112">
        <f t="shared" si="218"/>
        <v>44300</v>
      </c>
      <c r="B9602" s="111">
        <f t="shared" si="217"/>
        <v>43</v>
      </c>
    </row>
    <row r="9603" spans="1:2" x14ac:dyDescent="0.2">
      <c r="A9603" s="112">
        <f t="shared" si="218"/>
        <v>44301</v>
      </c>
      <c r="B9603" s="111">
        <f t="shared" si="217"/>
        <v>43</v>
      </c>
    </row>
    <row r="9604" spans="1:2" x14ac:dyDescent="0.2">
      <c r="A9604" s="112">
        <f t="shared" si="218"/>
        <v>44302</v>
      </c>
      <c r="B9604" s="111">
        <f t="shared" si="217"/>
        <v>43</v>
      </c>
    </row>
    <row r="9605" spans="1:2" x14ac:dyDescent="0.2">
      <c r="A9605" s="112">
        <f t="shared" si="218"/>
        <v>44303</v>
      </c>
      <c r="B9605" s="111">
        <f t="shared" si="217"/>
        <v>43</v>
      </c>
    </row>
    <row r="9606" spans="1:2" x14ac:dyDescent="0.2">
      <c r="A9606" s="112">
        <f t="shared" si="218"/>
        <v>44304</v>
      </c>
      <c r="B9606" s="111">
        <f t="shared" si="217"/>
        <v>44</v>
      </c>
    </row>
    <row r="9607" spans="1:2" x14ac:dyDescent="0.2">
      <c r="A9607" s="112">
        <f t="shared" si="218"/>
        <v>44305</v>
      </c>
      <c r="B9607" s="111">
        <f t="shared" si="217"/>
        <v>44</v>
      </c>
    </row>
    <row r="9608" spans="1:2" x14ac:dyDescent="0.2">
      <c r="A9608" s="112">
        <f t="shared" si="218"/>
        <v>44306</v>
      </c>
      <c r="B9608" s="111">
        <f t="shared" ref="B9608:B9617" si="219">VLOOKUP(WEEKNUM(A9608),$D$3:$E$58,2)</f>
        <v>44</v>
      </c>
    </row>
    <row r="9609" spans="1:2" x14ac:dyDescent="0.2">
      <c r="A9609" s="112">
        <f t="shared" si="218"/>
        <v>44307</v>
      </c>
      <c r="B9609" s="111">
        <f t="shared" si="219"/>
        <v>44</v>
      </c>
    </row>
    <row r="9610" spans="1:2" x14ac:dyDescent="0.2">
      <c r="A9610" s="112">
        <f t="shared" si="218"/>
        <v>44308</v>
      </c>
      <c r="B9610" s="111">
        <f t="shared" si="219"/>
        <v>44</v>
      </c>
    </row>
    <row r="9611" spans="1:2" x14ac:dyDescent="0.2">
      <c r="A9611" s="112">
        <f t="shared" si="218"/>
        <v>44309</v>
      </c>
      <c r="B9611" s="111">
        <f t="shared" si="219"/>
        <v>44</v>
      </c>
    </row>
    <row r="9612" spans="1:2" x14ac:dyDescent="0.2">
      <c r="A9612" s="112">
        <f t="shared" si="218"/>
        <v>44310</v>
      </c>
      <c r="B9612" s="111">
        <f t="shared" si="219"/>
        <v>44</v>
      </c>
    </row>
    <row r="9613" spans="1:2" x14ac:dyDescent="0.2">
      <c r="A9613" s="112">
        <f t="shared" si="218"/>
        <v>44311</v>
      </c>
      <c r="B9613" s="111">
        <f t="shared" si="219"/>
        <v>45</v>
      </c>
    </row>
    <row r="9614" spans="1:2" x14ac:dyDescent="0.2">
      <c r="A9614" s="112">
        <f t="shared" si="218"/>
        <v>44312</v>
      </c>
      <c r="B9614" s="111">
        <f t="shared" si="219"/>
        <v>45</v>
      </c>
    </row>
    <row r="9615" spans="1:2" x14ac:dyDescent="0.2">
      <c r="A9615" s="112">
        <f t="shared" si="218"/>
        <v>44313</v>
      </c>
      <c r="B9615" s="111">
        <f t="shared" si="219"/>
        <v>45</v>
      </c>
    </row>
    <row r="9616" spans="1:2" x14ac:dyDescent="0.2">
      <c r="A9616" s="112">
        <f t="shared" si="218"/>
        <v>44314</v>
      </c>
      <c r="B9616" s="111">
        <f t="shared" si="219"/>
        <v>45</v>
      </c>
    </row>
    <row r="9617" spans="1:2" x14ac:dyDescent="0.2">
      <c r="A9617" s="112">
        <f t="shared" si="218"/>
        <v>44315</v>
      </c>
      <c r="B9617" s="111">
        <f t="shared" si="219"/>
        <v>45</v>
      </c>
    </row>
    <row r="9618" spans="1:2" x14ac:dyDescent="0.2">
      <c r="A9618" s="112">
        <f t="shared" si="218"/>
        <v>44316</v>
      </c>
      <c r="B9618" s="111">
        <f t="shared" ref="B9618:B9681" si="220">VLOOKUP(WEEKNUM(A9618),$D$3:$E$58,2)</f>
        <v>45</v>
      </c>
    </row>
    <row r="9619" spans="1:2" x14ac:dyDescent="0.2">
      <c r="A9619" s="112">
        <f t="shared" si="218"/>
        <v>44317</v>
      </c>
      <c r="B9619" s="111">
        <f t="shared" si="220"/>
        <v>45</v>
      </c>
    </row>
    <row r="9620" spans="1:2" x14ac:dyDescent="0.2">
      <c r="A9620" s="112">
        <f t="shared" si="218"/>
        <v>44318</v>
      </c>
      <c r="B9620" s="111">
        <f t="shared" si="220"/>
        <v>51</v>
      </c>
    </row>
    <row r="9621" spans="1:2" x14ac:dyDescent="0.2">
      <c r="A9621" s="112">
        <f t="shared" si="218"/>
        <v>44319</v>
      </c>
      <c r="B9621" s="111">
        <f t="shared" si="220"/>
        <v>51</v>
      </c>
    </row>
    <row r="9622" spans="1:2" x14ac:dyDescent="0.2">
      <c r="A9622" s="112">
        <f t="shared" si="218"/>
        <v>44320</v>
      </c>
      <c r="B9622" s="111">
        <f t="shared" si="220"/>
        <v>51</v>
      </c>
    </row>
    <row r="9623" spans="1:2" x14ac:dyDescent="0.2">
      <c r="A9623" s="112">
        <f t="shared" si="218"/>
        <v>44321</v>
      </c>
      <c r="B9623" s="111">
        <f t="shared" si="220"/>
        <v>51</v>
      </c>
    </row>
    <row r="9624" spans="1:2" x14ac:dyDescent="0.2">
      <c r="A9624" s="112">
        <f t="shared" si="218"/>
        <v>44322</v>
      </c>
      <c r="B9624" s="111">
        <f t="shared" si="220"/>
        <v>51</v>
      </c>
    </row>
    <row r="9625" spans="1:2" x14ac:dyDescent="0.2">
      <c r="A9625" s="112">
        <f t="shared" si="218"/>
        <v>44323</v>
      </c>
      <c r="B9625" s="111">
        <f t="shared" si="220"/>
        <v>51</v>
      </c>
    </row>
    <row r="9626" spans="1:2" x14ac:dyDescent="0.2">
      <c r="A9626" s="112">
        <f t="shared" si="218"/>
        <v>44324</v>
      </c>
      <c r="B9626" s="111">
        <f t="shared" si="220"/>
        <v>51</v>
      </c>
    </row>
    <row r="9627" spans="1:2" x14ac:dyDescent="0.2">
      <c r="A9627" s="112">
        <f t="shared" si="218"/>
        <v>44325</v>
      </c>
      <c r="B9627" s="111">
        <f t="shared" si="220"/>
        <v>52</v>
      </c>
    </row>
    <row r="9628" spans="1:2" x14ac:dyDescent="0.2">
      <c r="A9628" s="112">
        <f t="shared" si="218"/>
        <v>44326</v>
      </c>
      <c r="B9628" s="111">
        <f t="shared" si="220"/>
        <v>52</v>
      </c>
    </row>
    <row r="9629" spans="1:2" x14ac:dyDescent="0.2">
      <c r="A9629" s="112">
        <f t="shared" si="218"/>
        <v>44327</v>
      </c>
      <c r="B9629" s="111">
        <f t="shared" si="220"/>
        <v>52</v>
      </c>
    </row>
    <row r="9630" spans="1:2" x14ac:dyDescent="0.2">
      <c r="A9630" s="112">
        <f t="shared" si="218"/>
        <v>44328</v>
      </c>
      <c r="B9630" s="111">
        <f t="shared" si="220"/>
        <v>52</v>
      </c>
    </row>
    <row r="9631" spans="1:2" x14ac:dyDescent="0.2">
      <c r="A9631" s="112">
        <f t="shared" si="218"/>
        <v>44329</v>
      </c>
      <c r="B9631" s="111">
        <f t="shared" si="220"/>
        <v>52</v>
      </c>
    </row>
    <row r="9632" spans="1:2" x14ac:dyDescent="0.2">
      <c r="A9632" s="112">
        <f t="shared" si="218"/>
        <v>44330</v>
      </c>
      <c r="B9632" s="111">
        <f t="shared" si="220"/>
        <v>52</v>
      </c>
    </row>
    <row r="9633" spans="1:2" x14ac:dyDescent="0.2">
      <c r="A9633" s="112">
        <f t="shared" si="218"/>
        <v>44331</v>
      </c>
      <c r="B9633" s="111">
        <f t="shared" si="220"/>
        <v>52</v>
      </c>
    </row>
    <row r="9634" spans="1:2" x14ac:dyDescent="0.2">
      <c r="A9634" s="112">
        <f t="shared" si="218"/>
        <v>44332</v>
      </c>
      <c r="B9634" s="111">
        <f t="shared" si="220"/>
        <v>53</v>
      </c>
    </row>
    <row r="9635" spans="1:2" x14ac:dyDescent="0.2">
      <c r="A9635" s="112">
        <f t="shared" si="218"/>
        <v>44333</v>
      </c>
      <c r="B9635" s="111">
        <f t="shared" si="220"/>
        <v>53</v>
      </c>
    </row>
    <row r="9636" spans="1:2" x14ac:dyDescent="0.2">
      <c r="A9636" s="112">
        <f t="shared" si="218"/>
        <v>44334</v>
      </c>
      <c r="B9636" s="111">
        <f t="shared" si="220"/>
        <v>53</v>
      </c>
    </row>
    <row r="9637" spans="1:2" x14ac:dyDescent="0.2">
      <c r="A9637" s="112">
        <f t="shared" si="218"/>
        <v>44335</v>
      </c>
      <c r="B9637" s="111">
        <f t="shared" si="220"/>
        <v>53</v>
      </c>
    </row>
    <row r="9638" spans="1:2" x14ac:dyDescent="0.2">
      <c r="A9638" s="112">
        <f t="shared" si="218"/>
        <v>44336</v>
      </c>
      <c r="B9638" s="111">
        <f t="shared" si="220"/>
        <v>53</v>
      </c>
    </row>
    <row r="9639" spans="1:2" x14ac:dyDescent="0.2">
      <c r="A9639" s="112">
        <f t="shared" si="218"/>
        <v>44337</v>
      </c>
      <c r="B9639" s="111">
        <f t="shared" si="220"/>
        <v>53</v>
      </c>
    </row>
    <row r="9640" spans="1:2" x14ac:dyDescent="0.2">
      <c r="A9640" s="112">
        <f t="shared" si="218"/>
        <v>44338</v>
      </c>
      <c r="B9640" s="111">
        <f t="shared" si="220"/>
        <v>53</v>
      </c>
    </row>
    <row r="9641" spans="1:2" x14ac:dyDescent="0.2">
      <c r="A9641" s="112">
        <f t="shared" si="218"/>
        <v>44339</v>
      </c>
      <c r="B9641" s="111">
        <f t="shared" si="220"/>
        <v>54</v>
      </c>
    </row>
    <row r="9642" spans="1:2" x14ac:dyDescent="0.2">
      <c r="A9642" s="112">
        <f t="shared" si="218"/>
        <v>44340</v>
      </c>
      <c r="B9642" s="111">
        <f t="shared" si="220"/>
        <v>54</v>
      </c>
    </row>
    <row r="9643" spans="1:2" x14ac:dyDescent="0.2">
      <c r="A9643" s="112">
        <f t="shared" si="218"/>
        <v>44341</v>
      </c>
      <c r="B9643" s="111">
        <f t="shared" si="220"/>
        <v>54</v>
      </c>
    </row>
    <row r="9644" spans="1:2" x14ac:dyDescent="0.2">
      <c r="A9644" s="112">
        <f t="shared" si="218"/>
        <v>44342</v>
      </c>
      <c r="B9644" s="111">
        <f t="shared" si="220"/>
        <v>54</v>
      </c>
    </row>
    <row r="9645" spans="1:2" x14ac:dyDescent="0.2">
      <c r="A9645" s="112">
        <f t="shared" si="218"/>
        <v>44343</v>
      </c>
      <c r="B9645" s="111">
        <f t="shared" si="220"/>
        <v>54</v>
      </c>
    </row>
    <row r="9646" spans="1:2" x14ac:dyDescent="0.2">
      <c r="A9646" s="112">
        <f t="shared" si="218"/>
        <v>44344</v>
      </c>
      <c r="B9646" s="111">
        <f t="shared" si="220"/>
        <v>54</v>
      </c>
    </row>
    <row r="9647" spans="1:2" x14ac:dyDescent="0.2">
      <c r="A9647" s="112">
        <f t="shared" si="218"/>
        <v>44345</v>
      </c>
      <c r="B9647" s="111">
        <f t="shared" si="220"/>
        <v>54</v>
      </c>
    </row>
    <row r="9648" spans="1:2" x14ac:dyDescent="0.2">
      <c r="A9648" s="112">
        <f t="shared" si="218"/>
        <v>44346</v>
      </c>
      <c r="B9648" s="111">
        <f t="shared" si="220"/>
        <v>61</v>
      </c>
    </row>
    <row r="9649" spans="1:2" x14ac:dyDescent="0.2">
      <c r="A9649" s="112">
        <f t="shared" si="218"/>
        <v>44347</v>
      </c>
      <c r="B9649" s="111">
        <f t="shared" si="220"/>
        <v>61</v>
      </c>
    </row>
    <row r="9650" spans="1:2" x14ac:dyDescent="0.2">
      <c r="A9650" s="112">
        <f t="shared" si="218"/>
        <v>44348</v>
      </c>
      <c r="B9650" s="111">
        <f t="shared" si="220"/>
        <v>61</v>
      </c>
    </row>
    <row r="9651" spans="1:2" x14ac:dyDescent="0.2">
      <c r="A9651" s="112">
        <f t="shared" si="218"/>
        <v>44349</v>
      </c>
      <c r="B9651" s="111">
        <f t="shared" si="220"/>
        <v>61</v>
      </c>
    </row>
    <row r="9652" spans="1:2" x14ac:dyDescent="0.2">
      <c r="A9652" s="112">
        <f t="shared" ref="A9652:A9715" si="221">A9651+1</f>
        <v>44350</v>
      </c>
      <c r="B9652" s="111">
        <f t="shared" si="220"/>
        <v>61</v>
      </c>
    </row>
    <row r="9653" spans="1:2" x14ac:dyDescent="0.2">
      <c r="A9653" s="112">
        <f t="shared" si="221"/>
        <v>44351</v>
      </c>
      <c r="B9653" s="111">
        <f t="shared" si="220"/>
        <v>61</v>
      </c>
    </row>
    <row r="9654" spans="1:2" x14ac:dyDescent="0.2">
      <c r="A9654" s="112">
        <f t="shared" si="221"/>
        <v>44352</v>
      </c>
      <c r="B9654" s="111">
        <f t="shared" si="220"/>
        <v>61</v>
      </c>
    </row>
    <row r="9655" spans="1:2" x14ac:dyDescent="0.2">
      <c r="A9655" s="112">
        <f t="shared" si="221"/>
        <v>44353</v>
      </c>
      <c r="B9655" s="111">
        <f t="shared" si="220"/>
        <v>62</v>
      </c>
    </row>
    <row r="9656" spans="1:2" x14ac:dyDescent="0.2">
      <c r="A9656" s="112">
        <f t="shared" si="221"/>
        <v>44354</v>
      </c>
      <c r="B9656" s="111">
        <f t="shared" si="220"/>
        <v>62</v>
      </c>
    </row>
    <row r="9657" spans="1:2" x14ac:dyDescent="0.2">
      <c r="A9657" s="112">
        <f t="shared" si="221"/>
        <v>44355</v>
      </c>
      <c r="B9657" s="111">
        <f t="shared" si="220"/>
        <v>62</v>
      </c>
    </row>
    <row r="9658" spans="1:2" x14ac:dyDescent="0.2">
      <c r="A9658" s="112">
        <f t="shared" si="221"/>
        <v>44356</v>
      </c>
      <c r="B9658" s="111">
        <f t="shared" si="220"/>
        <v>62</v>
      </c>
    </row>
    <row r="9659" spans="1:2" x14ac:dyDescent="0.2">
      <c r="A9659" s="112">
        <f t="shared" si="221"/>
        <v>44357</v>
      </c>
      <c r="B9659" s="111">
        <f t="shared" si="220"/>
        <v>62</v>
      </c>
    </row>
    <row r="9660" spans="1:2" x14ac:dyDescent="0.2">
      <c r="A9660" s="112">
        <f t="shared" si="221"/>
        <v>44358</v>
      </c>
      <c r="B9660" s="111">
        <f t="shared" si="220"/>
        <v>62</v>
      </c>
    </row>
    <row r="9661" spans="1:2" x14ac:dyDescent="0.2">
      <c r="A9661" s="112">
        <f t="shared" si="221"/>
        <v>44359</v>
      </c>
      <c r="B9661" s="111">
        <f t="shared" si="220"/>
        <v>62</v>
      </c>
    </row>
    <row r="9662" spans="1:2" x14ac:dyDescent="0.2">
      <c r="A9662" s="112">
        <f t="shared" si="221"/>
        <v>44360</v>
      </c>
      <c r="B9662" s="111">
        <f t="shared" si="220"/>
        <v>63</v>
      </c>
    </row>
    <row r="9663" spans="1:2" x14ac:dyDescent="0.2">
      <c r="A9663" s="112">
        <f t="shared" si="221"/>
        <v>44361</v>
      </c>
      <c r="B9663" s="111">
        <f t="shared" si="220"/>
        <v>63</v>
      </c>
    </row>
    <row r="9664" spans="1:2" x14ac:dyDescent="0.2">
      <c r="A9664" s="112">
        <f t="shared" si="221"/>
        <v>44362</v>
      </c>
      <c r="B9664" s="111">
        <f t="shared" si="220"/>
        <v>63</v>
      </c>
    </row>
    <row r="9665" spans="1:2" x14ac:dyDescent="0.2">
      <c r="A9665" s="112">
        <f t="shared" si="221"/>
        <v>44363</v>
      </c>
      <c r="B9665" s="111">
        <f t="shared" si="220"/>
        <v>63</v>
      </c>
    </row>
    <row r="9666" spans="1:2" x14ac:dyDescent="0.2">
      <c r="A9666" s="112">
        <f t="shared" si="221"/>
        <v>44364</v>
      </c>
      <c r="B9666" s="111">
        <f t="shared" si="220"/>
        <v>63</v>
      </c>
    </row>
    <row r="9667" spans="1:2" x14ac:dyDescent="0.2">
      <c r="A9667" s="112">
        <f t="shared" si="221"/>
        <v>44365</v>
      </c>
      <c r="B9667" s="111">
        <f t="shared" si="220"/>
        <v>63</v>
      </c>
    </row>
    <row r="9668" spans="1:2" x14ac:dyDescent="0.2">
      <c r="A9668" s="112">
        <f t="shared" si="221"/>
        <v>44366</v>
      </c>
      <c r="B9668" s="111">
        <f t="shared" si="220"/>
        <v>63</v>
      </c>
    </row>
    <row r="9669" spans="1:2" x14ac:dyDescent="0.2">
      <c r="A9669" s="112">
        <f t="shared" si="221"/>
        <v>44367</v>
      </c>
      <c r="B9669" s="111">
        <f t="shared" si="220"/>
        <v>64</v>
      </c>
    </row>
    <row r="9670" spans="1:2" x14ac:dyDescent="0.2">
      <c r="A9670" s="112">
        <f t="shared" si="221"/>
        <v>44368</v>
      </c>
      <c r="B9670" s="111">
        <f t="shared" si="220"/>
        <v>64</v>
      </c>
    </row>
    <row r="9671" spans="1:2" x14ac:dyDescent="0.2">
      <c r="A9671" s="112">
        <f t="shared" si="221"/>
        <v>44369</v>
      </c>
      <c r="B9671" s="111">
        <f t="shared" si="220"/>
        <v>64</v>
      </c>
    </row>
    <row r="9672" spans="1:2" x14ac:dyDescent="0.2">
      <c r="A9672" s="112">
        <f t="shared" si="221"/>
        <v>44370</v>
      </c>
      <c r="B9672" s="111">
        <f t="shared" si="220"/>
        <v>64</v>
      </c>
    </row>
    <row r="9673" spans="1:2" x14ac:dyDescent="0.2">
      <c r="A9673" s="112">
        <f t="shared" si="221"/>
        <v>44371</v>
      </c>
      <c r="B9673" s="111">
        <f t="shared" si="220"/>
        <v>64</v>
      </c>
    </row>
    <row r="9674" spans="1:2" x14ac:dyDescent="0.2">
      <c r="A9674" s="112">
        <f t="shared" si="221"/>
        <v>44372</v>
      </c>
      <c r="B9674" s="111">
        <f t="shared" si="220"/>
        <v>64</v>
      </c>
    </row>
    <row r="9675" spans="1:2" x14ac:dyDescent="0.2">
      <c r="A9675" s="112">
        <f t="shared" si="221"/>
        <v>44373</v>
      </c>
      <c r="B9675" s="111">
        <f t="shared" si="220"/>
        <v>64</v>
      </c>
    </row>
    <row r="9676" spans="1:2" x14ac:dyDescent="0.2">
      <c r="A9676" s="112">
        <f t="shared" si="221"/>
        <v>44374</v>
      </c>
      <c r="B9676" s="111">
        <f t="shared" si="220"/>
        <v>71</v>
      </c>
    </row>
    <row r="9677" spans="1:2" x14ac:dyDescent="0.2">
      <c r="A9677" s="112">
        <f t="shared" si="221"/>
        <v>44375</v>
      </c>
      <c r="B9677" s="111">
        <f t="shared" si="220"/>
        <v>71</v>
      </c>
    </row>
    <row r="9678" spans="1:2" x14ac:dyDescent="0.2">
      <c r="A9678" s="112">
        <f t="shared" si="221"/>
        <v>44376</v>
      </c>
      <c r="B9678" s="111">
        <f t="shared" si="220"/>
        <v>71</v>
      </c>
    </row>
    <row r="9679" spans="1:2" x14ac:dyDescent="0.2">
      <c r="A9679" s="112">
        <f t="shared" si="221"/>
        <v>44377</v>
      </c>
      <c r="B9679" s="111">
        <f t="shared" si="220"/>
        <v>71</v>
      </c>
    </row>
    <row r="9680" spans="1:2" x14ac:dyDescent="0.2">
      <c r="A9680" s="112">
        <f t="shared" si="221"/>
        <v>44378</v>
      </c>
      <c r="B9680" s="111">
        <f t="shared" si="220"/>
        <v>71</v>
      </c>
    </row>
    <row r="9681" spans="1:2" x14ac:dyDescent="0.2">
      <c r="A9681" s="112">
        <f t="shared" si="221"/>
        <v>44379</v>
      </c>
      <c r="B9681" s="111">
        <f t="shared" si="220"/>
        <v>71</v>
      </c>
    </row>
    <row r="9682" spans="1:2" x14ac:dyDescent="0.2">
      <c r="A9682" s="112">
        <f t="shared" si="221"/>
        <v>44380</v>
      </c>
      <c r="B9682" s="111">
        <f t="shared" ref="B9682:B9745" si="222">VLOOKUP(WEEKNUM(A9682),$D$3:$E$58,2)</f>
        <v>71</v>
      </c>
    </row>
    <row r="9683" spans="1:2" x14ac:dyDescent="0.2">
      <c r="A9683" s="112">
        <f t="shared" si="221"/>
        <v>44381</v>
      </c>
      <c r="B9683" s="111">
        <f t="shared" si="222"/>
        <v>72</v>
      </c>
    </row>
    <row r="9684" spans="1:2" x14ac:dyDescent="0.2">
      <c r="A9684" s="112">
        <f t="shared" si="221"/>
        <v>44382</v>
      </c>
      <c r="B9684" s="111">
        <f t="shared" si="222"/>
        <v>72</v>
      </c>
    </row>
    <row r="9685" spans="1:2" x14ac:dyDescent="0.2">
      <c r="A9685" s="112">
        <f t="shared" si="221"/>
        <v>44383</v>
      </c>
      <c r="B9685" s="111">
        <f t="shared" si="222"/>
        <v>72</v>
      </c>
    </row>
    <row r="9686" spans="1:2" x14ac:dyDescent="0.2">
      <c r="A9686" s="112">
        <f t="shared" si="221"/>
        <v>44384</v>
      </c>
      <c r="B9686" s="111">
        <f t="shared" si="222"/>
        <v>72</v>
      </c>
    </row>
    <row r="9687" spans="1:2" x14ac:dyDescent="0.2">
      <c r="A9687" s="112">
        <f t="shared" si="221"/>
        <v>44385</v>
      </c>
      <c r="B9687" s="111">
        <f t="shared" si="222"/>
        <v>72</v>
      </c>
    </row>
    <row r="9688" spans="1:2" x14ac:dyDescent="0.2">
      <c r="A9688" s="112">
        <f t="shared" si="221"/>
        <v>44386</v>
      </c>
      <c r="B9688" s="111">
        <f t="shared" si="222"/>
        <v>72</v>
      </c>
    </row>
    <row r="9689" spans="1:2" x14ac:dyDescent="0.2">
      <c r="A9689" s="112">
        <f t="shared" si="221"/>
        <v>44387</v>
      </c>
      <c r="B9689" s="111">
        <f t="shared" si="222"/>
        <v>72</v>
      </c>
    </row>
    <row r="9690" spans="1:2" x14ac:dyDescent="0.2">
      <c r="A9690" s="112">
        <f t="shared" si="221"/>
        <v>44388</v>
      </c>
      <c r="B9690" s="111">
        <f t="shared" si="222"/>
        <v>73</v>
      </c>
    </row>
    <row r="9691" spans="1:2" x14ac:dyDescent="0.2">
      <c r="A9691" s="112">
        <f t="shared" si="221"/>
        <v>44389</v>
      </c>
      <c r="B9691" s="111">
        <f t="shared" si="222"/>
        <v>73</v>
      </c>
    </row>
    <row r="9692" spans="1:2" x14ac:dyDescent="0.2">
      <c r="A9692" s="112">
        <f t="shared" si="221"/>
        <v>44390</v>
      </c>
      <c r="B9692" s="111">
        <f t="shared" si="222"/>
        <v>73</v>
      </c>
    </row>
    <row r="9693" spans="1:2" x14ac:dyDescent="0.2">
      <c r="A9693" s="112">
        <f t="shared" si="221"/>
        <v>44391</v>
      </c>
      <c r="B9693" s="111">
        <f t="shared" si="222"/>
        <v>73</v>
      </c>
    </row>
    <row r="9694" spans="1:2" x14ac:dyDescent="0.2">
      <c r="A9694" s="112">
        <f t="shared" si="221"/>
        <v>44392</v>
      </c>
      <c r="B9694" s="111">
        <f t="shared" si="222"/>
        <v>73</v>
      </c>
    </row>
    <row r="9695" spans="1:2" x14ac:dyDescent="0.2">
      <c r="A9695" s="112">
        <f t="shared" si="221"/>
        <v>44393</v>
      </c>
      <c r="B9695" s="111">
        <f t="shared" si="222"/>
        <v>73</v>
      </c>
    </row>
    <row r="9696" spans="1:2" x14ac:dyDescent="0.2">
      <c r="A9696" s="112">
        <f t="shared" si="221"/>
        <v>44394</v>
      </c>
      <c r="B9696" s="111">
        <f t="shared" si="222"/>
        <v>73</v>
      </c>
    </row>
    <row r="9697" spans="1:2" x14ac:dyDescent="0.2">
      <c r="A9697" s="112">
        <f t="shared" si="221"/>
        <v>44395</v>
      </c>
      <c r="B9697" s="111">
        <f t="shared" si="222"/>
        <v>74</v>
      </c>
    </row>
    <row r="9698" spans="1:2" x14ac:dyDescent="0.2">
      <c r="A9698" s="112">
        <f t="shared" si="221"/>
        <v>44396</v>
      </c>
      <c r="B9698" s="111">
        <f t="shared" si="222"/>
        <v>74</v>
      </c>
    </row>
    <row r="9699" spans="1:2" x14ac:dyDescent="0.2">
      <c r="A9699" s="112">
        <f t="shared" si="221"/>
        <v>44397</v>
      </c>
      <c r="B9699" s="111">
        <f t="shared" si="222"/>
        <v>74</v>
      </c>
    </row>
    <row r="9700" spans="1:2" x14ac:dyDescent="0.2">
      <c r="A9700" s="112">
        <f t="shared" si="221"/>
        <v>44398</v>
      </c>
      <c r="B9700" s="111">
        <f t="shared" si="222"/>
        <v>74</v>
      </c>
    </row>
    <row r="9701" spans="1:2" x14ac:dyDescent="0.2">
      <c r="A9701" s="112">
        <f t="shared" si="221"/>
        <v>44399</v>
      </c>
      <c r="B9701" s="111">
        <f t="shared" si="222"/>
        <v>74</v>
      </c>
    </row>
    <row r="9702" spans="1:2" x14ac:dyDescent="0.2">
      <c r="A9702" s="112">
        <f t="shared" si="221"/>
        <v>44400</v>
      </c>
      <c r="B9702" s="111">
        <f t="shared" si="222"/>
        <v>74</v>
      </c>
    </row>
    <row r="9703" spans="1:2" x14ac:dyDescent="0.2">
      <c r="A9703" s="112">
        <f t="shared" si="221"/>
        <v>44401</v>
      </c>
      <c r="B9703" s="111">
        <f t="shared" si="222"/>
        <v>74</v>
      </c>
    </row>
    <row r="9704" spans="1:2" x14ac:dyDescent="0.2">
      <c r="A9704" s="112">
        <f t="shared" si="221"/>
        <v>44402</v>
      </c>
      <c r="B9704" s="111">
        <f t="shared" si="222"/>
        <v>75</v>
      </c>
    </row>
    <row r="9705" spans="1:2" x14ac:dyDescent="0.2">
      <c r="A9705" s="112">
        <f t="shared" si="221"/>
        <v>44403</v>
      </c>
      <c r="B9705" s="111">
        <f t="shared" si="222"/>
        <v>75</v>
      </c>
    </row>
    <row r="9706" spans="1:2" x14ac:dyDescent="0.2">
      <c r="A9706" s="112">
        <f t="shared" si="221"/>
        <v>44404</v>
      </c>
      <c r="B9706" s="111">
        <f t="shared" si="222"/>
        <v>75</v>
      </c>
    </row>
    <row r="9707" spans="1:2" x14ac:dyDescent="0.2">
      <c r="A9707" s="112">
        <f t="shared" si="221"/>
        <v>44405</v>
      </c>
      <c r="B9707" s="111">
        <f t="shared" si="222"/>
        <v>75</v>
      </c>
    </row>
    <row r="9708" spans="1:2" x14ac:dyDescent="0.2">
      <c r="A9708" s="112">
        <f t="shared" si="221"/>
        <v>44406</v>
      </c>
      <c r="B9708" s="111">
        <f t="shared" si="222"/>
        <v>75</v>
      </c>
    </row>
    <row r="9709" spans="1:2" x14ac:dyDescent="0.2">
      <c r="A9709" s="112">
        <f t="shared" si="221"/>
        <v>44407</v>
      </c>
      <c r="B9709" s="111">
        <f t="shared" si="222"/>
        <v>75</v>
      </c>
    </row>
    <row r="9710" spans="1:2" x14ac:dyDescent="0.2">
      <c r="A9710" s="112">
        <f t="shared" si="221"/>
        <v>44408</v>
      </c>
      <c r="B9710" s="111">
        <f t="shared" si="222"/>
        <v>75</v>
      </c>
    </row>
    <row r="9711" spans="1:2" x14ac:dyDescent="0.2">
      <c r="A9711" s="112">
        <f t="shared" si="221"/>
        <v>44409</v>
      </c>
      <c r="B9711" s="111">
        <f t="shared" si="222"/>
        <v>81</v>
      </c>
    </row>
    <row r="9712" spans="1:2" x14ac:dyDescent="0.2">
      <c r="A9712" s="112">
        <f t="shared" si="221"/>
        <v>44410</v>
      </c>
      <c r="B9712" s="111">
        <f t="shared" si="222"/>
        <v>81</v>
      </c>
    </row>
    <row r="9713" spans="1:2" x14ac:dyDescent="0.2">
      <c r="A9713" s="112">
        <f t="shared" si="221"/>
        <v>44411</v>
      </c>
      <c r="B9713" s="111">
        <f t="shared" si="222"/>
        <v>81</v>
      </c>
    </row>
    <row r="9714" spans="1:2" x14ac:dyDescent="0.2">
      <c r="A9714" s="112">
        <f t="shared" si="221"/>
        <v>44412</v>
      </c>
      <c r="B9714" s="111">
        <f t="shared" si="222"/>
        <v>81</v>
      </c>
    </row>
    <row r="9715" spans="1:2" x14ac:dyDescent="0.2">
      <c r="A9715" s="112">
        <f t="shared" si="221"/>
        <v>44413</v>
      </c>
      <c r="B9715" s="111">
        <f t="shared" si="222"/>
        <v>81</v>
      </c>
    </row>
    <row r="9716" spans="1:2" x14ac:dyDescent="0.2">
      <c r="A9716" s="112">
        <f t="shared" ref="A9716:A9779" si="223">A9715+1</f>
        <v>44414</v>
      </c>
      <c r="B9716" s="111">
        <f t="shared" si="222"/>
        <v>81</v>
      </c>
    </row>
    <row r="9717" spans="1:2" x14ac:dyDescent="0.2">
      <c r="A9717" s="112">
        <f t="shared" si="223"/>
        <v>44415</v>
      </c>
      <c r="B9717" s="111">
        <f t="shared" si="222"/>
        <v>81</v>
      </c>
    </row>
    <row r="9718" spans="1:2" x14ac:dyDescent="0.2">
      <c r="A9718" s="112">
        <f t="shared" si="223"/>
        <v>44416</v>
      </c>
      <c r="B9718" s="111">
        <f t="shared" si="222"/>
        <v>82</v>
      </c>
    </row>
    <row r="9719" spans="1:2" x14ac:dyDescent="0.2">
      <c r="A9719" s="112">
        <f t="shared" si="223"/>
        <v>44417</v>
      </c>
      <c r="B9719" s="111">
        <f t="shared" si="222"/>
        <v>82</v>
      </c>
    </row>
    <row r="9720" spans="1:2" x14ac:dyDescent="0.2">
      <c r="A9720" s="112">
        <f t="shared" si="223"/>
        <v>44418</v>
      </c>
      <c r="B9720" s="111">
        <f t="shared" si="222"/>
        <v>82</v>
      </c>
    </row>
    <row r="9721" spans="1:2" x14ac:dyDescent="0.2">
      <c r="A9721" s="112">
        <f t="shared" si="223"/>
        <v>44419</v>
      </c>
      <c r="B9721" s="111">
        <f t="shared" si="222"/>
        <v>82</v>
      </c>
    </row>
    <row r="9722" spans="1:2" x14ac:dyDescent="0.2">
      <c r="A9722" s="112">
        <f t="shared" si="223"/>
        <v>44420</v>
      </c>
      <c r="B9722" s="111">
        <f t="shared" si="222"/>
        <v>82</v>
      </c>
    </row>
    <row r="9723" spans="1:2" x14ac:dyDescent="0.2">
      <c r="A9723" s="112">
        <f t="shared" si="223"/>
        <v>44421</v>
      </c>
      <c r="B9723" s="111">
        <f t="shared" si="222"/>
        <v>82</v>
      </c>
    </row>
    <row r="9724" spans="1:2" x14ac:dyDescent="0.2">
      <c r="A9724" s="112">
        <f t="shared" si="223"/>
        <v>44422</v>
      </c>
      <c r="B9724" s="111">
        <f t="shared" si="222"/>
        <v>82</v>
      </c>
    </row>
    <row r="9725" spans="1:2" x14ac:dyDescent="0.2">
      <c r="A9725" s="112">
        <f t="shared" si="223"/>
        <v>44423</v>
      </c>
      <c r="B9725" s="111">
        <f t="shared" si="222"/>
        <v>83</v>
      </c>
    </row>
    <row r="9726" spans="1:2" x14ac:dyDescent="0.2">
      <c r="A9726" s="112">
        <f t="shared" si="223"/>
        <v>44424</v>
      </c>
      <c r="B9726" s="111">
        <f t="shared" si="222"/>
        <v>83</v>
      </c>
    </row>
    <row r="9727" spans="1:2" x14ac:dyDescent="0.2">
      <c r="A9727" s="112">
        <f t="shared" si="223"/>
        <v>44425</v>
      </c>
      <c r="B9727" s="111">
        <f t="shared" si="222"/>
        <v>83</v>
      </c>
    </row>
    <row r="9728" spans="1:2" x14ac:dyDescent="0.2">
      <c r="A9728" s="112">
        <f t="shared" si="223"/>
        <v>44426</v>
      </c>
      <c r="B9728" s="111">
        <f t="shared" si="222"/>
        <v>83</v>
      </c>
    </row>
    <row r="9729" spans="1:2" x14ac:dyDescent="0.2">
      <c r="A9729" s="112">
        <f t="shared" si="223"/>
        <v>44427</v>
      </c>
      <c r="B9729" s="111">
        <f t="shared" si="222"/>
        <v>83</v>
      </c>
    </row>
    <row r="9730" spans="1:2" x14ac:dyDescent="0.2">
      <c r="A9730" s="112">
        <f t="shared" si="223"/>
        <v>44428</v>
      </c>
      <c r="B9730" s="111">
        <f t="shared" si="222"/>
        <v>83</v>
      </c>
    </row>
    <row r="9731" spans="1:2" x14ac:dyDescent="0.2">
      <c r="A9731" s="112">
        <f t="shared" si="223"/>
        <v>44429</v>
      </c>
      <c r="B9731" s="111">
        <f t="shared" si="222"/>
        <v>83</v>
      </c>
    </row>
    <row r="9732" spans="1:2" x14ac:dyDescent="0.2">
      <c r="A9732" s="112">
        <f t="shared" si="223"/>
        <v>44430</v>
      </c>
      <c r="B9732" s="111">
        <f t="shared" si="222"/>
        <v>84</v>
      </c>
    </row>
    <row r="9733" spans="1:2" x14ac:dyDescent="0.2">
      <c r="A9733" s="112">
        <f t="shared" si="223"/>
        <v>44431</v>
      </c>
      <c r="B9733" s="111">
        <f t="shared" si="222"/>
        <v>84</v>
      </c>
    </row>
    <row r="9734" spans="1:2" x14ac:dyDescent="0.2">
      <c r="A9734" s="112">
        <f t="shared" si="223"/>
        <v>44432</v>
      </c>
      <c r="B9734" s="111">
        <f t="shared" si="222"/>
        <v>84</v>
      </c>
    </row>
    <row r="9735" spans="1:2" x14ac:dyDescent="0.2">
      <c r="A9735" s="112">
        <f t="shared" si="223"/>
        <v>44433</v>
      </c>
      <c r="B9735" s="111">
        <f t="shared" si="222"/>
        <v>84</v>
      </c>
    </row>
    <row r="9736" spans="1:2" x14ac:dyDescent="0.2">
      <c r="A9736" s="112">
        <f t="shared" si="223"/>
        <v>44434</v>
      </c>
      <c r="B9736" s="111">
        <f t="shared" si="222"/>
        <v>84</v>
      </c>
    </row>
    <row r="9737" spans="1:2" x14ac:dyDescent="0.2">
      <c r="A9737" s="112">
        <f t="shared" si="223"/>
        <v>44435</v>
      </c>
      <c r="B9737" s="111">
        <f t="shared" si="222"/>
        <v>84</v>
      </c>
    </row>
    <row r="9738" spans="1:2" x14ac:dyDescent="0.2">
      <c r="A9738" s="112">
        <f t="shared" si="223"/>
        <v>44436</v>
      </c>
      <c r="B9738" s="111">
        <f t="shared" si="222"/>
        <v>84</v>
      </c>
    </row>
    <row r="9739" spans="1:2" x14ac:dyDescent="0.2">
      <c r="A9739" s="112">
        <f t="shared" si="223"/>
        <v>44437</v>
      </c>
      <c r="B9739" s="111">
        <f t="shared" si="222"/>
        <v>91</v>
      </c>
    </row>
    <row r="9740" spans="1:2" x14ac:dyDescent="0.2">
      <c r="A9740" s="112">
        <f t="shared" si="223"/>
        <v>44438</v>
      </c>
      <c r="B9740" s="111">
        <f t="shared" si="222"/>
        <v>91</v>
      </c>
    </row>
    <row r="9741" spans="1:2" x14ac:dyDescent="0.2">
      <c r="A9741" s="112">
        <f t="shared" si="223"/>
        <v>44439</v>
      </c>
      <c r="B9741" s="111">
        <f t="shared" si="222"/>
        <v>91</v>
      </c>
    </row>
    <row r="9742" spans="1:2" x14ac:dyDescent="0.2">
      <c r="A9742" s="112">
        <f t="shared" si="223"/>
        <v>44440</v>
      </c>
      <c r="B9742" s="111">
        <f t="shared" si="222"/>
        <v>91</v>
      </c>
    </row>
    <row r="9743" spans="1:2" x14ac:dyDescent="0.2">
      <c r="A9743" s="112">
        <f t="shared" si="223"/>
        <v>44441</v>
      </c>
      <c r="B9743" s="111">
        <f t="shared" si="222"/>
        <v>91</v>
      </c>
    </row>
    <row r="9744" spans="1:2" x14ac:dyDescent="0.2">
      <c r="A9744" s="112">
        <f t="shared" si="223"/>
        <v>44442</v>
      </c>
      <c r="B9744" s="111">
        <f t="shared" si="222"/>
        <v>91</v>
      </c>
    </row>
    <row r="9745" spans="1:2" x14ac:dyDescent="0.2">
      <c r="A9745" s="112">
        <f t="shared" si="223"/>
        <v>44443</v>
      </c>
      <c r="B9745" s="111">
        <f t="shared" si="222"/>
        <v>91</v>
      </c>
    </row>
    <row r="9746" spans="1:2" x14ac:dyDescent="0.2">
      <c r="A9746" s="112">
        <f t="shared" si="223"/>
        <v>44444</v>
      </c>
      <c r="B9746" s="111">
        <f t="shared" ref="B9746:B9809" si="224">VLOOKUP(WEEKNUM(A9746),$D$3:$E$58,2)</f>
        <v>92</v>
      </c>
    </row>
    <row r="9747" spans="1:2" x14ac:dyDescent="0.2">
      <c r="A9747" s="112">
        <f t="shared" si="223"/>
        <v>44445</v>
      </c>
      <c r="B9747" s="111">
        <f t="shared" si="224"/>
        <v>92</v>
      </c>
    </row>
    <row r="9748" spans="1:2" x14ac:dyDescent="0.2">
      <c r="A9748" s="112">
        <f t="shared" si="223"/>
        <v>44446</v>
      </c>
      <c r="B9748" s="111">
        <f t="shared" si="224"/>
        <v>92</v>
      </c>
    </row>
    <row r="9749" spans="1:2" x14ac:dyDescent="0.2">
      <c r="A9749" s="112">
        <f t="shared" si="223"/>
        <v>44447</v>
      </c>
      <c r="B9749" s="111">
        <f t="shared" si="224"/>
        <v>92</v>
      </c>
    </row>
    <row r="9750" spans="1:2" x14ac:dyDescent="0.2">
      <c r="A9750" s="112">
        <f t="shared" si="223"/>
        <v>44448</v>
      </c>
      <c r="B9750" s="111">
        <f t="shared" si="224"/>
        <v>92</v>
      </c>
    </row>
    <row r="9751" spans="1:2" x14ac:dyDescent="0.2">
      <c r="A9751" s="112">
        <f t="shared" si="223"/>
        <v>44449</v>
      </c>
      <c r="B9751" s="111">
        <f t="shared" si="224"/>
        <v>92</v>
      </c>
    </row>
    <row r="9752" spans="1:2" x14ac:dyDescent="0.2">
      <c r="A9752" s="112">
        <f t="shared" si="223"/>
        <v>44450</v>
      </c>
      <c r="B9752" s="111">
        <f t="shared" si="224"/>
        <v>92</v>
      </c>
    </row>
    <row r="9753" spans="1:2" x14ac:dyDescent="0.2">
      <c r="A9753" s="112">
        <f t="shared" si="223"/>
        <v>44451</v>
      </c>
      <c r="B9753" s="111">
        <f t="shared" si="224"/>
        <v>93</v>
      </c>
    </row>
    <row r="9754" spans="1:2" x14ac:dyDescent="0.2">
      <c r="A9754" s="112">
        <f t="shared" si="223"/>
        <v>44452</v>
      </c>
      <c r="B9754" s="111">
        <f t="shared" si="224"/>
        <v>93</v>
      </c>
    </row>
    <row r="9755" spans="1:2" x14ac:dyDescent="0.2">
      <c r="A9755" s="112">
        <f t="shared" si="223"/>
        <v>44453</v>
      </c>
      <c r="B9755" s="111">
        <f t="shared" si="224"/>
        <v>93</v>
      </c>
    </row>
    <row r="9756" spans="1:2" x14ac:dyDescent="0.2">
      <c r="A9756" s="112">
        <f t="shared" si="223"/>
        <v>44454</v>
      </c>
      <c r="B9756" s="111">
        <f t="shared" si="224"/>
        <v>93</v>
      </c>
    </row>
    <row r="9757" spans="1:2" x14ac:dyDescent="0.2">
      <c r="A9757" s="112">
        <f t="shared" si="223"/>
        <v>44455</v>
      </c>
      <c r="B9757" s="111">
        <f t="shared" si="224"/>
        <v>93</v>
      </c>
    </row>
    <row r="9758" spans="1:2" x14ac:dyDescent="0.2">
      <c r="A9758" s="112">
        <f t="shared" si="223"/>
        <v>44456</v>
      </c>
      <c r="B9758" s="111">
        <f t="shared" si="224"/>
        <v>93</v>
      </c>
    </row>
    <row r="9759" spans="1:2" x14ac:dyDescent="0.2">
      <c r="A9759" s="112">
        <f t="shared" si="223"/>
        <v>44457</v>
      </c>
      <c r="B9759" s="111">
        <f t="shared" si="224"/>
        <v>93</v>
      </c>
    </row>
    <row r="9760" spans="1:2" x14ac:dyDescent="0.2">
      <c r="A9760" s="112">
        <f t="shared" si="223"/>
        <v>44458</v>
      </c>
      <c r="B9760" s="111">
        <f t="shared" si="224"/>
        <v>94</v>
      </c>
    </row>
    <row r="9761" spans="1:2" x14ac:dyDescent="0.2">
      <c r="A9761" s="112">
        <f t="shared" si="223"/>
        <v>44459</v>
      </c>
      <c r="B9761" s="111">
        <f t="shared" si="224"/>
        <v>94</v>
      </c>
    </row>
    <row r="9762" spans="1:2" x14ac:dyDescent="0.2">
      <c r="A9762" s="112">
        <f t="shared" si="223"/>
        <v>44460</v>
      </c>
      <c r="B9762" s="111">
        <f t="shared" si="224"/>
        <v>94</v>
      </c>
    </row>
    <row r="9763" spans="1:2" x14ac:dyDescent="0.2">
      <c r="A9763" s="112">
        <f t="shared" si="223"/>
        <v>44461</v>
      </c>
      <c r="B9763" s="111">
        <f t="shared" si="224"/>
        <v>94</v>
      </c>
    </row>
    <row r="9764" spans="1:2" x14ac:dyDescent="0.2">
      <c r="A9764" s="112">
        <f t="shared" si="223"/>
        <v>44462</v>
      </c>
      <c r="B9764" s="111">
        <f t="shared" si="224"/>
        <v>94</v>
      </c>
    </row>
    <row r="9765" spans="1:2" x14ac:dyDescent="0.2">
      <c r="A9765" s="112">
        <f t="shared" si="223"/>
        <v>44463</v>
      </c>
      <c r="B9765" s="111">
        <f t="shared" si="224"/>
        <v>94</v>
      </c>
    </row>
    <row r="9766" spans="1:2" x14ac:dyDescent="0.2">
      <c r="A9766" s="112">
        <f t="shared" si="223"/>
        <v>44464</v>
      </c>
      <c r="B9766" s="111">
        <f t="shared" si="224"/>
        <v>94</v>
      </c>
    </row>
    <row r="9767" spans="1:2" x14ac:dyDescent="0.2">
      <c r="A9767" s="112">
        <f t="shared" si="223"/>
        <v>44465</v>
      </c>
      <c r="B9767" s="111">
        <f t="shared" si="224"/>
        <v>101</v>
      </c>
    </row>
    <row r="9768" spans="1:2" x14ac:dyDescent="0.2">
      <c r="A9768" s="112">
        <f t="shared" si="223"/>
        <v>44466</v>
      </c>
      <c r="B9768" s="111">
        <f t="shared" si="224"/>
        <v>101</v>
      </c>
    </row>
    <row r="9769" spans="1:2" x14ac:dyDescent="0.2">
      <c r="A9769" s="112">
        <f t="shared" si="223"/>
        <v>44467</v>
      </c>
      <c r="B9769" s="111">
        <f t="shared" si="224"/>
        <v>101</v>
      </c>
    </row>
    <row r="9770" spans="1:2" x14ac:dyDescent="0.2">
      <c r="A9770" s="112">
        <f t="shared" si="223"/>
        <v>44468</v>
      </c>
      <c r="B9770" s="111">
        <f t="shared" si="224"/>
        <v>101</v>
      </c>
    </row>
    <row r="9771" spans="1:2" x14ac:dyDescent="0.2">
      <c r="A9771" s="112">
        <f t="shared" si="223"/>
        <v>44469</v>
      </c>
      <c r="B9771" s="111">
        <f t="shared" si="224"/>
        <v>101</v>
      </c>
    </row>
    <row r="9772" spans="1:2" x14ac:dyDescent="0.2">
      <c r="A9772" s="112">
        <f t="shared" si="223"/>
        <v>44470</v>
      </c>
      <c r="B9772" s="111">
        <f t="shared" si="224"/>
        <v>101</v>
      </c>
    </row>
    <row r="9773" spans="1:2" x14ac:dyDescent="0.2">
      <c r="A9773" s="112">
        <f t="shared" si="223"/>
        <v>44471</v>
      </c>
      <c r="B9773" s="111">
        <f t="shared" si="224"/>
        <v>101</v>
      </c>
    </row>
    <row r="9774" spans="1:2" x14ac:dyDescent="0.2">
      <c r="A9774" s="112">
        <f t="shared" si="223"/>
        <v>44472</v>
      </c>
      <c r="B9774" s="111">
        <f t="shared" si="224"/>
        <v>102</v>
      </c>
    </row>
    <row r="9775" spans="1:2" x14ac:dyDescent="0.2">
      <c r="A9775" s="112">
        <f t="shared" si="223"/>
        <v>44473</v>
      </c>
      <c r="B9775" s="111">
        <f t="shared" si="224"/>
        <v>102</v>
      </c>
    </row>
    <row r="9776" spans="1:2" x14ac:dyDescent="0.2">
      <c r="A9776" s="112">
        <f t="shared" si="223"/>
        <v>44474</v>
      </c>
      <c r="B9776" s="111">
        <f t="shared" si="224"/>
        <v>102</v>
      </c>
    </row>
    <row r="9777" spans="1:2" x14ac:dyDescent="0.2">
      <c r="A9777" s="112">
        <f t="shared" si="223"/>
        <v>44475</v>
      </c>
      <c r="B9777" s="111">
        <f t="shared" si="224"/>
        <v>102</v>
      </c>
    </row>
    <row r="9778" spans="1:2" x14ac:dyDescent="0.2">
      <c r="A9778" s="112">
        <f t="shared" si="223"/>
        <v>44476</v>
      </c>
      <c r="B9778" s="111">
        <f t="shared" si="224"/>
        <v>102</v>
      </c>
    </row>
    <row r="9779" spans="1:2" x14ac:dyDescent="0.2">
      <c r="A9779" s="112">
        <f t="shared" si="223"/>
        <v>44477</v>
      </c>
      <c r="B9779" s="111">
        <f t="shared" si="224"/>
        <v>102</v>
      </c>
    </row>
    <row r="9780" spans="1:2" x14ac:dyDescent="0.2">
      <c r="A9780" s="112">
        <f t="shared" ref="A9780:A9843" si="225">A9779+1</f>
        <v>44478</v>
      </c>
      <c r="B9780" s="111">
        <f t="shared" si="224"/>
        <v>102</v>
      </c>
    </row>
    <row r="9781" spans="1:2" x14ac:dyDescent="0.2">
      <c r="A9781" s="112">
        <f t="shared" si="225"/>
        <v>44479</v>
      </c>
      <c r="B9781" s="111">
        <f t="shared" si="224"/>
        <v>103</v>
      </c>
    </row>
    <row r="9782" spans="1:2" x14ac:dyDescent="0.2">
      <c r="A9782" s="112">
        <f t="shared" si="225"/>
        <v>44480</v>
      </c>
      <c r="B9782" s="111">
        <f t="shared" si="224"/>
        <v>103</v>
      </c>
    </row>
    <row r="9783" spans="1:2" x14ac:dyDescent="0.2">
      <c r="A9783" s="112">
        <f t="shared" si="225"/>
        <v>44481</v>
      </c>
      <c r="B9783" s="111">
        <f t="shared" si="224"/>
        <v>103</v>
      </c>
    </row>
    <row r="9784" spans="1:2" x14ac:dyDescent="0.2">
      <c r="A9784" s="112">
        <f t="shared" si="225"/>
        <v>44482</v>
      </c>
      <c r="B9784" s="111">
        <f t="shared" si="224"/>
        <v>103</v>
      </c>
    </row>
    <row r="9785" spans="1:2" x14ac:dyDescent="0.2">
      <c r="A9785" s="112">
        <f t="shared" si="225"/>
        <v>44483</v>
      </c>
      <c r="B9785" s="111">
        <f t="shared" si="224"/>
        <v>103</v>
      </c>
    </row>
    <row r="9786" spans="1:2" x14ac:dyDescent="0.2">
      <c r="A9786" s="112">
        <f t="shared" si="225"/>
        <v>44484</v>
      </c>
      <c r="B9786" s="111">
        <f t="shared" si="224"/>
        <v>103</v>
      </c>
    </row>
    <row r="9787" spans="1:2" x14ac:dyDescent="0.2">
      <c r="A9787" s="112">
        <f t="shared" si="225"/>
        <v>44485</v>
      </c>
      <c r="B9787" s="111">
        <f t="shared" si="224"/>
        <v>103</v>
      </c>
    </row>
    <row r="9788" spans="1:2" x14ac:dyDescent="0.2">
      <c r="A9788" s="112">
        <f t="shared" si="225"/>
        <v>44486</v>
      </c>
      <c r="B9788" s="111">
        <f t="shared" si="224"/>
        <v>104</v>
      </c>
    </row>
    <row r="9789" spans="1:2" x14ac:dyDescent="0.2">
      <c r="A9789" s="112">
        <f t="shared" si="225"/>
        <v>44487</v>
      </c>
      <c r="B9789" s="111">
        <f t="shared" si="224"/>
        <v>104</v>
      </c>
    </row>
    <row r="9790" spans="1:2" x14ac:dyDescent="0.2">
      <c r="A9790" s="112">
        <f t="shared" si="225"/>
        <v>44488</v>
      </c>
      <c r="B9790" s="111">
        <f t="shared" si="224"/>
        <v>104</v>
      </c>
    </row>
    <row r="9791" spans="1:2" x14ac:dyDescent="0.2">
      <c r="A9791" s="112">
        <f t="shared" si="225"/>
        <v>44489</v>
      </c>
      <c r="B9791" s="111">
        <f t="shared" si="224"/>
        <v>104</v>
      </c>
    </row>
    <row r="9792" spans="1:2" x14ac:dyDescent="0.2">
      <c r="A9792" s="112">
        <f t="shared" si="225"/>
        <v>44490</v>
      </c>
      <c r="B9792" s="111">
        <f t="shared" si="224"/>
        <v>104</v>
      </c>
    </row>
    <row r="9793" spans="1:2" x14ac:dyDescent="0.2">
      <c r="A9793" s="112">
        <f t="shared" si="225"/>
        <v>44491</v>
      </c>
      <c r="B9793" s="111">
        <f t="shared" si="224"/>
        <v>104</v>
      </c>
    </row>
    <row r="9794" spans="1:2" x14ac:dyDescent="0.2">
      <c r="A9794" s="112">
        <f t="shared" si="225"/>
        <v>44492</v>
      </c>
      <c r="B9794" s="111">
        <f t="shared" si="224"/>
        <v>104</v>
      </c>
    </row>
    <row r="9795" spans="1:2" x14ac:dyDescent="0.2">
      <c r="A9795" s="112">
        <f t="shared" si="225"/>
        <v>44493</v>
      </c>
      <c r="B9795" s="111">
        <f t="shared" si="224"/>
        <v>105</v>
      </c>
    </row>
    <row r="9796" spans="1:2" x14ac:dyDescent="0.2">
      <c r="A9796" s="112">
        <f t="shared" si="225"/>
        <v>44494</v>
      </c>
      <c r="B9796" s="111">
        <f t="shared" si="224"/>
        <v>105</v>
      </c>
    </row>
    <row r="9797" spans="1:2" x14ac:dyDescent="0.2">
      <c r="A9797" s="112">
        <f t="shared" si="225"/>
        <v>44495</v>
      </c>
      <c r="B9797" s="111">
        <f t="shared" si="224"/>
        <v>105</v>
      </c>
    </row>
    <row r="9798" spans="1:2" x14ac:dyDescent="0.2">
      <c r="A9798" s="112">
        <f t="shared" si="225"/>
        <v>44496</v>
      </c>
      <c r="B9798" s="111">
        <f t="shared" si="224"/>
        <v>105</v>
      </c>
    </row>
    <row r="9799" spans="1:2" x14ac:dyDescent="0.2">
      <c r="A9799" s="112">
        <f t="shared" si="225"/>
        <v>44497</v>
      </c>
      <c r="B9799" s="111">
        <f t="shared" si="224"/>
        <v>105</v>
      </c>
    </row>
    <row r="9800" spans="1:2" x14ac:dyDescent="0.2">
      <c r="A9800" s="112">
        <f t="shared" si="225"/>
        <v>44498</v>
      </c>
      <c r="B9800" s="111">
        <f t="shared" si="224"/>
        <v>105</v>
      </c>
    </row>
    <row r="9801" spans="1:2" x14ac:dyDescent="0.2">
      <c r="A9801" s="112">
        <f t="shared" si="225"/>
        <v>44499</v>
      </c>
      <c r="B9801" s="111">
        <f t="shared" si="224"/>
        <v>105</v>
      </c>
    </row>
    <row r="9802" spans="1:2" x14ac:dyDescent="0.2">
      <c r="A9802" s="112">
        <f t="shared" si="225"/>
        <v>44500</v>
      </c>
      <c r="B9802" s="111">
        <f t="shared" si="224"/>
        <v>111</v>
      </c>
    </row>
    <row r="9803" spans="1:2" x14ac:dyDescent="0.2">
      <c r="A9803" s="112">
        <f t="shared" si="225"/>
        <v>44501</v>
      </c>
      <c r="B9803" s="111">
        <f t="shared" si="224"/>
        <v>111</v>
      </c>
    </row>
    <row r="9804" spans="1:2" x14ac:dyDescent="0.2">
      <c r="A9804" s="112">
        <f t="shared" si="225"/>
        <v>44502</v>
      </c>
      <c r="B9804" s="111">
        <f t="shared" si="224"/>
        <v>111</v>
      </c>
    </row>
    <row r="9805" spans="1:2" x14ac:dyDescent="0.2">
      <c r="A9805" s="112">
        <f t="shared" si="225"/>
        <v>44503</v>
      </c>
      <c r="B9805" s="111">
        <f t="shared" si="224"/>
        <v>111</v>
      </c>
    </row>
    <row r="9806" spans="1:2" x14ac:dyDescent="0.2">
      <c r="A9806" s="112">
        <f t="shared" si="225"/>
        <v>44504</v>
      </c>
      <c r="B9806" s="111">
        <f t="shared" si="224"/>
        <v>111</v>
      </c>
    </row>
    <row r="9807" spans="1:2" x14ac:dyDescent="0.2">
      <c r="A9807" s="112">
        <f t="shared" si="225"/>
        <v>44505</v>
      </c>
      <c r="B9807" s="111">
        <f t="shared" si="224"/>
        <v>111</v>
      </c>
    </row>
    <row r="9808" spans="1:2" x14ac:dyDescent="0.2">
      <c r="A9808" s="112">
        <f t="shared" si="225"/>
        <v>44506</v>
      </c>
      <c r="B9808" s="111">
        <f t="shared" si="224"/>
        <v>111</v>
      </c>
    </row>
    <row r="9809" spans="1:2" x14ac:dyDescent="0.2">
      <c r="A9809" s="112">
        <f t="shared" si="225"/>
        <v>44507</v>
      </c>
      <c r="B9809" s="111">
        <f t="shared" si="224"/>
        <v>112</v>
      </c>
    </row>
    <row r="9810" spans="1:2" x14ac:dyDescent="0.2">
      <c r="A9810" s="112">
        <f t="shared" si="225"/>
        <v>44508</v>
      </c>
      <c r="B9810" s="111">
        <f t="shared" ref="B9810:B9869" si="226">VLOOKUP(WEEKNUM(A9810),$D$3:$E$58,2)</f>
        <v>112</v>
      </c>
    </row>
    <row r="9811" spans="1:2" x14ac:dyDescent="0.2">
      <c r="A9811" s="112">
        <f t="shared" si="225"/>
        <v>44509</v>
      </c>
      <c r="B9811" s="111">
        <f t="shared" si="226"/>
        <v>112</v>
      </c>
    </row>
    <row r="9812" spans="1:2" x14ac:dyDescent="0.2">
      <c r="A9812" s="112">
        <f t="shared" si="225"/>
        <v>44510</v>
      </c>
      <c r="B9812" s="111">
        <f t="shared" si="226"/>
        <v>112</v>
      </c>
    </row>
    <row r="9813" spans="1:2" x14ac:dyDescent="0.2">
      <c r="A9813" s="112">
        <f t="shared" si="225"/>
        <v>44511</v>
      </c>
      <c r="B9813" s="111">
        <f t="shared" si="226"/>
        <v>112</v>
      </c>
    </row>
    <row r="9814" spans="1:2" x14ac:dyDescent="0.2">
      <c r="A9814" s="112">
        <f t="shared" si="225"/>
        <v>44512</v>
      </c>
      <c r="B9814" s="111">
        <f t="shared" si="226"/>
        <v>112</v>
      </c>
    </row>
    <row r="9815" spans="1:2" x14ac:dyDescent="0.2">
      <c r="A9815" s="112">
        <f t="shared" si="225"/>
        <v>44513</v>
      </c>
      <c r="B9815" s="111">
        <f t="shared" si="226"/>
        <v>112</v>
      </c>
    </row>
    <row r="9816" spans="1:2" x14ac:dyDescent="0.2">
      <c r="A9816" s="112">
        <f t="shared" si="225"/>
        <v>44514</v>
      </c>
      <c r="B9816" s="111">
        <f t="shared" si="226"/>
        <v>113</v>
      </c>
    </row>
    <row r="9817" spans="1:2" x14ac:dyDescent="0.2">
      <c r="A9817" s="112">
        <f t="shared" si="225"/>
        <v>44515</v>
      </c>
      <c r="B9817" s="111">
        <f t="shared" si="226"/>
        <v>113</v>
      </c>
    </row>
    <row r="9818" spans="1:2" x14ac:dyDescent="0.2">
      <c r="A9818" s="112">
        <f t="shared" si="225"/>
        <v>44516</v>
      </c>
      <c r="B9818" s="111">
        <f t="shared" si="226"/>
        <v>113</v>
      </c>
    </row>
    <row r="9819" spans="1:2" x14ac:dyDescent="0.2">
      <c r="A9819" s="112">
        <f t="shared" si="225"/>
        <v>44517</v>
      </c>
      <c r="B9819" s="111">
        <f t="shared" si="226"/>
        <v>113</v>
      </c>
    </row>
    <row r="9820" spans="1:2" x14ac:dyDescent="0.2">
      <c r="A9820" s="112">
        <f t="shared" si="225"/>
        <v>44518</v>
      </c>
      <c r="B9820" s="111">
        <f t="shared" si="226"/>
        <v>113</v>
      </c>
    </row>
    <row r="9821" spans="1:2" x14ac:dyDescent="0.2">
      <c r="A9821" s="112">
        <f t="shared" si="225"/>
        <v>44519</v>
      </c>
      <c r="B9821" s="111">
        <f t="shared" si="226"/>
        <v>113</v>
      </c>
    </row>
    <row r="9822" spans="1:2" x14ac:dyDescent="0.2">
      <c r="A9822" s="112">
        <f t="shared" si="225"/>
        <v>44520</v>
      </c>
      <c r="B9822" s="111">
        <f t="shared" si="226"/>
        <v>113</v>
      </c>
    </row>
    <row r="9823" spans="1:2" x14ac:dyDescent="0.2">
      <c r="A9823" s="112">
        <f t="shared" si="225"/>
        <v>44521</v>
      </c>
      <c r="B9823" s="111">
        <f t="shared" si="226"/>
        <v>114</v>
      </c>
    </row>
    <row r="9824" spans="1:2" x14ac:dyDescent="0.2">
      <c r="A9824" s="112">
        <f t="shared" si="225"/>
        <v>44522</v>
      </c>
      <c r="B9824" s="111">
        <f t="shared" si="226"/>
        <v>114</v>
      </c>
    </row>
    <row r="9825" spans="1:2" x14ac:dyDescent="0.2">
      <c r="A9825" s="112">
        <f t="shared" si="225"/>
        <v>44523</v>
      </c>
      <c r="B9825" s="111">
        <f t="shared" si="226"/>
        <v>114</v>
      </c>
    </row>
    <row r="9826" spans="1:2" x14ac:dyDescent="0.2">
      <c r="A9826" s="112">
        <f t="shared" si="225"/>
        <v>44524</v>
      </c>
      <c r="B9826" s="111">
        <f t="shared" si="226"/>
        <v>114</v>
      </c>
    </row>
    <row r="9827" spans="1:2" x14ac:dyDescent="0.2">
      <c r="A9827" s="112">
        <f t="shared" si="225"/>
        <v>44525</v>
      </c>
      <c r="B9827" s="111">
        <f t="shared" si="226"/>
        <v>114</v>
      </c>
    </row>
    <row r="9828" spans="1:2" x14ac:dyDescent="0.2">
      <c r="A9828" s="112">
        <f t="shared" si="225"/>
        <v>44526</v>
      </c>
      <c r="B9828" s="111">
        <f t="shared" si="226"/>
        <v>114</v>
      </c>
    </row>
    <row r="9829" spans="1:2" x14ac:dyDescent="0.2">
      <c r="A9829" s="112">
        <f t="shared" si="225"/>
        <v>44527</v>
      </c>
      <c r="B9829" s="111">
        <f t="shared" si="226"/>
        <v>114</v>
      </c>
    </row>
    <row r="9830" spans="1:2" x14ac:dyDescent="0.2">
      <c r="A9830" s="112">
        <f t="shared" si="225"/>
        <v>44528</v>
      </c>
      <c r="B9830" s="111">
        <f t="shared" si="226"/>
        <v>115</v>
      </c>
    </row>
    <row r="9831" spans="1:2" x14ac:dyDescent="0.2">
      <c r="A9831" s="112">
        <f t="shared" si="225"/>
        <v>44529</v>
      </c>
      <c r="B9831" s="111">
        <f t="shared" si="226"/>
        <v>115</v>
      </c>
    </row>
    <row r="9832" spans="1:2" x14ac:dyDescent="0.2">
      <c r="A9832" s="112">
        <f t="shared" si="225"/>
        <v>44530</v>
      </c>
      <c r="B9832" s="111">
        <f t="shared" si="226"/>
        <v>115</v>
      </c>
    </row>
    <row r="9833" spans="1:2" x14ac:dyDescent="0.2">
      <c r="A9833" s="112">
        <f t="shared" si="225"/>
        <v>44531</v>
      </c>
      <c r="B9833" s="111">
        <f t="shared" si="226"/>
        <v>115</v>
      </c>
    </row>
    <row r="9834" spans="1:2" x14ac:dyDescent="0.2">
      <c r="A9834" s="112">
        <f t="shared" si="225"/>
        <v>44532</v>
      </c>
      <c r="B9834" s="111">
        <f t="shared" si="226"/>
        <v>115</v>
      </c>
    </row>
    <row r="9835" spans="1:2" x14ac:dyDescent="0.2">
      <c r="A9835" s="112">
        <f t="shared" si="225"/>
        <v>44533</v>
      </c>
      <c r="B9835" s="111">
        <f t="shared" si="226"/>
        <v>115</v>
      </c>
    </row>
    <row r="9836" spans="1:2" x14ac:dyDescent="0.2">
      <c r="A9836" s="112">
        <f t="shared" si="225"/>
        <v>44534</v>
      </c>
      <c r="B9836" s="111">
        <f t="shared" si="226"/>
        <v>115</v>
      </c>
    </row>
    <row r="9837" spans="1:2" x14ac:dyDescent="0.2">
      <c r="A9837" s="112">
        <f t="shared" si="225"/>
        <v>44535</v>
      </c>
      <c r="B9837" s="111">
        <f t="shared" si="226"/>
        <v>121</v>
      </c>
    </row>
    <row r="9838" spans="1:2" x14ac:dyDescent="0.2">
      <c r="A9838" s="112">
        <f t="shared" si="225"/>
        <v>44536</v>
      </c>
      <c r="B9838" s="111">
        <f t="shared" si="226"/>
        <v>121</v>
      </c>
    </row>
    <row r="9839" spans="1:2" x14ac:dyDescent="0.2">
      <c r="A9839" s="112">
        <f t="shared" si="225"/>
        <v>44537</v>
      </c>
      <c r="B9839" s="111">
        <f t="shared" si="226"/>
        <v>121</v>
      </c>
    </row>
    <row r="9840" spans="1:2" x14ac:dyDescent="0.2">
      <c r="A9840" s="112">
        <f t="shared" si="225"/>
        <v>44538</v>
      </c>
      <c r="B9840" s="111">
        <f t="shared" si="226"/>
        <v>121</v>
      </c>
    </row>
    <row r="9841" spans="1:2" x14ac:dyDescent="0.2">
      <c r="A9841" s="112">
        <f t="shared" si="225"/>
        <v>44539</v>
      </c>
      <c r="B9841" s="111">
        <f t="shared" si="226"/>
        <v>121</v>
      </c>
    </row>
    <row r="9842" spans="1:2" x14ac:dyDescent="0.2">
      <c r="A9842" s="112">
        <f t="shared" si="225"/>
        <v>44540</v>
      </c>
      <c r="B9842" s="111">
        <f t="shared" si="226"/>
        <v>121</v>
      </c>
    </row>
    <row r="9843" spans="1:2" x14ac:dyDescent="0.2">
      <c r="A9843" s="112">
        <f t="shared" si="225"/>
        <v>44541</v>
      </c>
      <c r="B9843" s="111">
        <f t="shared" si="226"/>
        <v>121</v>
      </c>
    </row>
    <row r="9844" spans="1:2" x14ac:dyDescent="0.2">
      <c r="A9844" s="112">
        <f t="shared" ref="A9844:A9907" si="227">A9843+1</f>
        <v>44542</v>
      </c>
      <c r="B9844" s="111">
        <f t="shared" si="226"/>
        <v>122</v>
      </c>
    </row>
    <row r="9845" spans="1:2" x14ac:dyDescent="0.2">
      <c r="A9845" s="112">
        <f t="shared" si="227"/>
        <v>44543</v>
      </c>
      <c r="B9845" s="111">
        <f t="shared" si="226"/>
        <v>122</v>
      </c>
    </row>
    <row r="9846" spans="1:2" x14ac:dyDescent="0.2">
      <c r="A9846" s="112">
        <f t="shared" si="227"/>
        <v>44544</v>
      </c>
      <c r="B9846" s="111">
        <f t="shared" si="226"/>
        <v>122</v>
      </c>
    </row>
    <row r="9847" spans="1:2" x14ac:dyDescent="0.2">
      <c r="A9847" s="112">
        <f t="shared" si="227"/>
        <v>44545</v>
      </c>
      <c r="B9847" s="111">
        <f t="shared" si="226"/>
        <v>122</v>
      </c>
    </row>
    <row r="9848" spans="1:2" x14ac:dyDescent="0.2">
      <c r="A9848" s="112">
        <f t="shared" si="227"/>
        <v>44546</v>
      </c>
      <c r="B9848" s="111">
        <f t="shared" si="226"/>
        <v>122</v>
      </c>
    </row>
    <row r="9849" spans="1:2" x14ac:dyDescent="0.2">
      <c r="A9849" s="112">
        <f t="shared" si="227"/>
        <v>44547</v>
      </c>
      <c r="B9849" s="111">
        <f t="shared" si="226"/>
        <v>122</v>
      </c>
    </row>
    <row r="9850" spans="1:2" x14ac:dyDescent="0.2">
      <c r="A9850" s="112">
        <f t="shared" si="227"/>
        <v>44548</v>
      </c>
      <c r="B9850" s="111">
        <f t="shared" si="226"/>
        <v>122</v>
      </c>
    </row>
    <row r="9851" spans="1:2" x14ac:dyDescent="0.2">
      <c r="A9851" s="112">
        <f t="shared" si="227"/>
        <v>44549</v>
      </c>
      <c r="B9851" s="111">
        <f t="shared" si="226"/>
        <v>123</v>
      </c>
    </row>
    <row r="9852" spans="1:2" x14ac:dyDescent="0.2">
      <c r="A9852" s="112">
        <f t="shared" si="227"/>
        <v>44550</v>
      </c>
      <c r="B9852" s="111">
        <f t="shared" si="226"/>
        <v>123</v>
      </c>
    </row>
    <row r="9853" spans="1:2" x14ac:dyDescent="0.2">
      <c r="A9853" s="112">
        <f t="shared" si="227"/>
        <v>44551</v>
      </c>
      <c r="B9853" s="111">
        <f t="shared" si="226"/>
        <v>123</v>
      </c>
    </row>
    <row r="9854" spans="1:2" x14ac:dyDescent="0.2">
      <c r="A9854" s="112">
        <f t="shared" si="227"/>
        <v>44552</v>
      </c>
      <c r="B9854" s="111">
        <f t="shared" si="226"/>
        <v>123</v>
      </c>
    </row>
    <row r="9855" spans="1:2" x14ac:dyDescent="0.2">
      <c r="A9855" s="112">
        <f t="shared" si="227"/>
        <v>44553</v>
      </c>
      <c r="B9855" s="111">
        <f t="shared" si="226"/>
        <v>123</v>
      </c>
    </row>
    <row r="9856" spans="1:2" x14ac:dyDescent="0.2">
      <c r="A9856" s="112">
        <f t="shared" si="227"/>
        <v>44554</v>
      </c>
      <c r="B9856" s="111">
        <f t="shared" si="226"/>
        <v>123</v>
      </c>
    </row>
    <row r="9857" spans="1:2" x14ac:dyDescent="0.2">
      <c r="A9857" s="112">
        <f t="shared" si="227"/>
        <v>44555</v>
      </c>
      <c r="B9857" s="111">
        <f t="shared" si="226"/>
        <v>123</v>
      </c>
    </row>
    <row r="9858" spans="1:2" x14ac:dyDescent="0.2">
      <c r="A9858" s="112">
        <f t="shared" si="227"/>
        <v>44556</v>
      </c>
      <c r="B9858" s="111">
        <f t="shared" si="226"/>
        <v>124</v>
      </c>
    </row>
    <row r="9859" spans="1:2" x14ac:dyDescent="0.2">
      <c r="A9859" s="112">
        <f t="shared" si="227"/>
        <v>44557</v>
      </c>
      <c r="B9859" s="111">
        <f t="shared" si="226"/>
        <v>124</v>
      </c>
    </row>
    <row r="9860" spans="1:2" x14ac:dyDescent="0.2">
      <c r="A9860" s="112">
        <f t="shared" si="227"/>
        <v>44558</v>
      </c>
      <c r="B9860" s="111">
        <f t="shared" si="226"/>
        <v>124</v>
      </c>
    </row>
    <row r="9861" spans="1:2" x14ac:dyDescent="0.2">
      <c r="A9861" s="112">
        <f t="shared" si="227"/>
        <v>44559</v>
      </c>
      <c r="B9861" s="111">
        <f t="shared" si="226"/>
        <v>124</v>
      </c>
    </row>
    <row r="9862" spans="1:2" x14ac:dyDescent="0.2">
      <c r="A9862" s="112">
        <f t="shared" si="227"/>
        <v>44560</v>
      </c>
      <c r="B9862" s="111">
        <f t="shared" si="226"/>
        <v>124</v>
      </c>
    </row>
    <row r="9863" spans="1:2" x14ac:dyDescent="0.2">
      <c r="A9863" s="112">
        <f t="shared" si="227"/>
        <v>44561</v>
      </c>
      <c r="B9863" s="111">
        <f t="shared" si="226"/>
        <v>124</v>
      </c>
    </row>
    <row r="9864" spans="1:2" x14ac:dyDescent="0.2">
      <c r="A9864" s="112">
        <f t="shared" si="227"/>
        <v>44562</v>
      </c>
      <c r="B9864" s="111">
        <f t="shared" si="226"/>
        <v>11</v>
      </c>
    </row>
    <row r="9865" spans="1:2" x14ac:dyDescent="0.2">
      <c r="A9865" s="112">
        <f t="shared" si="227"/>
        <v>44563</v>
      </c>
      <c r="B9865" s="111">
        <f t="shared" si="226"/>
        <v>12</v>
      </c>
    </row>
    <row r="9866" spans="1:2" x14ac:dyDescent="0.2">
      <c r="A9866" s="112">
        <f t="shared" si="227"/>
        <v>44564</v>
      </c>
      <c r="B9866" s="111">
        <f t="shared" si="226"/>
        <v>12</v>
      </c>
    </row>
    <row r="9867" spans="1:2" x14ac:dyDescent="0.2">
      <c r="A9867" s="112">
        <f t="shared" si="227"/>
        <v>44565</v>
      </c>
      <c r="B9867" s="111">
        <f t="shared" si="226"/>
        <v>12</v>
      </c>
    </row>
    <row r="9868" spans="1:2" x14ac:dyDescent="0.2">
      <c r="A9868" s="112">
        <f t="shared" si="227"/>
        <v>44566</v>
      </c>
      <c r="B9868" s="111">
        <f t="shared" si="226"/>
        <v>12</v>
      </c>
    </row>
    <row r="9869" spans="1:2" x14ac:dyDescent="0.2">
      <c r="A9869" s="112">
        <f t="shared" si="227"/>
        <v>44567</v>
      </c>
      <c r="B9869" s="111">
        <f t="shared" si="226"/>
        <v>12</v>
      </c>
    </row>
    <row r="9870" spans="1:2" x14ac:dyDescent="0.2">
      <c r="A9870" s="112">
        <f t="shared" si="227"/>
        <v>44568</v>
      </c>
      <c r="B9870" s="111">
        <f t="shared" ref="B9870:B9933" si="228">VLOOKUP(WEEKNUM(A9870),$D$3:$E$58,2)</f>
        <v>12</v>
      </c>
    </row>
    <row r="9871" spans="1:2" x14ac:dyDescent="0.2">
      <c r="A9871" s="112">
        <f t="shared" si="227"/>
        <v>44569</v>
      </c>
      <c r="B9871" s="111">
        <f t="shared" si="228"/>
        <v>12</v>
      </c>
    </row>
    <row r="9872" spans="1:2" x14ac:dyDescent="0.2">
      <c r="A9872" s="112">
        <f t="shared" si="227"/>
        <v>44570</v>
      </c>
      <c r="B9872" s="111">
        <f t="shared" si="228"/>
        <v>13</v>
      </c>
    </row>
    <row r="9873" spans="1:2" x14ac:dyDescent="0.2">
      <c r="A9873" s="112">
        <f t="shared" si="227"/>
        <v>44571</v>
      </c>
      <c r="B9873" s="111">
        <f t="shared" si="228"/>
        <v>13</v>
      </c>
    </row>
    <row r="9874" spans="1:2" x14ac:dyDescent="0.2">
      <c r="A9874" s="112">
        <f t="shared" si="227"/>
        <v>44572</v>
      </c>
      <c r="B9874" s="111">
        <f t="shared" si="228"/>
        <v>13</v>
      </c>
    </row>
    <row r="9875" spans="1:2" x14ac:dyDescent="0.2">
      <c r="A9875" s="112">
        <f t="shared" si="227"/>
        <v>44573</v>
      </c>
      <c r="B9875" s="111">
        <f t="shared" si="228"/>
        <v>13</v>
      </c>
    </row>
    <row r="9876" spans="1:2" x14ac:dyDescent="0.2">
      <c r="A9876" s="112">
        <f t="shared" si="227"/>
        <v>44574</v>
      </c>
      <c r="B9876" s="111">
        <f t="shared" si="228"/>
        <v>13</v>
      </c>
    </row>
    <row r="9877" spans="1:2" x14ac:dyDescent="0.2">
      <c r="A9877" s="112">
        <f t="shared" si="227"/>
        <v>44575</v>
      </c>
      <c r="B9877" s="111">
        <f t="shared" si="228"/>
        <v>13</v>
      </c>
    </row>
    <row r="9878" spans="1:2" x14ac:dyDescent="0.2">
      <c r="A9878" s="112">
        <f t="shared" si="227"/>
        <v>44576</v>
      </c>
      <c r="B9878" s="111">
        <f t="shared" si="228"/>
        <v>13</v>
      </c>
    </row>
    <row r="9879" spans="1:2" x14ac:dyDescent="0.2">
      <c r="A9879" s="112">
        <f t="shared" si="227"/>
        <v>44577</v>
      </c>
      <c r="B9879" s="111">
        <f t="shared" si="228"/>
        <v>14</v>
      </c>
    </row>
    <row r="9880" spans="1:2" x14ac:dyDescent="0.2">
      <c r="A9880" s="112">
        <f t="shared" si="227"/>
        <v>44578</v>
      </c>
      <c r="B9880" s="111">
        <f t="shared" si="228"/>
        <v>14</v>
      </c>
    </row>
    <row r="9881" spans="1:2" x14ac:dyDescent="0.2">
      <c r="A9881" s="112">
        <f t="shared" si="227"/>
        <v>44579</v>
      </c>
      <c r="B9881" s="111">
        <f t="shared" si="228"/>
        <v>14</v>
      </c>
    </row>
    <row r="9882" spans="1:2" x14ac:dyDescent="0.2">
      <c r="A9882" s="112">
        <f t="shared" si="227"/>
        <v>44580</v>
      </c>
      <c r="B9882" s="111">
        <f t="shared" si="228"/>
        <v>14</v>
      </c>
    </row>
    <row r="9883" spans="1:2" x14ac:dyDescent="0.2">
      <c r="A9883" s="112">
        <f t="shared" si="227"/>
        <v>44581</v>
      </c>
      <c r="B9883" s="111">
        <f t="shared" si="228"/>
        <v>14</v>
      </c>
    </row>
    <row r="9884" spans="1:2" x14ac:dyDescent="0.2">
      <c r="A9884" s="112">
        <f t="shared" si="227"/>
        <v>44582</v>
      </c>
      <c r="B9884" s="111">
        <f t="shared" si="228"/>
        <v>14</v>
      </c>
    </row>
    <row r="9885" spans="1:2" x14ac:dyDescent="0.2">
      <c r="A9885" s="112">
        <f t="shared" si="227"/>
        <v>44583</v>
      </c>
      <c r="B9885" s="111">
        <f t="shared" si="228"/>
        <v>14</v>
      </c>
    </row>
    <row r="9886" spans="1:2" x14ac:dyDescent="0.2">
      <c r="A9886" s="112">
        <f t="shared" si="227"/>
        <v>44584</v>
      </c>
      <c r="B9886" s="111">
        <f t="shared" si="228"/>
        <v>15</v>
      </c>
    </row>
    <row r="9887" spans="1:2" x14ac:dyDescent="0.2">
      <c r="A9887" s="112">
        <f t="shared" si="227"/>
        <v>44585</v>
      </c>
      <c r="B9887" s="111">
        <f t="shared" si="228"/>
        <v>15</v>
      </c>
    </row>
    <row r="9888" spans="1:2" x14ac:dyDescent="0.2">
      <c r="A9888" s="112">
        <f t="shared" si="227"/>
        <v>44586</v>
      </c>
      <c r="B9888" s="111">
        <f t="shared" si="228"/>
        <v>15</v>
      </c>
    </row>
    <row r="9889" spans="1:2" x14ac:dyDescent="0.2">
      <c r="A9889" s="112">
        <f t="shared" si="227"/>
        <v>44587</v>
      </c>
      <c r="B9889" s="111">
        <f t="shared" si="228"/>
        <v>15</v>
      </c>
    </row>
    <row r="9890" spans="1:2" x14ac:dyDescent="0.2">
      <c r="A9890" s="112">
        <f t="shared" si="227"/>
        <v>44588</v>
      </c>
      <c r="B9890" s="111">
        <f t="shared" si="228"/>
        <v>15</v>
      </c>
    </row>
    <row r="9891" spans="1:2" x14ac:dyDescent="0.2">
      <c r="A9891" s="112">
        <f t="shared" si="227"/>
        <v>44589</v>
      </c>
      <c r="B9891" s="111">
        <f t="shared" si="228"/>
        <v>15</v>
      </c>
    </row>
    <row r="9892" spans="1:2" x14ac:dyDescent="0.2">
      <c r="A9892" s="112">
        <f t="shared" si="227"/>
        <v>44590</v>
      </c>
      <c r="B9892" s="111">
        <f t="shared" si="228"/>
        <v>15</v>
      </c>
    </row>
    <row r="9893" spans="1:2" x14ac:dyDescent="0.2">
      <c r="A9893" s="112">
        <f t="shared" si="227"/>
        <v>44591</v>
      </c>
      <c r="B9893" s="111">
        <f t="shared" si="228"/>
        <v>21</v>
      </c>
    </row>
    <row r="9894" spans="1:2" x14ac:dyDescent="0.2">
      <c r="A9894" s="112">
        <f t="shared" si="227"/>
        <v>44592</v>
      </c>
      <c r="B9894" s="111">
        <f t="shared" si="228"/>
        <v>21</v>
      </c>
    </row>
    <row r="9895" spans="1:2" x14ac:dyDescent="0.2">
      <c r="A9895" s="112">
        <f t="shared" si="227"/>
        <v>44593</v>
      </c>
      <c r="B9895" s="111">
        <f t="shared" si="228"/>
        <v>21</v>
      </c>
    </row>
    <row r="9896" spans="1:2" x14ac:dyDescent="0.2">
      <c r="A9896" s="112">
        <f t="shared" si="227"/>
        <v>44594</v>
      </c>
      <c r="B9896" s="111">
        <f t="shared" si="228"/>
        <v>21</v>
      </c>
    </row>
    <row r="9897" spans="1:2" x14ac:dyDescent="0.2">
      <c r="A9897" s="112">
        <f t="shared" si="227"/>
        <v>44595</v>
      </c>
      <c r="B9897" s="111">
        <f t="shared" si="228"/>
        <v>21</v>
      </c>
    </row>
    <row r="9898" spans="1:2" x14ac:dyDescent="0.2">
      <c r="A9898" s="112">
        <f t="shared" si="227"/>
        <v>44596</v>
      </c>
      <c r="B9898" s="111">
        <f t="shared" si="228"/>
        <v>21</v>
      </c>
    </row>
    <row r="9899" spans="1:2" x14ac:dyDescent="0.2">
      <c r="A9899" s="112">
        <f t="shared" si="227"/>
        <v>44597</v>
      </c>
      <c r="B9899" s="111">
        <f t="shared" si="228"/>
        <v>21</v>
      </c>
    </row>
    <row r="9900" spans="1:2" x14ac:dyDescent="0.2">
      <c r="A9900" s="112">
        <f t="shared" si="227"/>
        <v>44598</v>
      </c>
      <c r="B9900" s="111">
        <f t="shared" si="228"/>
        <v>22</v>
      </c>
    </row>
    <row r="9901" spans="1:2" x14ac:dyDescent="0.2">
      <c r="A9901" s="112">
        <f t="shared" si="227"/>
        <v>44599</v>
      </c>
      <c r="B9901" s="111">
        <f t="shared" si="228"/>
        <v>22</v>
      </c>
    </row>
    <row r="9902" spans="1:2" x14ac:dyDescent="0.2">
      <c r="A9902" s="112">
        <f t="shared" si="227"/>
        <v>44600</v>
      </c>
      <c r="B9902" s="111">
        <f t="shared" si="228"/>
        <v>22</v>
      </c>
    </row>
    <row r="9903" spans="1:2" x14ac:dyDescent="0.2">
      <c r="A9903" s="112">
        <f t="shared" si="227"/>
        <v>44601</v>
      </c>
      <c r="B9903" s="111">
        <f t="shared" si="228"/>
        <v>22</v>
      </c>
    </row>
    <row r="9904" spans="1:2" x14ac:dyDescent="0.2">
      <c r="A9904" s="112">
        <f t="shared" si="227"/>
        <v>44602</v>
      </c>
      <c r="B9904" s="111">
        <f t="shared" si="228"/>
        <v>22</v>
      </c>
    </row>
    <row r="9905" spans="1:2" x14ac:dyDescent="0.2">
      <c r="A9905" s="112">
        <f t="shared" si="227"/>
        <v>44603</v>
      </c>
      <c r="B9905" s="111">
        <f t="shared" si="228"/>
        <v>22</v>
      </c>
    </row>
    <row r="9906" spans="1:2" x14ac:dyDescent="0.2">
      <c r="A9906" s="112">
        <f t="shared" si="227"/>
        <v>44604</v>
      </c>
      <c r="B9906" s="111">
        <f t="shared" si="228"/>
        <v>22</v>
      </c>
    </row>
    <row r="9907" spans="1:2" x14ac:dyDescent="0.2">
      <c r="A9907" s="112">
        <f t="shared" si="227"/>
        <v>44605</v>
      </c>
      <c r="B9907" s="111">
        <f t="shared" si="228"/>
        <v>23</v>
      </c>
    </row>
    <row r="9908" spans="1:2" x14ac:dyDescent="0.2">
      <c r="A9908" s="112">
        <f t="shared" ref="A9908:A9971" si="229">A9907+1</f>
        <v>44606</v>
      </c>
      <c r="B9908" s="111">
        <f t="shared" si="228"/>
        <v>23</v>
      </c>
    </row>
    <row r="9909" spans="1:2" x14ac:dyDescent="0.2">
      <c r="A9909" s="112">
        <f t="shared" si="229"/>
        <v>44607</v>
      </c>
      <c r="B9909" s="111">
        <f t="shared" si="228"/>
        <v>23</v>
      </c>
    </row>
    <row r="9910" spans="1:2" x14ac:dyDescent="0.2">
      <c r="A9910" s="112">
        <f t="shared" si="229"/>
        <v>44608</v>
      </c>
      <c r="B9910" s="111">
        <f t="shared" si="228"/>
        <v>23</v>
      </c>
    </row>
    <row r="9911" spans="1:2" x14ac:dyDescent="0.2">
      <c r="A9911" s="112">
        <f t="shared" si="229"/>
        <v>44609</v>
      </c>
      <c r="B9911" s="111">
        <f t="shared" si="228"/>
        <v>23</v>
      </c>
    </row>
    <row r="9912" spans="1:2" x14ac:dyDescent="0.2">
      <c r="A9912" s="112">
        <f t="shared" si="229"/>
        <v>44610</v>
      </c>
      <c r="B9912" s="111">
        <f t="shared" si="228"/>
        <v>23</v>
      </c>
    </row>
    <row r="9913" spans="1:2" x14ac:dyDescent="0.2">
      <c r="A9913" s="112">
        <f t="shared" si="229"/>
        <v>44611</v>
      </c>
      <c r="B9913" s="111">
        <f t="shared" si="228"/>
        <v>23</v>
      </c>
    </row>
    <row r="9914" spans="1:2" x14ac:dyDescent="0.2">
      <c r="A9914" s="112">
        <f t="shared" si="229"/>
        <v>44612</v>
      </c>
      <c r="B9914" s="111">
        <f t="shared" si="228"/>
        <v>24</v>
      </c>
    </row>
    <row r="9915" spans="1:2" x14ac:dyDescent="0.2">
      <c r="A9915" s="112">
        <f t="shared" si="229"/>
        <v>44613</v>
      </c>
      <c r="B9915" s="111">
        <f t="shared" si="228"/>
        <v>24</v>
      </c>
    </row>
    <row r="9916" spans="1:2" x14ac:dyDescent="0.2">
      <c r="A9916" s="112">
        <f t="shared" si="229"/>
        <v>44614</v>
      </c>
      <c r="B9916" s="111">
        <f t="shared" si="228"/>
        <v>24</v>
      </c>
    </row>
    <row r="9917" spans="1:2" x14ac:dyDescent="0.2">
      <c r="A9917" s="112">
        <f t="shared" si="229"/>
        <v>44615</v>
      </c>
      <c r="B9917" s="111">
        <f t="shared" si="228"/>
        <v>24</v>
      </c>
    </row>
    <row r="9918" spans="1:2" x14ac:dyDescent="0.2">
      <c r="A9918" s="112">
        <f t="shared" si="229"/>
        <v>44616</v>
      </c>
      <c r="B9918" s="111">
        <f t="shared" si="228"/>
        <v>24</v>
      </c>
    </row>
    <row r="9919" spans="1:2" x14ac:dyDescent="0.2">
      <c r="A9919" s="112">
        <f t="shared" si="229"/>
        <v>44617</v>
      </c>
      <c r="B9919" s="111">
        <f t="shared" si="228"/>
        <v>24</v>
      </c>
    </row>
    <row r="9920" spans="1:2" x14ac:dyDescent="0.2">
      <c r="A9920" s="112">
        <f t="shared" si="229"/>
        <v>44618</v>
      </c>
      <c r="B9920" s="111">
        <f t="shared" si="228"/>
        <v>24</v>
      </c>
    </row>
    <row r="9921" spans="1:2" x14ac:dyDescent="0.2">
      <c r="A9921" s="112">
        <f t="shared" si="229"/>
        <v>44619</v>
      </c>
      <c r="B9921" s="111">
        <f t="shared" si="228"/>
        <v>31</v>
      </c>
    </row>
    <row r="9922" spans="1:2" x14ac:dyDescent="0.2">
      <c r="A9922" s="112">
        <f t="shared" si="229"/>
        <v>44620</v>
      </c>
      <c r="B9922" s="111">
        <f t="shared" si="228"/>
        <v>31</v>
      </c>
    </row>
    <row r="9923" spans="1:2" x14ac:dyDescent="0.2">
      <c r="A9923" s="112">
        <f t="shared" si="229"/>
        <v>44621</v>
      </c>
      <c r="B9923" s="111">
        <f t="shared" si="228"/>
        <v>31</v>
      </c>
    </row>
    <row r="9924" spans="1:2" x14ac:dyDescent="0.2">
      <c r="A9924" s="112">
        <f t="shared" si="229"/>
        <v>44622</v>
      </c>
      <c r="B9924" s="111">
        <f t="shared" si="228"/>
        <v>31</v>
      </c>
    </row>
    <row r="9925" spans="1:2" x14ac:dyDescent="0.2">
      <c r="A9925" s="112">
        <f t="shared" si="229"/>
        <v>44623</v>
      </c>
      <c r="B9925" s="111">
        <f t="shared" si="228"/>
        <v>31</v>
      </c>
    </row>
    <row r="9926" spans="1:2" x14ac:dyDescent="0.2">
      <c r="A9926" s="112">
        <f t="shared" si="229"/>
        <v>44624</v>
      </c>
      <c r="B9926" s="111">
        <f t="shared" si="228"/>
        <v>31</v>
      </c>
    </row>
    <row r="9927" spans="1:2" x14ac:dyDescent="0.2">
      <c r="A9927" s="112">
        <f t="shared" si="229"/>
        <v>44625</v>
      </c>
      <c r="B9927" s="111">
        <f t="shared" si="228"/>
        <v>31</v>
      </c>
    </row>
    <row r="9928" spans="1:2" x14ac:dyDescent="0.2">
      <c r="A9928" s="112">
        <f t="shared" si="229"/>
        <v>44626</v>
      </c>
      <c r="B9928" s="111">
        <f t="shared" si="228"/>
        <v>32</v>
      </c>
    </row>
    <row r="9929" spans="1:2" x14ac:dyDescent="0.2">
      <c r="A9929" s="112">
        <f t="shared" si="229"/>
        <v>44627</v>
      </c>
      <c r="B9929" s="111">
        <f t="shared" si="228"/>
        <v>32</v>
      </c>
    </row>
    <row r="9930" spans="1:2" x14ac:dyDescent="0.2">
      <c r="A9930" s="112">
        <f t="shared" si="229"/>
        <v>44628</v>
      </c>
      <c r="B9930" s="111">
        <f t="shared" si="228"/>
        <v>32</v>
      </c>
    </row>
    <row r="9931" spans="1:2" x14ac:dyDescent="0.2">
      <c r="A9931" s="112">
        <f t="shared" si="229"/>
        <v>44629</v>
      </c>
      <c r="B9931" s="111">
        <f t="shared" si="228"/>
        <v>32</v>
      </c>
    </row>
    <row r="9932" spans="1:2" x14ac:dyDescent="0.2">
      <c r="A9932" s="112">
        <f t="shared" si="229"/>
        <v>44630</v>
      </c>
      <c r="B9932" s="111">
        <f t="shared" si="228"/>
        <v>32</v>
      </c>
    </row>
    <row r="9933" spans="1:2" x14ac:dyDescent="0.2">
      <c r="A9933" s="112">
        <f t="shared" si="229"/>
        <v>44631</v>
      </c>
      <c r="B9933" s="111">
        <f t="shared" si="228"/>
        <v>32</v>
      </c>
    </row>
    <row r="9934" spans="1:2" x14ac:dyDescent="0.2">
      <c r="A9934" s="112">
        <f t="shared" si="229"/>
        <v>44632</v>
      </c>
      <c r="B9934" s="111">
        <f t="shared" ref="B9934:B9997" si="230">VLOOKUP(WEEKNUM(A9934),$D$3:$E$58,2)</f>
        <v>32</v>
      </c>
    </row>
    <row r="9935" spans="1:2" x14ac:dyDescent="0.2">
      <c r="A9935" s="112">
        <f t="shared" si="229"/>
        <v>44633</v>
      </c>
      <c r="B9935" s="111">
        <f t="shared" si="230"/>
        <v>33</v>
      </c>
    </row>
    <row r="9936" spans="1:2" x14ac:dyDescent="0.2">
      <c r="A9936" s="112">
        <f t="shared" si="229"/>
        <v>44634</v>
      </c>
      <c r="B9936" s="111">
        <f t="shared" si="230"/>
        <v>33</v>
      </c>
    </row>
    <row r="9937" spans="1:2" x14ac:dyDescent="0.2">
      <c r="A9937" s="112">
        <f t="shared" si="229"/>
        <v>44635</v>
      </c>
      <c r="B9937" s="111">
        <f t="shared" si="230"/>
        <v>33</v>
      </c>
    </row>
    <row r="9938" spans="1:2" x14ac:dyDescent="0.2">
      <c r="A9938" s="112">
        <f t="shared" si="229"/>
        <v>44636</v>
      </c>
      <c r="B9938" s="111">
        <f t="shared" si="230"/>
        <v>33</v>
      </c>
    </row>
    <row r="9939" spans="1:2" x14ac:dyDescent="0.2">
      <c r="A9939" s="112">
        <f t="shared" si="229"/>
        <v>44637</v>
      </c>
      <c r="B9939" s="111">
        <f t="shared" si="230"/>
        <v>33</v>
      </c>
    </row>
    <row r="9940" spans="1:2" x14ac:dyDescent="0.2">
      <c r="A9940" s="112">
        <f t="shared" si="229"/>
        <v>44638</v>
      </c>
      <c r="B9940" s="111">
        <f t="shared" si="230"/>
        <v>33</v>
      </c>
    </row>
    <row r="9941" spans="1:2" x14ac:dyDescent="0.2">
      <c r="A9941" s="112">
        <f t="shared" si="229"/>
        <v>44639</v>
      </c>
      <c r="B9941" s="111">
        <f t="shared" si="230"/>
        <v>33</v>
      </c>
    </row>
    <row r="9942" spans="1:2" x14ac:dyDescent="0.2">
      <c r="A9942" s="112">
        <f t="shared" si="229"/>
        <v>44640</v>
      </c>
      <c r="B9942" s="111">
        <f t="shared" si="230"/>
        <v>34</v>
      </c>
    </row>
    <row r="9943" spans="1:2" x14ac:dyDescent="0.2">
      <c r="A9943" s="112">
        <f t="shared" si="229"/>
        <v>44641</v>
      </c>
      <c r="B9943" s="111">
        <f t="shared" si="230"/>
        <v>34</v>
      </c>
    </row>
    <row r="9944" spans="1:2" x14ac:dyDescent="0.2">
      <c r="A9944" s="112">
        <f t="shared" si="229"/>
        <v>44642</v>
      </c>
      <c r="B9944" s="111">
        <f t="shared" si="230"/>
        <v>34</v>
      </c>
    </row>
    <row r="9945" spans="1:2" x14ac:dyDescent="0.2">
      <c r="A9945" s="112">
        <f t="shared" si="229"/>
        <v>44643</v>
      </c>
      <c r="B9945" s="111">
        <f t="shared" si="230"/>
        <v>34</v>
      </c>
    </row>
    <row r="9946" spans="1:2" x14ac:dyDescent="0.2">
      <c r="A9946" s="112">
        <f t="shared" si="229"/>
        <v>44644</v>
      </c>
      <c r="B9946" s="111">
        <f t="shared" si="230"/>
        <v>34</v>
      </c>
    </row>
    <row r="9947" spans="1:2" x14ac:dyDescent="0.2">
      <c r="A9947" s="112">
        <f t="shared" si="229"/>
        <v>44645</v>
      </c>
      <c r="B9947" s="111">
        <f t="shared" si="230"/>
        <v>34</v>
      </c>
    </row>
    <row r="9948" spans="1:2" x14ac:dyDescent="0.2">
      <c r="A9948" s="112">
        <f t="shared" si="229"/>
        <v>44646</v>
      </c>
      <c r="B9948" s="111">
        <f t="shared" si="230"/>
        <v>34</v>
      </c>
    </row>
    <row r="9949" spans="1:2" x14ac:dyDescent="0.2">
      <c r="A9949" s="112">
        <f t="shared" si="229"/>
        <v>44647</v>
      </c>
      <c r="B9949" s="111">
        <f t="shared" si="230"/>
        <v>41</v>
      </c>
    </row>
    <row r="9950" spans="1:2" x14ac:dyDescent="0.2">
      <c r="A9950" s="112">
        <f t="shared" si="229"/>
        <v>44648</v>
      </c>
      <c r="B9950" s="111">
        <f t="shared" si="230"/>
        <v>41</v>
      </c>
    </row>
    <row r="9951" spans="1:2" x14ac:dyDescent="0.2">
      <c r="A9951" s="112">
        <f t="shared" si="229"/>
        <v>44649</v>
      </c>
      <c r="B9951" s="111">
        <f t="shared" si="230"/>
        <v>41</v>
      </c>
    </row>
    <row r="9952" spans="1:2" x14ac:dyDescent="0.2">
      <c r="A9952" s="112">
        <f t="shared" si="229"/>
        <v>44650</v>
      </c>
      <c r="B9952" s="111">
        <f t="shared" si="230"/>
        <v>41</v>
      </c>
    </row>
    <row r="9953" spans="1:2" x14ac:dyDescent="0.2">
      <c r="A9953" s="112">
        <f t="shared" si="229"/>
        <v>44651</v>
      </c>
      <c r="B9953" s="111">
        <f t="shared" si="230"/>
        <v>41</v>
      </c>
    </row>
    <row r="9954" spans="1:2" x14ac:dyDescent="0.2">
      <c r="A9954" s="112">
        <f t="shared" si="229"/>
        <v>44652</v>
      </c>
      <c r="B9954" s="111">
        <f t="shared" si="230"/>
        <v>41</v>
      </c>
    </row>
    <row r="9955" spans="1:2" x14ac:dyDescent="0.2">
      <c r="A9955" s="112">
        <f t="shared" si="229"/>
        <v>44653</v>
      </c>
      <c r="B9955" s="111">
        <f t="shared" si="230"/>
        <v>41</v>
      </c>
    </row>
    <row r="9956" spans="1:2" x14ac:dyDescent="0.2">
      <c r="A9956" s="112">
        <f t="shared" si="229"/>
        <v>44654</v>
      </c>
      <c r="B9956" s="111">
        <f t="shared" si="230"/>
        <v>42</v>
      </c>
    </row>
    <row r="9957" spans="1:2" x14ac:dyDescent="0.2">
      <c r="A9957" s="112">
        <f t="shared" si="229"/>
        <v>44655</v>
      </c>
      <c r="B9957" s="111">
        <f t="shared" si="230"/>
        <v>42</v>
      </c>
    </row>
    <row r="9958" spans="1:2" x14ac:dyDescent="0.2">
      <c r="A9958" s="112">
        <f t="shared" si="229"/>
        <v>44656</v>
      </c>
      <c r="B9958" s="111">
        <f t="shared" si="230"/>
        <v>42</v>
      </c>
    </row>
    <row r="9959" spans="1:2" x14ac:dyDescent="0.2">
      <c r="A9959" s="112">
        <f t="shared" si="229"/>
        <v>44657</v>
      </c>
      <c r="B9959" s="111">
        <f t="shared" si="230"/>
        <v>42</v>
      </c>
    </row>
    <row r="9960" spans="1:2" x14ac:dyDescent="0.2">
      <c r="A9960" s="112">
        <f t="shared" si="229"/>
        <v>44658</v>
      </c>
      <c r="B9960" s="111">
        <f t="shared" si="230"/>
        <v>42</v>
      </c>
    </row>
    <row r="9961" spans="1:2" x14ac:dyDescent="0.2">
      <c r="A9961" s="112">
        <f t="shared" si="229"/>
        <v>44659</v>
      </c>
      <c r="B9961" s="111">
        <f t="shared" si="230"/>
        <v>42</v>
      </c>
    </row>
    <row r="9962" spans="1:2" x14ac:dyDescent="0.2">
      <c r="A9962" s="112">
        <f t="shared" si="229"/>
        <v>44660</v>
      </c>
      <c r="B9962" s="111">
        <f t="shared" si="230"/>
        <v>42</v>
      </c>
    </row>
    <row r="9963" spans="1:2" x14ac:dyDescent="0.2">
      <c r="A9963" s="112">
        <f t="shared" si="229"/>
        <v>44661</v>
      </c>
      <c r="B9963" s="111">
        <f t="shared" si="230"/>
        <v>43</v>
      </c>
    </row>
    <row r="9964" spans="1:2" x14ac:dyDescent="0.2">
      <c r="A9964" s="112">
        <f t="shared" si="229"/>
        <v>44662</v>
      </c>
      <c r="B9964" s="111">
        <f t="shared" si="230"/>
        <v>43</v>
      </c>
    </row>
    <row r="9965" spans="1:2" x14ac:dyDescent="0.2">
      <c r="A9965" s="112">
        <f t="shared" si="229"/>
        <v>44663</v>
      </c>
      <c r="B9965" s="111">
        <f t="shared" si="230"/>
        <v>43</v>
      </c>
    </row>
    <row r="9966" spans="1:2" x14ac:dyDescent="0.2">
      <c r="A9966" s="112">
        <f t="shared" si="229"/>
        <v>44664</v>
      </c>
      <c r="B9966" s="111">
        <f t="shared" si="230"/>
        <v>43</v>
      </c>
    </row>
    <row r="9967" spans="1:2" x14ac:dyDescent="0.2">
      <c r="A9967" s="112">
        <f t="shared" si="229"/>
        <v>44665</v>
      </c>
      <c r="B9967" s="111">
        <f t="shared" si="230"/>
        <v>43</v>
      </c>
    </row>
    <row r="9968" spans="1:2" x14ac:dyDescent="0.2">
      <c r="A9968" s="112">
        <f t="shared" si="229"/>
        <v>44666</v>
      </c>
      <c r="B9968" s="111">
        <f t="shared" si="230"/>
        <v>43</v>
      </c>
    </row>
    <row r="9969" spans="1:2" x14ac:dyDescent="0.2">
      <c r="A9969" s="112">
        <f t="shared" si="229"/>
        <v>44667</v>
      </c>
      <c r="B9969" s="111">
        <f t="shared" si="230"/>
        <v>43</v>
      </c>
    </row>
    <row r="9970" spans="1:2" x14ac:dyDescent="0.2">
      <c r="A9970" s="112">
        <f t="shared" si="229"/>
        <v>44668</v>
      </c>
      <c r="B9970" s="111">
        <f t="shared" si="230"/>
        <v>44</v>
      </c>
    </row>
    <row r="9971" spans="1:2" x14ac:dyDescent="0.2">
      <c r="A9971" s="112">
        <f t="shared" si="229"/>
        <v>44669</v>
      </c>
      <c r="B9971" s="111">
        <f t="shared" si="230"/>
        <v>44</v>
      </c>
    </row>
    <row r="9972" spans="1:2" x14ac:dyDescent="0.2">
      <c r="A9972" s="112">
        <f t="shared" ref="A9972:A10035" si="231">A9971+1</f>
        <v>44670</v>
      </c>
      <c r="B9972" s="111">
        <f t="shared" si="230"/>
        <v>44</v>
      </c>
    </row>
    <row r="9973" spans="1:2" x14ac:dyDescent="0.2">
      <c r="A9973" s="112">
        <f t="shared" si="231"/>
        <v>44671</v>
      </c>
      <c r="B9973" s="111">
        <f t="shared" si="230"/>
        <v>44</v>
      </c>
    </row>
    <row r="9974" spans="1:2" x14ac:dyDescent="0.2">
      <c r="A9974" s="112">
        <f t="shared" si="231"/>
        <v>44672</v>
      </c>
      <c r="B9974" s="111">
        <f t="shared" si="230"/>
        <v>44</v>
      </c>
    </row>
    <row r="9975" spans="1:2" x14ac:dyDescent="0.2">
      <c r="A9975" s="112">
        <f t="shared" si="231"/>
        <v>44673</v>
      </c>
      <c r="B9975" s="111">
        <f t="shared" si="230"/>
        <v>44</v>
      </c>
    </row>
    <row r="9976" spans="1:2" x14ac:dyDescent="0.2">
      <c r="A9976" s="112">
        <f t="shared" si="231"/>
        <v>44674</v>
      </c>
      <c r="B9976" s="111">
        <f t="shared" si="230"/>
        <v>44</v>
      </c>
    </row>
    <row r="9977" spans="1:2" x14ac:dyDescent="0.2">
      <c r="A9977" s="112">
        <f t="shared" si="231"/>
        <v>44675</v>
      </c>
      <c r="B9977" s="111">
        <f t="shared" si="230"/>
        <v>45</v>
      </c>
    </row>
    <row r="9978" spans="1:2" x14ac:dyDescent="0.2">
      <c r="A9978" s="112">
        <f t="shared" si="231"/>
        <v>44676</v>
      </c>
      <c r="B9978" s="111">
        <f t="shared" si="230"/>
        <v>45</v>
      </c>
    </row>
    <row r="9979" spans="1:2" x14ac:dyDescent="0.2">
      <c r="A9979" s="112">
        <f t="shared" si="231"/>
        <v>44677</v>
      </c>
      <c r="B9979" s="111">
        <f t="shared" si="230"/>
        <v>45</v>
      </c>
    </row>
    <row r="9980" spans="1:2" x14ac:dyDescent="0.2">
      <c r="A9980" s="112">
        <f t="shared" si="231"/>
        <v>44678</v>
      </c>
      <c r="B9980" s="111">
        <f t="shared" si="230"/>
        <v>45</v>
      </c>
    </row>
    <row r="9981" spans="1:2" x14ac:dyDescent="0.2">
      <c r="A9981" s="112">
        <f t="shared" si="231"/>
        <v>44679</v>
      </c>
      <c r="B9981" s="111">
        <f t="shared" si="230"/>
        <v>45</v>
      </c>
    </row>
    <row r="9982" spans="1:2" x14ac:dyDescent="0.2">
      <c r="A9982" s="112">
        <f t="shared" si="231"/>
        <v>44680</v>
      </c>
      <c r="B9982" s="111">
        <f t="shared" si="230"/>
        <v>45</v>
      </c>
    </row>
    <row r="9983" spans="1:2" x14ac:dyDescent="0.2">
      <c r="A9983" s="112">
        <f t="shared" si="231"/>
        <v>44681</v>
      </c>
      <c r="B9983" s="111">
        <f t="shared" si="230"/>
        <v>45</v>
      </c>
    </row>
    <row r="9984" spans="1:2" x14ac:dyDescent="0.2">
      <c r="A9984" s="112">
        <f t="shared" si="231"/>
        <v>44682</v>
      </c>
      <c r="B9984" s="111">
        <f t="shared" si="230"/>
        <v>51</v>
      </c>
    </row>
    <row r="9985" spans="1:2" x14ac:dyDescent="0.2">
      <c r="A9985" s="112">
        <f t="shared" si="231"/>
        <v>44683</v>
      </c>
      <c r="B9985" s="111">
        <f t="shared" si="230"/>
        <v>51</v>
      </c>
    </row>
    <row r="9986" spans="1:2" x14ac:dyDescent="0.2">
      <c r="A9986" s="112">
        <f t="shared" si="231"/>
        <v>44684</v>
      </c>
      <c r="B9986" s="111">
        <f t="shared" si="230"/>
        <v>51</v>
      </c>
    </row>
    <row r="9987" spans="1:2" x14ac:dyDescent="0.2">
      <c r="A9987" s="112">
        <f t="shared" si="231"/>
        <v>44685</v>
      </c>
      <c r="B9987" s="111">
        <f t="shared" si="230"/>
        <v>51</v>
      </c>
    </row>
    <row r="9988" spans="1:2" x14ac:dyDescent="0.2">
      <c r="A9988" s="112">
        <f t="shared" si="231"/>
        <v>44686</v>
      </c>
      <c r="B9988" s="111">
        <f t="shared" si="230"/>
        <v>51</v>
      </c>
    </row>
    <row r="9989" spans="1:2" x14ac:dyDescent="0.2">
      <c r="A9989" s="112">
        <f t="shared" si="231"/>
        <v>44687</v>
      </c>
      <c r="B9989" s="111">
        <f t="shared" si="230"/>
        <v>51</v>
      </c>
    </row>
    <row r="9990" spans="1:2" x14ac:dyDescent="0.2">
      <c r="A9990" s="112">
        <f t="shared" si="231"/>
        <v>44688</v>
      </c>
      <c r="B9990" s="111">
        <f t="shared" si="230"/>
        <v>51</v>
      </c>
    </row>
    <row r="9991" spans="1:2" x14ac:dyDescent="0.2">
      <c r="A9991" s="112">
        <f t="shared" si="231"/>
        <v>44689</v>
      </c>
      <c r="B9991" s="111">
        <f t="shared" si="230"/>
        <v>52</v>
      </c>
    </row>
    <row r="9992" spans="1:2" x14ac:dyDescent="0.2">
      <c r="A9992" s="112">
        <f t="shared" si="231"/>
        <v>44690</v>
      </c>
      <c r="B9992" s="111">
        <f t="shared" si="230"/>
        <v>52</v>
      </c>
    </row>
    <row r="9993" spans="1:2" x14ac:dyDescent="0.2">
      <c r="A9993" s="112">
        <f t="shared" si="231"/>
        <v>44691</v>
      </c>
      <c r="B9993" s="111">
        <f t="shared" si="230"/>
        <v>52</v>
      </c>
    </row>
    <row r="9994" spans="1:2" x14ac:dyDescent="0.2">
      <c r="A9994" s="112">
        <f t="shared" si="231"/>
        <v>44692</v>
      </c>
      <c r="B9994" s="111">
        <f t="shared" si="230"/>
        <v>52</v>
      </c>
    </row>
    <row r="9995" spans="1:2" x14ac:dyDescent="0.2">
      <c r="A9995" s="112">
        <f t="shared" si="231"/>
        <v>44693</v>
      </c>
      <c r="B9995" s="111">
        <f t="shared" si="230"/>
        <v>52</v>
      </c>
    </row>
    <row r="9996" spans="1:2" x14ac:dyDescent="0.2">
      <c r="A9996" s="112">
        <f t="shared" si="231"/>
        <v>44694</v>
      </c>
      <c r="B9996" s="111">
        <f t="shared" si="230"/>
        <v>52</v>
      </c>
    </row>
    <row r="9997" spans="1:2" x14ac:dyDescent="0.2">
      <c r="A9997" s="112">
        <f t="shared" si="231"/>
        <v>44695</v>
      </c>
      <c r="B9997" s="111">
        <f t="shared" si="230"/>
        <v>52</v>
      </c>
    </row>
    <row r="9998" spans="1:2" x14ac:dyDescent="0.2">
      <c r="A9998" s="112">
        <f t="shared" si="231"/>
        <v>44696</v>
      </c>
      <c r="B9998" s="111">
        <f t="shared" ref="B9998:B10061" si="232">VLOOKUP(WEEKNUM(A9998),$D$3:$E$58,2)</f>
        <v>53</v>
      </c>
    </row>
    <row r="9999" spans="1:2" x14ac:dyDescent="0.2">
      <c r="A9999" s="112">
        <f t="shared" si="231"/>
        <v>44697</v>
      </c>
      <c r="B9999" s="111">
        <f t="shared" si="232"/>
        <v>53</v>
      </c>
    </row>
    <row r="10000" spans="1:2" x14ac:dyDescent="0.2">
      <c r="A10000" s="112">
        <f t="shared" si="231"/>
        <v>44698</v>
      </c>
      <c r="B10000" s="111">
        <f t="shared" si="232"/>
        <v>53</v>
      </c>
    </row>
    <row r="10001" spans="1:2" x14ac:dyDescent="0.2">
      <c r="A10001" s="112">
        <f t="shared" si="231"/>
        <v>44699</v>
      </c>
      <c r="B10001" s="111">
        <f t="shared" si="232"/>
        <v>53</v>
      </c>
    </row>
    <row r="10002" spans="1:2" x14ac:dyDescent="0.2">
      <c r="A10002" s="112">
        <f t="shared" si="231"/>
        <v>44700</v>
      </c>
      <c r="B10002" s="111">
        <f t="shared" si="232"/>
        <v>53</v>
      </c>
    </row>
    <row r="10003" spans="1:2" x14ac:dyDescent="0.2">
      <c r="A10003" s="112">
        <f t="shared" si="231"/>
        <v>44701</v>
      </c>
      <c r="B10003" s="111">
        <f t="shared" si="232"/>
        <v>53</v>
      </c>
    </row>
    <row r="10004" spans="1:2" x14ac:dyDescent="0.2">
      <c r="A10004" s="112">
        <f t="shared" si="231"/>
        <v>44702</v>
      </c>
      <c r="B10004" s="111">
        <f t="shared" si="232"/>
        <v>53</v>
      </c>
    </row>
    <row r="10005" spans="1:2" x14ac:dyDescent="0.2">
      <c r="A10005" s="112">
        <f t="shared" si="231"/>
        <v>44703</v>
      </c>
      <c r="B10005" s="111">
        <f t="shared" si="232"/>
        <v>54</v>
      </c>
    </row>
    <row r="10006" spans="1:2" x14ac:dyDescent="0.2">
      <c r="A10006" s="112">
        <f t="shared" si="231"/>
        <v>44704</v>
      </c>
      <c r="B10006" s="111">
        <f t="shared" si="232"/>
        <v>54</v>
      </c>
    </row>
    <row r="10007" spans="1:2" x14ac:dyDescent="0.2">
      <c r="A10007" s="112">
        <f t="shared" si="231"/>
        <v>44705</v>
      </c>
      <c r="B10007" s="111">
        <f t="shared" si="232"/>
        <v>54</v>
      </c>
    </row>
    <row r="10008" spans="1:2" x14ac:dyDescent="0.2">
      <c r="A10008" s="112">
        <f t="shared" si="231"/>
        <v>44706</v>
      </c>
      <c r="B10008" s="111">
        <f t="shared" si="232"/>
        <v>54</v>
      </c>
    </row>
    <row r="10009" spans="1:2" x14ac:dyDescent="0.2">
      <c r="A10009" s="112">
        <f t="shared" si="231"/>
        <v>44707</v>
      </c>
      <c r="B10009" s="111">
        <f t="shared" si="232"/>
        <v>54</v>
      </c>
    </row>
    <row r="10010" spans="1:2" x14ac:dyDescent="0.2">
      <c r="A10010" s="112">
        <f t="shared" si="231"/>
        <v>44708</v>
      </c>
      <c r="B10010" s="111">
        <f t="shared" si="232"/>
        <v>54</v>
      </c>
    </row>
    <row r="10011" spans="1:2" x14ac:dyDescent="0.2">
      <c r="A10011" s="112">
        <f t="shared" si="231"/>
        <v>44709</v>
      </c>
      <c r="B10011" s="111">
        <f t="shared" si="232"/>
        <v>54</v>
      </c>
    </row>
    <row r="10012" spans="1:2" x14ac:dyDescent="0.2">
      <c r="A10012" s="112">
        <f t="shared" si="231"/>
        <v>44710</v>
      </c>
      <c r="B10012" s="111">
        <f t="shared" si="232"/>
        <v>61</v>
      </c>
    </row>
    <row r="10013" spans="1:2" x14ac:dyDescent="0.2">
      <c r="A10013" s="112">
        <f t="shared" si="231"/>
        <v>44711</v>
      </c>
      <c r="B10013" s="111">
        <f t="shared" si="232"/>
        <v>61</v>
      </c>
    </row>
    <row r="10014" spans="1:2" x14ac:dyDescent="0.2">
      <c r="A10014" s="112">
        <f t="shared" si="231"/>
        <v>44712</v>
      </c>
      <c r="B10014" s="111">
        <f t="shared" si="232"/>
        <v>61</v>
      </c>
    </row>
    <row r="10015" spans="1:2" x14ac:dyDescent="0.2">
      <c r="A10015" s="112">
        <f t="shared" si="231"/>
        <v>44713</v>
      </c>
      <c r="B10015" s="111">
        <f t="shared" si="232"/>
        <v>61</v>
      </c>
    </row>
    <row r="10016" spans="1:2" x14ac:dyDescent="0.2">
      <c r="A10016" s="112">
        <f t="shared" si="231"/>
        <v>44714</v>
      </c>
      <c r="B10016" s="111">
        <f t="shared" si="232"/>
        <v>61</v>
      </c>
    </row>
    <row r="10017" spans="1:2" x14ac:dyDescent="0.2">
      <c r="A10017" s="112">
        <f t="shared" si="231"/>
        <v>44715</v>
      </c>
      <c r="B10017" s="111">
        <f t="shared" si="232"/>
        <v>61</v>
      </c>
    </row>
    <row r="10018" spans="1:2" x14ac:dyDescent="0.2">
      <c r="A10018" s="112">
        <f t="shared" si="231"/>
        <v>44716</v>
      </c>
      <c r="B10018" s="111">
        <f t="shared" si="232"/>
        <v>61</v>
      </c>
    </row>
    <row r="10019" spans="1:2" x14ac:dyDescent="0.2">
      <c r="A10019" s="112">
        <f t="shared" si="231"/>
        <v>44717</v>
      </c>
      <c r="B10019" s="111">
        <f t="shared" si="232"/>
        <v>62</v>
      </c>
    </row>
    <row r="10020" spans="1:2" x14ac:dyDescent="0.2">
      <c r="A10020" s="112">
        <f t="shared" si="231"/>
        <v>44718</v>
      </c>
      <c r="B10020" s="111">
        <f t="shared" si="232"/>
        <v>62</v>
      </c>
    </row>
    <row r="10021" spans="1:2" x14ac:dyDescent="0.2">
      <c r="A10021" s="112">
        <f t="shared" si="231"/>
        <v>44719</v>
      </c>
      <c r="B10021" s="111">
        <f t="shared" si="232"/>
        <v>62</v>
      </c>
    </row>
    <row r="10022" spans="1:2" x14ac:dyDescent="0.2">
      <c r="A10022" s="112">
        <f t="shared" si="231"/>
        <v>44720</v>
      </c>
      <c r="B10022" s="111">
        <f t="shared" si="232"/>
        <v>62</v>
      </c>
    </row>
    <row r="10023" spans="1:2" x14ac:dyDescent="0.2">
      <c r="A10023" s="112">
        <f t="shared" si="231"/>
        <v>44721</v>
      </c>
      <c r="B10023" s="111">
        <f t="shared" si="232"/>
        <v>62</v>
      </c>
    </row>
    <row r="10024" spans="1:2" x14ac:dyDescent="0.2">
      <c r="A10024" s="112">
        <f t="shared" si="231"/>
        <v>44722</v>
      </c>
      <c r="B10024" s="111">
        <f t="shared" si="232"/>
        <v>62</v>
      </c>
    </row>
    <row r="10025" spans="1:2" x14ac:dyDescent="0.2">
      <c r="A10025" s="112">
        <f t="shared" si="231"/>
        <v>44723</v>
      </c>
      <c r="B10025" s="111">
        <f t="shared" si="232"/>
        <v>62</v>
      </c>
    </row>
    <row r="10026" spans="1:2" x14ac:dyDescent="0.2">
      <c r="A10026" s="112">
        <f t="shared" si="231"/>
        <v>44724</v>
      </c>
      <c r="B10026" s="111">
        <f t="shared" si="232"/>
        <v>63</v>
      </c>
    </row>
    <row r="10027" spans="1:2" x14ac:dyDescent="0.2">
      <c r="A10027" s="112">
        <f t="shared" si="231"/>
        <v>44725</v>
      </c>
      <c r="B10027" s="111">
        <f t="shared" si="232"/>
        <v>63</v>
      </c>
    </row>
    <row r="10028" spans="1:2" x14ac:dyDescent="0.2">
      <c r="A10028" s="112">
        <f t="shared" si="231"/>
        <v>44726</v>
      </c>
      <c r="B10028" s="111">
        <f t="shared" si="232"/>
        <v>63</v>
      </c>
    </row>
    <row r="10029" spans="1:2" x14ac:dyDescent="0.2">
      <c r="A10029" s="112">
        <f t="shared" si="231"/>
        <v>44727</v>
      </c>
      <c r="B10029" s="111">
        <f t="shared" si="232"/>
        <v>63</v>
      </c>
    </row>
    <row r="10030" spans="1:2" x14ac:dyDescent="0.2">
      <c r="A10030" s="112">
        <f t="shared" si="231"/>
        <v>44728</v>
      </c>
      <c r="B10030" s="111">
        <f t="shared" si="232"/>
        <v>63</v>
      </c>
    </row>
    <row r="10031" spans="1:2" x14ac:dyDescent="0.2">
      <c r="A10031" s="112">
        <f t="shared" si="231"/>
        <v>44729</v>
      </c>
      <c r="B10031" s="111">
        <f t="shared" si="232"/>
        <v>63</v>
      </c>
    </row>
    <row r="10032" spans="1:2" x14ac:dyDescent="0.2">
      <c r="A10032" s="112">
        <f t="shared" si="231"/>
        <v>44730</v>
      </c>
      <c r="B10032" s="111">
        <f t="shared" si="232"/>
        <v>63</v>
      </c>
    </row>
    <row r="10033" spans="1:2" x14ac:dyDescent="0.2">
      <c r="A10033" s="112">
        <f t="shared" si="231"/>
        <v>44731</v>
      </c>
      <c r="B10033" s="111">
        <f t="shared" si="232"/>
        <v>64</v>
      </c>
    </row>
    <row r="10034" spans="1:2" x14ac:dyDescent="0.2">
      <c r="A10034" s="112">
        <f t="shared" si="231"/>
        <v>44732</v>
      </c>
      <c r="B10034" s="111">
        <f t="shared" si="232"/>
        <v>64</v>
      </c>
    </row>
    <row r="10035" spans="1:2" x14ac:dyDescent="0.2">
      <c r="A10035" s="112">
        <f t="shared" si="231"/>
        <v>44733</v>
      </c>
      <c r="B10035" s="111">
        <f t="shared" si="232"/>
        <v>64</v>
      </c>
    </row>
    <row r="10036" spans="1:2" x14ac:dyDescent="0.2">
      <c r="A10036" s="112">
        <f t="shared" ref="A10036:A10099" si="233">A10035+1</f>
        <v>44734</v>
      </c>
      <c r="B10036" s="111">
        <f t="shared" si="232"/>
        <v>64</v>
      </c>
    </row>
    <row r="10037" spans="1:2" x14ac:dyDescent="0.2">
      <c r="A10037" s="112">
        <f t="shared" si="233"/>
        <v>44735</v>
      </c>
      <c r="B10037" s="111">
        <f t="shared" si="232"/>
        <v>64</v>
      </c>
    </row>
    <row r="10038" spans="1:2" x14ac:dyDescent="0.2">
      <c r="A10038" s="112">
        <f t="shared" si="233"/>
        <v>44736</v>
      </c>
      <c r="B10038" s="111">
        <f t="shared" si="232"/>
        <v>64</v>
      </c>
    </row>
    <row r="10039" spans="1:2" x14ac:dyDescent="0.2">
      <c r="A10039" s="112">
        <f t="shared" si="233"/>
        <v>44737</v>
      </c>
      <c r="B10039" s="111">
        <f t="shared" si="232"/>
        <v>64</v>
      </c>
    </row>
    <row r="10040" spans="1:2" x14ac:dyDescent="0.2">
      <c r="A10040" s="112">
        <f t="shared" si="233"/>
        <v>44738</v>
      </c>
      <c r="B10040" s="111">
        <f t="shared" si="232"/>
        <v>71</v>
      </c>
    </row>
    <row r="10041" spans="1:2" x14ac:dyDescent="0.2">
      <c r="A10041" s="112">
        <f t="shared" si="233"/>
        <v>44739</v>
      </c>
      <c r="B10041" s="111">
        <f t="shared" si="232"/>
        <v>71</v>
      </c>
    </row>
    <row r="10042" spans="1:2" x14ac:dyDescent="0.2">
      <c r="A10042" s="112">
        <f t="shared" si="233"/>
        <v>44740</v>
      </c>
      <c r="B10042" s="111">
        <f t="shared" si="232"/>
        <v>71</v>
      </c>
    </row>
    <row r="10043" spans="1:2" x14ac:dyDescent="0.2">
      <c r="A10043" s="112">
        <f t="shared" si="233"/>
        <v>44741</v>
      </c>
      <c r="B10043" s="111">
        <f t="shared" si="232"/>
        <v>71</v>
      </c>
    </row>
    <row r="10044" spans="1:2" x14ac:dyDescent="0.2">
      <c r="A10044" s="112">
        <f t="shared" si="233"/>
        <v>44742</v>
      </c>
      <c r="B10044" s="111">
        <f t="shared" si="232"/>
        <v>71</v>
      </c>
    </row>
    <row r="10045" spans="1:2" x14ac:dyDescent="0.2">
      <c r="A10045" s="112">
        <f t="shared" si="233"/>
        <v>44743</v>
      </c>
      <c r="B10045" s="111">
        <f t="shared" si="232"/>
        <v>71</v>
      </c>
    </row>
    <row r="10046" spans="1:2" x14ac:dyDescent="0.2">
      <c r="A10046" s="112">
        <f t="shared" si="233"/>
        <v>44744</v>
      </c>
      <c r="B10046" s="111">
        <f t="shared" si="232"/>
        <v>71</v>
      </c>
    </row>
    <row r="10047" spans="1:2" x14ac:dyDescent="0.2">
      <c r="A10047" s="112">
        <f t="shared" si="233"/>
        <v>44745</v>
      </c>
      <c r="B10047" s="111">
        <f t="shared" si="232"/>
        <v>72</v>
      </c>
    </row>
    <row r="10048" spans="1:2" x14ac:dyDescent="0.2">
      <c r="A10048" s="112">
        <f t="shared" si="233"/>
        <v>44746</v>
      </c>
      <c r="B10048" s="111">
        <f t="shared" si="232"/>
        <v>72</v>
      </c>
    </row>
    <row r="10049" spans="1:2" x14ac:dyDescent="0.2">
      <c r="A10049" s="112">
        <f t="shared" si="233"/>
        <v>44747</v>
      </c>
      <c r="B10049" s="111">
        <f t="shared" si="232"/>
        <v>72</v>
      </c>
    </row>
    <row r="10050" spans="1:2" x14ac:dyDescent="0.2">
      <c r="A10050" s="112">
        <f t="shared" si="233"/>
        <v>44748</v>
      </c>
      <c r="B10050" s="111">
        <f t="shared" si="232"/>
        <v>72</v>
      </c>
    </row>
    <row r="10051" spans="1:2" x14ac:dyDescent="0.2">
      <c r="A10051" s="112">
        <f t="shared" si="233"/>
        <v>44749</v>
      </c>
      <c r="B10051" s="111">
        <f t="shared" si="232"/>
        <v>72</v>
      </c>
    </row>
    <row r="10052" spans="1:2" x14ac:dyDescent="0.2">
      <c r="A10052" s="112">
        <f t="shared" si="233"/>
        <v>44750</v>
      </c>
      <c r="B10052" s="111">
        <f t="shared" si="232"/>
        <v>72</v>
      </c>
    </row>
    <row r="10053" spans="1:2" x14ac:dyDescent="0.2">
      <c r="A10053" s="112">
        <f t="shared" si="233"/>
        <v>44751</v>
      </c>
      <c r="B10053" s="111">
        <f t="shared" si="232"/>
        <v>72</v>
      </c>
    </row>
    <row r="10054" spans="1:2" x14ac:dyDescent="0.2">
      <c r="A10054" s="112">
        <f t="shared" si="233"/>
        <v>44752</v>
      </c>
      <c r="B10054" s="111">
        <f t="shared" si="232"/>
        <v>73</v>
      </c>
    </row>
    <row r="10055" spans="1:2" x14ac:dyDescent="0.2">
      <c r="A10055" s="112">
        <f t="shared" si="233"/>
        <v>44753</v>
      </c>
      <c r="B10055" s="111">
        <f t="shared" si="232"/>
        <v>73</v>
      </c>
    </row>
    <row r="10056" spans="1:2" x14ac:dyDescent="0.2">
      <c r="A10056" s="112">
        <f t="shared" si="233"/>
        <v>44754</v>
      </c>
      <c r="B10056" s="111">
        <f t="shared" si="232"/>
        <v>73</v>
      </c>
    </row>
    <row r="10057" spans="1:2" x14ac:dyDescent="0.2">
      <c r="A10057" s="112">
        <f t="shared" si="233"/>
        <v>44755</v>
      </c>
      <c r="B10057" s="111">
        <f t="shared" si="232"/>
        <v>73</v>
      </c>
    </row>
    <row r="10058" spans="1:2" x14ac:dyDescent="0.2">
      <c r="A10058" s="112">
        <f t="shared" si="233"/>
        <v>44756</v>
      </c>
      <c r="B10058" s="111">
        <f t="shared" si="232"/>
        <v>73</v>
      </c>
    </row>
    <row r="10059" spans="1:2" x14ac:dyDescent="0.2">
      <c r="A10059" s="112">
        <f t="shared" si="233"/>
        <v>44757</v>
      </c>
      <c r="B10059" s="111">
        <f t="shared" si="232"/>
        <v>73</v>
      </c>
    </row>
    <row r="10060" spans="1:2" x14ac:dyDescent="0.2">
      <c r="A10060" s="112">
        <f t="shared" si="233"/>
        <v>44758</v>
      </c>
      <c r="B10060" s="111">
        <f t="shared" si="232"/>
        <v>73</v>
      </c>
    </row>
    <row r="10061" spans="1:2" x14ac:dyDescent="0.2">
      <c r="A10061" s="112">
        <f t="shared" si="233"/>
        <v>44759</v>
      </c>
      <c r="B10061" s="111">
        <f t="shared" si="232"/>
        <v>74</v>
      </c>
    </row>
    <row r="10062" spans="1:2" x14ac:dyDescent="0.2">
      <c r="A10062" s="112">
        <f t="shared" si="233"/>
        <v>44760</v>
      </c>
      <c r="B10062" s="111">
        <f t="shared" ref="B10062:B10125" si="234">VLOOKUP(WEEKNUM(A10062),$D$3:$E$58,2)</f>
        <v>74</v>
      </c>
    </row>
    <row r="10063" spans="1:2" x14ac:dyDescent="0.2">
      <c r="A10063" s="112">
        <f t="shared" si="233"/>
        <v>44761</v>
      </c>
      <c r="B10063" s="111">
        <f t="shared" si="234"/>
        <v>74</v>
      </c>
    </row>
    <row r="10064" spans="1:2" x14ac:dyDescent="0.2">
      <c r="A10064" s="112">
        <f t="shared" si="233"/>
        <v>44762</v>
      </c>
      <c r="B10064" s="111">
        <f t="shared" si="234"/>
        <v>74</v>
      </c>
    </row>
    <row r="10065" spans="1:2" x14ac:dyDescent="0.2">
      <c r="A10065" s="112">
        <f t="shared" si="233"/>
        <v>44763</v>
      </c>
      <c r="B10065" s="111">
        <f t="shared" si="234"/>
        <v>74</v>
      </c>
    </row>
    <row r="10066" spans="1:2" x14ac:dyDescent="0.2">
      <c r="A10066" s="112">
        <f t="shared" si="233"/>
        <v>44764</v>
      </c>
      <c r="B10066" s="111">
        <f t="shared" si="234"/>
        <v>74</v>
      </c>
    </row>
    <row r="10067" spans="1:2" x14ac:dyDescent="0.2">
      <c r="A10067" s="112">
        <f t="shared" si="233"/>
        <v>44765</v>
      </c>
      <c r="B10067" s="111">
        <f t="shared" si="234"/>
        <v>74</v>
      </c>
    </row>
    <row r="10068" spans="1:2" x14ac:dyDescent="0.2">
      <c r="A10068" s="112">
        <f t="shared" si="233"/>
        <v>44766</v>
      </c>
      <c r="B10068" s="111">
        <f t="shared" si="234"/>
        <v>75</v>
      </c>
    </row>
    <row r="10069" spans="1:2" x14ac:dyDescent="0.2">
      <c r="A10069" s="112">
        <f t="shared" si="233"/>
        <v>44767</v>
      </c>
      <c r="B10069" s="111">
        <f t="shared" si="234"/>
        <v>75</v>
      </c>
    </row>
    <row r="10070" spans="1:2" x14ac:dyDescent="0.2">
      <c r="A10070" s="112">
        <f t="shared" si="233"/>
        <v>44768</v>
      </c>
      <c r="B10070" s="111">
        <f t="shared" si="234"/>
        <v>75</v>
      </c>
    </row>
    <row r="10071" spans="1:2" x14ac:dyDescent="0.2">
      <c r="A10071" s="112">
        <f t="shared" si="233"/>
        <v>44769</v>
      </c>
      <c r="B10071" s="111">
        <f t="shared" si="234"/>
        <v>75</v>
      </c>
    </row>
    <row r="10072" spans="1:2" x14ac:dyDescent="0.2">
      <c r="A10072" s="112">
        <f t="shared" si="233"/>
        <v>44770</v>
      </c>
      <c r="B10072" s="111">
        <f t="shared" si="234"/>
        <v>75</v>
      </c>
    </row>
    <row r="10073" spans="1:2" x14ac:dyDescent="0.2">
      <c r="A10073" s="112">
        <f t="shared" si="233"/>
        <v>44771</v>
      </c>
      <c r="B10073" s="111">
        <f t="shared" si="234"/>
        <v>75</v>
      </c>
    </row>
    <row r="10074" spans="1:2" x14ac:dyDescent="0.2">
      <c r="A10074" s="112">
        <f t="shared" si="233"/>
        <v>44772</v>
      </c>
      <c r="B10074" s="111">
        <f t="shared" si="234"/>
        <v>75</v>
      </c>
    </row>
    <row r="10075" spans="1:2" x14ac:dyDescent="0.2">
      <c r="A10075" s="112">
        <f t="shared" si="233"/>
        <v>44773</v>
      </c>
      <c r="B10075" s="111">
        <f t="shared" si="234"/>
        <v>81</v>
      </c>
    </row>
    <row r="10076" spans="1:2" x14ac:dyDescent="0.2">
      <c r="A10076" s="112">
        <f t="shared" si="233"/>
        <v>44774</v>
      </c>
      <c r="B10076" s="111">
        <f t="shared" si="234"/>
        <v>81</v>
      </c>
    </row>
    <row r="10077" spans="1:2" x14ac:dyDescent="0.2">
      <c r="A10077" s="112">
        <f t="shared" si="233"/>
        <v>44775</v>
      </c>
      <c r="B10077" s="111">
        <f t="shared" si="234"/>
        <v>81</v>
      </c>
    </row>
    <row r="10078" spans="1:2" x14ac:dyDescent="0.2">
      <c r="A10078" s="112">
        <f t="shared" si="233"/>
        <v>44776</v>
      </c>
      <c r="B10078" s="111">
        <f t="shared" si="234"/>
        <v>81</v>
      </c>
    </row>
    <row r="10079" spans="1:2" x14ac:dyDescent="0.2">
      <c r="A10079" s="112">
        <f t="shared" si="233"/>
        <v>44777</v>
      </c>
      <c r="B10079" s="111">
        <f t="shared" si="234"/>
        <v>81</v>
      </c>
    </row>
    <row r="10080" spans="1:2" x14ac:dyDescent="0.2">
      <c r="A10080" s="112">
        <f t="shared" si="233"/>
        <v>44778</v>
      </c>
      <c r="B10080" s="111">
        <f t="shared" si="234"/>
        <v>81</v>
      </c>
    </row>
    <row r="10081" spans="1:2" x14ac:dyDescent="0.2">
      <c r="A10081" s="112">
        <f t="shared" si="233"/>
        <v>44779</v>
      </c>
      <c r="B10081" s="111">
        <f t="shared" si="234"/>
        <v>81</v>
      </c>
    </row>
    <row r="10082" spans="1:2" x14ac:dyDescent="0.2">
      <c r="A10082" s="112">
        <f t="shared" si="233"/>
        <v>44780</v>
      </c>
      <c r="B10082" s="111">
        <f t="shared" si="234"/>
        <v>82</v>
      </c>
    </row>
    <row r="10083" spans="1:2" x14ac:dyDescent="0.2">
      <c r="A10083" s="112">
        <f t="shared" si="233"/>
        <v>44781</v>
      </c>
      <c r="B10083" s="111">
        <f t="shared" si="234"/>
        <v>82</v>
      </c>
    </row>
    <row r="10084" spans="1:2" x14ac:dyDescent="0.2">
      <c r="A10084" s="112">
        <f t="shared" si="233"/>
        <v>44782</v>
      </c>
      <c r="B10084" s="111">
        <f t="shared" si="234"/>
        <v>82</v>
      </c>
    </row>
    <row r="10085" spans="1:2" x14ac:dyDescent="0.2">
      <c r="A10085" s="112">
        <f t="shared" si="233"/>
        <v>44783</v>
      </c>
      <c r="B10085" s="111">
        <f t="shared" si="234"/>
        <v>82</v>
      </c>
    </row>
    <row r="10086" spans="1:2" x14ac:dyDescent="0.2">
      <c r="A10086" s="112">
        <f t="shared" si="233"/>
        <v>44784</v>
      </c>
      <c r="B10086" s="111">
        <f t="shared" si="234"/>
        <v>82</v>
      </c>
    </row>
    <row r="10087" spans="1:2" x14ac:dyDescent="0.2">
      <c r="A10087" s="112">
        <f t="shared" si="233"/>
        <v>44785</v>
      </c>
      <c r="B10087" s="111">
        <f t="shared" si="234"/>
        <v>82</v>
      </c>
    </row>
    <row r="10088" spans="1:2" x14ac:dyDescent="0.2">
      <c r="A10088" s="112">
        <f t="shared" si="233"/>
        <v>44786</v>
      </c>
      <c r="B10088" s="111">
        <f t="shared" si="234"/>
        <v>82</v>
      </c>
    </row>
    <row r="10089" spans="1:2" x14ac:dyDescent="0.2">
      <c r="A10089" s="112">
        <f t="shared" si="233"/>
        <v>44787</v>
      </c>
      <c r="B10089" s="111">
        <f t="shared" si="234"/>
        <v>83</v>
      </c>
    </row>
    <row r="10090" spans="1:2" x14ac:dyDescent="0.2">
      <c r="A10090" s="112">
        <f t="shared" si="233"/>
        <v>44788</v>
      </c>
      <c r="B10090" s="111">
        <f t="shared" si="234"/>
        <v>83</v>
      </c>
    </row>
    <row r="10091" spans="1:2" x14ac:dyDescent="0.2">
      <c r="A10091" s="112">
        <f t="shared" si="233"/>
        <v>44789</v>
      </c>
      <c r="B10091" s="111">
        <f t="shared" si="234"/>
        <v>83</v>
      </c>
    </row>
    <row r="10092" spans="1:2" x14ac:dyDescent="0.2">
      <c r="A10092" s="112">
        <f t="shared" si="233"/>
        <v>44790</v>
      </c>
      <c r="B10092" s="111">
        <f t="shared" si="234"/>
        <v>83</v>
      </c>
    </row>
    <row r="10093" spans="1:2" x14ac:dyDescent="0.2">
      <c r="A10093" s="112">
        <f t="shared" si="233"/>
        <v>44791</v>
      </c>
      <c r="B10093" s="111">
        <f t="shared" si="234"/>
        <v>83</v>
      </c>
    </row>
    <row r="10094" spans="1:2" x14ac:dyDescent="0.2">
      <c r="A10094" s="112">
        <f t="shared" si="233"/>
        <v>44792</v>
      </c>
      <c r="B10094" s="111">
        <f t="shared" si="234"/>
        <v>83</v>
      </c>
    </row>
    <row r="10095" spans="1:2" x14ac:dyDescent="0.2">
      <c r="A10095" s="112">
        <f t="shared" si="233"/>
        <v>44793</v>
      </c>
      <c r="B10095" s="111">
        <f t="shared" si="234"/>
        <v>83</v>
      </c>
    </row>
    <row r="10096" spans="1:2" x14ac:dyDescent="0.2">
      <c r="A10096" s="112">
        <f t="shared" si="233"/>
        <v>44794</v>
      </c>
      <c r="B10096" s="111">
        <f t="shared" si="234"/>
        <v>84</v>
      </c>
    </row>
    <row r="10097" spans="1:2" x14ac:dyDescent="0.2">
      <c r="A10097" s="112">
        <f t="shared" si="233"/>
        <v>44795</v>
      </c>
      <c r="B10097" s="111">
        <f t="shared" si="234"/>
        <v>84</v>
      </c>
    </row>
    <row r="10098" spans="1:2" x14ac:dyDescent="0.2">
      <c r="A10098" s="112">
        <f t="shared" si="233"/>
        <v>44796</v>
      </c>
      <c r="B10098" s="111">
        <f t="shared" si="234"/>
        <v>84</v>
      </c>
    </row>
    <row r="10099" spans="1:2" x14ac:dyDescent="0.2">
      <c r="A10099" s="112">
        <f t="shared" si="233"/>
        <v>44797</v>
      </c>
      <c r="B10099" s="111">
        <f t="shared" si="234"/>
        <v>84</v>
      </c>
    </row>
    <row r="10100" spans="1:2" x14ac:dyDescent="0.2">
      <c r="A10100" s="112">
        <f t="shared" ref="A10100:A10163" si="235">A10099+1</f>
        <v>44798</v>
      </c>
      <c r="B10100" s="111">
        <f t="shared" si="234"/>
        <v>84</v>
      </c>
    </row>
    <row r="10101" spans="1:2" x14ac:dyDescent="0.2">
      <c r="A10101" s="112">
        <f t="shared" si="235"/>
        <v>44799</v>
      </c>
      <c r="B10101" s="111">
        <f t="shared" si="234"/>
        <v>84</v>
      </c>
    </row>
    <row r="10102" spans="1:2" x14ac:dyDescent="0.2">
      <c r="A10102" s="112">
        <f t="shared" si="235"/>
        <v>44800</v>
      </c>
      <c r="B10102" s="111">
        <f t="shared" si="234"/>
        <v>84</v>
      </c>
    </row>
    <row r="10103" spans="1:2" x14ac:dyDescent="0.2">
      <c r="A10103" s="112">
        <f t="shared" si="235"/>
        <v>44801</v>
      </c>
      <c r="B10103" s="111">
        <f t="shared" si="234"/>
        <v>91</v>
      </c>
    </row>
    <row r="10104" spans="1:2" x14ac:dyDescent="0.2">
      <c r="A10104" s="112">
        <f t="shared" si="235"/>
        <v>44802</v>
      </c>
      <c r="B10104" s="111">
        <f t="shared" si="234"/>
        <v>91</v>
      </c>
    </row>
    <row r="10105" spans="1:2" x14ac:dyDescent="0.2">
      <c r="A10105" s="112">
        <f t="shared" si="235"/>
        <v>44803</v>
      </c>
      <c r="B10105" s="111">
        <f t="shared" si="234"/>
        <v>91</v>
      </c>
    </row>
    <row r="10106" spans="1:2" x14ac:dyDescent="0.2">
      <c r="A10106" s="112">
        <f t="shared" si="235"/>
        <v>44804</v>
      </c>
      <c r="B10106" s="111">
        <f t="shared" si="234"/>
        <v>91</v>
      </c>
    </row>
    <row r="10107" spans="1:2" x14ac:dyDescent="0.2">
      <c r="A10107" s="112">
        <f t="shared" si="235"/>
        <v>44805</v>
      </c>
      <c r="B10107" s="111">
        <f t="shared" si="234"/>
        <v>91</v>
      </c>
    </row>
    <row r="10108" spans="1:2" x14ac:dyDescent="0.2">
      <c r="A10108" s="112">
        <f t="shared" si="235"/>
        <v>44806</v>
      </c>
      <c r="B10108" s="111">
        <f t="shared" si="234"/>
        <v>91</v>
      </c>
    </row>
    <row r="10109" spans="1:2" x14ac:dyDescent="0.2">
      <c r="A10109" s="112">
        <f t="shared" si="235"/>
        <v>44807</v>
      </c>
      <c r="B10109" s="111">
        <f t="shared" si="234"/>
        <v>91</v>
      </c>
    </row>
    <row r="10110" spans="1:2" x14ac:dyDescent="0.2">
      <c r="A10110" s="112">
        <f t="shared" si="235"/>
        <v>44808</v>
      </c>
      <c r="B10110" s="111">
        <f t="shared" si="234"/>
        <v>92</v>
      </c>
    </row>
    <row r="10111" spans="1:2" x14ac:dyDescent="0.2">
      <c r="A10111" s="112">
        <f t="shared" si="235"/>
        <v>44809</v>
      </c>
      <c r="B10111" s="111">
        <f t="shared" si="234"/>
        <v>92</v>
      </c>
    </row>
    <row r="10112" spans="1:2" x14ac:dyDescent="0.2">
      <c r="A10112" s="112">
        <f t="shared" si="235"/>
        <v>44810</v>
      </c>
      <c r="B10112" s="111">
        <f t="shared" si="234"/>
        <v>92</v>
      </c>
    </row>
    <row r="10113" spans="1:2" x14ac:dyDescent="0.2">
      <c r="A10113" s="112">
        <f t="shared" si="235"/>
        <v>44811</v>
      </c>
      <c r="B10113" s="111">
        <f t="shared" si="234"/>
        <v>92</v>
      </c>
    </row>
    <row r="10114" spans="1:2" x14ac:dyDescent="0.2">
      <c r="A10114" s="112">
        <f t="shared" si="235"/>
        <v>44812</v>
      </c>
      <c r="B10114" s="111">
        <f t="shared" si="234"/>
        <v>92</v>
      </c>
    </row>
    <row r="10115" spans="1:2" x14ac:dyDescent="0.2">
      <c r="A10115" s="112">
        <f t="shared" si="235"/>
        <v>44813</v>
      </c>
      <c r="B10115" s="111">
        <f t="shared" si="234"/>
        <v>92</v>
      </c>
    </row>
    <row r="10116" spans="1:2" x14ac:dyDescent="0.2">
      <c r="A10116" s="112">
        <f t="shared" si="235"/>
        <v>44814</v>
      </c>
      <c r="B10116" s="111">
        <f t="shared" si="234"/>
        <v>92</v>
      </c>
    </row>
    <row r="10117" spans="1:2" x14ac:dyDescent="0.2">
      <c r="A10117" s="112">
        <f t="shared" si="235"/>
        <v>44815</v>
      </c>
      <c r="B10117" s="111">
        <f t="shared" si="234"/>
        <v>93</v>
      </c>
    </row>
    <row r="10118" spans="1:2" x14ac:dyDescent="0.2">
      <c r="A10118" s="112">
        <f t="shared" si="235"/>
        <v>44816</v>
      </c>
      <c r="B10118" s="111">
        <f t="shared" si="234"/>
        <v>93</v>
      </c>
    </row>
    <row r="10119" spans="1:2" x14ac:dyDescent="0.2">
      <c r="A10119" s="112">
        <f t="shared" si="235"/>
        <v>44817</v>
      </c>
      <c r="B10119" s="111">
        <f t="shared" si="234"/>
        <v>93</v>
      </c>
    </row>
    <row r="10120" spans="1:2" x14ac:dyDescent="0.2">
      <c r="A10120" s="112">
        <f t="shared" si="235"/>
        <v>44818</v>
      </c>
      <c r="B10120" s="111">
        <f t="shared" si="234"/>
        <v>93</v>
      </c>
    </row>
    <row r="10121" spans="1:2" x14ac:dyDescent="0.2">
      <c r="A10121" s="112">
        <f t="shared" si="235"/>
        <v>44819</v>
      </c>
      <c r="B10121" s="111">
        <f t="shared" si="234"/>
        <v>93</v>
      </c>
    </row>
    <row r="10122" spans="1:2" x14ac:dyDescent="0.2">
      <c r="A10122" s="112">
        <f t="shared" si="235"/>
        <v>44820</v>
      </c>
      <c r="B10122" s="111">
        <f t="shared" si="234"/>
        <v>93</v>
      </c>
    </row>
    <row r="10123" spans="1:2" x14ac:dyDescent="0.2">
      <c r="A10123" s="112">
        <f t="shared" si="235"/>
        <v>44821</v>
      </c>
      <c r="B10123" s="111">
        <f t="shared" si="234"/>
        <v>93</v>
      </c>
    </row>
    <row r="10124" spans="1:2" x14ac:dyDescent="0.2">
      <c r="A10124" s="112">
        <f t="shared" si="235"/>
        <v>44822</v>
      </c>
      <c r="B10124" s="111">
        <f t="shared" si="234"/>
        <v>94</v>
      </c>
    </row>
    <row r="10125" spans="1:2" x14ac:dyDescent="0.2">
      <c r="A10125" s="112">
        <f t="shared" si="235"/>
        <v>44823</v>
      </c>
      <c r="B10125" s="111">
        <f t="shared" si="234"/>
        <v>94</v>
      </c>
    </row>
    <row r="10126" spans="1:2" x14ac:dyDescent="0.2">
      <c r="A10126" s="112">
        <f t="shared" si="235"/>
        <v>44824</v>
      </c>
      <c r="B10126" s="111">
        <f t="shared" ref="B10126:B10189" si="236">VLOOKUP(WEEKNUM(A10126),$D$3:$E$58,2)</f>
        <v>94</v>
      </c>
    </row>
    <row r="10127" spans="1:2" x14ac:dyDescent="0.2">
      <c r="A10127" s="112">
        <f t="shared" si="235"/>
        <v>44825</v>
      </c>
      <c r="B10127" s="111">
        <f t="shared" si="236"/>
        <v>94</v>
      </c>
    </row>
    <row r="10128" spans="1:2" x14ac:dyDescent="0.2">
      <c r="A10128" s="112">
        <f t="shared" si="235"/>
        <v>44826</v>
      </c>
      <c r="B10128" s="111">
        <f t="shared" si="236"/>
        <v>94</v>
      </c>
    </row>
    <row r="10129" spans="1:2" x14ac:dyDescent="0.2">
      <c r="A10129" s="112">
        <f t="shared" si="235"/>
        <v>44827</v>
      </c>
      <c r="B10129" s="111">
        <f t="shared" si="236"/>
        <v>94</v>
      </c>
    </row>
    <row r="10130" spans="1:2" x14ac:dyDescent="0.2">
      <c r="A10130" s="112">
        <f t="shared" si="235"/>
        <v>44828</v>
      </c>
      <c r="B10130" s="111">
        <f t="shared" si="236"/>
        <v>94</v>
      </c>
    </row>
    <row r="10131" spans="1:2" x14ac:dyDescent="0.2">
      <c r="A10131" s="112">
        <f t="shared" si="235"/>
        <v>44829</v>
      </c>
      <c r="B10131" s="111">
        <f t="shared" si="236"/>
        <v>101</v>
      </c>
    </row>
    <row r="10132" spans="1:2" x14ac:dyDescent="0.2">
      <c r="A10132" s="112">
        <f t="shared" si="235"/>
        <v>44830</v>
      </c>
      <c r="B10132" s="111">
        <f t="shared" si="236"/>
        <v>101</v>
      </c>
    </row>
    <row r="10133" spans="1:2" x14ac:dyDescent="0.2">
      <c r="A10133" s="112">
        <f t="shared" si="235"/>
        <v>44831</v>
      </c>
      <c r="B10133" s="111">
        <f t="shared" si="236"/>
        <v>101</v>
      </c>
    </row>
    <row r="10134" spans="1:2" x14ac:dyDescent="0.2">
      <c r="A10134" s="112">
        <f t="shared" si="235"/>
        <v>44832</v>
      </c>
      <c r="B10134" s="111">
        <f t="shared" si="236"/>
        <v>101</v>
      </c>
    </row>
    <row r="10135" spans="1:2" x14ac:dyDescent="0.2">
      <c r="A10135" s="112">
        <f t="shared" si="235"/>
        <v>44833</v>
      </c>
      <c r="B10135" s="111">
        <f t="shared" si="236"/>
        <v>101</v>
      </c>
    </row>
    <row r="10136" spans="1:2" x14ac:dyDescent="0.2">
      <c r="A10136" s="112">
        <f t="shared" si="235"/>
        <v>44834</v>
      </c>
      <c r="B10136" s="111">
        <f t="shared" si="236"/>
        <v>101</v>
      </c>
    </row>
    <row r="10137" spans="1:2" x14ac:dyDescent="0.2">
      <c r="A10137" s="112">
        <f t="shared" si="235"/>
        <v>44835</v>
      </c>
      <c r="B10137" s="111">
        <f t="shared" si="236"/>
        <v>101</v>
      </c>
    </row>
    <row r="10138" spans="1:2" x14ac:dyDescent="0.2">
      <c r="A10138" s="112">
        <f t="shared" si="235"/>
        <v>44836</v>
      </c>
      <c r="B10138" s="111">
        <f t="shared" si="236"/>
        <v>102</v>
      </c>
    </row>
    <row r="10139" spans="1:2" x14ac:dyDescent="0.2">
      <c r="A10139" s="112">
        <f t="shared" si="235"/>
        <v>44837</v>
      </c>
      <c r="B10139" s="111">
        <f t="shared" si="236"/>
        <v>102</v>
      </c>
    </row>
    <row r="10140" spans="1:2" x14ac:dyDescent="0.2">
      <c r="A10140" s="112">
        <f t="shared" si="235"/>
        <v>44838</v>
      </c>
      <c r="B10140" s="111">
        <f t="shared" si="236"/>
        <v>102</v>
      </c>
    </row>
    <row r="10141" spans="1:2" x14ac:dyDescent="0.2">
      <c r="A10141" s="112">
        <f t="shared" si="235"/>
        <v>44839</v>
      </c>
      <c r="B10141" s="111">
        <f t="shared" si="236"/>
        <v>102</v>
      </c>
    </row>
    <row r="10142" spans="1:2" x14ac:dyDescent="0.2">
      <c r="A10142" s="112">
        <f t="shared" si="235"/>
        <v>44840</v>
      </c>
      <c r="B10142" s="111">
        <f t="shared" si="236"/>
        <v>102</v>
      </c>
    </row>
    <row r="10143" spans="1:2" x14ac:dyDescent="0.2">
      <c r="A10143" s="112">
        <f t="shared" si="235"/>
        <v>44841</v>
      </c>
      <c r="B10143" s="111">
        <f t="shared" si="236"/>
        <v>102</v>
      </c>
    </row>
    <row r="10144" spans="1:2" x14ac:dyDescent="0.2">
      <c r="A10144" s="112">
        <f t="shared" si="235"/>
        <v>44842</v>
      </c>
      <c r="B10144" s="111">
        <f t="shared" si="236"/>
        <v>102</v>
      </c>
    </row>
    <row r="10145" spans="1:2" x14ac:dyDescent="0.2">
      <c r="A10145" s="112">
        <f t="shared" si="235"/>
        <v>44843</v>
      </c>
      <c r="B10145" s="111">
        <f t="shared" si="236"/>
        <v>103</v>
      </c>
    </row>
    <row r="10146" spans="1:2" x14ac:dyDescent="0.2">
      <c r="A10146" s="112">
        <f t="shared" si="235"/>
        <v>44844</v>
      </c>
      <c r="B10146" s="111">
        <f t="shared" si="236"/>
        <v>103</v>
      </c>
    </row>
    <row r="10147" spans="1:2" x14ac:dyDescent="0.2">
      <c r="A10147" s="112">
        <f t="shared" si="235"/>
        <v>44845</v>
      </c>
      <c r="B10147" s="111">
        <f t="shared" si="236"/>
        <v>103</v>
      </c>
    </row>
    <row r="10148" spans="1:2" x14ac:dyDescent="0.2">
      <c r="A10148" s="112">
        <f t="shared" si="235"/>
        <v>44846</v>
      </c>
      <c r="B10148" s="111">
        <f t="shared" si="236"/>
        <v>103</v>
      </c>
    </row>
    <row r="10149" spans="1:2" x14ac:dyDescent="0.2">
      <c r="A10149" s="112">
        <f t="shared" si="235"/>
        <v>44847</v>
      </c>
      <c r="B10149" s="111">
        <f t="shared" si="236"/>
        <v>103</v>
      </c>
    </row>
    <row r="10150" spans="1:2" x14ac:dyDescent="0.2">
      <c r="A10150" s="112">
        <f t="shared" si="235"/>
        <v>44848</v>
      </c>
      <c r="B10150" s="111">
        <f t="shared" si="236"/>
        <v>103</v>
      </c>
    </row>
    <row r="10151" spans="1:2" x14ac:dyDescent="0.2">
      <c r="A10151" s="112">
        <f t="shared" si="235"/>
        <v>44849</v>
      </c>
      <c r="B10151" s="111">
        <f t="shared" si="236"/>
        <v>103</v>
      </c>
    </row>
    <row r="10152" spans="1:2" x14ac:dyDescent="0.2">
      <c r="A10152" s="112">
        <f t="shared" si="235"/>
        <v>44850</v>
      </c>
      <c r="B10152" s="111">
        <f t="shared" si="236"/>
        <v>104</v>
      </c>
    </row>
    <row r="10153" spans="1:2" x14ac:dyDescent="0.2">
      <c r="A10153" s="112">
        <f t="shared" si="235"/>
        <v>44851</v>
      </c>
      <c r="B10153" s="111">
        <f t="shared" si="236"/>
        <v>104</v>
      </c>
    </row>
    <row r="10154" spans="1:2" x14ac:dyDescent="0.2">
      <c r="A10154" s="112">
        <f t="shared" si="235"/>
        <v>44852</v>
      </c>
      <c r="B10154" s="111">
        <f t="shared" si="236"/>
        <v>104</v>
      </c>
    </row>
    <row r="10155" spans="1:2" x14ac:dyDescent="0.2">
      <c r="A10155" s="112">
        <f t="shared" si="235"/>
        <v>44853</v>
      </c>
      <c r="B10155" s="111">
        <f t="shared" si="236"/>
        <v>104</v>
      </c>
    </row>
    <row r="10156" spans="1:2" x14ac:dyDescent="0.2">
      <c r="A10156" s="112">
        <f t="shared" si="235"/>
        <v>44854</v>
      </c>
      <c r="B10156" s="111">
        <f t="shared" si="236"/>
        <v>104</v>
      </c>
    </row>
    <row r="10157" spans="1:2" x14ac:dyDescent="0.2">
      <c r="A10157" s="112">
        <f t="shared" si="235"/>
        <v>44855</v>
      </c>
      <c r="B10157" s="111">
        <f t="shared" si="236"/>
        <v>104</v>
      </c>
    </row>
    <row r="10158" spans="1:2" x14ac:dyDescent="0.2">
      <c r="A10158" s="112">
        <f t="shared" si="235"/>
        <v>44856</v>
      </c>
      <c r="B10158" s="111">
        <f t="shared" si="236"/>
        <v>104</v>
      </c>
    </row>
    <row r="10159" spans="1:2" x14ac:dyDescent="0.2">
      <c r="A10159" s="112">
        <f t="shared" si="235"/>
        <v>44857</v>
      </c>
      <c r="B10159" s="111">
        <f t="shared" si="236"/>
        <v>105</v>
      </c>
    </row>
    <row r="10160" spans="1:2" x14ac:dyDescent="0.2">
      <c r="A10160" s="112">
        <f t="shared" si="235"/>
        <v>44858</v>
      </c>
      <c r="B10160" s="111">
        <f t="shared" si="236"/>
        <v>105</v>
      </c>
    </row>
    <row r="10161" spans="1:2" x14ac:dyDescent="0.2">
      <c r="A10161" s="112">
        <f t="shared" si="235"/>
        <v>44859</v>
      </c>
      <c r="B10161" s="111">
        <f t="shared" si="236"/>
        <v>105</v>
      </c>
    </row>
    <row r="10162" spans="1:2" x14ac:dyDescent="0.2">
      <c r="A10162" s="112">
        <f t="shared" si="235"/>
        <v>44860</v>
      </c>
      <c r="B10162" s="111">
        <f t="shared" si="236"/>
        <v>105</v>
      </c>
    </row>
    <row r="10163" spans="1:2" x14ac:dyDescent="0.2">
      <c r="A10163" s="112">
        <f t="shared" si="235"/>
        <v>44861</v>
      </c>
      <c r="B10163" s="111">
        <f t="shared" si="236"/>
        <v>105</v>
      </c>
    </row>
    <row r="10164" spans="1:2" x14ac:dyDescent="0.2">
      <c r="A10164" s="112">
        <f t="shared" ref="A10164:A10227" si="237">A10163+1</f>
        <v>44862</v>
      </c>
      <c r="B10164" s="111">
        <f t="shared" si="236"/>
        <v>105</v>
      </c>
    </row>
    <row r="10165" spans="1:2" x14ac:dyDescent="0.2">
      <c r="A10165" s="112">
        <f t="shared" si="237"/>
        <v>44863</v>
      </c>
      <c r="B10165" s="111">
        <f t="shared" si="236"/>
        <v>105</v>
      </c>
    </row>
    <row r="10166" spans="1:2" x14ac:dyDescent="0.2">
      <c r="A10166" s="112">
        <f t="shared" si="237"/>
        <v>44864</v>
      </c>
      <c r="B10166" s="111">
        <f t="shared" si="236"/>
        <v>111</v>
      </c>
    </row>
    <row r="10167" spans="1:2" x14ac:dyDescent="0.2">
      <c r="A10167" s="112">
        <f t="shared" si="237"/>
        <v>44865</v>
      </c>
      <c r="B10167" s="111">
        <f t="shared" si="236"/>
        <v>111</v>
      </c>
    </row>
    <row r="10168" spans="1:2" x14ac:dyDescent="0.2">
      <c r="A10168" s="112">
        <f t="shared" si="237"/>
        <v>44866</v>
      </c>
      <c r="B10168" s="111">
        <f t="shared" si="236"/>
        <v>111</v>
      </c>
    </row>
    <row r="10169" spans="1:2" x14ac:dyDescent="0.2">
      <c r="A10169" s="112">
        <f t="shared" si="237"/>
        <v>44867</v>
      </c>
      <c r="B10169" s="111">
        <f t="shared" si="236"/>
        <v>111</v>
      </c>
    </row>
    <row r="10170" spans="1:2" x14ac:dyDescent="0.2">
      <c r="A10170" s="112">
        <f t="shared" si="237"/>
        <v>44868</v>
      </c>
      <c r="B10170" s="111">
        <f t="shared" si="236"/>
        <v>111</v>
      </c>
    </row>
    <row r="10171" spans="1:2" x14ac:dyDescent="0.2">
      <c r="A10171" s="112">
        <f t="shared" si="237"/>
        <v>44869</v>
      </c>
      <c r="B10171" s="111">
        <f t="shared" si="236"/>
        <v>111</v>
      </c>
    </row>
    <row r="10172" spans="1:2" x14ac:dyDescent="0.2">
      <c r="A10172" s="112">
        <f t="shared" si="237"/>
        <v>44870</v>
      </c>
      <c r="B10172" s="111">
        <f t="shared" si="236"/>
        <v>111</v>
      </c>
    </row>
    <row r="10173" spans="1:2" x14ac:dyDescent="0.2">
      <c r="A10173" s="112">
        <f t="shared" si="237"/>
        <v>44871</v>
      </c>
      <c r="B10173" s="111">
        <f t="shared" si="236"/>
        <v>112</v>
      </c>
    </row>
    <row r="10174" spans="1:2" x14ac:dyDescent="0.2">
      <c r="A10174" s="112">
        <f t="shared" si="237"/>
        <v>44872</v>
      </c>
      <c r="B10174" s="111">
        <f t="shared" si="236"/>
        <v>112</v>
      </c>
    </row>
    <row r="10175" spans="1:2" x14ac:dyDescent="0.2">
      <c r="A10175" s="112">
        <f t="shared" si="237"/>
        <v>44873</v>
      </c>
      <c r="B10175" s="111">
        <f t="shared" si="236"/>
        <v>112</v>
      </c>
    </row>
    <row r="10176" spans="1:2" x14ac:dyDescent="0.2">
      <c r="A10176" s="112">
        <f t="shared" si="237"/>
        <v>44874</v>
      </c>
      <c r="B10176" s="111">
        <f t="shared" si="236"/>
        <v>112</v>
      </c>
    </row>
    <row r="10177" spans="1:2" x14ac:dyDescent="0.2">
      <c r="A10177" s="112">
        <f t="shared" si="237"/>
        <v>44875</v>
      </c>
      <c r="B10177" s="111">
        <f t="shared" si="236"/>
        <v>112</v>
      </c>
    </row>
    <row r="10178" spans="1:2" x14ac:dyDescent="0.2">
      <c r="A10178" s="112">
        <f t="shared" si="237"/>
        <v>44876</v>
      </c>
      <c r="B10178" s="111">
        <f t="shared" si="236"/>
        <v>112</v>
      </c>
    </row>
    <row r="10179" spans="1:2" x14ac:dyDescent="0.2">
      <c r="A10179" s="112">
        <f t="shared" si="237"/>
        <v>44877</v>
      </c>
      <c r="B10179" s="111">
        <f t="shared" si="236"/>
        <v>112</v>
      </c>
    </row>
    <row r="10180" spans="1:2" x14ac:dyDescent="0.2">
      <c r="A10180" s="112">
        <f t="shared" si="237"/>
        <v>44878</v>
      </c>
      <c r="B10180" s="111">
        <f t="shared" si="236"/>
        <v>113</v>
      </c>
    </row>
    <row r="10181" spans="1:2" x14ac:dyDescent="0.2">
      <c r="A10181" s="112">
        <f t="shared" si="237"/>
        <v>44879</v>
      </c>
      <c r="B10181" s="111">
        <f t="shared" si="236"/>
        <v>113</v>
      </c>
    </row>
    <row r="10182" spans="1:2" x14ac:dyDescent="0.2">
      <c r="A10182" s="112">
        <f t="shared" si="237"/>
        <v>44880</v>
      </c>
      <c r="B10182" s="111">
        <f t="shared" si="236"/>
        <v>113</v>
      </c>
    </row>
    <row r="10183" spans="1:2" x14ac:dyDescent="0.2">
      <c r="A10183" s="112">
        <f t="shared" si="237"/>
        <v>44881</v>
      </c>
      <c r="B10183" s="111">
        <f t="shared" si="236"/>
        <v>113</v>
      </c>
    </row>
    <row r="10184" spans="1:2" x14ac:dyDescent="0.2">
      <c r="A10184" s="112">
        <f t="shared" si="237"/>
        <v>44882</v>
      </c>
      <c r="B10184" s="111">
        <f t="shared" si="236"/>
        <v>113</v>
      </c>
    </row>
    <row r="10185" spans="1:2" x14ac:dyDescent="0.2">
      <c r="A10185" s="112">
        <f t="shared" si="237"/>
        <v>44883</v>
      </c>
      <c r="B10185" s="111">
        <f t="shared" si="236"/>
        <v>113</v>
      </c>
    </row>
    <row r="10186" spans="1:2" x14ac:dyDescent="0.2">
      <c r="A10186" s="112">
        <f t="shared" si="237"/>
        <v>44884</v>
      </c>
      <c r="B10186" s="111">
        <f t="shared" si="236"/>
        <v>113</v>
      </c>
    </row>
    <row r="10187" spans="1:2" x14ac:dyDescent="0.2">
      <c r="A10187" s="112">
        <f t="shared" si="237"/>
        <v>44885</v>
      </c>
      <c r="B10187" s="111">
        <f t="shared" si="236"/>
        <v>114</v>
      </c>
    </row>
    <row r="10188" spans="1:2" x14ac:dyDescent="0.2">
      <c r="A10188" s="112">
        <f t="shared" si="237"/>
        <v>44886</v>
      </c>
      <c r="B10188" s="111">
        <f t="shared" si="236"/>
        <v>114</v>
      </c>
    </row>
    <row r="10189" spans="1:2" x14ac:dyDescent="0.2">
      <c r="A10189" s="112">
        <f t="shared" si="237"/>
        <v>44887</v>
      </c>
      <c r="B10189" s="111">
        <f t="shared" si="236"/>
        <v>114</v>
      </c>
    </row>
    <row r="10190" spans="1:2" x14ac:dyDescent="0.2">
      <c r="A10190" s="112">
        <f t="shared" si="237"/>
        <v>44888</v>
      </c>
      <c r="B10190" s="111">
        <f t="shared" ref="B10190:B10253" si="238">VLOOKUP(WEEKNUM(A10190),$D$3:$E$58,2)</f>
        <v>114</v>
      </c>
    </row>
    <row r="10191" spans="1:2" x14ac:dyDescent="0.2">
      <c r="A10191" s="112">
        <f t="shared" si="237"/>
        <v>44889</v>
      </c>
      <c r="B10191" s="111">
        <f t="shared" si="238"/>
        <v>114</v>
      </c>
    </row>
    <row r="10192" spans="1:2" x14ac:dyDescent="0.2">
      <c r="A10192" s="112">
        <f t="shared" si="237"/>
        <v>44890</v>
      </c>
      <c r="B10192" s="111">
        <f t="shared" si="238"/>
        <v>114</v>
      </c>
    </row>
    <row r="10193" spans="1:2" x14ac:dyDescent="0.2">
      <c r="A10193" s="112">
        <f t="shared" si="237"/>
        <v>44891</v>
      </c>
      <c r="B10193" s="111">
        <f t="shared" si="238"/>
        <v>114</v>
      </c>
    </row>
    <row r="10194" spans="1:2" x14ac:dyDescent="0.2">
      <c r="A10194" s="112">
        <f t="shared" si="237"/>
        <v>44892</v>
      </c>
      <c r="B10194" s="111">
        <f t="shared" si="238"/>
        <v>115</v>
      </c>
    </row>
    <row r="10195" spans="1:2" x14ac:dyDescent="0.2">
      <c r="A10195" s="112">
        <f t="shared" si="237"/>
        <v>44893</v>
      </c>
      <c r="B10195" s="111">
        <f t="shared" si="238"/>
        <v>115</v>
      </c>
    </row>
    <row r="10196" spans="1:2" x14ac:dyDescent="0.2">
      <c r="A10196" s="112">
        <f t="shared" si="237"/>
        <v>44894</v>
      </c>
      <c r="B10196" s="111">
        <f t="shared" si="238"/>
        <v>115</v>
      </c>
    </row>
    <row r="10197" spans="1:2" x14ac:dyDescent="0.2">
      <c r="A10197" s="112">
        <f t="shared" si="237"/>
        <v>44895</v>
      </c>
      <c r="B10197" s="111">
        <f t="shared" si="238"/>
        <v>115</v>
      </c>
    </row>
    <row r="10198" spans="1:2" x14ac:dyDescent="0.2">
      <c r="A10198" s="112">
        <f t="shared" si="237"/>
        <v>44896</v>
      </c>
      <c r="B10198" s="111">
        <f t="shared" si="238"/>
        <v>115</v>
      </c>
    </row>
    <row r="10199" spans="1:2" x14ac:dyDescent="0.2">
      <c r="A10199" s="112">
        <f t="shared" si="237"/>
        <v>44897</v>
      </c>
      <c r="B10199" s="111">
        <f t="shared" si="238"/>
        <v>115</v>
      </c>
    </row>
    <row r="10200" spans="1:2" x14ac:dyDescent="0.2">
      <c r="A10200" s="112">
        <f t="shared" si="237"/>
        <v>44898</v>
      </c>
      <c r="B10200" s="111">
        <f t="shared" si="238"/>
        <v>115</v>
      </c>
    </row>
    <row r="10201" spans="1:2" x14ac:dyDescent="0.2">
      <c r="A10201" s="112">
        <f t="shared" si="237"/>
        <v>44899</v>
      </c>
      <c r="B10201" s="111">
        <f t="shared" si="238"/>
        <v>121</v>
      </c>
    </row>
    <row r="10202" spans="1:2" x14ac:dyDescent="0.2">
      <c r="A10202" s="112">
        <f t="shared" si="237"/>
        <v>44900</v>
      </c>
      <c r="B10202" s="111">
        <f t="shared" si="238"/>
        <v>121</v>
      </c>
    </row>
    <row r="10203" spans="1:2" x14ac:dyDescent="0.2">
      <c r="A10203" s="112">
        <f t="shared" si="237"/>
        <v>44901</v>
      </c>
      <c r="B10203" s="111">
        <f t="shared" si="238"/>
        <v>121</v>
      </c>
    </row>
    <row r="10204" spans="1:2" x14ac:dyDescent="0.2">
      <c r="A10204" s="112">
        <f t="shared" si="237"/>
        <v>44902</v>
      </c>
      <c r="B10204" s="111">
        <f t="shared" si="238"/>
        <v>121</v>
      </c>
    </row>
    <row r="10205" spans="1:2" x14ac:dyDescent="0.2">
      <c r="A10205" s="112">
        <f t="shared" si="237"/>
        <v>44903</v>
      </c>
      <c r="B10205" s="111">
        <f t="shared" si="238"/>
        <v>121</v>
      </c>
    </row>
    <row r="10206" spans="1:2" x14ac:dyDescent="0.2">
      <c r="A10206" s="112">
        <f t="shared" si="237"/>
        <v>44904</v>
      </c>
      <c r="B10206" s="111">
        <f t="shared" si="238"/>
        <v>121</v>
      </c>
    </row>
    <row r="10207" spans="1:2" x14ac:dyDescent="0.2">
      <c r="A10207" s="112">
        <f t="shared" si="237"/>
        <v>44905</v>
      </c>
      <c r="B10207" s="111">
        <f t="shared" si="238"/>
        <v>121</v>
      </c>
    </row>
    <row r="10208" spans="1:2" x14ac:dyDescent="0.2">
      <c r="A10208" s="112">
        <f t="shared" si="237"/>
        <v>44906</v>
      </c>
      <c r="B10208" s="111">
        <f t="shared" si="238"/>
        <v>122</v>
      </c>
    </row>
    <row r="10209" spans="1:2" x14ac:dyDescent="0.2">
      <c r="A10209" s="112">
        <f t="shared" si="237"/>
        <v>44907</v>
      </c>
      <c r="B10209" s="111">
        <f t="shared" si="238"/>
        <v>122</v>
      </c>
    </row>
    <row r="10210" spans="1:2" x14ac:dyDescent="0.2">
      <c r="A10210" s="112">
        <f t="shared" si="237"/>
        <v>44908</v>
      </c>
      <c r="B10210" s="111">
        <f t="shared" si="238"/>
        <v>122</v>
      </c>
    </row>
    <row r="10211" spans="1:2" x14ac:dyDescent="0.2">
      <c r="A10211" s="112">
        <f t="shared" si="237"/>
        <v>44909</v>
      </c>
      <c r="B10211" s="111">
        <f t="shared" si="238"/>
        <v>122</v>
      </c>
    </row>
    <row r="10212" spans="1:2" x14ac:dyDescent="0.2">
      <c r="A10212" s="112">
        <f t="shared" si="237"/>
        <v>44910</v>
      </c>
      <c r="B10212" s="111">
        <f t="shared" si="238"/>
        <v>122</v>
      </c>
    </row>
    <row r="10213" spans="1:2" x14ac:dyDescent="0.2">
      <c r="A10213" s="112">
        <f t="shared" si="237"/>
        <v>44911</v>
      </c>
      <c r="B10213" s="111">
        <f t="shared" si="238"/>
        <v>122</v>
      </c>
    </row>
    <row r="10214" spans="1:2" x14ac:dyDescent="0.2">
      <c r="A10214" s="112">
        <f t="shared" si="237"/>
        <v>44912</v>
      </c>
      <c r="B10214" s="111">
        <f t="shared" si="238"/>
        <v>122</v>
      </c>
    </row>
    <row r="10215" spans="1:2" x14ac:dyDescent="0.2">
      <c r="A10215" s="112">
        <f t="shared" si="237"/>
        <v>44913</v>
      </c>
      <c r="B10215" s="111">
        <f t="shared" si="238"/>
        <v>123</v>
      </c>
    </row>
    <row r="10216" spans="1:2" x14ac:dyDescent="0.2">
      <c r="A10216" s="112">
        <f t="shared" si="237"/>
        <v>44914</v>
      </c>
      <c r="B10216" s="111">
        <f t="shared" si="238"/>
        <v>123</v>
      </c>
    </row>
    <row r="10217" spans="1:2" x14ac:dyDescent="0.2">
      <c r="A10217" s="112">
        <f t="shared" si="237"/>
        <v>44915</v>
      </c>
      <c r="B10217" s="111">
        <f t="shared" si="238"/>
        <v>123</v>
      </c>
    </row>
    <row r="10218" spans="1:2" x14ac:dyDescent="0.2">
      <c r="A10218" s="112">
        <f t="shared" si="237"/>
        <v>44916</v>
      </c>
      <c r="B10218" s="111">
        <f t="shared" si="238"/>
        <v>123</v>
      </c>
    </row>
    <row r="10219" spans="1:2" x14ac:dyDescent="0.2">
      <c r="A10219" s="112">
        <f t="shared" si="237"/>
        <v>44917</v>
      </c>
      <c r="B10219" s="111">
        <f t="shared" si="238"/>
        <v>123</v>
      </c>
    </row>
    <row r="10220" spans="1:2" x14ac:dyDescent="0.2">
      <c r="A10220" s="112">
        <f t="shared" si="237"/>
        <v>44918</v>
      </c>
      <c r="B10220" s="111">
        <f t="shared" si="238"/>
        <v>123</v>
      </c>
    </row>
    <row r="10221" spans="1:2" x14ac:dyDescent="0.2">
      <c r="A10221" s="112">
        <f t="shared" si="237"/>
        <v>44919</v>
      </c>
      <c r="B10221" s="111">
        <f t="shared" si="238"/>
        <v>123</v>
      </c>
    </row>
    <row r="10222" spans="1:2" x14ac:dyDescent="0.2">
      <c r="A10222" s="112">
        <f t="shared" si="237"/>
        <v>44920</v>
      </c>
      <c r="B10222" s="111">
        <f t="shared" si="238"/>
        <v>124</v>
      </c>
    </row>
    <row r="10223" spans="1:2" x14ac:dyDescent="0.2">
      <c r="A10223" s="112">
        <f t="shared" si="237"/>
        <v>44921</v>
      </c>
      <c r="B10223" s="111">
        <f t="shared" si="238"/>
        <v>124</v>
      </c>
    </row>
    <row r="10224" spans="1:2" x14ac:dyDescent="0.2">
      <c r="A10224" s="112">
        <f t="shared" si="237"/>
        <v>44922</v>
      </c>
      <c r="B10224" s="111">
        <f t="shared" si="238"/>
        <v>124</v>
      </c>
    </row>
    <row r="10225" spans="1:2" x14ac:dyDescent="0.2">
      <c r="A10225" s="112">
        <f t="shared" si="237"/>
        <v>44923</v>
      </c>
      <c r="B10225" s="111">
        <f t="shared" si="238"/>
        <v>124</v>
      </c>
    </row>
    <row r="10226" spans="1:2" x14ac:dyDescent="0.2">
      <c r="A10226" s="112">
        <f t="shared" si="237"/>
        <v>44924</v>
      </c>
      <c r="B10226" s="111">
        <f t="shared" si="238"/>
        <v>124</v>
      </c>
    </row>
    <row r="10227" spans="1:2" x14ac:dyDescent="0.2">
      <c r="A10227" s="112">
        <f t="shared" si="237"/>
        <v>44925</v>
      </c>
      <c r="B10227" s="111">
        <f t="shared" si="238"/>
        <v>124</v>
      </c>
    </row>
    <row r="10228" spans="1:2" x14ac:dyDescent="0.2">
      <c r="A10228" s="112">
        <f t="shared" ref="A10228:A10291" si="239">A10227+1</f>
        <v>44926</v>
      </c>
      <c r="B10228" s="111">
        <f t="shared" si="238"/>
        <v>124</v>
      </c>
    </row>
    <row r="10229" spans="1:2" x14ac:dyDescent="0.2">
      <c r="A10229" s="112">
        <f t="shared" si="239"/>
        <v>44927</v>
      </c>
      <c r="B10229" s="111">
        <f t="shared" si="238"/>
        <v>11</v>
      </c>
    </row>
    <row r="10230" spans="1:2" x14ac:dyDescent="0.2">
      <c r="A10230" s="112">
        <f t="shared" si="239"/>
        <v>44928</v>
      </c>
      <c r="B10230" s="111">
        <f t="shared" si="238"/>
        <v>11</v>
      </c>
    </row>
    <row r="10231" spans="1:2" x14ac:dyDescent="0.2">
      <c r="A10231" s="112">
        <f t="shared" si="239"/>
        <v>44929</v>
      </c>
      <c r="B10231" s="111">
        <f t="shared" si="238"/>
        <v>11</v>
      </c>
    </row>
    <row r="10232" spans="1:2" x14ac:dyDescent="0.2">
      <c r="A10232" s="112">
        <f t="shared" si="239"/>
        <v>44930</v>
      </c>
      <c r="B10232" s="111">
        <f t="shared" si="238"/>
        <v>11</v>
      </c>
    </row>
    <row r="10233" spans="1:2" x14ac:dyDescent="0.2">
      <c r="A10233" s="112">
        <f t="shared" si="239"/>
        <v>44931</v>
      </c>
      <c r="B10233" s="111">
        <f t="shared" si="238"/>
        <v>11</v>
      </c>
    </row>
    <row r="10234" spans="1:2" x14ac:dyDescent="0.2">
      <c r="A10234" s="112">
        <f t="shared" si="239"/>
        <v>44932</v>
      </c>
      <c r="B10234" s="111">
        <f t="shared" si="238"/>
        <v>11</v>
      </c>
    </row>
    <row r="10235" spans="1:2" x14ac:dyDescent="0.2">
      <c r="A10235" s="112">
        <f t="shared" si="239"/>
        <v>44933</v>
      </c>
      <c r="B10235" s="111">
        <f t="shared" si="238"/>
        <v>11</v>
      </c>
    </row>
    <row r="10236" spans="1:2" x14ac:dyDescent="0.2">
      <c r="A10236" s="112">
        <f t="shared" si="239"/>
        <v>44934</v>
      </c>
      <c r="B10236" s="111">
        <f t="shared" si="238"/>
        <v>12</v>
      </c>
    </row>
    <row r="10237" spans="1:2" x14ac:dyDescent="0.2">
      <c r="A10237" s="112">
        <f t="shared" si="239"/>
        <v>44935</v>
      </c>
      <c r="B10237" s="111">
        <f t="shared" si="238"/>
        <v>12</v>
      </c>
    </row>
    <row r="10238" spans="1:2" x14ac:dyDescent="0.2">
      <c r="A10238" s="112">
        <f t="shared" si="239"/>
        <v>44936</v>
      </c>
      <c r="B10238" s="111">
        <f t="shared" si="238"/>
        <v>12</v>
      </c>
    </row>
    <row r="10239" spans="1:2" x14ac:dyDescent="0.2">
      <c r="A10239" s="112">
        <f t="shared" si="239"/>
        <v>44937</v>
      </c>
      <c r="B10239" s="111">
        <f t="shared" si="238"/>
        <v>12</v>
      </c>
    </row>
    <row r="10240" spans="1:2" x14ac:dyDescent="0.2">
      <c r="A10240" s="112">
        <f t="shared" si="239"/>
        <v>44938</v>
      </c>
      <c r="B10240" s="111">
        <f t="shared" si="238"/>
        <v>12</v>
      </c>
    </row>
    <row r="10241" spans="1:2" x14ac:dyDescent="0.2">
      <c r="A10241" s="112">
        <f t="shared" si="239"/>
        <v>44939</v>
      </c>
      <c r="B10241" s="111">
        <f t="shared" si="238"/>
        <v>12</v>
      </c>
    </row>
    <row r="10242" spans="1:2" x14ac:dyDescent="0.2">
      <c r="A10242" s="112">
        <f t="shared" si="239"/>
        <v>44940</v>
      </c>
      <c r="B10242" s="111">
        <f t="shared" si="238"/>
        <v>12</v>
      </c>
    </row>
    <row r="10243" spans="1:2" x14ac:dyDescent="0.2">
      <c r="A10243" s="112">
        <f t="shared" si="239"/>
        <v>44941</v>
      </c>
      <c r="B10243" s="111">
        <f t="shared" si="238"/>
        <v>13</v>
      </c>
    </row>
    <row r="10244" spans="1:2" x14ac:dyDescent="0.2">
      <c r="A10244" s="112">
        <f t="shared" si="239"/>
        <v>44942</v>
      </c>
      <c r="B10244" s="111">
        <f t="shared" si="238"/>
        <v>13</v>
      </c>
    </row>
    <row r="10245" spans="1:2" x14ac:dyDescent="0.2">
      <c r="A10245" s="112">
        <f t="shared" si="239"/>
        <v>44943</v>
      </c>
      <c r="B10245" s="111">
        <f t="shared" si="238"/>
        <v>13</v>
      </c>
    </row>
    <row r="10246" spans="1:2" x14ac:dyDescent="0.2">
      <c r="A10246" s="112">
        <f t="shared" si="239"/>
        <v>44944</v>
      </c>
      <c r="B10246" s="111">
        <f t="shared" si="238"/>
        <v>13</v>
      </c>
    </row>
    <row r="10247" spans="1:2" x14ac:dyDescent="0.2">
      <c r="A10247" s="112">
        <f t="shared" si="239"/>
        <v>44945</v>
      </c>
      <c r="B10247" s="111">
        <f t="shared" si="238"/>
        <v>13</v>
      </c>
    </row>
    <row r="10248" spans="1:2" x14ac:dyDescent="0.2">
      <c r="A10248" s="112">
        <f t="shared" si="239"/>
        <v>44946</v>
      </c>
      <c r="B10248" s="111">
        <f t="shared" si="238"/>
        <v>13</v>
      </c>
    </row>
    <row r="10249" spans="1:2" x14ac:dyDescent="0.2">
      <c r="A10249" s="112">
        <f t="shared" si="239"/>
        <v>44947</v>
      </c>
      <c r="B10249" s="111">
        <f t="shared" si="238"/>
        <v>13</v>
      </c>
    </row>
    <row r="10250" spans="1:2" x14ac:dyDescent="0.2">
      <c r="A10250" s="112">
        <f t="shared" si="239"/>
        <v>44948</v>
      </c>
      <c r="B10250" s="111">
        <f t="shared" si="238"/>
        <v>14</v>
      </c>
    </row>
    <row r="10251" spans="1:2" x14ac:dyDescent="0.2">
      <c r="A10251" s="112">
        <f t="shared" si="239"/>
        <v>44949</v>
      </c>
      <c r="B10251" s="111">
        <f t="shared" si="238"/>
        <v>14</v>
      </c>
    </row>
    <row r="10252" spans="1:2" x14ac:dyDescent="0.2">
      <c r="A10252" s="112">
        <f t="shared" si="239"/>
        <v>44950</v>
      </c>
      <c r="B10252" s="111">
        <f t="shared" si="238"/>
        <v>14</v>
      </c>
    </row>
    <row r="10253" spans="1:2" x14ac:dyDescent="0.2">
      <c r="A10253" s="112">
        <f t="shared" si="239"/>
        <v>44951</v>
      </c>
      <c r="B10253" s="111">
        <f t="shared" si="238"/>
        <v>14</v>
      </c>
    </row>
    <row r="10254" spans="1:2" x14ac:dyDescent="0.2">
      <c r="A10254" s="112">
        <f t="shared" si="239"/>
        <v>44952</v>
      </c>
      <c r="B10254" s="111">
        <f t="shared" ref="B10254:B10270" si="240">VLOOKUP(WEEKNUM(A10254),$D$3:$E$58,2)</f>
        <v>14</v>
      </c>
    </row>
    <row r="10255" spans="1:2" x14ac:dyDescent="0.2">
      <c r="A10255" s="112">
        <f t="shared" si="239"/>
        <v>44953</v>
      </c>
      <c r="B10255" s="111">
        <f t="shared" si="240"/>
        <v>14</v>
      </c>
    </row>
    <row r="10256" spans="1:2" x14ac:dyDescent="0.2">
      <c r="A10256" s="112">
        <f t="shared" si="239"/>
        <v>44954</v>
      </c>
      <c r="B10256" s="111">
        <f t="shared" si="240"/>
        <v>14</v>
      </c>
    </row>
    <row r="10257" spans="1:2" x14ac:dyDescent="0.2">
      <c r="A10257" s="112">
        <f t="shared" si="239"/>
        <v>44955</v>
      </c>
      <c r="B10257" s="111">
        <f t="shared" si="240"/>
        <v>15</v>
      </c>
    </row>
    <row r="10258" spans="1:2" x14ac:dyDescent="0.2">
      <c r="A10258" s="112">
        <f t="shared" si="239"/>
        <v>44956</v>
      </c>
      <c r="B10258" s="111">
        <f t="shared" si="240"/>
        <v>15</v>
      </c>
    </row>
    <row r="10259" spans="1:2" x14ac:dyDescent="0.2">
      <c r="A10259" s="112">
        <f t="shared" si="239"/>
        <v>44957</v>
      </c>
      <c r="B10259" s="111">
        <f t="shared" si="240"/>
        <v>15</v>
      </c>
    </row>
    <row r="10260" spans="1:2" x14ac:dyDescent="0.2">
      <c r="A10260" s="112">
        <f t="shared" si="239"/>
        <v>44958</v>
      </c>
      <c r="B10260" s="111">
        <f t="shared" si="240"/>
        <v>15</v>
      </c>
    </row>
    <row r="10261" spans="1:2" x14ac:dyDescent="0.2">
      <c r="A10261" s="112">
        <f t="shared" si="239"/>
        <v>44959</v>
      </c>
      <c r="B10261" s="111">
        <f t="shared" si="240"/>
        <v>15</v>
      </c>
    </row>
    <row r="10262" spans="1:2" x14ac:dyDescent="0.2">
      <c r="A10262" s="112">
        <f t="shared" si="239"/>
        <v>44960</v>
      </c>
      <c r="B10262" s="111">
        <f t="shared" si="240"/>
        <v>15</v>
      </c>
    </row>
    <row r="10263" spans="1:2" x14ac:dyDescent="0.2">
      <c r="A10263" s="112">
        <f t="shared" si="239"/>
        <v>44961</v>
      </c>
      <c r="B10263" s="111">
        <f t="shared" si="240"/>
        <v>15</v>
      </c>
    </row>
    <row r="10264" spans="1:2" x14ac:dyDescent="0.2">
      <c r="A10264" s="112">
        <f t="shared" si="239"/>
        <v>44962</v>
      </c>
      <c r="B10264" s="111">
        <f t="shared" si="240"/>
        <v>21</v>
      </c>
    </row>
    <row r="10265" spans="1:2" x14ac:dyDescent="0.2">
      <c r="A10265" s="112">
        <f t="shared" si="239"/>
        <v>44963</v>
      </c>
      <c r="B10265" s="111">
        <f t="shared" si="240"/>
        <v>21</v>
      </c>
    </row>
    <row r="10266" spans="1:2" x14ac:dyDescent="0.2">
      <c r="A10266" s="112">
        <f t="shared" si="239"/>
        <v>44964</v>
      </c>
      <c r="B10266" s="111">
        <f t="shared" si="240"/>
        <v>21</v>
      </c>
    </row>
    <row r="10267" spans="1:2" x14ac:dyDescent="0.2">
      <c r="A10267" s="112">
        <f t="shared" si="239"/>
        <v>44965</v>
      </c>
      <c r="B10267" s="111">
        <f t="shared" si="240"/>
        <v>21</v>
      </c>
    </row>
    <row r="10268" spans="1:2" x14ac:dyDescent="0.2">
      <c r="A10268" s="112">
        <f t="shared" si="239"/>
        <v>44966</v>
      </c>
      <c r="B10268" s="111">
        <f t="shared" si="240"/>
        <v>21</v>
      </c>
    </row>
    <row r="10269" spans="1:2" x14ac:dyDescent="0.2">
      <c r="A10269" s="112">
        <f t="shared" si="239"/>
        <v>44967</v>
      </c>
      <c r="B10269" s="111">
        <f t="shared" si="240"/>
        <v>21</v>
      </c>
    </row>
    <row r="10270" spans="1:2" x14ac:dyDescent="0.2">
      <c r="A10270" s="112">
        <f t="shared" si="239"/>
        <v>44968</v>
      </c>
      <c r="B10270" s="111">
        <f t="shared" si="240"/>
        <v>21</v>
      </c>
    </row>
    <row r="10271" spans="1:2" x14ac:dyDescent="0.2">
      <c r="A10271" s="112">
        <f t="shared" si="239"/>
        <v>44969</v>
      </c>
      <c r="B10271" s="111">
        <f t="shared" ref="B10271:B10334" si="241">VLOOKUP(WEEKNUM(A10271),$D$3:$E$58,2)</f>
        <v>22</v>
      </c>
    </row>
    <row r="10272" spans="1:2" x14ac:dyDescent="0.2">
      <c r="A10272" s="112">
        <f t="shared" si="239"/>
        <v>44970</v>
      </c>
      <c r="B10272" s="111">
        <f t="shared" si="241"/>
        <v>22</v>
      </c>
    </row>
    <row r="10273" spans="1:2" x14ac:dyDescent="0.2">
      <c r="A10273" s="112">
        <f t="shared" si="239"/>
        <v>44971</v>
      </c>
      <c r="B10273" s="111">
        <f t="shared" si="241"/>
        <v>22</v>
      </c>
    </row>
    <row r="10274" spans="1:2" x14ac:dyDescent="0.2">
      <c r="A10274" s="112">
        <f t="shared" si="239"/>
        <v>44972</v>
      </c>
      <c r="B10274" s="111">
        <f t="shared" si="241"/>
        <v>22</v>
      </c>
    </row>
    <row r="10275" spans="1:2" x14ac:dyDescent="0.2">
      <c r="A10275" s="112">
        <f t="shared" si="239"/>
        <v>44973</v>
      </c>
      <c r="B10275" s="111">
        <f t="shared" si="241"/>
        <v>22</v>
      </c>
    </row>
    <row r="10276" spans="1:2" x14ac:dyDescent="0.2">
      <c r="A10276" s="112">
        <f t="shared" si="239"/>
        <v>44974</v>
      </c>
      <c r="B10276" s="111">
        <f t="shared" si="241"/>
        <v>22</v>
      </c>
    </row>
    <row r="10277" spans="1:2" x14ac:dyDescent="0.2">
      <c r="A10277" s="112">
        <f t="shared" si="239"/>
        <v>44975</v>
      </c>
      <c r="B10277" s="111">
        <f t="shared" si="241"/>
        <v>22</v>
      </c>
    </row>
    <row r="10278" spans="1:2" x14ac:dyDescent="0.2">
      <c r="A10278" s="112">
        <f t="shared" si="239"/>
        <v>44976</v>
      </c>
      <c r="B10278" s="111">
        <f t="shared" si="241"/>
        <v>23</v>
      </c>
    </row>
    <row r="10279" spans="1:2" x14ac:dyDescent="0.2">
      <c r="A10279" s="112">
        <f t="shared" si="239"/>
        <v>44977</v>
      </c>
      <c r="B10279" s="111">
        <f t="shared" si="241"/>
        <v>23</v>
      </c>
    </row>
    <row r="10280" spans="1:2" x14ac:dyDescent="0.2">
      <c r="A10280" s="112">
        <f t="shared" si="239"/>
        <v>44978</v>
      </c>
      <c r="B10280" s="111">
        <f t="shared" si="241"/>
        <v>23</v>
      </c>
    </row>
    <row r="10281" spans="1:2" x14ac:dyDescent="0.2">
      <c r="A10281" s="112">
        <f t="shared" si="239"/>
        <v>44979</v>
      </c>
      <c r="B10281" s="111">
        <f t="shared" si="241"/>
        <v>23</v>
      </c>
    </row>
    <row r="10282" spans="1:2" x14ac:dyDescent="0.2">
      <c r="A10282" s="112">
        <f t="shared" si="239"/>
        <v>44980</v>
      </c>
      <c r="B10282" s="111">
        <f t="shared" si="241"/>
        <v>23</v>
      </c>
    </row>
    <row r="10283" spans="1:2" x14ac:dyDescent="0.2">
      <c r="A10283" s="112">
        <f t="shared" si="239"/>
        <v>44981</v>
      </c>
      <c r="B10283" s="111">
        <f t="shared" si="241"/>
        <v>23</v>
      </c>
    </row>
    <row r="10284" spans="1:2" x14ac:dyDescent="0.2">
      <c r="A10284" s="112">
        <f t="shared" si="239"/>
        <v>44982</v>
      </c>
      <c r="B10284" s="111">
        <f t="shared" si="241"/>
        <v>23</v>
      </c>
    </row>
    <row r="10285" spans="1:2" x14ac:dyDescent="0.2">
      <c r="A10285" s="112">
        <f t="shared" si="239"/>
        <v>44983</v>
      </c>
      <c r="B10285" s="111">
        <f t="shared" si="241"/>
        <v>24</v>
      </c>
    </row>
    <row r="10286" spans="1:2" x14ac:dyDescent="0.2">
      <c r="A10286" s="112">
        <f t="shared" si="239"/>
        <v>44984</v>
      </c>
      <c r="B10286" s="111">
        <f t="shared" si="241"/>
        <v>24</v>
      </c>
    </row>
    <row r="10287" spans="1:2" x14ac:dyDescent="0.2">
      <c r="A10287" s="112">
        <f t="shared" si="239"/>
        <v>44985</v>
      </c>
      <c r="B10287" s="111">
        <f t="shared" si="241"/>
        <v>24</v>
      </c>
    </row>
    <row r="10288" spans="1:2" x14ac:dyDescent="0.2">
      <c r="A10288" s="112">
        <f t="shared" si="239"/>
        <v>44986</v>
      </c>
      <c r="B10288" s="111">
        <f t="shared" si="241"/>
        <v>24</v>
      </c>
    </row>
    <row r="10289" spans="1:2" x14ac:dyDescent="0.2">
      <c r="A10289" s="112">
        <f t="shared" si="239"/>
        <v>44987</v>
      </c>
      <c r="B10289" s="111">
        <f t="shared" si="241"/>
        <v>24</v>
      </c>
    </row>
    <row r="10290" spans="1:2" x14ac:dyDescent="0.2">
      <c r="A10290" s="112">
        <f t="shared" si="239"/>
        <v>44988</v>
      </c>
      <c r="B10290" s="111">
        <f t="shared" si="241"/>
        <v>24</v>
      </c>
    </row>
    <row r="10291" spans="1:2" x14ac:dyDescent="0.2">
      <c r="A10291" s="112">
        <f t="shared" si="239"/>
        <v>44989</v>
      </c>
      <c r="B10291" s="111">
        <f t="shared" si="241"/>
        <v>24</v>
      </c>
    </row>
    <row r="10292" spans="1:2" x14ac:dyDescent="0.2">
      <c r="A10292" s="112">
        <f t="shared" ref="A10292:A10355" si="242">A10291+1</f>
        <v>44990</v>
      </c>
      <c r="B10292" s="111">
        <f t="shared" si="241"/>
        <v>31</v>
      </c>
    </row>
    <row r="10293" spans="1:2" x14ac:dyDescent="0.2">
      <c r="A10293" s="112">
        <f t="shared" si="242"/>
        <v>44991</v>
      </c>
      <c r="B10293" s="111">
        <f t="shared" si="241"/>
        <v>31</v>
      </c>
    </row>
    <row r="10294" spans="1:2" x14ac:dyDescent="0.2">
      <c r="A10294" s="112">
        <f t="shared" si="242"/>
        <v>44992</v>
      </c>
      <c r="B10294" s="111">
        <f t="shared" si="241"/>
        <v>31</v>
      </c>
    </row>
    <row r="10295" spans="1:2" x14ac:dyDescent="0.2">
      <c r="A10295" s="112">
        <f t="shared" si="242"/>
        <v>44993</v>
      </c>
      <c r="B10295" s="111">
        <f t="shared" si="241"/>
        <v>31</v>
      </c>
    </row>
    <row r="10296" spans="1:2" x14ac:dyDescent="0.2">
      <c r="A10296" s="112">
        <f t="shared" si="242"/>
        <v>44994</v>
      </c>
      <c r="B10296" s="111">
        <f t="shared" si="241"/>
        <v>31</v>
      </c>
    </row>
    <row r="10297" spans="1:2" x14ac:dyDescent="0.2">
      <c r="A10297" s="112">
        <f t="shared" si="242"/>
        <v>44995</v>
      </c>
      <c r="B10297" s="111">
        <f t="shared" si="241"/>
        <v>31</v>
      </c>
    </row>
    <row r="10298" spans="1:2" x14ac:dyDescent="0.2">
      <c r="A10298" s="112">
        <f t="shared" si="242"/>
        <v>44996</v>
      </c>
      <c r="B10298" s="111">
        <f t="shared" si="241"/>
        <v>31</v>
      </c>
    </row>
    <row r="10299" spans="1:2" x14ac:dyDescent="0.2">
      <c r="A10299" s="112">
        <f t="shared" si="242"/>
        <v>44997</v>
      </c>
      <c r="B10299" s="111">
        <f t="shared" si="241"/>
        <v>32</v>
      </c>
    </row>
    <row r="10300" spans="1:2" x14ac:dyDescent="0.2">
      <c r="A10300" s="112">
        <f t="shared" si="242"/>
        <v>44998</v>
      </c>
      <c r="B10300" s="111">
        <f t="shared" si="241"/>
        <v>32</v>
      </c>
    </row>
    <row r="10301" spans="1:2" x14ac:dyDescent="0.2">
      <c r="A10301" s="112">
        <f t="shared" si="242"/>
        <v>44999</v>
      </c>
      <c r="B10301" s="111">
        <f t="shared" si="241"/>
        <v>32</v>
      </c>
    </row>
    <row r="10302" spans="1:2" x14ac:dyDescent="0.2">
      <c r="A10302" s="112">
        <f t="shared" si="242"/>
        <v>45000</v>
      </c>
      <c r="B10302" s="111">
        <f t="shared" si="241"/>
        <v>32</v>
      </c>
    </row>
    <row r="10303" spans="1:2" x14ac:dyDescent="0.2">
      <c r="A10303" s="112">
        <f t="shared" si="242"/>
        <v>45001</v>
      </c>
      <c r="B10303" s="111">
        <f t="shared" si="241"/>
        <v>32</v>
      </c>
    </row>
    <row r="10304" spans="1:2" x14ac:dyDescent="0.2">
      <c r="A10304" s="112">
        <f t="shared" si="242"/>
        <v>45002</v>
      </c>
      <c r="B10304" s="111">
        <f t="shared" si="241"/>
        <v>32</v>
      </c>
    </row>
    <row r="10305" spans="1:2" x14ac:dyDescent="0.2">
      <c r="A10305" s="112">
        <f t="shared" si="242"/>
        <v>45003</v>
      </c>
      <c r="B10305" s="111">
        <f t="shared" si="241"/>
        <v>32</v>
      </c>
    </row>
    <row r="10306" spans="1:2" x14ac:dyDescent="0.2">
      <c r="A10306" s="112">
        <f t="shared" si="242"/>
        <v>45004</v>
      </c>
      <c r="B10306" s="111">
        <f t="shared" si="241"/>
        <v>33</v>
      </c>
    </row>
    <row r="10307" spans="1:2" x14ac:dyDescent="0.2">
      <c r="A10307" s="112">
        <f t="shared" si="242"/>
        <v>45005</v>
      </c>
      <c r="B10307" s="111">
        <f t="shared" si="241"/>
        <v>33</v>
      </c>
    </row>
    <row r="10308" spans="1:2" x14ac:dyDescent="0.2">
      <c r="A10308" s="112">
        <f t="shared" si="242"/>
        <v>45006</v>
      </c>
      <c r="B10308" s="111">
        <f t="shared" si="241"/>
        <v>33</v>
      </c>
    </row>
    <row r="10309" spans="1:2" x14ac:dyDescent="0.2">
      <c r="A10309" s="112">
        <f t="shared" si="242"/>
        <v>45007</v>
      </c>
      <c r="B10309" s="111">
        <f t="shared" si="241"/>
        <v>33</v>
      </c>
    </row>
    <row r="10310" spans="1:2" x14ac:dyDescent="0.2">
      <c r="A10310" s="112">
        <f t="shared" si="242"/>
        <v>45008</v>
      </c>
      <c r="B10310" s="111">
        <f t="shared" si="241"/>
        <v>33</v>
      </c>
    </row>
    <row r="10311" spans="1:2" x14ac:dyDescent="0.2">
      <c r="A10311" s="112">
        <f t="shared" si="242"/>
        <v>45009</v>
      </c>
      <c r="B10311" s="111">
        <f t="shared" si="241"/>
        <v>33</v>
      </c>
    </row>
    <row r="10312" spans="1:2" x14ac:dyDescent="0.2">
      <c r="A10312" s="112">
        <f t="shared" si="242"/>
        <v>45010</v>
      </c>
      <c r="B10312" s="111">
        <f t="shared" si="241"/>
        <v>33</v>
      </c>
    </row>
    <row r="10313" spans="1:2" x14ac:dyDescent="0.2">
      <c r="A10313" s="112">
        <f t="shared" si="242"/>
        <v>45011</v>
      </c>
      <c r="B10313" s="111">
        <f t="shared" si="241"/>
        <v>34</v>
      </c>
    </row>
    <row r="10314" spans="1:2" x14ac:dyDescent="0.2">
      <c r="A10314" s="112">
        <f t="shared" si="242"/>
        <v>45012</v>
      </c>
      <c r="B10314" s="111">
        <f t="shared" si="241"/>
        <v>34</v>
      </c>
    </row>
    <row r="10315" spans="1:2" x14ac:dyDescent="0.2">
      <c r="A10315" s="112">
        <f t="shared" si="242"/>
        <v>45013</v>
      </c>
      <c r="B10315" s="111">
        <f t="shared" si="241"/>
        <v>34</v>
      </c>
    </row>
    <row r="10316" spans="1:2" x14ac:dyDescent="0.2">
      <c r="A10316" s="112">
        <f t="shared" si="242"/>
        <v>45014</v>
      </c>
      <c r="B10316" s="111">
        <f t="shared" si="241"/>
        <v>34</v>
      </c>
    </row>
    <row r="10317" spans="1:2" x14ac:dyDescent="0.2">
      <c r="A10317" s="112">
        <f t="shared" si="242"/>
        <v>45015</v>
      </c>
      <c r="B10317" s="111">
        <f t="shared" si="241"/>
        <v>34</v>
      </c>
    </row>
    <row r="10318" spans="1:2" x14ac:dyDescent="0.2">
      <c r="A10318" s="112">
        <f t="shared" si="242"/>
        <v>45016</v>
      </c>
      <c r="B10318" s="111">
        <f t="shared" si="241"/>
        <v>34</v>
      </c>
    </row>
    <row r="10319" spans="1:2" x14ac:dyDescent="0.2">
      <c r="A10319" s="112">
        <f t="shared" si="242"/>
        <v>45017</v>
      </c>
      <c r="B10319" s="111">
        <f t="shared" si="241"/>
        <v>34</v>
      </c>
    </row>
    <row r="10320" spans="1:2" x14ac:dyDescent="0.2">
      <c r="A10320" s="112">
        <f t="shared" si="242"/>
        <v>45018</v>
      </c>
      <c r="B10320" s="111">
        <f t="shared" si="241"/>
        <v>41</v>
      </c>
    </row>
    <row r="10321" spans="1:2" x14ac:dyDescent="0.2">
      <c r="A10321" s="112">
        <f t="shared" si="242"/>
        <v>45019</v>
      </c>
      <c r="B10321" s="111">
        <f t="shared" si="241"/>
        <v>41</v>
      </c>
    </row>
    <row r="10322" spans="1:2" x14ac:dyDescent="0.2">
      <c r="A10322" s="112">
        <f t="shared" si="242"/>
        <v>45020</v>
      </c>
      <c r="B10322" s="111">
        <f t="shared" si="241"/>
        <v>41</v>
      </c>
    </row>
    <row r="10323" spans="1:2" x14ac:dyDescent="0.2">
      <c r="A10323" s="112">
        <f t="shared" si="242"/>
        <v>45021</v>
      </c>
      <c r="B10323" s="111">
        <f t="shared" si="241"/>
        <v>41</v>
      </c>
    </row>
    <row r="10324" spans="1:2" x14ac:dyDescent="0.2">
      <c r="A10324" s="112">
        <f t="shared" si="242"/>
        <v>45022</v>
      </c>
      <c r="B10324" s="111">
        <f t="shared" si="241"/>
        <v>41</v>
      </c>
    </row>
    <row r="10325" spans="1:2" x14ac:dyDescent="0.2">
      <c r="A10325" s="112">
        <f t="shared" si="242"/>
        <v>45023</v>
      </c>
      <c r="B10325" s="111">
        <f t="shared" si="241"/>
        <v>41</v>
      </c>
    </row>
    <row r="10326" spans="1:2" x14ac:dyDescent="0.2">
      <c r="A10326" s="112">
        <f t="shared" si="242"/>
        <v>45024</v>
      </c>
      <c r="B10326" s="111">
        <f t="shared" si="241"/>
        <v>41</v>
      </c>
    </row>
    <row r="10327" spans="1:2" x14ac:dyDescent="0.2">
      <c r="A10327" s="112">
        <f t="shared" si="242"/>
        <v>45025</v>
      </c>
      <c r="B10327" s="111">
        <f t="shared" si="241"/>
        <v>42</v>
      </c>
    </row>
    <row r="10328" spans="1:2" x14ac:dyDescent="0.2">
      <c r="A10328" s="112">
        <f t="shared" si="242"/>
        <v>45026</v>
      </c>
      <c r="B10328" s="111">
        <f t="shared" si="241"/>
        <v>42</v>
      </c>
    </row>
    <row r="10329" spans="1:2" x14ac:dyDescent="0.2">
      <c r="A10329" s="112">
        <f t="shared" si="242"/>
        <v>45027</v>
      </c>
      <c r="B10329" s="111">
        <f t="shared" si="241"/>
        <v>42</v>
      </c>
    </row>
    <row r="10330" spans="1:2" x14ac:dyDescent="0.2">
      <c r="A10330" s="112">
        <f t="shared" si="242"/>
        <v>45028</v>
      </c>
      <c r="B10330" s="111">
        <f t="shared" si="241"/>
        <v>42</v>
      </c>
    </row>
    <row r="10331" spans="1:2" x14ac:dyDescent="0.2">
      <c r="A10331" s="112">
        <f t="shared" si="242"/>
        <v>45029</v>
      </c>
      <c r="B10331" s="111">
        <f t="shared" si="241"/>
        <v>42</v>
      </c>
    </row>
    <row r="10332" spans="1:2" x14ac:dyDescent="0.2">
      <c r="A10332" s="112">
        <f t="shared" si="242"/>
        <v>45030</v>
      </c>
      <c r="B10332" s="111">
        <f t="shared" si="241"/>
        <v>42</v>
      </c>
    </row>
    <row r="10333" spans="1:2" x14ac:dyDescent="0.2">
      <c r="A10333" s="112">
        <f t="shared" si="242"/>
        <v>45031</v>
      </c>
      <c r="B10333" s="111">
        <f t="shared" si="241"/>
        <v>42</v>
      </c>
    </row>
    <row r="10334" spans="1:2" x14ac:dyDescent="0.2">
      <c r="A10334" s="112">
        <f t="shared" si="242"/>
        <v>45032</v>
      </c>
      <c r="B10334" s="111">
        <f t="shared" si="241"/>
        <v>43</v>
      </c>
    </row>
    <row r="10335" spans="1:2" x14ac:dyDescent="0.2">
      <c r="A10335" s="112">
        <f t="shared" si="242"/>
        <v>45033</v>
      </c>
      <c r="B10335" s="111">
        <f t="shared" ref="B10335:B10398" si="243">VLOOKUP(WEEKNUM(A10335),$D$3:$E$58,2)</f>
        <v>43</v>
      </c>
    </row>
    <row r="10336" spans="1:2" x14ac:dyDescent="0.2">
      <c r="A10336" s="112">
        <f t="shared" si="242"/>
        <v>45034</v>
      </c>
      <c r="B10336" s="111">
        <f t="shared" si="243"/>
        <v>43</v>
      </c>
    </row>
    <row r="10337" spans="1:2" x14ac:dyDescent="0.2">
      <c r="A10337" s="112">
        <f t="shared" si="242"/>
        <v>45035</v>
      </c>
      <c r="B10337" s="111">
        <f t="shared" si="243"/>
        <v>43</v>
      </c>
    </row>
    <row r="10338" spans="1:2" x14ac:dyDescent="0.2">
      <c r="A10338" s="112">
        <f t="shared" si="242"/>
        <v>45036</v>
      </c>
      <c r="B10338" s="111">
        <f t="shared" si="243"/>
        <v>43</v>
      </c>
    </row>
    <row r="10339" spans="1:2" x14ac:dyDescent="0.2">
      <c r="A10339" s="112">
        <f t="shared" si="242"/>
        <v>45037</v>
      </c>
      <c r="B10339" s="111">
        <f t="shared" si="243"/>
        <v>43</v>
      </c>
    </row>
    <row r="10340" spans="1:2" x14ac:dyDescent="0.2">
      <c r="A10340" s="112">
        <f t="shared" si="242"/>
        <v>45038</v>
      </c>
      <c r="B10340" s="111">
        <f t="shared" si="243"/>
        <v>43</v>
      </c>
    </row>
    <row r="10341" spans="1:2" x14ac:dyDescent="0.2">
      <c r="A10341" s="112">
        <f t="shared" si="242"/>
        <v>45039</v>
      </c>
      <c r="B10341" s="111">
        <f t="shared" si="243"/>
        <v>44</v>
      </c>
    </row>
    <row r="10342" spans="1:2" x14ac:dyDescent="0.2">
      <c r="A10342" s="112">
        <f t="shared" si="242"/>
        <v>45040</v>
      </c>
      <c r="B10342" s="111">
        <f t="shared" si="243"/>
        <v>44</v>
      </c>
    </row>
    <row r="10343" spans="1:2" x14ac:dyDescent="0.2">
      <c r="A10343" s="112">
        <f t="shared" si="242"/>
        <v>45041</v>
      </c>
      <c r="B10343" s="111">
        <f t="shared" si="243"/>
        <v>44</v>
      </c>
    </row>
    <row r="10344" spans="1:2" x14ac:dyDescent="0.2">
      <c r="A10344" s="112">
        <f t="shared" si="242"/>
        <v>45042</v>
      </c>
      <c r="B10344" s="111">
        <f t="shared" si="243"/>
        <v>44</v>
      </c>
    </row>
    <row r="10345" spans="1:2" x14ac:dyDescent="0.2">
      <c r="A10345" s="112">
        <f t="shared" si="242"/>
        <v>45043</v>
      </c>
      <c r="B10345" s="111">
        <f t="shared" si="243"/>
        <v>44</v>
      </c>
    </row>
    <row r="10346" spans="1:2" x14ac:dyDescent="0.2">
      <c r="A10346" s="112">
        <f t="shared" si="242"/>
        <v>45044</v>
      </c>
      <c r="B10346" s="111">
        <f t="shared" si="243"/>
        <v>44</v>
      </c>
    </row>
    <row r="10347" spans="1:2" x14ac:dyDescent="0.2">
      <c r="A10347" s="112">
        <f t="shared" si="242"/>
        <v>45045</v>
      </c>
      <c r="B10347" s="111">
        <f t="shared" si="243"/>
        <v>44</v>
      </c>
    </row>
    <row r="10348" spans="1:2" x14ac:dyDescent="0.2">
      <c r="A10348" s="112">
        <f t="shared" si="242"/>
        <v>45046</v>
      </c>
      <c r="B10348" s="111">
        <f t="shared" si="243"/>
        <v>45</v>
      </c>
    </row>
    <row r="10349" spans="1:2" x14ac:dyDescent="0.2">
      <c r="A10349" s="112">
        <f t="shared" si="242"/>
        <v>45047</v>
      </c>
      <c r="B10349" s="111">
        <f t="shared" si="243"/>
        <v>45</v>
      </c>
    </row>
    <row r="10350" spans="1:2" x14ac:dyDescent="0.2">
      <c r="A10350" s="112">
        <f t="shared" si="242"/>
        <v>45048</v>
      </c>
      <c r="B10350" s="111">
        <f t="shared" si="243"/>
        <v>45</v>
      </c>
    </row>
    <row r="10351" spans="1:2" x14ac:dyDescent="0.2">
      <c r="A10351" s="112">
        <f t="shared" si="242"/>
        <v>45049</v>
      </c>
      <c r="B10351" s="111">
        <f t="shared" si="243"/>
        <v>45</v>
      </c>
    </row>
    <row r="10352" spans="1:2" x14ac:dyDescent="0.2">
      <c r="A10352" s="112">
        <f t="shared" si="242"/>
        <v>45050</v>
      </c>
      <c r="B10352" s="111">
        <f t="shared" si="243"/>
        <v>45</v>
      </c>
    </row>
    <row r="10353" spans="1:2" x14ac:dyDescent="0.2">
      <c r="A10353" s="112">
        <f t="shared" si="242"/>
        <v>45051</v>
      </c>
      <c r="B10353" s="111">
        <f t="shared" si="243"/>
        <v>45</v>
      </c>
    </row>
    <row r="10354" spans="1:2" x14ac:dyDescent="0.2">
      <c r="A10354" s="112">
        <f t="shared" si="242"/>
        <v>45052</v>
      </c>
      <c r="B10354" s="111">
        <f t="shared" si="243"/>
        <v>45</v>
      </c>
    </row>
    <row r="10355" spans="1:2" x14ac:dyDescent="0.2">
      <c r="A10355" s="112">
        <f t="shared" si="242"/>
        <v>45053</v>
      </c>
      <c r="B10355" s="111">
        <f t="shared" si="243"/>
        <v>51</v>
      </c>
    </row>
    <row r="10356" spans="1:2" x14ac:dyDescent="0.2">
      <c r="A10356" s="112">
        <f t="shared" ref="A10356:A10419" si="244">A10355+1</f>
        <v>45054</v>
      </c>
      <c r="B10356" s="111">
        <f t="shared" si="243"/>
        <v>51</v>
      </c>
    </row>
    <row r="10357" spans="1:2" x14ac:dyDescent="0.2">
      <c r="A10357" s="112">
        <f t="shared" si="244"/>
        <v>45055</v>
      </c>
      <c r="B10357" s="111">
        <f t="shared" si="243"/>
        <v>51</v>
      </c>
    </row>
    <row r="10358" spans="1:2" x14ac:dyDescent="0.2">
      <c r="A10358" s="112">
        <f t="shared" si="244"/>
        <v>45056</v>
      </c>
      <c r="B10358" s="111">
        <f t="shared" si="243"/>
        <v>51</v>
      </c>
    </row>
    <row r="10359" spans="1:2" x14ac:dyDescent="0.2">
      <c r="A10359" s="112">
        <f t="shared" si="244"/>
        <v>45057</v>
      </c>
      <c r="B10359" s="111">
        <f t="shared" si="243"/>
        <v>51</v>
      </c>
    </row>
    <row r="10360" spans="1:2" x14ac:dyDescent="0.2">
      <c r="A10360" s="112">
        <f t="shared" si="244"/>
        <v>45058</v>
      </c>
      <c r="B10360" s="111">
        <f t="shared" si="243"/>
        <v>51</v>
      </c>
    </row>
    <row r="10361" spans="1:2" x14ac:dyDescent="0.2">
      <c r="A10361" s="112">
        <f t="shared" si="244"/>
        <v>45059</v>
      </c>
      <c r="B10361" s="111">
        <f t="shared" si="243"/>
        <v>51</v>
      </c>
    </row>
    <row r="10362" spans="1:2" x14ac:dyDescent="0.2">
      <c r="A10362" s="112">
        <f t="shared" si="244"/>
        <v>45060</v>
      </c>
      <c r="B10362" s="111">
        <f t="shared" si="243"/>
        <v>52</v>
      </c>
    </row>
    <row r="10363" spans="1:2" x14ac:dyDescent="0.2">
      <c r="A10363" s="112">
        <f t="shared" si="244"/>
        <v>45061</v>
      </c>
      <c r="B10363" s="111">
        <f t="shared" si="243"/>
        <v>52</v>
      </c>
    </row>
    <row r="10364" spans="1:2" x14ac:dyDescent="0.2">
      <c r="A10364" s="112">
        <f t="shared" si="244"/>
        <v>45062</v>
      </c>
      <c r="B10364" s="111">
        <f t="shared" si="243"/>
        <v>52</v>
      </c>
    </row>
    <row r="10365" spans="1:2" x14ac:dyDescent="0.2">
      <c r="A10365" s="112">
        <f t="shared" si="244"/>
        <v>45063</v>
      </c>
      <c r="B10365" s="111">
        <f t="shared" si="243"/>
        <v>52</v>
      </c>
    </row>
    <row r="10366" spans="1:2" x14ac:dyDescent="0.2">
      <c r="A10366" s="112">
        <f t="shared" si="244"/>
        <v>45064</v>
      </c>
      <c r="B10366" s="111">
        <f t="shared" si="243"/>
        <v>52</v>
      </c>
    </row>
    <row r="10367" spans="1:2" x14ac:dyDescent="0.2">
      <c r="A10367" s="112">
        <f t="shared" si="244"/>
        <v>45065</v>
      </c>
      <c r="B10367" s="111">
        <f t="shared" si="243"/>
        <v>52</v>
      </c>
    </row>
    <row r="10368" spans="1:2" x14ac:dyDescent="0.2">
      <c r="A10368" s="112">
        <f t="shared" si="244"/>
        <v>45066</v>
      </c>
      <c r="B10368" s="111">
        <f t="shared" si="243"/>
        <v>52</v>
      </c>
    </row>
    <row r="10369" spans="1:2" x14ac:dyDescent="0.2">
      <c r="A10369" s="112">
        <f t="shared" si="244"/>
        <v>45067</v>
      </c>
      <c r="B10369" s="111">
        <f t="shared" si="243"/>
        <v>53</v>
      </c>
    </row>
    <row r="10370" spans="1:2" x14ac:dyDescent="0.2">
      <c r="A10370" s="112">
        <f t="shared" si="244"/>
        <v>45068</v>
      </c>
      <c r="B10370" s="111">
        <f t="shared" si="243"/>
        <v>53</v>
      </c>
    </row>
    <row r="10371" spans="1:2" x14ac:dyDescent="0.2">
      <c r="A10371" s="112">
        <f t="shared" si="244"/>
        <v>45069</v>
      </c>
      <c r="B10371" s="111">
        <f t="shared" si="243"/>
        <v>53</v>
      </c>
    </row>
    <row r="10372" spans="1:2" x14ac:dyDescent="0.2">
      <c r="A10372" s="112">
        <f t="shared" si="244"/>
        <v>45070</v>
      </c>
      <c r="B10372" s="111">
        <f t="shared" si="243"/>
        <v>53</v>
      </c>
    </row>
    <row r="10373" spans="1:2" x14ac:dyDescent="0.2">
      <c r="A10373" s="112">
        <f t="shared" si="244"/>
        <v>45071</v>
      </c>
      <c r="B10373" s="111">
        <f t="shared" si="243"/>
        <v>53</v>
      </c>
    </row>
    <row r="10374" spans="1:2" x14ac:dyDescent="0.2">
      <c r="A10374" s="112">
        <f t="shared" si="244"/>
        <v>45072</v>
      </c>
      <c r="B10374" s="111">
        <f t="shared" si="243"/>
        <v>53</v>
      </c>
    </row>
    <row r="10375" spans="1:2" x14ac:dyDescent="0.2">
      <c r="A10375" s="112">
        <f t="shared" si="244"/>
        <v>45073</v>
      </c>
      <c r="B10375" s="111">
        <f t="shared" si="243"/>
        <v>53</v>
      </c>
    </row>
    <row r="10376" spans="1:2" x14ac:dyDescent="0.2">
      <c r="A10376" s="112">
        <f t="shared" si="244"/>
        <v>45074</v>
      </c>
      <c r="B10376" s="111">
        <f t="shared" si="243"/>
        <v>54</v>
      </c>
    </row>
    <row r="10377" spans="1:2" x14ac:dyDescent="0.2">
      <c r="A10377" s="112">
        <f t="shared" si="244"/>
        <v>45075</v>
      </c>
      <c r="B10377" s="111">
        <f t="shared" si="243"/>
        <v>54</v>
      </c>
    </row>
    <row r="10378" spans="1:2" x14ac:dyDescent="0.2">
      <c r="A10378" s="112">
        <f t="shared" si="244"/>
        <v>45076</v>
      </c>
      <c r="B10378" s="111">
        <f t="shared" si="243"/>
        <v>54</v>
      </c>
    </row>
    <row r="10379" spans="1:2" x14ac:dyDescent="0.2">
      <c r="A10379" s="112">
        <f t="shared" si="244"/>
        <v>45077</v>
      </c>
      <c r="B10379" s="111">
        <f t="shared" si="243"/>
        <v>54</v>
      </c>
    </row>
    <row r="10380" spans="1:2" x14ac:dyDescent="0.2">
      <c r="A10380" s="112">
        <f t="shared" si="244"/>
        <v>45078</v>
      </c>
      <c r="B10380" s="111">
        <f t="shared" si="243"/>
        <v>54</v>
      </c>
    </row>
    <row r="10381" spans="1:2" x14ac:dyDescent="0.2">
      <c r="A10381" s="112">
        <f t="shared" si="244"/>
        <v>45079</v>
      </c>
      <c r="B10381" s="111">
        <f t="shared" si="243"/>
        <v>54</v>
      </c>
    </row>
    <row r="10382" spans="1:2" x14ac:dyDescent="0.2">
      <c r="A10382" s="112">
        <f t="shared" si="244"/>
        <v>45080</v>
      </c>
      <c r="B10382" s="111">
        <f t="shared" si="243"/>
        <v>54</v>
      </c>
    </row>
    <row r="10383" spans="1:2" x14ac:dyDescent="0.2">
      <c r="A10383" s="112">
        <f t="shared" si="244"/>
        <v>45081</v>
      </c>
      <c r="B10383" s="111">
        <f t="shared" si="243"/>
        <v>61</v>
      </c>
    </row>
    <row r="10384" spans="1:2" x14ac:dyDescent="0.2">
      <c r="A10384" s="112">
        <f t="shared" si="244"/>
        <v>45082</v>
      </c>
      <c r="B10384" s="111">
        <f t="shared" si="243"/>
        <v>61</v>
      </c>
    </row>
    <row r="10385" spans="1:2" x14ac:dyDescent="0.2">
      <c r="A10385" s="112">
        <f t="shared" si="244"/>
        <v>45083</v>
      </c>
      <c r="B10385" s="111">
        <f t="shared" si="243"/>
        <v>61</v>
      </c>
    </row>
    <row r="10386" spans="1:2" x14ac:dyDescent="0.2">
      <c r="A10386" s="112">
        <f t="shared" si="244"/>
        <v>45084</v>
      </c>
      <c r="B10386" s="111">
        <f t="shared" si="243"/>
        <v>61</v>
      </c>
    </row>
    <row r="10387" spans="1:2" x14ac:dyDescent="0.2">
      <c r="A10387" s="112">
        <f t="shared" si="244"/>
        <v>45085</v>
      </c>
      <c r="B10387" s="111">
        <f t="shared" si="243"/>
        <v>61</v>
      </c>
    </row>
    <row r="10388" spans="1:2" x14ac:dyDescent="0.2">
      <c r="A10388" s="112">
        <f t="shared" si="244"/>
        <v>45086</v>
      </c>
      <c r="B10388" s="111">
        <f t="shared" si="243"/>
        <v>61</v>
      </c>
    </row>
    <row r="10389" spans="1:2" x14ac:dyDescent="0.2">
      <c r="A10389" s="112">
        <f t="shared" si="244"/>
        <v>45087</v>
      </c>
      <c r="B10389" s="111">
        <f t="shared" si="243"/>
        <v>61</v>
      </c>
    </row>
    <row r="10390" spans="1:2" x14ac:dyDescent="0.2">
      <c r="A10390" s="112">
        <f t="shared" si="244"/>
        <v>45088</v>
      </c>
      <c r="B10390" s="111">
        <f t="shared" si="243"/>
        <v>62</v>
      </c>
    </row>
    <row r="10391" spans="1:2" x14ac:dyDescent="0.2">
      <c r="A10391" s="112">
        <f t="shared" si="244"/>
        <v>45089</v>
      </c>
      <c r="B10391" s="111">
        <f t="shared" si="243"/>
        <v>62</v>
      </c>
    </row>
    <row r="10392" spans="1:2" x14ac:dyDescent="0.2">
      <c r="A10392" s="112">
        <f t="shared" si="244"/>
        <v>45090</v>
      </c>
      <c r="B10392" s="111">
        <f t="shared" si="243"/>
        <v>62</v>
      </c>
    </row>
    <row r="10393" spans="1:2" x14ac:dyDescent="0.2">
      <c r="A10393" s="112">
        <f t="shared" si="244"/>
        <v>45091</v>
      </c>
      <c r="B10393" s="111">
        <f t="shared" si="243"/>
        <v>62</v>
      </c>
    </row>
    <row r="10394" spans="1:2" x14ac:dyDescent="0.2">
      <c r="A10394" s="112">
        <f t="shared" si="244"/>
        <v>45092</v>
      </c>
      <c r="B10394" s="111">
        <f t="shared" si="243"/>
        <v>62</v>
      </c>
    </row>
    <row r="10395" spans="1:2" x14ac:dyDescent="0.2">
      <c r="A10395" s="112">
        <f t="shared" si="244"/>
        <v>45093</v>
      </c>
      <c r="B10395" s="111">
        <f t="shared" si="243"/>
        <v>62</v>
      </c>
    </row>
    <row r="10396" spans="1:2" x14ac:dyDescent="0.2">
      <c r="A10396" s="112">
        <f t="shared" si="244"/>
        <v>45094</v>
      </c>
      <c r="B10396" s="111">
        <f t="shared" si="243"/>
        <v>62</v>
      </c>
    </row>
    <row r="10397" spans="1:2" x14ac:dyDescent="0.2">
      <c r="A10397" s="112">
        <f t="shared" si="244"/>
        <v>45095</v>
      </c>
      <c r="B10397" s="111">
        <f t="shared" si="243"/>
        <v>63</v>
      </c>
    </row>
    <row r="10398" spans="1:2" x14ac:dyDescent="0.2">
      <c r="A10398" s="112">
        <f t="shared" si="244"/>
        <v>45096</v>
      </c>
      <c r="B10398" s="111">
        <f t="shared" si="243"/>
        <v>63</v>
      </c>
    </row>
    <row r="10399" spans="1:2" x14ac:dyDescent="0.2">
      <c r="A10399" s="112">
        <f t="shared" si="244"/>
        <v>45097</v>
      </c>
      <c r="B10399" s="111">
        <f t="shared" ref="B10399:B10462" si="245">VLOOKUP(WEEKNUM(A10399),$D$3:$E$58,2)</f>
        <v>63</v>
      </c>
    </row>
    <row r="10400" spans="1:2" x14ac:dyDescent="0.2">
      <c r="A10400" s="112">
        <f t="shared" si="244"/>
        <v>45098</v>
      </c>
      <c r="B10400" s="111">
        <f t="shared" si="245"/>
        <v>63</v>
      </c>
    </row>
    <row r="10401" spans="1:2" x14ac:dyDescent="0.2">
      <c r="A10401" s="112">
        <f t="shared" si="244"/>
        <v>45099</v>
      </c>
      <c r="B10401" s="111">
        <f t="shared" si="245"/>
        <v>63</v>
      </c>
    </row>
    <row r="10402" spans="1:2" x14ac:dyDescent="0.2">
      <c r="A10402" s="112">
        <f t="shared" si="244"/>
        <v>45100</v>
      </c>
      <c r="B10402" s="111">
        <f t="shared" si="245"/>
        <v>63</v>
      </c>
    </row>
    <row r="10403" spans="1:2" x14ac:dyDescent="0.2">
      <c r="A10403" s="112">
        <f t="shared" si="244"/>
        <v>45101</v>
      </c>
      <c r="B10403" s="111">
        <f t="shared" si="245"/>
        <v>63</v>
      </c>
    </row>
    <row r="10404" spans="1:2" x14ac:dyDescent="0.2">
      <c r="A10404" s="112">
        <f t="shared" si="244"/>
        <v>45102</v>
      </c>
      <c r="B10404" s="111">
        <f t="shared" si="245"/>
        <v>64</v>
      </c>
    </row>
    <row r="10405" spans="1:2" x14ac:dyDescent="0.2">
      <c r="A10405" s="112">
        <f t="shared" si="244"/>
        <v>45103</v>
      </c>
      <c r="B10405" s="111">
        <f t="shared" si="245"/>
        <v>64</v>
      </c>
    </row>
    <row r="10406" spans="1:2" x14ac:dyDescent="0.2">
      <c r="A10406" s="112">
        <f t="shared" si="244"/>
        <v>45104</v>
      </c>
      <c r="B10406" s="111">
        <f t="shared" si="245"/>
        <v>64</v>
      </c>
    </row>
    <row r="10407" spans="1:2" x14ac:dyDescent="0.2">
      <c r="A10407" s="112">
        <f t="shared" si="244"/>
        <v>45105</v>
      </c>
      <c r="B10407" s="111">
        <f t="shared" si="245"/>
        <v>64</v>
      </c>
    </row>
    <row r="10408" spans="1:2" x14ac:dyDescent="0.2">
      <c r="A10408" s="112">
        <f t="shared" si="244"/>
        <v>45106</v>
      </c>
      <c r="B10408" s="111">
        <f t="shared" si="245"/>
        <v>64</v>
      </c>
    </row>
    <row r="10409" spans="1:2" x14ac:dyDescent="0.2">
      <c r="A10409" s="112">
        <f t="shared" si="244"/>
        <v>45107</v>
      </c>
      <c r="B10409" s="111">
        <f t="shared" si="245"/>
        <v>64</v>
      </c>
    </row>
    <row r="10410" spans="1:2" x14ac:dyDescent="0.2">
      <c r="A10410" s="112">
        <f t="shared" si="244"/>
        <v>45108</v>
      </c>
      <c r="B10410" s="111">
        <f t="shared" si="245"/>
        <v>64</v>
      </c>
    </row>
    <row r="10411" spans="1:2" x14ac:dyDescent="0.2">
      <c r="A10411" s="112">
        <f t="shared" si="244"/>
        <v>45109</v>
      </c>
      <c r="B10411" s="111">
        <f t="shared" si="245"/>
        <v>71</v>
      </c>
    </row>
    <row r="10412" spans="1:2" x14ac:dyDescent="0.2">
      <c r="A10412" s="112">
        <f t="shared" si="244"/>
        <v>45110</v>
      </c>
      <c r="B10412" s="111">
        <f t="shared" si="245"/>
        <v>71</v>
      </c>
    </row>
    <row r="10413" spans="1:2" x14ac:dyDescent="0.2">
      <c r="A10413" s="112">
        <f t="shared" si="244"/>
        <v>45111</v>
      </c>
      <c r="B10413" s="111">
        <f t="shared" si="245"/>
        <v>71</v>
      </c>
    </row>
    <row r="10414" spans="1:2" x14ac:dyDescent="0.2">
      <c r="A10414" s="112">
        <f t="shared" si="244"/>
        <v>45112</v>
      </c>
      <c r="B10414" s="111">
        <f t="shared" si="245"/>
        <v>71</v>
      </c>
    </row>
    <row r="10415" spans="1:2" x14ac:dyDescent="0.2">
      <c r="A10415" s="112">
        <f t="shared" si="244"/>
        <v>45113</v>
      </c>
      <c r="B10415" s="111">
        <f t="shared" si="245"/>
        <v>71</v>
      </c>
    </row>
    <row r="10416" spans="1:2" x14ac:dyDescent="0.2">
      <c r="A10416" s="112">
        <f t="shared" si="244"/>
        <v>45114</v>
      </c>
      <c r="B10416" s="111">
        <f t="shared" si="245"/>
        <v>71</v>
      </c>
    </row>
    <row r="10417" spans="1:2" x14ac:dyDescent="0.2">
      <c r="A10417" s="112">
        <f t="shared" si="244"/>
        <v>45115</v>
      </c>
      <c r="B10417" s="111">
        <f t="shared" si="245"/>
        <v>71</v>
      </c>
    </row>
    <row r="10418" spans="1:2" x14ac:dyDescent="0.2">
      <c r="A10418" s="112">
        <f t="shared" si="244"/>
        <v>45116</v>
      </c>
      <c r="B10418" s="111">
        <f t="shared" si="245"/>
        <v>72</v>
      </c>
    </row>
    <row r="10419" spans="1:2" x14ac:dyDescent="0.2">
      <c r="A10419" s="112">
        <f t="shared" si="244"/>
        <v>45117</v>
      </c>
      <c r="B10419" s="111">
        <f t="shared" si="245"/>
        <v>72</v>
      </c>
    </row>
    <row r="10420" spans="1:2" x14ac:dyDescent="0.2">
      <c r="A10420" s="112">
        <f t="shared" ref="A10420:A10483" si="246">A10419+1</f>
        <v>45118</v>
      </c>
      <c r="B10420" s="111">
        <f t="shared" si="245"/>
        <v>72</v>
      </c>
    </row>
    <row r="10421" spans="1:2" x14ac:dyDescent="0.2">
      <c r="A10421" s="112">
        <f t="shared" si="246"/>
        <v>45119</v>
      </c>
      <c r="B10421" s="111">
        <f t="shared" si="245"/>
        <v>72</v>
      </c>
    </row>
    <row r="10422" spans="1:2" x14ac:dyDescent="0.2">
      <c r="A10422" s="112">
        <f t="shared" si="246"/>
        <v>45120</v>
      </c>
      <c r="B10422" s="111">
        <f t="shared" si="245"/>
        <v>72</v>
      </c>
    </row>
    <row r="10423" spans="1:2" x14ac:dyDescent="0.2">
      <c r="A10423" s="112">
        <f t="shared" si="246"/>
        <v>45121</v>
      </c>
      <c r="B10423" s="111">
        <f t="shared" si="245"/>
        <v>72</v>
      </c>
    </row>
    <row r="10424" spans="1:2" x14ac:dyDescent="0.2">
      <c r="A10424" s="112">
        <f t="shared" si="246"/>
        <v>45122</v>
      </c>
      <c r="B10424" s="111">
        <f t="shared" si="245"/>
        <v>72</v>
      </c>
    </row>
    <row r="10425" spans="1:2" x14ac:dyDescent="0.2">
      <c r="A10425" s="112">
        <f t="shared" si="246"/>
        <v>45123</v>
      </c>
      <c r="B10425" s="111">
        <f t="shared" si="245"/>
        <v>73</v>
      </c>
    </row>
    <row r="10426" spans="1:2" x14ac:dyDescent="0.2">
      <c r="A10426" s="112">
        <f t="shared" si="246"/>
        <v>45124</v>
      </c>
      <c r="B10426" s="111">
        <f t="shared" si="245"/>
        <v>73</v>
      </c>
    </row>
    <row r="10427" spans="1:2" x14ac:dyDescent="0.2">
      <c r="A10427" s="112">
        <f t="shared" si="246"/>
        <v>45125</v>
      </c>
      <c r="B10427" s="111">
        <f t="shared" si="245"/>
        <v>73</v>
      </c>
    </row>
    <row r="10428" spans="1:2" x14ac:dyDescent="0.2">
      <c r="A10428" s="112">
        <f t="shared" si="246"/>
        <v>45126</v>
      </c>
      <c r="B10428" s="111">
        <f t="shared" si="245"/>
        <v>73</v>
      </c>
    </row>
    <row r="10429" spans="1:2" x14ac:dyDescent="0.2">
      <c r="A10429" s="112">
        <f t="shared" si="246"/>
        <v>45127</v>
      </c>
      <c r="B10429" s="111">
        <f t="shared" si="245"/>
        <v>73</v>
      </c>
    </row>
    <row r="10430" spans="1:2" x14ac:dyDescent="0.2">
      <c r="A10430" s="112">
        <f t="shared" si="246"/>
        <v>45128</v>
      </c>
      <c r="B10430" s="111">
        <f t="shared" si="245"/>
        <v>73</v>
      </c>
    </row>
    <row r="10431" spans="1:2" x14ac:dyDescent="0.2">
      <c r="A10431" s="112">
        <f t="shared" si="246"/>
        <v>45129</v>
      </c>
      <c r="B10431" s="111">
        <f t="shared" si="245"/>
        <v>73</v>
      </c>
    </row>
    <row r="10432" spans="1:2" x14ac:dyDescent="0.2">
      <c r="A10432" s="112">
        <f t="shared" si="246"/>
        <v>45130</v>
      </c>
      <c r="B10432" s="111">
        <f t="shared" si="245"/>
        <v>74</v>
      </c>
    </row>
    <row r="10433" spans="1:2" x14ac:dyDescent="0.2">
      <c r="A10433" s="112">
        <f t="shared" si="246"/>
        <v>45131</v>
      </c>
      <c r="B10433" s="111">
        <f t="shared" si="245"/>
        <v>74</v>
      </c>
    </row>
    <row r="10434" spans="1:2" x14ac:dyDescent="0.2">
      <c r="A10434" s="112">
        <f t="shared" si="246"/>
        <v>45132</v>
      </c>
      <c r="B10434" s="111">
        <f t="shared" si="245"/>
        <v>74</v>
      </c>
    </row>
    <row r="10435" spans="1:2" x14ac:dyDescent="0.2">
      <c r="A10435" s="112">
        <f t="shared" si="246"/>
        <v>45133</v>
      </c>
      <c r="B10435" s="111">
        <f t="shared" si="245"/>
        <v>74</v>
      </c>
    </row>
    <row r="10436" spans="1:2" x14ac:dyDescent="0.2">
      <c r="A10436" s="112">
        <f t="shared" si="246"/>
        <v>45134</v>
      </c>
      <c r="B10436" s="111">
        <f t="shared" si="245"/>
        <v>74</v>
      </c>
    </row>
    <row r="10437" spans="1:2" x14ac:dyDescent="0.2">
      <c r="A10437" s="112">
        <f t="shared" si="246"/>
        <v>45135</v>
      </c>
      <c r="B10437" s="111">
        <f t="shared" si="245"/>
        <v>74</v>
      </c>
    </row>
    <row r="10438" spans="1:2" x14ac:dyDescent="0.2">
      <c r="A10438" s="112">
        <f t="shared" si="246"/>
        <v>45136</v>
      </c>
      <c r="B10438" s="111">
        <f t="shared" si="245"/>
        <v>74</v>
      </c>
    </row>
    <row r="10439" spans="1:2" x14ac:dyDescent="0.2">
      <c r="A10439" s="112">
        <f t="shared" si="246"/>
        <v>45137</v>
      </c>
      <c r="B10439" s="111">
        <f t="shared" si="245"/>
        <v>75</v>
      </c>
    </row>
    <row r="10440" spans="1:2" x14ac:dyDescent="0.2">
      <c r="A10440" s="112">
        <f t="shared" si="246"/>
        <v>45138</v>
      </c>
      <c r="B10440" s="111">
        <f t="shared" si="245"/>
        <v>75</v>
      </c>
    </row>
    <row r="10441" spans="1:2" x14ac:dyDescent="0.2">
      <c r="A10441" s="112">
        <f t="shared" si="246"/>
        <v>45139</v>
      </c>
      <c r="B10441" s="111">
        <f t="shared" si="245"/>
        <v>75</v>
      </c>
    </row>
    <row r="10442" spans="1:2" x14ac:dyDescent="0.2">
      <c r="A10442" s="112">
        <f t="shared" si="246"/>
        <v>45140</v>
      </c>
      <c r="B10442" s="111">
        <f t="shared" si="245"/>
        <v>75</v>
      </c>
    </row>
    <row r="10443" spans="1:2" x14ac:dyDescent="0.2">
      <c r="A10443" s="112">
        <f t="shared" si="246"/>
        <v>45141</v>
      </c>
      <c r="B10443" s="111">
        <f t="shared" si="245"/>
        <v>75</v>
      </c>
    </row>
    <row r="10444" spans="1:2" x14ac:dyDescent="0.2">
      <c r="A10444" s="112">
        <f t="shared" si="246"/>
        <v>45142</v>
      </c>
      <c r="B10444" s="111">
        <f t="shared" si="245"/>
        <v>75</v>
      </c>
    </row>
    <row r="10445" spans="1:2" x14ac:dyDescent="0.2">
      <c r="A10445" s="112">
        <f t="shared" si="246"/>
        <v>45143</v>
      </c>
      <c r="B10445" s="111">
        <f t="shared" si="245"/>
        <v>75</v>
      </c>
    </row>
    <row r="10446" spans="1:2" x14ac:dyDescent="0.2">
      <c r="A10446" s="112">
        <f t="shared" si="246"/>
        <v>45144</v>
      </c>
      <c r="B10446" s="111">
        <f t="shared" si="245"/>
        <v>81</v>
      </c>
    </row>
    <row r="10447" spans="1:2" x14ac:dyDescent="0.2">
      <c r="A10447" s="112">
        <f t="shared" si="246"/>
        <v>45145</v>
      </c>
      <c r="B10447" s="111">
        <f t="shared" si="245"/>
        <v>81</v>
      </c>
    </row>
    <row r="10448" spans="1:2" x14ac:dyDescent="0.2">
      <c r="A10448" s="112">
        <f t="shared" si="246"/>
        <v>45146</v>
      </c>
      <c r="B10448" s="111">
        <f t="shared" si="245"/>
        <v>81</v>
      </c>
    </row>
    <row r="10449" spans="1:2" x14ac:dyDescent="0.2">
      <c r="A10449" s="112">
        <f t="shared" si="246"/>
        <v>45147</v>
      </c>
      <c r="B10449" s="111">
        <f t="shared" si="245"/>
        <v>81</v>
      </c>
    </row>
    <row r="10450" spans="1:2" x14ac:dyDescent="0.2">
      <c r="A10450" s="112">
        <f t="shared" si="246"/>
        <v>45148</v>
      </c>
      <c r="B10450" s="111">
        <f t="shared" si="245"/>
        <v>81</v>
      </c>
    </row>
    <row r="10451" spans="1:2" x14ac:dyDescent="0.2">
      <c r="A10451" s="112">
        <f t="shared" si="246"/>
        <v>45149</v>
      </c>
      <c r="B10451" s="111">
        <f t="shared" si="245"/>
        <v>81</v>
      </c>
    </row>
    <row r="10452" spans="1:2" x14ac:dyDescent="0.2">
      <c r="A10452" s="112">
        <f t="shared" si="246"/>
        <v>45150</v>
      </c>
      <c r="B10452" s="111">
        <f t="shared" si="245"/>
        <v>81</v>
      </c>
    </row>
    <row r="10453" spans="1:2" x14ac:dyDescent="0.2">
      <c r="A10453" s="112">
        <f t="shared" si="246"/>
        <v>45151</v>
      </c>
      <c r="B10453" s="111">
        <f t="shared" si="245"/>
        <v>82</v>
      </c>
    </row>
    <row r="10454" spans="1:2" x14ac:dyDescent="0.2">
      <c r="A10454" s="112">
        <f t="shared" si="246"/>
        <v>45152</v>
      </c>
      <c r="B10454" s="111">
        <f t="shared" si="245"/>
        <v>82</v>
      </c>
    </row>
    <row r="10455" spans="1:2" x14ac:dyDescent="0.2">
      <c r="A10455" s="112">
        <f t="shared" si="246"/>
        <v>45153</v>
      </c>
      <c r="B10455" s="111">
        <f t="shared" si="245"/>
        <v>82</v>
      </c>
    </row>
    <row r="10456" spans="1:2" x14ac:dyDescent="0.2">
      <c r="A10456" s="112">
        <f t="shared" si="246"/>
        <v>45154</v>
      </c>
      <c r="B10456" s="111">
        <f t="shared" si="245"/>
        <v>82</v>
      </c>
    </row>
    <row r="10457" spans="1:2" x14ac:dyDescent="0.2">
      <c r="A10457" s="112">
        <f t="shared" si="246"/>
        <v>45155</v>
      </c>
      <c r="B10457" s="111">
        <f t="shared" si="245"/>
        <v>82</v>
      </c>
    </row>
    <row r="10458" spans="1:2" x14ac:dyDescent="0.2">
      <c r="A10458" s="112">
        <f t="shared" si="246"/>
        <v>45156</v>
      </c>
      <c r="B10458" s="111">
        <f t="shared" si="245"/>
        <v>82</v>
      </c>
    </row>
    <row r="10459" spans="1:2" x14ac:dyDescent="0.2">
      <c r="A10459" s="112">
        <f t="shared" si="246"/>
        <v>45157</v>
      </c>
      <c r="B10459" s="111">
        <f t="shared" si="245"/>
        <v>82</v>
      </c>
    </row>
    <row r="10460" spans="1:2" x14ac:dyDescent="0.2">
      <c r="A10460" s="112">
        <f t="shared" si="246"/>
        <v>45158</v>
      </c>
      <c r="B10460" s="111">
        <f t="shared" si="245"/>
        <v>83</v>
      </c>
    </row>
    <row r="10461" spans="1:2" x14ac:dyDescent="0.2">
      <c r="A10461" s="112">
        <f t="shared" si="246"/>
        <v>45159</v>
      </c>
      <c r="B10461" s="111">
        <f t="shared" si="245"/>
        <v>83</v>
      </c>
    </row>
    <row r="10462" spans="1:2" x14ac:dyDescent="0.2">
      <c r="A10462" s="112">
        <f t="shared" si="246"/>
        <v>45160</v>
      </c>
      <c r="B10462" s="111">
        <f t="shared" si="245"/>
        <v>83</v>
      </c>
    </row>
    <row r="10463" spans="1:2" x14ac:dyDescent="0.2">
      <c r="A10463" s="112">
        <f t="shared" si="246"/>
        <v>45161</v>
      </c>
      <c r="B10463" s="111">
        <f t="shared" ref="B10463:B10526" si="247">VLOOKUP(WEEKNUM(A10463),$D$3:$E$58,2)</f>
        <v>83</v>
      </c>
    </row>
    <row r="10464" spans="1:2" x14ac:dyDescent="0.2">
      <c r="A10464" s="112">
        <f t="shared" si="246"/>
        <v>45162</v>
      </c>
      <c r="B10464" s="111">
        <f t="shared" si="247"/>
        <v>83</v>
      </c>
    </row>
    <row r="10465" spans="1:2" x14ac:dyDescent="0.2">
      <c r="A10465" s="112">
        <f t="shared" si="246"/>
        <v>45163</v>
      </c>
      <c r="B10465" s="111">
        <f t="shared" si="247"/>
        <v>83</v>
      </c>
    </row>
    <row r="10466" spans="1:2" x14ac:dyDescent="0.2">
      <c r="A10466" s="112">
        <f t="shared" si="246"/>
        <v>45164</v>
      </c>
      <c r="B10466" s="111">
        <f t="shared" si="247"/>
        <v>83</v>
      </c>
    </row>
    <row r="10467" spans="1:2" x14ac:dyDescent="0.2">
      <c r="A10467" s="112">
        <f t="shared" si="246"/>
        <v>45165</v>
      </c>
      <c r="B10467" s="111">
        <f t="shared" si="247"/>
        <v>84</v>
      </c>
    </row>
    <row r="10468" spans="1:2" x14ac:dyDescent="0.2">
      <c r="A10468" s="112">
        <f t="shared" si="246"/>
        <v>45166</v>
      </c>
      <c r="B10468" s="111">
        <f t="shared" si="247"/>
        <v>84</v>
      </c>
    </row>
    <row r="10469" spans="1:2" x14ac:dyDescent="0.2">
      <c r="A10469" s="112">
        <f t="shared" si="246"/>
        <v>45167</v>
      </c>
      <c r="B10469" s="111">
        <f t="shared" si="247"/>
        <v>84</v>
      </c>
    </row>
    <row r="10470" spans="1:2" x14ac:dyDescent="0.2">
      <c r="A10470" s="112">
        <f t="shared" si="246"/>
        <v>45168</v>
      </c>
      <c r="B10470" s="111">
        <f t="shared" si="247"/>
        <v>84</v>
      </c>
    </row>
    <row r="10471" spans="1:2" x14ac:dyDescent="0.2">
      <c r="A10471" s="112">
        <f t="shared" si="246"/>
        <v>45169</v>
      </c>
      <c r="B10471" s="111">
        <f t="shared" si="247"/>
        <v>84</v>
      </c>
    </row>
    <row r="10472" spans="1:2" x14ac:dyDescent="0.2">
      <c r="A10472" s="112">
        <f t="shared" si="246"/>
        <v>45170</v>
      </c>
      <c r="B10472" s="111">
        <f t="shared" si="247"/>
        <v>84</v>
      </c>
    </row>
    <row r="10473" spans="1:2" x14ac:dyDescent="0.2">
      <c r="A10473" s="112">
        <f t="shared" si="246"/>
        <v>45171</v>
      </c>
      <c r="B10473" s="111">
        <f t="shared" si="247"/>
        <v>84</v>
      </c>
    </row>
    <row r="10474" spans="1:2" x14ac:dyDescent="0.2">
      <c r="A10474" s="112">
        <f t="shared" si="246"/>
        <v>45172</v>
      </c>
      <c r="B10474" s="111">
        <f t="shared" si="247"/>
        <v>91</v>
      </c>
    </row>
    <row r="10475" spans="1:2" x14ac:dyDescent="0.2">
      <c r="A10475" s="112">
        <f t="shared" si="246"/>
        <v>45173</v>
      </c>
      <c r="B10475" s="111">
        <f t="shared" si="247"/>
        <v>91</v>
      </c>
    </row>
    <row r="10476" spans="1:2" x14ac:dyDescent="0.2">
      <c r="A10476" s="112">
        <f t="shared" si="246"/>
        <v>45174</v>
      </c>
      <c r="B10476" s="111">
        <f t="shared" si="247"/>
        <v>91</v>
      </c>
    </row>
    <row r="10477" spans="1:2" x14ac:dyDescent="0.2">
      <c r="A10477" s="112">
        <f t="shared" si="246"/>
        <v>45175</v>
      </c>
      <c r="B10477" s="111">
        <f t="shared" si="247"/>
        <v>91</v>
      </c>
    </row>
    <row r="10478" spans="1:2" x14ac:dyDescent="0.2">
      <c r="A10478" s="112">
        <f t="shared" si="246"/>
        <v>45176</v>
      </c>
      <c r="B10478" s="111">
        <f t="shared" si="247"/>
        <v>91</v>
      </c>
    </row>
    <row r="10479" spans="1:2" x14ac:dyDescent="0.2">
      <c r="A10479" s="112">
        <f t="shared" si="246"/>
        <v>45177</v>
      </c>
      <c r="B10479" s="111">
        <f t="shared" si="247"/>
        <v>91</v>
      </c>
    </row>
    <row r="10480" spans="1:2" x14ac:dyDescent="0.2">
      <c r="A10480" s="112">
        <f t="shared" si="246"/>
        <v>45178</v>
      </c>
      <c r="B10480" s="111">
        <f t="shared" si="247"/>
        <v>91</v>
      </c>
    </row>
    <row r="10481" spans="1:2" x14ac:dyDescent="0.2">
      <c r="A10481" s="112">
        <f t="shared" si="246"/>
        <v>45179</v>
      </c>
      <c r="B10481" s="111">
        <f t="shared" si="247"/>
        <v>92</v>
      </c>
    </row>
    <row r="10482" spans="1:2" x14ac:dyDescent="0.2">
      <c r="A10482" s="112">
        <f t="shared" si="246"/>
        <v>45180</v>
      </c>
      <c r="B10482" s="111">
        <f t="shared" si="247"/>
        <v>92</v>
      </c>
    </row>
    <row r="10483" spans="1:2" x14ac:dyDescent="0.2">
      <c r="A10483" s="112">
        <f t="shared" si="246"/>
        <v>45181</v>
      </c>
      <c r="B10483" s="111">
        <f t="shared" si="247"/>
        <v>92</v>
      </c>
    </row>
    <row r="10484" spans="1:2" x14ac:dyDescent="0.2">
      <c r="A10484" s="112">
        <f t="shared" ref="A10484:A10547" si="248">A10483+1</f>
        <v>45182</v>
      </c>
      <c r="B10484" s="111">
        <f t="shared" si="247"/>
        <v>92</v>
      </c>
    </row>
    <row r="10485" spans="1:2" x14ac:dyDescent="0.2">
      <c r="A10485" s="112">
        <f t="shared" si="248"/>
        <v>45183</v>
      </c>
      <c r="B10485" s="111">
        <f t="shared" si="247"/>
        <v>92</v>
      </c>
    </row>
    <row r="10486" spans="1:2" x14ac:dyDescent="0.2">
      <c r="A10486" s="112">
        <f t="shared" si="248"/>
        <v>45184</v>
      </c>
      <c r="B10486" s="111">
        <f t="shared" si="247"/>
        <v>92</v>
      </c>
    </row>
    <row r="10487" spans="1:2" x14ac:dyDescent="0.2">
      <c r="A10487" s="112">
        <f t="shared" si="248"/>
        <v>45185</v>
      </c>
      <c r="B10487" s="111">
        <f t="shared" si="247"/>
        <v>92</v>
      </c>
    </row>
    <row r="10488" spans="1:2" x14ac:dyDescent="0.2">
      <c r="A10488" s="112">
        <f t="shared" si="248"/>
        <v>45186</v>
      </c>
      <c r="B10488" s="111">
        <f t="shared" si="247"/>
        <v>93</v>
      </c>
    </row>
    <row r="10489" spans="1:2" x14ac:dyDescent="0.2">
      <c r="A10489" s="112">
        <f t="shared" si="248"/>
        <v>45187</v>
      </c>
      <c r="B10489" s="111">
        <f t="shared" si="247"/>
        <v>93</v>
      </c>
    </row>
    <row r="10490" spans="1:2" x14ac:dyDescent="0.2">
      <c r="A10490" s="112">
        <f t="shared" si="248"/>
        <v>45188</v>
      </c>
      <c r="B10490" s="111">
        <f t="shared" si="247"/>
        <v>93</v>
      </c>
    </row>
    <row r="10491" spans="1:2" x14ac:dyDescent="0.2">
      <c r="A10491" s="112">
        <f t="shared" si="248"/>
        <v>45189</v>
      </c>
      <c r="B10491" s="111">
        <f t="shared" si="247"/>
        <v>93</v>
      </c>
    </row>
    <row r="10492" spans="1:2" x14ac:dyDescent="0.2">
      <c r="A10492" s="112">
        <f t="shared" si="248"/>
        <v>45190</v>
      </c>
      <c r="B10492" s="111">
        <f t="shared" si="247"/>
        <v>93</v>
      </c>
    </row>
    <row r="10493" spans="1:2" x14ac:dyDescent="0.2">
      <c r="A10493" s="112">
        <f t="shared" si="248"/>
        <v>45191</v>
      </c>
      <c r="B10493" s="111">
        <f t="shared" si="247"/>
        <v>93</v>
      </c>
    </row>
    <row r="10494" spans="1:2" x14ac:dyDescent="0.2">
      <c r="A10494" s="112">
        <f t="shared" si="248"/>
        <v>45192</v>
      </c>
      <c r="B10494" s="111">
        <f t="shared" si="247"/>
        <v>93</v>
      </c>
    </row>
    <row r="10495" spans="1:2" x14ac:dyDescent="0.2">
      <c r="A10495" s="112">
        <f t="shared" si="248"/>
        <v>45193</v>
      </c>
      <c r="B10495" s="111">
        <f t="shared" si="247"/>
        <v>94</v>
      </c>
    </row>
    <row r="10496" spans="1:2" x14ac:dyDescent="0.2">
      <c r="A10496" s="112">
        <f t="shared" si="248"/>
        <v>45194</v>
      </c>
      <c r="B10496" s="111">
        <f t="shared" si="247"/>
        <v>94</v>
      </c>
    </row>
    <row r="10497" spans="1:2" x14ac:dyDescent="0.2">
      <c r="A10497" s="112">
        <f t="shared" si="248"/>
        <v>45195</v>
      </c>
      <c r="B10497" s="111">
        <f t="shared" si="247"/>
        <v>94</v>
      </c>
    </row>
    <row r="10498" spans="1:2" x14ac:dyDescent="0.2">
      <c r="A10498" s="112">
        <f t="shared" si="248"/>
        <v>45196</v>
      </c>
      <c r="B10498" s="111">
        <f t="shared" si="247"/>
        <v>94</v>
      </c>
    </row>
    <row r="10499" spans="1:2" x14ac:dyDescent="0.2">
      <c r="A10499" s="112">
        <f t="shared" si="248"/>
        <v>45197</v>
      </c>
      <c r="B10499" s="111">
        <f t="shared" si="247"/>
        <v>94</v>
      </c>
    </row>
    <row r="10500" spans="1:2" x14ac:dyDescent="0.2">
      <c r="A10500" s="112">
        <f t="shared" si="248"/>
        <v>45198</v>
      </c>
      <c r="B10500" s="111">
        <f t="shared" si="247"/>
        <v>94</v>
      </c>
    </row>
    <row r="10501" spans="1:2" x14ac:dyDescent="0.2">
      <c r="A10501" s="112">
        <f t="shared" si="248"/>
        <v>45199</v>
      </c>
      <c r="B10501" s="111">
        <f t="shared" si="247"/>
        <v>94</v>
      </c>
    </row>
    <row r="10502" spans="1:2" x14ac:dyDescent="0.2">
      <c r="A10502" s="112">
        <f t="shared" si="248"/>
        <v>45200</v>
      </c>
      <c r="B10502" s="111">
        <f t="shared" si="247"/>
        <v>101</v>
      </c>
    </row>
    <row r="10503" spans="1:2" x14ac:dyDescent="0.2">
      <c r="A10503" s="112">
        <f t="shared" si="248"/>
        <v>45201</v>
      </c>
      <c r="B10503" s="111">
        <f t="shared" si="247"/>
        <v>101</v>
      </c>
    </row>
    <row r="10504" spans="1:2" x14ac:dyDescent="0.2">
      <c r="A10504" s="112">
        <f t="shared" si="248"/>
        <v>45202</v>
      </c>
      <c r="B10504" s="111">
        <f t="shared" si="247"/>
        <v>101</v>
      </c>
    </row>
    <row r="10505" spans="1:2" x14ac:dyDescent="0.2">
      <c r="A10505" s="112">
        <f t="shared" si="248"/>
        <v>45203</v>
      </c>
      <c r="B10505" s="111">
        <f t="shared" si="247"/>
        <v>101</v>
      </c>
    </row>
    <row r="10506" spans="1:2" x14ac:dyDescent="0.2">
      <c r="A10506" s="112">
        <f t="shared" si="248"/>
        <v>45204</v>
      </c>
      <c r="B10506" s="111">
        <f t="shared" si="247"/>
        <v>101</v>
      </c>
    </row>
    <row r="10507" spans="1:2" x14ac:dyDescent="0.2">
      <c r="A10507" s="112">
        <f t="shared" si="248"/>
        <v>45205</v>
      </c>
      <c r="B10507" s="111">
        <f t="shared" si="247"/>
        <v>101</v>
      </c>
    </row>
    <row r="10508" spans="1:2" x14ac:dyDescent="0.2">
      <c r="A10508" s="112">
        <f t="shared" si="248"/>
        <v>45206</v>
      </c>
      <c r="B10508" s="111">
        <f t="shared" si="247"/>
        <v>101</v>
      </c>
    </row>
    <row r="10509" spans="1:2" x14ac:dyDescent="0.2">
      <c r="A10509" s="112">
        <f t="shared" si="248"/>
        <v>45207</v>
      </c>
      <c r="B10509" s="111">
        <f t="shared" si="247"/>
        <v>102</v>
      </c>
    </row>
    <row r="10510" spans="1:2" x14ac:dyDescent="0.2">
      <c r="A10510" s="112">
        <f t="shared" si="248"/>
        <v>45208</v>
      </c>
      <c r="B10510" s="111">
        <f t="shared" si="247"/>
        <v>102</v>
      </c>
    </row>
    <row r="10511" spans="1:2" x14ac:dyDescent="0.2">
      <c r="A10511" s="112">
        <f t="shared" si="248"/>
        <v>45209</v>
      </c>
      <c r="B10511" s="111">
        <f t="shared" si="247"/>
        <v>102</v>
      </c>
    </row>
    <row r="10512" spans="1:2" x14ac:dyDescent="0.2">
      <c r="A10512" s="112">
        <f t="shared" si="248"/>
        <v>45210</v>
      </c>
      <c r="B10512" s="111">
        <f t="shared" si="247"/>
        <v>102</v>
      </c>
    </row>
    <row r="10513" spans="1:2" x14ac:dyDescent="0.2">
      <c r="A10513" s="112">
        <f t="shared" si="248"/>
        <v>45211</v>
      </c>
      <c r="B10513" s="111">
        <f t="shared" si="247"/>
        <v>102</v>
      </c>
    </row>
    <row r="10514" spans="1:2" x14ac:dyDescent="0.2">
      <c r="A10514" s="112">
        <f t="shared" si="248"/>
        <v>45212</v>
      </c>
      <c r="B10514" s="111">
        <f t="shared" si="247"/>
        <v>102</v>
      </c>
    </row>
    <row r="10515" spans="1:2" x14ac:dyDescent="0.2">
      <c r="A10515" s="112">
        <f t="shared" si="248"/>
        <v>45213</v>
      </c>
      <c r="B10515" s="111">
        <f t="shared" si="247"/>
        <v>102</v>
      </c>
    </row>
    <row r="10516" spans="1:2" x14ac:dyDescent="0.2">
      <c r="A10516" s="112">
        <f t="shared" si="248"/>
        <v>45214</v>
      </c>
      <c r="B10516" s="111">
        <f t="shared" si="247"/>
        <v>103</v>
      </c>
    </row>
    <row r="10517" spans="1:2" x14ac:dyDescent="0.2">
      <c r="A10517" s="112">
        <f t="shared" si="248"/>
        <v>45215</v>
      </c>
      <c r="B10517" s="111">
        <f t="shared" si="247"/>
        <v>103</v>
      </c>
    </row>
    <row r="10518" spans="1:2" x14ac:dyDescent="0.2">
      <c r="A10518" s="112">
        <f t="shared" si="248"/>
        <v>45216</v>
      </c>
      <c r="B10518" s="111">
        <f t="shared" si="247"/>
        <v>103</v>
      </c>
    </row>
    <row r="10519" spans="1:2" x14ac:dyDescent="0.2">
      <c r="A10519" s="112">
        <f t="shared" si="248"/>
        <v>45217</v>
      </c>
      <c r="B10519" s="111">
        <f t="shared" si="247"/>
        <v>103</v>
      </c>
    </row>
    <row r="10520" spans="1:2" x14ac:dyDescent="0.2">
      <c r="A10520" s="112">
        <f t="shared" si="248"/>
        <v>45218</v>
      </c>
      <c r="B10520" s="111">
        <f t="shared" si="247"/>
        <v>103</v>
      </c>
    </row>
    <row r="10521" spans="1:2" x14ac:dyDescent="0.2">
      <c r="A10521" s="112">
        <f t="shared" si="248"/>
        <v>45219</v>
      </c>
      <c r="B10521" s="111">
        <f t="shared" si="247"/>
        <v>103</v>
      </c>
    </row>
    <row r="10522" spans="1:2" x14ac:dyDescent="0.2">
      <c r="A10522" s="112">
        <f t="shared" si="248"/>
        <v>45220</v>
      </c>
      <c r="B10522" s="111">
        <f t="shared" si="247"/>
        <v>103</v>
      </c>
    </row>
    <row r="10523" spans="1:2" x14ac:dyDescent="0.2">
      <c r="A10523" s="112">
        <f t="shared" si="248"/>
        <v>45221</v>
      </c>
      <c r="B10523" s="111">
        <f t="shared" si="247"/>
        <v>104</v>
      </c>
    </row>
    <row r="10524" spans="1:2" x14ac:dyDescent="0.2">
      <c r="A10524" s="112">
        <f t="shared" si="248"/>
        <v>45222</v>
      </c>
      <c r="B10524" s="111">
        <f t="shared" si="247"/>
        <v>104</v>
      </c>
    </row>
    <row r="10525" spans="1:2" x14ac:dyDescent="0.2">
      <c r="A10525" s="112">
        <f t="shared" si="248"/>
        <v>45223</v>
      </c>
      <c r="B10525" s="111">
        <f t="shared" si="247"/>
        <v>104</v>
      </c>
    </row>
    <row r="10526" spans="1:2" x14ac:dyDescent="0.2">
      <c r="A10526" s="112">
        <f t="shared" si="248"/>
        <v>45224</v>
      </c>
      <c r="B10526" s="111">
        <f t="shared" si="247"/>
        <v>104</v>
      </c>
    </row>
    <row r="10527" spans="1:2" x14ac:dyDescent="0.2">
      <c r="A10527" s="112">
        <f t="shared" si="248"/>
        <v>45225</v>
      </c>
      <c r="B10527" s="111">
        <f t="shared" ref="B10527:B10590" si="249">VLOOKUP(WEEKNUM(A10527),$D$3:$E$58,2)</f>
        <v>104</v>
      </c>
    </row>
    <row r="10528" spans="1:2" x14ac:dyDescent="0.2">
      <c r="A10528" s="112">
        <f t="shared" si="248"/>
        <v>45226</v>
      </c>
      <c r="B10528" s="111">
        <f t="shared" si="249"/>
        <v>104</v>
      </c>
    </row>
    <row r="10529" spans="1:2" x14ac:dyDescent="0.2">
      <c r="A10529" s="112">
        <f t="shared" si="248"/>
        <v>45227</v>
      </c>
      <c r="B10529" s="111">
        <f t="shared" si="249"/>
        <v>104</v>
      </c>
    </row>
    <row r="10530" spans="1:2" x14ac:dyDescent="0.2">
      <c r="A10530" s="112">
        <f t="shared" si="248"/>
        <v>45228</v>
      </c>
      <c r="B10530" s="111">
        <f t="shared" si="249"/>
        <v>105</v>
      </c>
    </row>
    <row r="10531" spans="1:2" x14ac:dyDescent="0.2">
      <c r="A10531" s="112">
        <f t="shared" si="248"/>
        <v>45229</v>
      </c>
      <c r="B10531" s="111">
        <f t="shared" si="249"/>
        <v>105</v>
      </c>
    </row>
    <row r="10532" spans="1:2" x14ac:dyDescent="0.2">
      <c r="A10532" s="112">
        <f t="shared" si="248"/>
        <v>45230</v>
      </c>
      <c r="B10532" s="111">
        <f t="shared" si="249"/>
        <v>105</v>
      </c>
    </row>
    <row r="10533" spans="1:2" x14ac:dyDescent="0.2">
      <c r="A10533" s="112">
        <f t="shared" si="248"/>
        <v>45231</v>
      </c>
      <c r="B10533" s="111">
        <f t="shared" si="249"/>
        <v>105</v>
      </c>
    </row>
    <row r="10534" spans="1:2" x14ac:dyDescent="0.2">
      <c r="A10534" s="112">
        <f t="shared" si="248"/>
        <v>45232</v>
      </c>
      <c r="B10534" s="111">
        <f t="shared" si="249"/>
        <v>105</v>
      </c>
    </row>
    <row r="10535" spans="1:2" x14ac:dyDescent="0.2">
      <c r="A10535" s="112">
        <f t="shared" si="248"/>
        <v>45233</v>
      </c>
      <c r="B10535" s="111">
        <f t="shared" si="249"/>
        <v>105</v>
      </c>
    </row>
    <row r="10536" spans="1:2" x14ac:dyDescent="0.2">
      <c r="A10536" s="112">
        <f t="shared" si="248"/>
        <v>45234</v>
      </c>
      <c r="B10536" s="111">
        <f t="shared" si="249"/>
        <v>105</v>
      </c>
    </row>
    <row r="10537" spans="1:2" x14ac:dyDescent="0.2">
      <c r="A10537" s="112">
        <f t="shared" si="248"/>
        <v>45235</v>
      </c>
      <c r="B10537" s="111">
        <f t="shared" si="249"/>
        <v>111</v>
      </c>
    </row>
    <row r="10538" spans="1:2" x14ac:dyDescent="0.2">
      <c r="A10538" s="112">
        <f t="shared" si="248"/>
        <v>45236</v>
      </c>
      <c r="B10538" s="111">
        <f t="shared" si="249"/>
        <v>111</v>
      </c>
    </row>
    <row r="10539" spans="1:2" x14ac:dyDescent="0.2">
      <c r="A10539" s="112">
        <f t="shared" si="248"/>
        <v>45237</v>
      </c>
      <c r="B10539" s="111">
        <f t="shared" si="249"/>
        <v>111</v>
      </c>
    </row>
    <row r="10540" spans="1:2" x14ac:dyDescent="0.2">
      <c r="A10540" s="112">
        <f t="shared" si="248"/>
        <v>45238</v>
      </c>
      <c r="B10540" s="111">
        <f t="shared" si="249"/>
        <v>111</v>
      </c>
    </row>
    <row r="10541" spans="1:2" x14ac:dyDescent="0.2">
      <c r="A10541" s="112">
        <f t="shared" si="248"/>
        <v>45239</v>
      </c>
      <c r="B10541" s="111">
        <f t="shared" si="249"/>
        <v>111</v>
      </c>
    </row>
    <row r="10542" spans="1:2" x14ac:dyDescent="0.2">
      <c r="A10542" s="112">
        <f t="shared" si="248"/>
        <v>45240</v>
      </c>
      <c r="B10542" s="111">
        <f t="shared" si="249"/>
        <v>111</v>
      </c>
    </row>
    <row r="10543" spans="1:2" x14ac:dyDescent="0.2">
      <c r="A10543" s="112">
        <f t="shared" si="248"/>
        <v>45241</v>
      </c>
      <c r="B10543" s="111">
        <f t="shared" si="249"/>
        <v>111</v>
      </c>
    </row>
    <row r="10544" spans="1:2" x14ac:dyDescent="0.2">
      <c r="A10544" s="112">
        <f t="shared" si="248"/>
        <v>45242</v>
      </c>
      <c r="B10544" s="111">
        <f t="shared" si="249"/>
        <v>112</v>
      </c>
    </row>
    <row r="10545" spans="1:2" x14ac:dyDescent="0.2">
      <c r="A10545" s="112">
        <f t="shared" si="248"/>
        <v>45243</v>
      </c>
      <c r="B10545" s="111">
        <f t="shared" si="249"/>
        <v>112</v>
      </c>
    </row>
    <row r="10546" spans="1:2" x14ac:dyDescent="0.2">
      <c r="A10546" s="112">
        <f t="shared" si="248"/>
        <v>45244</v>
      </c>
      <c r="B10546" s="111">
        <f t="shared" si="249"/>
        <v>112</v>
      </c>
    </row>
    <row r="10547" spans="1:2" x14ac:dyDescent="0.2">
      <c r="A10547" s="112">
        <f t="shared" si="248"/>
        <v>45245</v>
      </c>
      <c r="B10547" s="111">
        <f t="shared" si="249"/>
        <v>112</v>
      </c>
    </row>
    <row r="10548" spans="1:2" x14ac:dyDescent="0.2">
      <c r="A10548" s="112">
        <f t="shared" ref="A10548:A10594" si="250">A10547+1</f>
        <v>45246</v>
      </c>
      <c r="B10548" s="111">
        <f t="shared" si="249"/>
        <v>112</v>
      </c>
    </row>
    <row r="10549" spans="1:2" x14ac:dyDescent="0.2">
      <c r="A10549" s="112">
        <f t="shared" si="250"/>
        <v>45247</v>
      </c>
      <c r="B10549" s="111">
        <f t="shared" si="249"/>
        <v>112</v>
      </c>
    </row>
    <row r="10550" spans="1:2" x14ac:dyDescent="0.2">
      <c r="A10550" s="112">
        <f t="shared" si="250"/>
        <v>45248</v>
      </c>
      <c r="B10550" s="111">
        <f t="shared" si="249"/>
        <v>112</v>
      </c>
    </row>
    <row r="10551" spans="1:2" x14ac:dyDescent="0.2">
      <c r="A10551" s="112">
        <f t="shared" si="250"/>
        <v>45249</v>
      </c>
      <c r="B10551" s="111">
        <f t="shared" si="249"/>
        <v>113</v>
      </c>
    </row>
    <row r="10552" spans="1:2" x14ac:dyDescent="0.2">
      <c r="A10552" s="112">
        <f t="shared" si="250"/>
        <v>45250</v>
      </c>
      <c r="B10552" s="111">
        <f t="shared" si="249"/>
        <v>113</v>
      </c>
    </row>
    <row r="10553" spans="1:2" x14ac:dyDescent="0.2">
      <c r="A10553" s="112">
        <f t="shared" si="250"/>
        <v>45251</v>
      </c>
      <c r="B10553" s="111">
        <f t="shared" si="249"/>
        <v>113</v>
      </c>
    </row>
    <row r="10554" spans="1:2" x14ac:dyDescent="0.2">
      <c r="A10554" s="112">
        <f t="shared" si="250"/>
        <v>45252</v>
      </c>
      <c r="B10554" s="111">
        <f t="shared" si="249"/>
        <v>113</v>
      </c>
    </row>
    <row r="10555" spans="1:2" x14ac:dyDescent="0.2">
      <c r="A10555" s="112">
        <f t="shared" si="250"/>
        <v>45253</v>
      </c>
      <c r="B10555" s="111">
        <f t="shared" si="249"/>
        <v>113</v>
      </c>
    </row>
    <row r="10556" spans="1:2" x14ac:dyDescent="0.2">
      <c r="A10556" s="112">
        <f t="shared" si="250"/>
        <v>45254</v>
      </c>
      <c r="B10556" s="111">
        <f t="shared" si="249"/>
        <v>113</v>
      </c>
    </row>
    <row r="10557" spans="1:2" x14ac:dyDescent="0.2">
      <c r="A10557" s="112">
        <f t="shared" si="250"/>
        <v>45255</v>
      </c>
      <c r="B10557" s="111">
        <f t="shared" si="249"/>
        <v>113</v>
      </c>
    </row>
    <row r="10558" spans="1:2" x14ac:dyDescent="0.2">
      <c r="A10558" s="112">
        <f t="shared" si="250"/>
        <v>45256</v>
      </c>
      <c r="B10558" s="111">
        <f t="shared" si="249"/>
        <v>114</v>
      </c>
    </row>
    <row r="10559" spans="1:2" x14ac:dyDescent="0.2">
      <c r="A10559" s="112">
        <f t="shared" si="250"/>
        <v>45257</v>
      </c>
      <c r="B10559" s="111">
        <f t="shared" si="249"/>
        <v>114</v>
      </c>
    </row>
    <row r="10560" spans="1:2" x14ac:dyDescent="0.2">
      <c r="A10560" s="112">
        <f t="shared" si="250"/>
        <v>45258</v>
      </c>
      <c r="B10560" s="111">
        <f t="shared" si="249"/>
        <v>114</v>
      </c>
    </row>
    <row r="10561" spans="1:2" x14ac:dyDescent="0.2">
      <c r="A10561" s="112">
        <f t="shared" si="250"/>
        <v>45259</v>
      </c>
      <c r="B10561" s="111">
        <f t="shared" si="249"/>
        <v>114</v>
      </c>
    </row>
    <row r="10562" spans="1:2" x14ac:dyDescent="0.2">
      <c r="A10562" s="112">
        <f t="shared" si="250"/>
        <v>45260</v>
      </c>
      <c r="B10562" s="111">
        <f t="shared" si="249"/>
        <v>114</v>
      </c>
    </row>
    <row r="10563" spans="1:2" x14ac:dyDescent="0.2">
      <c r="A10563" s="112">
        <f t="shared" si="250"/>
        <v>45261</v>
      </c>
      <c r="B10563" s="111">
        <f t="shared" si="249"/>
        <v>114</v>
      </c>
    </row>
    <row r="10564" spans="1:2" x14ac:dyDescent="0.2">
      <c r="A10564" s="112">
        <f t="shared" si="250"/>
        <v>45262</v>
      </c>
      <c r="B10564" s="111">
        <f t="shared" si="249"/>
        <v>114</v>
      </c>
    </row>
    <row r="10565" spans="1:2" x14ac:dyDescent="0.2">
      <c r="A10565" s="112">
        <f t="shared" si="250"/>
        <v>45263</v>
      </c>
      <c r="B10565" s="111">
        <f t="shared" si="249"/>
        <v>115</v>
      </c>
    </row>
    <row r="10566" spans="1:2" x14ac:dyDescent="0.2">
      <c r="A10566" s="112">
        <f t="shared" si="250"/>
        <v>45264</v>
      </c>
      <c r="B10566" s="111">
        <f t="shared" si="249"/>
        <v>115</v>
      </c>
    </row>
    <row r="10567" spans="1:2" x14ac:dyDescent="0.2">
      <c r="A10567" s="112">
        <f t="shared" si="250"/>
        <v>45265</v>
      </c>
      <c r="B10567" s="111">
        <f t="shared" si="249"/>
        <v>115</v>
      </c>
    </row>
    <row r="10568" spans="1:2" x14ac:dyDescent="0.2">
      <c r="A10568" s="112">
        <f t="shared" si="250"/>
        <v>45266</v>
      </c>
      <c r="B10568" s="111">
        <f t="shared" si="249"/>
        <v>115</v>
      </c>
    </row>
    <row r="10569" spans="1:2" x14ac:dyDescent="0.2">
      <c r="A10569" s="112">
        <f t="shared" si="250"/>
        <v>45267</v>
      </c>
      <c r="B10569" s="111">
        <f t="shared" si="249"/>
        <v>115</v>
      </c>
    </row>
    <row r="10570" spans="1:2" x14ac:dyDescent="0.2">
      <c r="A10570" s="112">
        <f t="shared" si="250"/>
        <v>45268</v>
      </c>
      <c r="B10570" s="111">
        <f t="shared" si="249"/>
        <v>115</v>
      </c>
    </row>
    <row r="10571" spans="1:2" x14ac:dyDescent="0.2">
      <c r="A10571" s="112">
        <f t="shared" si="250"/>
        <v>45269</v>
      </c>
      <c r="B10571" s="111">
        <f t="shared" si="249"/>
        <v>115</v>
      </c>
    </row>
    <row r="10572" spans="1:2" x14ac:dyDescent="0.2">
      <c r="A10572" s="112">
        <f t="shared" si="250"/>
        <v>45270</v>
      </c>
      <c r="B10572" s="111">
        <f t="shared" si="249"/>
        <v>121</v>
      </c>
    </row>
    <row r="10573" spans="1:2" x14ac:dyDescent="0.2">
      <c r="A10573" s="112">
        <f t="shared" si="250"/>
        <v>45271</v>
      </c>
      <c r="B10573" s="111">
        <f t="shared" si="249"/>
        <v>121</v>
      </c>
    </row>
    <row r="10574" spans="1:2" x14ac:dyDescent="0.2">
      <c r="A10574" s="112">
        <f t="shared" si="250"/>
        <v>45272</v>
      </c>
      <c r="B10574" s="111">
        <f t="shared" si="249"/>
        <v>121</v>
      </c>
    </row>
    <row r="10575" spans="1:2" x14ac:dyDescent="0.2">
      <c r="A10575" s="112">
        <f t="shared" si="250"/>
        <v>45273</v>
      </c>
      <c r="B10575" s="111">
        <f t="shared" si="249"/>
        <v>121</v>
      </c>
    </row>
    <row r="10576" spans="1:2" x14ac:dyDescent="0.2">
      <c r="A10576" s="112">
        <f t="shared" si="250"/>
        <v>45274</v>
      </c>
      <c r="B10576" s="111">
        <f t="shared" si="249"/>
        <v>121</v>
      </c>
    </row>
    <row r="10577" spans="1:2" x14ac:dyDescent="0.2">
      <c r="A10577" s="112">
        <f t="shared" si="250"/>
        <v>45275</v>
      </c>
      <c r="B10577" s="111">
        <f t="shared" si="249"/>
        <v>121</v>
      </c>
    </row>
    <row r="10578" spans="1:2" x14ac:dyDescent="0.2">
      <c r="A10578" s="112">
        <f t="shared" si="250"/>
        <v>45276</v>
      </c>
      <c r="B10578" s="111">
        <f t="shared" si="249"/>
        <v>121</v>
      </c>
    </row>
    <row r="10579" spans="1:2" x14ac:dyDescent="0.2">
      <c r="A10579" s="112">
        <f t="shared" si="250"/>
        <v>45277</v>
      </c>
      <c r="B10579" s="111">
        <f t="shared" si="249"/>
        <v>122</v>
      </c>
    </row>
    <row r="10580" spans="1:2" x14ac:dyDescent="0.2">
      <c r="A10580" s="112">
        <f t="shared" si="250"/>
        <v>45278</v>
      </c>
      <c r="B10580" s="111">
        <f t="shared" si="249"/>
        <v>122</v>
      </c>
    </row>
    <row r="10581" spans="1:2" x14ac:dyDescent="0.2">
      <c r="A10581" s="112">
        <f t="shared" si="250"/>
        <v>45279</v>
      </c>
      <c r="B10581" s="111">
        <f t="shared" si="249"/>
        <v>122</v>
      </c>
    </row>
    <row r="10582" spans="1:2" x14ac:dyDescent="0.2">
      <c r="A10582" s="112">
        <f t="shared" si="250"/>
        <v>45280</v>
      </c>
      <c r="B10582" s="111">
        <f t="shared" si="249"/>
        <v>122</v>
      </c>
    </row>
    <row r="10583" spans="1:2" x14ac:dyDescent="0.2">
      <c r="A10583" s="112">
        <f t="shared" si="250"/>
        <v>45281</v>
      </c>
      <c r="B10583" s="111">
        <f t="shared" si="249"/>
        <v>122</v>
      </c>
    </row>
    <row r="10584" spans="1:2" x14ac:dyDescent="0.2">
      <c r="A10584" s="112">
        <f t="shared" si="250"/>
        <v>45282</v>
      </c>
      <c r="B10584" s="111">
        <f t="shared" si="249"/>
        <v>122</v>
      </c>
    </row>
    <row r="10585" spans="1:2" x14ac:dyDescent="0.2">
      <c r="A10585" s="112">
        <f t="shared" si="250"/>
        <v>45283</v>
      </c>
      <c r="B10585" s="111">
        <f t="shared" si="249"/>
        <v>122</v>
      </c>
    </row>
    <row r="10586" spans="1:2" x14ac:dyDescent="0.2">
      <c r="A10586" s="112">
        <f t="shared" si="250"/>
        <v>45284</v>
      </c>
      <c r="B10586" s="111">
        <f t="shared" si="249"/>
        <v>123</v>
      </c>
    </row>
    <row r="10587" spans="1:2" x14ac:dyDescent="0.2">
      <c r="A10587" s="112">
        <f t="shared" si="250"/>
        <v>45285</v>
      </c>
      <c r="B10587" s="111">
        <f t="shared" si="249"/>
        <v>123</v>
      </c>
    </row>
    <row r="10588" spans="1:2" x14ac:dyDescent="0.2">
      <c r="A10588" s="112">
        <f t="shared" si="250"/>
        <v>45286</v>
      </c>
      <c r="B10588" s="111">
        <f t="shared" si="249"/>
        <v>123</v>
      </c>
    </row>
    <row r="10589" spans="1:2" x14ac:dyDescent="0.2">
      <c r="A10589" s="112">
        <f t="shared" si="250"/>
        <v>45287</v>
      </c>
      <c r="B10589" s="111">
        <f t="shared" si="249"/>
        <v>123</v>
      </c>
    </row>
    <row r="10590" spans="1:2" x14ac:dyDescent="0.2">
      <c r="A10590" s="112">
        <f t="shared" si="250"/>
        <v>45288</v>
      </c>
      <c r="B10590" s="111">
        <f t="shared" si="249"/>
        <v>123</v>
      </c>
    </row>
    <row r="10591" spans="1:2" x14ac:dyDescent="0.2">
      <c r="A10591" s="112">
        <f t="shared" si="250"/>
        <v>45289</v>
      </c>
      <c r="B10591" s="111">
        <f t="shared" ref="B10591:B10594" si="251">VLOOKUP(WEEKNUM(A10591),$D$3:$E$58,2)</f>
        <v>123</v>
      </c>
    </row>
    <row r="10592" spans="1:2" x14ac:dyDescent="0.2">
      <c r="A10592" s="112">
        <f t="shared" si="250"/>
        <v>45290</v>
      </c>
      <c r="B10592" s="111">
        <f t="shared" si="251"/>
        <v>123</v>
      </c>
    </row>
    <row r="10593" spans="1:2" x14ac:dyDescent="0.2">
      <c r="A10593" s="112">
        <f t="shared" si="250"/>
        <v>45291</v>
      </c>
      <c r="B10593" s="111">
        <f t="shared" si="251"/>
        <v>124</v>
      </c>
    </row>
    <row r="10594" spans="1:2" x14ac:dyDescent="0.2">
      <c r="A10594" s="112">
        <f t="shared" si="250"/>
        <v>45292</v>
      </c>
      <c r="B10594" s="111">
        <f t="shared" si="251"/>
        <v>11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E3:N33"/>
  <sheetViews>
    <sheetView workbookViewId="0">
      <selection activeCell="G4" sqref="G4:G20"/>
    </sheetView>
  </sheetViews>
  <sheetFormatPr defaultRowHeight="12.75" x14ac:dyDescent="0.2"/>
  <cols>
    <col min="5" max="5" width="14" customWidth="1"/>
    <col min="7" max="7" width="56.42578125" customWidth="1"/>
    <col min="8" max="8" width="54.28515625" bestFit="1" customWidth="1"/>
  </cols>
  <sheetData>
    <row r="3" spans="5:14" x14ac:dyDescent="0.2">
      <c r="E3" t="s">
        <v>373</v>
      </c>
    </row>
    <row r="4" spans="5:14" x14ac:dyDescent="0.2">
      <c r="E4" t="s">
        <v>373</v>
      </c>
      <c r="G4" s="17" t="s">
        <v>423</v>
      </c>
    </row>
    <row r="5" spans="5:14" x14ac:dyDescent="0.2">
      <c r="E5" t="s">
        <v>415</v>
      </c>
      <c r="G5" s="404" t="s">
        <v>625</v>
      </c>
    </row>
    <row r="6" spans="5:14" x14ac:dyDescent="0.2">
      <c r="E6" t="s">
        <v>351</v>
      </c>
      <c r="G6" s="17" t="s">
        <v>529</v>
      </c>
    </row>
    <row r="7" spans="5:14" x14ac:dyDescent="0.2">
      <c r="E7" t="s">
        <v>351</v>
      </c>
      <c r="G7" s="17" t="s">
        <v>424</v>
      </c>
    </row>
    <row r="8" spans="5:14" x14ac:dyDescent="0.2">
      <c r="E8" t="s">
        <v>367</v>
      </c>
      <c r="G8" s="17" t="s">
        <v>425</v>
      </c>
    </row>
    <row r="9" spans="5:14" x14ac:dyDescent="0.2">
      <c r="E9" t="s">
        <v>367</v>
      </c>
      <c r="G9" s="17" t="s">
        <v>426</v>
      </c>
      <c r="N9" s="148" t="s">
        <v>301</v>
      </c>
    </row>
    <row r="10" spans="5:14" x14ac:dyDescent="0.2">
      <c r="E10" t="s">
        <v>367</v>
      </c>
      <c r="G10" s="17" t="s">
        <v>427</v>
      </c>
    </row>
    <row r="11" spans="5:14" x14ac:dyDescent="0.2">
      <c r="E11" t="s">
        <v>367</v>
      </c>
      <c r="G11" s="17" t="s">
        <v>428</v>
      </c>
    </row>
    <row r="12" spans="5:14" x14ac:dyDescent="0.2">
      <c r="E12" t="s">
        <v>374</v>
      </c>
      <c r="G12" s="17" t="s">
        <v>429</v>
      </c>
    </row>
    <row r="13" spans="5:14" x14ac:dyDescent="0.2">
      <c r="E13" t="s">
        <v>366</v>
      </c>
      <c r="G13" s="17" t="s">
        <v>430</v>
      </c>
    </row>
    <row r="14" spans="5:14" x14ac:dyDescent="0.2">
      <c r="E14" t="s">
        <v>292</v>
      </c>
      <c r="G14" s="17" t="s">
        <v>431</v>
      </c>
    </row>
    <row r="15" spans="5:14" x14ac:dyDescent="0.2">
      <c r="E15" t="s">
        <v>292</v>
      </c>
      <c r="G15" s="17" t="s">
        <v>531</v>
      </c>
    </row>
    <row r="16" spans="5:14" x14ac:dyDescent="0.2">
      <c r="E16" t="s">
        <v>292</v>
      </c>
      <c r="G16" s="17" t="s">
        <v>499</v>
      </c>
    </row>
    <row r="17" spans="5:7" x14ac:dyDescent="0.2">
      <c r="E17" t="s">
        <v>292</v>
      </c>
      <c r="G17" s="17" t="s">
        <v>498</v>
      </c>
    </row>
    <row r="18" spans="5:7" x14ac:dyDescent="0.2">
      <c r="E18" t="s">
        <v>292</v>
      </c>
      <c r="G18" s="17" t="s">
        <v>462</v>
      </c>
    </row>
    <row r="19" spans="5:7" x14ac:dyDescent="0.2">
      <c r="E19" t="s">
        <v>292</v>
      </c>
      <c r="G19" s="17" t="s">
        <v>465</v>
      </c>
    </row>
    <row r="20" spans="5:7" x14ac:dyDescent="0.2">
      <c r="E20" t="s">
        <v>292</v>
      </c>
      <c r="G20" s="17" t="s">
        <v>466</v>
      </c>
    </row>
    <row r="21" spans="5:7" x14ac:dyDescent="0.2">
      <c r="E21" t="s">
        <v>368</v>
      </c>
      <c r="G21" s="17"/>
    </row>
    <row r="22" spans="5:7" x14ac:dyDescent="0.2">
      <c r="E22" t="s">
        <v>370</v>
      </c>
      <c r="G22" s="17" t="s">
        <v>432</v>
      </c>
    </row>
    <row r="23" spans="5:7" x14ac:dyDescent="0.2">
      <c r="E23" t="s">
        <v>370</v>
      </c>
      <c r="G23" s="17" t="s">
        <v>422</v>
      </c>
    </row>
    <row r="24" spans="5:7" x14ac:dyDescent="0.2">
      <c r="E24" t="s">
        <v>370</v>
      </c>
    </row>
    <row r="25" spans="5:7" x14ac:dyDescent="0.2">
      <c r="E25" t="s">
        <v>371</v>
      </c>
    </row>
    <row r="26" spans="5:7" x14ac:dyDescent="0.2">
      <c r="E26" t="s">
        <v>369</v>
      </c>
    </row>
    <row r="27" spans="5:7" x14ac:dyDescent="0.2">
      <c r="E27" t="s">
        <v>369</v>
      </c>
    </row>
    <row r="28" spans="5:7" x14ac:dyDescent="0.2">
      <c r="E28" t="s">
        <v>289</v>
      </c>
    </row>
    <row r="29" spans="5:7" x14ac:dyDescent="0.2">
      <c r="E29" t="s">
        <v>289</v>
      </c>
    </row>
    <row r="30" spans="5:7" x14ac:dyDescent="0.2">
      <c r="E30" t="s">
        <v>289</v>
      </c>
    </row>
    <row r="31" spans="5:7" x14ac:dyDescent="0.2">
      <c r="E31" t="s">
        <v>289</v>
      </c>
    </row>
    <row r="32" spans="5:7" x14ac:dyDescent="0.2">
      <c r="E32" t="s">
        <v>289</v>
      </c>
    </row>
    <row r="33" spans="5:5" x14ac:dyDescent="0.2">
      <c r="E33" t="s">
        <v>289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theme="5" tint="0.39997558519241921"/>
  </sheetPr>
  <dimension ref="A1:AC708"/>
  <sheetViews>
    <sheetView workbookViewId="0">
      <selection activeCell="D22" sqref="D22"/>
    </sheetView>
  </sheetViews>
  <sheetFormatPr defaultRowHeight="12.75" x14ac:dyDescent="0.2"/>
  <cols>
    <col min="4" max="4" width="30.140625" customWidth="1"/>
    <col min="6" max="6" width="13.28515625" bestFit="1" customWidth="1"/>
    <col min="7" max="7" width="11.28515625" customWidth="1"/>
    <col min="9" max="9" width="8.7109375" customWidth="1"/>
    <col min="11" max="11" width="3.28515625" customWidth="1"/>
    <col min="12" max="12" width="2.42578125" customWidth="1"/>
    <col min="13" max="13" width="34" bestFit="1" customWidth="1"/>
    <col min="14" max="14" width="12.85546875" bestFit="1" customWidth="1"/>
    <col min="15" max="15" width="33" bestFit="1" customWidth="1"/>
    <col min="23" max="23" width="6" bestFit="1" customWidth="1"/>
    <col min="24" max="26" width="6" customWidth="1"/>
    <col min="27" max="27" width="9.140625" style="410"/>
    <col min="28" max="28" width="9.140625" style="411"/>
  </cols>
  <sheetData>
    <row r="1" spans="1:29" x14ac:dyDescent="0.2">
      <c r="B1" s="404" t="s">
        <v>601</v>
      </c>
    </row>
    <row r="2" spans="1:29" x14ac:dyDescent="0.2">
      <c r="B2" s="404" t="s">
        <v>605</v>
      </c>
    </row>
    <row r="3" spans="1:29" x14ac:dyDescent="0.2">
      <c r="B3" s="404" t="s">
        <v>602</v>
      </c>
    </row>
    <row r="4" spans="1:29" x14ac:dyDescent="0.2">
      <c r="B4" s="404" t="s">
        <v>603</v>
      </c>
    </row>
    <row r="5" spans="1:29" x14ac:dyDescent="0.2">
      <c r="B5" s="404" t="s">
        <v>604</v>
      </c>
    </row>
    <row r="6" spans="1:29" x14ac:dyDescent="0.2">
      <c r="B6" s="404" t="s">
        <v>607</v>
      </c>
    </row>
    <row r="7" spans="1:29" x14ac:dyDescent="0.2">
      <c r="B7" s="404" t="s">
        <v>608</v>
      </c>
      <c r="M7" t="s">
        <v>532</v>
      </c>
    </row>
    <row r="8" spans="1:29" ht="27.75" thickBot="1" x14ac:dyDescent="0.25">
      <c r="A8" t="s">
        <v>694</v>
      </c>
      <c r="B8" s="248" t="s">
        <v>16</v>
      </c>
      <c r="C8" s="248" t="s">
        <v>353</v>
      </c>
      <c r="D8" s="248" t="s">
        <v>15</v>
      </c>
      <c r="E8" s="248" t="s">
        <v>206</v>
      </c>
      <c r="F8" s="248" t="s">
        <v>417</v>
      </c>
      <c r="G8" s="249" t="s">
        <v>396</v>
      </c>
      <c r="H8" s="249" t="s">
        <v>382</v>
      </c>
      <c r="I8" s="249" t="s">
        <v>564</v>
      </c>
      <c r="J8" s="249" t="s">
        <v>383</v>
      </c>
      <c r="K8" s="193"/>
      <c r="M8" t="s">
        <v>533</v>
      </c>
      <c r="N8" t="s">
        <v>206</v>
      </c>
      <c r="O8" t="s">
        <v>534</v>
      </c>
      <c r="P8">
        <v>2012</v>
      </c>
      <c r="Q8">
        <v>2013</v>
      </c>
      <c r="R8">
        <v>2014</v>
      </c>
      <c r="S8">
        <v>2015</v>
      </c>
      <c r="T8">
        <v>2016</v>
      </c>
      <c r="U8">
        <v>2017</v>
      </c>
      <c r="V8">
        <v>2018</v>
      </c>
      <c r="W8">
        <v>2019</v>
      </c>
      <c r="X8">
        <v>2020</v>
      </c>
      <c r="Y8">
        <v>2021</v>
      </c>
      <c r="Z8">
        <v>2022</v>
      </c>
      <c r="AA8" s="410" t="s">
        <v>378</v>
      </c>
      <c r="AB8" s="411" t="s">
        <v>535</v>
      </c>
      <c r="AC8" s="404" t="s">
        <v>606</v>
      </c>
    </row>
    <row r="9" spans="1:29" ht="15" x14ac:dyDescent="0.25">
      <c r="B9" s="9"/>
      <c r="C9" s="9"/>
      <c r="D9" s="9"/>
      <c r="E9" s="9"/>
      <c r="F9" s="9"/>
      <c r="G9" s="32"/>
      <c r="H9" s="32"/>
      <c r="I9" s="32"/>
      <c r="J9" s="32"/>
      <c r="K9" s="193"/>
      <c r="M9" t="s">
        <v>56</v>
      </c>
      <c r="N9" t="s">
        <v>210</v>
      </c>
      <c r="O9" s="50" t="str">
        <f t="shared" ref="O9:O72" si="0">CONCATENATE(M9,"_",N9)</f>
        <v>AMAI CREEK_Chinook</v>
      </c>
      <c r="P9">
        <v>0</v>
      </c>
      <c r="Q9">
        <v>0</v>
      </c>
      <c r="R9">
        <v>0</v>
      </c>
      <c r="S9">
        <v>0</v>
      </c>
      <c r="V9">
        <v>2</v>
      </c>
      <c r="X9" s="403">
        <v>7</v>
      </c>
      <c r="Y9" s="403"/>
      <c r="Z9" s="403"/>
      <c r="AA9" s="410">
        <f>AVERAGE(W9:Z9)</f>
        <v>7</v>
      </c>
      <c r="AB9" s="411">
        <f>AVERAGE(S9:Z9)</f>
        <v>3</v>
      </c>
      <c r="AC9">
        <f>AVERAGE(P9:Z9)</f>
        <v>1.5</v>
      </c>
    </row>
    <row r="10" spans="1:29" ht="15" x14ac:dyDescent="0.25">
      <c r="A10">
        <v>2022</v>
      </c>
      <c r="B10" s="617">
        <v>26</v>
      </c>
      <c r="C10" s="617" t="s">
        <v>301</v>
      </c>
      <c r="D10" s="244" t="s">
        <v>57</v>
      </c>
      <c r="E10" s="244" t="s">
        <v>210</v>
      </c>
      <c r="F10" s="244" t="s">
        <v>419</v>
      </c>
      <c r="G10" s="244" t="s">
        <v>292</v>
      </c>
      <c r="H10" s="9" t="s">
        <v>616</v>
      </c>
      <c r="I10" s="9">
        <v>7</v>
      </c>
      <c r="J10" s="32">
        <v>92</v>
      </c>
      <c r="K10" s="193"/>
      <c r="M10" t="s">
        <v>57</v>
      </c>
      <c r="N10" t="s">
        <v>210</v>
      </c>
      <c r="O10" s="50" t="str">
        <f t="shared" si="0"/>
        <v>ARTLISH RIVER_Chinook</v>
      </c>
      <c r="P10">
        <v>77</v>
      </c>
      <c r="Q10">
        <v>252</v>
      </c>
      <c r="R10">
        <v>72</v>
      </c>
      <c r="S10">
        <v>782</v>
      </c>
      <c r="T10">
        <v>121</v>
      </c>
      <c r="U10">
        <v>203</v>
      </c>
      <c r="V10">
        <v>375</v>
      </c>
      <c r="W10">
        <v>227</v>
      </c>
      <c r="X10" s="403">
        <v>75</v>
      </c>
      <c r="Y10" s="403">
        <v>134</v>
      </c>
      <c r="Z10" s="32">
        <v>92</v>
      </c>
      <c r="AA10" s="410">
        <f>AVERAGE(W10:Z10)</f>
        <v>132</v>
      </c>
      <c r="AB10" s="411">
        <f t="shared" ref="AB10:AB29" si="1">AVERAGE(S10:Z10)</f>
        <v>251.125</v>
      </c>
      <c r="AC10">
        <f t="shared" ref="AC10:AC29" si="2">AVERAGE(P10:Z10)</f>
        <v>219.09090909090909</v>
      </c>
    </row>
    <row r="11" spans="1:29" ht="15" x14ac:dyDescent="0.25">
      <c r="B11" s="617"/>
      <c r="C11" s="617"/>
      <c r="D11" s="244"/>
      <c r="E11" s="244"/>
      <c r="F11" s="244"/>
      <c r="G11" s="244"/>
      <c r="H11" s="9"/>
      <c r="I11" s="9"/>
      <c r="J11" s="32"/>
      <c r="K11" s="193"/>
      <c r="M11" t="s">
        <v>114</v>
      </c>
      <c r="N11" t="s">
        <v>210</v>
      </c>
      <c r="O11" s="50" t="str">
        <f t="shared" si="0"/>
        <v>ATLEO RIVER_Chinook</v>
      </c>
      <c r="V11">
        <v>0</v>
      </c>
      <c r="X11" s="403">
        <v>0</v>
      </c>
      <c r="Y11" s="403">
        <v>0</v>
      </c>
      <c r="Z11" s="32"/>
      <c r="AA11" s="410">
        <f t="shared" ref="AA11:AA73" si="3">AVERAGE(W11:Z11)</f>
        <v>0</v>
      </c>
      <c r="AB11" s="411">
        <f t="shared" si="1"/>
        <v>0</v>
      </c>
      <c r="AC11">
        <f t="shared" si="2"/>
        <v>0</v>
      </c>
    </row>
    <row r="12" spans="1:29" ht="15" x14ac:dyDescent="0.25">
      <c r="B12" s="617"/>
      <c r="C12" s="617"/>
      <c r="D12" s="244"/>
      <c r="E12" s="244"/>
      <c r="F12" s="244"/>
      <c r="G12" s="244"/>
      <c r="H12" s="9"/>
      <c r="I12" s="9"/>
      <c r="J12" s="32"/>
      <c r="K12" s="193"/>
      <c r="M12" t="s">
        <v>35</v>
      </c>
      <c r="N12" t="s">
        <v>210</v>
      </c>
      <c r="O12" s="50" t="str">
        <f t="shared" si="0"/>
        <v>BEDWELL RIVER_Chinook</v>
      </c>
      <c r="P12">
        <v>84</v>
      </c>
      <c r="Q12">
        <v>192</v>
      </c>
      <c r="R12">
        <v>103</v>
      </c>
      <c r="S12">
        <v>367</v>
      </c>
      <c r="T12">
        <v>198</v>
      </c>
      <c r="U12">
        <v>366</v>
      </c>
      <c r="V12">
        <v>237</v>
      </c>
      <c r="W12">
        <v>192</v>
      </c>
      <c r="X12" s="403">
        <v>222</v>
      </c>
      <c r="Y12" s="403"/>
      <c r="Z12" s="32"/>
      <c r="AA12" s="410">
        <f t="shared" si="3"/>
        <v>207</v>
      </c>
      <c r="AB12" s="411">
        <f t="shared" si="1"/>
        <v>263.66666666666669</v>
      </c>
      <c r="AC12">
        <f t="shared" si="2"/>
        <v>217.88888888888889</v>
      </c>
    </row>
    <row r="13" spans="1:29" x14ac:dyDescent="0.2">
      <c r="A13">
        <v>2022</v>
      </c>
      <c r="B13" s="617">
        <v>24</v>
      </c>
      <c r="C13" s="617" t="s">
        <v>297</v>
      </c>
      <c r="D13" s="244" t="s">
        <v>35</v>
      </c>
      <c r="E13" s="244" t="s">
        <v>210</v>
      </c>
      <c r="F13" s="244" t="s">
        <v>419</v>
      </c>
      <c r="G13" s="244" t="s">
        <v>497</v>
      </c>
      <c r="H13" s="9" t="s">
        <v>616</v>
      </c>
      <c r="I13" s="9">
        <v>5</v>
      </c>
      <c r="J13" s="32">
        <v>53</v>
      </c>
      <c r="K13" s="193"/>
      <c r="M13" s="17" t="s">
        <v>557</v>
      </c>
      <c r="N13" t="s">
        <v>210</v>
      </c>
      <c r="O13" s="50" t="str">
        <f t="shared" si="0"/>
        <v>BEDWELL SYSTEM_Chinook</v>
      </c>
      <c r="P13">
        <f t="shared" ref="P13:X13" si="4">P12+P98</f>
        <v>163</v>
      </c>
      <c r="Q13">
        <f t="shared" si="4"/>
        <v>411</v>
      </c>
      <c r="R13">
        <f t="shared" si="4"/>
        <v>204</v>
      </c>
      <c r="S13">
        <f t="shared" si="4"/>
        <v>504</v>
      </c>
      <c r="T13">
        <f t="shared" si="4"/>
        <v>384</v>
      </c>
      <c r="U13">
        <f t="shared" si="4"/>
        <v>535</v>
      </c>
      <c r="V13">
        <f t="shared" si="4"/>
        <v>413</v>
      </c>
      <c r="W13">
        <f t="shared" si="4"/>
        <v>254</v>
      </c>
      <c r="X13">
        <f t="shared" si="4"/>
        <v>313</v>
      </c>
      <c r="Y13">
        <v>276</v>
      </c>
      <c r="Z13" s="32">
        <v>53</v>
      </c>
      <c r="AA13" s="410">
        <f t="shared" si="3"/>
        <v>224</v>
      </c>
      <c r="AB13" s="411">
        <f t="shared" si="1"/>
        <v>341.5</v>
      </c>
      <c r="AC13">
        <f t="shared" si="2"/>
        <v>319.09090909090907</v>
      </c>
    </row>
    <row r="14" spans="1:29" ht="15" x14ac:dyDescent="0.25">
      <c r="A14">
        <v>2022</v>
      </c>
      <c r="B14" s="617">
        <v>25</v>
      </c>
      <c r="C14" s="618" t="s">
        <v>299</v>
      </c>
      <c r="D14" s="244" t="s">
        <v>44</v>
      </c>
      <c r="E14" s="244" t="s">
        <v>210</v>
      </c>
      <c r="F14" s="244" t="s">
        <v>419</v>
      </c>
      <c r="G14" s="244" t="s">
        <v>452</v>
      </c>
      <c r="H14" s="9" t="s">
        <v>612</v>
      </c>
      <c r="I14" s="9">
        <v>4</v>
      </c>
      <c r="J14" s="32">
        <v>650</v>
      </c>
      <c r="K14" s="193"/>
      <c r="M14" t="s">
        <v>44</v>
      </c>
      <c r="N14" t="s">
        <v>210</v>
      </c>
      <c r="O14" s="50" t="str">
        <f t="shared" si="0"/>
        <v>BURMAN RIVER_Chinook</v>
      </c>
      <c r="P14">
        <v>725</v>
      </c>
      <c r="Q14">
        <v>6291</v>
      </c>
      <c r="R14">
        <v>550</v>
      </c>
      <c r="S14">
        <v>3795</v>
      </c>
      <c r="T14">
        <v>9142</v>
      </c>
      <c r="U14">
        <v>557</v>
      </c>
      <c r="V14">
        <v>1230</v>
      </c>
      <c r="W14">
        <v>859</v>
      </c>
      <c r="X14" s="403">
        <v>895</v>
      </c>
      <c r="Y14" s="403">
        <v>2081</v>
      </c>
      <c r="Z14" s="32">
        <v>650</v>
      </c>
      <c r="AA14" s="410">
        <f t="shared" si="3"/>
        <v>1121.25</v>
      </c>
      <c r="AB14" s="411">
        <f t="shared" si="1"/>
        <v>2401.125</v>
      </c>
      <c r="AC14">
        <f t="shared" si="2"/>
        <v>2434.090909090909</v>
      </c>
    </row>
    <row r="15" spans="1:29" ht="15" x14ac:dyDescent="0.25">
      <c r="A15">
        <v>2022</v>
      </c>
      <c r="B15" s="617">
        <v>22</v>
      </c>
      <c r="C15" s="617" t="s">
        <v>304</v>
      </c>
      <c r="D15" s="244" t="s">
        <v>79</v>
      </c>
      <c r="E15" s="244" t="s">
        <v>210</v>
      </c>
      <c r="F15" s="244" t="s">
        <v>419</v>
      </c>
      <c r="G15" s="244" t="s">
        <v>624</v>
      </c>
      <c r="H15" s="9" t="s">
        <v>616</v>
      </c>
      <c r="I15" s="9">
        <v>1</v>
      </c>
      <c r="J15" s="32">
        <v>7</v>
      </c>
      <c r="K15" s="193"/>
      <c r="M15" t="s">
        <v>79</v>
      </c>
      <c r="N15" t="s">
        <v>210</v>
      </c>
      <c r="O15" s="50" t="str">
        <f t="shared" si="0"/>
        <v>CAMPUS CREEK_Chinook</v>
      </c>
      <c r="W15">
        <v>0</v>
      </c>
      <c r="X15" s="403"/>
      <c r="Y15" s="403">
        <v>184</v>
      </c>
      <c r="Z15" s="32">
        <v>7</v>
      </c>
      <c r="AA15" s="410">
        <f t="shared" si="3"/>
        <v>63.666666666666664</v>
      </c>
      <c r="AB15" s="411">
        <f t="shared" si="1"/>
        <v>63.666666666666664</v>
      </c>
      <c r="AC15">
        <f t="shared" si="2"/>
        <v>63.666666666666664</v>
      </c>
    </row>
    <row r="16" spans="1:29" ht="15" x14ac:dyDescent="0.25">
      <c r="A16">
        <v>2022</v>
      </c>
      <c r="B16" s="617">
        <v>25</v>
      </c>
      <c r="C16" s="617" t="s">
        <v>299</v>
      </c>
      <c r="D16" s="244" t="s">
        <v>45</v>
      </c>
      <c r="E16" s="244" t="s">
        <v>210</v>
      </c>
      <c r="F16" s="244" t="s">
        <v>419</v>
      </c>
      <c r="G16" s="244" t="s">
        <v>452</v>
      </c>
      <c r="H16" s="9" t="s">
        <v>616</v>
      </c>
      <c r="I16" s="9">
        <v>9</v>
      </c>
      <c r="J16" s="32">
        <v>506</v>
      </c>
      <c r="K16" s="193"/>
      <c r="M16" t="s">
        <v>45</v>
      </c>
      <c r="N16" t="s">
        <v>210</v>
      </c>
      <c r="O16" s="50" t="str">
        <f t="shared" si="0"/>
        <v>CANTON CREEK_Chinook</v>
      </c>
      <c r="P16">
        <v>823</v>
      </c>
      <c r="Q16">
        <v>0</v>
      </c>
      <c r="S16">
        <v>0</v>
      </c>
      <c r="T16">
        <v>8303</v>
      </c>
      <c r="U16">
        <v>175</v>
      </c>
      <c r="W16">
        <v>1181</v>
      </c>
      <c r="X16" s="403">
        <v>172</v>
      </c>
      <c r="Y16" s="403">
        <v>561</v>
      </c>
      <c r="Z16" s="32">
        <v>506</v>
      </c>
      <c r="AA16" s="410">
        <f t="shared" si="3"/>
        <v>605</v>
      </c>
      <c r="AB16" s="411">
        <f t="shared" si="1"/>
        <v>1556.8571428571429</v>
      </c>
      <c r="AC16">
        <f t="shared" si="2"/>
        <v>1302.3333333333333</v>
      </c>
    </row>
    <row r="17" spans="1:29" ht="15" x14ac:dyDescent="0.25">
      <c r="B17" s="617"/>
      <c r="C17" s="617"/>
      <c r="D17" s="244"/>
      <c r="E17" s="244"/>
      <c r="F17" s="244"/>
      <c r="G17" s="244"/>
      <c r="H17" s="9"/>
      <c r="I17" s="9"/>
      <c r="J17" s="32"/>
      <c r="K17" s="193"/>
      <c r="M17" t="s">
        <v>80</v>
      </c>
      <c r="N17" t="s">
        <v>210</v>
      </c>
      <c r="O17" s="50" t="str">
        <f t="shared" si="0"/>
        <v>CAYCUSE RIVER_Chinook</v>
      </c>
      <c r="P17">
        <v>0</v>
      </c>
      <c r="W17">
        <v>2</v>
      </c>
      <c r="X17" s="403"/>
      <c r="Y17" s="403"/>
      <c r="Z17" s="32"/>
      <c r="AA17" s="410">
        <f t="shared" si="3"/>
        <v>2</v>
      </c>
      <c r="AB17" s="411">
        <f t="shared" si="1"/>
        <v>2</v>
      </c>
      <c r="AC17">
        <f t="shared" si="2"/>
        <v>1</v>
      </c>
    </row>
    <row r="18" spans="1:29" ht="15" x14ac:dyDescent="0.25">
      <c r="B18" s="617"/>
      <c r="C18" s="617"/>
      <c r="D18" s="244"/>
      <c r="E18" s="244"/>
      <c r="F18" s="244"/>
      <c r="G18" s="244"/>
      <c r="H18" s="9"/>
      <c r="I18" s="9"/>
      <c r="J18" s="32"/>
      <c r="K18" s="193"/>
      <c r="M18" t="s">
        <v>536</v>
      </c>
      <c r="N18" t="s">
        <v>210</v>
      </c>
      <c r="O18" s="50" t="str">
        <f t="shared" si="0"/>
        <v>CAYEGHLE CREEK_Chinook</v>
      </c>
      <c r="P18">
        <v>56</v>
      </c>
      <c r="Q18">
        <v>34</v>
      </c>
      <c r="R18">
        <v>138</v>
      </c>
      <c r="S18">
        <v>95</v>
      </c>
      <c r="T18">
        <v>122</v>
      </c>
      <c r="U18">
        <v>462</v>
      </c>
      <c r="V18">
        <v>41</v>
      </c>
      <c r="W18">
        <v>375</v>
      </c>
      <c r="X18" s="403">
        <v>55</v>
      </c>
      <c r="Y18" s="403"/>
      <c r="Z18" s="32"/>
      <c r="AA18" s="410">
        <f t="shared" si="3"/>
        <v>215</v>
      </c>
      <c r="AB18" s="411">
        <f t="shared" si="1"/>
        <v>191.66666666666666</v>
      </c>
      <c r="AC18">
        <f t="shared" si="2"/>
        <v>153.11111111111111</v>
      </c>
    </row>
    <row r="19" spans="1:29" ht="15" x14ac:dyDescent="0.25">
      <c r="K19" s="193"/>
      <c r="M19" t="s">
        <v>59</v>
      </c>
      <c r="N19" t="s">
        <v>210</v>
      </c>
      <c r="O19" s="50" t="str">
        <f t="shared" si="0"/>
        <v>CHAMISS CREEK_Chinook</v>
      </c>
      <c r="V19">
        <v>2</v>
      </c>
      <c r="X19" s="403">
        <v>0</v>
      </c>
      <c r="Y19" s="403">
        <v>12</v>
      </c>
      <c r="AA19" s="410">
        <f t="shared" si="3"/>
        <v>6</v>
      </c>
      <c r="AB19" s="411">
        <f t="shared" si="1"/>
        <v>4.666666666666667</v>
      </c>
      <c r="AC19">
        <f t="shared" si="2"/>
        <v>4.666666666666667</v>
      </c>
    </row>
    <row r="20" spans="1:29" ht="15" x14ac:dyDescent="0.25">
      <c r="A20">
        <v>2022</v>
      </c>
      <c r="B20" s="617">
        <v>25</v>
      </c>
      <c r="C20" s="617" t="s">
        <v>300</v>
      </c>
      <c r="D20" s="244" t="s">
        <v>135</v>
      </c>
      <c r="E20" s="244" t="s">
        <v>210</v>
      </c>
      <c r="F20" s="244" t="s">
        <v>419</v>
      </c>
      <c r="G20" s="244" t="s">
        <v>528</v>
      </c>
      <c r="H20" s="9" t="s">
        <v>616</v>
      </c>
      <c r="I20" s="9">
        <v>1</v>
      </c>
      <c r="J20" s="32">
        <v>0</v>
      </c>
      <c r="K20" s="193"/>
      <c r="M20" t="s">
        <v>135</v>
      </c>
      <c r="N20" t="s">
        <v>210</v>
      </c>
      <c r="O20" s="50" t="str">
        <f t="shared" si="0"/>
        <v>CHUM CREEK_Chinook</v>
      </c>
      <c r="P20">
        <v>0</v>
      </c>
      <c r="T20">
        <v>2</v>
      </c>
      <c r="U20">
        <v>25</v>
      </c>
      <c r="V20">
        <v>23</v>
      </c>
      <c r="W20">
        <v>0</v>
      </c>
      <c r="X20" s="403">
        <v>10</v>
      </c>
      <c r="Y20" s="403">
        <v>5</v>
      </c>
      <c r="Z20" s="32">
        <v>0</v>
      </c>
      <c r="AA20" s="410">
        <f t="shared" si="3"/>
        <v>3.75</v>
      </c>
      <c r="AB20" s="411">
        <f t="shared" si="1"/>
        <v>9.2857142857142865</v>
      </c>
      <c r="AC20">
        <f t="shared" si="2"/>
        <v>8.125</v>
      </c>
    </row>
    <row r="21" spans="1:29" ht="15" x14ac:dyDescent="0.25">
      <c r="B21" s="617"/>
      <c r="C21" s="617"/>
      <c r="D21" s="244"/>
      <c r="E21" s="244"/>
      <c r="F21" s="244"/>
      <c r="G21" s="244"/>
      <c r="H21" s="9"/>
      <c r="I21" s="9"/>
      <c r="J21" s="32"/>
      <c r="K21" s="193"/>
      <c r="M21" t="s">
        <v>231</v>
      </c>
      <c r="N21" t="s">
        <v>210</v>
      </c>
      <c r="O21" s="50" t="str">
        <f t="shared" si="0"/>
        <v>CLANNINICK CREEK_Chinook</v>
      </c>
      <c r="P21">
        <v>1</v>
      </c>
      <c r="V21">
        <v>15</v>
      </c>
      <c r="X21" s="403">
        <v>7</v>
      </c>
      <c r="Y21" s="403"/>
      <c r="Z21" s="32"/>
      <c r="AA21" s="410">
        <f t="shared" si="3"/>
        <v>7</v>
      </c>
      <c r="AB21" s="411">
        <f t="shared" si="1"/>
        <v>11</v>
      </c>
      <c r="AC21">
        <f t="shared" si="2"/>
        <v>7.666666666666667</v>
      </c>
    </row>
    <row r="22" spans="1:29" ht="15" x14ac:dyDescent="0.25">
      <c r="A22">
        <v>2022</v>
      </c>
      <c r="B22" s="617">
        <v>24</v>
      </c>
      <c r="C22" s="617" t="s">
        <v>296</v>
      </c>
      <c r="D22" s="244" t="s">
        <v>38</v>
      </c>
      <c r="E22" s="244" t="s">
        <v>210</v>
      </c>
      <c r="F22" s="244" t="s">
        <v>419</v>
      </c>
      <c r="G22" s="244" t="s">
        <v>497</v>
      </c>
      <c r="H22" s="9" t="s">
        <v>616</v>
      </c>
      <c r="I22" s="9">
        <v>1</v>
      </c>
      <c r="J22" s="32">
        <v>0</v>
      </c>
      <c r="K22" s="193"/>
      <c r="M22" t="s">
        <v>36</v>
      </c>
      <c r="N22" t="s">
        <v>210</v>
      </c>
      <c r="O22" s="50" t="str">
        <f t="shared" si="0"/>
        <v>CLAYOQUOT RIVER_Chinook</v>
      </c>
      <c r="V22">
        <v>5</v>
      </c>
      <c r="X22" s="403"/>
      <c r="Y22" s="403">
        <v>2</v>
      </c>
      <c r="Z22" s="32">
        <v>0</v>
      </c>
      <c r="AA22" s="410">
        <f t="shared" si="3"/>
        <v>1</v>
      </c>
      <c r="AB22" s="411">
        <f t="shared" si="1"/>
        <v>2.3333333333333335</v>
      </c>
      <c r="AC22">
        <f t="shared" si="2"/>
        <v>2.3333333333333335</v>
      </c>
    </row>
    <row r="23" spans="1:29" ht="15" x14ac:dyDescent="0.25">
      <c r="A23">
        <v>2022</v>
      </c>
      <c r="B23" s="617">
        <v>23</v>
      </c>
      <c r="C23" s="617" t="s">
        <v>294</v>
      </c>
      <c r="D23" s="244" t="s">
        <v>29</v>
      </c>
      <c r="E23" s="244" t="s">
        <v>210</v>
      </c>
      <c r="F23" s="244" t="s">
        <v>419</v>
      </c>
      <c r="G23" s="244" t="s">
        <v>626</v>
      </c>
      <c r="H23" s="9" t="s">
        <v>616</v>
      </c>
      <c r="I23" s="9">
        <v>10</v>
      </c>
      <c r="J23" s="32">
        <v>25</v>
      </c>
      <c r="K23" s="193"/>
      <c r="M23" t="s">
        <v>29</v>
      </c>
      <c r="N23" t="s">
        <v>210</v>
      </c>
      <c r="O23" s="50" t="str">
        <f t="shared" si="0"/>
        <v>CLEMENS CREEK_Chinook</v>
      </c>
      <c r="P23">
        <v>10</v>
      </c>
      <c r="Q23">
        <v>25</v>
      </c>
      <c r="R23">
        <v>4</v>
      </c>
      <c r="S23">
        <v>64</v>
      </c>
      <c r="T23">
        <v>34</v>
      </c>
      <c r="U23">
        <v>3</v>
      </c>
      <c r="V23">
        <v>27</v>
      </c>
      <c r="W23">
        <v>18</v>
      </c>
      <c r="X23" s="403">
        <v>25</v>
      </c>
      <c r="Y23" s="403">
        <v>16</v>
      </c>
      <c r="Z23" s="32">
        <v>25</v>
      </c>
      <c r="AA23" s="410">
        <f t="shared" si="3"/>
        <v>21</v>
      </c>
      <c r="AB23" s="411">
        <f t="shared" si="1"/>
        <v>26.5</v>
      </c>
      <c r="AC23">
        <f t="shared" si="2"/>
        <v>22.818181818181817</v>
      </c>
    </row>
    <row r="24" spans="1:29" ht="15" x14ac:dyDescent="0.25">
      <c r="B24" s="617"/>
      <c r="C24" s="617"/>
      <c r="D24" s="244"/>
      <c r="E24" s="244"/>
      <c r="F24" s="244"/>
      <c r="G24" s="244"/>
      <c r="H24" s="9"/>
      <c r="I24" s="9"/>
      <c r="J24" s="32"/>
      <c r="K24" s="193"/>
      <c r="M24" t="s">
        <v>190</v>
      </c>
      <c r="N24" t="s">
        <v>210</v>
      </c>
      <c r="O24" s="50" t="str">
        <f t="shared" si="0"/>
        <v>COLD CREEK_Chinook</v>
      </c>
      <c r="S24">
        <v>0</v>
      </c>
      <c r="X24" s="403">
        <v>0</v>
      </c>
      <c r="Y24" s="403"/>
      <c r="Z24" s="32"/>
      <c r="AA24" s="410">
        <f t="shared" si="3"/>
        <v>0</v>
      </c>
      <c r="AB24" s="411">
        <f t="shared" si="1"/>
        <v>0</v>
      </c>
      <c r="AC24">
        <f t="shared" si="2"/>
        <v>0</v>
      </c>
    </row>
    <row r="25" spans="1:29" ht="15" x14ac:dyDescent="0.25">
      <c r="B25" s="617"/>
      <c r="C25" s="617"/>
      <c r="D25" s="244"/>
      <c r="E25" s="244"/>
      <c r="F25" s="244"/>
      <c r="G25" s="244"/>
      <c r="H25" s="9"/>
      <c r="I25" s="9"/>
      <c r="J25" s="32"/>
      <c r="K25" s="193"/>
      <c r="M25" t="s">
        <v>537</v>
      </c>
      <c r="N25" t="s">
        <v>210</v>
      </c>
      <c r="O25" s="50" t="str">
        <f t="shared" si="0"/>
        <v>COLONIAL CREEK_Chinook</v>
      </c>
      <c r="P25">
        <v>0</v>
      </c>
      <c r="Q25">
        <v>7</v>
      </c>
      <c r="R25">
        <v>1</v>
      </c>
      <c r="S25">
        <v>174</v>
      </c>
      <c r="T25">
        <v>96</v>
      </c>
      <c r="U25">
        <v>58</v>
      </c>
      <c r="V25">
        <v>119</v>
      </c>
      <c r="W25">
        <v>169</v>
      </c>
      <c r="X25" s="403">
        <v>21</v>
      </c>
      <c r="Y25" s="403"/>
      <c r="Z25" s="32"/>
      <c r="AA25" s="410">
        <f t="shared" si="3"/>
        <v>95</v>
      </c>
      <c r="AB25" s="411">
        <f t="shared" si="1"/>
        <v>106.16666666666667</v>
      </c>
      <c r="AC25">
        <f t="shared" si="2"/>
        <v>71.666666666666671</v>
      </c>
    </row>
    <row r="26" spans="1:29" x14ac:dyDescent="0.2">
      <c r="A26">
        <v>2022</v>
      </c>
      <c r="B26" s="617">
        <v>27</v>
      </c>
      <c r="C26" s="617" t="s">
        <v>302</v>
      </c>
      <c r="D26" s="244" t="s">
        <v>68</v>
      </c>
      <c r="E26" s="244" t="s">
        <v>210</v>
      </c>
      <c r="F26" s="244" t="s">
        <v>419</v>
      </c>
      <c r="G26" s="244" t="s">
        <v>628</v>
      </c>
      <c r="H26" s="9" t="s">
        <v>617</v>
      </c>
      <c r="I26" s="9">
        <v>7</v>
      </c>
      <c r="J26" s="32">
        <v>44</v>
      </c>
      <c r="K26" s="193"/>
      <c r="M26" s="17" t="s">
        <v>560</v>
      </c>
      <c r="N26" t="s">
        <v>210</v>
      </c>
      <c r="O26" s="50" t="str">
        <f t="shared" si="0"/>
        <v>COLONIAL/CAYEGHLE CREEKS_Chinook</v>
      </c>
      <c r="P26">
        <f>P25+P18</f>
        <v>56</v>
      </c>
      <c r="Q26">
        <f t="shared" ref="Q26:X26" si="5">Q25+Q18</f>
        <v>41</v>
      </c>
      <c r="R26">
        <f t="shared" si="5"/>
        <v>139</v>
      </c>
      <c r="S26">
        <f t="shared" si="5"/>
        <v>269</v>
      </c>
      <c r="T26">
        <f t="shared" si="5"/>
        <v>218</v>
      </c>
      <c r="U26">
        <f t="shared" si="5"/>
        <v>520</v>
      </c>
      <c r="V26">
        <f t="shared" si="5"/>
        <v>160</v>
      </c>
      <c r="W26">
        <f t="shared" si="5"/>
        <v>544</v>
      </c>
      <c r="X26">
        <f t="shared" si="5"/>
        <v>76</v>
      </c>
      <c r="Y26">
        <v>117</v>
      </c>
      <c r="Z26" s="32">
        <v>44</v>
      </c>
      <c r="AA26" s="410">
        <f t="shared" si="3"/>
        <v>195.25</v>
      </c>
      <c r="AB26" s="411">
        <f t="shared" si="1"/>
        <v>243.5</v>
      </c>
      <c r="AC26">
        <f t="shared" si="2"/>
        <v>198.54545454545453</v>
      </c>
    </row>
    <row r="27" spans="1:29" ht="15" x14ac:dyDescent="0.25">
      <c r="A27">
        <v>2022</v>
      </c>
      <c r="B27" s="617">
        <v>25</v>
      </c>
      <c r="C27" s="617" t="s">
        <v>299</v>
      </c>
      <c r="D27" s="244" t="s">
        <v>46</v>
      </c>
      <c r="E27" s="244" t="s">
        <v>210</v>
      </c>
      <c r="F27" s="244" t="s">
        <v>419</v>
      </c>
      <c r="G27" s="244" t="s">
        <v>593</v>
      </c>
      <c r="H27" s="9" t="s">
        <v>617</v>
      </c>
      <c r="I27" s="9">
        <v>10</v>
      </c>
      <c r="J27" s="32">
        <v>18623</v>
      </c>
      <c r="K27" s="193"/>
      <c r="M27" t="s">
        <v>46</v>
      </c>
      <c r="N27" t="s">
        <v>210</v>
      </c>
      <c r="O27" s="50" t="str">
        <f t="shared" si="0"/>
        <v>CONUMA RIVER_Chinook</v>
      </c>
      <c r="P27">
        <v>6287</v>
      </c>
      <c r="Q27">
        <v>42224</v>
      </c>
      <c r="R27">
        <v>22714</v>
      </c>
      <c r="S27">
        <v>35719</v>
      </c>
      <c r="T27">
        <v>17189</v>
      </c>
      <c r="U27">
        <v>18878</v>
      </c>
      <c r="V27">
        <v>11620</v>
      </c>
      <c r="W27">
        <v>5688</v>
      </c>
      <c r="X27" s="403">
        <v>8400</v>
      </c>
      <c r="Y27" s="403">
        <v>6201</v>
      </c>
      <c r="Z27" s="32">
        <v>18623</v>
      </c>
      <c r="AA27" s="410">
        <f t="shared" si="3"/>
        <v>9728</v>
      </c>
      <c r="AB27" s="411">
        <f t="shared" si="1"/>
        <v>15289.75</v>
      </c>
      <c r="AC27">
        <f t="shared" si="2"/>
        <v>17594.81818181818</v>
      </c>
    </row>
    <row r="28" spans="1:29" ht="15" x14ac:dyDescent="0.25">
      <c r="B28" s="617"/>
      <c r="C28" s="617"/>
      <c r="D28" s="244"/>
      <c r="E28" s="244"/>
      <c r="F28" s="244"/>
      <c r="G28" s="244"/>
      <c r="H28" s="9"/>
      <c r="I28" s="9"/>
      <c r="J28" s="32"/>
      <c r="K28" s="193"/>
      <c r="M28" t="s">
        <v>92</v>
      </c>
      <c r="N28" t="s">
        <v>210</v>
      </c>
      <c r="O28" s="50" t="str">
        <f t="shared" si="0"/>
        <v>COUS CREEK_Chinook</v>
      </c>
      <c r="P28">
        <v>0</v>
      </c>
      <c r="Q28">
        <v>0</v>
      </c>
      <c r="T28">
        <v>0</v>
      </c>
      <c r="U28">
        <v>0</v>
      </c>
      <c r="X28" s="403"/>
      <c r="Y28" s="403"/>
      <c r="Z28" s="32"/>
      <c r="AA28" s="410" t="e">
        <f t="shared" si="3"/>
        <v>#DIV/0!</v>
      </c>
      <c r="AB28" s="411">
        <f t="shared" si="1"/>
        <v>0</v>
      </c>
      <c r="AC28">
        <f t="shared" si="2"/>
        <v>0</v>
      </c>
    </row>
    <row r="29" spans="1:29" ht="15" x14ac:dyDescent="0.25">
      <c r="A29">
        <v>2022</v>
      </c>
      <c r="B29" s="617">
        <v>24</v>
      </c>
      <c r="C29" s="617" t="s">
        <v>297</v>
      </c>
      <c r="D29" s="244" t="s">
        <v>119</v>
      </c>
      <c r="E29" s="244" t="s">
        <v>210</v>
      </c>
      <c r="F29" s="244" t="s">
        <v>419</v>
      </c>
      <c r="G29" s="244" t="s">
        <v>497</v>
      </c>
      <c r="H29" s="9" t="s">
        <v>617</v>
      </c>
      <c r="I29" s="9">
        <v>5</v>
      </c>
      <c r="J29" s="32">
        <v>4</v>
      </c>
      <c r="K29" s="193"/>
      <c r="M29" t="s">
        <v>119</v>
      </c>
      <c r="N29" t="s">
        <v>210</v>
      </c>
      <c r="O29" s="50" t="str">
        <f t="shared" si="0"/>
        <v>CYPRE RIVER_Chinook</v>
      </c>
      <c r="P29">
        <v>599</v>
      </c>
      <c r="Q29">
        <v>2613</v>
      </c>
      <c r="R29">
        <v>1101</v>
      </c>
      <c r="S29">
        <v>1962</v>
      </c>
      <c r="T29">
        <v>961</v>
      </c>
      <c r="U29">
        <v>175</v>
      </c>
      <c r="V29">
        <v>168</v>
      </c>
      <c r="W29">
        <v>248</v>
      </c>
      <c r="X29" s="403">
        <v>44</v>
      </c>
      <c r="Y29" s="403">
        <v>14</v>
      </c>
      <c r="Z29" s="32">
        <v>4</v>
      </c>
      <c r="AA29" s="410">
        <f t="shared" si="3"/>
        <v>77.5</v>
      </c>
      <c r="AB29" s="411">
        <f t="shared" si="1"/>
        <v>447</v>
      </c>
      <c r="AC29">
        <f t="shared" si="2"/>
        <v>717.18181818181813</v>
      </c>
    </row>
    <row r="30" spans="1:29" x14ac:dyDescent="0.2">
      <c r="B30" s="617"/>
      <c r="C30" s="617"/>
      <c r="D30" s="244"/>
      <c r="E30" s="244"/>
      <c r="F30" s="244"/>
      <c r="G30" s="244"/>
      <c r="H30" s="9"/>
      <c r="I30" s="9"/>
      <c r="J30" s="32"/>
      <c r="K30" s="193"/>
      <c r="M30" t="s">
        <v>136</v>
      </c>
      <c r="N30" t="s">
        <v>210</v>
      </c>
      <c r="O30" s="50" t="str">
        <f t="shared" si="0"/>
        <v>DESERTED CREEK_Chinook</v>
      </c>
      <c r="P30">
        <v>0</v>
      </c>
      <c r="Q30">
        <v>0</v>
      </c>
      <c r="Z30" s="32"/>
      <c r="AA30" s="410" t="e">
        <f t="shared" si="3"/>
        <v>#DIV/0!</v>
      </c>
      <c r="AB30" s="411" t="e">
        <f t="shared" ref="AB30:AB93" si="6">AVERAGE(S30:Z30)</f>
        <v>#DIV/0!</v>
      </c>
      <c r="AC30">
        <f t="shared" ref="AC30:AC93" si="7">AVERAGE(P30:Z30)</f>
        <v>0</v>
      </c>
    </row>
    <row r="31" spans="1:29" x14ac:dyDescent="0.2">
      <c r="A31">
        <v>2022</v>
      </c>
      <c r="B31" s="617">
        <v>22</v>
      </c>
      <c r="C31" s="617" t="s">
        <v>304</v>
      </c>
      <c r="D31" s="244" t="s">
        <v>81</v>
      </c>
      <c r="E31" s="244" t="s">
        <v>210</v>
      </c>
      <c r="F31" s="244" t="s">
        <v>419</v>
      </c>
      <c r="G31" s="244" t="s">
        <v>624</v>
      </c>
      <c r="H31" s="9" t="s">
        <v>616</v>
      </c>
      <c r="I31" s="9">
        <v>1</v>
      </c>
      <c r="J31" s="32">
        <v>0</v>
      </c>
      <c r="K31" s="193"/>
      <c r="M31" t="s">
        <v>81</v>
      </c>
      <c r="N31" t="s">
        <v>210</v>
      </c>
      <c r="O31" s="50" t="str">
        <f t="shared" si="0"/>
        <v>DOOBAH CREEK_Chinook</v>
      </c>
      <c r="P31">
        <v>0</v>
      </c>
      <c r="W31">
        <v>0</v>
      </c>
      <c r="Z31" s="32">
        <v>0</v>
      </c>
      <c r="AA31" s="410">
        <f t="shared" si="3"/>
        <v>0</v>
      </c>
      <c r="AB31" s="411">
        <f t="shared" si="6"/>
        <v>0</v>
      </c>
      <c r="AC31">
        <f t="shared" si="7"/>
        <v>0</v>
      </c>
    </row>
    <row r="32" spans="1:29" ht="15" x14ac:dyDescent="0.25">
      <c r="B32" s="617"/>
      <c r="C32" s="617"/>
      <c r="D32" s="244"/>
      <c r="E32" s="244"/>
      <c r="F32" s="244"/>
      <c r="G32" s="244"/>
      <c r="H32" s="9"/>
      <c r="I32" s="9"/>
      <c r="J32" s="32"/>
      <c r="K32" s="193"/>
      <c r="M32" t="s">
        <v>60</v>
      </c>
      <c r="N32" t="s">
        <v>210</v>
      </c>
      <c r="O32" s="50" t="str">
        <f t="shared" si="0"/>
        <v>EASY CREEK_Chinook</v>
      </c>
      <c r="P32">
        <v>8</v>
      </c>
      <c r="Q32">
        <v>16</v>
      </c>
      <c r="R32">
        <v>0</v>
      </c>
      <c r="S32">
        <v>2</v>
      </c>
      <c r="V32">
        <v>12</v>
      </c>
      <c r="W32">
        <v>16</v>
      </c>
      <c r="X32" s="403">
        <v>0</v>
      </c>
      <c r="Y32" s="403">
        <v>3</v>
      </c>
      <c r="Z32" s="32"/>
      <c r="AA32" s="410">
        <f t="shared" si="3"/>
        <v>6.333333333333333</v>
      </c>
      <c r="AB32" s="411">
        <f t="shared" si="6"/>
        <v>6.6</v>
      </c>
      <c r="AC32">
        <f t="shared" si="7"/>
        <v>7.125</v>
      </c>
    </row>
    <row r="33" spans="1:29" ht="15" x14ac:dyDescent="0.25">
      <c r="A33">
        <v>2022</v>
      </c>
      <c r="B33" s="617">
        <v>23</v>
      </c>
      <c r="C33" s="617" t="s">
        <v>305</v>
      </c>
      <c r="D33" s="244" t="s">
        <v>96</v>
      </c>
      <c r="E33" s="244" t="s">
        <v>210</v>
      </c>
      <c r="F33" s="244" t="s">
        <v>419</v>
      </c>
      <c r="G33" s="244" t="s">
        <v>289</v>
      </c>
      <c r="H33" s="9" t="s">
        <v>616</v>
      </c>
      <c r="I33" s="9">
        <v>4</v>
      </c>
      <c r="J33" s="32">
        <v>10</v>
      </c>
      <c r="K33" s="193"/>
      <c r="M33" t="s">
        <v>96</v>
      </c>
      <c r="N33" t="s">
        <v>210</v>
      </c>
      <c r="O33" s="50" t="str">
        <f t="shared" si="0"/>
        <v>EFFINGHAM RIVER_Chinook</v>
      </c>
      <c r="U33">
        <v>66</v>
      </c>
      <c r="V33">
        <v>4</v>
      </c>
      <c r="W33">
        <v>9</v>
      </c>
      <c r="X33" s="403">
        <v>15</v>
      </c>
      <c r="Y33" s="403">
        <v>11</v>
      </c>
      <c r="Z33" s="32">
        <v>10</v>
      </c>
      <c r="AA33" s="410">
        <f t="shared" si="3"/>
        <v>11.25</v>
      </c>
      <c r="AB33" s="411">
        <f t="shared" si="6"/>
        <v>19.166666666666668</v>
      </c>
      <c r="AC33">
        <f t="shared" si="7"/>
        <v>19.166666666666668</v>
      </c>
    </row>
    <row r="34" spans="1:29" ht="15" x14ac:dyDescent="0.25">
      <c r="B34" s="617"/>
      <c r="C34" s="617"/>
      <c r="D34" s="244"/>
      <c r="E34" s="244"/>
      <c r="F34" s="244"/>
      <c r="G34" s="244"/>
      <c r="H34" s="9"/>
      <c r="I34" s="9"/>
      <c r="J34" s="32"/>
      <c r="K34" s="193"/>
      <c r="M34" t="s">
        <v>137</v>
      </c>
      <c r="N34" t="s">
        <v>210</v>
      </c>
      <c r="O34" s="50" t="str">
        <f t="shared" si="0"/>
        <v>ELIZA CREEK_Chinook</v>
      </c>
      <c r="X34" s="403"/>
      <c r="Y34" s="403">
        <v>2</v>
      </c>
      <c r="Z34" s="32"/>
      <c r="AA34" s="410">
        <f t="shared" si="3"/>
        <v>2</v>
      </c>
      <c r="AB34" s="411">
        <f t="shared" si="6"/>
        <v>2</v>
      </c>
      <c r="AC34">
        <f t="shared" si="7"/>
        <v>2</v>
      </c>
    </row>
    <row r="35" spans="1:29" ht="15" x14ac:dyDescent="0.25">
      <c r="A35">
        <v>2022</v>
      </c>
      <c r="B35" s="617">
        <v>25</v>
      </c>
      <c r="C35" s="617" t="s">
        <v>300</v>
      </c>
      <c r="D35" s="244" t="s">
        <v>138</v>
      </c>
      <c r="E35" s="244" t="s">
        <v>210</v>
      </c>
      <c r="F35" s="244" t="s">
        <v>419</v>
      </c>
      <c r="G35" s="244" t="s">
        <v>496</v>
      </c>
      <c r="H35" s="9" t="s">
        <v>616</v>
      </c>
      <c r="I35" s="9">
        <v>1</v>
      </c>
      <c r="J35" s="32">
        <v>5</v>
      </c>
      <c r="K35" s="193"/>
      <c r="M35" t="s">
        <v>138</v>
      </c>
      <c r="N35" t="s">
        <v>210</v>
      </c>
      <c r="O35" s="50" t="str">
        <f t="shared" si="0"/>
        <v>ESPINOSA CREEK_Chinook</v>
      </c>
      <c r="P35">
        <v>0</v>
      </c>
      <c r="Q35">
        <v>0</v>
      </c>
      <c r="R35">
        <v>0</v>
      </c>
      <c r="S35">
        <v>5</v>
      </c>
      <c r="T35">
        <v>0</v>
      </c>
      <c r="U35">
        <v>30</v>
      </c>
      <c r="V35">
        <v>17</v>
      </c>
      <c r="W35">
        <v>102</v>
      </c>
      <c r="X35" s="403">
        <v>88</v>
      </c>
      <c r="Y35" s="403">
        <v>29</v>
      </c>
      <c r="Z35" s="32">
        <v>5</v>
      </c>
      <c r="AA35" s="410">
        <f t="shared" si="3"/>
        <v>56</v>
      </c>
      <c r="AB35" s="411">
        <f t="shared" si="6"/>
        <v>34.5</v>
      </c>
      <c r="AC35">
        <f t="shared" si="7"/>
        <v>25.09090909090909</v>
      </c>
    </row>
    <row r="36" spans="1:29" ht="15" x14ac:dyDescent="0.25">
      <c r="B36" s="617"/>
      <c r="C36" s="617"/>
      <c r="D36" s="244"/>
      <c r="E36" s="244"/>
      <c r="F36" s="244"/>
      <c r="G36" s="244"/>
      <c r="H36" s="9"/>
      <c r="I36" s="9"/>
      <c r="J36" s="32"/>
      <c r="K36" s="193"/>
      <c r="M36" t="s">
        <v>97</v>
      </c>
      <c r="N36" t="s">
        <v>210</v>
      </c>
      <c r="O36" s="50" t="str">
        <f t="shared" si="0"/>
        <v>FRANKLIN RIVER_Chinook</v>
      </c>
      <c r="P36">
        <v>0</v>
      </c>
      <c r="Q36">
        <v>0</v>
      </c>
      <c r="S36">
        <v>0</v>
      </c>
      <c r="U36">
        <v>0</v>
      </c>
      <c r="X36" s="403"/>
      <c r="Y36" s="403"/>
      <c r="Z36" s="32"/>
      <c r="AA36" s="410" t="e">
        <f t="shared" si="3"/>
        <v>#DIV/0!</v>
      </c>
      <c r="AB36" s="411">
        <f t="shared" si="6"/>
        <v>0</v>
      </c>
      <c r="AC36">
        <f t="shared" si="7"/>
        <v>0</v>
      </c>
    </row>
    <row r="37" spans="1:29" ht="15" x14ac:dyDescent="0.25">
      <c r="A37">
        <v>2022</v>
      </c>
      <c r="B37" s="617">
        <v>25</v>
      </c>
      <c r="C37" s="617" t="s">
        <v>299</v>
      </c>
      <c r="D37" s="244" t="s">
        <v>47</v>
      </c>
      <c r="E37" s="244" t="s">
        <v>210</v>
      </c>
      <c r="F37" s="244" t="s">
        <v>419</v>
      </c>
      <c r="G37" s="244" t="s">
        <v>595</v>
      </c>
      <c r="H37" s="9" t="s">
        <v>613</v>
      </c>
      <c r="I37" s="9">
        <v>6</v>
      </c>
      <c r="J37" s="32">
        <v>6469</v>
      </c>
      <c r="K37" s="193"/>
      <c r="M37" t="s">
        <v>47</v>
      </c>
      <c r="N37" t="s">
        <v>210</v>
      </c>
      <c r="O37" s="50" t="str">
        <f t="shared" si="0"/>
        <v>GOLD RIVER_Chinook</v>
      </c>
      <c r="P37">
        <v>620</v>
      </c>
      <c r="Q37">
        <v>0</v>
      </c>
      <c r="S37">
        <v>46</v>
      </c>
      <c r="T37">
        <v>2150</v>
      </c>
      <c r="V37">
        <v>1400</v>
      </c>
      <c r="W37">
        <v>1600</v>
      </c>
      <c r="X37" s="403">
        <v>5500</v>
      </c>
      <c r="Y37" s="403">
        <v>4900</v>
      </c>
      <c r="Z37" s="32">
        <v>6469</v>
      </c>
      <c r="AA37" s="410">
        <f t="shared" si="3"/>
        <v>4617.25</v>
      </c>
      <c r="AB37" s="411">
        <f t="shared" si="6"/>
        <v>3152.1428571428573</v>
      </c>
      <c r="AC37">
        <f t="shared" si="7"/>
        <v>2520.5555555555557</v>
      </c>
    </row>
    <row r="38" spans="1:29" ht="18" x14ac:dyDescent="0.25">
      <c r="A38">
        <v>2022</v>
      </c>
      <c r="B38" s="617">
        <v>20</v>
      </c>
      <c r="C38" s="617" t="s">
        <v>291</v>
      </c>
      <c r="D38" s="244" t="s">
        <v>17</v>
      </c>
      <c r="E38" s="244" t="s">
        <v>210</v>
      </c>
      <c r="F38" s="244" t="s">
        <v>419</v>
      </c>
      <c r="G38" s="244" t="s">
        <v>370</v>
      </c>
      <c r="H38" s="9" t="s">
        <v>615</v>
      </c>
      <c r="I38" s="9">
        <v>1</v>
      </c>
      <c r="J38" s="32">
        <v>41</v>
      </c>
      <c r="K38" s="193"/>
      <c r="M38" t="s">
        <v>17</v>
      </c>
      <c r="N38" t="s">
        <v>210</v>
      </c>
      <c r="O38" s="50" t="str">
        <f t="shared" si="0"/>
        <v>GORDON RIVER_Chinook</v>
      </c>
      <c r="Q38">
        <v>24</v>
      </c>
      <c r="R38">
        <v>2</v>
      </c>
      <c r="S38">
        <v>0</v>
      </c>
      <c r="W38">
        <v>111</v>
      </c>
      <c r="X38" s="403"/>
      <c r="Y38" s="403"/>
      <c r="Z38" s="32">
        <v>41</v>
      </c>
      <c r="AA38" s="410">
        <f t="shared" si="3"/>
        <v>76</v>
      </c>
      <c r="AB38" s="411">
        <f t="shared" si="6"/>
        <v>50.666666666666664</v>
      </c>
      <c r="AC38">
        <f t="shared" si="7"/>
        <v>35.6</v>
      </c>
    </row>
    <row r="39" spans="1:29" ht="18" x14ac:dyDescent="0.25">
      <c r="A39">
        <v>2022</v>
      </c>
      <c r="B39" s="617">
        <v>25</v>
      </c>
      <c r="C39" s="617" t="s">
        <v>300</v>
      </c>
      <c r="D39" s="244" t="s">
        <v>139</v>
      </c>
      <c r="E39" s="244" t="s">
        <v>210</v>
      </c>
      <c r="F39" s="244" t="s">
        <v>419</v>
      </c>
      <c r="G39" s="244" t="s">
        <v>528</v>
      </c>
      <c r="H39" s="9" t="s">
        <v>615</v>
      </c>
      <c r="I39" s="9">
        <v>1</v>
      </c>
      <c r="J39" s="32">
        <v>0</v>
      </c>
      <c r="K39" s="193"/>
      <c r="M39" t="s">
        <v>139</v>
      </c>
      <c r="N39" t="s">
        <v>210</v>
      </c>
      <c r="O39" s="50" t="str">
        <f t="shared" si="0"/>
        <v>HAMMOND CREEK_Chinook</v>
      </c>
      <c r="P39">
        <v>0</v>
      </c>
      <c r="X39" s="403"/>
      <c r="Y39" s="403">
        <v>1</v>
      </c>
      <c r="Z39" s="32">
        <v>0</v>
      </c>
      <c r="AA39" s="410">
        <f t="shared" si="3"/>
        <v>0.5</v>
      </c>
      <c r="AB39" s="411">
        <f t="shared" si="6"/>
        <v>0.5</v>
      </c>
      <c r="AC39">
        <f t="shared" si="7"/>
        <v>0.33333333333333331</v>
      </c>
    </row>
    <row r="40" spans="1:29" ht="15" x14ac:dyDescent="0.25">
      <c r="A40">
        <v>2022</v>
      </c>
      <c r="B40" s="617">
        <v>20</v>
      </c>
      <c r="C40" s="617" t="s">
        <v>291</v>
      </c>
      <c r="D40" s="244" t="s">
        <v>18</v>
      </c>
      <c r="E40" s="244" t="s">
        <v>210</v>
      </c>
      <c r="F40" s="244" t="s">
        <v>419</v>
      </c>
      <c r="G40" s="244" t="s">
        <v>370</v>
      </c>
      <c r="H40" s="9" t="s">
        <v>616</v>
      </c>
      <c r="I40" s="9">
        <v>1</v>
      </c>
      <c r="J40" s="32">
        <v>0</v>
      </c>
      <c r="K40" s="193"/>
      <c r="M40" t="s">
        <v>18</v>
      </c>
      <c r="N40" t="s">
        <v>210</v>
      </c>
      <c r="O40" s="50" t="str">
        <f t="shared" si="0"/>
        <v>HARRIS CREEK_Chinook</v>
      </c>
      <c r="P40">
        <v>49</v>
      </c>
      <c r="Q40">
        <v>69</v>
      </c>
      <c r="R40">
        <v>26</v>
      </c>
      <c r="S40">
        <v>6</v>
      </c>
      <c r="T40">
        <v>4</v>
      </c>
      <c r="U40">
        <v>36</v>
      </c>
      <c r="V40">
        <v>27</v>
      </c>
      <c r="W40">
        <v>172</v>
      </c>
      <c r="X40" s="384"/>
      <c r="Y40" s="403"/>
      <c r="Z40" s="32">
        <v>0</v>
      </c>
      <c r="AA40" s="410">
        <f t="shared" si="3"/>
        <v>86</v>
      </c>
      <c r="AB40" s="411">
        <f t="shared" si="6"/>
        <v>40.833333333333336</v>
      </c>
      <c r="AC40">
        <f t="shared" si="7"/>
        <v>43.222222222222221</v>
      </c>
    </row>
    <row r="41" spans="1:29" ht="15" x14ac:dyDescent="0.25">
      <c r="K41" s="193"/>
      <c r="M41" t="s">
        <v>539</v>
      </c>
      <c r="N41" t="s">
        <v>210</v>
      </c>
      <c r="O41" s="50" t="str">
        <f t="shared" si="0"/>
        <v>HESQUIAT HARBOUR #2 CREEKS_Chinook</v>
      </c>
      <c r="V41">
        <v>0</v>
      </c>
      <c r="X41" s="384"/>
      <c r="Y41" s="403"/>
      <c r="AA41" s="410" t="e">
        <f t="shared" si="3"/>
        <v>#DIV/0!</v>
      </c>
      <c r="AB41" s="411">
        <f t="shared" si="6"/>
        <v>0</v>
      </c>
      <c r="AC41">
        <f t="shared" si="7"/>
        <v>0</v>
      </c>
    </row>
    <row r="42" spans="1:29" ht="15" x14ac:dyDescent="0.25">
      <c r="B42" s="617"/>
      <c r="C42" s="617"/>
      <c r="D42" s="244"/>
      <c r="E42" s="244"/>
      <c r="F42" s="244"/>
      <c r="G42" s="244"/>
      <c r="H42" s="9"/>
      <c r="I42" s="9"/>
      <c r="J42" s="32"/>
      <c r="K42" s="193"/>
      <c r="M42" t="s">
        <v>542</v>
      </c>
      <c r="N42" t="s">
        <v>210</v>
      </c>
      <c r="O42" s="50" t="str">
        <f t="shared" si="0"/>
        <v>HESQUIAT LAKE CREEK_Chinook</v>
      </c>
      <c r="R42">
        <v>0</v>
      </c>
      <c r="V42">
        <v>0</v>
      </c>
      <c r="X42" s="384"/>
      <c r="Y42" s="403"/>
      <c r="Z42" s="32"/>
      <c r="AA42" s="410" t="e">
        <f t="shared" si="3"/>
        <v>#DIV/0!</v>
      </c>
      <c r="AB42" s="411">
        <f t="shared" si="6"/>
        <v>0</v>
      </c>
      <c r="AC42">
        <f t="shared" si="7"/>
        <v>0</v>
      </c>
    </row>
    <row r="43" spans="1:29" ht="15" x14ac:dyDescent="0.25">
      <c r="B43" s="617"/>
      <c r="C43" s="617"/>
      <c r="D43" s="244"/>
      <c r="E43" s="244"/>
      <c r="F43" s="244"/>
      <c r="G43" s="244"/>
      <c r="H43" s="9"/>
      <c r="I43" s="9"/>
      <c r="J43" s="32"/>
      <c r="K43" s="193"/>
      <c r="M43" t="s">
        <v>140</v>
      </c>
      <c r="N43" t="s">
        <v>210</v>
      </c>
      <c r="O43" s="50" t="str">
        <f t="shared" si="0"/>
        <v>HOISS CREEK_Chinook</v>
      </c>
      <c r="P43">
        <v>0</v>
      </c>
      <c r="X43" s="384"/>
      <c r="Y43" s="403"/>
      <c r="Z43" s="32"/>
      <c r="AA43" s="410" t="e">
        <f t="shared" si="3"/>
        <v>#DIV/0!</v>
      </c>
      <c r="AB43" s="411" t="e">
        <f t="shared" si="6"/>
        <v>#DIV/0!</v>
      </c>
      <c r="AC43">
        <f t="shared" si="7"/>
        <v>0</v>
      </c>
    </row>
    <row r="44" spans="1:29" ht="15" x14ac:dyDescent="0.25">
      <c r="B44" s="617"/>
      <c r="C44" s="617"/>
      <c r="D44" s="244"/>
      <c r="E44" s="244"/>
      <c r="F44" s="244"/>
      <c r="G44" s="244"/>
      <c r="H44" s="9"/>
      <c r="I44" s="9"/>
      <c r="J44" s="32"/>
      <c r="K44" s="193"/>
      <c r="M44" t="s">
        <v>123</v>
      </c>
      <c r="N44" t="s">
        <v>210</v>
      </c>
      <c r="O44" s="50" t="str">
        <f t="shared" si="0"/>
        <v>ICE RIVER_Chinook</v>
      </c>
      <c r="R44">
        <v>0</v>
      </c>
      <c r="X44" s="384"/>
      <c r="Y44" s="403"/>
      <c r="Z44" s="32"/>
      <c r="AA44" s="410" t="e">
        <f t="shared" si="3"/>
        <v>#DIV/0!</v>
      </c>
      <c r="AB44" s="411" t="e">
        <f t="shared" si="6"/>
        <v>#DIV/0!</v>
      </c>
      <c r="AC44">
        <f t="shared" si="7"/>
        <v>0</v>
      </c>
    </row>
    <row r="45" spans="1:29" ht="15" x14ac:dyDescent="0.25">
      <c r="B45" s="617"/>
      <c r="C45" s="617"/>
      <c r="D45" s="244"/>
      <c r="E45" s="244"/>
      <c r="F45" s="244"/>
      <c r="G45" s="244"/>
      <c r="H45" s="9"/>
      <c r="I45" s="9"/>
      <c r="J45" s="32"/>
      <c r="K45" s="193"/>
      <c r="M45" t="s">
        <v>545</v>
      </c>
      <c r="N45" t="s">
        <v>210</v>
      </c>
      <c r="O45" s="50" t="str">
        <f t="shared" si="0"/>
        <v>JANSEN LAKE CREEK_Chinook</v>
      </c>
      <c r="V45">
        <v>0</v>
      </c>
      <c r="W45">
        <v>0</v>
      </c>
      <c r="X45" s="384">
        <v>0</v>
      </c>
      <c r="Y45" s="403"/>
      <c r="Z45" s="32"/>
      <c r="AA45" s="410">
        <f t="shared" si="3"/>
        <v>0</v>
      </c>
      <c r="AB45" s="411">
        <f t="shared" si="6"/>
        <v>0</v>
      </c>
      <c r="AC45">
        <f t="shared" si="7"/>
        <v>0</v>
      </c>
    </row>
    <row r="46" spans="1:29" ht="15" x14ac:dyDescent="0.25">
      <c r="A46">
        <v>2022</v>
      </c>
      <c r="B46" s="617">
        <v>26</v>
      </c>
      <c r="C46" s="617" t="s">
        <v>301</v>
      </c>
      <c r="D46" s="244" t="s">
        <v>62</v>
      </c>
      <c r="E46" s="244" t="s">
        <v>210</v>
      </c>
      <c r="F46" s="244" t="s">
        <v>419</v>
      </c>
      <c r="G46" s="244" t="s">
        <v>292</v>
      </c>
      <c r="H46" s="9" t="s">
        <v>616</v>
      </c>
      <c r="I46" s="9">
        <v>7</v>
      </c>
      <c r="J46" s="32">
        <v>392</v>
      </c>
      <c r="K46" s="193"/>
      <c r="M46" t="s">
        <v>62</v>
      </c>
      <c r="N46" t="s">
        <v>210</v>
      </c>
      <c r="O46" s="50" t="str">
        <f t="shared" si="0"/>
        <v>KAOUK RIVER_Chinook</v>
      </c>
      <c r="P46">
        <v>176</v>
      </c>
      <c r="Q46">
        <v>133</v>
      </c>
      <c r="R46">
        <v>144</v>
      </c>
      <c r="S46">
        <v>208</v>
      </c>
      <c r="T46">
        <v>215</v>
      </c>
      <c r="U46">
        <v>373</v>
      </c>
      <c r="V46">
        <v>249</v>
      </c>
      <c r="W46">
        <v>148</v>
      </c>
      <c r="X46" s="384">
        <v>255</v>
      </c>
      <c r="Y46" s="403">
        <v>309</v>
      </c>
      <c r="Z46" s="32">
        <v>392</v>
      </c>
      <c r="AA46" s="410">
        <f t="shared" si="3"/>
        <v>276</v>
      </c>
      <c r="AB46" s="411">
        <f t="shared" si="6"/>
        <v>268.625</v>
      </c>
      <c r="AC46">
        <f t="shared" si="7"/>
        <v>236.54545454545453</v>
      </c>
    </row>
    <row r="47" spans="1:29" ht="15" x14ac:dyDescent="0.25">
      <c r="B47" s="617"/>
      <c r="C47" s="617"/>
      <c r="D47" s="244"/>
      <c r="E47" s="244"/>
      <c r="F47" s="244"/>
      <c r="G47" s="244"/>
      <c r="H47" s="9"/>
      <c r="I47" s="9"/>
      <c r="J47" s="32"/>
      <c r="K47" s="193"/>
      <c r="M47" t="s">
        <v>63</v>
      </c>
      <c r="N47" t="s">
        <v>210</v>
      </c>
      <c r="O47" s="50" t="str">
        <f t="shared" si="0"/>
        <v>KASHUTL RIVER_Chinook</v>
      </c>
      <c r="P47">
        <v>7</v>
      </c>
      <c r="Q47">
        <v>0</v>
      </c>
      <c r="R47">
        <v>0</v>
      </c>
      <c r="S47">
        <v>2</v>
      </c>
      <c r="T47">
        <v>0</v>
      </c>
      <c r="U47">
        <v>7</v>
      </c>
      <c r="V47">
        <v>4</v>
      </c>
      <c r="W47">
        <v>1</v>
      </c>
      <c r="X47" s="384">
        <v>0</v>
      </c>
      <c r="Y47" s="403"/>
      <c r="Z47" s="32"/>
      <c r="AA47" s="410">
        <f t="shared" si="3"/>
        <v>0.5</v>
      </c>
      <c r="AB47" s="411">
        <f t="shared" si="6"/>
        <v>2.3333333333333335</v>
      </c>
      <c r="AC47">
        <f t="shared" si="7"/>
        <v>2.3333333333333335</v>
      </c>
    </row>
    <row r="48" spans="1:29" ht="15" x14ac:dyDescent="0.25">
      <c r="B48" s="617"/>
      <c r="C48" s="617"/>
      <c r="D48" s="244"/>
      <c r="E48" s="244"/>
      <c r="F48" s="244"/>
      <c r="G48" s="244"/>
      <c r="H48" s="9"/>
      <c r="I48" s="9"/>
      <c r="J48" s="32"/>
      <c r="K48" s="193"/>
      <c r="M48" t="s">
        <v>64</v>
      </c>
      <c r="N48" t="s">
        <v>210</v>
      </c>
      <c r="O48" s="50" t="str">
        <f t="shared" si="0"/>
        <v>KAUWINCH RIVER_Chinook</v>
      </c>
      <c r="P48">
        <v>2</v>
      </c>
      <c r="Q48">
        <v>16</v>
      </c>
      <c r="R48">
        <v>41</v>
      </c>
      <c r="S48">
        <v>312</v>
      </c>
      <c r="T48">
        <v>15</v>
      </c>
      <c r="U48">
        <v>276</v>
      </c>
      <c r="V48">
        <v>137</v>
      </c>
      <c r="W48">
        <v>0</v>
      </c>
      <c r="X48" s="384">
        <v>15</v>
      </c>
      <c r="Y48" s="403">
        <v>17</v>
      </c>
      <c r="Z48" s="32"/>
      <c r="AA48" s="410">
        <f t="shared" si="3"/>
        <v>10.666666666666666</v>
      </c>
      <c r="AB48" s="411">
        <f t="shared" si="6"/>
        <v>110.28571428571429</v>
      </c>
      <c r="AC48">
        <f t="shared" si="7"/>
        <v>83.1</v>
      </c>
    </row>
    <row r="49" spans="1:29" ht="15" x14ac:dyDescent="0.25">
      <c r="B49" s="617"/>
      <c r="C49" s="617"/>
      <c r="D49" s="244"/>
      <c r="E49" s="244"/>
      <c r="F49" s="244"/>
      <c r="G49" s="244"/>
      <c r="H49" s="9"/>
      <c r="I49" s="9"/>
      <c r="J49" s="32"/>
      <c r="K49" s="193"/>
      <c r="M49" t="s">
        <v>546</v>
      </c>
      <c r="N49" t="s">
        <v>210</v>
      </c>
      <c r="O49" s="50" t="str">
        <f t="shared" si="0"/>
        <v>KENNEDY LAKE_Chinook</v>
      </c>
      <c r="U49">
        <v>0</v>
      </c>
      <c r="X49" s="384"/>
      <c r="Y49" s="403">
        <v>0</v>
      </c>
      <c r="Z49" s="32"/>
      <c r="AA49" s="410">
        <f t="shared" si="3"/>
        <v>0</v>
      </c>
      <c r="AB49" s="411">
        <f t="shared" si="6"/>
        <v>0</v>
      </c>
      <c r="AC49">
        <f t="shared" si="7"/>
        <v>0</v>
      </c>
    </row>
    <row r="50" spans="1:29" ht="15" x14ac:dyDescent="0.25">
      <c r="B50" s="617"/>
      <c r="C50" s="617"/>
      <c r="D50" s="244"/>
      <c r="E50" s="244"/>
      <c r="F50" s="244"/>
      <c r="G50" s="244"/>
      <c r="H50" s="9"/>
      <c r="I50" s="9"/>
      <c r="J50" s="32"/>
      <c r="K50" s="193"/>
      <c r="M50" t="s">
        <v>124</v>
      </c>
      <c r="N50" t="s">
        <v>210</v>
      </c>
      <c r="O50" s="50" t="str">
        <f t="shared" si="0"/>
        <v>KENNEDY LAKE FEEDER STREAMS_Chinook</v>
      </c>
      <c r="V50">
        <v>0</v>
      </c>
      <c r="X50" s="384"/>
      <c r="Y50" s="403"/>
      <c r="Z50" s="32"/>
      <c r="AA50" s="410" t="e">
        <f t="shared" si="3"/>
        <v>#DIV/0!</v>
      </c>
      <c r="AB50" s="411">
        <f t="shared" si="6"/>
        <v>0</v>
      </c>
      <c r="AC50">
        <f t="shared" si="7"/>
        <v>0</v>
      </c>
    </row>
    <row r="51" spans="1:29" ht="15" x14ac:dyDescent="0.25">
      <c r="A51">
        <v>2022</v>
      </c>
      <c r="B51" s="617">
        <v>24</v>
      </c>
      <c r="C51" s="617" t="s">
        <v>296</v>
      </c>
      <c r="D51" s="244" t="s">
        <v>40</v>
      </c>
      <c r="E51" s="244" t="s">
        <v>210</v>
      </c>
      <c r="F51" s="244" t="s">
        <v>419</v>
      </c>
      <c r="G51" s="244" t="s">
        <v>497</v>
      </c>
      <c r="H51" s="9" t="s">
        <v>620</v>
      </c>
      <c r="I51" s="9">
        <v>2</v>
      </c>
      <c r="J51" s="32">
        <v>4</v>
      </c>
      <c r="K51" s="193"/>
      <c r="M51" s="359" t="s">
        <v>40</v>
      </c>
      <c r="N51" t="s">
        <v>210</v>
      </c>
      <c r="O51" s="50" t="str">
        <f t="shared" si="0"/>
        <v>KENNEDY RIVER (UPPER)_Chinook</v>
      </c>
      <c r="P51">
        <v>5</v>
      </c>
      <c r="Q51">
        <v>16</v>
      </c>
      <c r="R51">
        <v>6</v>
      </c>
      <c r="S51">
        <v>0</v>
      </c>
      <c r="T51">
        <v>1</v>
      </c>
      <c r="U51">
        <v>4</v>
      </c>
      <c r="V51">
        <v>2</v>
      </c>
      <c r="W51">
        <v>5</v>
      </c>
      <c r="X51" s="384">
        <v>2</v>
      </c>
      <c r="Y51" s="403">
        <v>2</v>
      </c>
      <c r="Z51" s="32">
        <v>4</v>
      </c>
      <c r="AA51" s="410">
        <f t="shared" si="3"/>
        <v>3.25</v>
      </c>
      <c r="AB51" s="411">
        <f t="shared" si="6"/>
        <v>2.5</v>
      </c>
      <c r="AC51">
        <f t="shared" si="7"/>
        <v>4.2727272727272725</v>
      </c>
    </row>
    <row r="52" spans="1:29" ht="15" x14ac:dyDescent="0.25">
      <c r="A52">
        <v>2022</v>
      </c>
      <c r="B52" s="617">
        <v>21</v>
      </c>
      <c r="C52" s="617" t="s">
        <v>304</v>
      </c>
      <c r="D52" s="244" t="s">
        <v>77</v>
      </c>
      <c r="E52" s="244" t="s">
        <v>210</v>
      </c>
      <c r="F52" s="244" t="s">
        <v>419</v>
      </c>
      <c r="G52" s="244" t="s">
        <v>374</v>
      </c>
      <c r="H52" s="9" t="s">
        <v>613</v>
      </c>
      <c r="I52" s="9">
        <v>1</v>
      </c>
      <c r="J52" s="32">
        <v>0</v>
      </c>
      <c r="K52" s="193"/>
      <c r="M52" t="s">
        <v>77</v>
      </c>
      <c r="N52" t="s">
        <v>210</v>
      </c>
      <c r="O52" s="50" t="str">
        <f t="shared" si="0"/>
        <v>KLANAWA RIVER_Chinook</v>
      </c>
      <c r="P52">
        <v>0</v>
      </c>
      <c r="X52" s="384"/>
      <c r="Y52" s="403"/>
      <c r="Z52" s="32">
        <v>0</v>
      </c>
      <c r="AA52" s="410">
        <f t="shared" si="3"/>
        <v>0</v>
      </c>
      <c r="AB52" s="411">
        <f t="shared" si="6"/>
        <v>0</v>
      </c>
      <c r="AC52">
        <f t="shared" si="7"/>
        <v>0</v>
      </c>
    </row>
    <row r="53" spans="1:29" ht="15" x14ac:dyDescent="0.25">
      <c r="A53">
        <v>2022</v>
      </c>
      <c r="B53" s="617">
        <v>25</v>
      </c>
      <c r="C53" s="617" t="s">
        <v>299</v>
      </c>
      <c r="D53" s="244" t="s">
        <v>142</v>
      </c>
      <c r="E53" s="244" t="s">
        <v>210</v>
      </c>
      <c r="F53" s="244" t="s">
        <v>419</v>
      </c>
      <c r="G53" s="244" t="s">
        <v>452</v>
      </c>
      <c r="H53" s="9" t="s">
        <v>609</v>
      </c>
      <c r="I53" s="9">
        <v>1</v>
      </c>
      <c r="J53" s="32">
        <v>23</v>
      </c>
      <c r="K53" s="193"/>
      <c r="M53" t="s">
        <v>142</v>
      </c>
      <c r="N53" t="s">
        <v>210</v>
      </c>
      <c r="O53" s="50" t="str">
        <f t="shared" si="0"/>
        <v>KLEEPTEE CREEK_Chinook</v>
      </c>
      <c r="P53">
        <v>0</v>
      </c>
      <c r="T53">
        <v>21</v>
      </c>
      <c r="X53" s="384"/>
      <c r="Y53" s="403"/>
      <c r="Z53" s="32">
        <v>23</v>
      </c>
      <c r="AA53" s="410">
        <f t="shared" si="3"/>
        <v>23</v>
      </c>
      <c r="AB53" s="411">
        <f t="shared" si="6"/>
        <v>22</v>
      </c>
      <c r="AC53">
        <f t="shared" si="7"/>
        <v>14.666666666666666</v>
      </c>
    </row>
    <row r="54" spans="1:29" ht="15" x14ac:dyDescent="0.25">
      <c r="A54">
        <v>2022</v>
      </c>
      <c r="B54" s="617">
        <v>25</v>
      </c>
      <c r="C54" s="618" t="s">
        <v>299</v>
      </c>
      <c r="D54" s="244" t="s">
        <v>48</v>
      </c>
      <c r="E54" s="244" t="s">
        <v>210</v>
      </c>
      <c r="F54" s="244" t="s">
        <v>419</v>
      </c>
      <c r="G54" s="244" t="s">
        <v>495</v>
      </c>
      <c r="H54" s="9" t="s">
        <v>616</v>
      </c>
      <c r="I54" s="9">
        <v>6</v>
      </c>
      <c r="J54" s="32">
        <v>257</v>
      </c>
      <c r="K54" s="193"/>
      <c r="M54" t="s">
        <v>48</v>
      </c>
      <c r="N54" t="s">
        <v>210</v>
      </c>
      <c r="O54" s="50" t="str">
        <f t="shared" si="0"/>
        <v>LEINER RIVER_Chinook</v>
      </c>
      <c r="P54">
        <v>363</v>
      </c>
      <c r="Q54">
        <v>137</v>
      </c>
      <c r="R54">
        <v>197</v>
      </c>
      <c r="S54">
        <v>620</v>
      </c>
      <c r="T54">
        <v>1302</v>
      </c>
      <c r="U54">
        <v>1541</v>
      </c>
      <c r="V54">
        <v>464</v>
      </c>
      <c r="W54">
        <v>674</v>
      </c>
      <c r="X54" s="384">
        <v>584</v>
      </c>
      <c r="Y54" s="403">
        <v>664</v>
      </c>
      <c r="Z54" s="32">
        <v>257</v>
      </c>
      <c r="AA54" s="410">
        <f t="shared" si="3"/>
        <v>544.75</v>
      </c>
      <c r="AB54" s="411">
        <f t="shared" si="6"/>
        <v>763.25</v>
      </c>
      <c r="AC54">
        <f t="shared" si="7"/>
        <v>618.4545454545455</v>
      </c>
    </row>
    <row r="55" spans="1:29" ht="15" x14ac:dyDescent="0.25">
      <c r="A55">
        <v>2022</v>
      </c>
      <c r="B55" s="617">
        <v>20</v>
      </c>
      <c r="C55" s="617" t="s">
        <v>291</v>
      </c>
      <c r="D55" s="244" t="s">
        <v>73</v>
      </c>
      <c r="E55" s="244" t="s">
        <v>210</v>
      </c>
      <c r="F55" s="244" t="s">
        <v>419</v>
      </c>
      <c r="G55" s="244" t="s">
        <v>370</v>
      </c>
      <c r="H55" s="9" t="s">
        <v>617</v>
      </c>
      <c r="I55" s="9">
        <v>1</v>
      </c>
      <c r="J55" s="32">
        <v>1</v>
      </c>
      <c r="K55" s="193"/>
      <c r="M55" t="s">
        <v>73</v>
      </c>
      <c r="N55" t="s">
        <v>210</v>
      </c>
      <c r="O55" s="50" t="str">
        <f t="shared" si="0"/>
        <v>LENS CREEK_Chinook</v>
      </c>
      <c r="P55">
        <v>44</v>
      </c>
      <c r="Q55">
        <v>93</v>
      </c>
      <c r="R55">
        <v>27</v>
      </c>
      <c r="S55">
        <v>18</v>
      </c>
      <c r="T55">
        <v>3</v>
      </c>
      <c r="U55">
        <v>83</v>
      </c>
      <c r="V55">
        <v>8</v>
      </c>
      <c r="W55">
        <v>2</v>
      </c>
      <c r="X55" s="384"/>
      <c r="Y55" s="403"/>
      <c r="Z55" s="32">
        <v>1</v>
      </c>
      <c r="AA55" s="410">
        <f t="shared" si="3"/>
        <v>1.5</v>
      </c>
      <c r="AB55" s="411">
        <f t="shared" si="6"/>
        <v>19.166666666666668</v>
      </c>
      <c r="AC55">
        <f t="shared" si="7"/>
        <v>31</v>
      </c>
    </row>
    <row r="56" spans="1:29" ht="15" x14ac:dyDescent="0.25">
      <c r="B56" s="617"/>
      <c r="C56" s="617"/>
      <c r="D56" s="244"/>
      <c r="E56" s="244"/>
      <c r="F56" s="244"/>
      <c r="G56" s="244"/>
      <c r="H56" s="9"/>
      <c r="I56" s="9"/>
      <c r="J56" s="32"/>
      <c r="K56" s="193"/>
      <c r="M56" t="s">
        <v>143</v>
      </c>
      <c r="N56" t="s">
        <v>210</v>
      </c>
      <c r="O56" s="50" t="str">
        <f t="shared" si="0"/>
        <v>LITTLE ZEBALLOS RIVER_Chinook</v>
      </c>
      <c r="P56">
        <v>21</v>
      </c>
      <c r="Q56">
        <v>14</v>
      </c>
      <c r="R56">
        <v>0</v>
      </c>
      <c r="S56">
        <v>9</v>
      </c>
      <c r="T56">
        <v>95</v>
      </c>
      <c r="U56">
        <v>9</v>
      </c>
      <c r="V56">
        <v>6</v>
      </c>
      <c r="W56">
        <v>47</v>
      </c>
      <c r="X56" s="384">
        <v>12</v>
      </c>
      <c r="Y56" s="403"/>
      <c r="Z56" s="32"/>
      <c r="AA56" s="410">
        <f t="shared" si="3"/>
        <v>29.5</v>
      </c>
      <c r="AB56" s="411">
        <f t="shared" si="6"/>
        <v>29.666666666666668</v>
      </c>
      <c r="AC56">
        <f t="shared" si="7"/>
        <v>23.666666666666668</v>
      </c>
    </row>
    <row r="57" spans="1:29" ht="15" x14ac:dyDescent="0.25">
      <c r="B57" s="617"/>
      <c r="C57" s="617"/>
      <c r="D57" s="244"/>
      <c r="E57" s="244"/>
      <c r="F57" s="244"/>
      <c r="G57" s="244"/>
      <c r="H57" s="9"/>
      <c r="I57" s="9"/>
      <c r="J57" s="32"/>
      <c r="K57" s="193"/>
      <c r="M57" t="s">
        <v>194</v>
      </c>
      <c r="N57" t="s">
        <v>210</v>
      </c>
      <c r="O57" s="50" t="str">
        <f t="shared" si="0"/>
        <v>LOST SHOE CREEK_Chinook</v>
      </c>
      <c r="V57">
        <v>0</v>
      </c>
      <c r="X57" s="384"/>
      <c r="Y57" s="403"/>
      <c r="Z57" s="32"/>
      <c r="AA57" s="410" t="e">
        <f t="shared" si="3"/>
        <v>#DIV/0!</v>
      </c>
      <c r="AB57" s="411">
        <f t="shared" si="6"/>
        <v>0</v>
      </c>
      <c r="AC57">
        <f t="shared" si="7"/>
        <v>0</v>
      </c>
    </row>
    <row r="58" spans="1:29" ht="15" x14ac:dyDescent="0.25">
      <c r="B58" s="617"/>
      <c r="C58" s="617"/>
      <c r="D58" s="244"/>
      <c r="E58" s="244"/>
      <c r="F58" s="244"/>
      <c r="G58" s="244"/>
      <c r="H58" s="9"/>
      <c r="I58" s="9"/>
      <c r="J58" s="32"/>
      <c r="K58" s="193"/>
      <c r="M58" t="s">
        <v>99</v>
      </c>
      <c r="N58" t="s">
        <v>210</v>
      </c>
      <c r="O58" s="50" t="str">
        <f t="shared" si="0"/>
        <v>MACKTUSH CREEK_Chinook</v>
      </c>
      <c r="P58">
        <v>2</v>
      </c>
      <c r="Q58">
        <v>0</v>
      </c>
      <c r="S58">
        <v>0</v>
      </c>
      <c r="T58">
        <v>0</v>
      </c>
      <c r="U58">
        <v>0</v>
      </c>
      <c r="X58" s="384"/>
      <c r="Y58" s="403"/>
      <c r="Z58" s="32"/>
      <c r="AA58" s="410" t="e">
        <f t="shared" si="3"/>
        <v>#DIV/0!</v>
      </c>
      <c r="AB58" s="411">
        <f t="shared" si="6"/>
        <v>0</v>
      </c>
      <c r="AC58">
        <f t="shared" si="7"/>
        <v>0.4</v>
      </c>
    </row>
    <row r="59" spans="1:29" ht="15" x14ac:dyDescent="0.25">
      <c r="B59" s="617"/>
      <c r="C59" s="617"/>
      <c r="D59" s="244"/>
      <c r="E59" s="244"/>
      <c r="F59" s="244"/>
      <c r="G59" s="244"/>
      <c r="H59" s="9"/>
      <c r="I59" s="9"/>
      <c r="J59" s="32"/>
      <c r="K59" s="193"/>
      <c r="M59" t="s">
        <v>181</v>
      </c>
      <c r="N59" t="s">
        <v>210</v>
      </c>
      <c r="O59" s="50" t="str">
        <f t="shared" si="0"/>
        <v>MAGGIE RIVER_Chinook</v>
      </c>
      <c r="W59">
        <v>1</v>
      </c>
      <c r="X59" s="384">
        <v>3</v>
      </c>
      <c r="Y59" s="403"/>
      <c r="Z59" s="32"/>
      <c r="AA59" s="410">
        <f t="shared" si="3"/>
        <v>2</v>
      </c>
      <c r="AB59" s="411">
        <f t="shared" si="6"/>
        <v>2</v>
      </c>
      <c r="AC59">
        <f t="shared" si="7"/>
        <v>2</v>
      </c>
    </row>
    <row r="60" spans="1:29" ht="15" x14ac:dyDescent="0.25">
      <c r="B60" s="617"/>
      <c r="C60" s="617"/>
      <c r="D60" s="244"/>
      <c r="E60" s="244"/>
      <c r="F60" s="244"/>
      <c r="G60" s="244"/>
      <c r="H60" s="9"/>
      <c r="I60" s="9"/>
      <c r="J60" s="32"/>
      <c r="K60" s="193"/>
      <c r="M60" t="s">
        <v>547</v>
      </c>
      <c r="N60" t="s">
        <v>210</v>
      </c>
      <c r="O60" s="50" t="str">
        <f t="shared" si="0"/>
        <v>MAHATTA CREEK_Chinook</v>
      </c>
      <c r="V60">
        <v>0</v>
      </c>
      <c r="X60" s="384"/>
      <c r="Y60" s="403"/>
      <c r="Z60" s="32"/>
      <c r="AA60" s="410" t="e">
        <f t="shared" si="3"/>
        <v>#DIV/0!</v>
      </c>
      <c r="AB60" s="411">
        <f t="shared" si="6"/>
        <v>0</v>
      </c>
      <c r="AC60">
        <f t="shared" si="7"/>
        <v>0</v>
      </c>
    </row>
    <row r="61" spans="1:29" ht="15" x14ac:dyDescent="0.25">
      <c r="A61">
        <v>2022</v>
      </c>
      <c r="B61" s="617">
        <v>26</v>
      </c>
      <c r="C61" s="617" t="s">
        <v>301</v>
      </c>
      <c r="D61" s="244" t="s">
        <v>205</v>
      </c>
      <c r="E61" s="244" t="s">
        <v>210</v>
      </c>
      <c r="F61" s="244" t="s">
        <v>419</v>
      </c>
      <c r="G61" s="244" t="s">
        <v>292</v>
      </c>
      <c r="H61" s="9" t="s">
        <v>616</v>
      </c>
      <c r="I61" s="9">
        <v>6</v>
      </c>
      <c r="J61" s="32">
        <v>11</v>
      </c>
      <c r="K61" s="193"/>
      <c r="M61" t="s">
        <v>205</v>
      </c>
      <c r="N61" t="s">
        <v>210</v>
      </c>
      <c r="O61" s="50" t="str">
        <f t="shared" si="0"/>
        <v>MALKSOPE RIVER_Chinook</v>
      </c>
      <c r="P61">
        <v>26</v>
      </c>
      <c r="Q61">
        <v>11</v>
      </c>
      <c r="R61">
        <v>6</v>
      </c>
      <c r="S61">
        <v>11</v>
      </c>
      <c r="T61">
        <v>5</v>
      </c>
      <c r="U61">
        <v>13</v>
      </c>
      <c r="V61">
        <v>28</v>
      </c>
      <c r="W61">
        <v>4</v>
      </c>
      <c r="X61" s="384">
        <v>16</v>
      </c>
      <c r="Y61" s="403">
        <v>19</v>
      </c>
      <c r="Z61" s="32">
        <v>11</v>
      </c>
      <c r="AA61" s="410">
        <f t="shared" si="3"/>
        <v>12.5</v>
      </c>
      <c r="AB61" s="411">
        <f t="shared" si="6"/>
        <v>13.375</v>
      </c>
      <c r="AC61">
        <f t="shared" si="7"/>
        <v>13.636363636363637</v>
      </c>
    </row>
    <row r="62" spans="1:29" ht="15" x14ac:dyDescent="0.25">
      <c r="B62" s="617"/>
      <c r="C62" s="617"/>
      <c r="D62" s="244"/>
      <c r="E62" s="244"/>
      <c r="F62" s="244"/>
      <c r="G62" s="244"/>
      <c r="H62" s="9"/>
      <c r="I62" s="9"/>
      <c r="J62" s="32"/>
      <c r="K62" s="193"/>
      <c r="M62" t="s">
        <v>145</v>
      </c>
      <c r="N62" t="s">
        <v>210</v>
      </c>
      <c r="O62" s="50" t="str">
        <f t="shared" si="0"/>
        <v>MAMAT CREEK_Chinook</v>
      </c>
      <c r="V62">
        <v>26</v>
      </c>
      <c r="X62" s="384"/>
      <c r="Y62" s="403"/>
      <c r="Z62" s="32"/>
      <c r="AA62" s="410" t="e">
        <f t="shared" si="3"/>
        <v>#DIV/0!</v>
      </c>
      <c r="AB62" s="411">
        <f t="shared" si="6"/>
        <v>26</v>
      </c>
      <c r="AC62">
        <f t="shared" si="7"/>
        <v>26</v>
      </c>
    </row>
    <row r="63" spans="1:29" ht="15" x14ac:dyDescent="0.25">
      <c r="A63">
        <v>2022</v>
      </c>
      <c r="B63" s="617">
        <v>27</v>
      </c>
      <c r="C63" s="617" t="s">
        <v>302</v>
      </c>
      <c r="D63" s="244" t="s">
        <v>70</v>
      </c>
      <c r="E63" s="244" t="s">
        <v>210</v>
      </c>
      <c r="F63" s="244" t="s">
        <v>419</v>
      </c>
      <c r="G63" s="244" t="s">
        <v>628</v>
      </c>
      <c r="H63" s="9" t="s">
        <v>617</v>
      </c>
      <c r="I63" s="9">
        <v>5</v>
      </c>
      <c r="J63" s="32">
        <v>770</v>
      </c>
      <c r="K63" s="193"/>
      <c r="M63" t="s">
        <v>70</v>
      </c>
      <c r="N63" t="s">
        <v>210</v>
      </c>
      <c r="O63" s="50" t="str">
        <f t="shared" si="0"/>
        <v>MARBLE RIVER_Chinook</v>
      </c>
      <c r="P63">
        <v>1093</v>
      </c>
      <c r="Q63">
        <v>1360</v>
      </c>
      <c r="R63">
        <v>948</v>
      </c>
      <c r="S63">
        <v>2907</v>
      </c>
      <c r="T63">
        <v>1122</v>
      </c>
      <c r="U63">
        <v>2627</v>
      </c>
      <c r="V63">
        <v>470</v>
      </c>
      <c r="W63">
        <v>2035</v>
      </c>
      <c r="X63" s="384">
        <v>2165</v>
      </c>
      <c r="Y63" s="403">
        <v>1351</v>
      </c>
      <c r="Z63" s="32">
        <v>770</v>
      </c>
      <c r="AA63" s="410">
        <f t="shared" si="3"/>
        <v>1580.25</v>
      </c>
      <c r="AB63" s="411">
        <f t="shared" si="6"/>
        <v>1680.875</v>
      </c>
      <c r="AC63">
        <f t="shared" si="7"/>
        <v>1531.6363636363637</v>
      </c>
    </row>
    <row r="64" spans="1:29" ht="15" x14ac:dyDescent="0.25">
      <c r="B64" s="617"/>
      <c r="C64" s="617"/>
      <c r="D64" s="244"/>
      <c r="E64" s="244"/>
      <c r="F64" s="244"/>
      <c r="G64" s="244"/>
      <c r="H64" s="9"/>
      <c r="I64" s="9"/>
      <c r="J64" s="32"/>
      <c r="K64" s="193"/>
      <c r="M64" t="s">
        <v>146</v>
      </c>
      <c r="N64" t="s">
        <v>210</v>
      </c>
      <c r="O64" s="50" t="str">
        <f t="shared" si="0"/>
        <v>MARVINAS BAY CREEK_Chinook</v>
      </c>
      <c r="P64">
        <v>0</v>
      </c>
      <c r="X64" s="384"/>
      <c r="Y64" s="403"/>
      <c r="Z64" s="32"/>
      <c r="AA64" s="410" t="e">
        <f t="shared" si="3"/>
        <v>#DIV/0!</v>
      </c>
      <c r="AB64" s="411" t="e">
        <f t="shared" si="6"/>
        <v>#DIV/0!</v>
      </c>
      <c r="AC64">
        <f t="shared" si="7"/>
        <v>0</v>
      </c>
    </row>
    <row r="65" spans="1:29" ht="15" x14ac:dyDescent="0.25">
      <c r="A65">
        <v>2022</v>
      </c>
      <c r="B65" s="617">
        <v>24</v>
      </c>
      <c r="C65" s="617" t="s">
        <v>297</v>
      </c>
      <c r="D65" s="244" t="s">
        <v>41</v>
      </c>
      <c r="E65" s="244" t="s">
        <v>210</v>
      </c>
      <c r="F65" s="244" t="s">
        <v>419</v>
      </c>
      <c r="G65" s="244" t="s">
        <v>497</v>
      </c>
      <c r="H65" s="9" t="s">
        <v>616</v>
      </c>
      <c r="I65" s="9">
        <v>3</v>
      </c>
      <c r="J65" s="32">
        <v>78</v>
      </c>
      <c r="K65" s="193"/>
      <c r="M65" t="s">
        <v>41</v>
      </c>
      <c r="N65" t="s">
        <v>210</v>
      </c>
      <c r="O65" s="50" t="str">
        <f t="shared" si="0"/>
        <v>MEGIN RIVER_Chinook</v>
      </c>
      <c r="P65">
        <v>35</v>
      </c>
      <c r="Q65">
        <v>44</v>
      </c>
      <c r="R65">
        <v>33</v>
      </c>
      <c r="S65">
        <v>34</v>
      </c>
      <c r="T65">
        <v>14</v>
      </c>
      <c r="U65">
        <v>25</v>
      </c>
      <c r="V65">
        <v>6</v>
      </c>
      <c r="W65">
        <v>8</v>
      </c>
      <c r="X65" s="384">
        <v>13</v>
      </c>
      <c r="Y65" s="403">
        <v>21</v>
      </c>
      <c r="Z65" s="32">
        <v>78</v>
      </c>
      <c r="AA65" s="410">
        <f t="shared" si="3"/>
        <v>30</v>
      </c>
      <c r="AB65" s="411">
        <f t="shared" si="6"/>
        <v>24.875</v>
      </c>
      <c r="AC65">
        <f t="shared" si="7"/>
        <v>28.272727272727273</v>
      </c>
    </row>
    <row r="66" spans="1:29" ht="15" x14ac:dyDescent="0.25">
      <c r="B66" s="617"/>
      <c r="C66" s="617"/>
      <c r="D66" s="244"/>
      <c r="E66" s="244"/>
      <c r="F66" s="244"/>
      <c r="G66" s="244"/>
      <c r="H66" s="9"/>
      <c r="I66" s="9"/>
      <c r="J66" s="32"/>
      <c r="K66" s="193"/>
      <c r="M66" t="s">
        <v>182</v>
      </c>
      <c r="N66" t="s">
        <v>210</v>
      </c>
      <c r="O66" s="50" t="str">
        <f t="shared" si="0"/>
        <v>MERCANTILE CREEK_Chinook</v>
      </c>
      <c r="Q66">
        <v>20</v>
      </c>
      <c r="X66" s="384"/>
      <c r="Y66" s="403"/>
      <c r="Z66" s="32"/>
      <c r="AA66" s="410" t="e">
        <f t="shared" si="3"/>
        <v>#DIV/0!</v>
      </c>
      <c r="AB66" s="411" t="e">
        <f t="shared" si="6"/>
        <v>#DIV/0!</v>
      </c>
      <c r="AC66">
        <f t="shared" si="7"/>
        <v>20</v>
      </c>
    </row>
    <row r="67" spans="1:29" ht="15" x14ac:dyDescent="0.25">
      <c r="A67">
        <v>2022</v>
      </c>
      <c r="B67" s="617">
        <v>25</v>
      </c>
      <c r="C67" s="617" t="s">
        <v>299</v>
      </c>
      <c r="D67" s="244" t="s">
        <v>147</v>
      </c>
      <c r="E67" s="244" t="s">
        <v>210</v>
      </c>
      <c r="F67" s="244" t="s">
        <v>419</v>
      </c>
      <c r="G67" s="244" t="s">
        <v>452</v>
      </c>
      <c r="H67" s="9" t="s">
        <v>611</v>
      </c>
      <c r="I67" s="9">
        <v>1</v>
      </c>
      <c r="J67" s="32">
        <v>0</v>
      </c>
      <c r="K67" s="193"/>
      <c r="M67" t="s">
        <v>147</v>
      </c>
      <c r="N67" t="s">
        <v>210</v>
      </c>
      <c r="O67" s="50" t="str">
        <f t="shared" si="0"/>
        <v>MOOYAH RIVER_Chinook</v>
      </c>
      <c r="P67">
        <v>0</v>
      </c>
      <c r="X67" s="384"/>
      <c r="Y67" s="403"/>
      <c r="Z67" s="32">
        <v>0</v>
      </c>
      <c r="AA67" s="410">
        <f t="shared" si="3"/>
        <v>0</v>
      </c>
      <c r="AB67" s="411">
        <f t="shared" si="6"/>
        <v>0</v>
      </c>
      <c r="AC67">
        <f t="shared" si="7"/>
        <v>0</v>
      </c>
    </row>
    <row r="68" spans="1:29" ht="15" x14ac:dyDescent="0.25">
      <c r="A68">
        <v>2022</v>
      </c>
      <c r="B68" s="617">
        <v>24</v>
      </c>
      <c r="C68" s="617" t="s">
        <v>297</v>
      </c>
      <c r="D68" s="244" t="s">
        <v>42</v>
      </c>
      <c r="E68" s="244" t="s">
        <v>210</v>
      </c>
      <c r="F68" s="244" t="s">
        <v>419</v>
      </c>
      <c r="G68" s="244" t="s">
        <v>497</v>
      </c>
      <c r="H68" s="9" t="s">
        <v>616</v>
      </c>
      <c r="I68" s="9">
        <v>4</v>
      </c>
      <c r="J68" s="32">
        <v>118</v>
      </c>
      <c r="K68" s="193"/>
      <c r="M68" s="67" t="s">
        <v>42</v>
      </c>
      <c r="N68" t="s">
        <v>210</v>
      </c>
      <c r="O68" s="50" t="str">
        <f t="shared" si="0"/>
        <v>MOYEHA RIVER_Chinook</v>
      </c>
      <c r="Q68">
        <v>5</v>
      </c>
      <c r="R68">
        <v>41</v>
      </c>
      <c r="T68">
        <v>125</v>
      </c>
      <c r="U68">
        <v>122</v>
      </c>
      <c r="V68">
        <v>16</v>
      </c>
      <c r="W68">
        <v>20</v>
      </c>
      <c r="X68" s="384">
        <v>39</v>
      </c>
      <c r="Y68" s="403">
        <v>89</v>
      </c>
      <c r="Z68" s="32">
        <v>118</v>
      </c>
      <c r="AA68" s="410">
        <f t="shared" si="3"/>
        <v>66.5</v>
      </c>
      <c r="AB68" s="411">
        <f t="shared" si="6"/>
        <v>75.571428571428569</v>
      </c>
      <c r="AC68">
        <f t="shared" si="7"/>
        <v>63.888888888888886</v>
      </c>
    </row>
    <row r="69" spans="1:29" ht="15" x14ac:dyDescent="0.25">
      <c r="A69">
        <v>2022</v>
      </c>
      <c r="B69" s="617">
        <v>25</v>
      </c>
      <c r="C69" s="617" t="s">
        <v>299</v>
      </c>
      <c r="D69" s="244" t="s">
        <v>49</v>
      </c>
      <c r="E69" s="244" t="s">
        <v>210</v>
      </c>
      <c r="F69" s="244" t="s">
        <v>419</v>
      </c>
      <c r="G69" s="244" t="s">
        <v>595</v>
      </c>
      <c r="H69" s="9" t="s">
        <v>617</v>
      </c>
      <c r="I69" s="9">
        <v>3</v>
      </c>
      <c r="J69" s="32">
        <v>21</v>
      </c>
      <c r="K69" s="193"/>
      <c r="M69" t="s">
        <v>49</v>
      </c>
      <c r="N69" t="s">
        <v>210</v>
      </c>
      <c r="O69" s="50" t="str">
        <f t="shared" si="0"/>
        <v>MUCHALAT RIVER_Chinook</v>
      </c>
      <c r="W69">
        <v>319</v>
      </c>
      <c r="X69" s="384">
        <v>377</v>
      </c>
      <c r="Y69" s="403">
        <v>457</v>
      </c>
      <c r="Z69" s="32">
        <v>21</v>
      </c>
      <c r="AA69" s="410">
        <f t="shared" si="3"/>
        <v>293.5</v>
      </c>
      <c r="AB69" s="411">
        <f t="shared" si="6"/>
        <v>293.5</v>
      </c>
      <c r="AC69">
        <f t="shared" si="7"/>
        <v>293.5</v>
      </c>
    </row>
    <row r="70" spans="1:29" ht="15" x14ac:dyDescent="0.25">
      <c r="B70" s="617"/>
      <c r="C70" s="617"/>
      <c r="D70" s="244"/>
      <c r="E70" s="244"/>
      <c r="F70" s="244"/>
      <c r="G70" s="244"/>
      <c r="H70" s="9"/>
      <c r="I70" s="9"/>
      <c r="J70" s="32"/>
      <c r="K70" s="193"/>
      <c r="M70" t="s">
        <v>548</v>
      </c>
      <c r="N70" t="s">
        <v>210</v>
      </c>
      <c r="O70" s="50" t="str">
        <f t="shared" si="0"/>
        <v>MURIEL LAKE CREEK_Chinook</v>
      </c>
      <c r="V70">
        <v>0</v>
      </c>
      <c r="X70" s="384">
        <v>0</v>
      </c>
      <c r="Y70" s="403">
        <v>0</v>
      </c>
      <c r="Z70" s="32"/>
      <c r="AA70" s="410">
        <f t="shared" si="3"/>
        <v>0</v>
      </c>
      <c r="AB70" s="411">
        <f t="shared" si="6"/>
        <v>0</v>
      </c>
      <c r="AC70">
        <f t="shared" si="7"/>
        <v>0</v>
      </c>
    </row>
    <row r="71" spans="1:29" ht="15" x14ac:dyDescent="0.25">
      <c r="A71">
        <v>2022</v>
      </c>
      <c r="B71" s="617">
        <v>23</v>
      </c>
      <c r="C71" s="617" t="s">
        <v>355</v>
      </c>
      <c r="D71" s="244" t="s">
        <v>32</v>
      </c>
      <c r="E71" s="244" t="s">
        <v>210</v>
      </c>
      <c r="F71" s="244" t="s">
        <v>419</v>
      </c>
      <c r="G71" s="244" t="s">
        <v>626</v>
      </c>
      <c r="H71" s="9" t="s">
        <v>616</v>
      </c>
      <c r="I71" s="9">
        <v>7</v>
      </c>
      <c r="J71" s="32">
        <v>476</v>
      </c>
      <c r="K71" s="193"/>
      <c r="M71" t="s">
        <v>32</v>
      </c>
      <c r="N71" t="s">
        <v>210</v>
      </c>
      <c r="O71" s="50" t="str">
        <f t="shared" si="0"/>
        <v>NAHMINT RIVER_Chinook</v>
      </c>
      <c r="P71">
        <v>95</v>
      </c>
      <c r="Q71">
        <v>67</v>
      </c>
      <c r="R71">
        <v>42</v>
      </c>
      <c r="S71">
        <v>293</v>
      </c>
      <c r="T71">
        <v>495</v>
      </c>
      <c r="U71">
        <v>79</v>
      </c>
      <c r="V71">
        <v>115</v>
      </c>
      <c r="W71">
        <v>443</v>
      </c>
      <c r="X71" s="384">
        <v>666</v>
      </c>
      <c r="Y71" s="403">
        <v>170</v>
      </c>
      <c r="Z71" s="32">
        <v>476</v>
      </c>
      <c r="AA71" s="410">
        <f t="shared" si="3"/>
        <v>438.75</v>
      </c>
      <c r="AB71" s="411">
        <f t="shared" si="6"/>
        <v>342.125</v>
      </c>
      <c r="AC71">
        <f t="shared" si="7"/>
        <v>267.36363636363637</v>
      </c>
    </row>
    <row r="72" spans="1:29" ht="15" x14ac:dyDescent="0.25">
      <c r="B72" s="617"/>
      <c r="C72" s="617"/>
      <c r="D72" s="244"/>
      <c r="E72" s="244"/>
      <c r="F72" s="244"/>
      <c r="G72" s="244"/>
      <c r="H72" s="9"/>
      <c r="I72" s="9"/>
      <c r="J72" s="32"/>
      <c r="K72" s="193"/>
      <c r="M72" t="s">
        <v>65</v>
      </c>
      <c r="N72" t="s">
        <v>210</v>
      </c>
      <c r="O72" s="50" t="str">
        <f t="shared" si="0"/>
        <v>NARROWGUT CREEK_Chinook</v>
      </c>
      <c r="P72">
        <v>1</v>
      </c>
      <c r="Q72">
        <v>3</v>
      </c>
      <c r="R72">
        <v>0</v>
      </c>
      <c r="S72">
        <v>0</v>
      </c>
      <c r="X72" s="384"/>
      <c r="Y72" s="403"/>
      <c r="Z72" s="32"/>
      <c r="AA72" s="410" t="e">
        <f t="shared" si="3"/>
        <v>#DIV/0!</v>
      </c>
      <c r="AB72" s="411">
        <f t="shared" si="6"/>
        <v>0</v>
      </c>
      <c r="AC72">
        <f t="shared" si="7"/>
        <v>1</v>
      </c>
    </row>
    <row r="73" spans="1:29" ht="18" x14ac:dyDescent="0.25">
      <c r="A73">
        <v>2022</v>
      </c>
      <c r="B73" s="617">
        <v>22</v>
      </c>
      <c r="C73" s="617" t="s">
        <v>304</v>
      </c>
      <c r="D73" s="244" t="s">
        <v>26</v>
      </c>
      <c r="E73" s="244" t="s">
        <v>210</v>
      </c>
      <c r="F73" s="244" t="s">
        <v>419</v>
      </c>
      <c r="G73" s="244" t="s">
        <v>494</v>
      </c>
      <c r="H73" s="9" t="s">
        <v>615</v>
      </c>
      <c r="I73" s="9">
        <v>6</v>
      </c>
      <c r="J73" s="32">
        <v>5644</v>
      </c>
      <c r="K73" s="193"/>
      <c r="M73" t="s">
        <v>26</v>
      </c>
      <c r="N73" t="s">
        <v>210</v>
      </c>
      <c r="O73" s="50" t="str">
        <f t="shared" ref="O73:O136" si="8">CONCATENATE(M73,"_",N73)</f>
        <v>NITINAT RIVER_Chinook</v>
      </c>
      <c r="P73">
        <v>5000</v>
      </c>
      <c r="R73">
        <v>5377</v>
      </c>
      <c r="S73">
        <v>10000</v>
      </c>
      <c r="T73">
        <v>6004</v>
      </c>
      <c r="U73">
        <v>13748</v>
      </c>
      <c r="V73">
        <v>22059</v>
      </c>
      <c r="W73">
        <v>13151</v>
      </c>
      <c r="X73" s="384">
        <v>9478</v>
      </c>
      <c r="Y73" s="403">
        <v>8959</v>
      </c>
      <c r="Z73" s="32">
        <v>5644</v>
      </c>
      <c r="AA73" s="410">
        <f t="shared" si="3"/>
        <v>9308</v>
      </c>
      <c r="AB73" s="411">
        <f t="shared" si="6"/>
        <v>11130.375</v>
      </c>
      <c r="AC73">
        <f t="shared" si="7"/>
        <v>9942</v>
      </c>
    </row>
    <row r="74" spans="1:29" ht="15" x14ac:dyDescent="0.25">
      <c r="A74">
        <v>2022</v>
      </c>
      <c r="B74" s="617">
        <v>25</v>
      </c>
      <c r="C74" s="617" t="s">
        <v>299</v>
      </c>
      <c r="D74" s="244" t="s">
        <v>50</v>
      </c>
      <c r="E74" s="244" t="s">
        <v>210</v>
      </c>
      <c r="F74" s="244" t="s">
        <v>419</v>
      </c>
      <c r="G74" s="244" t="s">
        <v>595</v>
      </c>
      <c r="H74" s="9" t="s">
        <v>617</v>
      </c>
      <c r="I74" s="9">
        <v>1</v>
      </c>
      <c r="J74" s="32">
        <v>0</v>
      </c>
      <c r="K74" s="193"/>
      <c r="M74" t="s">
        <v>50</v>
      </c>
      <c r="N74" t="s">
        <v>210</v>
      </c>
      <c r="O74" s="50" t="str">
        <f t="shared" si="8"/>
        <v>OKTWANCH RIVER_Chinook</v>
      </c>
      <c r="S74">
        <v>52</v>
      </c>
      <c r="T74">
        <v>8</v>
      </c>
      <c r="U74">
        <v>38</v>
      </c>
      <c r="W74">
        <v>24</v>
      </c>
      <c r="X74" s="384">
        <v>98</v>
      </c>
      <c r="Y74" s="403">
        <v>227</v>
      </c>
      <c r="Z74" s="32">
        <v>0</v>
      </c>
      <c r="AA74" s="410">
        <f t="shared" ref="AA74:AA137" si="9">AVERAGE(W74:Z74)</f>
        <v>87.25</v>
      </c>
      <c r="AB74" s="411">
        <f t="shared" si="6"/>
        <v>63.857142857142854</v>
      </c>
      <c r="AC74">
        <f t="shared" si="7"/>
        <v>63.857142857142854</v>
      </c>
    </row>
    <row r="75" spans="1:29" ht="15" x14ac:dyDescent="0.25">
      <c r="B75" s="617"/>
      <c r="C75" s="617"/>
      <c r="D75" s="244"/>
      <c r="E75" s="244"/>
      <c r="F75" s="244"/>
      <c r="G75" s="244"/>
      <c r="H75" s="9"/>
      <c r="I75" s="9"/>
      <c r="J75" s="32"/>
      <c r="K75" s="193"/>
      <c r="M75" s="407" t="s">
        <v>230</v>
      </c>
      <c r="N75" t="s">
        <v>210</v>
      </c>
      <c r="O75" s="50" t="str">
        <f t="shared" si="8"/>
        <v>OUOUKINSH RIVER_Chinook</v>
      </c>
      <c r="X75" s="384">
        <v>27</v>
      </c>
      <c r="Y75" s="403"/>
      <c r="Z75" s="32"/>
      <c r="AA75" s="410">
        <f t="shared" si="9"/>
        <v>27</v>
      </c>
      <c r="AB75" s="411">
        <f t="shared" si="6"/>
        <v>27</v>
      </c>
      <c r="AC75">
        <f t="shared" si="7"/>
        <v>27</v>
      </c>
    </row>
    <row r="76" spans="1:29" ht="15" x14ac:dyDescent="0.25">
      <c r="B76" s="617"/>
      <c r="C76" s="617"/>
      <c r="D76" s="244"/>
      <c r="E76" s="244"/>
      <c r="F76" s="244"/>
      <c r="G76" s="244"/>
      <c r="H76" s="9"/>
      <c r="I76" s="9"/>
      <c r="J76" s="32"/>
      <c r="K76" s="193"/>
      <c r="M76" t="s">
        <v>148</v>
      </c>
      <c r="N76" t="s">
        <v>210</v>
      </c>
      <c r="O76" s="50" t="str">
        <f t="shared" si="8"/>
        <v>PARK RIVER_Chinook</v>
      </c>
      <c r="P76">
        <v>0</v>
      </c>
      <c r="R76">
        <v>0</v>
      </c>
      <c r="S76">
        <v>0</v>
      </c>
      <c r="T76">
        <v>0</v>
      </c>
      <c r="X76" s="384">
        <v>0</v>
      </c>
      <c r="Y76" s="403">
        <v>2</v>
      </c>
      <c r="Z76" s="32"/>
      <c r="AA76" s="410">
        <f t="shared" si="9"/>
        <v>1</v>
      </c>
      <c r="AB76" s="411">
        <f t="shared" si="6"/>
        <v>0.5</v>
      </c>
      <c r="AC76">
        <f t="shared" si="7"/>
        <v>0.33333333333333331</v>
      </c>
    </row>
    <row r="77" spans="1:29" ht="15" x14ac:dyDescent="0.25">
      <c r="B77" s="617"/>
      <c r="C77" s="617"/>
      <c r="D77" s="244"/>
      <c r="E77" s="244"/>
      <c r="F77" s="244"/>
      <c r="G77" s="244"/>
      <c r="H77" s="9"/>
      <c r="I77" s="9"/>
      <c r="J77" s="32"/>
      <c r="K77" s="193"/>
      <c r="M77" t="s">
        <v>549</v>
      </c>
      <c r="N77" t="s">
        <v>210</v>
      </c>
      <c r="O77" s="50" t="str">
        <f t="shared" si="8"/>
        <v>POWER RIVER_Chinook</v>
      </c>
      <c r="W77">
        <v>0</v>
      </c>
      <c r="X77" s="384">
        <v>2</v>
      </c>
      <c r="Y77" s="403"/>
      <c r="Z77" s="32"/>
      <c r="AA77" s="410">
        <f t="shared" si="9"/>
        <v>1</v>
      </c>
      <c r="AB77" s="411">
        <f t="shared" si="6"/>
        <v>1</v>
      </c>
      <c r="AC77">
        <f t="shared" si="7"/>
        <v>1</v>
      </c>
    </row>
    <row r="78" spans="1:29" ht="18" x14ac:dyDescent="0.25">
      <c r="A78">
        <v>2022</v>
      </c>
      <c r="B78" s="617">
        <v>20</v>
      </c>
      <c r="C78" s="617" t="s">
        <v>291</v>
      </c>
      <c r="D78" s="244" t="s">
        <v>74</v>
      </c>
      <c r="E78" s="244" t="s">
        <v>210</v>
      </c>
      <c r="F78" s="244" t="s">
        <v>419</v>
      </c>
      <c r="G78" s="244" t="s">
        <v>370</v>
      </c>
      <c r="H78" s="9" t="s">
        <v>615</v>
      </c>
      <c r="I78" s="9">
        <v>1</v>
      </c>
      <c r="J78" s="32">
        <v>1</v>
      </c>
      <c r="K78" s="193"/>
      <c r="M78" t="s">
        <v>74</v>
      </c>
      <c r="N78" t="s">
        <v>210</v>
      </c>
      <c r="O78" s="50" t="str">
        <f t="shared" si="8"/>
        <v>RENFREW CREEK_Chinook</v>
      </c>
      <c r="Q78">
        <v>13</v>
      </c>
      <c r="R78">
        <v>10</v>
      </c>
      <c r="S78">
        <v>10</v>
      </c>
      <c r="T78">
        <v>0</v>
      </c>
      <c r="U78">
        <v>21</v>
      </c>
      <c r="V78">
        <v>16</v>
      </c>
      <c r="W78">
        <v>146</v>
      </c>
      <c r="X78" s="384"/>
      <c r="Y78" s="403"/>
      <c r="Z78" s="32">
        <v>1</v>
      </c>
      <c r="AA78" s="410">
        <f t="shared" si="9"/>
        <v>73.5</v>
      </c>
      <c r="AB78" s="411">
        <f t="shared" si="6"/>
        <v>32.333333333333336</v>
      </c>
      <c r="AC78">
        <f t="shared" si="7"/>
        <v>27.125</v>
      </c>
    </row>
    <row r="79" spans="1:29" ht="15" x14ac:dyDescent="0.25">
      <c r="A79">
        <v>2022</v>
      </c>
      <c r="B79" s="617">
        <v>20</v>
      </c>
      <c r="C79" s="617" t="s">
        <v>291</v>
      </c>
      <c r="D79" s="244" t="s">
        <v>22</v>
      </c>
      <c r="E79" s="244" t="s">
        <v>210</v>
      </c>
      <c r="F79" s="244" t="s">
        <v>420</v>
      </c>
      <c r="G79" s="244" t="s">
        <v>530</v>
      </c>
      <c r="H79" s="9" t="s">
        <v>617</v>
      </c>
      <c r="I79" s="9">
        <v>8</v>
      </c>
      <c r="J79" s="32">
        <v>592</v>
      </c>
      <c r="K79" s="193"/>
      <c r="M79" t="s">
        <v>22</v>
      </c>
      <c r="N79" t="s">
        <v>210</v>
      </c>
      <c r="O79" s="50" t="str">
        <f t="shared" si="8"/>
        <v>SAN JUAN RIVER_Chinook</v>
      </c>
      <c r="P79">
        <v>622</v>
      </c>
      <c r="Q79">
        <v>699</v>
      </c>
      <c r="R79">
        <v>4007</v>
      </c>
      <c r="S79">
        <v>1033</v>
      </c>
      <c r="T79">
        <v>1219</v>
      </c>
      <c r="U79">
        <v>1040</v>
      </c>
      <c r="V79">
        <v>464</v>
      </c>
      <c r="W79">
        <v>788</v>
      </c>
      <c r="X79" s="384"/>
      <c r="Y79" s="403">
        <v>715</v>
      </c>
      <c r="Z79" s="32">
        <v>592</v>
      </c>
      <c r="AA79" s="410">
        <f t="shared" si="9"/>
        <v>698.33333333333337</v>
      </c>
      <c r="AB79" s="411">
        <f t="shared" si="6"/>
        <v>835.85714285714289</v>
      </c>
      <c r="AC79">
        <f t="shared" si="7"/>
        <v>1117.9000000000001</v>
      </c>
    </row>
    <row r="80" spans="1:29" ht="15" x14ac:dyDescent="0.25">
      <c r="A80">
        <v>2022</v>
      </c>
      <c r="B80" s="617">
        <v>24</v>
      </c>
      <c r="C80" s="617" t="s">
        <v>296</v>
      </c>
      <c r="D80" s="244" t="s">
        <v>128</v>
      </c>
      <c r="E80" s="244" t="s">
        <v>210</v>
      </c>
      <c r="F80" s="244" t="s">
        <v>419</v>
      </c>
      <c r="G80" s="244" t="s">
        <v>626</v>
      </c>
      <c r="H80" s="9" t="s">
        <v>618</v>
      </c>
      <c r="I80" s="9">
        <v>1</v>
      </c>
      <c r="J80" s="32">
        <v>0</v>
      </c>
      <c r="K80" s="193"/>
      <c r="M80" t="s">
        <v>128</v>
      </c>
      <c r="N80" t="s">
        <v>210</v>
      </c>
      <c r="O80" s="50" t="str">
        <f t="shared" si="8"/>
        <v>SAND RIVER_Chinook</v>
      </c>
      <c r="S80">
        <v>1</v>
      </c>
      <c r="V80">
        <v>0</v>
      </c>
      <c r="X80" s="384">
        <v>1</v>
      </c>
      <c r="Y80" s="403"/>
      <c r="Z80" s="32">
        <v>0</v>
      </c>
      <c r="AA80" s="410">
        <f t="shared" si="9"/>
        <v>0.5</v>
      </c>
      <c r="AB80" s="411">
        <f t="shared" si="6"/>
        <v>0.5</v>
      </c>
      <c r="AC80">
        <f t="shared" si="7"/>
        <v>0.5</v>
      </c>
    </row>
    <row r="81" spans="1:29" ht="15" x14ac:dyDescent="0.25">
      <c r="A81">
        <v>2022</v>
      </c>
      <c r="B81" s="617">
        <v>23</v>
      </c>
      <c r="C81" s="617" t="s">
        <v>293</v>
      </c>
      <c r="D81" s="244" t="s">
        <v>33</v>
      </c>
      <c r="E81" s="244" t="s">
        <v>210</v>
      </c>
      <c r="F81" s="244" t="s">
        <v>419</v>
      </c>
      <c r="G81" s="244" t="s">
        <v>374</v>
      </c>
      <c r="H81" s="9" t="s">
        <v>616</v>
      </c>
      <c r="I81" s="9">
        <v>12</v>
      </c>
      <c r="J81" s="32">
        <v>2201</v>
      </c>
      <c r="K81" s="193"/>
      <c r="M81" t="s">
        <v>33</v>
      </c>
      <c r="N81" t="s">
        <v>210</v>
      </c>
      <c r="O81" s="50" t="str">
        <f t="shared" si="8"/>
        <v>SARITA RIVER_Chinook</v>
      </c>
      <c r="P81">
        <v>660</v>
      </c>
      <c r="Q81">
        <v>704</v>
      </c>
      <c r="R81">
        <v>181</v>
      </c>
      <c r="S81">
        <v>1527</v>
      </c>
      <c r="T81">
        <v>1296</v>
      </c>
      <c r="U81">
        <v>1460</v>
      </c>
      <c r="V81">
        <v>898</v>
      </c>
      <c r="W81">
        <v>1015</v>
      </c>
      <c r="X81" s="384">
        <v>1442</v>
      </c>
      <c r="Y81" s="403">
        <v>1733</v>
      </c>
      <c r="Z81" s="32">
        <v>2201</v>
      </c>
      <c r="AA81" s="410">
        <f t="shared" si="9"/>
        <v>1597.75</v>
      </c>
      <c r="AB81" s="411">
        <f t="shared" si="6"/>
        <v>1446.5</v>
      </c>
      <c r="AC81">
        <f t="shared" si="7"/>
        <v>1192.4545454545455</v>
      </c>
    </row>
    <row r="82" spans="1:29" ht="15" x14ac:dyDescent="0.25">
      <c r="B82" s="617"/>
      <c r="C82" s="617"/>
      <c r="D82" s="244"/>
      <c r="E82" s="244"/>
      <c r="F82" s="244"/>
      <c r="G82" s="244"/>
      <c r="H82" s="9"/>
      <c r="I82" s="9"/>
      <c r="J82" s="32"/>
      <c r="K82" s="193"/>
      <c r="M82" t="s">
        <v>552</v>
      </c>
      <c r="N82" t="s">
        <v>210</v>
      </c>
      <c r="O82" s="50" t="str">
        <f t="shared" si="8"/>
        <v>SATCHIE CREEK_Chinook</v>
      </c>
      <c r="V82">
        <v>0</v>
      </c>
      <c r="X82" s="384"/>
      <c r="Y82" s="403"/>
      <c r="Z82" s="32"/>
      <c r="AA82" s="410" t="e">
        <f t="shared" si="9"/>
        <v>#DIV/0!</v>
      </c>
      <c r="AB82" s="411">
        <f t="shared" si="6"/>
        <v>0</v>
      </c>
      <c r="AC82">
        <f t="shared" si="7"/>
        <v>0</v>
      </c>
    </row>
    <row r="83" spans="1:29" ht="18" x14ac:dyDescent="0.25">
      <c r="A83">
        <v>2022</v>
      </c>
      <c r="B83" s="617">
        <v>23</v>
      </c>
      <c r="C83" s="617" t="s">
        <v>305</v>
      </c>
      <c r="D83" s="244" t="s">
        <v>186</v>
      </c>
      <c r="E83" s="244" t="s">
        <v>210</v>
      </c>
      <c r="F83" s="244" t="s">
        <v>419</v>
      </c>
      <c r="G83" s="244" t="s">
        <v>289</v>
      </c>
      <c r="H83" s="9" t="s">
        <v>615</v>
      </c>
      <c r="I83" s="9">
        <v>2</v>
      </c>
      <c r="J83" s="32">
        <v>0</v>
      </c>
      <c r="K83" s="193"/>
      <c r="M83" t="s">
        <v>186</v>
      </c>
      <c r="N83" t="s">
        <v>210</v>
      </c>
      <c r="O83" s="50" t="str">
        <f t="shared" si="8"/>
        <v>SMITH CREEK_Chinook</v>
      </c>
      <c r="Q83">
        <v>0</v>
      </c>
      <c r="W83">
        <v>0</v>
      </c>
      <c r="X83" s="384">
        <v>0</v>
      </c>
      <c r="Y83" s="403">
        <v>0</v>
      </c>
      <c r="Z83" s="32">
        <v>0</v>
      </c>
      <c r="AA83" s="410">
        <f t="shared" si="9"/>
        <v>0</v>
      </c>
      <c r="AB83" s="411">
        <f t="shared" si="6"/>
        <v>0</v>
      </c>
      <c r="AC83">
        <f t="shared" si="7"/>
        <v>0</v>
      </c>
    </row>
    <row r="84" spans="1:29" ht="15" x14ac:dyDescent="0.25">
      <c r="B84" s="617"/>
      <c r="C84" s="617"/>
      <c r="D84" s="244"/>
      <c r="E84" s="244"/>
      <c r="F84" s="244"/>
      <c r="G84" s="244"/>
      <c r="H84" s="9"/>
      <c r="I84" s="9"/>
      <c r="J84" s="32"/>
      <c r="K84" s="193"/>
      <c r="M84" t="s">
        <v>34</v>
      </c>
      <c r="N84" t="s">
        <v>210</v>
      </c>
      <c r="O84" s="50" t="str">
        <f t="shared" si="8"/>
        <v>SPROAT RIVER_Chinook</v>
      </c>
      <c r="S84">
        <v>513</v>
      </c>
      <c r="U84">
        <v>280</v>
      </c>
      <c r="X84" s="384"/>
      <c r="Y84" s="403">
        <v>0</v>
      </c>
      <c r="Z84" s="32"/>
      <c r="AA84" s="410">
        <f t="shared" si="9"/>
        <v>0</v>
      </c>
      <c r="AB84" s="411">
        <f t="shared" si="6"/>
        <v>264.33333333333331</v>
      </c>
      <c r="AC84">
        <f t="shared" si="7"/>
        <v>264.33333333333331</v>
      </c>
    </row>
    <row r="85" spans="1:29" ht="15" x14ac:dyDescent="0.25">
      <c r="B85" s="617"/>
      <c r="C85" s="617"/>
      <c r="D85" s="244"/>
      <c r="E85" s="244"/>
      <c r="F85" s="244"/>
      <c r="G85" s="244"/>
      <c r="H85" s="9"/>
      <c r="I85" s="9"/>
      <c r="J85" s="32"/>
      <c r="K85" s="193"/>
      <c r="M85" t="s">
        <v>51</v>
      </c>
      <c r="N85" t="s">
        <v>210</v>
      </c>
      <c r="O85" s="50" t="str">
        <f t="shared" si="8"/>
        <v>SUCWOA RIVER_Chinook</v>
      </c>
      <c r="P85">
        <v>30</v>
      </c>
      <c r="Q85">
        <v>0</v>
      </c>
      <c r="X85" s="384"/>
      <c r="Y85" s="403"/>
      <c r="Z85" s="32"/>
      <c r="AA85" s="410" t="e">
        <f t="shared" si="9"/>
        <v>#DIV/0!</v>
      </c>
      <c r="AB85" s="411" t="e">
        <f t="shared" si="6"/>
        <v>#DIV/0!</v>
      </c>
      <c r="AC85">
        <f t="shared" si="7"/>
        <v>15</v>
      </c>
    </row>
    <row r="86" spans="1:29" ht="15" x14ac:dyDescent="0.25">
      <c r="B86" s="617"/>
      <c r="C86" s="617"/>
      <c r="D86" s="244"/>
      <c r="E86" s="244"/>
      <c r="F86" s="244"/>
      <c r="G86" s="244"/>
      <c r="H86" s="9"/>
      <c r="I86" s="9"/>
      <c r="J86" s="32"/>
      <c r="K86" s="193"/>
      <c r="M86" t="s">
        <v>105</v>
      </c>
      <c r="N86" t="s">
        <v>210</v>
      </c>
      <c r="O86" s="50" t="str">
        <f t="shared" si="8"/>
        <v>SUGSAW CREEK_Chinook</v>
      </c>
      <c r="P86">
        <v>0</v>
      </c>
      <c r="W86">
        <v>0</v>
      </c>
      <c r="X86" s="384">
        <v>0</v>
      </c>
      <c r="Y86" s="403">
        <v>0</v>
      </c>
      <c r="Z86" s="32"/>
      <c r="AA86" s="410">
        <f t="shared" si="9"/>
        <v>0</v>
      </c>
      <c r="AB86" s="411">
        <f t="shared" si="6"/>
        <v>0</v>
      </c>
      <c r="AC86">
        <f t="shared" si="7"/>
        <v>0</v>
      </c>
    </row>
    <row r="87" spans="1:29" ht="15" x14ac:dyDescent="0.25">
      <c r="B87" s="617"/>
      <c r="C87" s="617"/>
      <c r="D87" s="244"/>
      <c r="E87" s="244"/>
      <c r="F87" s="244"/>
      <c r="G87" s="244"/>
      <c r="H87" s="9"/>
      <c r="I87" s="9"/>
      <c r="J87" s="32"/>
      <c r="K87" s="193"/>
      <c r="M87" t="s">
        <v>130</v>
      </c>
      <c r="N87" t="s">
        <v>210</v>
      </c>
      <c r="O87" s="50" t="str">
        <f t="shared" si="8"/>
        <v>SYDNEY RIVER_Chinook</v>
      </c>
      <c r="S87">
        <v>0</v>
      </c>
      <c r="V87">
        <v>0</v>
      </c>
      <c r="X87" s="384"/>
      <c r="Y87" s="403"/>
      <c r="Z87" s="32"/>
      <c r="AA87" s="410" t="e">
        <f t="shared" si="9"/>
        <v>#DIV/0!</v>
      </c>
      <c r="AB87" s="411">
        <f t="shared" si="6"/>
        <v>0</v>
      </c>
      <c r="AC87">
        <f t="shared" si="7"/>
        <v>0</v>
      </c>
    </row>
    <row r="88" spans="1:29" ht="18" x14ac:dyDescent="0.25">
      <c r="A88">
        <v>2022</v>
      </c>
      <c r="B88" s="617">
        <v>25</v>
      </c>
      <c r="C88" s="617" t="s">
        <v>299</v>
      </c>
      <c r="D88" s="244" t="s">
        <v>52</v>
      </c>
      <c r="E88" s="244" t="s">
        <v>210</v>
      </c>
      <c r="F88" s="244" t="s">
        <v>419</v>
      </c>
      <c r="G88" s="244" t="s">
        <v>495</v>
      </c>
      <c r="H88" s="9" t="s">
        <v>615</v>
      </c>
      <c r="I88" s="9">
        <v>5</v>
      </c>
      <c r="J88" s="32">
        <v>119</v>
      </c>
      <c r="K88" s="193"/>
      <c r="M88" t="s">
        <v>52</v>
      </c>
      <c r="N88" t="s">
        <v>210</v>
      </c>
      <c r="O88" s="50" t="str">
        <f t="shared" si="8"/>
        <v>TAHSIS RIVER_Chinook</v>
      </c>
      <c r="P88">
        <v>109</v>
      </c>
      <c r="Q88">
        <v>470</v>
      </c>
      <c r="R88">
        <v>73</v>
      </c>
      <c r="S88">
        <v>230</v>
      </c>
      <c r="T88">
        <v>187</v>
      </c>
      <c r="U88">
        <v>335</v>
      </c>
      <c r="V88">
        <v>882</v>
      </c>
      <c r="W88">
        <v>1171</v>
      </c>
      <c r="X88" s="384">
        <v>711</v>
      </c>
      <c r="Y88" s="403">
        <v>1061</v>
      </c>
      <c r="Z88" s="32">
        <v>119</v>
      </c>
      <c r="AA88" s="410">
        <f t="shared" si="9"/>
        <v>765.5</v>
      </c>
      <c r="AB88" s="411">
        <f t="shared" si="6"/>
        <v>587</v>
      </c>
      <c r="AC88">
        <f t="shared" si="7"/>
        <v>486.18181818181819</v>
      </c>
    </row>
    <row r="89" spans="1:29" ht="15" x14ac:dyDescent="0.25">
      <c r="A89">
        <v>2022</v>
      </c>
      <c r="B89" s="617">
        <v>26</v>
      </c>
      <c r="C89" s="617" t="s">
        <v>301</v>
      </c>
      <c r="D89" s="244" t="s">
        <v>66</v>
      </c>
      <c r="E89" s="244" t="s">
        <v>210</v>
      </c>
      <c r="F89" s="244" t="s">
        <v>419</v>
      </c>
      <c r="G89" s="244" t="s">
        <v>292</v>
      </c>
      <c r="H89" s="9" t="s">
        <v>617</v>
      </c>
      <c r="I89" s="9">
        <v>5</v>
      </c>
      <c r="J89" s="32">
        <v>820</v>
      </c>
      <c r="K89" s="193"/>
      <c r="M89" t="s">
        <v>66</v>
      </c>
      <c r="N89" t="s">
        <v>210</v>
      </c>
      <c r="O89" s="50" t="str">
        <f t="shared" si="8"/>
        <v>TAHSISH RIVER_Chinook</v>
      </c>
      <c r="P89">
        <v>79</v>
      </c>
      <c r="Q89">
        <v>147</v>
      </c>
      <c r="R89">
        <v>511</v>
      </c>
      <c r="S89">
        <v>440</v>
      </c>
      <c r="T89">
        <v>331</v>
      </c>
      <c r="U89">
        <v>837</v>
      </c>
      <c r="V89">
        <v>621</v>
      </c>
      <c r="W89">
        <v>545</v>
      </c>
      <c r="X89" s="384">
        <v>555</v>
      </c>
      <c r="Y89" s="403">
        <v>1102</v>
      </c>
      <c r="Z89" s="32">
        <v>820</v>
      </c>
      <c r="AA89" s="410">
        <f t="shared" si="9"/>
        <v>755.5</v>
      </c>
      <c r="AB89" s="411">
        <f t="shared" si="6"/>
        <v>656.375</v>
      </c>
      <c r="AC89">
        <f t="shared" si="7"/>
        <v>544.36363636363637</v>
      </c>
    </row>
    <row r="90" spans="1:29" ht="18" x14ac:dyDescent="0.25">
      <c r="A90">
        <v>2022</v>
      </c>
      <c r="B90" s="617">
        <v>23</v>
      </c>
      <c r="C90" s="617" t="s">
        <v>305</v>
      </c>
      <c r="D90" s="244" t="s">
        <v>107</v>
      </c>
      <c r="E90" s="244" t="s">
        <v>210</v>
      </c>
      <c r="F90" s="244" t="s">
        <v>419</v>
      </c>
      <c r="G90" s="244" t="s">
        <v>289</v>
      </c>
      <c r="H90" s="9" t="s">
        <v>610</v>
      </c>
      <c r="I90" s="9">
        <v>1</v>
      </c>
      <c r="J90" s="32">
        <v>219</v>
      </c>
      <c r="K90" s="193"/>
      <c r="M90" t="s">
        <v>107</v>
      </c>
      <c r="N90" t="s">
        <v>210</v>
      </c>
      <c r="O90" s="50" t="str">
        <f t="shared" si="8"/>
        <v>THORNTON CREEK_Chinook</v>
      </c>
      <c r="Q90">
        <v>1600</v>
      </c>
      <c r="X90" s="384"/>
      <c r="Y90" s="403"/>
      <c r="Z90" s="32">
        <v>219</v>
      </c>
      <c r="AA90" s="410">
        <f t="shared" si="9"/>
        <v>219</v>
      </c>
      <c r="AB90" s="411">
        <f t="shared" si="6"/>
        <v>219</v>
      </c>
      <c r="AC90">
        <f t="shared" si="7"/>
        <v>909.5</v>
      </c>
    </row>
    <row r="91" spans="1:29" ht="15" x14ac:dyDescent="0.25">
      <c r="B91" s="617"/>
      <c r="C91" s="617"/>
      <c r="D91" s="244"/>
      <c r="E91" s="244"/>
      <c r="F91" s="244"/>
      <c r="G91" s="244"/>
      <c r="H91" s="9"/>
      <c r="I91" s="9"/>
      <c r="J91" s="32"/>
      <c r="K91" s="193"/>
      <c r="M91" t="s">
        <v>53</v>
      </c>
      <c r="N91" t="s">
        <v>210</v>
      </c>
      <c r="O91" s="50" t="str">
        <f t="shared" si="8"/>
        <v>TLUPANA RIVER_Chinook</v>
      </c>
      <c r="P91">
        <v>30</v>
      </c>
      <c r="Q91">
        <v>163</v>
      </c>
      <c r="S91">
        <v>502</v>
      </c>
      <c r="T91">
        <v>0</v>
      </c>
      <c r="W91">
        <v>20</v>
      </c>
      <c r="X91" s="384">
        <v>12</v>
      </c>
      <c r="Y91" s="403"/>
      <c r="Z91" s="32"/>
      <c r="AA91" s="410">
        <f t="shared" si="9"/>
        <v>16</v>
      </c>
      <c r="AB91" s="411">
        <f t="shared" si="6"/>
        <v>133.5</v>
      </c>
      <c r="AC91">
        <f t="shared" si="7"/>
        <v>121.16666666666667</v>
      </c>
    </row>
    <row r="92" spans="1:29" ht="15" x14ac:dyDescent="0.25">
      <c r="B92" s="617"/>
      <c r="C92" s="617"/>
      <c r="D92" s="244"/>
      <c r="E92" s="244"/>
      <c r="F92" s="244"/>
      <c r="G92" s="244"/>
      <c r="H92" s="9"/>
      <c r="I92" s="9"/>
      <c r="J92" s="32"/>
      <c r="K92" s="193"/>
      <c r="M92" t="s">
        <v>131</v>
      </c>
      <c r="N92" t="s">
        <v>210</v>
      </c>
      <c r="O92" s="50" t="str">
        <f t="shared" si="8"/>
        <v>TOFINO CREEK_Chinook</v>
      </c>
      <c r="Q92">
        <v>2</v>
      </c>
      <c r="U92">
        <v>0</v>
      </c>
      <c r="V92">
        <v>1</v>
      </c>
      <c r="W92">
        <v>2</v>
      </c>
      <c r="X92" s="384"/>
      <c r="Y92" s="403"/>
      <c r="Z92" s="32"/>
      <c r="AA92" s="410">
        <f t="shared" si="9"/>
        <v>2</v>
      </c>
      <c r="AB92" s="411">
        <f t="shared" si="6"/>
        <v>1</v>
      </c>
      <c r="AC92">
        <f t="shared" si="7"/>
        <v>1.25</v>
      </c>
    </row>
    <row r="93" spans="1:29" ht="18" x14ac:dyDescent="0.25">
      <c r="A93">
        <v>2022</v>
      </c>
      <c r="B93" s="617">
        <v>23</v>
      </c>
      <c r="C93" s="617" t="s">
        <v>295</v>
      </c>
      <c r="D93" s="244" t="s">
        <v>288</v>
      </c>
      <c r="E93" s="244" t="s">
        <v>210</v>
      </c>
      <c r="F93" s="244" t="s">
        <v>419</v>
      </c>
      <c r="G93" s="244" t="s">
        <v>289</v>
      </c>
      <c r="H93" s="9" t="s">
        <v>615</v>
      </c>
      <c r="I93" s="9">
        <v>3</v>
      </c>
      <c r="J93" s="32">
        <v>19</v>
      </c>
      <c r="K93" s="193"/>
      <c r="M93" t="s">
        <v>555</v>
      </c>
      <c r="N93" t="s">
        <v>210</v>
      </c>
      <c r="O93" s="50" t="str">
        <f t="shared" si="8"/>
        <v>TOQUART RIVER_Chinook</v>
      </c>
      <c r="P93">
        <v>273</v>
      </c>
      <c r="Q93">
        <v>224</v>
      </c>
      <c r="R93">
        <v>145</v>
      </c>
      <c r="S93">
        <v>269</v>
      </c>
      <c r="T93">
        <v>153</v>
      </c>
      <c r="U93">
        <v>172</v>
      </c>
      <c r="V93">
        <v>58</v>
      </c>
      <c r="W93">
        <v>45</v>
      </c>
      <c r="X93" s="384">
        <v>89</v>
      </c>
      <c r="Y93" s="403">
        <v>17</v>
      </c>
      <c r="Z93" s="32">
        <v>19</v>
      </c>
      <c r="AA93" s="410">
        <f t="shared" si="9"/>
        <v>42.5</v>
      </c>
      <c r="AB93" s="411">
        <f t="shared" si="6"/>
        <v>102.75</v>
      </c>
      <c r="AC93">
        <f t="shared" si="7"/>
        <v>133.09090909090909</v>
      </c>
    </row>
    <row r="94" spans="1:29" ht="15" x14ac:dyDescent="0.25">
      <c r="A94">
        <v>2022</v>
      </c>
      <c r="B94" s="617">
        <v>24</v>
      </c>
      <c r="C94" s="617" t="s">
        <v>296</v>
      </c>
      <c r="D94" s="244" t="s">
        <v>43</v>
      </c>
      <c r="E94" s="244" t="s">
        <v>210</v>
      </c>
      <c r="F94" s="244" t="s">
        <v>419</v>
      </c>
      <c r="G94" s="244" t="s">
        <v>497</v>
      </c>
      <c r="H94" s="9" t="s">
        <v>616</v>
      </c>
      <c r="I94" s="9">
        <v>7</v>
      </c>
      <c r="J94" s="32">
        <v>24</v>
      </c>
      <c r="K94" s="193"/>
      <c r="M94" t="s">
        <v>43</v>
      </c>
      <c r="N94" t="s">
        <v>210</v>
      </c>
      <c r="O94" s="50" t="str">
        <f t="shared" si="8"/>
        <v>TRANQUIL CREEK_Chinook</v>
      </c>
      <c r="P94">
        <v>181</v>
      </c>
      <c r="Q94">
        <v>432</v>
      </c>
      <c r="R94">
        <v>123</v>
      </c>
      <c r="S94">
        <v>125</v>
      </c>
      <c r="T94">
        <v>157</v>
      </c>
      <c r="U94">
        <v>68</v>
      </c>
      <c r="V94">
        <v>59</v>
      </c>
      <c r="W94">
        <v>47</v>
      </c>
      <c r="X94" s="384">
        <v>96</v>
      </c>
      <c r="Y94" s="403">
        <v>311</v>
      </c>
      <c r="Z94" s="32">
        <v>24</v>
      </c>
      <c r="AA94" s="410">
        <f t="shared" si="9"/>
        <v>119.5</v>
      </c>
      <c r="AB94" s="411">
        <f t="shared" ref="AB94:AB157" si="10">AVERAGE(S94:Z94)</f>
        <v>110.875</v>
      </c>
      <c r="AC94">
        <f t="shared" ref="AC94:AC157" si="11">AVERAGE(P94:Z94)</f>
        <v>147.54545454545453</v>
      </c>
    </row>
    <row r="95" spans="1:29" ht="18" x14ac:dyDescent="0.25">
      <c r="A95">
        <v>2022</v>
      </c>
      <c r="B95" s="617">
        <v>25</v>
      </c>
      <c r="C95" s="617" t="s">
        <v>299</v>
      </c>
      <c r="D95" s="244" t="s">
        <v>54</v>
      </c>
      <c r="E95" s="244" t="s">
        <v>210</v>
      </c>
      <c r="F95" s="244" t="s">
        <v>419</v>
      </c>
      <c r="G95" s="244" t="s">
        <v>452</v>
      </c>
      <c r="H95" s="9" t="s">
        <v>610</v>
      </c>
      <c r="I95" s="9">
        <v>2</v>
      </c>
      <c r="J95" s="32">
        <v>0</v>
      </c>
      <c r="K95" s="193"/>
      <c r="M95" t="s">
        <v>54</v>
      </c>
      <c r="N95" t="s">
        <v>210</v>
      </c>
      <c r="O95" s="50" t="str">
        <f t="shared" si="8"/>
        <v>TSOWWIN RIVER_Chinook</v>
      </c>
      <c r="P95">
        <v>0</v>
      </c>
      <c r="Q95">
        <v>28</v>
      </c>
      <c r="R95">
        <v>35</v>
      </c>
      <c r="W95">
        <v>17</v>
      </c>
      <c r="X95" s="384">
        <v>0</v>
      </c>
      <c r="Y95" s="403">
        <v>26</v>
      </c>
      <c r="Z95" s="32">
        <v>0</v>
      </c>
      <c r="AA95" s="410">
        <f t="shared" si="9"/>
        <v>10.75</v>
      </c>
      <c r="AB95" s="411">
        <f t="shared" si="10"/>
        <v>10.75</v>
      </c>
      <c r="AC95">
        <f t="shared" si="11"/>
        <v>15.142857142857142</v>
      </c>
    </row>
    <row r="96" spans="1:29" ht="15" x14ac:dyDescent="0.25">
      <c r="B96" s="617"/>
      <c r="C96" s="617"/>
      <c r="D96" s="244"/>
      <c r="E96" s="244"/>
      <c r="F96" s="244"/>
      <c r="G96" s="244"/>
      <c r="H96" s="9"/>
      <c r="I96" s="9"/>
      <c r="J96" s="32"/>
      <c r="K96" s="193"/>
      <c r="M96" s="408" t="s">
        <v>108</v>
      </c>
      <c r="N96" t="s">
        <v>210</v>
      </c>
      <c r="O96" s="50" t="str">
        <f t="shared" si="8"/>
        <v>TWIN RIVERS EAST CREEK_Chinook</v>
      </c>
      <c r="V96">
        <v>0</v>
      </c>
      <c r="X96" s="384">
        <v>0</v>
      </c>
      <c r="Y96" s="403">
        <v>0</v>
      </c>
      <c r="Z96" s="32"/>
      <c r="AA96" s="410">
        <f t="shared" si="9"/>
        <v>0</v>
      </c>
      <c r="AB96" s="411">
        <f t="shared" si="10"/>
        <v>0</v>
      </c>
      <c r="AC96">
        <f t="shared" si="11"/>
        <v>0</v>
      </c>
    </row>
    <row r="97" spans="1:29" ht="15" x14ac:dyDescent="0.25">
      <c r="B97" s="617"/>
      <c r="C97" s="617"/>
      <c r="D97" s="244"/>
      <c r="E97" s="244"/>
      <c r="F97" s="244"/>
      <c r="G97" s="244"/>
      <c r="H97" s="9"/>
      <c r="I97" s="9"/>
      <c r="J97" s="32"/>
      <c r="K97" s="193"/>
      <c r="M97" t="s">
        <v>110</v>
      </c>
      <c r="N97" t="s">
        <v>210</v>
      </c>
      <c r="O97" s="50" t="str">
        <f t="shared" si="8"/>
        <v>UCHUCK CREEK_Chinook</v>
      </c>
      <c r="Q97">
        <v>6</v>
      </c>
      <c r="X97" s="384"/>
      <c r="Y97" s="403"/>
      <c r="Z97" s="32"/>
      <c r="AC97">
        <f t="shared" si="11"/>
        <v>6</v>
      </c>
    </row>
    <row r="98" spans="1:29" ht="15" x14ac:dyDescent="0.25">
      <c r="B98" s="617"/>
      <c r="C98" s="617"/>
      <c r="D98" s="244"/>
      <c r="E98" s="244"/>
      <c r="F98" s="244"/>
      <c r="G98" s="244"/>
      <c r="H98" s="9"/>
      <c r="I98" s="9"/>
      <c r="J98" s="32"/>
      <c r="K98" s="193"/>
      <c r="M98" t="s">
        <v>556</v>
      </c>
      <c r="N98" t="s">
        <v>210</v>
      </c>
      <c r="O98" s="50" t="str">
        <f t="shared" si="8"/>
        <v>URSUS CREEK_Chinook</v>
      </c>
      <c r="P98">
        <v>79</v>
      </c>
      <c r="Q98">
        <v>219</v>
      </c>
      <c r="R98">
        <v>101</v>
      </c>
      <c r="S98">
        <v>137</v>
      </c>
      <c r="T98">
        <v>186</v>
      </c>
      <c r="U98">
        <v>169</v>
      </c>
      <c r="V98">
        <v>176</v>
      </c>
      <c r="W98">
        <v>62</v>
      </c>
      <c r="X98" s="384">
        <v>91</v>
      </c>
      <c r="Y98" s="403"/>
      <c r="Z98" s="32"/>
      <c r="AA98" s="410">
        <f t="shared" si="9"/>
        <v>76.5</v>
      </c>
      <c r="AB98" s="411">
        <f t="shared" si="10"/>
        <v>136.83333333333334</v>
      </c>
      <c r="AC98">
        <f t="shared" si="11"/>
        <v>135.55555555555554</v>
      </c>
    </row>
    <row r="99" spans="1:29" ht="15" x14ac:dyDescent="0.25">
      <c r="A99">
        <v>2022</v>
      </c>
      <c r="B99" s="617">
        <v>24</v>
      </c>
      <c r="C99" s="617" t="s">
        <v>297</v>
      </c>
      <c r="D99" s="244" t="s">
        <v>132</v>
      </c>
      <c r="E99" s="244" t="s">
        <v>210</v>
      </c>
      <c r="F99" s="244" t="s">
        <v>419</v>
      </c>
      <c r="G99" s="244" t="s">
        <v>497</v>
      </c>
      <c r="H99" s="9" t="s">
        <v>616</v>
      </c>
      <c r="I99" s="9">
        <v>2</v>
      </c>
      <c r="J99" s="32">
        <v>0</v>
      </c>
      <c r="K99" s="193"/>
      <c r="M99" t="s">
        <v>132</v>
      </c>
      <c r="N99" t="s">
        <v>210</v>
      </c>
      <c r="O99" s="50" t="str">
        <f t="shared" si="8"/>
        <v>WARN BAY CREEK_Chinook</v>
      </c>
      <c r="Q99">
        <v>16</v>
      </c>
      <c r="R99">
        <v>9</v>
      </c>
      <c r="S99">
        <v>51</v>
      </c>
      <c r="T99">
        <v>17</v>
      </c>
      <c r="U99">
        <v>15</v>
      </c>
      <c r="V99">
        <v>6</v>
      </c>
      <c r="W99">
        <v>4</v>
      </c>
      <c r="X99" s="384">
        <v>9</v>
      </c>
      <c r="Y99" s="403">
        <v>0</v>
      </c>
      <c r="Z99" s="32">
        <v>0</v>
      </c>
      <c r="AA99" s="410">
        <f t="shared" si="9"/>
        <v>3.25</v>
      </c>
      <c r="AB99" s="411">
        <f t="shared" si="10"/>
        <v>12.75</v>
      </c>
      <c r="AC99">
        <f t="shared" si="11"/>
        <v>12.7</v>
      </c>
    </row>
    <row r="100" spans="1:29" ht="15" x14ac:dyDescent="0.25">
      <c r="B100" s="617"/>
      <c r="C100" s="617"/>
      <c r="D100" s="244"/>
      <c r="E100" s="244"/>
      <c r="F100" s="244"/>
      <c r="G100" s="244"/>
      <c r="H100" s="9"/>
      <c r="I100" s="9"/>
      <c r="J100" s="32"/>
      <c r="K100" s="193"/>
      <c r="M100" t="s">
        <v>134</v>
      </c>
      <c r="N100" t="s">
        <v>210</v>
      </c>
      <c r="O100" s="50" t="str">
        <f t="shared" si="8"/>
        <v>WHITE PINE COVE CREEK_Chinook</v>
      </c>
      <c r="Q100">
        <v>0</v>
      </c>
      <c r="R100">
        <v>0</v>
      </c>
      <c r="X100" s="384">
        <v>0</v>
      </c>
      <c r="Y100" s="403">
        <v>0</v>
      </c>
      <c r="Z100" s="32"/>
      <c r="AA100" s="410">
        <f t="shared" si="9"/>
        <v>0</v>
      </c>
      <c r="AB100" s="411">
        <f t="shared" si="10"/>
        <v>0</v>
      </c>
      <c r="AC100">
        <f t="shared" si="11"/>
        <v>0</v>
      </c>
    </row>
    <row r="101" spans="1:29" ht="15" x14ac:dyDescent="0.25">
      <c r="A101">
        <v>2022</v>
      </c>
      <c r="B101" s="617">
        <v>25</v>
      </c>
      <c r="C101" s="617" t="s">
        <v>300</v>
      </c>
      <c r="D101" s="244" t="s">
        <v>55</v>
      </c>
      <c r="E101" s="244" t="s">
        <v>210</v>
      </c>
      <c r="F101" s="244" t="s">
        <v>419</v>
      </c>
      <c r="G101" s="244" t="s">
        <v>528</v>
      </c>
      <c r="H101" s="9" t="s">
        <v>618</v>
      </c>
      <c r="I101" s="9">
        <v>5</v>
      </c>
      <c r="J101" s="32">
        <v>29</v>
      </c>
      <c r="K101" s="193"/>
      <c r="M101" t="s">
        <v>55</v>
      </c>
      <c r="N101" t="s">
        <v>210</v>
      </c>
      <c r="O101" s="50" t="str">
        <f t="shared" si="8"/>
        <v>ZEBALLOS RIVER_Chinook</v>
      </c>
      <c r="P101">
        <v>32</v>
      </c>
      <c r="Q101">
        <v>275</v>
      </c>
      <c r="R101">
        <v>51</v>
      </c>
      <c r="S101">
        <v>240</v>
      </c>
      <c r="T101">
        <v>253</v>
      </c>
      <c r="U101">
        <v>325</v>
      </c>
      <c r="V101">
        <v>454</v>
      </c>
      <c r="W101">
        <v>15</v>
      </c>
      <c r="X101" s="384">
        <v>185</v>
      </c>
      <c r="Y101" s="403">
        <v>67</v>
      </c>
      <c r="Z101" s="32">
        <v>29</v>
      </c>
      <c r="AA101" s="410">
        <f t="shared" si="9"/>
        <v>74</v>
      </c>
      <c r="AB101" s="411">
        <f t="shared" si="10"/>
        <v>196</v>
      </c>
      <c r="AC101">
        <f t="shared" si="11"/>
        <v>175.09090909090909</v>
      </c>
    </row>
    <row r="102" spans="1:29" x14ac:dyDescent="0.2">
      <c r="B102" s="617"/>
      <c r="C102" s="617"/>
      <c r="D102" s="244"/>
      <c r="E102" s="244"/>
      <c r="F102" s="244"/>
      <c r="G102" s="244"/>
      <c r="H102" s="9"/>
      <c r="I102" s="9"/>
      <c r="J102" s="32"/>
      <c r="K102" s="193"/>
      <c r="M102" t="s">
        <v>56</v>
      </c>
      <c r="N102" t="s">
        <v>209</v>
      </c>
      <c r="O102" s="50" t="str">
        <f t="shared" si="8"/>
        <v>AMAI CREEK_Chum</v>
      </c>
      <c r="P102">
        <v>254</v>
      </c>
      <c r="Q102">
        <v>214</v>
      </c>
      <c r="R102">
        <v>609</v>
      </c>
      <c r="S102">
        <v>927</v>
      </c>
      <c r="V102">
        <v>18</v>
      </c>
      <c r="X102" s="408">
        <v>259</v>
      </c>
      <c r="Z102" s="32"/>
      <c r="AA102" s="410">
        <f t="shared" si="9"/>
        <v>259</v>
      </c>
      <c r="AB102" s="411">
        <f t="shared" si="10"/>
        <v>401.33333333333331</v>
      </c>
      <c r="AC102">
        <f t="shared" si="11"/>
        <v>380.16666666666669</v>
      </c>
    </row>
    <row r="103" spans="1:29" x14ac:dyDescent="0.2">
      <c r="B103" s="617"/>
      <c r="C103" s="617"/>
      <c r="D103" s="244"/>
      <c r="E103" s="244"/>
      <c r="F103" s="244"/>
      <c r="G103" s="244"/>
      <c r="H103" s="9"/>
      <c r="I103" s="9"/>
      <c r="J103" s="32"/>
      <c r="K103" s="193"/>
      <c r="M103" t="s">
        <v>187</v>
      </c>
      <c r="N103" t="s">
        <v>209</v>
      </c>
      <c r="O103" s="50" t="str">
        <f t="shared" si="8"/>
        <v>ANGORA CREEK_Chum</v>
      </c>
      <c r="Q103">
        <v>0</v>
      </c>
      <c r="R103">
        <v>0</v>
      </c>
      <c r="X103" s="408"/>
      <c r="Z103" s="32"/>
      <c r="AC103">
        <f t="shared" si="11"/>
        <v>0</v>
      </c>
    </row>
    <row r="104" spans="1:29" x14ac:dyDescent="0.2">
      <c r="A104">
        <v>2022</v>
      </c>
      <c r="B104" s="617">
        <v>26</v>
      </c>
      <c r="C104" s="617" t="s">
        <v>301</v>
      </c>
      <c r="D104" s="244" t="s">
        <v>57</v>
      </c>
      <c r="E104" s="244" t="s">
        <v>209</v>
      </c>
      <c r="F104" s="244" t="s">
        <v>419</v>
      </c>
      <c r="G104" s="244" t="s">
        <v>292</v>
      </c>
      <c r="H104" s="9" t="s">
        <v>616</v>
      </c>
      <c r="I104" s="9">
        <v>7</v>
      </c>
      <c r="J104" s="32">
        <v>708</v>
      </c>
      <c r="K104" s="193"/>
      <c r="M104" t="s">
        <v>57</v>
      </c>
      <c r="N104" t="s">
        <v>209</v>
      </c>
      <c r="O104" s="50" t="str">
        <f t="shared" si="8"/>
        <v>ARTLISH RIVER_Chum</v>
      </c>
      <c r="P104">
        <v>4622</v>
      </c>
      <c r="Q104">
        <v>2089</v>
      </c>
      <c r="R104">
        <v>853</v>
      </c>
      <c r="S104">
        <v>6588</v>
      </c>
      <c r="T104">
        <v>14360</v>
      </c>
      <c r="U104">
        <v>965</v>
      </c>
      <c r="V104">
        <v>767</v>
      </c>
      <c r="W104">
        <v>793</v>
      </c>
      <c r="X104" s="408">
        <v>1742</v>
      </c>
      <c r="Y104">
        <v>1949</v>
      </c>
      <c r="Z104" s="32">
        <v>708</v>
      </c>
      <c r="AA104" s="410">
        <f t="shared" si="9"/>
        <v>1298</v>
      </c>
      <c r="AB104" s="411">
        <f t="shared" si="10"/>
        <v>3484</v>
      </c>
      <c r="AC104">
        <f t="shared" si="11"/>
        <v>3221.4545454545455</v>
      </c>
    </row>
    <row r="105" spans="1:29" x14ac:dyDescent="0.2">
      <c r="B105" s="617"/>
      <c r="C105" s="617"/>
      <c r="D105" s="244"/>
      <c r="E105" s="244"/>
      <c r="F105" s="244"/>
      <c r="G105" s="244"/>
      <c r="H105" s="9"/>
      <c r="I105" s="9"/>
      <c r="J105" s="32"/>
      <c r="K105" s="193"/>
      <c r="M105" t="s">
        <v>114</v>
      </c>
      <c r="N105" t="s">
        <v>209</v>
      </c>
      <c r="O105" s="50" t="str">
        <f t="shared" si="8"/>
        <v>ATLEO RIVER_Chum</v>
      </c>
      <c r="Q105">
        <v>238</v>
      </c>
      <c r="R105">
        <v>80</v>
      </c>
      <c r="V105">
        <v>41</v>
      </c>
      <c r="X105" s="408">
        <v>162</v>
      </c>
      <c r="Y105">
        <v>17</v>
      </c>
      <c r="Z105" s="32"/>
      <c r="AA105" s="410">
        <f t="shared" si="9"/>
        <v>89.5</v>
      </c>
      <c r="AB105" s="411">
        <f t="shared" si="10"/>
        <v>73.333333333333329</v>
      </c>
      <c r="AC105">
        <f t="shared" si="11"/>
        <v>107.6</v>
      </c>
    </row>
    <row r="106" spans="1:29" x14ac:dyDescent="0.2">
      <c r="B106" s="617"/>
      <c r="C106" s="617"/>
      <c r="D106" s="244"/>
      <c r="E106" s="244"/>
      <c r="F106" s="244"/>
      <c r="G106" s="244"/>
      <c r="H106" s="9"/>
      <c r="I106" s="9"/>
      <c r="J106" s="32"/>
      <c r="K106" s="193"/>
      <c r="M106" t="s">
        <v>115</v>
      </c>
      <c r="N106" t="s">
        <v>209</v>
      </c>
      <c r="O106" s="50" t="str">
        <f t="shared" si="8"/>
        <v>BAWDEN CREEK_Chum</v>
      </c>
      <c r="Q106">
        <v>7</v>
      </c>
      <c r="R106">
        <v>0</v>
      </c>
      <c r="X106" s="408">
        <v>0</v>
      </c>
      <c r="Y106">
        <v>0</v>
      </c>
      <c r="Z106" s="32"/>
      <c r="AA106" s="410">
        <f t="shared" si="9"/>
        <v>0</v>
      </c>
      <c r="AB106" s="411">
        <f t="shared" si="10"/>
        <v>0</v>
      </c>
      <c r="AC106">
        <f t="shared" si="11"/>
        <v>1.75</v>
      </c>
    </row>
    <row r="107" spans="1:29" x14ac:dyDescent="0.2">
      <c r="B107" s="617"/>
      <c r="C107" s="617"/>
      <c r="D107" s="244"/>
      <c r="E107" s="244"/>
      <c r="F107" s="244"/>
      <c r="G107" s="244"/>
      <c r="H107" s="9"/>
      <c r="I107" s="9"/>
      <c r="J107" s="32"/>
      <c r="K107" s="193"/>
      <c r="M107" t="s">
        <v>35</v>
      </c>
      <c r="N107" t="s">
        <v>209</v>
      </c>
      <c r="O107" s="50" t="str">
        <f t="shared" si="8"/>
        <v>BEDWELL RIVER_Chum</v>
      </c>
      <c r="P107">
        <v>2251</v>
      </c>
      <c r="Q107">
        <v>1332</v>
      </c>
      <c r="R107">
        <v>1229</v>
      </c>
      <c r="S107">
        <v>1988</v>
      </c>
      <c r="T107">
        <v>3663</v>
      </c>
      <c r="U107">
        <v>1649</v>
      </c>
      <c r="V107">
        <v>913</v>
      </c>
      <c r="W107">
        <v>621</v>
      </c>
      <c r="X107" s="408">
        <v>1575</v>
      </c>
      <c r="Z107" s="32"/>
      <c r="AA107" s="410">
        <f t="shared" si="9"/>
        <v>1098</v>
      </c>
      <c r="AB107" s="411">
        <f t="shared" si="10"/>
        <v>1734.8333333333333</v>
      </c>
      <c r="AC107">
        <f t="shared" si="11"/>
        <v>1691.2222222222222</v>
      </c>
    </row>
    <row r="108" spans="1:29" x14ac:dyDescent="0.2">
      <c r="A108">
        <v>2022</v>
      </c>
      <c r="B108" s="617">
        <v>24</v>
      </c>
      <c r="C108" s="617" t="s">
        <v>297</v>
      </c>
      <c r="D108" s="244" t="s">
        <v>35</v>
      </c>
      <c r="E108" s="244" t="s">
        <v>209</v>
      </c>
      <c r="F108" s="244" t="s">
        <v>419</v>
      </c>
      <c r="G108" s="244" t="s">
        <v>497</v>
      </c>
      <c r="H108" s="9" t="s">
        <v>616</v>
      </c>
      <c r="I108" s="9">
        <v>5</v>
      </c>
      <c r="J108" s="32">
        <v>1380</v>
      </c>
      <c r="K108" s="193"/>
      <c r="M108" t="s">
        <v>557</v>
      </c>
      <c r="N108" s="17" t="s">
        <v>209</v>
      </c>
      <c r="O108" s="50" t="str">
        <f t="shared" si="8"/>
        <v>BEDWELL SYSTEM_Chum</v>
      </c>
      <c r="P108">
        <v>2527</v>
      </c>
      <c r="Q108">
        <v>1396</v>
      </c>
      <c r="R108">
        <v>1300</v>
      </c>
      <c r="S108">
        <v>2076</v>
      </c>
      <c r="T108">
        <v>3905</v>
      </c>
      <c r="U108">
        <v>1787</v>
      </c>
      <c r="V108">
        <v>927</v>
      </c>
      <c r="W108">
        <v>631</v>
      </c>
      <c r="X108" s="408">
        <v>1595</v>
      </c>
      <c r="Y108">
        <v>1336</v>
      </c>
      <c r="Z108" s="32">
        <v>1380</v>
      </c>
      <c r="AA108" s="410">
        <f t="shared" si="9"/>
        <v>1235.5</v>
      </c>
      <c r="AB108" s="411">
        <f t="shared" si="10"/>
        <v>1704.625</v>
      </c>
      <c r="AC108">
        <f t="shared" si="11"/>
        <v>1714.5454545454545</v>
      </c>
    </row>
    <row r="109" spans="1:29" x14ac:dyDescent="0.2">
      <c r="A109">
        <v>2022</v>
      </c>
      <c r="B109" s="617">
        <v>25</v>
      </c>
      <c r="C109" s="618" t="s">
        <v>299</v>
      </c>
      <c r="D109" s="244" t="s">
        <v>44</v>
      </c>
      <c r="E109" s="244" t="s">
        <v>209</v>
      </c>
      <c r="F109" s="244" t="s">
        <v>419</v>
      </c>
      <c r="G109" s="244" t="s">
        <v>452</v>
      </c>
      <c r="H109" s="9" t="s">
        <v>612</v>
      </c>
      <c r="I109" s="9">
        <v>4</v>
      </c>
      <c r="J109" s="32">
        <v>2094</v>
      </c>
      <c r="K109" s="193"/>
      <c r="M109" t="s">
        <v>44</v>
      </c>
      <c r="N109" t="s">
        <v>209</v>
      </c>
      <c r="O109" s="50" t="str">
        <f t="shared" si="8"/>
        <v>BURMAN RIVER_Chum</v>
      </c>
      <c r="P109">
        <v>3532</v>
      </c>
      <c r="Q109">
        <v>5058</v>
      </c>
      <c r="R109">
        <v>4177</v>
      </c>
      <c r="S109">
        <v>2315</v>
      </c>
      <c r="T109">
        <v>11872</v>
      </c>
      <c r="U109">
        <v>395</v>
      </c>
      <c r="V109">
        <v>334</v>
      </c>
      <c r="W109">
        <v>341</v>
      </c>
      <c r="X109" s="408">
        <v>481</v>
      </c>
      <c r="Y109">
        <v>493</v>
      </c>
      <c r="Z109" s="32">
        <v>2094</v>
      </c>
      <c r="AA109" s="410">
        <f t="shared" si="9"/>
        <v>852.25</v>
      </c>
      <c r="AB109" s="411">
        <f t="shared" si="10"/>
        <v>2290.625</v>
      </c>
      <c r="AC109">
        <f t="shared" si="11"/>
        <v>2826.5454545454545</v>
      </c>
    </row>
    <row r="110" spans="1:29" x14ac:dyDescent="0.2">
      <c r="B110" s="617"/>
      <c r="C110" s="618"/>
      <c r="D110" s="244"/>
      <c r="E110" s="244"/>
      <c r="F110" s="244"/>
      <c r="G110" s="244"/>
      <c r="H110" s="9"/>
      <c r="I110" s="9"/>
      <c r="J110" s="32"/>
      <c r="K110" s="193"/>
      <c r="M110" t="s">
        <v>58</v>
      </c>
      <c r="N110" t="s">
        <v>209</v>
      </c>
      <c r="O110" s="50" t="str">
        <f t="shared" si="8"/>
        <v>CACHALOT CREEK_Chum</v>
      </c>
      <c r="P110">
        <v>27</v>
      </c>
      <c r="Q110">
        <v>16</v>
      </c>
      <c r="R110">
        <v>261</v>
      </c>
      <c r="S110">
        <v>206</v>
      </c>
      <c r="X110" s="408"/>
      <c r="Z110" s="32"/>
      <c r="AB110" s="411">
        <f t="shared" si="10"/>
        <v>206</v>
      </c>
      <c r="AC110">
        <f t="shared" si="11"/>
        <v>127.5</v>
      </c>
    </row>
    <row r="111" spans="1:29" x14ac:dyDescent="0.2">
      <c r="A111">
        <v>2022</v>
      </c>
      <c r="B111" s="617">
        <v>22</v>
      </c>
      <c r="C111" s="617" t="s">
        <v>304</v>
      </c>
      <c r="D111" s="244" t="s">
        <v>79</v>
      </c>
      <c r="E111" s="244" t="s">
        <v>209</v>
      </c>
      <c r="F111" s="244" t="s">
        <v>419</v>
      </c>
      <c r="G111" s="244" t="s">
        <v>624</v>
      </c>
      <c r="H111" s="9" t="s">
        <v>616</v>
      </c>
      <c r="I111" s="9">
        <v>1</v>
      </c>
      <c r="J111" s="32">
        <v>1838</v>
      </c>
      <c r="K111" s="193"/>
      <c r="M111" t="s">
        <v>79</v>
      </c>
      <c r="N111" t="s">
        <v>209</v>
      </c>
      <c r="O111" s="50" t="str">
        <f t="shared" si="8"/>
        <v>CAMPUS CREEK_Chum</v>
      </c>
      <c r="P111">
        <v>1000</v>
      </c>
      <c r="W111">
        <v>687</v>
      </c>
      <c r="X111" s="408"/>
      <c r="Y111">
        <v>963</v>
      </c>
      <c r="Z111" s="32">
        <v>1838</v>
      </c>
      <c r="AA111" s="410">
        <f t="shared" si="9"/>
        <v>1162.6666666666667</v>
      </c>
      <c r="AB111" s="411">
        <f t="shared" si="10"/>
        <v>1162.6666666666667</v>
      </c>
      <c r="AC111">
        <f t="shared" si="11"/>
        <v>1122</v>
      </c>
    </row>
    <row r="112" spans="1:29" x14ac:dyDescent="0.2">
      <c r="A112">
        <v>2022</v>
      </c>
      <c r="B112" s="617">
        <v>25</v>
      </c>
      <c r="C112" s="617" t="s">
        <v>299</v>
      </c>
      <c r="D112" s="244" t="s">
        <v>45</v>
      </c>
      <c r="E112" s="244" t="s">
        <v>209</v>
      </c>
      <c r="F112" s="244" t="s">
        <v>419</v>
      </c>
      <c r="G112" s="244" t="s">
        <v>452</v>
      </c>
      <c r="H112" s="9" t="s">
        <v>616</v>
      </c>
      <c r="I112" s="9">
        <v>9</v>
      </c>
      <c r="J112" s="32">
        <v>530</v>
      </c>
      <c r="K112" s="193"/>
      <c r="M112" t="s">
        <v>45</v>
      </c>
      <c r="N112" t="s">
        <v>209</v>
      </c>
      <c r="O112" s="50" t="str">
        <f t="shared" si="8"/>
        <v>CANTON CREEK_Chum</v>
      </c>
      <c r="P112">
        <v>151</v>
      </c>
      <c r="Q112">
        <v>0</v>
      </c>
      <c r="S112">
        <v>175</v>
      </c>
      <c r="T112">
        <v>2004</v>
      </c>
      <c r="U112">
        <v>1249</v>
      </c>
      <c r="W112">
        <v>555</v>
      </c>
      <c r="X112" s="408">
        <v>433</v>
      </c>
      <c r="Y112">
        <v>1587</v>
      </c>
      <c r="Z112" s="32">
        <v>530</v>
      </c>
      <c r="AA112" s="410">
        <f t="shared" si="9"/>
        <v>776.25</v>
      </c>
      <c r="AB112" s="411">
        <f t="shared" si="10"/>
        <v>933.28571428571433</v>
      </c>
      <c r="AC112">
        <f t="shared" si="11"/>
        <v>742.66666666666663</v>
      </c>
    </row>
    <row r="113" spans="1:29" x14ac:dyDescent="0.2">
      <c r="B113" s="617"/>
      <c r="C113" s="619"/>
      <c r="D113" s="244"/>
      <c r="E113" s="244"/>
      <c r="F113" s="244"/>
      <c r="G113" s="244"/>
      <c r="H113" s="9"/>
      <c r="I113" s="620"/>
      <c r="J113" s="32"/>
      <c r="K113" s="193"/>
      <c r="M113" t="s">
        <v>80</v>
      </c>
      <c r="N113" t="s">
        <v>209</v>
      </c>
      <c r="O113" s="50" t="str">
        <f t="shared" si="8"/>
        <v>CAYCUSE RIVER_Chum</v>
      </c>
      <c r="P113">
        <v>300</v>
      </c>
      <c r="W113">
        <v>255</v>
      </c>
      <c r="X113" s="408"/>
      <c r="Z113" s="32"/>
      <c r="AA113" s="410">
        <f t="shared" si="9"/>
        <v>255</v>
      </c>
      <c r="AB113" s="411">
        <f t="shared" si="10"/>
        <v>255</v>
      </c>
      <c r="AC113">
        <f t="shared" si="11"/>
        <v>277.5</v>
      </c>
    </row>
    <row r="114" spans="1:29" x14ac:dyDescent="0.2">
      <c r="K114" s="193"/>
      <c r="M114" t="s">
        <v>536</v>
      </c>
      <c r="N114" t="s">
        <v>209</v>
      </c>
      <c r="O114" s="50" t="str">
        <f t="shared" si="8"/>
        <v>CAYEGHLE CREEK_Chum</v>
      </c>
      <c r="P114">
        <v>2018</v>
      </c>
      <c r="Q114">
        <v>4059</v>
      </c>
      <c r="R114">
        <v>5462</v>
      </c>
      <c r="S114">
        <v>2693</v>
      </c>
      <c r="T114">
        <v>881</v>
      </c>
      <c r="U114">
        <v>4482</v>
      </c>
      <c r="V114">
        <v>1108</v>
      </c>
      <c r="W114">
        <v>302</v>
      </c>
      <c r="X114" s="408">
        <v>912</v>
      </c>
      <c r="Y114">
        <v>1149</v>
      </c>
      <c r="AA114" s="410">
        <f t="shared" si="9"/>
        <v>787.66666666666663</v>
      </c>
      <c r="AB114" s="411">
        <f t="shared" si="10"/>
        <v>1646.7142857142858</v>
      </c>
      <c r="AC114">
        <f t="shared" si="11"/>
        <v>2306.6</v>
      </c>
    </row>
    <row r="115" spans="1:29" x14ac:dyDescent="0.2">
      <c r="B115" s="617"/>
      <c r="C115" s="617"/>
      <c r="D115" s="244"/>
      <c r="E115" s="244"/>
      <c r="F115" s="244"/>
      <c r="G115" s="244"/>
      <c r="H115" s="9"/>
      <c r="I115" s="9"/>
      <c r="J115" s="32"/>
      <c r="K115" s="193"/>
      <c r="M115" t="s">
        <v>59</v>
      </c>
      <c r="N115" t="s">
        <v>209</v>
      </c>
      <c r="O115" s="50" t="str">
        <f t="shared" si="8"/>
        <v>CHAMISS CREEK_Chum</v>
      </c>
      <c r="Q115">
        <v>1599</v>
      </c>
      <c r="R115">
        <v>4007</v>
      </c>
      <c r="S115">
        <v>3247</v>
      </c>
      <c r="V115">
        <v>160</v>
      </c>
      <c r="W115">
        <v>108</v>
      </c>
      <c r="X115" s="408">
        <v>798</v>
      </c>
      <c r="Y115">
        <v>148</v>
      </c>
      <c r="Z115" s="32"/>
      <c r="AA115" s="410">
        <f t="shared" si="9"/>
        <v>351.33333333333331</v>
      </c>
      <c r="AB115" s="411">
        <f t="shared" si="10"/>
        <v>892.2</v>
      </c>
      <c r="AC115">
        <f t="shared" si="11"/>
        <v>1438.1428571428571</v>
      </c>
    </row>
    <row r="116" spans="1:29" x14ac:dyDescent="0.2">
      <c r="B116" s="617"/>
      <c r="C116" s="617"/>
      <c r="D116" s="244"/>
      <c r="E116" s="244"/>
      <c r="F116" s="244"/>
      <c r="G116" s="244"/>
      <c r="H116" s="9"/>
      <c r="I116" s="9"/>
      <c r="J116" s="32"/>
      <c r="K116" s="193"/>
      <c r="M116" t="s">
        <v>24</v>
      </c>
      <c r="N116" t="s">
        <v>209</v>
      </c>
      <c r="O116" s="50" t="str">
        <f t="shared" si="8"/>
        <v>CHEEWHAT RIVER_Chum</v>
      </c>
      <c r="Q116">
        <v>0</v>
      </c>
      <c r="S116">
        <v>0</v>
      </c>
      <c r="V116">
        <v>2</v>
      </c>
      <c r="X116" s="408"/>
      <c r="Z116" s="32"/>
      <c r="AB116" s="411">
        <f t="shared" si="10"/>
        <v>1</v>
      </c>
      <c r="AC116">
        <f t="shared" si="11"/>
        <v>0.66666666666666663</v>
      </c>
    </row>
    <row r="117" spans="1:29" x14ac:dyDescent="0.2">
      <c r="B117" s="617"/>
      <c r="C117" s="617"/>
      <c r="D117" s="244"/>
      <c r="E117" s="244"/>
      <c r="F117" s="244"/>
      <c r="G117" s="244"/>
      <c r="H117" s="9"/>
      <c r="I117" s="9"/>
      <c r="J117" s="32"/>
      <c r="K117" s="193"/>
      <c r="M117" t="s">
        <v>88</v>
      </c>
      <c r="N117" t="s">
        <v>209</v>
      </c>
      <c r="O117" s="50" t="str">
        <f t="shared" si="8"/>
        <v>CHINA CREEK_Chum</v>
      </c>
      <c r="P117">
        <v>13</v>
      </c>
      <c r="Q117">
        <v>0</v>
      </c>
      <c r="S117">
        <v>0</v>
      </c>
      <c r="X117" s="408"/>
      <c r="Z117" s="32"/>
      <c r="AB117" s="411">
        <f t="shared" si="10"/>
        <v>0</v>
      </c>
      <c r="AC117">
        <f t="shared" si="11"/>
        <v>4.333333333333333</v>
      </c>
    </row>
    <row r="118" spans="1:29" x14ac:dyDescent="0.2">
      <c r="A118">
        <v>2022</v>
      </c>
      <c r="B118" s="617">
        <v>25</v>
      </c>
      <c r="C118" s="617" t="s">
        <v>300</v>
      </c>
      <c r="D118" s="244" t="s">
        <v>135</v>
      </c>
      <c r="E118" s="244" t="s">
        <v>209</v>
      </c>
      <c r="F118" s="244" t="s">
        <v>419</v>
      </c>
      <c r="G118" s="244" t="s">
        <v>528</v>
      </c>
      <c r="H118" s="9" t="s">
        <v>616</v>
      </c>
      <c r="I118" s="9">
        <v>1</v>
      </c>
      <c r="J118" s="32">
        <v>70</v>
      </c>
      <c r="K118" s="193"/>
      <c r="M118" t="s">
        <v>135</v>
      </c>
      <c r="N118" t="s">
        <v>209</v>
      </c>
      <c r="O118" s="50" t="str">
        <f t="shared" si="8"/>
        <v>CHUM CREEK_Chum</v>
      </c>
      <c r="P118">
        <v>1100</v>
      </c>
      <c r="T118">
        <v>4316</v>
      </c>
      <c r="V118">
        <v>1351</v>
      </c>
      <c r="W118">
        <v>35</v>
      </c>
      <c r="X118" s="408">
        <v>293</v>
      </c>
      <c r="Y118">
        <v>222</v>
      </c>
      <c r="Z118" s="32">
        <v>70</v>
      </c>
      <c r="AA118" s="410">
        <f t="shared" si="9"/>
        <v>155</v>
      </c>
      <c r="AB118" s="411">
        <f t="shared" si="10"/>
        <v>1047.8333333333333</v>
      </c>
      <c r="AC118">
        <f t="shared" si="11"/>
        <v>1055.2857142857142</v>
      </c>
    </row>
    <row r="119" spans="1:29" x14ac:dyDescent="0.2">
      <c r="B119" s="617"/>
      <c r="C119" s="617"/>
      <c r="D119" s="244"/>
      <c r="E119" s="244"/>
      <c r="F119" s="244"/>
      <c r="G119" s="244"/>
      <c r="H119" s="9"/>
      <c r="I119" s="9"/>
      <c r="J119" s="32"/>
      <c r="K119" s="193"/>
      <c r="M119" t="s">
        <v>231</v>
      </c>
      <c r="N119" t="s">
        <v>209</v>
      </c>
      <c r="O119" s="50" t="str">
        <f t="shared" si="8"/>
        <v>CLANNINICK CREEK_Chum</v>
      </c>
      <c r="P119">
        <v>15115</v>
      </c>
      <c r="Q119">
        <v>1613</v>
      </c>
      <c r="R119">
        <v>25</v>
      </c>
      <c r="S119">
        <v>0</v>
      </c>
      <c r="V119">
        <v>351</v>
      </c>
      <c r="W119">
        <v>0</v>
      </c>
      <c r="X119" s="408">
        <v>254</v>
      </c>
      <c r="Z119" s="32"/>
      <c r="AA119" s="410">
        <f t="shared" si="9"/>
        <v>127</v>
      </c>
      <c r="AB119" s="411">
        <f t="shared" si="10"/>
        <v>151.25</v>
      </c>
      <c r="AC119">
        <f t="shared" si="11"/>
        <v>2479.7142857142858</v>
      </c>
    </row>
    <row r="120" spans="1:29" x14ac:dyDescent="0.2">
      <c r="B120" s="617"/>
      <c r="C120" s="617"/>
      <c r="D120" s="244"/>
      <c r="E120" s="244"/>
      <c r="F120" s="244"/>
      <c r="G120" s="244"/>
      <c r="H120" s="9"/>
      <c r="I120" s="9"/>
      <c r="J120" s="32"/>
      <c r="K120" s="193"/>
      <c r="M120" t="s">
        <v>36</v>
      </c>
      <c r="N120" t="s">
        <v>209</v>
      </c>
      <c r="O120" s="50" t="str">
        <f t="shared" si="8"/>
        <v>CLAYOQUOT RIVER_Chum</v>
      </c>
      <c r="V120">
        <v>0</v>
      </c>
      <c r="X120" s="408"/>
      <c r="Y120">
        <v>0</v>
      </c>
      <c r="Z120" s="32"/>
      <c r="AA120" s="410">
        <f t="shared" si="9"/>
        <v>0</v>
      </c>
      <c r="AB120" s="411">
        <f t="shared" si="10"/>
        <v>0</v>
      </c>
      <c r="AC120">
        <f t="shared" si="11"/>
        <v>0</v>
      </c>
    </row>
    <row r="121" spans="1:29" x14ac:dyDescent="0.2">
      <c r="A121">
        <v>2022</v>
      </c>
      <c r="B121" s="617">
        <v>23</v>
      </c>
      <c r="C121" s="617" t="s">
        <v>294</v>
      </c>
      <c r="D121" s="244" t="s">
        <v>29</v>
      </c>
      <c r="E121" s="244" t="s">
        <v>209</v>
      </c>
      <c r="F121" s="244" t="s">
        <v>419</v>
      </c>
      <c r="G121" s="244" t="s">
        <v>626</v>
      </c>
      <c r="H121" s="9" t="s">
        <v>616</v>
      </c>
      <c r="I121" s="9">
        <v>10</v>
      </c>
      <c r="J121" s="32">
        <v>16</v>
      </c>
      <c r="K121" s="193"/>
      <c r="M121" t="s">
        <v>29</v>
      </c>
      <c r="N121" t="s">
        <v>209</v>
      </c>
      <c r="O121" s="50" t="str">
        <f t="shared" si="8"/>
        <v>CLEMENS CREEK_Chum</v>
      </c>
      <c r="P121">
        <v>91</v>
      </c>
      <c r="Q121">
        <v>4</v>
      </c>
      <c r="R121">
        <v>99</v>
      </c>
      <c r="S121">
        <v>51</v>
      </c>
      <c r="T121">
        <v>171</v>
      </c>
      <c r="U121">
        <v>199</v>
      </c>
      <c r="V121">
        <v>20</v>
      </c>
      <c r="W121">
        <v>12</v>
      </c>
      <c r="X121" s="408">
        <v>57</v>
      </c>
      <c r="Y121">
        <v>14</v>
      </c>
      <c r="Z121" s="32">
        <v>16</v>
      </c>
      <c r="AA121" s="410">
        <f t="shared" si="9"/>
        <v>24.75</v>
      </c>
      <c r="AB121" s="411">
        <f t="shared" si="10"/>
        <v>67.5</v>
      </c>
      <c r="AC121">
        <f t="shared" si="11"/>
        <v>66.727272727272734</v>
      </c>
    </row>
    <row r="122" spans="1:29" x14ac:dyDescent="0.2">
      <c r="B122" s="617"/>
      <c r="C122" s="617"/>
      <c r="D122" s="244"/>
      <c r="E122" s="244"/>
      <c r="F122" s="244"/>
      <c r="G122" s="244"/>
      <c r="H122" s="9"/>
      <c r="I122" s="9"/>
      <c r="J122" s="32"/>
      <c r="K122" s="193"/>
      <c r="M122" t="s">
        <v>435</v>
      </c>
      <c r="N122" t="s">
        <v>209</v>
      </c>
      <c r="O122" s="50" t="str">
        <f t="shared" si="8"/>
        <v>COHO CREEK_Chum</v>
      </c>
      <c r="T122">
        <v>0</v>
      </c>
      <c r="X122" s="408"/>
      <c r="Z122" s="32"/>
      <c r="AB122" s="411">
        <f t="shared" si="10"/>
        <v>0</v>
      </c>
      <c r="AC122">
        <f t="shared" si="11"/>
        <v>0</v>
      </c>
    </row>
    <row r="123" spans="1:29" x14ac:dyDescent="0.2">
      <c r="B123" s="617"/>
      <c r="C123" s="617"/>
      <c r="D123" s="244"/>
      <c r="E123" s="244"/>
      <c r="F123" s="244"/>
      <c r="G123" s="244"/>
      <c r="H123" s="9"/>
      <c r="I123" s="9"/>
      <c r="J123" s="32"/>
      <c r="K123" s="193"/>
      <c r="M123" t="s">
        <v>190</v>
      </c>
      <c r="N123" t="s">
        <v>209</v>
      </c>
      <c r="O123" s="50" t="str">
        <f t="shared" si="8"/>
        <v>COLD CREEK_Chum</v>
      </c>
      <c r="Q123">
        <v>0</v>
      </c>
      <c r="R123">
        <v>0</v>
      </c>
      <c r="X123" s="408">
        <v>0</v>
      </c>
      <c r="Z123" s="32"/>
      <c r="AA123" s="410">
        <f t="shared" si="9"/>
        <v>0</v>
      </c>
      <c r="AB123" s="411">
        <f t="shared" si="10"/>
        <v>0</v>
      </c>
      <c r="AC123">
        <f t="shared" si="11"/>
        <v>0</v>
      </c>
    </row>
    <row r="124" spans="1:29" x14ac:dyDescent="0.2">
      <c r="B124" s="617"/>
      <c r="C124" s="617"/>
      <c r="D124" s="244"/>
      <c r="E124" s="244"/>
      <c r="F124" s="244"/>
      <c r="G124" s="244"/>
      <c r="H124" s="9"/>
      <c r="I124" s="9"/>
      <c r="J124" s="32"/>
      <c r="K124" s="193"/>
      <c r="M124" t="s">
        <v>537</v>
      </c>
      <c r="N124" t="s">
        <v>209</v>
      </c>
      <c r="O124" s="50" t="str">
        <f t="shared" si="8"/>
        <v>COLONIAL CREEK_Chum</v>
      </c>
      <c r="P124">
        <v>2537</v>
      </c>
      <c r="Q124">
        <v>2543</v>
      </c>
      <c r="R124">
        <v>5692</v>
      </c>
      <c r="S124">
        <v>1752</v>
      </c>
      <c r="T124">
        <v>552</v>
      </c>
      <c r="U124">
        <v>3491</v>
      </c>
      <c r="V124">
        <v>1213</v>
      </c>
      <c r="W124">
        <v>888</v>
      </c>
      <c r="X124" s="408">
        <v>1109</v>
      </c>
      <c r="Z124" s="32"/>
      <c r="AA124" s="410">
        <f t="shared" si="9"/>
        <v>998.5</v>
      </c>
      <c r="AB124" s="411">
        <f t="shared" si="10"/>
        <v>1500.8333333333333</v>
      </c>
      <c r="AC124">
        <f t="shared" si="11"/>
        <v>2197.4444444444443</v>
      </c>
    </row>
    <row r="125" spans="1:29" x14ac:dyDescent="0.2">
      <c r="A125">
        <v>2022</v>
      </c>
      <c r="B125" s="617">
        <v>27</v>
      </c>
      <c r="C125" s="617" t="s">
        <v>302</v>
      </c>
      <c r="D125" s="244" t="s">
        <v>68</v>
      </c>
      <c r="E125" s="244" t="s">
        <v>209</v>
      </c>
      <c r="F125" s="244" t="s">
        <v>419</v>
      </c>
      <c r="G125" s="244" t="s">
        <v>628</v>
      </c>
      <c r="H125" s="9" t="s">
        <v>617</v>
      </c>
      <c r="I125" s="9">
        <v>7</v>
      </c>
      <c r="J125" s="32">
        <v>1416</v>
      </c>
      <c r="K125" s="193"/>
      <c r="M125" t="s">
        <v>560</v>
      </c>
      <c r="N125" t="s">
        <v>209</v>
      </c>
      <c r="O125" s="50" t="str">
        <f t="shared" si="8"/>
        <v>COLONIAL/CAYEGHLE CREEKS_Chum</v>
      </c>
      <c r="P125">
        <f>P124+P114</f>
        <v>4555</v>
      </c>
      <c r="Q125">
        <f t="shared" ref="Q125:X125" si="12">Q124+Q114</f>
        <v>6602</v>
      </c>
      <c r="R125">
        <f t="shared" si="12"/>
        <v>11154</v>
      </c>
      <c r="S125">
        <f t="shared" si="12"/>
        <v>4445</v>
      </c>
      <c r="T125">
        <f t="shared" si="12"/>
        <v>1433</v>
      </c>
      <c r="U125">
        <f t="shared" si="12"/>
        <v>7973</v>
      </c>
      <c r="V125">
        <f t="shared" si="12"/>
        <v>2321</v>
      </c>
      <c r="W125">
        <f t="shared" si="12"/>
        <v>1190</v>
      </c>
      <c r="X125">
        <f t="shared" si="12"/>
        <v>2021</v>
      </c>
      <c r="Y125">
        <v>1149</v>
      </c>
      <c r="Z125" s="32">
        <v>1416</v>
      </c>
      <c r="AA125" s="410">
        <f t="shared" si="9"/>
        <v>1444</v>
      </c>
      <c r="AB125" s="411">
        <f t="shared" si="10"/>
        <v>2743.5</v>
      </c>
      <c r="AC125">
        <f t="shared" si="11"/>
        <v>4023.5454545454545</v>
      </c>
    </row>
    <row r="126" spans="1:29" ht="18" x14ac:dyDescent="0.2">
      <c r="A126">
        <v>2022</v>
      </c>
      <c r="B126" s="617">
        <v>24</v>
      </c>
      <c r="C126" s="617" t="s">
        <v>296</v>
      </c>
      <c r="D126" s="244" t="s">
        <v>191</v>
      </c>
      <c r="E126" s="244" t="s">
        <v>209</v>
      </c>
      <c r="F126" s="244" t="s">
        <v>419</v>
      </c>
      <c r="G126" s="244" t="s">
        <v>497</v>
      </c>
      <c r="H126" s="9" t="s">
        <v>615</v>
      </c>
      <c r="I126" s="9">
        <v>2</v>
      </c>
      <c r="J126" s="32">
        <v>320</v>
      </c>
      <c r="K126" s="193"/>
      <c r="M126" t="s">
        <v>191</v>
      </c>
      <c r="N126" t="s">
        <v>209</v>
      </c>
      <c r="O126" s="50" t="str">
        <f t="shared" si="8"/>
        <v>CONE CREEKS (2)_Chum</v>
      </c>
      <c r="R126">
        <v>47</v>
      </c>
      <c r="T126">
        <v>62</v>
      </c>
      <c r="U126">
        <v>19</v>
      </c>
      <c r="X126" s="408">
        <v>5</v>
      </c>
      <c r="Y126">
        <v>4</v>
      </c>
      <c r="Z126" s="32">
        <v>320</v>
      </c>
      <c r="AA126" s="410">
        <f t="shared" si="9"/>
        <v>109.66666666666667</v>
      </c>
      <c r="AB126" s="411">
        <f t="shared" si="10"/>
        <v>82</v>
      </c>
      <c r="AC126">
        <f t="shared" si="11"/>
        <v>76.166666666666671</v>
      </c>
    </row>
    <row r="127" spans="1:29" x14ac:dyDescent="0.2">
      <c r="A127">
        <v>2022</v>
      </c>
      <c r="B127" s="617">
        <v>25</v>
      </c>
      <c r="C127" s="617" t="s">
        <v>299</v>
      </c>
      <c r="D127" s="244" t="s">
        <v>46</v>
      </c>
      <c r="E127" s="244" t="s">
        <v>209</v>
      </c>
      <c r="F127" s="244" t="s">
        <v>419</v>
      </c>
      <c r="G127" s="244" t="s">
        <v>593</v>
      </c>
      <c r="H127" s="9" t="s">
        <v>617</v>
      </c>
      <c r="I127" s="9">
        <v>10</v>
      </c>
      <c r="J127" s="32">
        <v>892</v>
      </c>
      <c r="K127" s="193"/>
      <c r="M127" t="s">
        <v>46</v>
      </c>
      <c r="N127" t="s">
        <v>209</v>
      </c>
      <c r="O127" s="50" t="str">
        <f t="shared" si="8"/>
        <v>CONUMA RIVER_Chum</v>
      </c>
      <c r="P127">
        <v>828</v>
      </c>
      <c r="Q127">
        <v>10506</v>
      </c>
      <c r="R127">
        <v>5427</v>
      </c>
      <c r="S127">
        <v>6536</v>
      </c>
      <c r="T127">
        <v>7761</v>
      </c>
      <c r="U127">
        <v>3056</v>
      </c>
      <c r="V127">
        <v>4668</v>
      </c>
      <c r="W127">
        <v>3112</v>
      </c>
      <c r="X127" s="408">
        <v>8247</v>
      </c>
      <c r="Y127">
        <v>6511</v>
      </c>
      <c r="Z127" s="32">
        <v>892</v>
      </c>
      <c r="AA127" s="410">
        <f t="shared" si="9"/>
        <v>4690.5</v>
      </c>
      <c r="AB127" s="411">
        <f t="shared" si="10"/>
        <v>5097.875</v>
      </c>
      <c r="AC127">
        <f t="shared" si="11"/>
        <v>5231.272727272727</v>
      </c>
    </row>
    <row r="128" spans="1:29" x14ac:dyDescent="0.2">
      <c r="B128" s="617"/>
      <c r="C128" s="617"/>
      <c r="D128" s="244"/>
      <c r="E128" s="244"/>
      <c r="F128" s="244"/>
      <c r="G128" s="244"/>
      <c r="H128" s="9"/>
      <c r="I128" s="9"/>
      <c r="J128" s="32"/>
      <c r="K128" s="193"/>
      <c r="M128" t="s">
        <v>92</v>
      </c>
      <c r="N128" t="s">
        <v>209</v>
      </c>
      <c r="O128" s="50" t="str">
        <f t="shared" si="8"/>
        <v>COUS CREEK_Chum</v>
      </c>
      <c r="P128">
        <v>3120</v>
      </c>
      <c r="Q128">
        <v>81</v>
      </c>
      <c r="T128">
        <v>0</v>
      </c>
      <c r="U128">
        <v>40</v>
      </c>
      <c r="X128" s="408"/>
      <c r="Z128" s="32"/>
      <c r="AB128" s="411">
        <f t="shared" si="10"/>
        <v>20</v>
      </c>
      <c r="AC128">
        <f t="shared" si="11"/>
        <v>810.25</v>
      </c>
    </row>
    <row r="129" spans="1:29" x14ac:dyDescent="0.2">
      <c r="A129">
        <v>2022</v>
      </c>
      <c r="B129" s="617">
        <v>24</v>
      </c>
      <c r="C129" s="617" t="s">
        <v>297</v>
      </c>
      <c r="D129" s="244" t="s">
        <v>193</v>
      </c>
      <c r="E129" s="244" t="s">
        <v>209</v>
      </c>
      <c r="F129" s="244" t="s">
        <v>419</v>
      </c>
      <c r="G129" s="244" t="s">
        <v>691</v>
      </c>
      <c r="H129" s="9" t="s">
        <v>617</v>
      </c>
      <c r="I129" s="9">
        <v>5</v>
      </c>
      <c r="J129" s="32">
        <v>8</v>
      </c>
      <c r="K129" s="193"/>
      <c r="M129" t="s">
        <v>193</v>
      </c>
      <c r="N129" t="s">
        <v>209</v>
      </c>
      <c r="O129" s="50" t="str">
        <f t="shared" si="8"/>
        <v>COW CREEK_Chum</v>
      </c>
      <c r="U129">
        <v>10</v>
      </c>
      <c r="X129" s="408"/>
      <c r="Z129" s="32">
        <v>8</v>
      </c>
      <c r="AA129" s="410">
        <f t="shared" si="9"/>
        <v>8</v>
      </c>
      <c r="AB129" s="411">
        <f t="shared" si="10"/>
        <v>9</v>
      </c>
      <c r="AC129">
        <f t="shared" si="11"/>
        <v>9</v>
      </c>
    </row>
    <row r="130" spans="1:29" x14ac:dyDescent="0.2">
      <c r="A130">
        <v>2022</v>
      </c>
      <c r="B130" s="617">
        <v>24</v>
      </c>
      <c r="C130" s="617" t="s">
        <v>297</v>
      </c>
      <c r="D130" s="244" t="s">
        <v>119</v>
      </c>
      <c r="E130" s="244" t="s">
        <v>209</v>
      </c>
      <c r="F130" s="244" t="s">
        <v>419</v>
      </c>
      <c r="G130" s="244" t="s">
        <v>497</v>
      </c>
      <c r="H130" s="9" t="s">
        <v>617</v>
      </c>
      <c r="I130" s="9">
        <v>5</v>
      </c>
      <c r="J130" s="32">
        <v>345</v>
      </c>
      <c r="K130" s="193"/>
      <c r="M130" t="s">
        <v>119</v>
      </c>
      <c r="N130" t="s">
        <v>209</v>
      </c>
      <c r="O130" s="50" t="str">
        <f t="shared" si="8"/>
        <v>CYPRE RIVER_Chum</v>
      </c>
      <c r="P130">
        <v>2811</v>
      </c>
      <c r="Q130">
        <v>244</v>
      </c>
      <c r="R130">
        <v>37</v>
      </c>
      <c r="S130">
        <v>961</v>
      </c>
      <c r="T130">
        <v>3341</v>
      </c>
      <c r="U130">
        <v>945</v>
      </c>
      <c r="V130">
        <v>257</v>
      </c>
      <c r="W130">
        <v>390</v>
      </c>
      <c r="X130" s="408">
        <v>814</v>
      </c>
      <c r="Y130">
        <v>256</v>
      </c>
      <c r="Z130" s="32">
        <v>345</v>
      </c>
      <c r="AA130" s="410">
        <f t="shared" si="9"/>
        <v>451.25</v>
      </c>
      <c r="AB130" s="411">
        <f t="shared" si="10"/>
        <v>913.625</v>
      </c>
      <c r="AC130">
        <f t="shared" si="11"/>
        <v>945.5454545454545</v>
      </c>
    </row>
    <row r="131" spans="1:29" x14ac:dyDescent="0.2">
      <c r="B131" s="617"/>
      <c r="C131" s="617"/>
      <c r="D131" s="244"/>
      <c r="E131" s="244"/>
      <c r="F131" s="244"/>
      <c r="G131" s="244"/>
      <c r="H131" s="9"/>
      <c r="I131" s="9"/>
      <c r="J131" s="32"/>
      <c r="K131" s="193"/>
      <c r="M131" t="s">
        <v>136</v>
      </c>
      <c r="N131" t="s">
        <v>209</v>
      </c>
      <c r="O131" s="50" t="str">
        <f t="shared" si="8"/>
        <v>DESERTED CREEK_Chum</v>
      </c>
      <c r="P131">
        <v>170</v>
      </c>
      <c r="Q131">
        <v>962</v>
      </c>
      <c r="X131" s="408"/>
      <c r="Z131" s="32"/>
      <c r="AC131">
        <f t="shared" si="11"/>
        <v>566</v>
      </c>
    </row>
    <row r="132" spans="1:29" x14ac:dyDescent="0.2">
      <c r="A132">
        <v>2022</v>
      </c>
      <c r="B132" s="617">
        <v>22</v>
      </c>
      <c r="C132" s="617" t="s">
        <v>304</v>
      </c>
      <c r="D132" s="244" t="s">
        <v>81</v>
      </c>
      <c r="E132" s="244" t="s">
        <v>209</v>
      </c>
      <c r="F132" s="244" t="s">
        <v>419</v>
      </c>
      <c r="G132" s="244" t="s">
        <v>624</v>
      </c>
      <c r="H132" s="9" t="s">
        <v>616</v>
      </c>
      <c r="I132" s="9">
        <v>1</v>
      </c>
      <c r="J132" s="32">
        <v>1</v>
      </c>
      <c r="K132" s="193"/>
      <c r="M132" t="s">
        <v>81</v>
      </c>
      <c r="N132" t="s">
        <v>209</v>
      </c>
      <c r="O132" s="50" t="str">
        <f t="shared" si="8"/>
        <v>DOOBAH CREEK_Chum</v>
      </c>
      <c r="P132">
        <v>200</v>
      </c>
      <c r="W132">
        <v>1</v>
      </c>
      <c r="X132" s="408"/>
      <c r="Z132" s="32">
        <v>1</v>
      </c>
      <c r="AA132" s="410">
        <f t="shared" si="9"/>
        <v>1</v>
      </c>
      <c r="AB132" s="411">
        <f t="shared" si="10"/>
        <v>1</v>
      </c>
      <c r="AC132">
        <f t="shared" si="11"/>
        <v>67.333333333333329</v>
      </c>
    </row>
    <row r="133" spans="1:29" ht="15" x14ac:dyDescent="0.25">
      <c r="B133" s="617"/>
      <c r="C133" s="617"/>
      <c r="D133" s="244"/>
      <c r="E133" s="244"/>
      <c r="F133" s="244"/>
      <c r="G133" s="244"/>
      <c r="H133" s="9"/>
      <c r="I133" s="9"/>
      <c r="J133" s="32"/>
      <c r="K133" s="193"/>
      <c r="M133" t="s">
        <v>60</v>
      </c>
      <c r="N133" t="s">
        <v>209</v>
      </c>
      <c r="O133" s="50" t="str">
        <f t="shared" si="8"/>
        <v>EASY CREEK_Chum</v>
      </c>
      <c r="P133">
        <v>7203</v>
      </c>
      <c r="Q133">
        <v>1507</v>
      </c>
      <c r="R133">
        <v>1045</v>
      </c>
      <c r="S133">
        <v>685</v>
      </c>
      <c r="V133">
        <v>343</v>
      </c>
      <c r="W133">
        <v>116</v>
      </c>
      <c r="X133" s="384">
        <v>349</v>
      </c>
      <c r="Y133" s="403">
        <v>64</v>
      </c>
      <c r="Z133" s="32"/>
      <c r="AA133" s="410">
        <f t="shared" si="9"/>
        <v>176.33333333333334</v>
      </c>
      <c r="AB133" s="411">
        <f t="shared" si="10"/>
        <v>311.39999999999998</v>
      </c>
      <c r="AC133">
        <f t="shared" si="11"/>
        <v>1414</v>
      </c>
    </row>
    <row r="134" spans="1:29" ht="15" x14ac:dyDescent="0.25">
      <c r="A134">
        <v>2022</v>
      </c>
      <c r="B134" s="617">
        <v>23</v>
      </c>
      <c r="C134" s="617" t="s">
        <v>305</v>
      </c>
      <c r="D134" s="244" t="s">
        <v>96</v>
      </c>
      <c r="E134" s="244" t="s">
        <v>209</v>
      </c>
      <c r="F134" s="244" t="s">
        <v>419</v>
      </c>
      <c r="G134" s="244" t="s">
        <v>289</v>
      </c>
      <c r="H134" s="9" t="s">
        <v>616</v>
      </c>
      <c r="I134" s="9">
        <v>4</v>
      </c>
      <c r="J134" s="32">
        <v>378</v>
      </c>
      <c r="K134" s="193"/>
      <c r="M134" t="s">
        <v>96</v>
      </c>
      <c r="N134" t="s">
        <v>209</v>
      </c>
      <c r="O134" s="50" t="str">
        <f t="shared" si="8"/>
        <v>EFFINGHAM RIVER_Chum</v>
      </c>
      <c r="U134">
        <v>548</v>
      </c>
      <c r="V134">
        <v>6</v>
      </c>
      <c r="W134">
        <v>333</v>
      </c>
      <c r="X134" s="384">
        <v>1862</v>
      </c>
      <c r="Y134" s="403">
        <v>277</v>
      </c>
      <c r="Z134" s="32">
        <v>378</v>
      </c>
      <c r="AA134" s="410">
        <f t="shared" si="9"/>
        <v>712.5</v>
      </c>
      <c r="AB134" s="411">
        <f t="shared" si="10"/>
        <v>567.33333333333337</v>
      </c>
      <c r="AC134">
        <f t="shared" si="11"/>
        <v>567.33333333333337</v>
      </c>
    </row>
    <row r="135" spans="1:29" ht="15" x14ac:dyDescent="0.25">
      <c r="B135" s="617"/>
      <c r="C135" s="617"/>
      <c r="D135" s="244"/>
      <c r="E135" s="244"/>
      <c r="F135" s="244"/>
      <c r="G135" s="244"/>
      <c r="H135" s="9"/>
      <c r="I135" s="9"/>
      <c r="J135" s="32"/>
      <c r="K135" s="193"/>
      <c r="M135" t="s">
        <v>137</v>
      </c>
      <c r="N135" t="s">
        <v>209</v>
      </c>
      <c r="O135" s="50" t="str">
        <f t="shared" si="8"/>
        <v>ELIZA CREEK_Chum</v>
      </c>
      <c r="X135" s="384"/>
      <c r="Y135" s="403">
        <v>33</v>
      </c>
      <c r="Z135" s="32"/>
      <c r="AA135" s="410">
        <f t="shared" si="9"/>
        <v>33</v>
      </c>
      <c r="AB135" s="411">
        <f t="shared" si="10"/>
        <v>33</v>
      </c>
      <c r="AC135">
        <f t="shared" si="11"/>
        <v>33</v>
      </c>
    </row>
    <row r="136" spans="1:29" ht="15" x14ac:dyDescent="0.25">
      <c r="B136" s="617"/>
      <c r="C136" s="617"/>
      <c r="D136" s="244"/>
      <c r="E136" s="244"/>
      <c r="F136" s="244"/>
      <c r="G136" s="244"/>
      <c r="H136" s="9"/>
      <c r="I136" s="9"/>
      <c r="J136" s="32"/>
      <c r="K136" s="193"/>
      <c r="M136" t="s">
        <v>436</v>
      </c>
      <c r="N136" t="s">
        <v>209</v>
      </c>
      <c r="O136" s="50" t="str">
        <f t="shared" si="8"/>
        <v>ENGLISH COVE CREEK_Chum</v>
      </c>
      <c r="T136">
        <v>0</v>
      </c>
      <c r="U136">
        <v>0</v>
      </c>
      <c r="X136" s="384"/>
      <c r="Y136" s="403"/>
      <c r="Z136" s="32"/>
      <c r="AB136" s="411">
        <f t="shared" si="10"/>
        <v>0</v>
      </c>
      <c r="AC136">
        <f t="shared" si="11"/>
        <v>0</v>
      </c>
    </row>
    <row r="137" spans="1:29" ht="15" x14ac:dyDescent="0.25">
      <c r="B137" s="617"/>
      <c r="C137" s="617"/>
      <c r="D137" s="244"/>
      <c r="E137" s="244"/>
      <c r="F137" s="244"/>
      <c r="G137" s="244"/>
      <c r="H137" s="9"/>
      <c r="I137" s="9"/>
      <c r="J137" s="32"/>
      <c r="K137" s="193"/>
      <c r="M137" t="s">
        <v>538</v>
      </c>
      <c r="N137" t="s">
        <v>209</v>
      </c>
      <c r="O137" s="50" t="str">
        <f t="shared" ref="O137:O201" si="13">CONCATENATE(M137,"_",N137)</f>
        <v>ESCALANTE RIVER_Chum</v>
      </c>
      <c r="R137">
        <v>1</v>
      </c>
      <c r="X137" s="384">
        <v>21</v>
      </c>
      <c r="Y137" s="403"/>
      <c r="Z137" s="32"/>
      <c r="AA137" s="410">
        <f t="shared" si="9"/>
        <v>21</v>
      </c>
      <c r="AB137" s="411">
        <f t="shared" si="10"/>
        <v>21</v>
      </c>
      <c r="AC137">
        <f t="shared" si="11"/>
        <v>11</v>
      </c>
    </row>
    <row r="138" spans="1:29" ht="15" x14ac:dyDescent="0.25">
      <c r="A138">
        <v>2022</v>
      </c>
      <c r="B138" s="617">
        <v>25</v>
      </c>
      <c r="C138" s="617" t="s">
        <v>300</v>
      </c>
      <c r="D138" s="244" t="s">
        <v>138</v>
      </c>
      <c r="E138" s="244" t="s">
        <v>209</v>
      </c>
      <c r="F138" s="244" t="s">
        <v>419</v>
      </c>
      <c r="G138" s="244" t="s">
        <v>496</v>
      </c>
      <c r="H138" s="9" t="s">
        <v>616</v>
      </c>
      <c r="I138" s="9">
        <v>1</v>
      </c>
      <c r="J138" s="32">
        <v>525</v>
      </c>
      <c r="K138" s="193"/>
      <c r="M138" t="s">
        <v>138</v>
      </c>
      <c r="N138" t="s">
        <v>209</v>
      </c>
      <c r="O138" s="50" t="str">
        <f t="shared" si="13"/>
        <v>ESPINOSA CREEK_Chum</v>
      </c>
      <c r="P138">
        <v>609</v>
      </c>
      <c r="Q138">
        <v>800</v>
      </c>
      <c r="U138">
        <v>481</v>
      </c>
      <c r="V138">
        <v>4124</v>
      </c>
      <c r="W138">
        <v>840</v>
      </c>
      <c r="X138" s="384">
        <v>1458</v>
      </c>
      <c r="Y138" s="403">
        <v>563</v>
      </c>
      <c r="Z138" s="32">
        <v>525</v>
      </c>
      <c r="AA138" s="410">
        <f t="shared" ref="AA138:AA201" si="14">AVERAGE(W138:Z138)</f>
        <v>846.5</v>
      </c>
      <c r="AB138" s="411">
        <f t="shared" si="10"/>
        <v>1331.8333333333333</v>
      </c>
      <c r="AC138">
        <f t="shared" si="11"/>
        <v>1175</v>
      </c>
    </row>
    <row r="139" spans="1:29" ht="15" x14ac:dyDescent="0.25">
      <c r="A139">
        <v>2022</v>
      </c>
      <c r="B139" s="617">
        <v>23</v>
      </c>
      <c r="C139" s="617" t="s">
        <v>319</v>
      </c>
      <c r="D139" s="244" t="s">
        <v>175</v>
      </c>
      <c r="E139" s="244" t="s">
        <v>209</v>
      </c>
      <c r="F139" s="244" t="s">
        <v>419</v>
      </c>
      <c r="G139" s="244" t="s">
        <v>374</v>
      </c>
      <c r="H139" s="9" t="s">
        <v>611</v>
      </c>
      <c r="I139" s="9">
        <v>1</v>
      </c>
      <c r="J139" s="32">
        <v>1</v>
      </c>
      <c r="K139" s="193"/>
      <c r="M139" t="s">
        <v>175</v>
      </c>
      <c r="N139" t="s">
        <v>209</v>
      </c>
      <c r="O139" s="50" t="str">
        <f t="shared" si="13"/>
        <v>FREDERICK CREEK_Chum</v>
      </c>
      <c r="X139" s="384"/>
      <c r="Y139" s="403">
        <v>13</v>
      </c>
      <c r="Z139" s="32">
        <v>1</v>
      </c>
      <c r="AA139" s="410">
        <f t="shared" si="14"/>
        <v>7</v>
      </c>
      <c r="AB139" s="411">
        <f t="shared" si="10"/>
        <v>7</v>
      </c>
      <c r="AC139">
        <f t="shared" si="11"/>
        <v>7</v>
      </c>
    </row>
    <row r="140" spans="1:29" ht="15" x14ac:dyDescent="0.25">
      <c r="B140" s="617"/>
      <c r="C140" s="617"/>
      <c r="D140" s="244"/>
      <c r="E140" s="244"/>
      <c r="F140" s="244"/>
      <c r="G140" s="244"/>
      <c r="H140" s="9"/>
      <c r="I140" s="9"/>
      <c r="J140" s="32"/>
      <c r="K140" s="193"/>
      <c r="M140" t="s">
        <v>97</v>
      </c>
      <c r="N140" t="s">
        <v>209</v>
      </c>
      <c r="O140" s="50" t="str">
        <f t="shared" si="13"/>
        <v>FRANKLIN RIVER_Chum</v>
      </c>
      <c r="P140">
        <v>76</v>
      </c>
      <c r="Q140">
        <v>12</v>
      </c>
      <c r="S140">
        <v>30</v>
      </c>
      <c r="U140">
        <v>0</v>
      </c>
      <c r="X140" s="384"/>
      <c r="Y140" s="403"/>
      <c r="Z140" s="32"/>
      <c r="AB140" s="411">
        <f t="shared" si="10"/>
        <v>15</v>
      </c>
      <c r="AC140">
        <f t="shared" si="11"/>
        <v>29.5</v>
      </c>
    </row>
    <row r="141" spans="1:29" ht="15" x14ac:dyDescent="0.25">
      <c r="A141">
        <v>2022</v>
      </c>
      <c r="B141" s="617">
        <v>24</v>
      </c>
      <c r="C141" s="617" t="s">
        <v>296</v>
      </c>
      <c r="D141" s="244" t="s">
        <v>120</v>
      </c>
      <c r="E141" s="244" t="s">
        <v>209</v>
      </c>
      <c r="F141" s="244" t="s">
        <v>419</v>
      </c>
      <c r="G141" s="244" t="s">
        <v>497</v>
      </c>
      <c r="H141" s="9" t="s">
        <v>616</v>
      </c>
      <c r="I141" s="9">
        <v>3</v>
      </c>
      <c r="J141" s="32">
        <v>4</v>
      </c>
      <c r="K141" s="193"/>
      <c r="M141" t="s">
        <v>120</v>
      </c>
      <c r="N141" t="s">
        <v>209</v>
      </c>
      <c r="O141" s="50" t="str">
        <f t="shared" si="13"/>
        <v>FUNDY CREEK_Chum</v>
      </c>
      <c r="Q141">
        <v>1</v>
      </c>
      <c r="S141">
        <v>4</v>
      </c>
      <c r="T141">
        <v>2</v>
      </c>
      <c r="U141">
        <v>1</v>
      </c>
      <c r="X141" s="403">
        <v>1</v>
      </c>
      <c r="Y141" s="403">
        <v>3</v>
      </c>
      <c r="Z141" s="32">
        <v>4</v>
      </c>
      <c r="AA141" s="410">
        <f t="shared" si="14"/>
        <v>2.6666666666666665</v>
      </c>
      <c r="AB141" s="411">
        <f t="shared" si="10"/>
        <v>2.5</v>
      </c>
      <c r="AC141">
        <f t="shared" si="11"/>
        <v>2.2857142857142856</v>
      </c>
    </row>
    <row r="142" spans="1:29" ht="15" x14ac:dyDescent="0.25">
      <c r="A142">
        <v>2022</v>
      </c>
      <c r="B142" s="617">
        <v>25</v>
      </c>
      <c r="C142" s="617" t="s">
        <v>299</v>
      </c>
      <c r="D142" s="244" t="s">
        <v>47</v>
      </c>
      <c r="E142" s="244" t="s">
        <v>209</v>
      </c>
      <c r="F142" s="244" t="s">
        <v>419</v>
      </c>
      <c r="G142" s="244" t="s">
        <v>452</v>
      </c>
      <c r="H142" s="9" t="s">
        <v>613</v>
      </c>
      <c r="I142" s="9">
        <v>5</v>
      </c>
      <c r="J142" s="32">
        <v>65</v>
      </c>
      <c r="K142" s="193"/>
      <c r="M142" t="s">
        <v>47</v>
      </c>
      <c r="N142" t="s">
        <v>209</v>
      </c>
      <c r="O142" s="50" t="str">
        <f t="shared" si="13"/>
        <v>GOLD RIVER_Chum</v>
      </c>
      <c r="P142">
        <v>0</v>
      </c>
      <c r="Q142">
        <v>2</v>
      </c>
      <c r="S142">
        <v>0</v>
      </c>
      <c r="T142">
        <v>0</v>
      </c>
      <c r="W142">
        <v>1</v>
      </c>
      <c r="X142" s="384">
        <v>28</v>
      </c>
      <c r="Y142" s="403">
        <v>0</v>
      </c>
      <c r="Z142" s="32">
        <v>65</v>
      </c>
      <c r="AA142" s="410">
        <f t="shared" si="14"/>
        <v>23.5</v>
      </c>
      <c r="AB142" s="411">
        <f t="shared" si="10"/>
        <v>15.666666666666666</v>
      </c>
      <c r="AC142">
        <f t="shared" si="11"/>
        <v>12</v>
      </c>
    </row>
    <row r="143" spans="1:29" ht="18" x14ac:dyDescent="0.25">
      <c r="A143">
        <v>2022</v>
      </c>
      <c r="B143" s="617">
        <v>20</v>
      </c>
      <c r="C143" s="617" t="s">
        <v>291</v>
      </c>
      <c r="D143" s="244" t="s">
        <v>17</v>
      </c>
      <c r="E143" s="244" t="s">
        <v>209</v>
      </c>
      <c r="F143" s="244" t="s">
        <v>419</v>
      </c>
      <c r="G143" s="244" t="s">
        <v>370</v>
      </c>
      <c r="H143" s="9" t="s">
        <v>615</v>
      </c>
      <c r="I143" s="9">
        <v>1</v>
      </c>
      <c r="J143" s="32">
        <v>188</v>
      </c>
      <c r="K143" s="193"/>
      <c r="M143" t="s">
        <v>17</v>
      </c>
      <c r="N143" t="s">
        <v>209</v>
      </c>
      <c r="O143" s="50" t="str">
        <f t="shared" si="13"/>
        <v>GORDON RIVER_Chum</v>
      </c>
      <c r="Q143">
        <v>121</v>
      </c>
      <c r="R143">
        <v>161</v>
      </c>
      <c r="S143">
        <v>0</v>
      </c>
      <c r="W143">
        <v>179</v>
      </c>
      <c r="X143" s="384"/>
      <c r="Y143" s="403"/>
      <c r="Z143" s="32">
        <v>188</v>
      </c>
      <c r="AA143" s="410">
        <f t="shared" si="14"/>
        <v>183.5</v>
      </c>
      <c r="AB143" s="411">
        <f t="shared" si="10"/>
        <v>122.33333333333333</v>
      </c>
      <c r="AC143">
        <f t="shared" si="11"/>
        <v>129.80000000000001</v>
      </c>
    </row>
    <row r="144" spans="1:29" ht="18" x14ac:dyDescent="0.25">
      <c r="A144">
        <v>2022</v>
      </c>
      <c r="B144" s="617">
        <v>25</v>
      </c>
      <c r="C144" s="617" t="s">
        <v>300</v>
      </c>
      <c r="D144" s="244" t="s">
        <v>139</v>
      </c>
      <c r="E144" s="244" t="s">
        <v>209</v>
      </c>
      <c r="F144" s="244" t="s">
        <v>419</v>
      </c>
      <c r="G144" s="244" t="s">
        <v>528</v>
      </c>
      <c r="H144" s="9" t="s">
        <v>615</v>
      </c>
      <c r="I144" s="9">
        <v>1</v>
      </c>
      <c r="J144" s="32">
        <v>16</v>
      </c>
      <c r="K144" s="193"/>
      <c r="M144" t="s">
        <v>139</v>
      </c>
      <c r="N144" t="s">
        <v>209</v>
      </c>
      <c r="O144" s="50" t="str">
        <f t="shared" si="13"/>
        <v>HAMMOND CREEK_Chum</v>
      </c>
      <c r="P144">
        <v>46</v>
      </c>
      <c r="X144" s="384"/>
      <c r="Y144" s="403">
        <v>21</v>
      </c>
      <c r="Z144" s="32">
        <v>16</v>
      </c>
      <c r="AA144" s="410">
        <f t="shared" si="14"/>
        <v>18.5</v>
      </c>
      <c r="AB144" s="411">
        <f t="shared" si="10"/>
        <v>18.5</v>
      </c>
      <c r="AC144">
        <f t="shared" si="11"/>
        <v>27.666666666666668</v>
      </c>
    </row>
    <row r="145" spans="1:29" ht="15" x14ac:dyDescent="0.25">
      <c r="A145">
        <v>2022</v>
      </c>
      <c r="B145" s="617">
        <v>20</v>
      </c>
      <c r="C145" s="617" t="s">
        <v>291</v>
      </c>
      <c r="D145" s="244" t="s">
        <v>18</v>
      </c>
      <c r="E145" s="244" t="s">
        <v>209</v>
      </c>
      <c r="F145" s="244" t="s">
        <v>419</v>
      </c>
      <c r="G145" s="244" t="s">
        <v>370</v>
      </c>
      <c r="H145" s="9" t="s">
        <v>616</v>
      </c>
      <c r="I145" s="9">
        <v>1</v>
      </c>
      <c r="J145" s="32">
        <v>4</v>
      </c>
      <c r="K145" s="193"/>
      <c r="M145" t="s">
        <v>18</v>
      </c>
      <c r="N145" t="s">
        <v>209</v>
      </c>
      <c r="O145" s="50" t="str">
        <f t="shared" si="13"/>
        <v>HARRIS CREEK_Chum</v>
      </c>
      <c r="P145">
        <v>0</v>
      </c>
      <c r="Q145">
        <v>0</v>
      </c>
      <c r="R145">
        <v>0</v>
      </c>
      <c r="S145">
        <v>22</v>
      </c>
      <c r="T145">
        <v>4</v>
      </c>
      <c r="U145">
        <v>35</v>
      </c>
      <c r="V145">
        <v>0</v>
      </c>
      <c r="W145">
        <v>1</v>
      </c>
      <c r="X145" s="384"/>
      <c r="Y145" s="403"/>
      <c r="Z145" s="32">
        <v>4</v>
      </c>
      <c r="AA145" s="410">
        <f t="shared" si="14"/>
        <v>2.5</v>
      </c>
      <c r="AB145" s="411">
        <f t="shared" si="10"/>
        <v>11</v>
      </c>
      <c r="AC145">
        <f t="shared" si="11"/>
        <v>7.333333333333333</v>
      </c>
    </row>
    <row r="146" spans="1:29" ht="22.5" x14ac:dyDescent="0.25">
      <c r="A146">
        <v>2022</v>
      </c>
      <c r="B146" s="617">
        <v>24</v>
      </c>
      <c r="C146" s="617" t="s">
        <v>359</v>
      </c>
      <c r="D146" s="619" t="s">
        <v>246</v>
      </c>
      <c r="E146" s="244" t="s">
        <v>209</v>
      </c>
      <c r="F146" s="244" t="s">
        <v>419</v>
      </c>
      <c r="G146" s="244" t="s">
        <v>290</v>
      </c>
      <c r="H146" s="9" t="s">
        <v>616</v>
      </c>
      <c r="I146" s="9">
        <v>1</v>
      </c>
      <c r="J146" s="32">
        <v>52</v>
      </c>
      <c r="K146" s="193"/>
      <c r="M146" t="s">
        <v>539</v>
      </c>
      <c r="N146" t="s">
        <v>209</v>
      </c>
      <c r="O146" s="50" t="str">
        <f t="shared" si="13"/>
        <v>HESQUIAT HARBOUR #2 CREEKS_Chum</v>
      </c>
      <c r="P146">
        <v>67</v>
      </c>
      <c r="R146">
        <v>16</v>
      </c>
      <c r="S146">
        <v>15</v>
      </c>
      <c r="V146">
        <v>36</v>
      </c>
      <c r="X146" s="384"/>
      <c r="Y146" s="403"/>
      <c r="Z146" s="32">
        <v>52</v>
      </c>
      <c r="AA146" s="410">
        <f t="shared" si="14"/>
        <v>52</v>
      </c>
      <c r="AB146" s="411">
        <f t="shared" si="10"/>
        <v>34.333333333333336</v>
      </c>
      <c r="AC146">
        <f t="shared" si="11"/>
        <v>37.200000000000003</v>
      </c>
    </row>
    <row r="147" spans="1:29" ht="15" x14ac:dyDescent="0.25">
      <c r="B147" s="617"/>
      <c r="C147" s="617"/>
      <c r="D147" s="619"/>
      <c r="E147" s="244"/>
      <c r="F147" s="244"/>
      <c r="G147" s="244"/>
      <c r="H147" s="9"/>
      <c r="I147" s="9"/>
      <c r="J147" s="32"/>
      <c r="K147" s="193"/>
      <c r="M147" t="s">
        <v>540</v>
      </c>
      <c r="N147" t="s">
        <v>209</v>
      </c>
      <c r="O147" s="50" t="str">
        <f t="shared" si="13"/>
        <v>HESQUIAT HARBOUR #3 CREEKS_Chum</v>
      </c>
      <c r="P147">
        <v>0</v>
      </c>
      <c r="R147">
        <v>0</v>
      </c>
      <c r="S147">
        <v>0</v>
      </c>
      <c r="X147" s="403"/>
      <c r="Y147" s="403"/>
      <c r="Z147" s="32"/>
      <c r="AB147" s="411">
        <f t="shared" si="10"/>
        <v>0</v>
      </c>
      <c r="AC147">
        <f t="shared" si="11"/>
        <v>0</v>
      </c>
    </row>
    <row r="148" spans="1:29" ht="15" x14ac:dyDescent="0.25">
      <c r="B148" s="617"/>
      <c r="C148" s="617"/>
      <c r="D148" s="619"/>
      <c r="E148" s="244"/>
      <c r="F148" s="244"/>
      <c r="G148" s="244"/>
      <c r="H148" s="9"/>
      <c r="I148" s="9"/>
      <c r="J148" s="32"/>
      <c r="K148" s="193"/>
      <c r="M148" t="s">
        <v>541</v>
      </c>
      <c r="N148" t="s">
        <v>209</v>
      </c>
      <c r="O148" s="50" t="str">
        <f t="shared" si="13"/>
        <v>HESQUIAT HARBOUR #4 CREEKS_Chum</v>
      </c>
      <c r="P148">
        <v>3</v>
      </c>
      <c r="R148">
        <v>23</v>
      </c>
      <c r="S148">
        <v>15</v>
      </c>
      <c r="X148" s="384"/>
      <c r="Y148" s="403"/>
      <c r="Z148" s="32"/>
      <c r="AB148" s="411">
        <f t="shared" si="10"/>
        <v>15</v>
      </c>
      <c r="AC148">
        <f t="shared" si="11"/>
        <v>13.666666666666666</v>
      </c>
    </row>
    <row r="149" spans="1:29" ht="15" x14ac:dyDescent="0.25">
      <c r="A149">
        <v>2022</v>
      </c>
      <c r="B149" s="617">
        <v>24</v>
      </c>
      <c r="C149" s="617" t="s">
        <v>359</v>
      </c>
      <c r="D149" s="244" t="s">
        <v>249</v>
      </c>
      <c r="E149" s="244" t="s">
        <v>209</v>
      </c>
      <c r="F149" s="244" t="s">
        <v>419</v>
      </c>
      <c r="G149" s="244" t="s">
        <v>290</v>
      </c>
      <c r="H149" s="9" t="s">
        <v>616</v>
      </c>
      <c r="I149" s="9">
        <v>1</v>
      </c>
      <c r="J149" s="32">
        <v>400</v>
      </c>
      <c r="K149" s="193"/>
      <c r="M149" t="s">
        <v>542</v>
      </c>
      <c r="N149" t="s">
        <v>209</v>
      </c>
      <c r="O149" s="50" t="str">
        <f t="shared" si="13"/>
        <v>HESQUIAT LAKE CREEK_Chum</v>
      </c>
      <c r="P149">
        <v>689</v>
      </c>
      <c r="R149">
        <v>2200</v>
      </c>
      <c r="S149">
        <v>792</v>
      </c>
      <c r="V149">
        <v>28</v>
      </c>
      <c r="X149" s="384"/>
      <c r="Y149" s="403"/>
      <c r="Z149" s="32">
        <v>400</v>
      </c>
      <c r="AA149" s="410">
        <f t="shared" si="14"/>
        <v>400</v>
      </c>
      <c r="AB149" s="411">
        <f t="shared" si="10"/>
        <v>406.66666666666669</v>
      </c>
      <c r="AC149">
        <f t="shared" si="11"/>
        <v>821.8</v>
      </c>
    </row>
    <row r="150" spans="1:29" ht="15" x14ac:dyDescent="0.25">
      <c r="B150" s="617"/>
      <c r="C150" s="617"/>
      <c r="D150" s="244"/>
      <c r="E150" s="244"/>
      <c r="F150" s="244"/>
      <c r="G150" s="244"/>
      <c r="H150" s="9"/>
      <c r="I150" s="9"/>
      <c r="J150" s="32"/>
      <c r="K150" s="193"/>
      <c r="M150" t="s">
        <v>543</v>
      </c>
      <c r="N150" t="s">
        <v>209</v>
      </c>
      <c r="O150" s="50" t="str">
        <f t="shared" si="13"/>
        <v>HESQUIAT POINT CREEK_Chum</v>
      </c>
      <c r="R150">
        <v>0</v>
      </c>
      <c r="X150" s="384"/>
      <c r="Y150" s="403"/>
      <c r="Z150" s="32"/>
      <c r="AC150">
        <f t="shared" si="11"/>
        <v>0</v>
      </c>
    </row>
    <row r="151" spans="1:29" ht="15" x14ac:dyDescent="0.25">
      <c r="A151">
        <v>2022</v>
      </c>
      <c r="B151" s="617">
        <v>22</v>
      </c>
      <c r="C151" s="617" t="s">
        <v>304</v>
      </c>
      <c r="D151" s="244" t="s">
        <v>25</v>
      </c>
      <c r="E151" s="244" t="s">
        <v>209</v>
      </c>
      <c r="F151" s="244" t="s">
        <v>419</v>
      </c>
      <c r="G151" s="244" t="s">
        <v>624</v>
      </c>
      <c r="H151" s="9" t="s">
        <v>617</v>
      </c>
      <c r="I151" s="9">
        <v>1</v>
      </c>
      <c r="J151" s="32">
        <v>232</v>
      </c>
      <c r="K151" s="193"/>
      <c r="M151" t="s">
        <v>25</v>
      </c>
      <c r="N151" t="s">
        <v>209</v>
      </c>
      <c r="O151" s="50" t="str">
        <f t="shared" si="13"/>
        <v>HOBITON CREEK_Chum</v>
      </c>
      <c r="P151">
        <v>4000</v>
      </c>
      <c r="W151">
        <v>463</v>
      </c>
      <c r="X151" s="384"/>
      <c r="Y151" s="403">
        <v>760</v>
      </c>
      <c r="Z151" s="32">
        <v>232</v>
      </c>
      <c r="AA151" s="410">
        <f t="shared" si="14"/>
        <v>485</v>
      </c>
      <c r="AB151" s="411">
        <f t="shared" si="10"/>
        <v>485</v>
      </c>
      <c r="AC151">
        <f t="shared" si="11"/>
        <v>1363.75</v>
      </c>
    </row>
    <row r="152" spans="1:29" ht="15" x14ac:dyDescent="0.25">
      <c r="B152" s="617"/>
      <c r="C152" s="617"/>
      <c r="D152" s="244"/>
      <c r="E152" s="244"/>
      <c r="F152" s="244"/>
      <c r="G152" s="244"/>
      <c r="H152" s="9"/>
      <c r="I152" s="9"/>
      <c r="J152" s="32"/>
      <c r="K152" s="193"/>
      <c r="M152" t="s">
        <v>140</v>
      </c>
      <c r="N152" t="s">
        <v>209</v>
      </c>
      <c r="O152" s="50" t="str">
        <f t="shared" si="13"/>
        <v>HOISS CREEK_Chum</v>
      </c>
      <c r="P152">
        <v>23</v>
      </c>
      <c r="X152" s="384"/>
      <c r="Y152" s="403"/>
      <c r="Z152" s="32"/>
      <c r="AC152">
        <f t="shared" si="11"/>
        <v>23</v>
      </c>
    </row>
    <row r="153" spans="1:29" ht="15" x14ac:dyDescent="0.25">
      <c r="B153" s="617"/>
      <c r="C153" s="617"/>
      <c r="D153" s="244"/>
      <c r="E153" s="244"/>
      <c r="F153" s="244"/>
      <c r="G153" s="244"/>
      <c r="H153" s="9"/>
      <c r="I153" s="9"/>
      <c r="J153" s="32"/>
      <c r="K153" s="193"/>
      <c r="M153" t="s">
        <v>122</v>
      </c>
      <c r="N153" t="s">
        <v>209</v>
      </c>
      <c r="O153" s="50" t="str">
        <f t="shared" si="13"/>
        <v>HOOTLA KOOTLA CREEK_Chum</v>
      </c>
      <c r="R153">
        <v>4</v>
      </c>
      <c r="X153" s="384"/>
      <c r="Y153" s="403"/>
      <c r="Z153" s="32"/>
      <c r="AC153">
        <f t="shared" si="11"/>
        <v>4</v>
      </c>
    </row>
    <row r="154" spans="1:29" ht="15" x14ac:dyDescent="0.25">
      <c r="B154" s="617"/>
      <c r="C154" s="617"/>
      <c r="D154" s="244"/>
      <c r="E154" s="244"/>
      <c r="F154" s="244"/>
      <c r="G154" s="244"/>
      <c r="H154" s="9"/>
      <c r="I154" s="9"/>
      <c r="J154" s="32"/>
      <c r="K154" s="193"/>
      <c r="M154" t="s">
        <v>544</v>
      </c>
      <c r="N154" t="s">
        <v>209</v>
      </c>
      <c r="O154" s="50" t="str">
        <f t="shared" si="13"/>
        <v>HOT SPRINGS COVE CREEK_Chum</v>
      </c>
      <c r="P154">
        <v>224</v>
      </c>
      <c r="R154">
        <v>77</v>
      </c>
      <c r="S154">
        <v>6</v>
      </c>
      <c r="X154" s="384"/>
      <c r="Y154" s="403"/>
      <c r="Z154" s="32"/>
      <c r="AB154" s="411">
        <f t="shared" si="10"/>
        <v>6</v>
      </c>
      <c r="AC154">
        <f t="shared" si="11"/>
        <v>102.33333333333333</v>
      </c>
    </row>
    <row r="155" spans="1:29" ht="15" x14ac:dyDescent="0.25">
      <c r="B155" s="617"/>
      <c r="C155" s="617"/>
      <c r="D155" s="244"/>
      <c r="E155" s="244"/>
      <c r="F155" s="244"/>
      <c r="G155" s="244"/>
      <c r="H155" s="9"/>
      <c r="I155" s="9"/>
      <c r="J155" s="32"/>
      <c r="K155" s="193"/>
      <c r="M155" t="s">
        <v>123</v>
      </c>
      <c r="N155" t="s">
        <v>209</v>
      </c>
      <c r="O155" s="50" t="str">
        <f t="shared" si="13"/>
        <v>ICE RIVER_Chum</v>
      </c>
      <c r="R155">
        <v>45</v>
      </c>
      <c r="X155" s="384"/>
      <c r="Y155" s="403"/>
      <c r="Z155" s="32"/>
      <c r="AC155">
        <f t="shared" si="11"/>
        <v>45</v>
      </c>
    </row>
    <row r="156" spans="1:29" ht="15" x14ac:dyDescent="0.25">
      <c r="B156" s="617"/>
      <c r="C156" s="617"/>
      <c r="D156" s="244"/>
      <c r="E156" s="244"/>
      <c r="F156" s="244"/>
      <c r="G156" s="244"/>
      <c r="H156" s="9"/>
      <c r="I156" s="9"/>
      <c r="J156" s="32"/>
      <c r="K156" s="193"/>
      <c r="M156" t="s">
        <v>545</v>
      </c>
      <c r="N156" t="s">
        <v>209</v>
      </c>
      <c r="O156" s="50" t="str">
        <f t="shared" si="13"/>
        <v>JANSEN LAKE CREEK_Chum</v>
      </c>
      <c r="R156">
        <v>0</v>
      </c>
      <c r="S156">
        <v>0</v>
      </c>
      <c r="T156">
        <v>0</v>
      </c>
      <c r="U156">
        <v>0</v>
      </c>
      <c r="V156">
        <v>0</v>
      </c>
      <c r="X156" s="384"/>
      <c r="Y156" s="403"/>
      <c r="Z156" s="32"/>
      <c r="AB156" s="411">
        <f t="shared" si="10"/>
        <v>0</v>
      </c>
      <c r="AC156">
        <f t="shared" si="11"/>
        <v>0</v>
      </c>
    </row>
    <row r="157" spans="1:29" ht="15" x14ac:dyDescent="0.25">
      <c r="B157" s="617"/>
      <c r="C157" s="617"/>
      <c r="D157" s="244"/>
      <c r="E157" s="244"/>
      <c r="F157" s="244"/>
      <c r="G157" s="244"/>
      <c r="H157" s="9"/>
      <c r="I157" s="9"/>
      <c r="J157" s="32"/>
      <c r="K157" s="193"/>
      <c r="M157" t="s">
        <v>157</v>
      </c>
      <c r="N157" t="s">
        <v>209</v>
      </c>
      <c r="O157" s="50" t="str">
        <f t="shared" si="13"/>
        <v>JORDAN RIVER_Chum</v>
      </c>
      <c r="S157">
        <v>0</v>
      </c>
      <c r="T157">
        <v>2</v>
      </c>
      <c r="U157">
        <v>3</v>
      </c>
      <c r="W157">
        <v>0</v>
      </c>
      <c r="X157" s="384"/>
      <c r="Y157" s="403"/>
      <c r="Z157" s="32"/>
      <c r="AA157" s="410">
        <f t="shared" si="14"/>
        <v>0</v>
      </c>
      <c r="AB157" s="411">
        <f t="shared" si="10"/>
        <v>1.25</v>
      </c>
      <c r="AC157">
        <f t="shared" si="11"/>
        <v>1.25</v>
      </c>
    </row>
    <row r="158" spans="1:29" ht="15" x14ac:dyDescent="0.25">
      <c r="A158">
        <v>2022</v>
      </c>
      <c r="B158" s="617">
        <v>26</v>
      </c>
      <c r="C158" s="617" t="s">
        <v>301</v>
      </c>
      <c r="D158" s="244" t="s">
        <v>62</v>
      </c>
      <c r="E158" s="244" t="s">
        <v>209</v>
      </c>
      <c r="F158" s="244" t="s">
        <v>419</v>
      </c>
      <c r="G158" s="244" t="s">
        <v>292</v>
      </c>
      <c r="H158" s="9" t="s">
        <v>616</v>
      </c>
      <c r="I158" s="9">
        <v>7</v>
      </c>
      <c r="J158" s="32">
        <v>1183</v>
      </c>
      <c r="K158" s="193"/>
      <c r="M158" t="s">
        <v>62</v>
      </c>
      <c r="N158" t="s">
        <v>209</v>
      </c>
      <c r="O158" s="50" t="str">
        <f t="shared" si="13"/>
        <v>KAOUK RIVER_Chum</v>
      </c>
      <c r="P158">
        <v>5103</v>
      </c>
      <c r="Q158">
        <v>4787</v>
      </c>
      <c r="R158">
        <v>2892</v>
      </c>
      <c r="S158">
        <v>6505</v>
      </c>
      <c r="T158">
        <v>3633</v>
      </c>
      <c r="U158">
        <v>1515</v>
      </c>
      <c r="V158">
        <v>1380</v>
      </c>
      <c r="W158">
        <v>1244</v>
      </c>
      <c r="X158" s="403">
        <v>1542</v>
      </c>
      <c r="Y158" s="403">
        <v>1135</v>
      </c>
      <c r="Z158" s="32">
        <v>1183</v>
      </c>
      <c r="AA158" s="410">
        <f t="shared" si="14"/>
        <v>1276</v>
      </c>
      <c r="AB158" s="411">
        <f t="shared" ref="AB158:AB221" si="15">AVERAGE(S158:Z158)</f>
        <v>2267.125</v>
      </c>
      <c r="AC158">
        <f t="shared" ref="AC158:AC221" si="16">AVERAGE(P158:Z158)</f>
        <v>2810.818181818182</v>
      </c>
    </row>
    <row r="159" spans="1:29" ht="15" x14ac:dyDescent="0.25">
      <c r="B159" s="617"/>
      <c r="C159" s="617"/>
      <c r="D159" s="244"/>
      <c r="E159" s="244"/>
      <c r="F159" s="244"/>
      <c r="G159" s="244"/>
      <c r="H159" s="9"/>
      <c r="I159" s="9"/>
      <c r="J159" s="32"/>
      <c r="K159" s="193"/>
      <c r="M159" t="s">
        <v>63</v>
      </c>
      <c r="N159" t="s">
        <v>209</v>
      </c>
      <c r="O159" s="50" t="str">
        <f t="shared" si="13"/>
        <v>KASHUTL RIVER_Chum</v>
      </c>
      <c r="P159">
        <v>6178</v>
      </c>
      <c r="Q159">
        <v>2360</v>
      </c>
      <c r="R159">
        <v>78</v>
      </c>
      <c r="S159">
        <v>303</v>
      </c>
      <c r="T159">
        <v>136</v>
      </c>
      <c r="U159">
        <v>132</v>
      </c>
      <c r="V159">
        <v>546</v>
      </c>
      <c r="W159">
        <v>124</v>
      </c>
      <c r="X159" s="403">
        <v>56</v>
      </c>
      <c r="Y159" s="403"/>
      <c r="Z159" s="32"/>
      <c r="AA159" s="410">
        <f t="shared" si="14"/>
        <v>90</v>
      </c>
      <c r="AB159" s="411">
        <f t="shared" si="15"/>
        <v>216.16666666666666</v>
      </c>
      <c r="AC159">
        <f t="shared" si="16"/>
        <v>1101.4444444444443</v>
      </c>
    </row>
    <row r="160" spans="1:29" ht="15" x14ac:dyDescent="0.25">
      <c r="B160" s="617"/>
      <c r="C160" s="617"/>
      <c r="D160" s="244"/>
      <c r="E160" s="244"/>
      <c r="F160" s="244"/>
      <c r="G160" s="244"/>
      <c r="H160" s="9"/>
      <c r="I160" s="9"/>
      <c r="J160" s="32"/>
      <c r="K160" s="193"/>
      <c r="M160" t="s">
        <v>64</v>
      </c>
      <c r="N160" t="s">
        <v>209</v>
      </c>
      <c r="O160" s="50" t="str">
        <f t="shared" si="13"/>
        <v>KAUWINCH RIVER_Chum</v>
      </c>
      <c r="P160">
        <v>3663</v>
      </c>
      <c r="Q160">
        <v>2239</v>
      </c>
      <c r="R160">
        <v>1528</v>
      </c>
      <c r="S160">
        <v>421</v>
      </c>
      <c r="T160">
        <v>376</v>
      </c>
      <c r="U160">
        <v>832</v>
      </c>
      <c r="V160">
        <v>1124</v>
      </c>
      <c r="W160">
        <v>336</v>
      </c>
      <c r="X160" s="384">
        <v>357</v>
      </c>
      <c r="Y160" s="403">
        <v>710</v>
      </c>
      <c r="Z160" s="32"/>
      <c r="AA160" s="410">
        <f t="shared" si="14"/>
        <v>467.66666666666669</v>
      </c>
      <c r="AB160" s="411">
        <f t="shared" si="15"/>
        <v>593.71428571428567</v>
      </c>
      <c r="AC160">
        <f t="shared" si="16"/>
        <v>1158.5999999999999</v>
      </c>
    </row>
    <row r="161" spans="1:29" ht="15" x14ac:dyDescent="0.25">
      <c r="A161">
        <v>2022</v>
      </c>
      <c r="B161" s="617">
        <v>24</v>
      </c>
      <c r="C161" s="617" t="s">
        <v>296</v>
      </c>
      <c r="D161" s="244" t="s">
        <v>243</v>
      </c>
      <c r="E161" s="244" t="s">
        <v>209</v>
      </c>
      <c r="F161" s="244" t="s">
        <v>419</v>
      </c>
      <c r="G161" s="244" t="s">
        <v>626</v>
      </c>
      <c r="H161" s="9" t="s">
        <v>618</v>
      </c>
      <c r="I161" s="9">
        <v>4</v>
      </c>
      <c r="J161" s="32">
        <v>1</v>
      </c>
      <c r="K161" s="193"/>
      <c r="M161" t="s">
        <v>546</v>
      </c>
      <c r="N161" t="s">
        <v>209</v>
      </c>
      <c r="O161" s="50" t="str">
        <f t="shared" si="13"/>
        <v>KENNEDY LAKE_Chum</v>
      </c>
      <c r="Q161">
        <v>0</v>
      </c>
      <c r="R161">
        <v>0</v>
      </c>
      <c r="S161">
        <v>2</v>
      </c>
      <c r="U161">
        <v>0</v>
      </c>
      <c r="X161" s="384"/>
      <c r="Y161" s="403">
        <v>0</v>
      </c>
      <c r="Z161" s="32">
        <v>1</v>
      </c>
      <c r="AA161" s="410">
        <f t="shared" si="14"/>
        <v>0.5</v>
      </c>
      <c r="AB161" s="411">
        <f t="shared" si="15"/>
        <v>0.75</v>
      </c>
      <c r="AC161">
        <f t="shared" si="16"/>
        <v>0.5</v>
      </c>
    </row>
    <row r="162" spans="1:29" ht="15" x14ac:dyDescent="0.25">
      <c r="B162" s="617"/>
      <c r="C162" s="617"/>
      <c r="D162" s="244"/>
      <c r="E162" s="244"/>
      <c r="F162" s="244"/>
      <c r="G162" s="244"/>
      <c r="H162" s="9"/>
      <c r="I162" s="9"/>
      <c r="J162" s="32"/>
      <c r="K162" s="193"/>
      <c r="M162" t="s">
        <v>124</v>
      </c>
      <c r="N162" t="s">
        <v>209</v>
      </c>
      <c r="O162" s="50" t="str">
        <f t="shared" si="13"/>
        <v>KENNEDY LAKE FEEDER STREAMS_Chum</v>
      </c>
      <c r="U162">
        <v>0</v>
      </c>
      <c r="V162">
        <v>0</v>
      </c>
      <c r="X162" s="384"/>
      <c r="Y162" s="403"/>
      <c r="Z162" s="32"/>
      <c r="AB162" s="411">
        <f t="shared" si="15"/>
        <v>0</v>
      </c>
      <c r="AC162">
        <f t="shared" si="16"/>
        <v>0</v>
      </c>
    </row>
    <row r="163" spans="1:29" ht="15" x14ac:dyDescent="0.25">
      <c r="B163" s="617"/>
      <c r="C163" s="617"/>
      <c r="D163" s="244"/>
      <c r="E163" s="244"/>
      <c r="F163" s="244"/>
      <c r="G163" s="244"/>
      <c r="H163" s="9"/>
      <c r="I163" s="9"/>
      <c r="J163" s="32"/>
      <c r="K163" s="193"/>
      <c r="M163" s="359" t="s">
        <v>40</v>
      </c>
      <c r="N163" t="s">
        <v>209</v>
      </c>
      <c r="O163" s="50" t="str">
        <f t="shared" si="13"/>
        <v>KENNEDY RIVER (UPPER)_Chum</v>
      </c>
      <c r="P163">
        <v>1</v>
      </c>
      <c r="Q163">
        <v>0</v>
      </c>
      <c r="R163">
        <v>6</v>
      </c>
      <c r="S163">
        <v>1</v>
      </c>
      <c r="T163">
        <v>1</v>
      </c>
      <c r="U163">
        <v>1</v>
      </c>
      <c r="V163">
        <v>1</v>
      </c>
      <c r="W163">
        <v>1</v>
      </c>
      <c r="X163" s="384">
        <v>4</v>
      </c>
      <c r="Y163" s="403">
        <v>2</v>
      </c>
      <c r="Z163" s="32"/>
      <c r="AA163" s="410">
        <f t="shared" si="14"/>
        <v>2.3333333333333335</v>
      </c>
      <c r="AB163" s="411">
        <f t="shared" si="15"/>
        <v>1.5714285714285714</v>
      </c>
      <c r="AC163">
        <f t="shared" si="16"/>
        <v>1.8</v>
      </c>
    </row>
    <row r="164" spans="1:29" ht="15" x14ac:dyDescent="0.25">
      <c r="B164" s="617"/>
      <c r="C164" s="617"/>
      <c r="D164" s="244"/>
      <c r="E164" s="244"/>
      <c r="F164" s="244"/>
      <c r="G164" s="244"/>
      <c r="H164" s="9"/>
      <c r="I164" s="9"/>
      <c r="J164" s="32"/>
      <c r="K164" s="193"/>
      <c r="M164" t="s">
        <v>31</v>
      </c>
      <c r="N164" t="s">
        <v>209</v>
      </c>
      <c r="O164" s="50" t="str">
        <f t="shared" si="13"/>
        <v>KITSUCKSUS CREEK_Chum</v>
      </c>
      <c r="P164">
        <v>24</v>
      </c>
      <c r="X164" s="384"/>
      <c r="Y164" s="403"/>
      <c r="Z164" s="32"/>
      <c r="AC164">
        <f t="shared" si="16"/>
        <v>24</v>
      </c>
    </row>
    <row r="165" spans="1:29" ht="15" x14ac:dyDescent="0.25">
      <c r="A165">
        <v>2022</v>
      </c>
      <c r="B165" s="617">
        <v>21</v>
      </c>
      <c r="C165" s="617" t="s">
        <v>304</v>
      </c>
      <c r="D165" s="244" t="s">
        <v>77</v>
      </c>
      <c r="E165" s="244" t="s">
        <v>209</v>
      </c>
      <c r="F165" s="244" t="s">
        <v>419</v>
      </c>
      <c r="G165" s="244" t="s">
        <v>374</v>
      </c>
      <c r="H165" s="9" t="s">
        <v>613</v>
      </c>
      <c r="I165" s="9">
        <v>1</v>
      </c>
      <c r="J165" s="32">
        <v>0</v>
      </c>
      <c r="K165" s="193"/>
      <c r="M165" t="s">
        <v>77</v>
      </c>
      <c r="N165" t="s">
        <v>209</v>
      </c>
      <c r="O165" s="50" t="str">
        <f t="shared" si="13"/>
        <v>KLANAWA RIVER_Chum</v>
      </c>
      <c r="P165">
        <v>5</v>
      </c>
      <c r="X165" s="384"/>
      <c r="Y165" s="403"/>
      <c r="Z165" s="32">
        <v>0</v>
      </c>
      <c r="AA165" s="410">
        <f t="shared" si="14"/>
        <v>0</v>
      </c>
      <c r="AB165" s="411">
        <f t="shared" si="15"/>
        <v>0</v>
      </c>
      <c r="AC165">
        <f t="shared" si="16"/>
        <v>2.5</v>
      </c>
    </row>
    <row r="166" spans="1:29" ht="15" x14ac:dyDescent="0.25">
      <c r="A166">
        <v>2022</v>
      </c>
      <c r="B166" s="617">
        <v>25</v>
      </c>
      <c r="C166" s="617" t="s">
        <v>299</v>
      </c>
      <c r="D166" s="244" t="s">
        <v>142</v>
      </c>
      <c r="E166" s="244" t="s">
        <v>209</v>
      </c>
      <c r="F166" s="244" t="s">
        <v>419</v>
      </c>
      <c r="G166" s="244" t="s">
        <v>452</v>
      </c>
      <c r="H166" s="9" t="s">
        <v>609</v>
      </c>
      <c r="I166" s="9">
        <v>1</v>
      </c>
      <c r="J166" s="32">
        <v>16</v>
      </c>
      <c r="K166" s="193"/>
      <c r="M166" t="s">
        <v>142</v>
      </c>
      <c r="N166" t="s">
        <v>209</v>
      </c>
      <c r="O166" s="50" t="str">
        <f t="shared" si="13"/>
        <v>KLEEPTEE CREEK_Chum</v>
      </c>
      <c r="P166">
        <v>920</v>
      </c>
      <c r="T166">
        <v>554</v>
      </c>
      <c r="X166" s="384"/>
      <c r="Y166" s="403"/>
      <c r="Z166" s="32">
        <v>16</v>
      </c>
      <c r="AA166" s="410">
        <f t="shared" si="14"/>
        <v>16</v>
      </c>
      <c r="AB166" s="411">
        <f t="shared" si="15"/>
        <v>285</v>
      </c>
      <c r="AC166">
        <f t="shared" si="16"/>
        <v>496.66666666666669</v>
      </c>
    </row>
    <row r="167" spans="1:29" ht="15" x14ac:dyDescent="0.25">
      <c r="B167" s="617"/>
      <c r="C167" s="617"/>
      <c r="D167" s="244"/>
      <c r="E167" s="244"/>
      <c r="F167" s="244"/>
      <c r="G167" s="244"/>
      <c r="H167" s="9"/>
      <c r="I167" s="9"/>
      <c r="J167" s="32"/>
      <c r="K167" s="193"/>
      <c r="M167" t="s">
        <v>125</v>
      </c>
      <c r="N167" t="s">
        <v>209</v>
      </c>
      <c r="O167" s="50" t="str">
        <f t="shared" si="13"/>
        <v>KOOTOWIS CREEK_Chum</v>
      </c>
      <c r="P167">
        <v>0</v>
      </c>
      <c r="X167" s="384"/>
      <c r="Y167" s="403"/>
      <c r="Z167" s="32"/>
      <c r="AC167">
        <f t="shared" si="16"/>
        <v>0</v>
      </c>
    </row>
    <row r="168" spans="1:29" ht="15" x14ac:dyDescent="0.25">
      <c r="A168">
        <v>2022</v>
      </c>
      <c r="B168" s="617">
        <v>25</v>
      </c>
      <c r="C168" s="618" t="s">
        <v>299</v>
      </c>
      <c r="D168" s="244" t="s">
        <v>48</v>
      </c>
      <c r="E168" s="244" t="s">
        <v>209</v>
      </c>
      <c r="F168" s="244" t="s">
        <v>419</v>
      </c>
      <c r="G168" s="244" t="s">
        <v>495</v>
      </c>
      <c r="H168" s="9" t="s">
        <v>617</v>
      </c>
      <c r="I168" s="9">
        <v>7</v>
      </c>
      <c r="J168" s="32">
        <v>732</v>
      </c>
      <c r="K168" s="193"/>
      <c r="M168" t="s">
        <v>48</v>
      </c>
      <c r="N168" t="s">
        <v>209</v>
      </c>
      <c r="O168" s="50" t="str">
        <f t="shared" si="13"/>
        <v>LEINER RIVER_Chum</v>
      </c>
      <c r="P168">
        <v>1943</v>
      </c>
      <c r="Q168">
        <v>1440</v>
      </c>
      <c r="R168">
        <v>1071</v>
      </c>
      <c r="S168">
        <v>1875</v>
      </c>
      <c r="T168">
        <v>5056</v>
      </c>
      <c r="U168">
        <v>953</v>
      </c>
      <c r="V168">
        <v>951</v>
      </c>
      <c r="W168">
        <v>639</v>
      </c>
      <c r="X168" s="384">
        <v>543</v>
      </c>
      <c r="Y168" s="403">
        <v>190</v>
      </c>
      <c r="Z168" s="32">
        <v>732</v>
      </c>
      <c r="AA168" s="410">
        <f t="shared" si="14"/>
        <v>526</v>
      </c>
      <c r="AB168" s="411">
        <f t="shared" si="15"/>
        <v>1367.375</v>
      </c>
      <c r="AC168">
        <f t="shared" si="16"/>
        <v>1399.3636363636363</v>
      </c>
    </row>
    <row r="169" spans="1:29" ht="15" x14ac:dyDescent="0.25">
      <c r="A169">
        <v>2022</v>
      </c>
      <c r="B169" s="617">
        <v>20</v>
      </c>
      <c r="C169" s="617" t="s">
        <v>291</v>
      </c>
      <c r="D169" s="244" t="s">
        <v>73</v>
      </c>
      <c r="E169" s="244" t="s">
        <v>209</v>
      </c>
      <c r="F169" s="244" t="s">
        <v>419</v>
      </c>
      <c r="G169" s="244" t="s">
        <v>370</v>
      </c>
      <c r="H169" s="9" t="s">
        <v>617</v>
      </c>
      <c r="I169" s="9">
        <v>1</v>
      </c>
      <c r="J169" s="32">
        <v>25</v>
      </c>
      <c r="K169" s="193"/>
      <c r="M169" t="s">
        <v>73</v>
      </c>
      <c r="N169" t="s">
        <v>209</v>
      </c>
      <c r="O169" s="50" t="str">
        <f t="shared" si="13"/>
        <v>LENS CREEK_Chum</v>
      </c>
      <c r="P169">
        <v>6</v>
      </c>
      <c r="Q169">
        <v>0</v>
      </c>
      <c r="R169">
        <v>0</v>
      </c>
      <c r="S169">
        <v>0</v>
      </c>
      <c r="T169">
        <v>7</v>
      </c>
      <c r="U169">
        <v>1</v>
      </c>
      <c r="V169">
        <v>0</v>
      </c>
      <c r="W169">
        <v>1</v>
      </c>
      <c r="X169" s="384"/>
      <c r="Y169" s="403">
        <v>874</v>
      </c>
      <c r="Z169" s="32">
        <v>25</v>
      </c>
      <c r="AA169" s="410">
        <f t="shared" si="14"/>
        <v>300</v>
      </c>
      <c r="AB169" s="411">
        <f t="shared" si="15"/>
        <v>129.71428571428572</v>
      </c>
      <c r="AC169">
        <f t="shared" si="16"/>
        <v>91.4</v>
      </c>
    </row>
    <row r="170" spans="1:29" ht="18" x14ac:dyDescent="0.25">
      <c r="A170">
        <v>2022</v>
      </c>
      <c r="B170" s="617">
        <v>23</v>
      </c>
      <c r="C170" s="617" t="s">
        <v>295</v>
      </c>
      <c r="D170" s="244" t="s">
        <v>565</v>
      </c>
      <c r="E170" s="244" t="s">
        <v>209</v>
      </c>
      <c r="F170" s="244" t="s">
        <v>419</v>
      </c>
      <c r="G170" s="244" t="s">
        <v>289</v>
      </c>
      <c r="H170" s="9" t="s">
        <v>615</v>
      </c>
      <c r="I170" s="9">
        <v>2</v>
      </c>
      <c r="J170" s="32">
        <v>3535</v>
      </c>
      <c r="K170" s="193"/>
      <c r="M170" t="s">
        <v>179</v>
      </c>
      <c r="N170" t="s">
        <v>209</v>
      </c>
      <c r="O170" s="50" t="str">
        <f t="shared" si="13"/>
        <v>LITTLE TOQUART CREEK_Chum</v>
      </c>
      <c r="Q170">
        <v>1161</v>
      </c>
      <c r="R170">
        <v>1900</v>
      </c>
      <c r="W170">
        <v>842</v>
      </c>
      <c r="X170" s="384">
        <v>2350</v>
      </c>
      <c r="Y170" s="403"/>
      <c r="Z170" s="32">
        <v>3535</v>
      </c>
      <c r="AA170" s="410">
        <f t="shared" si="14"/>
        <v>2242.3333333333335</v>
      </c>
      <c r="AB170" s="411">
        <f t="shared" si="15"/>
        <v>2242.3333333333335</v>
      </c>
      <c r="AC170">
        <f t="shared" si="16"/>
        <v>1957.6</v>
      </c>
    </row>
    <row r="171" spans="1:29" ht="15" x14ac:dyDescent="0.25">
      <c r="B171" s="617"/>
      <c r="C171" s="617"/>
      <c r="D171" s="244"/>
      <c r="E171" s="244"/>
      <c r="F171" s="244"/>
      <c r="G171" s="244"/>
      <c r="H171" s="9"/>
      <c r="I171" s="9"/>
      <c r="J171" s="32"/>
      <c r="K171" s="193"/>
      <c r="M171" t="s">
        <v>143</v>
      </c>
      <c r="N171" t="s">
        <v>209</v>
      </c>
      <c r="O171" s="50" t="str">
        <f t="shared" si="13"/>
        <v>LITTLE ZEBALLOS RIVER_Chum</v>
      </c>
      <c r="P171">
        <v>3430</v>
      </c>
      <c r="Q171">
        <v>2322</v>
      </c>
      <c r="R171">
        <v>222</v>
      </c>
      <c r="S171">
        <v>3577</v>
      </c>
      <c r="T171">
        <v>887</v>
      </c>
      <c r="U171">
        <v>270</v>
      </c>
      <c r="V171">
        <v>640</v>
      </c>
      <c r="W171">
        <v>751</v>
      </c>
      <c r="X171" s="384">
        <v>382</v>
      </c>
      <c r="Y171" s="403"/>
      <c r="Z171" s="32"/>
      <c r="AA171" s="410">
        <f t="shared" si="14"/>
        <v>566.5</v>
      </c>
      <c r="AB171" s="411">
        <f t="shared" si="15"/>
        <v>1084.5</v>
      </c>
      <c r="AC171">
        <f t="shared" si="16"/>
        <v>1386.7777777777778</v>
      </c>
    </row>
    <row r="172" spans="1:29" ht="15" x14ac:dyDescent="0.25">
      <c r="B172" s="617"/>
      <c r="C172" s="617"/>
      <c r="D172" s="244"/>
      <c r="E172" s="244"/>
      <c r="F172" s="244"/>
      <c r="G172" s="244"/>
      <c r="H172" s="9"/>
      <c r="I172" s="9"/>
      <c r="J172" s="32"/>
      <c r="K172" s="193"/>
      <c r="M172" t="s">
        <v>194</v>
      </c>
      <c r="N172" t="s">
        <v>209</v>
      </c>
      <c r="O172" s="50" t="str">
        <f t="shared" si="13"/>
        <v>LOST SHOE CREEK_Chum</v>
      </c>
      <c r="T172">
        <v>203</v>
      </c>
      <c r="U172">
        <v>0</v>
      </c>
      <c r="V172">
        <v>2</v>
      </c>
      <c r="X172" s="384"/>
      <c r="Y172" s="403"/>
      <c r="Z172" s="32"/>
      <c r="AB172" s="411">
        <f t="shared" si="15"/>
        <v>68.333333333333329</v>
      </c>
      <c r="AC172">
        <f t="shared" si="16"/>
        <v>68.333333333333329</v>
      </c>
    </row>
    <row r="173" spans="1:29" ht="15" x14ac:dyDescent="0.25">
      <c r="B173" s="617"/>
      <c r="C173" s="617"/>
      <c r="D173" s="244"/>
      <c r="E173" s="244"/>
      <c r="F173" s="244"/>
      <c r="G173" s="244"/>
      <c r="H173" s="9"/>
      <c r="I173" s="9"/>
      <c r="J173" s="32"/>
      <c r="K173" s="193"/>
      <c r="M173" t="s">
        <v>99</v>
      </c>
      <c r="N173" t="s">
        <v>209</v>
      </c>
      <c r="O173" s="50" t="str">
        <f t="shared" si="13"/>
        <v>MACKTUSH CREEK_Chum</v>
      </c>
      <c r="P173">
        <v>1000</v>
      </c>
      <c r="Q173">
        <v>1</v>
      </c>
      <c r="S173">
        <v>0</v>
      </c>
      <c r="T173">
        <v>0</v>
      </c>
      <c r="U173">
        <v>0</v>
      </c>
      <c r="X173" s="384"/>
      <c r="Y173" s="403"/>
      <c r="Z173" s="32"/>
      <c r="AB173" s="411">
        <f t="shared" si="15"/>
        <v>0</v>
      </c>
      <c r="AC173">
        <f t="shared" si="16"/>
        <v>200.2</v>
      </c>
    </row>
    <row r="174" spans="1:29" ht="18" x14ac:dyDescent="0.25">
      <c r="A174">
        <v>2022</v>
      </c>
      <c r="B174" s="617">
        <v>23</v>
      </c>
      <c r="C174" s="617" t="s">
        <v>295</v>
      </c>
      <c r="D174" s="244" t="s">
        <v>181</v>
      </c>
      <c r="E174" s="244" t="s">
        <v>209</v>
      </c>
      <c r="F174" s="244" t="s">
        <v>419</v>
      </c>
      <c r="G174" s="244" t="s">
        <v>289</v>
      </c>
      <c r="H174" s="9" t="s">
        <v>619</v>
      </c>
      <c r="I174" s="9">
        <v>4</v>
      </c>
      <c r="J174" s="32">
        <v>80</v>
      </c>
      <c r="K174" s="193"/>
      <c r="M174" t="s">
        <v>181</v>
      </c>
      <c r="N174" t="s">
        <v>209</v>
      </c>
      <c r="O174" s="50" t="str">
        <f t="shared" si="13"/>
        <v>MAGGIE RIVER_Chum</v>
      </c>
      <c r="P174">
        <v>5</v>
      </c>
      <c r="Q174">
        <v>0</v>
      </c>
      <c r="R174">
        <v>0</v>
      </c>
      <c r="S174">
        <v>0</v>
      </c>
      <c r="W174">
        <v>0</v>
      </c>
      <c r="X174" s="384">
        <v>0</v>
      </c>
      <c r="Y174" s="403"/>
      <c r="Z174" s="32">
        <v>80</v>
      </c>
      <c r="AA174" s="410">
        <f t="shared" si="14"/>
        <v>26.666666666666668</v>
      </c>
      <c r="AB174" s="411">
        <f t="shared" si="15"/>
        <v>20</v>
      </c>
      <c r="AC174">
        <f t="shared" si="16"/>
        <v>12.142857142857142</v>
      </c>
    </row>
    <row r="175" spans="1:29" ht="15" x14ac:dyDescent="0.25">
      <c r="B175" s="617"/>
      <c r="C175" s="617"/>
      <c r="D175" s="244"/>
      <c r="E175" s="244"/>
      <c r="F175" s="244"/>
      <c r="G175" s="244"/>
      <c r="H175" s="9"/>
      <c r="I175" s="9"/>
      <c r="J175" s="32"/>
      <c r="K175" s="193"/>
      <c r="M175" t="s">
        <v>547</v>
      </c>
      <c r="N175" t="s">
        <v>209</v>
      </c>
      <c r="O175" s="50" t="str">
        <f t="shared" si="13"/>
        <v>MAHATTA CREEK_Chum</v>
      </c>
      <c r="V175">
        <v>0</v>
      </c>
      <c r="X175" s="384"/>
      <c r="Y175" s="403"/>
      <c r="Z175" s="32"/>
      <c r="AB175" s="411">
        <f t="shared" si="15"/>
        <v>0</v>
      </c>
      <c r="AC175">
        <f t="shared" si="16"/>
        <v>0</v>
      </c>
    </row>
    <row r="176" spans="1:29" ht="15" x14ac:dyDescent="0.25">
      <c r="A176">
        <v>2022</v>
      </c>
      <c r="B176" s="617">
        <v>26</v>
      </c>
      <c r="C176" s="617" t="s">
        <v>301</v>
      </c>
      <c r="D176" s="244" t="s">
        <v>205</v>
      </c>
      <c r="E176" s="244" t="s">
        <v>209</v>
      </c>
      <c r="F176" s="244" t="s">
        <v>419</v>
      </c>
      <c r="G176" s="244" t="s">
        <v>292</v>
      </c>
      <c r="H176" s="9" t="s">
        <v>616</v>
      </c>
      <c r="I176" s="9">
        <v>6</v>
      </c>
      <c r="J176" s="32">
        <v>1597</v>
      </c>
      <c r="K176" s="193"/>
      <c r="M176" t="s">
        <v>205</v>
      </c>
      <c r="N176" t="s">
        <v>209</v>
      </c>
      <c r="O176" s="50" t="str">
        <f t="shared" si="13"/>
        <v>MALKSOPE RIVER_Chum</v>
      </c>
      <c r="P176">
        <v>8718</v>
      </c>
      <c r="Q176">
        <v>5502</v>
      </c>
      <c r="R176">
        <v>5559</v>
      </c>
      <c r="S176">
        <v>2556</v>
      </c>
      <c r="T176">
        <v>1524</v>
      </c>
      <c r="U176">
        <v>708</v>
      </c>
      <c r="V176">
        <v>809</v>
      </c>
      <c r="W176">
        <v>2302</v>
      </c>
      <c r="X176" s="384">
        <v>3006</v>
      </c>
      <c r="Y176" s="403">
        <v>932</v>
      </c>
      <c r="Z176" s="32">
        <v>1597</v>
      </c>
      <c r="AA176" s="410">
        <f t="shared" si="14"/>
        <v>1959.25</v>
      </c>
      <c r="AB176" s="411">
        <f t="shared" si="15"/>
        <v>1679.25</v>
      </c>
      <c r="AC176">
        <f t="shared" si="16"/>
        <v>3019.3636363636365</v>
      </c>
    </row>
    <row r="177" spans="1:29" ht="15" x14ac:dyDescent="0.25">
      <c r="B177" s="617"/>
      <c r="C177" s="617"/>
      <c r="D177" s="244"/>
      <c r="E177" s="244"/>
      <c r="F177" s="244"/>
      <c r="G177" s="244"/>
      <c r="H177" s="9"/>
      <c r="I177" s="9"/>
      <c r="J177" s="32"/>
      <c r="K177" s="193"/>
      <c r="M177" t="s">
        <v>145</v>
      </c>
      <c r="N177" t="s">
        <v>209</v>
      </c>
      <c r="O177" s="50" t="str">
        <f t="shared" si="13"/>
        <v>MAMAT CREEK_Chum</v>
      </c>
      <c r="V177">
        <v>875</v>
      </c>
      <c r="X177" s="384"/>
      <c r="Y177" s="403"/>
      <c r="Z177" s="32"/>
      <c r="AB177" s="411">
        <f t="shared" si="15"/>
        <v>875</v>
      </c>
      <c r="AC177">
        <f t="shared" si="16"/>
        <v>875</v>
      </c>
    </row>
    <row r="178" spans="1:29" ht="15" x14ac:dyDescent="0.25">
      <c r="A178">
        <v>2022</v>
      </c>
      <c r="B178" s="617">
        <v>27</v>
      </c>
      <c r="C178" s="617" t="s">
        <v>302</v>
      </c>
      <c r="D178" s="244" t="s">
        <v>70</v>
      </c>
      <c r="E178" s="244" t="s">
        <v>209</v>
      </c>
      <c r="F178" s="244" t="s">
        <v>419</v>
      </c>
      <c r="G178" s="244" t="s">
        <v>628</v>
      </c>
      <c r="H178" s="9" t="s">
        <v>617</v>
      </c>
      <c r="I178" s="9">
        <v>5</v>
      </c>
      <c r="J178" s="32">
        <v>0</v>
      </c>
      <c r="K178" s="193"/>
      <c r="M178" s="67" t="s">
        <v>70</v>
      </c>
      <c r="N178" t="s">
        <v>209</v>
      </c>
      <c r="O178" s="50" t="str">
        <f t="shared" si="13"/>
        <v>MARBLE RIVER_Chum</v>
      </c>
      <c r="P178">
        <v>0</v>
      </c>
      <c r="Q178">
        <v>2</v>
      </c>
      <c r="R178">
        <v>0</v>
      </c>
      <c r="S178">
        <v>0</v>
      </c>
      <c r="T178">
        <v>3</v>
      </c>
      <c r="U178">
        <v>0</v>
      </c>
      <c r="V178">
        <v>0</v>
      </c>
      <c r="W178">
        <v>0</v>
      </c>
      <c r="X178" s="384">
        <v>0</v>
      </c>
      <c r="Y178" s="403">
        <v>0</v>
      </c>
      <c r="Z178" s="32">
        <v>0</v>
      </c>
      <c r="AA178" s="410">
        <f t="shared" si="14"/>
        <v>0</v>
      </c>
      <c r="AB178" s="411">
        <f t="shared" si="15"/>
        <v>0.375</v>
      </c>
      <c r="AC178">
        <f t="shared" si="16"/>
        <v>0.45454545454545453</v>
      </c>
    </row>
    <row r="179" spans="1:29" ht="15" x14ac:dyDescent="0.25">
      <c r="B179" s="617"/>
      <c r="C179" s="617"/>
      <c r="D179" s="244"/>
      <c r="E179" s="244"/>
      <c r="F179" s="244"/>
      <c r="G179" s="244"/>
      <c r="H179" s="9"/>
      <c r="I179" s="9"/>
      <c r="J179" s="32"/>
      <c r="K179" s="193"/>
      <c r="M179" t="s">
        <v>146</v>
      </c>
      <c r="N179" t="s">
        <v>209</v>
      </c>
      <c r="O179" s="50" t="str">
        <f t="shared" si="13"/>
        <v>MARVINAS BAY CREEK_Chum</v>
      </c>
      <c r="P179">
        <v>0</v>
      </c>
      <c r="X179" s="384"/>
      <c r="Y179" s="403"/>
      <c r="Z179" s="32"/>
      <c r="AC179">
        <f t="shared" si="16"/>
        <v>0</v>
      </c>
    </row>
    <row r="180" spans="1:29" ht="15" x14ac:dyDescent="0.25">
      <c r="A180">
        <v>2022</v>
      </c>
      <c r="B180" s="617">
        <v>24</v>
      </c>
      <c r="C180" s="617" t="s">
        <v>296</v>
      </c>
      <c r="D180" s="244" t="s">
        <v>327</v>
      </c>
      <c r="E180" s="244" t="s">
        <v>209</v>
      </c>
      <c r="F180" s="244" t="s">
        <v>419</v>
      </c>
      <c r="G180" s="244" t="s">
        <v>497</v>
      </c>
      <c r="H180" s="9" t="s">
        <v>614</v>
      </c>
      <c r="I180" s="9">
        <v>1</v>
      </c>
      <c r="J180" s="32">
        <v>3</v>
      </c>
      <c r="K180" s="193"/>
      <c r="M180" t="s">
        <v>437</v>
      </c>
      <c r="N180" t="s">
        <v>209</v>
      </c>
      <c r="O180" s="50" t="str">
        <f t="shared" si="13"/>
        <v>MEARES CREEK_Chum</v>
      </c>
      <c r="R180">
        <v>74</v>
      </c>
      <c r="T180">
        <v>79</v>
      </c>
      <c r="U180">
        <v>27</v>
      </c>
      <c r="X180" s="384">
        <v>2</v>
      </c>
      <c r="Y180" s="403">
        <v>4</v>
      </c>
      <c r="Z180" s="32">
        <v>3</v>
      </c>
      <c r="AA180" s="410">
        <f t="shared" si="14"/>
        <v>3</v>
      </c>
      <c r="AB180" s="411">
        <f t="shared" si="15"/>
        <v>23</v>
      </c>
      <c r="AC180">
        <f t="shared" si="16"/>
        <v>31.5</v>
      </c>
    </row>
    <row r="181" spans="1:29" ht="15" x14ac:dyDescent="0.25">
      <c r="A181">
        <v>2022</v>
      </c>
      <c r="B181" s="617">
        <v>24</v>
      </c>
      <c r="C181" s="617" t="s">
        <v>297</v>
      </c>
      <c r="D181" s="244" t="s">
        <v>41</v>
      </c>
      <c r="E181" s="244" t="s">
        <v>209</v>
      </c>
      <c r="F181" s="244" t="s">
        <v>419</v>
      </c>
      <c r="G181" s="244" t="s">
        <v>497</v>
      </c>
      <c r="H181" s="9" t="s">
        <v>616</v>
      </c>
      <c r="I181" s="9">
        <v>3</v>
      </c>
      <c r="J181" s="32">
        <v>106</v>
      </c>
      <c r="K181" s="193"/>
      <c r="M181" t="s">
        <v>41</v>
      </c>
      <c r="N181" t="s">
        <v>209</v>
      </c>
      <c r="O181" s="50" t="str">
        <f t="shared" si="13"/>
        <v>MEGIN RIVER_Chum</v>
      </c>
      <c r="P181">
        <v>828</v>
      </c>
      <c r="Q181">
        <v>630</v>
      </c>
      <c r="R181">
        <v>956</v>
      </c>
      <c r="S181">
        <v>382</v>
      </c>
      <c r="T181">
        <v>345</v>
      </c>
      <c r="U181">
        <v>371</v>
      </c>
      <c r="V181">
        <v>23</v>
      </c>
      <c r="W181">
        <v>44</v>
      </c>
      <c r="X181" s="384">
        <v>9</v>
      </c>
      <c r="Y181" s="403">
        <v>47</v>
      </c>
      <c r="Z181" s="32">
        <v>106</v>
      </c>
      <c r="AA181" s="410">
        <f t="shared" si="14"/>
        <v>51.5</v>
      </c>
      <c r="AB181" s="411">
        <f t="shared" si="15"/>
        <v>165.875</v>
      </c>
      <c r="AC181">
        <f t="shared" si="16"/>
        <v>340.09090909090907</v>
      </c>
    </row>
    <row r="182" spans="1:29" ht="15" x14ac:dyDescent="0.25">
      <c r="B182" s="617"/>
      <c r="C182" s="617"/>
      <c r="D182" s="244"/>
      <c r="E182" s="244"/>
      <c r="F182" s="244"/>
      <c r="G182" s="244"/>
      <c r="H182" s="9"/>
      <c r="I182" s="9"/>
      <c r="J182" s="32"/>
      <c r="K182" s="193"/>
      <c r="M182" t="s">
        <v>182</v>
      </c>
      <c r="N182" t="s">
        <v>209</v>
      </c>
      <c r="O182" s="50" t="str">
        <f t="shared" si="13"/>
        <v>MERCANTILE CREEK_Chum</v>
      </c>
      <c r="Q182">
        <v>59</v>
      </c>
      <c r="X182" s="384"/>
      <c r="Y182" s="403"/>
      <c r="Z182" s="32"/>
      <c r="AC182">
        <f t="shared" si="16"/>
        <v>59</v>
      </c>
    </row>
    <row r="183" spans="1:29" ht="15" x14ac:dyDescent="0.25">
      <c r="A183">
        <v>2022</v>
      </c>
      <c r="B183" s="617">
        <v>25</v>
      </c>
      <c r="C183" s="617" t="s">
        <v>299</v>
      </c>
      <c r="D183" s="244" t="s">
        <v>147</v>
      </c>
      <c r="E183" s="244" t="s">
        <v>209</v>
      </c>
      <c r="F183" s="244" t="s">
        <v>419</v>
      </c>
      <c r="G183" s="244" t="s">
        <v>452</v>
      </c>
      <c r="H183" s="9" t="s">
        <v>611</v>
      </c>
      <c r="I183" s="9">
        <v>1</v>
      </c>
      <c r="J183" s="32">
        <v>40</v>
      </c>
      <c r="K183" s="193"/>
      <c r="M183" t="s">
        <v>147</v>
      </c>
      <c r="N183" t="s">
        <v>209</v>
      </c>
      <c r="O183" s="50" t="str">
        <f t="shared" si="13"/>
        <v>MOOYAH RIVER_Chum</v>
      </c>
      <c r="P183">
        <v>23</v>
      </c>
      <c r="X183" s="384"/>
      <c r="Y183" s="403"/>
      <c r="Z183" s="32">
        <v>40</v>
      </c>
      <c r="AA183" s="410">
        <f t="shared" si="14"/>
        <v>40</v>
      </c>
      <c r="AB183" s="411">
        <f t="shared" si="15"/>
        <v>40</v>
      </c>
      <c r="AC183">
        <f t="shared" si="16"/>
        <v>31.5</v>
      </c>
    </row>
    <row r="184" spans="1:29" ht="15" x14ac:dyDescent="0.25">
      <c r="A184">
        <v>2022</v>
      </c>
      <c r="B184" s="617">
        <v>24</v>
      </c>
      <c r="C184" s="617" t="s">
        <v>297</v>
      </c>
      <c r="D184" s="244" t="s">
        <v>42</v>
      </c>
      <c r="E184" s="244" t="s">
        <v>209</v>
      </c>
      <c r="F184" s="244" t="s">
        <v>419</v>
      </c>
      <c r="G184" s="244" t="s">
        <v>497</v>
      </c>
      <c r="H184" s="9" t="s">
        <v>616</v>
      </c>
      <c r="I184" s="9">
        <v>4</v>
      </c>
      <c r="J184" s="32">
        <v>1435</v>
      </c>
      <c r="K184" s="193"/>
      <c r="M184" t="s">
        <v>42</v>
      </c>
      <c r="N184" t="s">
        <v>209</v>
      </c>
      <c r="O184" s="50" t="str">
        <f t="shared" si="13"/>
        <v>MOYEHA RIVER_Chum</v>
      </c>
      <c r="Q184">
        <v>1801</v>
      </c>
      <c r="R184">
        <v>3738</v>
      </c>
      <c r="T184">
        <v>930</v>
      </c>
      <c r="U184">
        <v>2375</v>
      </c>
      <c r="V184">
        <v>1209</v>
      </c>
      <c r="W184">
        <v>463</v>
      </c>
      <c r="X184" s="384">
        <v>156</v>
      </c>
      <c r="Y184" s="403">
        <v>273</v>
      </c>
      <c r="Z184" s="32">
        <v>1435</v>
      </c>
      <c r="AA184" s="410">
        <f t="shared" si="14"/>
        <v>581.75</v>
      </c>
      <c r="AB184" s="411">
        <f t="shared" si="15"/>
        <v>977.28571428571433</v>
      </c>
      <c r="AC184">
        <f t="shared" si="16"/>
        <v>1375.5555555555557</v>
      </c>
    </row>
    <row r="185" spans="1:29" ht="15" x14ac:dyDescent="0.25">
      <c r="A185">
        <v>2022</v>
      </c>
      <c r="B185" s="617">
        <v>25</v>
      </c>
      <c r="C185" s="617" t="s">
        <v>299</v>
      </c>
      <c r="D185" s="244" t="s">
        <v>49</v>
      </c>
      <c r="E185" s="244" t="s">
        <v>209</v>
      </c>
      <c r="F185" s="244" t="s">
        <v>419</v>
      </c>
      <c r="G185" s="244" t="s">
        <v>452</v>
      </c>
      <c r="H185" s="9" t="s">
        <v>617</v>
      </c>
      <c r="I185" s="9">
        <v>3</v>
      </c>
      <c r="J185" s="32">
        <v>0</v>
      </c>
      <c r="K185" s="193"/>
      <c r="M185" t="s">
        <v>49</v>
      </c>
      <c r="N185" t="s">
        <v>209</v>
      </c>
      <c r="O185" s="50" t="str">
        <f t="shared" si="13"/>
        <v>MUCHALAT RIVER_Chum</v>
      </c>
      <c r="W185">
        <v>21</v>
      </c>
      <c r="X185" s="384">
        <v>1</v>
      </c>
      <c r="Y185" s="403">
        <v>0</v>
      </c>
      <c r="Z185" s="32">
        <v>0</v>
      </c>
      <c r="AA185" s="410">
        <f t="shared" si="14"/>
        <v>5.5</v>
      </c>
      <c r="AB185" s="411">
        <f t="shared" si="15"/>
        <v>5.5</v>
      </c>
      <c r="AC185">
        <f t="shared" si="16"/>
        <v>5.5</v>
      </c>
    </row>
    <row r="186" spans="1:29" ht="15" x14ac:dyDescent="0.25">
      <c r="B186" s="617"/>
      <c r="C186" s="617"/>
      <c r="D186" s="244"/>
      <c r="E186" s="244"/>
      <c r="F186" s="244"/>
      <c r="G186" s="244"/>
      <c r="H186" s="9"/>
      <c r="I186" s="9"/>
      <c r="J186" s="32"/>
      <c r="K186" s="193"/>
      <c r="M186" t="s">
        <v>548</v>
      </c>
      <c r="N186" t="s">
        <v>209</v>
      </c>
      <c r="O186" s="50" t="str">
        <f t="shared" si="13"/>
        <v>MURIEL LAKE CREEK_Chum</v>
      </c>
      <c r="V186">
        <v>0</v>
      </c>
      <c r="X186" s="384">
        <v>0</v>
      </c>
      <c r="Y186" s="403">
        <v>0</v>
      </c>
      <c r="Z186" s="32"/>
      <c r="AA186" s="410">
        <f t="shared" si="14"/>
        <v>0</v>
      </c>
      <c r="AB186" s="411">
        <f t="shared" si="15"/>
        <v>0</v>
      </c>
      <c r="AC186">
        <f t="shared" si="16"/>
        <v>0</v>
      </c>
    </row>
    <row r="187" spans="1:29" ht="15" x14ac:dyDescent="0.25">
      <c r="A187">
        <v>2022</v>
      </c>
      <c r="B187" s="617">
        <v>23</v>
      </c>
      <c r="C187" s="617" t="s">
        <v>355</v>
      </c>
      <c r="D187" s="244" t="s">
        <v>32</v>
      </c>
      <c r="E187" s="244" t="s">
        <v>209</v>
      </c>
      <c r="F187" s="244" t="s">
        <v>419</v>
      </c>
      <c r="G187" s="244" t="s">
        <v>626</v>
      </c>
      <c r="H187" s="9" t="s">
        <v>616</v>
      </c>
      <c r="I187" s="9">
        <v>7</v>
      </c>
      <c r="J187" s="32">
        <v>1915</v>
      </c>
      <c r="K187" s="193"/>
      <c r="M187" t="s">
        <v>32</v>
      </c>
      <c r="N187" t="s">
        <v>209</v>
      </c>
      <c r="O187" s="50" t="str">
        <f t="shared" si="13"/>
        <v>NAHMINT RIVER_Chum</v>
      </c>
      <c r="P187">
        <v>6113</v>
      </c>
      <c r="Q187">
        <v>4228</v>
      </c>
      <c r="R187">
        <v>2770</v>
      </c>
      <c r="S187">
        <v>7129</v>
      </c>
      <c r="T187">
        <v>13280</v>
      </c>
      <c r="U187">
        <v>1740</v>
      </c>
      <c r="V187">
        <v>1097</v>
      </c>
      <c r="W187">
        <v>741</v>
      </c>
      <c r="X187" s="384">
        <v>5480</v>
      </c>
      <c r="Y187" s="403">
        <v>1630</v>
      </c>
      <c r="Z187" s="32">
        <v>1915</v>
      </c>
      <c r="AA187" s="410">
        <f t="shared" si="14"/>
        <v>2441.5</v>
      </c>
      <c r="AB187" s="411">
        <f t="shared" si="15"/>
        <v>4126.5</v>
      </c>
      <c r="AC187">
        <f t="shared" si="16"/>
        <v>4193</v>
      </c>
    </row>
    <row r="188" spans="1:29" ht="15" x14ac:dyDescent="0.25">
      <c r="B188" s="617"/>
      <c r="C188" s="617"/>
      <c r="D188" s="244"/>
      <c r="E188" s="244"/>
      <c r="F188" s="244"/>
      <c r="G188" s="244"/>
      <c r="H188" s="9"/>
      <c r="I188" s="9"/>
      <c r="J188" s="32"/>
      <c r="K188" s="193"/>
      <c r="M188" t="s">
        <v>65</v>
      </c>
      <c r="N188" t="s">
        <v>209</v>
      </c>
      <c r="O188" s="50" t="str">
        <f t="shared" si="13"/>
        <v>NARROWGUT CREEK_Chum</v>
      </c>
      <c r="P188">
        <v>714</v>
      </c>
      <c r="Q188">
        <v>2838</v>
      </c>
      <c r="R188">
        <v>518</v>
      </c>
      <c r="S188">
        <v>52</v>
      </c>
      <c r="X188" s="384"/>
      <c r="Y188" s="403"/>
      <c r="Z188" s="32"/>
      <c r="AB188" s="411">
        <f t="shared" si="15"/>
        <v>52</v>
      </c>
      <c r="AC188">
        <f t="shared" si="16"/>
        <v>1030.5</v>
      </c>
    </row>
    <row r="189" spans="1:29" ht="18" x14ac:dyDescent="0.25">
      <c r="A189">
        <v>2022</v>
      </c>
      <c r="B189" s="617">
        <v>22</v>
      </c>
      <c r="C189" s="617" t="s">
        <v>304</v>
      </c>
      <c r="D189" s="244" t="s">
        <v>26</v>
      </c>
      <c r="E189" s="244" t="s">
        <v>209</v>
      </c>
      <c r="F189" s="244" t="s">
        <v>419</v>
      </c>
      <c r="G189" s="244" t="s">
        <v>494</v>
      </c>
      <c r="H189" s="9" t="s">
        <v>615</v>
      </c>
      <c r="I189" s="9">
        <v>6</v>
      </c>
      <c r="J189" s="32">
        <v>16300</v>
      </c>
      <c r="K189" s="193"/>
      <c r="M189" t="s">
        <v>26</v>
      </c>
      <c r="N189" t="s">
        <v>209</v>
      </c>
      <c r="O189" s="50" t="str">
        <f t="shared" si="13"/>
        <v>NITINAT RIVER_Chum</v>
      </c>
      <c r="P189">
        <v>200000</v>
      </c>
      <c r="R189">
        <v>383</v>
      </c>
      <c r="S189">
        <v>90600</v>
      </c>
      <c r="T189">
        <v>48666</v>
      </c>
      <c r="U189">
        <v>60289</v>
      </c>
      <c r="V189">
        <v>47024</v>
      </c>
      <c r="W189">
        <v>14792</v>
      </c>
      <c r="X189" s="384">
        <v>60000</v>
      </c>
      <c r="Y189" s="403">
        <v>43325</v>
      </c>
      <c r="Z189" s="32">
        <v>16300</v>
      </c>
      <c r="AA189" s="410">
        <f t="shared" si="14"/>
        <v>33604.25</v>
      </c>
      <c r="AB189" s="411">
        <f t="shared" si="15"/>
        <v>47624.5</v>
      </c>
      <c r="AC189">
        <f t="shared" si="16"/>
        <v>58137.9</v>
      </c>
    </row>
    <row r="190" spans="1:29" ht="15" x14ac:dyDescent="0.25">
      <c r="A190">
        <v>2022</v>
      </c>
      <c r="B190" s="617">
        <v>25</v>
      </c>
      <c r="C190" s="617" t="s">
        <v>299</v>
      </c>
      <c r="D190" s="244" t="s">
        <v>50</v>
      </c>
      <c r="E190" s="244" t="s">
        <v>209</v>
      </c>
      <c r="F190" s="244" t="s">
        <v>419</v>
      </c>
      <c r="G190" s="244" t="s">
        <v>452</v>
      </c>
      <c r="H190" s="9" t="s">
        <v>617</v>
      </c>
      <c r="I190" s="9">
        <v>1</v>
      </c>
      <c r="J190" s="32">
        <v>47</v>
      </c>
      <c r="K190" s="193"/>
      <c r="M190" t="s">
        <v>50</v>
      </c>
      <c r="N190" t="s">
        <v>209</v>
      </c>
      <c r="O190" s="50" t="str">
        <f t="shared" si="13"/>
        <v>OKTWANCH RIVER_Chum</v>
      </c>
      <c r="S190">
        <v>1</v>
      </c>
      <c r="T190">
        <v>0</v>
      </c>
      <c r="U190">
        <v>0</v>
      </c>
      <c r="W190">
        <v>1</v>
      </c>
      <c r="X190" s="384">
        <v>6</v>
      </c>
      <c r="Y190" s="403">
        <v>395</v>
      </c>
      <c r="Z190" s="32">
        <v>47</v>
      </c>
      <c r="AA190" s="410">
        <f t="shared" si="14"/>
        <v>112.25</v>
      </c>
      <c r="AB190" s="411">
        <f t="shared" si="15"/>
        <v>64.285714285714292</v>
      </c>
      <c r="AC190">
        <f t="shared" si="16"/>
        <v>64.285714285714292</v>
      </c>
    </row>
    <row r="191" spans="1:29" ht="15" x14ac:dyDescent="0.25">
      <c r="B191" s="617"/>
      <c r="C191" s="617"/>
      <c r="D191" s="244"/>
      <c r="E191" s="244"/>
      <c r="F191" s="244"/>
      <c r="G191" s="244"/>
      <c r="H191" s="9"/>
      <c r="I191" s="9"/>
      <c r="J191" s="32"/>
      <c r="K191" s="193"/>
      <c r="M191" s="407" t="s">
        <v>230</v>
      </c>
      <c r="N191" t="s">
        <v>209</v>
      </c>
      <c r="O191" s="50" t="str">
        <f t="shared" si="13"/>
        <v>OUOUKINSH RIVER_Chum</v>
      </c>
      <c r="X191" s="384">
        <v>410</v>
      </c>
      <c r="Y191" s="403"/>
      <c r="Z191" s="32"/>
      <c r="AA191" s="410">
        <f t="shared" si="14"/>
        <v>410</v>
      </c>
      <c r="AB191" s="411">
        <f t="shared" si="15"/>
        <v>410</v>
      </c>
      <c r="AC191">
        <f t="shared" si="16"/>
        <v>410</v>
      </c>
    </row>
    <row r="192" spans="1:29" ht="18" x14ac:dyDescent="0.25">
      <c r="A192">
        <v>2022</v>
      </c>
      <c r="B192" s="617">
        <v>23</v>
      </c>
      <c r="C192" s="617" t="s">
        <v>293</v>
      </c>
      <c r="D192" s="244" t="s">
        <v>101</v>
      </c>
      <c r="E192" s="244" t="s">
        <v>209</v>
      </c>
      <c r="F192" s="244" t="s">
        <v>419</v>
      </c>
      <c r="G192" s="244" t="s">
        <v>374</v>
      </c>
      <c r="H192" s="9" t="s">
        <v>615</v>
      </c>
      <c r="I192" s="9">
        <v>3</v>
      </c>
      <c r="J192" s="32">
        <v>0</v>
      </c>
      <c r="K192" s="193"/>
      <c r="M192" t="s">
        <v>101</v>
      </c>
      <c r="N192" t="s">
        <v>209</v>
      </c>
      <c r="O192" s="50" t="str">
        <f t="shared" si="13"/>
        <v>PACHENA RIVER_Chum</v>
      </c>
      <c r="W192">
        <v>0</v>
      </c>
      <c r="X192" s="384">
        <v>74</v>
      </c>
      <c r="Y192" s="403">
        <v>1</v>
      </c>
      <c r="Z192" s="32">
        <v>0</v>
      </c>
      <c r="AA192" s="410">
        <f t="shared" si="14"/>
        <v>18.75</v>
      </c>
      <c r="AB192" s="411">
        <f t="shared" si="15"/>
        <v>18.75</v>
      </c>
      <c r="AC192">
        <f t="shared" si="16"/>
        <v>18.75</v>
      </c>
    </row>
    <row r="193" spans="1:29" ht="15" x14ac:dyDescent="0.25">
      <c r="B193" s="617"/>
      <c r="C193" s="617"/>
      <c r="D193" s="244"/>
      <c r="E193" s="244"/>
      <c r="F193" s="244"/>
      <c r="G193" s="244"/>
      <c r="H193" s="9"/>
      <c r="I193" s="9"/>
      <c r="J193" s="32"/>
      <c r="K193" s="193"/>
      <c r="M193" t="s">
        <v>253</v>
      </c>
      <c r="N193" t="s">
        <v>209</v>
      </c>
      <c r="O193" s="50" t="str">
        <f t="shared" si="13"/>
        <v>PACILTH CREEK_Chum</v>
      </c>
      <c r="P193">
        <v>7</v>
      </c>
      <c r="R193">
        <v>16</v>
      </c>
      <c r="S193">
        <v>2</v>
      </c>
      <c r="X193" s="384"/>
      <c r="Y193" s="403"/>
      <c r="Z193" s="32"/>
      <c r="AB193" s="411">
        <f t="shared" si="15"/>
        <v>2</v>
      </c>
      <c r="AC193">
        <f t="shared" si="16"/>
        <v>8.3333333333333339</v>
      </c>
    </row>
    <row r="194" spans="1:29" ht="15" x14ac:dyDescent="0.25">
      <c r="B194" s="617"/>
      <c r="C194" s="617"/>
      <c r="D194" s="244"/>
      <c r="E194" s="244"/>
      <c r="F194" s="244"/>
      <c r="G194" s="244"/>
      <c r="H194" s="9"/>
      <c r="I194" s="9"/>
      <c r="J194" s="32"/>
      <c r="K194" s="193"/>
      <c r="M194" t="s">
        <v>148</v>
      </c>
      <c r="N194" t="s">
        <v>209</v>
      </c>
      <c r="O194" s="50" t="str">
        <f t="shared" si="13"/>
        <v>PARK RIVER_Chum</v>
      </c>
      <c r="P194">
        <v>914</v>
      </c>
      <c r="R194">
        <v>621</v>
      </c>
      <c r="S194">
        <v>3234</v>
      </c>
      <c r="T194">
        <v>10623</v>
      </c>
      <c r="X194" s="384">
        <v>100</v>
      </c>
      <c r="Y194" s="403">
        <v>261</v>
      </c>
      <c r="Z194" s="32"/>
      <c r="AA194" s="410">
        <f t="shared" si="14"/>
        <v>180.5</v>
      </c>
      <c r="AB194" s="411">
        <f t="shared" si="15"/>
        <v>3554.5</v>
      </c>
      <c r="AC194">
        <f t="shared" si="16"/>
        <v>2625.5</v>
      </c>
    </row>
    <row r="195" spans="1:29" ht="15" x14ac:dyDescent="0.25">
      <c r="B195" s="617"/>
      <c r="C195" s="617"/>
      <c r="D195" s="244"/>
      <c r="E195" s="244"/>
      <c r="F195" s="244"/>
      <c r="G195" s="244"/>
      <c r="H195" s="9"/>
      <c r="I195" s="9"/>
      <c r="J195" s="32"/>
      <c r="K195" s="193"/>
      <c r="M195" t="s">
        <v>549</v>
      </c>
      <c r="N195" t="s">
        <v>209</v>
      </c>
      <c r="O195" s="50" t="str">
        <f t="shared" si="13"/>
        <v>POWER RIVER_Chum</v>
      </c>
      <c r="R195">
        <v>0</v>
      </c>
      <c r="U195">
        <v>32</v>
      </c>
      <c r="V195">
        <v>0</v>
      </c>
      <c r="W195">
        <v>23</v>
      </c>
      <c r="X195" s="384">
        <v>59</v>
      </c>
      <c r="Y195" s="403"/>
      <c r="Z195" s="32"/>
      <c r="AA195" s="410">
        <f t="shared" si="14"/>
        <v>41</v>
      </c>
      <c r="AB195" s="411">
        <f t="shared" si="15"/>
        <v>28.5</v>
      </c>
      <c r="AC195">
        <f t="shared" si="16"/>
        <v>22.8</v>
      </c>
    </row>
    <row r="196" spans="1:29" ht="15" x14ac:dyDescent="0.25">
      <c r="B196" s="617"/>
      <c r="C196" s="617"/>
      <c r="D196" s="244"/>
      <c r="E196" s="244"/>
      <c r="F196" s="244"/>
      <c r="G196" s="244"/>
      <c r="H196" s="9"/>
      <c r="I196" s="9"/>
      <c r="J196" s="32"/>
      <c r="K196" s="193"/>
      <c r="M196" t="s">
        <v>550</v>
      </c>
      <c r="N196" t="s">
        <v>209</v>
      </c>
      <c r="O196" s="50" t="str">
        <f t="shared" si="13"/>
        <v>PURDON CREEK_Chum</v>
      </c>
      <c r="P196">
        <v>0</v>
      </c>
      <c r="R196">
        <v>0</v>
      </c>
      <c r="S196">
        <v>0</v>
      </c>
      <c r="X196" s="384"/>
      <c r="Y196" s="403"/>
      <c r="Z196" s="32"/>
      <c r="AB196" s="411">
        <f t="shared" si="15"/>
        <v>0</v>
      </c>
      <c r="AC196">
        <f t="shared" si="16"/>
        <v>0</v>
      </c>
    </row>
    <row r="197" spans="1:29" ht="18" x14ac:dyDescent="0.25">
      <c r="A197">
        <v>2022</v>
      </c>
      <c r="B197" s="617">
        <v>20</v>
      </c>
      <c r="C197" s="617" t="s">
        <v>291</v>
      </c>
      <c r="D197" s="244" t="s">
        <v>74</v>
      </c>
      <c r="E197" s="244" t="s">
        <v>209</v>
      </c>
      <c r="F197" s="244" t="s">
        <v>419</v>
      </c>
      <c r="G197" s="244" t="s">
        <v>370</v>
      </c>
      <c r="H197" s="9" t="s">
        <v>615</v>
      </c>
      <c r="I197" s="9">
        <v>1</v>
      </c>
      <c r="J197" s="32">
        <v>143</v>
      </c>
      <c r="K197" s="193"/>
      <c r="M197" t="s">
        <v>74</v>
      </c>
      <c r="N197" t="s">
        <v>209</v>
      </c>
      <c r="O197" s="50" t="str">
        <f t="shared" si="13"/>
        <v>RENFREW CREEK_Chum</v>
      </c>
      <c r="Q197">
        <v>2</v>
      </c>
      <c r="R197">
        <v>710</v>
      </c>
      <c r="S197">
        <v>25</v>
      </c>
      <c r="T197">
        <v>26</v>
      </c>
      <c r="U197">
        <v>196</v>
      </c>
      <c r="V197">
        <v>123</v>
      </c>
      <c r="W197">
        <v>0</v>
      </c>
      <c r="X197" s="384"/>
      <c r="Y197" s="403"/>
      <c r="Z197" s="32">
        <v>143</v>
      </c>
      <c r="AA197" s="410">
        <f>AVERAGE(W197:Z197)</f>
        <v>71.5</v>
      </c>
      <c r="AB197" s="411">
        <f t="shared" si="15"/>
        <v>85.5</v>
      </c>
      <c r="AC197">
        <f t="shared" si="16"/>
        <v>153.125</v>
      </c>
    </row>
    <row r="198" spans="1:29" ht="15" x14ac:dyDescent="0.25">
      <c r="B198" s="617"/>
      <c r="C198" s="617"/>
      <c r="D198" s="244"/>
      <c r="E198" s="244"/>
      <c r="F198" s="244"/>
      <c r="G198" s="244"/>
      <c r="H198" s="9"/>
      <c r="I198" s="9"/>
      <c r="J198" s="32"/>
      <c r="K198" s="193"/>
      <c r="M198" t="s">
        <v>127</v>
      </c>
      <c r="N198" t="s">
        <v>209</v>
      </c>
      <c r="O198" s="50" t="str">
        <f t="shared" si="13"/>
        <v>RILEY CREEK_Chum</v>
      </c>
      <c r="R198">
        <v>0</v>
      </c>
      <c r="X198" s="384"/>
      <c r="Y198" s="403"/>
      <c r="Z198" s="32"/>
      <c r="AC198">
        <f t="shared" si="16"/>
        <v>0</v>
      </c>
    </row>
    <row r="199" spans="1:29" ht="18" x14ac:dyDescent="0.25">
      <c r="A199">
        <v>2022</v>
      </c>
      <c r="B199" s="617">
        <v>23</v>
      </c>
      <c r="C199" s="617" t="s">
        <v>319</v>
      </c>
      <c r="D199" s="244" t="s">
        <v>597</v>
      </c>
      <c r="E199" s="244" t="s">
        <v>209</v>
      </c>
      <c r="F199" s="244" t="s">
        <v>419</v>
      </c>
      <c r="G199" s="244" t="s">
        <v>374</v>
      </c>
      <c r="H199" s="9" t="s">
        <v>615</v>
      </c>
      <c r="I199" s="9">
        <v>3</v>
      </c>
      <c r="J199" s="32">
        <v>14</v>
      </c>
      <c r="K199" s="193"/>
      <c r="M199" s="244" t="s">
        <v>597</v>
      </c>
      <c r="N199" t="s">
        <v>209</v>
      </c>
      <c r="O199" s="50" t="str">
        <f t="shared" si="13"/>
        <v>Rousseau Creek_Chum</v>
      </c>
      <c r="X199" s="384"/>
      <c r="Y199" s="403"/>
      <c r="Z199" s="32">
        <v>14</v>
      </c>
      <c r="AA199" s="410">
        <f t="shared" si="14"/>
        <v>14</v>
      </c>
      <c r="AB199" s="411">
        <f t="shared" si="15"/>
        <v>14</v>
      </c>
      <c r="AC199">
        <f t="shared" si="16"/>
        <v>14</v>
      </c>
    </row>
    <row r="200" spans="1:29" ht="15" x14ac:dyDescent="0.25">
      <c r="A200">
        <v>2022</v>
      </c>
      <c r="B200" s="617">
        <v>20</v>
      </c>
      <c r="C200" s="617" t="s">
        <v>291</v>
      </c>
      <c r="D200" s="244" t="s">
        <v>22</v>
      </c>
      <c r="E200" s="244" t="s">
        <v>209</v>
      </c>
      <c r="F200" s="244" t="s">
        <v>420</v>
      </c>
      <c r="G200" s="244" t="s">
        <v>530</v>
      </c>
      <c r="H200" s="9" t="s">
        <v>617</v>
      </c>
      <c r="I200" s="9">
        <v>2</v>
      </c>
      <c r="J200" s="32">
        <v>135</v>
      </c>
      <c r="K200" s="193"/>
      <c r="M200" t="s">
        <v>22</v>
      </c>
      <c r="N200" t="s">
        <v>209</v>
      </c>
      <c r="O200" s="50" t="str">
        <f t="shared" si="13"/>
        <v>SAN JUAN RIVER_Chum</v>
      </c>
      <c r="P200">
        <v>405</v>
      </c>
      <c r="Q200">
        <v>61</v>
      </c>
      <c r="R200">
        <v>75</v>
      </c>
      <c r="S200">
        <v>536</v>
      </c>
      <c r="T200">
        <v>534</v>
      </c>
      <c r="U200">
        <v>440</v>
      </c>
      <c r="V200">
        <v>28</v>
      </c>
      <c r="W200">
        <v>116</v>
      </c>
      <c r="X200" s="384"/>
      <c r="Y200" s="403">
        <v>34</v>
      </c>
      <c r="Z200" s="32">
        <v>135</v>
      </c>
      <c r="AA200" s="410">
        <f t="shared" si="14"/>
        <v>95</v>
      </c>
      <c r="AB200" s="411">
        <f t="shared" si="15"/>
        <v>260.42857142857144</v>
      </c>
      <c r="AC200">
        <f t="shared" si="16"/>
        <v>236.4</v>
      </c>
    </row>
    <row r="201" spans="1:29" ht="15" x14ac:dyDescent="0.25">
      <c r="A201">
        <v>2022</v>
      </c>
      <c r="B201" s="617">
        <v>24</v>
      </c>
      <c r="C201" s="617" t="s">
        <v>296</v>
      </c>
      <c r="D201" s="244" t="s">
        <v>128</v>
      </c>
      <c r="E201" s="244" t="s">
        <v>209</v>
      </c>
      <c r="F201" s="244" t="s">
        <v>419</v>
      </c>
      <c r="G201" s="244" t="s">
        <v>626</v>
      </c>
      <c r="H201" s="9" t="s">
        <v>618</v>
      </c>
      <c r="I201" s="9">
        <v>1</v>
      </c>
      <c r="J201" s="32">
        <v>1</v>
      </c>
      <c r="K201" s="193"/>
      <c r="M201" t="s">
        <v>128</v>
      </c>
      <c r="N201" t="s">
        <v>209</v>
      </c>
      <c r="O201" s="50" t="str">
        <f t="shared" si="13"/>
        <v>SAND RIVER_Chum</v>
      </c>
      <c r="S201">
        <v>0</v>
      </c>
      <c r="V201">
        <v>0</v>
      </c>
      <c r="X201" s="384">
        <v>0</v>
      </c>
      <c r="Y201" s="403"/>
      <c r="Z201" s="32">
        <v>1</v>
      </c>
      <c r="AA201" s="410">
        <f t="shared" si="14"/>
        <v>0.5</v>
      </c>
      <c r="AB201" s="411">
        <f t="shared" si="15"/>
        <v>0.25</v>
      </c>
      <c r="AC201">
        <f t="shared" si="16"/>
        <v>0.25</v>
      </c>
    </row>
    <row r="202" spans="1:29" ht="15" x14ac:dyDescent="0.25">
      <c r="B202" s="617"/>
      <c r="C202" s="617"/>
      <c r="D202" s="244"/>
      <c r="E202" s="244"/>
      <c r="F202" s="244"/>
      <c r="G202" s="244"/>
      <c r="H202" s="9"/>
      <c r="I202" s="9"/>
      <c r="J202" s="32"/>
      <c r="K202" s="193"/>
      <c r="M202" t="s">
        <v>551</v>
      </c>
      <c r="N202" t="s">
        <v>209</v>
      </c>
      <c r="O202" s="50" t="str">
        <f t="shared" ref="O202:O265" si="17">CONCATENATE(M202,"_",N202)</f>
        <v>SANDHILL CREEK  (AREA 24)_Chum</v>
      </c>
      <c r="T202">
        <v>26</v>
      </c>
      <c r="X202" s="384"/>
      <c r="Y202" s="403"/>
      <c r="Z202" s="32"/>
      <c r="AB202" s="411">
        <f t="shared" si="15"/>
        <v>26</v>
      </c>
      <c r="AC202">
        <f t="shared" si="16"/>
        <v>26</v>
      </c>
    </row>
    <row r="203" spans="1:29" ht="15" x14ac:dyDescent="0.25">
      <c r="A203">
        <v>2022</v>
      </c>
      <c r="B203" s="617">
        <v>23</v>
      </c>
      <c r="C203" s="617" t="s">
        <v>293</v>
      </c>
      <c r="D203" s="244" t="s">
        <v>33</v>
      </c>
      <c r="E203" s="244" t="s">
        <v>209</v>
      </c>
      <c r="F203" s="244" t="s">
        <v>419</v>
      </c>
      <c r="G203" s="244" t="s">
        <v>374</v>
      </c>
      <c r="H203" s="9" t="s">
        <v>616</v>
      </c>
      <c r="I203" s="9">
        <v>12</v>
      </c>
      <c r="J203" s="32">
        <v>1397</v>
      </c>
      <c r="K203" s="193"/>
      <c r="M203" s="408" t="s">
        <v>33</v>
      </c>
      <c r="N203" t="s">
        <v>209</v>
      </c>
      <c r="O203" s="50" t="str">
        <f t="shared" si="17"/>
        <v>SARITA RIVER_Chum</v>
      </c>
      <c r="P203">
        <v>2813</v>
      </c>
      <c r="Q203">
        <v>6580</v>
      </c>
      <c r="R203">
        <v>472</v>
      </c>
      <c r="S203">
        <v>6228</v>
      </c>
      <c r="T203">
        <v>26033</v>
      </c>
      <c r="U203">
        <v>2329</v>
      </c>
      <c r="V203">
        <v>808</v>
      </c>
      <c r="W203">
        <v>2110</v>
      </c>
      <c r="X203" s="384">
        <v>6064</v>
      </c>
      <c r="Y203" s="403">
        <v>1174</v>
      </c>
      <c r="Z203" s="32">
        <v>1397</v>
      </c>
      <c r="AA203" s="410">
        <f t="shared" ref="AA203:AA265" si="18">AVERAGE(W203:Z203)</f>
        <v>2686.25</v>
      </c>
      <c r="AB203" s="411">
        <f t="shared" si="15"/>
        <v>5767.875</v>
      </c>
      <c r="AC203">
        <f t="shared" si="16"/>
        <v>5091.636363636364</v>
      </c>
    </row>
    <row r="204" spans="1:29" ht="15" x14ac:dyDescent="0.25">
      <c r="B204" s="617"/>
      <c r="C204" s="617"/>
      <c r="D204" s="244"/>
      <c r="E204" s="244"/>
      <c r="F204" s="244"/>
      <c r="G204" s="244"/>
      <c r="H204" s="9"/>
      <c r="I204" s="9"/>
      <c r="J204" s="32"/>
      <c r="K204" s="193"/>
      <c r="M204" t="s">
        <v>552</v>
      </c>
      <c r="N204" t="s">
        <v>209</v>
      </c>
      <c r="O204" s="50" t="str">
        <f t="shared" si="17"/>
        <v>SATCHIE CREEK_Chum</v>
      </c>
      <c r="R204">
        <v>0</v>
      </c>
      <c r="V204">
        <v>3</v>
      </c>
      <c r="X204" s="384"/>
      <c r="Y204" s="403"/>
      <c r="Z204" s="32"/>
      <c r="AB204" s="411">
        <f t="shared" si="15"/>
        <v>3</v>
      </c>
      <c r="AC204">
        <f t="shared" si="16"/>
        <v>1.5</v>
      </c>
    </row>
    <row r="205" spans="1:29" ht="15" x14ac:dyDescent="0.25">
      <c r="B205" s="617"/>
      <c r="C205" s="617"/>
      <c r="D205" s="244"/>
      <c r="E205" s="244"/>
      <c r="F205" s="244"/>
      <c r="G205" s="244"/>
      <c r="H205" s="9"/>
      <c r="I205" s="9"/>
      <c r="J205" s="32"/>
      <c r="K205" s="193"/>
      <c r="M205" t="s">
        <v>553</v>
      </c>
      <c r="N205" t="s">
        <v>209</v>
      </c>
      <c r="O205" s="50" t="str">
        <f t="shared" si="17"/>
        <v>SECHELT CREEK_Chum</v>
      </c>
      <c r="X205" s="384"/>
      <c r="Y205" s="403"/>
      <c r="Z205" s="32"/>
    </row>
    <row r="206" spans="1:29" ht="18" x14ac:dyDescent="0.25">
      <c r="A206">
        <v>2022</v>
      </c>
      <c r="B206" s="617">
        <v>24</v>
      </c>
      <c r="C206" s="617" t="s">
        <v>296</v>
      </c>
      <c r="D206" s="244" t="s">
        <v>329</v>
      </c>
      <c r="E206" s="244" t="s">
        <v>209</v>
      </c>
      <c r="F206" s="244" t="s">
        <v>419</v>
      </c>
      <c r="G206" s="244" t="s">
        <v>497</v>
      </c>
      <c r="H206" s="9" t="s">
        <v>615</v>
      </c>
      <c r="I206" s="9">
        <v>2</v>
      </c>
      <c r="J206" s="32">
        <v>114</v>
      </c>
      <c r="K206" s="193"/>
      <c r="M206" t="s">
        <v>438</v>
      </c>
      <c r="N206" t="s">
        <v>209</v>
      </c>
      <c r="O206" s="50" t="str">
        <f t="shared" si="17"/>
        <v>SHARP CREEK_Chum</v>
      </c>
      <c r="R206">
        <v>28</v>
      </c>
      <c r="T206">
        <v>33</v>
      </c>
      <c r="U206">
        <v>31</v>
      </c>
      <c r="X206" s="384">
        <v>92</v>
      </c>
      <c r="Y206" s="403">
        <v>32</v>
      </c>
      <c r="Z206" s="32">
        <v>114</v>
      </c>
      <c r="AA206" s="410">
        <f t="shared" si="18"/>
        <v>79.333333333333329</v>
      </c>
      <c r="AB206" s="411">
        <f t="shared" si="15"/>
        <v>60.4</v>
      </c>
      <c r="AC206">
        <f t="shared" si="16"/>
        <v>55</v>
      </c>
    </row>
    <row r="207" spans="1:29" ht="18" x14ac:dyDescent="0.25">
      <c r="A207">
        <v>2022</v>
      </c>
      <c r="B207" s="617">
        <v>23</v>
      </c>
      <c r="C207" s="617" t="s">
        <v>305</v>
      </c>
      <c r="D207" s="244" t="s">
        <v>186</v>
      </c>
      <c r="E207" s="244" t="s">
        <v>209</v>
      </c>
      <c r="F207" s="244" t="s">
        <v>419</v>
      </c>
      <c r="G207" s="244" t="s">
        <v>289</v>
      </c>
      <c r="H207" s="9" t="s">
        <v>615</v>
      </c>
      <c r="I207" s="9">
        <v>2</v>
      </c>
      <c r="J207" s="32">
        <v>2568</v>
      </c>
      <c r="K207" s="193"/>
      <c r="M207" t="s">
        <v>186</v>
      </c>
      <c r="N207" t="s">
        <v>209</v>
      </c>
      <c r="O207" s="50" t="str">
        <f t="shared" si="17"/>
        <v>SMITH CREEK_Chum</v>
      </c>
      <c r="Q207">
        <v>2514</v>
      </c>
      <c r="W207">
        <v>257</v>
      </c>
      <c r="X207" s="384">
        <v>632</v>
      </c>
      <c r="Y207" s="403">
        <v>707</v>
      </c>
      <c r="Z207" s="32">
        <v>2568</v>
      </c>
      <c r="AA207" s="410">
        <f t="shared" si="18"/>
        <v>1041</v>
      </c>
      <c r="AB207" s="411">
        <f t="shared" si="15"/>
        <v>1041</v>
      </c>
      <c r="AC207">
        <f t="shared" si="16"/>
        <v>1335.6</v>
      </c>
    </row>
    <row r="208" spans="1:29" ht="15" x14ac:dyDescent="0.25">
      <c r="B208" s="617"/>
      <c r="C208" s="617"/>
      <c r="D208" s="244"/>
      <c r="E208" s="244"/>
      <c r="F208" s="244"/>
      <c r="G208" s="244"/>
      <c r="H208" s="9"/>
      <c r="I208" s="9"/>
      <c r="J208" s="32"/>
      <c r="K208" s="193"/>
      <c r="M208" t="s">
        <v>104</v>
      </c>
      <c r="N208" t="s">
        <v>209</v>
      </c>
      <c r="O208" s="50" t="str">
        <f t="shared" si="17"/>
        <v>SNUG BASIN CREEK_Chum</v>
      </c>
      <c r="Q208">
        <v>0</v>
      </c>
      <c r="X208" s="384"/>
      <c r="Y208" s="403"/>
      <c r="Z208" s="32"/>
      <c r="AC208">
        <f t="shared" si="16"/>
        <v>0</v>
      </c>
    </row>
    <row r="209" spans="1:29" ht="15" x14ac:dyDescent="0.25">
      <c r="B209" s="617"/>
      <c r="C209" s="617"/>
      <c r="D209" s="244"/>
      <c r="E209" s="244"/>
      <c r="F209" s="244"/>
      <c r="G209" s="244"/>
      <c r="H209" s="9"/>
      <c r="I209" s="9"/>
      <c r="J209" s="32"/>
      <c r="K209" s="193"/>
      <c r="M209" t="s">
        <v>554</v>
      </c>
      <c r="N209" t="s">
        <v>209</v>
      </c>
      <c r="O209" s="50" t="str">
        <f t="shared" si="17"/>
        <v>SOMASS RIVER_Chum</v>
      </c>
      <c r="P209">
        <v>3604</v>
      </c>
      <c r="Q209">
        <v>616</v>
      </c>
      <c r="S209">
        <v>120</v>
      </c>
      <c r="X209" s="384"/>
      <c r="Y209" s="403"/>
      <c r="Z209" s="32"/>
      <c r="AB209" s="411">
        <f t="shared" si="15"/>
        <v>120</v>
      </c>
      <c r="AC209">
        <f t="shared" si="16"/>
        <v>1446.6666666666667</v>
      </c>
    </row>
    <row r="210" spans="1:29" ht="15" x14ac:dyDescent="0.25">
      <c r="B210" s="617"/>
      <c r="C210" s="617"/>
      <c r="D210" s="244"/>
      <c r="E210" s="244"/>
      <c r="F210" s="244"/>
      <c r="G210" s="244"/>
      <c r="H210" s="9"/>
      <c r="I210" s="9"/>
      <c r="J210" s="32"/>
      <c r="K210" s="193"/>
      <c r="M210" t="s">
        <v>34</v>
      </c>
      <c r="N210" t="s">
        <v>209</v>
      </c>
      <c r="O210" s="50" t="str">
        <f t="shared" si="17"/>
        <v>SPROAT RIVER_Chum</v>
      </c>
      <c r="S210">
        <v>3150</v>
      </c>
      <c r="U210">
        <v>45</v>
      </c>
      <c r="X210" s="384"/>
      <c r="Y210" s="403"/>
      <c r="Z210" s="32"/>
      <c r="AB210" s="411">
        <f t="shared" si="15"/>
        <v>1597.5</v>
      </c>
      <c r="AC210">
        <f t="shared" si="16"/>
        <v>1597.5</v>
      </c>
    </row>
    <row r="211" spans="1:29" ht="15" x14ac:dyDescent="0.25">
      <c r="B211" s="617"/>
      <c r="C211" s="617"/>
      <c r="D211" s="244"/>
      <c r="E211" s="244"/>
      <c r="F211" s="244"/>
      <c r="G211" s="244"/>
      <c r="H211" s="9"/>
      <c r="I211" s="9"/>
      <c r="J211" s="32"/>
      <c r="K211" s="193"/>
      <c r="M211" t="s">
        <v>51</v>
      </c>
      <c r="N211" t="s">
        <v>209</v>
      </c>
      <c r="O211" s="50" t="str">
        <f t="shared" si="17"/>
        <v>SUCWOA RIVER_Chum</v>
      </c>
      <c r="P211">
        <v>201</v>
      </c>
      <c r="Q211">
        <v>209</v>
      </c>
      <c r="X211" s="384"/>
      <c r="Y211" s="403"/>
      <c r="Z211" s="32"/>
      <c r="AC211">
        <f t="shared" si="16"/>
        <v>205</v>
      </c>
    </row>
    <row r="212" spans="1:29" ht="15" x14ac:dyDescent="0.25">
      <c r="B212" s="617"/>
      <c r="C212" s="617"/>
      <c r="D212" s="244"/>
      <c r="E212" s="244"/>
      <c r="F212" s="244"/>
      <c r="G212" s="244"/>
      <c r="H212" s="9"/>
      <c r="I212" s="9"/>
      <c r="J212" s="32"/>
      <c r="K212" s="193"/>
      <c r="M212" t="s">
        <v>105</v>
      </c>
      <c r="N212" t="s">
        <v>209</v>
      </c>
      <c r="O212" s="50" t="str">
        <f t="shared" si="17"/>
        <v>SUGSAW CREEK_Chum</v>
      </c>
      <c r="P212">
        <v>900</v>
      </c>
      <c r="W212">
        <v>188</v>
      </c>
      <c r="X212" s="384">
        <v>105</v>
      </c>
      <c r="Y212" s="403">
        <v>257</v>
      </c>
      <c r="Z212" s="32"/>
      <c r="AA212" s="410">
        <f t="shared" si="18"/>
        <v>183.33333333333334</v>
      </c>
      <c r="AB212" s="411">
        <f t="shared" si="15"/>
        <v>183.33333333333334</v>
      </c>
      <c r="AC212">
        <f t="shared" si="16"/>
        <v>362.5</v>
      </c>
    </row>
    <row r="213" spans="1:29" ht="15" x14ac:dyDescent="0.25">
      <c r="A213">
        <v>2022</v>
      </c>
      <c r="B213" s="617">
        <v>24</v>
      </c>
      <c r="C213" s="617" t="s">
        <v>296</v>
      </c>
      <c r="D213" s="244" t="s">
        <v>129</v>
      </c>
      <c r="E213" s="244" t="s">
        <v>209</v>
      </c>
      <c r="F213" s="244" t="s">
        <v>419</v>
      </c>
      <c r="G213" s="244" t="s">
        <v>497</v>
      </c>
      <c r="H213" s="9" t="s">
        <v>616</v>
      </c>
      <c r="I213" s="9">
        <v>3</v>
      </c>
      <c r="J213" s="32">
        <v>36</v>
      </c>
      <c r="K213" s="193"/>
      <c r="M213" t="s">
        <v>129</v>
      </c>
      <c r="N213" t="s">
        <v>209</v>
      </c>
      <c r="O213" s="50" t="str">
        <f t="shared" si="17"/>
        <v>SUTTON MILL CREEK_Chum</v>
      </c>
      <c r="Q213">
        <v>3</v>
      </c>
      <c r="R213">
        <v>24</v>
      </c>
      <c r="S213">
        <v>37</v>
      </c>
      <c r="T213">
        <v>56</v>
      </c>
      <c r="U213">
        <v>7</v>
      </c>
      <c r="X213" s="384">
        <v>8</v>
      </c>
      <c r="Y213" s="403">
        <v>30</v>
      </c>
      <c r="Z213" s="32">
        <v>36</v>
      </c>
      <c r="AA213" s="410">
        <f t="shared" si="18"/>
        <v>24.666666666666668</v>
      </c>
      <c r="AB213" s="411">
        <f t="shared" si="15"/>
        <v>29</v>
      </c>
      <c r="AC213">
        <f t="shared" si="16"/>
        <v>25.125</v>
      </c>
    </row>
    <row r="214" spans="1:29" ht="15" x14ac:dyDescent="0.25">
      <c r="B214" s="617"/>
      <c r="C214" s="617"/>
      <c r="D214" s="244"/>
      <c r="E214" s="244"/>
      <c r="F214" s="244"/>
      <c r="G214" s="244"/>
      <c r="H214" s="9"/>
      <c r="I214" s="9"/>
      <c r="J214" s="32"/>
      <c r="K214" s="193"/>
      <c r="M214" t="s">
        <v>130</v>
      </c>
      <c r="N214" t="s">
        <v>209</v>
      </c>
      <c r="O214" s="50" t="str">
        <f t="shared" si="17"/>
        <v>SYDNEY RIVER_Chum</v>
      </c>
      <c r="S214">
        <v>3</v>
      </c>
      <c r="V214">
        <v>37</v>
      </c>
      <c r="X214" s="384"/>
      <c r="Y214" s="403"/>
      <c r="Z214" s="32"/>
      <c r="AB214" s="411">
        <f t="shared" si="15"/>
        <v>20</v>
      </c>
      <c r="AC214">
        <f t="shared" si="16"/>
        <v>20</v>
      </c>
    </row>
    <row r="215" spans="1:29" ht="18" x14ac:dyDescent="0.25">
      <c r="A215">
        <v>2022</v>
      </c>
      <c r="B215" s="617">
        <v>25</v>
      </c>
      <c r="C215" s="617" t="s">
        <v>299</v>
      </c>
      <c r="D215" s="244" t="s">
        <v>52</v>
      </c>
      <c r="E215" s="244" t="s">
        <v>209</v>
      </c>
      <c r="F215" s="244" t="s">
        <v>419</v>
      </c>
      <c r="G215" s="244" t="s">
        <v>495</v>
      </c>
      <c r="H215" s="9" t="s">
        <v>615</v>
      </c>
      <c r="I215" s="9">
        <v>5</v>
      </c>
      <c r="J215" s="32">
        <v>490</v>
      </c>
      <c r="K215" s="193"/>
      <c r="M215" t="s">
        <v>52</v>
      </c>
      <c r="N215" t="s">
        <v>209</v>
      </c>
      <c r="O215" s="50" t="str">
        <f t="shared" si="17"/>
        <v>TAHSIS RIVER_Chum</v>
      </c>
      <c r="P215">
        <v>2573</v>
      </c>
      <c r="Q215">
        <v>1440</v>
      </c>
      <c r="R215">
        <v>3177</v>
      </c>
      <c r="S215">
        <v>12527</v>
      </c>
      <c r="T215">
        <v>4301</v>
      </c>
      <c r="U215">
        <v>819</v>
      </c>
      <c r="V215">
        <v>332</v>
      </c>
      <c r="W215">
        <v>620</v>
      </c>
      <c r="X215" s="384">
        <v>902</v>
      </c>
      <c r="Y215" s="403">
        <v>594</v>
      </c>
      <c r="Z215" s="32">
        <v>490</v>
      </c>
      <c r="AA215" s="410">
        <f t="shared" si="18"/>
        <v>651.5</v>
      </c>
      <c r="AB215" s="411">
        <f t="shared" si="15"/>
        <v>2573.125</v>
      </c>
      <c r="AC215">
        <f t="shared" si="16"/>
        <v>2525</v>
      </c>
    </row>
    <row r="216" spans="1:29" ht="15" x14ac:dyDescent="0.25">
      <c r="A216">
        <v>2022</v>
      </c>
      <c r="B216" s="617">
        <v>26</v>
      </c>
      <c r="C216" s="617" t="s">
        <v>301</v>
      </c>
      <c r="D216" s="244" t="s">
        <v>66</v>
      </c>
      <c r="E216" s="244" t="s">
        <v>209</v>
      </c>
      <c r="F216" s="244" t="s">
        <v>419</v>
      </c>
      <c r="G216" s="244" t="s">
        <v>292</v>
      </c>
      <c r="H216" s="9" t="s">
        <v>617</v>
      </c>
      <c r="I216" s="9">
        <v>5</v>
      </c>
      <c r="J216" s="32">
        <v>6010</v>
      </c>
      <c r="K216" s="193"/>
      <c r="M216" t="s">
        <v>66</v>
      </c>
      <c r="N216" t="s">
        <v>209</v>
      </c>
      <c r="O216" s="50" t="str">
        <f t="shared" si="17"/>
        <v>TAHSISH RIVER_Chum</v>
      </c>
      <c r="P216">
        <v>1459</v>
      </c>
      <c r="Q216">
        <v>8342</v>
      </c>
      <c r="R216">
        <v>2248</v>
      </c>
      <c r="S216">
        <v>4125</v>
      </c>
      <c r="T216">
        <v>1428</v>
      </c>
      <c r="U216">
        <v>1959</v>
      </c>
      <c r="V216">
        <v>1488</v>
      </c>
      <c r="W216">
        <v>2015</v>
      </c>
      <c r="X216" s="384">
        <v>2288</v>
      </c>
      <c r="Y216" s="403">
        <v>896</v>
      </c>
      <c r="Z216" s="32">
        <v>6010</v>
      </c>
      <c r="AA216" s="410">
        <f t="shared" si="18"/>
        <v>2802.25</v>
      </c>
      <c r="AB216" s="411">
        <f t="shared" si="15"/>
        <v>2526.125</v>
      </c>
      <c r="AC216">
        <f t="shared" si="16"/>
        <v>2932.5454545454545</v>
      </c>
    </row>
    <row r="217" spans="1:29" ht="18" x14ac:dyDescent="0.25">
      <c r="A217">
        <v>2022</v>
      </c>
      <c r="B217" s="617">
        <v>23</v>
      </c>
      <c r="C217" s="617" t="s">
        <v>305</v>
      </c>
      <c r="D217" s="244" t="s">
        <v>107</v>
      </c>
      <c r="E217" s="244" t="s">
        <v>209</v>
      </c>
      <c r="F217" s="244" t="s">
        <v>419</v>
      </c>
      <c r="G217" s="244" t="s">
        <v>289</v>
      </c>
      <c r="H217" s="9" t="s">
        <v>610</v>
      </c>
      <c r="I217" s="9">
        <v>1</v>
      </c>
      <c r="J217" s="32">
        <v>34</v>
      </c>
      <c r="K217" s="193"/>
      <c r="M217" t="s">
        <v>107</v>
      </c>
      <c r="N217" t="s">
        <v>209</v>
      </c>
      <c r="O217" s="50" t="str">
        <f t="shared" si="17"/>
        <v>THORNTON CREEK_Chum</v>
      </c>
      <c r="Q217">
        <v>4</v>
      </c>
      <c r="X217" s="384"/>
      <c r="Y217" s="403"/>
      <c r="Z217" s="32">
        <v>34</v>
      </c>
      <c r="AA217" s="410">
        <f t="shared" si="18"/>
        <v>34</v>
      </c>
      <c r="AB217" s="411">
        <f t="shared" si="15"/>
        <v>34</v>
      </c>
      <c r="AC217">
        <f t="shared" si="16"/>
        <v>19</v>
      </c>
    </row>
    <row r="218" spans="1:29" ht="15" x14ac:dyDescent="0.25">
      <c r="B218" s="617"/>
      <c r="C218" s="617"/>
      <c r="D218" s="244"/>
      <c r="E218" s="244"/>
      <c r="F218" s="244"/>
      <c r="G218" s="244"/>
      <c r="H218" s="9"/>
      <c r="I218" s="9"/>
      <c r="J218" s="32"/>
      <c r="K218" s="193"/>
      <c r="M218" t="s">
        <v>53</v>
      </c>
      <c r="N218" t="s">
        <v>209</v>
      </c>
      <c r="O218" s="50" t="str">
        <f t="shared" si="17"/>
        <v>TLUPANA RIVER_Chum</v>
      </c>
      <c r="P218">
        <v>602</v>
      </c>
      <c r="Q218">
        <v>4400</v>
      </c>
      <c r="S218">
        <v>565</v>
      </c>
      <c r="T218">
        <v>3150</v>
      </c>
      <c r="W218">
        <v>400</v>
      </c>
      <c r="X218" s="384">
        <v>150</v>
      </c>
      <c r="Y218" s="403"/>
      <c r="Z218" s="32"/>
      <c r="AA218" s="410">
        <f t="shared" si="18"/>
        <v>275</v>
      </c>
      <c r="AB218" s="411">
        <f t="shared" si="15"/>
        <v>1066.25</v>
      </c>
      <c r="AC218">
        <f t="shared" si="16"/>
        <v>1544.5</v>
      </c>
    </row>
    <row r="219" spans="1:29" ht="15" x14ac:dyDescent="0.25">
      <c r="B219" s="617"/>
      <c r="C219" s="617"/>
      <c r="D219" s="244"/>
      <c r="E219" s="244"/>
      <c r="F219" s="244"/>
      <c r="G219" s="244"/>
      <c r="H219" s="9"/>
      <c r="I219" s="9"/>
      <c r="J219" s="32"/>
      <c r="K219" s="193"/>
      <c r="M219" t="s">
        <v>131</v>
      </c>
      <c r="N219" t="s">
        <v>209</v>
      </c>
      <c r="O219" s="50" t="str">
        <f t="shared" si="17"/>
        <v>TOFINO CREEK_Chum</v>
      </c>
      <c r="Q219">
        <v>761</v>
      </c>
      <c r="U219">
        <v>3</v>
      </c>
      <c r="V219">
        <v>89</v>
      </c>
      <c r="W219">
        <v>15</v>
      </c>
      <c r="X219" s="384"/>
      <c r="Y219" s="403"/>
      <c r="Z219" s="32"/>
      <c r="AA219" s="410">
        <f t="shared" si="18"/>
        <v>15</v>
      </c>
      <c r="AB219" s="411">
        <f t="shared" si="15"/>
        <v>35.666666666666664</v>
      </c>
      <c r="AC219">
        <f t="shared" si="16"/>
        <v>217</v>
      </c>
    </row>
    <row r="220" spans="1:29" ht="18" x14ac:dyDescent="0.25">
      <c r="A220">
        <v>2022</v>
      </c>
      <c r="B220" s="617">
        <v>23</v>
      </c>
      <c r="C220" s="617" t="s">
        <v>295</v>
      </c>
      <c r="D220" s="244" t="s">
        <v>288</v>
      </c>
      <c r="E220" s="244" t="s">
        <v>209</v>
      </c>
      <c r="F220" s="244" t="s">
        <v>419</v>
      </c>
      <c r="G220" s="244" t="s">
        <v>289</v>
      </c>
      <c r="H220" s="9" t="s">
        <v>615</v>
      </c>
      <c r="I220" s="9">
        <v>3</v>
      </c>
      <c r="J220" s="32">
        <v>5267</v>
      </c>
      <c r="K220" s="193"/>
      <c r="M220" t="s">
        <v>555</v>
      </c>
      <c r="N220" t="s">
        <v>209</v>
      </c>
      <c r="O220" s="50" t="str">
        <f t="shared" si="17"/>
        <v>TOQUART RIVER_Chum</v>
      </c>
      <c r="P220">
        <v>564</v>
      </c>
      <c r="Q220">
        <v>3554</v>
      </c>
      <c r="R220">
        <v>1736</v>
      </c>
      <c r="S220">
        <v>4567</v>
      </c>
      <c r="T220">
        <v>982</v>
      </c>
      <c r="U220">
        <v>224</v>
      </c>
      <c r="V220">
        <v>110</v>
      </c>
      <c r="W220">
        <v>669</v>
      </c>
      <c r="X220" s="384">
        <v>7162</v>
      </c>
      <c r="Y220" s="403">
        <v>247</v>
      </c>
      <c r="Z220" s="32">
        <v>5267</v>
      </c>
      <c r="AA220" s="410">
        <f t="shared" si="18"/>
        <v>3336.25</v>
      </c>
      <c r="AB220" s="411">
        <f t="shared" si="15"/>
        <v>2403.5</v>
      </c>
      <c r="AC220">
        <f t="shared" si="16"/>
        <v>2280.181818181818</v>
      </c>
    </row>
    <row r="221" spans="1:29" ht="15" x14ac:dyDescent="0.25">
      <c r="A221">
        <v>2022</v>
      </c>
      <c r="B221" s="617">
        <v>24</v>
      </c>
      <c r="C221" s="617" t="s">
        <v>296</v>
      </c>
      <c r="D221" s="244" t="s">
        <v>43</v>
      </c>
      <c r="E221" s="244" t="s">
        <v>209</v>
      </c>
      <c r="F221" s="244" t="s">
        <v>419</v>
      </c>
      <c r="G221" s="244" t="s">
        <v>497</v>
      </c>
      <c r="H221" s="9" t="s">
        <v>616</v>
      </c>
      <c r="I221" s="9">
        <v>7</v>
      </c>
      <c r="J221" s="32">
        <v>1158</v>
      </c>
      <c r="K221" s="193"/>
      <c r="M221" t="s">
        <v>43</v>
      </c>
      <c r="N221" t="s">
        <v>209</v>
      </c>
      <c r="O221" s="50" t="str">
        <f t="shared" si="17"/>
        <v>TRANQUIL CREEK_Chum</v>
      </c>
      <c r="P221">
        <v>3067</v>
      </c>
      <c r="Q221">
        <v>7242</v>
      </c>
      <c r="R221">
        <v>4626</v>
      </c>
      <c r="S221">
        <v>2733</v>
      </c>
      <c r="T221">
        <v>1361</v>
      </c>
      <c r="U221">
        <v>2664</v>
      </c>
      <c r="V221">
        <v>2672</v>
      </c>
      <c r="W221">
        <v>2376</v>
      </c>
      <c r="X221" s="384">
        <v>2957</v>
      </c>
      <c r="Y221" s="403">
        <v>1832</v>
      </c>
      <c r="Z221" s="32">
        <v>1158</v>
      </c>
      <c r="AA221" s="410">
        <f t="shared" si="18"/>
        <v>2080.75</v>
      </c>
      <c r="AB221" s="411">
        <f t="shared" si="15"/>
        <v>2219.125</v>
      </c>
      <c r="AC221">
        <f t="shared" si="16"/>
        <v>2971.6363636363635</v>
      </c>
    </row>
    <row r="222" spans="1:29" ht="18" x14ac:dyDescent="0.25">
      <c r="A222">
        <v>2022</v>
      </c>
      <c r="B222" s="617">
        <v>25</v>
      </c>
      <c r="C222" s="617" t="s">
        <v>299</v>
      </c>
      <c r="D222" s="244" t="s">
        <v>54</v>
      </c>
      <c r="E222" s="244" t="s">
        <v>209</v>
      </c>
      <c r="F222" s="244" t="s">
        <v>419</v>
      </c>
      <c r="G222" s="244" t="s">
        <v>452</v>
      </c>
      <c r="H222" s="9" t="s">
        <v>610</v>
      </c>
      <c r="I222" s="9">
        <v>2</v>
      </c>
      <c r="J222" s="32">
        <v>0</v>
      </c>
      <c r="K222" s="193"/>
      <c r="M222" t="s">
        <v>54</v>
      </c>
      <c r="N222" t="s">
        <v>209</v>
      </c>
      <c r="O222" s="50" t="str">
        <f t="shared" si="17"/>
        <v>TSOWWIN RIVER_Chum</v>
      </c>
      <c r="P222">
        <v>921</v>
      </c>
      <c r="Q222">
        <v>2801</v>
      </c>
      <c r="R222">
        <v>1035</v>
      </c>
      <c r="W222">
        <v>390</v>
      </c>
      <c r="X222" s="384">
        <v>208</v>
      </c>
      <c r="Y222" s="403">
        <v>126</v>
      </c>
      <c r="Z222" s="32">
        <v>0</v>
      </c>
      <c r="AA222" s="410">
        <f t="shared" si="18"/>
        <v>181</v>
      </c>
      <c r="AB222" s="411">
        <f t="shared" ref="AB222:AB285" si="19">AVERAGE(S222:Z222)</f>
        <v>181</v>
      </c>
      <c r="AC222">
        <f t="shared" ref="AC222:AC285" si="20">AVERAGE(P222:Z222)</f>
        <v>783</v>
      </c>
    </row>
    <row r="223" spans="1:29" ht="18" x14ac:dyDescent="0.25">
      <c r="A223">
        <v>2022</v>
      </c>
      <c r="B223" s="617">
        <v>23</v>
      </c>
      <c r="C223" s="617" t="s">
        <v>295</v>
      </c>
      <c r="D223" s="244" t="s">
        <v>108</v>
      </c>
      <c r="E223" s="244" t="s">
        <v>209</v>
      </c>
      <c r="F223" s="244" t="s">
        <v>419</v>
      </c>
      <c r="G223" s="244" t="s">
        <v>626</v>
      </c>
      <c r="H223" s="9" t="s">
        <v>615</v>
      </c>
      <c r="I223" s="9">
        <v>2</v>
      </c>
      <c r="J223" s="32">
        <v>332</v>
      </c>
      <c r="K223" s="193"/>
      <c r="M223" t="s">
        <v>108</v>
      </c>
      <c r="N223" t="s">
        <v>209</v>
      </c>
      <c r="O223" s="50" t="str">
        <f t="shared" si="17"/>
        <v>TWIN RIVERS EAST CREEK_Chum</v>
      </c>
      <c r="Q223">
        <v>7</v>
      </c>
      <c r="R223">
        <v>171</v>
      </c>
      <c r="U223">
        <v>26</v>
      </c>
      <c r="V223">
        <v>87</v>
      </c>
      <c r="W223">
        <v>158</v>
      </c>
      <c r="X223" s="384">
        <v>189</v>
      </c>
      <c r="Y223" s="403">
        <v>33</v>
      </c>
      <c r="Z223" s="32">
        <v>332</v>
      </c>
      <c r="AA223" s="410">
        <f t="shared" si="18"/>
        <v>178</v>
      </c>
      <c r="AB223" s="411">
        <f t="shared" si="19"/>
        <v>137.5</v>
      </c>
      <c r="AC223">
        <f t="shared" si="20"/>
        <v>125.375</v>
      </c>
    </row>
    <row r="224" spans="1:29" ht="15" x14ac:dyDescent="0.25">
      <c r="B224" s="617"/>
      <c r="C224" s="617"/>
      <c r="D224" s="244"/>
      <c r="E224" s="244"/>
      <c r="F224" s="244"/>
      <c r="G224" s="244"/>
      <c r="H224" s="9"/>
      <c r="I224" s="9"/>
      <c r="J224" s="32"/>
      <c r="K224" s="193"/>
      <c r="M224" t="s">
        <v>109</v>
      </c>
      <c r="N224" t="s">
        <v>209</v>
      </c>
      <c r="O224" s="50" t="str">
        <f t="shared" si="17"/>
        <v>TWIN RIVERS WEST CREEK_Chum</v>
      </c>
      <c r="Q224">
        <v>14</v>
      </c>
      <c r="X224" s="384"/>
      <c r="Y224" s="403"/>
      <c r="Z224" s="32"/>
      <c r="AC224">
        <f t="shared" si="20"/>
        <v>14</v>
      </c>
    </row>
    <row r="225" spans="1:29" ht="18" x14ac:dyDescent="0.25">
      <c r="A225">
        <v>2022</v>
      </c>
      <c r="B225" s="617">
        <v>23</v>
      </c>
      <c r="C225" s="617" t="s">
        <v>294</v>
      </c>
      <c r="D225" s="244" t="s">
        <v>110</v>
      </c>
      <c r="E225" s="244" t="s">
        <v>209</v>
      </c>
      <c r="F225" s="244" t="s">
        <v>419</v>
      </c>
      <c r="G225" s="244" t="s">
        <v>290</v>
      </c>
      <c r="H225" s="9" t="s">
        <v>615</v>
      </c>
      <c r="I225" s="9">
        <v>1</v>
      </c>
      <c r="J225" s="32">
        <v>4</v>
      </c>
      <c r="K225" s="193"/>
      <c r="M225" t="s">
        <v>110</v>
      </c>
      <c r="N225" t="s">
        <v>209</v>
      </c>
      <c r="O225" s="50" t="str">
        <f t="shared" si="17"/>
        <v>UCHUCK CREEK_Chum</v>
      </c>
      <c r="Q225">
        <v>200</v>
      </c>
      <c r="X225" s="384"/>
      <c r="Y225" s="403"/>
      <c r="Z225" s="32">
        <v>4</v>
      </c>
      <c r="AA225" s="410">
        <f t="shared" si="18"/>
        <v>4</v>
      </c>
      <c r="AB225" s="411">
        <f t="shared" si="19"/>
        <v>4</v>
      </c>
      <c r="AC225">
        <f t="shared" si="20"/>
        <v>102</v>
      </c>
    </row>
    <row r="226" spans="1:29" ht="15" x14ac:dyDescent="0.25">
      <c r="B226" s="617"/>
      <c r="C226" s="617"/>
      <c r="D226" s="244"/>
      <c r="E226" s="244"/>
      <c r="F226" s="244"/>
      <c r="G226" s="244"/>
      <c r="H226" s="9"/>
      <c r="I226" s="9"/>
      <c r="J226" s="32"/>
      <c r="K226" s="193"/>
      <c r="M226" t="s">
        <v>556</v>
      </c>
      <c r="N226" t="s">
        <v>209</v>
      </c>
      <c r="O226" s="50" t="str">
        <f t="shared" si="17"/>
        <v>URSUS CREEK_Chum</v>
      </c>
      <c r="P226">
        <v>276</v>
      </c>
      <c r="Q226">
        <v>64</v>
      </c>
      <c r="R226">
        <v>71</v>
      </c>
      <c r="S226">
        <v>88</v>
      </c>
      <c r="T226">
        <v>242</v>
      </c>
      <c r="U226">
        <v>138</v>
      </c>
      <c r="V226">
        <v>14</v>
      </c>
      <c r="W226">
        <v>10</v>
      </c>
      <c r="X226" s="384">
        <v>20</v>
      </c>
      <c r="Y226" s="403"/>
      <c r="Z226" s="32"/>
      <c r="AA226" s="410">
        <f t="shared" si="18"/>
        <v>15</v>
      </c>
      <c r="AB226" s="411">
        <f t="shared" si="19"/>
        <v>85.333333333333329</v>
      </c>
      <c r="AC226">
        <f t="shared" si="20"/>
        <v>102.55555555555556</v>
      </c>
    </row>
    <row r="227" spans="1:29" ht="15" x14ac:dyDescent="0.25">
      <c r="A227">
        <v>2022</v>
      </c>
      <c r="B227" s="617">
        <v>24</v>
      </c>
      <c r="C227" s="617" t="s">
        <v>297</v>
      </c>
      <c r="D227" s="244" t="s">
        <v>132</v>
      </c>
      <c r="E227" s="244" t="s">
        <v>209</v>
      </c>
      <c r="F227" s="244" t="s">
        <v>419</v>
      </c>
      <c r="G227" s="244" t="s">
        <v>497</v>
      </c>
      <c r="H227" s="9" t="s">
        <v>616</v>
      </c>
      <c r="I227" s="9">
        <v>2</v>
      </c>
      <c r="J227" s="32">
        <v>146</v>
      </c>
      <c r="K227" s="193"/>
      <c r="M227" t="s">
        <v>132</v>
      </c>
      <c r="N227" t="s">
        <v>209</v>
      </c>
      <c r="O227" s="50" t="str">
        <f t="shared" si="17"/>
        <v>WARN BAY CREEK_Chum</v>
      </c>
      <c r="Q227">
        <v>192</v>
      </c>
      <c r="R227">
        <v>1205</v>
      </c>
      <c r="S227">
        <v>394</v>
      </c>
      <c r="T227">
        <v>2557</v>
      </c>
      <c r="U227">
        <v>2182</v>
      </c>
      <c r="V227">
        <v>12</v>
      </c>
      <c r="W227">
        <v>159</v>
      </c>
      <c r="X227" s="384">
        <v>420</v>
      </c>
      <c r="Y227" s="403">
        <v>317</v>
      </c>
      <c r="Z227" s="32">
        <v>146</v>
      </c>
      <c r="AA227" s="410">
        <f t="shared" si="18"/>
        <v>260.5</v>
      </c>
      <c r="AB227" s="411">
        <f t="shared" si="19"/>
        <v>773.375</v>
      </c>
      <c r="AC227">
        <f t="shared" si="20"/>
        <v>758.4</v>
      </c>
    </row>
    <row r="228" spans="1:29" ht="15" x14ac:dyDescent="0.25">
      <c r="B228" s="617"/>
      <c r="C228" s="617"/>
      <c r="D228" s="244"/>
      <c r="E228" s="244"/>
      <c r="F228" s="244"/>
      <c r="G228" s="244"/>
      <c r="H228" s="9"/>
      <c r="I228" s="9"/>
      <c r="J228" s="32"/>
      <c r="K228" s="193"/>
      <c r="M228" t="s">
        <v>134</v>
      </c>
      <c r="N228" t="s">
        <v>209</v>
      </c>
      <c r="O228" s="50" t="str">
        <f t="shared" si="17"/>
        <v>WHITE PINE COVE CREEK_Chum</v>
      </c>
      <c r="Q228">
        <v>44</v>
      </c>
      <c r="R228">
        <v>0</v>
      </c>
      <c r="X228" s="384">
        <v>0</v>
      </c>
      <c r="Y228" s="403">
        <v>0</v>
      </c>
      <c r="Z228" s="32"/>
      <c r="AA228" s="410">
        <f t="shared" si="18"/>
        <v>0</v>
      </c>
      <c r="AB228" s="411">
        <f t="shared" si="19"/>
        <v>0</v>
      </c>
      <c r="AC228">
        <f t="shared" si="20"/>
        <v>11</v>
      </c>
    </row>
    <row r="229" spans="1:29" ht="15" x14ac:dyDescent="0.25">
      <c r="A229">
        <v>2022</v>
      </c>
      <c r="B229" s="617">
        <v>25</v>
      </c>
      <c r="C229" s="617" t="s">
        <v>300</v>
      </c>
      <c r="D229" s="244" t="s">
        <v>55</v>
      </c>
      <c r="E229" s="244" t="s">
        <v>209</v>
      </c>
      <c r="F229" s="244" t="s">
        <v>419</v>
      </c>
      <c r="G229" s="244" t="s">
        <v>528</v>
      </c>
      <c r="H229" s="9" t="s">
        <v>618</v>
      </c>
      <c r="I229" s="9">
        <v>5</v>
      </c>
      <c r="J229" s="32">
        <v>1272</v>
      </c>
      <c r="K229" s="193"/>
      <c r="M229" t="s">
        <v>55</v>
      </c>
      <c r="N229" t="s">
        <v>209</v>
      </c>
      <c r="O229" s="50" t="str">
        <f t="shared" si="17"/>
        <v>ZEBALLOS RIVER_Chum</v>
      </c>
      <c r="P229">
        <v>2095</v>
      </c>
      <c r="Q229">
        <v>4046</v>
      </c>
      <c r="R229">
        <v>1772</v>
      </c>
      <c r="S229">
        <v>9306</v>
      </c>
      <c r="T229">
        <v>9231</v>
      </c>
      <c r="U229">
        <v>2230</v>
      </c>
      <c r="V229">
        <v>7973</v>
      </c>
      <c r="W229">
        <v>1240</v>
      </c>
      <c r="X229" s="384">
        <v>2686</v>
      </c>
      <c r="Y229" s="403">
        <v>682</v>
      </c>
      <c r="Z229" s="32">
        <v>1272</v>
      </c>
      <c r="AA229" s="410">
        <f t="shared" si="18"/>
        <v>1470</v>
      </c>
      <c r="AB229" s="411">
        <f t="shared" si="19"/>
        <v>4327.5</v>
      </c>
      <c r="AC229">
        <f t="shared" si="20"/>
        <v>3866.6363636363635</v>
      </c>
    </row>
    <row r="230" spans="1:29" ht="15" x14ac:dyDescent="0.25">
      <c r="B230" s="617"/>
      <c r="C230" s="617"/>
      <c r="D230" s="244"/>
      <c r="E230" s="244"/>
      <c r="F230" s="244"/>
      <c r="G230" s="244"/>
      <c r="H230" s="9"/>
      <c r="I230" s="9"/>
      <c r="J230" s="32"/>
      <c r="K230" s="193"/>
      <c r="M230" t="s">
        <v>56</v>
      </c>
      <c r="N230" t="s">
        <v>219</v>
      </c>
      <c r="O230" s="50" t="str">
        <f t="shared" si="17"/>
        <v>AMAI CREEK_Coho</v>
      </c>
      <c r="P230">
        <v>64</v>
      </c>
      <c r="Q230">
        <v>55</v>
      </c>
      <c r="R230">
        <v>282</v>
      </c>
      <c r="S230">
        <v>109</v>
      </c>
      <c r="V230">
        <v>122</v>
      </c>
      <c r="X230" s="384">
        <v>53</v>
      </c>
      <c r="Y230" s="403"/>
      <c r="Z230" s="32"/>
      <c r="AA230" s="410">
        <f t="shared" si="18"/>
        <v>53</v>
      </c>
      <c r="AB230" s="411">
        <f t="shared" si="19"/>
        <v>94.666666666666671</v>
      </c>
      <c r="AC230">
        <f t="shared" si="20"/>
        <v>114.16666666666667</v>
      </c>
    </row>
    <row r="231" spans="1:29" ht="15" x14ac:dyDescent="0.25">
      <c r="B231" s="617"/>
      <c r="C231" s="617"/>
      <c r="D231" s="244"/>
      <c r="E231" s="244"/>
      <c r="F231" s="244"/>
      <c r="G231" s="244"/>
      <c r="H231" s="9"/>
      <c r="I231" s="9"/>
      <c r="J231" s="32"/>
      <c r="K231" s="193"/>
      <c r="M231" t="s">
        <v>187</v>
      </c>
      <c r="N231" t="s">
        <v>219</v>
      </c>
      <c r="O231" s="50" t="str">
        <f t="shared" si="17"/>
        <v>ANGORA CREEK_Coho</v>
      </c>
      <c r="Q231">
        <v>308</v>
      </c>
      <c r="R231">
        <v>393</v>
      </c>
      <c r="X231" s="384">
        <v>397</v>
      </c>
      <c r="Y231" s="403"/>
      <c r="Z231" s="32"/>
      <c r="AA231" s="410">
        <f t="shared" si="18"/>
        <v>397</v>
      </c>
      <c r="AB231" s="411">
        <f t="shared" si="19"/>
        <v>397</v>
      </c>
      <c r="AC231">
        <f t="shared" si="20"/>
        <v>366</v>
      </c>
    </row>
    <row r="232" spans="1:29" ht="15" x14ac:dyDescent="0.25">
      <c r="A232">
        <v>2022</v>
      </c>
      <c r="B232" s="617">
        <v>26</v>
      </c>
      <c r="C232" s="617" t="s">
        <v>301</v>
      </c>
      <c r="D232" s="244" t="s">
        <v>57</v>
      </c>
      <c r="E232" s="244" t="s">
        <v>219</v>
      </c>
      <c r="F232" s="244" t="s">
        <v>419</v>
      </c>
      <c r="G232" s="244" t="s">
        <v>292</v>
      </c>
      <c r="H232" s="9" t="s">
        <v>616</v>
      </c>
      <c r="I232" s="9">
        <v>7</v>
      </c>
      <c r="J232" s="32">
        <v>1147</v>
      </c>
      <c r="K232" s="193"/>
      <c r="M232" t="s">
        <v>57</v>
      </c>
      <c r="N232" t="s">
        <v>219</v>
      </c>
      <c r="O232" s="50" t="str">
        <f t="shared" si="17"/>
        <v>ARTLISH RIVER_Coho</v>
      </c>
      <c r="P232">
        <v>929</v>
      </c>
      <c r="Q232">
        <v>1468</v>
      </c>
      <c r="R232">
        <v>1085</v>
      </c>
      <c r="S232">
        <v>856</v>
      </c>
      <c r="T232">
        <v>731</v>
      </c>
      <c r="U232">
        <v>1093</v>
      </c>
      <c r="V232">
        <v>2004</v>
      </c>
      <c r="W232">
        <v>375</v>
      </c>
      <c r="X232" s="384"/>
      <c r="Y232" s="403">
        <v>1519</v>
      </c>
      <c r="Z232" s="32">
        <v>1147</v>
      </c>
      <c r="AA232" s="410">
        <f t="shared" si="18"/>
        <v>1013.6666666666666</v>
      </c>
      <c r="AB232" s="411">
        <f t="shared" si="19"/>
        <v>1103.5714285714287</v>
      </c>
      <c r="AC232">
        <f t="shared" si="20"/>
        <v>1120.7</v>
      </c>
    </row>
    <row r="233" spans="1:29" ht="15" x14ac:dyDescent="0.25">
      <c r="B233" s="617"/>
      <c r="C233" s="617"/>
      <c r="D233" s="244"/>
      <c r="E233" s="244"/>
      <c r="F233" s="244"/>
      <c r="G233" s="244"/>
      <c r="H233" s="9"/>
      <c r="I233" s="9"/>
      <c r="J233" s="32"/>
      <c r="K233" s="193"/>
      <c r="M233" t="s">
        <v>114</v>
      </c>
      <c r="N233" t="s">
        <v>219</v>
      </c>
      <c r="O233" s="50" t="str">
        <f t="shared" si="17"/>
        <v>ATLEO RIVER_Coho</v>
      </c>
      <c r="Q233">
        <v>360</v>
      </c>
      <c r="R233">
        <v>392</v>
      </c>
      <c r="V233">
        <v>126</v>
      </c>
      <c r="X233" s="384">
        <v>147</v>
      </c>
      <c r="Y233" s="403">
        <v>82</v>
      </c>
      <c r="Z233" s="32"/>
      <c r="AA233" s="410">
        <f t="shared" si="18"/>
        <v>114.5</v>
      </c>
      <c r="AB233" s="411">
        <f t="shared" si="19"/>
        <v>118.33333333333333</v>
      </c>
      <c r="AC233">
        <f t="shared" si="20"/>
        <v>221.4</v>
      </c>
    </row>
    <row r="234" spans="1:29" ht="15" x14ac:dyDescent="0.25">
      <c r="B234" s="617"/>
      <c r="C234" s="617"/>
      <c r="D234" s="244"/>
      <c r="E234" s="244"/>
      <c r="F234" s="244"/>
      <c r="G234" s="244"/>
      <c r="H234" s="9"/>
      <c r="I234" s="9"/>
      <c r="J234" s="32"/>
      <c r="K234" s="193"/>
      <c r="M234" t="s">
        <v>115</v>
      </c>
      <c r="N234" t="s">
        <v>219</v>
      </c>
      <c r="O234" s="50" t="str">
        <f t="shared" si="17"/>
        <v>BAWDEN CREEK_Coho</v>
      </c>
      <c r="Q234">
        <v>1</v>
      </c>
      <c r="R234">
        <v>0</v>
      </c>
      <c r="X234" s="384">
        <v>0</v>
      </c>
      <c r="Y234" s="403">
        <v>0</v>
      </c>
      <c r="Z234" s="32"/>
      <c r="AA234" s="410">
        <f t="shared" si="18"/>
        <v>0</v>
      </c>
      <c r="AB234" s="411">
        <f t="shared" si="19"/>
        <v>0</v>
      </c>
      <c r="AC234">
        <f t="shared" si="20"/>
        <v>0.25</v>
      </c>
    </row>
    <row r="235" spans="1:29" ht="15" x14ac:dyDescent="0.25">
      <c r="B235" s="617"/>
      <c r="C235" s="617"/>
      <c r="D235" s="244"/>
      <c r="E235" s="244"/>
      <c r="F235" s="244"/>
      <c r="G235" s="244"/>
      <c r="H235" s="9"/>
      <c r="I235" s="9"/>
      <c r="J235" s="32"/>
      <c r="K235" s="193"/>
      <c r="M235" t="s">
        <v>35</v>
      </c>
      <c r="N235" t="s">
        <v>219</v>
      </c>
      <c r="O235" s="50" t="str">
        <f t="shared" si="17"/>
        <v>BEDWELL RIVER_Coho</v>
      </c>
      <c r="P235">
        <v>594</v>
      </c>
      <c r="Q235">
        <v>331</v>
      </c>
      <c r="R235">
        <v>609</v>
      </c>
      <c r="S235">
        <v>377</v>
      </c>
      <c r="T235">
        <v>548</v>
      </c>
      <c r="U235">
        <v>594</v>
      </c>
      <c r="V235">
        <v>752</v>
      </c>
      <c r="W235">
        <v>462</v>
      </c>
      <c r="X235" s="384">
        <v>381</v>
      </c>
      <c r="Y235" s="403"/>
      <c r="Z235" s="32"/>
      <c r="AA235" s="410">
        <f t="shared" si="18"/>
        <v>421.5</v>
      </c>
      <c r="AB235" s="411">
        <f t="shared" si="19"/>
        <v>519</v>
      </c>
      <c r="AC235">
        <f t="shared" si="20"/>
        <v>516.44444444444446</v>
      </c>
    </row>
    <row r="236" spans="1:29" x14ac:dyDescent="0.2">
      <c r="A236">
        <v>2022</v>
      </c>
      <c r="B236" s="617">
        <v>24</v>
      </c>
      <c r="C236" s="617" t="s">
        <v>297</v>
      </c>
      <c r="D236" s="244" t="s">
        <v>35</v>
      </c>
      <c r="E236" s="244" t="s">
        <v>219</v>
      </c>
      <c r="F236" s="244" t="s">
        <v>419</v>
      </c>
      <c r="G236" s="244" t="s">
        <v>497</v>
      </c>
      <c r="H236" s="9" t="s">
        <v>616</v>
      </c>
      <c r="I236" s="9">
        <v>5</v>
      </c>
      <c r="J236" s="32">
        <v>768</v>
      </c>
      <c r="K236" s="193"/>
      <c r="M236" t="s">
        <v>557</v>
      </c>
      <c r="N236" s="17" t="s">
        <v>219</v>
      </c>
      <c r="O236" s="50" t="str">
        <f t="shared" si="17"/>
        <v>BEDWELL SYSTEM_Coho</v>
      </c>
      <c r="P236">
        <v>866</v>
      </c>
      <c r="Q236">
        <v>612</v>
      </c>
      <c r="R236">
        <v>1006</v>
      </c>
      <c r="S236">
        <v>572</v>
      </c>
      <c r="T236">
        <v>1449</v>
      </c>
      <c r="U236">
        <v>949</v>
      </c>
      <c r="V236">
        <v>897</v>
      </c>
      <c r="W236">
        <v>577</v>
      </c>
      <c r="X236" s="408">
        <v>455</v>
      </c>
      <c r="Y236">
        <v>1333</v>
      </c>
      <c r="Z236" s="32">
        <v>768</v>
      </c>
      <c r="AA236" s="410">
        <f t="shared" si="18"/>
        <v>783.25</v>
      </c>
      <c r="AB236" s="411">
        <f t="shared" si="19"/>
        <v>875</v>
      </c>
      <c r="AC236">
        <f t="shared" si="20"/>
        <v>862.18181818181813</v>
      </c>
    </row>
    <row r="237" spans="1:29" ht="15" x14ac:dyDescent="0.25">
      <c r="A237">
        <v>2022</v>
      </c>
      <c r="B237" s="617">
        <v>25</v>
      </c>
      <c r="C237" s="618" t="s">
        <v>299</v>
      </c>
      <c r="D237" s="244" t="s">
        <v>44</v>
      </c>
      <c r="E237" s="244" t="s">
        <v>219</v>
      </c>
      <c r="F237" s="244" t="s">
        <v>419</v>
      </c>
      <c r="G237" s="244" t="s">
        <v>452</v>
      </c>
      <c r="H237" s="9" t="s">
        <v>612</v>
      </c>
      <c r="I237" s="9">
        <v>4</v>
      </c>
      <c r="J237" s="32">
        <v>134</v>
      </c>
      <c r="K237" s="193"/>
      <c r="M237" t="s">
        <v>44</v>
      </c>
      <c r="N237" t="s">
        <v>219</v>
      </c>
      <c r="O237" s="50" t="str">
        <f t="shared" si="17"/>
        <v>BURMAN RIVER_Coho</v>
      </c>
      <c r="P237">
        <v>1142</v>
      </c>
      <c r="Q237">
        <v>1038</v>
      </c>
      <c r="R237">
        <v>515</v>
      </c>
      <c r="S237">
        <v>829</v>
      </c>
      <c r="T237">
        <v>632</v>
      </c>
      <c r="U237">
        <v>407</v>
      </c>
      <c r="V237">
        <v>395</v>
      </c>
      <c r="W237">
        <v>144</v>
      </c>
      <c r="X237" s="384">
        <v>330</v>
      </c>
      <c r="Y237" s="403">
        <v>470</v>
      </c>
      <c r="Z237" s="32">
        <v>134</v>
      </c>
      <c r="AA237" s="410">
        <f t="shared" si="18"/>
        <v>269.5</v>
      </c>
      <c r="AB237" s="411">
        <f t="shared" si="19"/>
        <v>417.625</v>
      </c>
      <c r="AC237">
        <f t="shared" si="20"/>
        <v>548.72727272727275</v>
      </c>
    </row>
    <row r="238" spans="1:29" ht="15" x14ac:dyDescent="0.25">
      <c r="B238" s="617"/>
      <c r="C238" s="618"/>
      <c r="D238" s="244"/>
      <c r="E238" s="244"/>
      <c r="F238" s="244"/>
      <c r="G238" s="244"/>
      <c r="H238" s="9"/>
      <c r="I238" s="9"/>
      <c r="J238" s="32"/>
      <c r="K238" s="193"/>
      <c r="M238" t="s">
        <v>58</v>
      </c>
      <c r="N238" t="s">
        <v>219</v>
      </c>
      <c r="O238" s="50" t="str">
        <f t="shared" si="17"/>
        <v>CACHALOT CREEK_Coho</v>
      </c>
      <c r="P238">
        <v>24</v>
      </c>
      <c r="Q238">
        <v>35</v>
      </c>
      <c r="R238">
        <v>63</v>
      </c>
      <c r="S238">
        <v>17</v>
      </c>
      <c r="X238" s="384"/>
      <c r="Y238" s="403"/>
      <c r="Z238" s="32"/>
      <c r="AB238" s="411">
        <f t="shared" si="19"/>
        <v>17</v>
      </c>
      <c r="AC238">
        <f t="shared" si="20"/>
        <v>34.75</v>
      </c>
    </row>
    <row r="239" spans="1:29" ht="15" x14ac:dyDescent="0.25">
      <c r="A239">
        <v>2022</v>
      </c>
      <c r="B239" s="617">
        <v>22</v>
      </c>
      <c r="C239" s="617" t="s">
        <v>304</v>
      </c>
      <c r="D239" s="244" t="s">
        <v>79</v>
      </c>
      <c r="E239" s="244" t="s">
        <v>219</v>
      </c>
      <c r="F239" s="244" t="s">
        <v>419</v>
      </c>
      <c r="G239" s="244" t="s">
        <v>624</v>
      </c>
      <c r="H239" s="9" t="s">
        <v>616</v>
      </c>
      <c r="I239" s="9">
        <v>1</v>
      </c>
      <c r="J239" s="32">
        <v>48</v>
      </c>
      <c r="K239" s="193"/>
      <c r="M239" t="s">
        <v>79</v>
      </c>
      <c r="N239" t="s">
        <v>219</v>
      </c>
      <c r="O239" s="50" t="str">
        <f t="shared" si="17"/>
        <v>CAMPUS CREEK_Coho</v>
      </c>
      <c r="P239">
        <v>0</v>
      </c>
      <c r="W239">
        <v>36</v>
      </c>
      <c r="X239" s="384"/>
      <c r="Y239" s="403">
        <v>10</v>
      </c>
      <c r="Z239" s="32">
        <v>48</v>
      </c>
      <c r="AA239" s="410">
        <f t="shared" si="18"/>
        <v>31.333333333333332</v>
      </c>
      <c r="AB239" s="411">
        <f t="shared" si="19"/>
        <v>31.333333333333332</v>
      </c>
      <c r="AC239">
        <f t="shared" si="20"/>
        <v>23.5</v>
      </c>
    </row>
    <row r="240" spans="1:29" ht="15" x14ac:dyDescent="0.25">
      <c r="A240">
        <v>2022</v>
      </c>
      <c r="B240" s="617">
        <v>25</v>
      </c>
      <c r="C240" s="617" t="s">
        <v>299</v>
      </c>
      <c r="D240" s="244" t="s">
        <v>45</v>
      </c>
      <c r="E240" s="244" t="s">
        <v>219</v>
      </c>
      <c r="F240" s="244" t="s">
        <v>419</v>
      </c>
      <c r="G240" s="244" t="s">
        <v>452</v>
      </c>
      <c r="H240" s="9" t="s">
        <v>616</v>
      </c>
      <c r="I240" s="9">
        <v>9</v>
      </c>
      <c r="J240" s="32">
        <v>36</v>
      </c>
      <c r="K240" s="193"/>
      <c r="M240" t="s">
        <v>45</v>
      </c>
      <c r="N240" t="s">
        <v>219</v>
      </c>
      <c r="O240" s="50" t="str">
        <f t="shared" si="17"/>
        <v>CANTON CREEK_Coho</v>
      </c>
      <c r="P240">
        <v>20</v>
      </c>
      <c r="Q240">
        <v>0</v>
      </c>
      <c r="S240">
        <v>0</v>
      </c>
      <c r="T240">
        <v>585</v>
      </c>
      <c r="U240">
        <v>430</v>
      </c>
      <c r="W240">
        <v>107</v>
      </c>
      <c r="X240" s="384">
        <v>196</v>
      </c>
      <c r="Y240" s="403">
        <v>809</v>
      </c>
      <c r="Z240" s="32">
        <v>36</v>
      </c>
      <c r="AA240" s="410">
        <f t="shared" si="18"/>
        <v>287</v>
      </c>
      <c r="AB240" s="411">
        <f t="shared" si="19"/>
        <v>309</v>
      </c>
      <c r="AC240">
        <f t="shared" si="20"/>
        <v>242.55555555555554</v>
      </c>
    </row>
    <row r="241" spans="1:29" ht="15" x14ac:dyDescent="0.25">
      <c r="A241">
        <v>2022</v>
      </c>
      <c r="B241" s="617">
        <v>23</v>
      </c>
      <c r="C241" s="619" t="s">
        <v>293</v>
      </c>
      <c r="D241" s="244" t="s">
        <v>27</v>
      </c>
      <c r="E241" s="244" t="s">
        <v>219</v>
      </c>
      <c r="F241" s="244" t="s">
        <v>418</v>
      </c>
      <c r="G241" s="244" t="s">
        <v>365</v>
      </c>
      <c r="H241" s="9" t="s">
        <v>618</v>
      </c>
      <c r="I241" s="620" t="s">
        <v>242</v>
      </c>
      <c r="J241" s="32">
        <v>56</v>
      </c>
      <c r="K241" s="193"/>
      <c r="M241" t="s">
        <v>27</v>
      </c>
      <c r="N241" t="s">
        <v>219</v>
      </c>
      <c r="O241" s="50" t="str">
        <f t="shared" si="17"/>
        <v>CARNATION CREEK_Coho</v>
      </c>
      <c r="P241">
        <v>88</v>
      </c>
      <c r="Q241">
        <v>196</v>
      </c>
      <c r="R241">
        <v>156</v>
      </c>
      <c r="S241">
        <v>60</v>
      </c>
      <c r="T241">
        <v>198</v>
      </c>
      <c r="U241">
        <v>40</v>
      </c>
      <c r="V241">
        <v>95</v>
      </c>
      <c r="W241">
        <v>36</v>
      </c>
      <c r="X241" s="384">
        <v>33</v>
      </c>
      <c r="Y241" s="403">
        <v>151</v>
      </c>
      <c r="Z241" s="32">
        <v>56</v>
      </c>
      <c r="AA241" s="410">
        <f t="shared" si="18"/>
        <v>69</v>
      </c>
      <c r="AB241" s="411">
        <f t="shared" si="19"/>
        <v>83.625</v>
      </c>
      <c r="AC241">
        <f t="shared" si="20"/>
        <v>100.81818181818181</v>
      </c>
    </row>
    <row r="242" spans="1:29" ht="15" x14ac:dyDescent="0.25">
      <c r="B242" s="617"/>
      <c r="C242" s="619"/>
      <c r="D242" s="244"/>
      <c r="E242" s="244"/>
      <c r="F242" s="244"/>
      <c r="G242" s="244"/>
      <c r="H242" s="9"/>
      <c r="I242" s="620"/>
      <c r="J242" s="32"/>
      <c r="K242" s="193"/>
      <c r="M242" t="s">
        <v>80</v>
      </c>
      <c r="N242" t="s">
        <v>219</v>
      </c>
      <c r="O242" s="50" t="str">
        <f t="shared" si="17"/>
        <v>CAYCUSE RIVER_Coho</v>
      </c>
      <c r="P242">
        <v>0</v>
      </c>
      <c r="W242">
        <v>85</v>
      </c>
      <c r="X242" s="384"/>
      <c r="Y242" s="403"/>
      <c r="Z242" s="32"/>
      <c r="AA242" s="410">
        <f t="shared" si="18"/>
        <v>85</v>
      </c>
      <c r="AB242" s="411">
        <f t="shared" si="19"/>
        <v>85</v>
      </c>
      <c r="AC242">
        <f t="shared" si="20"/>
        <v>42.5</v>
      </c>
    </row>
    <row r="243" spans="1:29" ht="15" x14ac:dyDescent="0.25">
      <c r="K243" s="193"/>
      <c r="M243" t="s">
        <v>536</v>
      </c>
      <c r="N243" t="s">
        <v>219</v>
      </c>
      <c r="O243" s="50" t="str">
        <f t="shared" si="17"/>
        <v>CAYEGHLE CREEK_Coho</v>
      </c>
      <c r="P243">
        <v>213</v>
      </c>
      <c r="Q243">
        <v>291</v>
      </c>
      <c r="R243">
        <v>408</v>
      </c>
      <c r="S243">
        <v>315</v>
      </c>
      <c r="T243">
        <v>517</v>
      </c>
      <c r="U243">
        <v>363</v>
      </c>
      <c r="V243">
        <v>227</v>
      </c>
      <c r="W243">
        <v>380</v>
      </c>
      <c r="X243" s="403">
        <v>353</v>
      </c>
      <c r="Y243" s="403">
        <v>685</v>
      </c>
      <c r="AA243" s="410">
        <f t="shared" si="18"/>
        <v>472.66666666666669</v>
      </c>
      <c r="AB243" s="411">
        <f t="shared" si="19"/>
        <v>405.71428571428572</v>
      </c>
      <c r="AC243">
        <f t="shared" si="20"/>
        <v>375.2</v>
      </c>
    </row>
    <row r="244" spans="1:29" ht="15" x14ac:dyDescent="0.25">
      <c r="B244" s="617"/>
      <c r="C244" s="617"/>
      <c r="D244" s="244"/>
      <c r="E244" s="244"/>
      <c r="F244" s="244"/>
      <c r="G244" s="244"/>
      <c r="H244" s="9"/>
      <c r="I244" s="9"/>
      <c r="J244" s="32"/>
      <c r="K244" s="193"/>
      <c r="M244" t="s">
        <v>59</v>
      </c>
      <c r="N244" t="s">
        <v>219</v>
      </c>
      <c r="O244" s="50" t="str">
        <f t="shared" si="17"/>
        <v>CHAMISS CREEK_Coho</v>
      </c>
      <c r="Q244">
        <v>63</v>
      </c>
      <c r="R244">
        <v>51</v>
      </c>
      <c r="S244">
        <v>84</v>
      </c>
      <c r="V244">
        <v>64</v>
      </c>
      <c r="W244">
        <v>70</v>
      </c>
      <c r="X244" s="384">
        <v>62</v>
      </c>
      <c r="Y244" s="403">
        <v>124</v>
      </c>
      <c r="Z244" s="32"/>
      <c r="AA244" s="410">
        <f t="shared" si="18"/>
        <v>85.333333333333329</v>
      </c>
      <c r="AB244" s="411">
        <f t="shared" si="19"/>
        <v>80.8</v>
      </c>
      <c r="AC244">
        <f t="shared" si="20"/>
        <v>74</v>
      </c>
    </row>
    <row r="245" spans="1:29" ht="15" x14ac:dyDescent="0.25">
      <c r="B245" s="617"/>
      <c r="C245" s="617"/>
      <c r="D245" s="244"/>
      <c r="E245" s="244"/>
      <c r="F245" s="244"/>
      <c r="G245" s="244"/>
      <c r="H245" s="9"/>
      <c r="I245" s="9"/>
      <c r="J245" s="32"/>
      <c r="K245" s="193"/>
      <c r="M245" t="s">
        <v>24</v>
      </c>
      <c r="N245" t="s">
        <v>219</v>
      </c>
      <c r="O245" s="50" t="str">
        <f t="shared" si="17"/>
        <v>CHEEWHAT RIVER_Coho</v>
      </c>
      <c r="Q245">
        <v>0</v>
      </c>
      <c r="S245">
        <v>0</v>
      </c>
      <c r="V245">
        <v>70</v>
      </c>
      <c r="X245" s="384"/>
      <c r="Y245" s="403"/>
      <c r="Z245" s="32"/>
      <c r="AB245" s="411">
        <f t="shared" si="19"/>
        <v>35</v>
      </c>
      <c r="AC245">
        <f t="shared" si="20"/>
        <v>23.333333333333332</v>
      </c>
    </row>
    <row r="246" spans="1:29" ht="15" x14ac:dyDescent="0.25">
      <c r="B246" s="617"/>
      <c r="C246" s="617"/>
      <c r="D246" s="244"/>
      <c r="E246" s="244"/>
      <c r="F246" s="244"/>
      <c r="G246" s="244"/>
      <c r="H246" s="9"/>
      <c r="I246" s="9"/>
      <c r="J246" s="32"/>
      <c r="K246" s="193"/>
      <c r="M246" t="s">
        <v>88</v>
      </c>
      <c r="N246" t="s">
        <v>219</v>
      </c>
      <c r="O246" s="50" t="str">
        <f t="shared" si="17"/>
        <v>CHINA CREEK_Coho</v>
      </c>
      <c r="P246">
        <v>0</v>
      </c>
      <c r="Q246">
        <v>0</v>
      </c>
      <c r="S246">
        <v>0</v>
      </c>
      <c r="X246" s="384"/>
      <c r="Y246" s="403"/>
      <c r="Z246" s="32"/>
      <c r="AB246" s="411">
        <f t="shared" si="19"/>
        <v>0</v>
      </c>
      <c r="AC246">
        <f t="shared" si="20"/>
        <v>0</v>
      </c>
    </row>
    <row r="247" spans="1:29" ht="15" x14ac:dyDescent="0.25">
      <c r="A247">
        <v>2022</v>
      </c>
      <c r="B247" s="617">
        <v>25</v>
      </c>
      <c r="C247" s="617" t="s">
        <v>300</v>
      </c>
      <c r="D247" s="244" t="s">
        <v>135</v>
      </c>
      <c r="E247" s="244" t="s">
        <v>219</v>
      </c>
      <c r="F247" s="244" t="s">
        <v>419</v>
      </c>
      <c r="G247" s="244" t="s">
        <v>528</v>
      </c>
      <c r="H247" s="9" t="s">
        <v>616</v>
      </c>
      <c r="I247" s="9">
        <v>1</v>
      </c>
      <c r="J247" s="32">
        <v>0</v>
      </c>
      <c r="K247" s="193"/>
      <c r="M247" t="s">
        <v>135</v>
      </c>
      <c r="N247" t="s">
        <v>219</v>
      </c>
      <c r="O247" s="50" t="str">
        <f t="shared" si="17"/>
        <v>CHUM CREEK_Coho</v>
      </c>
      <c r="P247">
        <v>8</v>
      </c>
      <c r="T247">
        <v>15</v>
      </c>
      <c r="U247">
        <v>0</v>
      </c>
      <c r="V247">
        <v>78</v>
      </c>
      <c r="W247">
        <v>0</v>
      </c>
      <c r="X247" s="384">
        <v>7</v>
      </c>
      <c r="Y247" s="403">
        <v>16</v>
      </c>
      <c r="Z247" s="32">
        <v>0</v>
      </c>
      <c r="AA247" s="410">
        <f t="shared" si="18"/>
        <v>5.75</v>
      </c>
      <c r="AB247" s="411">
        <f t="shared" si="19"/>
        <v>16.571428571428573</v>
      </c>
      <c r="AC247">
        <f t="shared" si="20"/>
        <v>15.5</v>
      </c>
    </row>
    <row r="248" spans="1:29" ht="15" x14ac:dyDescent="0.25">
      <c r="B248" s="617"/>
      <c r="C248" s="617"/>
      <c r="D248" s="244"/>
      <c r="E248" s="244"/>
      <c r="F248" s="244"/>
      <c r="G248" s="244"/>
      <c r="H248" s="9"/>
      <c r="I248" s="9"/>
      <c r="J248" s="32"/>
      <c r="K248" s="193"/>
      <c r="M248" t="s">
        <v>231</v>
      </c>
      <c r="N248" t="s">
        <v>219</v>
      </c>
      <c r="O248" s="50" t="str">
        <f t="shared" si="17"/>
        <v>CLANNINICK CREEK_Coho</v>
      </c>
      <c r="P248">
        <v>176</v>
      </c>
      <c r="Q248">
        <v>119</v>
      </c>
      <c r="R248">
        <v>632</v>
      </c>
      <c r="S248">
        <v>197</v>
      </c>
      <c r="V248">
        <v>133</v>
      </c>
      <c r="X248" s="384">
        <v>138</v>
      </c>
      <c r="Y248" s="403"/>
      <c r="Z248" s="32"/>
      <c r="AA248" s="410">
        <f t="shared" si="18"/>
        <v>138</v>
      </c>
      <c r="AB248" s="411">
        <f t="shared" si="19"/>
        <v>156</v>
      </c>
      <c r="AC248">
        <f t="shared" si="20"/>
        <v>232.5</v>
      </c>
    </row>
    <row r="249" spans="1:29" ht="15" x14ac:dyDescent="0.25">
      <c r="A249">
        <v>2022</v>
      </c>
      <c r="B249" s="617">
        <v>24</v>
      </c>
      <c r="C249" s="617" t="s">
        <v>296</v>
      </c>
      <c r="D249" s="244" t="s">
        <v>38</v>
      </c>
      <c r="E249" s="244" t="s">
        <v>219</v>
      </c>
      <c r="F249" s="244" t="s">
        <v>419</v>
      </c>
      <c r="G249" s="244" t="s">
        <v>497</v>
      </c>
      <c r="H249" s="9" t="s">
        <v>616</v>
      </c>
      <c r="I249" s="9">
        <v>1</v>
      </c>
      <c r="J249" s="32">
        <v>591</v>
      </c>
      <c r="K249" s="193"/>
      <c r="M249" t="s">
        <v>36</v>
      </c>
      <c r="N249" t="s">
        <v>219</v>
      </c>
      <c r="O249" s="50" t="str">
        <f t="shared" si="17"/>
        <v>CLAYOQUOT RIVER_Coho</v>
      </c>
      <c r="V249">
        <v>385</v>
      </c>
      <c r="X249" s="384"/>
      <c r="Y249" s="403">
        <v>848</v>
      </c>
      <c r="Z249" s="32">
        <v>591</v>
      </c>
      <c r="AA249" s="410">
        <f t="shared" si="18"/>
        <v>719.5</v>
      </c>
      <c r="AB249" s="411">
        <f t="shared" si="19"/>
        <v>608</v>
      </c>
      <c r="AC249">
        <f t="shared" si="20"/>
        <v>608</v>
      </c>
    </row>
    <row r="250" spans="1:29" ht="15" x14ac:dyDescent="0.25">
      <c r="A250">
        <v>2022</v>
      </c>
      <c r="B250" s="617">
        <v>23</v>
      </c>
      <c r="C250" s="617" t="s">
        <v>294</v>
      </c>
      <c r="D250" s="244" t="s">
        <v>29</v>
      </c>
      <c r="E250" s="244" t="s">
        <v>219</v>
      </c>
      <c r="F250" s="244" t="s">
        <v>419</v>
      </c>
      <c r="G250" s="244" t="s">
        <v>626</v>
      </c>
      <c r="H250" s="9" t="s">
        <v>616</v>
      </c>
      <c r="I250" s="9">
        <v>10</v>
      </c>
      <c r="J250" s="32">
        <v>313</v>
      </c>
      <c r="K250" s="193"/>
      <c r="M250" t="s">
        <v>29</v>
      </c>
      <c r="N250" t="s">
        <v>219</v>
      </c>
      <c r="O250" s="50" t="str">
        <f t="shared" si="17"/>
        <v>CLEMENS CREEK_Coho</v>
      </c>
      <c r="P250">
        <v>993</v>
      </c>
      <c r="Q250">
        <v>1678</v>
      </c>
      <c r="R250">
        <v>775</v>
      </c>
      <c r="S250">
        <v>1326</v>
      </c>
      <c r="T250">
        <v>1343</v>
      </c>
      <c r="U250">
        <v>877</v>
      </c>
      <c r="V250">
        <v>852</v>
      </c>
      <c r="W250">
        <v>397</v>
      </c>
      <c r="X250" s="384">
        <v>540</v>
      </c>
      <c r="Y250" s="403">
        <v>550</v>
      </c>
      <c r="Z250" s="32">
        <v>313</v>
      </c>
      <c r="AA250" s="410">
        <f t="shared" si="18"/>
        <v>450</v>
      </c>
      <c r="AB250" s="411">
        <f t="shared" si="19"/>
        <v>774.75</v>
      </c>
      <c r="AC250">
        <f t="shared" si="20"/>
        <v>876.72727272727275</v>
      </c>
    </row>
    <row r="251" spans="1:29" ht="15" x14ac:dyDescent="0.25">
      <c r="B251" s="617"/>
      <c r="C251" s="617"/>
      <c r="D251" s="244"/>
      <c r="E251" s="244"/>
      <c r="F251" s="244"/>
      <c r="G251" s="244"/>
      <c r="H251" s="9"/>
      <c r="I251" s="9"/>
      <c r="J251" s="32"/>
      <c r="K251" s="193"/>
      <c r="M251" t="s">
        <v>435</v>
      </c>
      <c r="N251" t="s">
        <v>219</v>
      </c>
      <c r="O251" s="50" t="str">
        <f t="shared" si="17"/>
        <v>COHO CREEK_Coho</v>
      </c>
      <c r="T251">
        <v>11</v>
      </c>
      <c r="X251" s="384"/>
      <c r="Y251" s="403"/>
      <c r="Z251" s="32"/>
      <c r="AB251" s="411">
        <f t="shared" si="19"/>
        <v>11</v>
      </c>
      <c r="AC251">
        <f t="shared" si="20"/>
        <v>11</v>
      </c>
    </row>
    <row r="252" spans="1:29" ht="15" x14ac:dyDescent="0.25">
      <c r="B252" s="617"/>
      <c r="C252" s="617"/>
      <c r="D252" s="244"/>
      <c r="E252" s="244"/>
      <c r="F252" s="244"/>
      <c r="G252" s="244"/>
      <c r="H252" s="9"/>
      <c r="I252" s="9"/>
      <c r="J252" s="32"/>
      <c r="K252" s="193"/>
      <c r="M252" t="s">
        <v>190</v>
      </c>
      <c r="N252" t="s">
        <v>219</v>
      </c>
      <c r="O252" s="50" t="str">
        <f t="shared" si="17"/>
        <v>COLD CREEK_Coho</v>
      </c>
      <c r="Q252">
        <v>22</v>
      </c>
      <c r="R252">
        <v>10</v>
      </c>
      <c r="S252">
        <v>6</v>
      </c>
      <c r="X252" s="384">
        <v>2</v>
      </c>
      <c r="Y252" s="403"/>
      <c r="Z252" s="32"/>
      <c r="AA252" s="410">
        <f t="shared" si="18"/>
        <v>2</v>
      </c>
      <c r="AB252" s="411">
        <f t="shared" si="19"/>
        <v>4</v>
      </c>
      <c r="AC252">
        <f t="shared" si="20"/>
        <v>10</v>
      </c>
    </row>
    <row r="253" spans="1:29" ht="15" x14ac:dyDescent="0.25">
      <c r="B253" s="617"/>
      <c r="C253" s="617"/>
      <c r="D253" s="244"/>
      <c r="E253" s="244"/>
      <c r="F253" s="244"/>
      <c r="G253" s="244"/>
      <c r="H253" s="9"/>
      <c r="I253" s="9"/>
      <c r="J253" s="32"/>
      <c r="K253" s="193"/>
      <c r="M253" t="s">
        <v>537</v>
      </c>
      <c r="N253" t="s">
        <v>219</v>
      </c>
      <c r="O253" s="50" t="str">
        <f t="shared" si="17"/>
        <v>COLONIAL CREEK_Coho</v>
      </c>
      <c r="P253">
        <v>19</v>
      </c>
      <c r="Q253">
        <v>109</v>
      </c>
      <c r="R253">
        <v>166</v>
      </c>
      <c r="S253">
        <v>83</v>
      </c>
      <c r="T253">
        <v>218</v>
      </c>
      <c r="U253">
        <v>291</v>
      </c>
      <c r="V253">
        <v>255</v>
      </c>
      <c r="W253">
        <v>393</v>
      </c>
      <c r="X253" s="384">
        <v>218</v>
      </c>
      <c r="Y253" s="403"/>
      <c r="Z253" s="32"/>
      <c r="AA253" s="410">
        <f t="shared" si="18"/>
        <v>305.5</v>
      </c>
      <c r="AB253" s="411">
        <f t="shared" si="19"/>
        <v>243</v>
      </c>
      <c r="AC253">
        <f t="shared" si="20"/>
        <v>194.66666666666666</v>
      </c>
    </row>
    <row r="254" spans="1:29" x14ac:dyDescent="0.2">
      <c r="A254">
        <v>2022</v>
      </c>
      <c r="B254" s="617">
        <v>27</v>
      </c>
      <c r="C254" s="617" t="s">
        <v>302</v>
      </c>
      <c r="D254" s="244" t="s">
        <v>68</v>
      </c>
      <c r="E254" s="244" t="s">
        <v>219</v>
      </c>
      <c r="F254" s="244" t="s">
        <v>419</v>
      </c>
      <c r="G254" s="244" t="s">
        <v>628</v>
      </c>
      <c r="H254" s="9" t="s">
        <v>617</v>
      </c>
      <c r="I254" s="9">
        <v>7</v>
      </c>
      <c r="J254" s="32">
        <v>713</v>
      </c>
      <c r="K254" s="193"/>
      <c r="M254" s="17" t="s">
        <v>560</v>
      </c>
      <c r="N254" t="s">
        <v>219</v>
      </c>
      <c r="O254" s="50" t="str">
        <f t="shared" si="17"/>
        <v>COLONIAL/CAYEGHLE CREEKS_Coho</v>
      </c>
      <c r="P254">
        <f>P253+P243</f>
        <v>232</v>
      </c>
      <c r="Q254">
        <f t="shared" ref="Q254:X254" si="21">Q253+Q243</f>
        <v>400</v>
      </c>
      <c r="R254">
        <f t="shared" si="21"/>
        <v>574</v>
      </c>
      <c r="S254">
        <f t="shared" si="21"/>
        <v>398</v>
      </c>
      <c r="T254">
        <f t="shared" si="21"/>
        <v>735</v>
      </c>
      <c r="U254">
        <f t="shared" si="21"/>
        <v>654</v>
      </c>
      <c r="V254">
        <f t="shared" si="21"/>
        <v>482</v>
      </c>
      <c r="W254">
        <f t="shared" si="21"/>
        <v>773</v>
      </c>
      <c r="X254">
        <f t="shared" si="21"/>
        <v>571</v>
      </c>
      <c r="Y254">
        <v>685</v>
      </c>
      <c r="Z254" s="32">
        <v>713</v>
      </c>
      <c r="AA254" s="410">
        <f t="shared" si="18"/>
        <v>685.5</v>
      </c>
      <c r="AB254" s="411">
        <f t="shared" si="19"/>
        <v>626.375</v>
      </c>
      <c r="AC254">
        <f t="shared" si="20"/>
        <v>565.18181818181813</v>
      </c>
    </row>
    <row r="255" spans="1:29" ht="18" x14ac:dyDescent="0.25">
      <c r="A255">
        <v>2022</v>
      </c>
      <c r="B255" s="617">
        <v>24</v>
      </c>
      <c r="C255" s="617" t="s">
        <v>296</v>
      </c>
      <c r="D255" s="244" t="s">
        <v>191</v>
      </c>
      <c r="E255" s="244" t="s">
        <v>219</v>
      </c>
      <c r="F255" s="244" t="s">
        <v>419</v>
      </c>
      <c r="G255" s="244" t="s">
        <v>497</v>
      </c>
      <c r="H255" s="9" t="s">
        <v>615</v>
      </c>
      <c r="I255" s="9">
        <v>2</v>
      </c>
      <c r="J255" s="32">
        <v>0</v>
      </c>
      <c r="K255" s="193"/>
      <c r="L255" s="12"/>
      <c r="M255" t="s">
        <v>191</v>
      </c>
      <c r="N255" t="s">
        <v>219</v>
      </c>
      <c r="O255" s="50" t="str">
        <f t="shared" si="17"/>
        <v>CONE CREEKS (2)_Coho</v>
      </c>
      <c r="R255">
        <v>0</v>
      </c>
      <c r="T255">
        <v>0</v>
      </c>
      <c r="U255">
        <v>0</v>
      </c>
      <c r="X255" s="384">
        <v>0</v>
      </c>
      <c r="Y255" s="403">
        <v>0</v>
      </c>
      <c r="Z255" s="32">
        <v>0</v>
      </c>
      <c r="AA255" s="410">
        <f t="shared" si="18"/>
        <v>0</v>
      </c>
      <c r="AB255" s="411">
        <f t="shared" si="19"/>
        <v>0</v>
      </c>
      <c r="AC255">
        <f t="shared" si="20"/>
        <v>0</v>
      </c>
    </row>
    <row r="256" spans="1:29" ht="15" x14ac:dyDescent="0.25">
      <c r="A256">
        <v>2022</v>
      </c>
      <c r="B256" s="617">
        <v>25</v>
      </c>
      <c r="C256" s="617" t="s">
        <v>299</v>
      </c>
      <c r="D256" s="244" t="s">
        <v>46</v>
      </c>
      <c r="E256" s="244" t="s">
        <v>219</v>
      </c>
      <c r="F256" s="244" t="s">
        <v>419</v>
      </c>
      <c r="G256" s="244" t="s">
        <v>593</v>
      </c>
      <c r="H256" s="9" t="s">
        <v>617</v>
      </c>
      <c r="I256" s="9">
        <v>10</v>
      </c>
      <c r="J256" s="32">
        <v>556</v>
      </c>
      <c r="K256" s="193"/>
      <c r="M256" t="s">
        <v>46</v>
      </c>
      <c r="N256" t="s">
        <v>219</v>
      </c>
      <c r="O256" s="50" t="str">
        <f t="shared" si="17"/>
        <v>CONUMA RIVER_Coho</v>
      </c>
      <c r="P256">
        <v>1749</v>
      </c>
      <c r="Q256">
        <v>1505</v>
      </c>
      <c r="R256">
        <v>1169</v>
      </c>
      <c r="S256">
        <v>1611</v>
      </c>
      <c r="T256">
        <v>946</v>
      </c>
      <c r="U256">
        <v>1745</v>
      </c>
      <c r="V256">
        <v>3079</v>
      </c>
      <c r="W256">
        <v>648</v>
      </c>
      <c r="X256" s="384">
        <v>2086</v>
      </c>
      <c r="Y256" s="403">
        <v>4546</v>
      </c>
      <c r="Z256" s="32">
        <v>556</v>
      </c>
      <c r="AA256" s="410">
        <f t="shared" si="18"/>
        <v>1959</v>
      </c>
      <c r="AB256" s="411">
        <f t="shared" si="19"/>
        <v>1902.125</v>
      </c>
      <c r="AC256">
        <f t="shared" si="20"/>
        <v>1785.4545454545455</v>
      </c>
    </row>
    <row r="257" spans="1:29" ht="15" x14ac:dyDescent="0.25">
      <c r="B257" s="617"/>
      <c r="C257" s="617"/>
      <c r="D257" s="244"/>
      <c r="E257" s="244"/>
      <c r="F257" s="244"/>
      <c r="G257" s="244"/>
      <c r="H257" s="9"/>
      <c r="I257" s="9"/>
      <c r="J257" s="32"/>
      <c r="K257" s="193"/>
      <c r="M257" t="s">
        <v>92</v>
      </c>
      <c r="N257" t="s">
        <v>219</v>
      </c>
      <c r="O257" s="50" t="str">
        <f t="shared" si="17"/>
        <v>COUS CREEK_Coho</v>
      </c>
      <c r="P257">
        <v>12</v>
      </c>
      <c r="Q257">
        <v>0</v>
      </c>
      <c r="T257">
        <v>0</v>
      </c>
      <c r="U257">
        <v>0</v>
      </c>
      <c r="X257" s="384"/>
      <c r="Y257" s="403"/>
      <c r="Z257" s="32"/>
      <c r="AB257" s="411">
        <f t="shared" si="19"/>
        <v>0</v>
      </c>
      <c r="AC257">
        <f t="shared" si="20"/>
        <v>3</v>
      </c>
    </row>
    <row r="258" spans="1:29" ht="15" x14ac:dyDescent="0.25">
      <c r="A258">
        <v>2022</v>
      </c>
      <c r="B258" s="617">
        <v>24</v>
      </c>
      <c r="C258" s="617" t="s">
        <v>297</v>
      </c>
      <c r="D258" s="244" t="s">
        <v>193</v>
      </c>
      <c r="E258" s="244" t="s">
        <v>219</v>
      </c>
      <c r="F258" s="244" t="s">
        <v>419</v>
      </c>
      <c r="G258" s="244" t="s">
        <v>691</v>
      </c>
      <c r="H258" s="9" t="s">
        <v>617</v>
      </c>
      <c r="I258" s="9">
        <v>5</v>
      </c>
      <c r="J258" s="32">
        <v>26</v>
      </c>
      <c r="K258" s="193"/>
      <c r="M258" t="s">
        <v>193</v>
      </c>
      <c r="N258" t="s">
        <v>219</v>
      </c>
      <c r="O258" s="50" t="str">
        <f t="shared" si="17"/>
        <v>COW CREEK_Coho</v>
      </c>
      <c r="U258">
        <v>62</v>
      </c>
      <c r="X258" s="384"/>
      <c r="Y258" s="403"/>
      <c r="Z258" s="32">
        <v>26</v>
      </c>
      <c r="AA258" s="410">
        <f t="shared" si="18"/>
        <v>26</v>
      </c>
      <c r="AB258" s="411">
        <f t="shared" si="19"/>
        <v>44</v>
      </c>
      <c r="AC258">
        <f t="shared" si="20"/>
        <v>44</v>
      </c>
    </row>
    <row r="259" spans="1:29" ht="15" x14ac:dyDescent="0.25">
      <c r="A259">
        <v>2022</v>
      </c>
      <c r="B259" s="617">
        <v>24</v>
      </c>
      <c r="C259" s="617" t="s">
        <v>297</v>
      </c>
      <c r="D259" s="244" t="s">
        <v>119</v>
      </c>
      <c r="E259" s="244" t="s">
        <v>219</v>
      </c>
      <c r="F259" s="244" t="s">
        <v>419</v>
      </c>
      <c r="G259" s="244" t="s">
        <v>497</v>
      </c>
      <c r="H259" s="9" t="s">
        <v>617</v>
      </c>
      <c r="I259" s="9">
        <v>5</v>
      </c>
      <c r="J259" s="32">
        <v>544</v>
      </c>
      <c r="K259" s="193"/>
      <c r="M259" t="s">
        <v>119</v>
      </c>
      <c r="N259" t="s">
        <v>219</v>
      </c>
      <c r="O259" s="50" t="str">
        <f t="shared" si="17"/>
        <v>CYPRE RIVER_Coho</v>
      </c>
      <c r="P259">
        <v>942</v>
      </c>
      <c r="Q259">
        <v>897</v>
      </c>
      <c r="R259">
        <v>1060</v>
      </c>
      <c r="S259">
        <v>401</v>
      </c>
      <c r="T259">
        <v>1231</v>
      </c>
      <c r="U259">
        <v>867</v>
      </c>
      <c r="V259">
        <v>869</v>
      </c>
      <c r="W259">
        <v>259</v>
      </c>
      <c r="X259" s="403">
        <v>531</v>
      </c>
      <c r="Y259" s="403">
        <v>556</v>
      </c>
      <c r="Z259" s="32">
        <v>544</v>
      </c>
      <c r="AA259" s="410">
        <f t="shared" si="18"/>
        <v>472.5</v>
      </c>
      <c r="AB259" s="411">
        <f t="shared" si="19"/>
        <v>657.25</v>
      </c>
      <c r="AC259">
        <f t="shared" si="20"/>
        <v>741.5454545454545</v>
      </c>
    </row>
    <row r="260" spans="1:29" x14ac:dyDescent="0.2">
      <c r="B260" s="617"/>
      <c r="C260" s="617"/>
      <c r="D260" s="244"/>
      <c r="E260" s="244"/>
      <c r="F260" s="244"/>
      <c r="G260" s="244"/>
      <c r="H260" s="9"/>
      <c r="I260" s="9"/>
      <c r="J260" s="32"/>
      <c r="K260" s="193"/>
      <c r="M260" t="s">
        <v>136</v>
      </c>
      <c r="N260" t="s">
        <v>219</v>
      </c>
      <c r="O260" s="50" t="str">
        <f t="shared" si="17"/>
        <v>DESERTED CREEK_Coho</v>
      </c>
      <c r="P260">
        <v>0</v>
      </c>
      <c r="Q260">
        <v>0</v>
      </c>
      <c r="Z260" s="32"/>
      <c r="AC260">
        <f t="shared" si="20"/>
        <v>0</v>
      </c>
    </row>
    <row r="261" spans="1:29" x14ac:dyDescent="0.2">
      <c r="A261">
        <v>2022</v>
      </c>
      <c r="B261" s="617">
        <v>22</v>
      </c>
      <c r="C261" s="617" t="s">
        <v>304</v>
      </c>
      <c r="D261" s="244" t="s">
        <v>81</v>
      </c>
      <c r="E261" s="244" t="s">
        <v>219</v>
      </c>
      <c r="F261" s="244" t="s">
        <v>419</v>
      </c>
      <c r="G261" s="244" t="s">
        <v>624</v>
      </c>
      <c r="H261" s="9" t="s">
        <v>616</v>
      </c>
      <c r="I261" s="9">
        <v>1</v>
      </c>
      <c r="J261" s="32">
        <v>0</v>
      </c>
      <c r="K261" s="193"/>
      <c r="M261" t="s">
        <v>81</v>
      </c>
      <c r="N261" t="s">
        <v>219</v>
      </c>
      <c r="O261" s="50" t="str">
        <f t="shared" si="17"/>
        <v>DOOBAH CREEK_Coho</v>
      </c>
      <c r="P261">
        <v>0</v>
      </c>
      <c r="W261">
        <v>1</v>
      </c>
      <c r="X261" s="408"/>
      <c r="Z261" s="32">
        <v>0</v>
      </c>
      <c r="AA261" s="410">
        <f t="shared" si="18"/>
        <v>0.5</v>
      </c>
      <c r="AB261" s="411">
        <f t="shared" si="19"/>
        <v>0.5</v>
      </c>
      <c r="AC261">
        <f t="shared" si="20"/>
        <v>0.33333333333333331</v>
      </c>
    </row>
    <row r="262" spans="1:29" x14ac:dyDescent="0.2">
      <c r="A262">
        <v>2022</v>
      </c>
      <c r="B262" s="617">
        <v>23</v>
      </c>
      <c r="C262" s="617" t="s">
        <v>295</v>
      </c>
      <c r="D262" s="244" t="s">
        <v>173</v>
      </c>
      <c r="E262" s="244" t="s">
        <v>219</v>
      </c>
      <c r="F262" s="244" t="s">
        <v>419</v>
      </c>
      <c r="G262" s="244" t="s">
        <v>289</v>
      </c>
      <c r="H262" s="9" t="s">
        <v>620</v>
      </c>
      <c r="I262" s="9">
        <v>3</v>
      </c>
      <c r="J262" s="32">
        <v>417</v>
      </c>
      <c r="K262" s="193"/>
      <c r="M262" t="s">
        <v>173</v>
      </c>
      <c r="N262" t="s">
        <v>219</v>
      </c>
      <c r="O262" s="50" t="str">
        <f t="shared" si="17"/>
        <v>DRAW CREEK_Coho</v>
      </c>
      <c r="X262" s="408">
        <v>231</v>
      </c>
      <c r="Y262">
        <v>231</v>
      </c>
      <c r="Z262" s="32">
        <v>417</v>
      </c>
      <c r="AA262" s="410">
        <f t="shared" si="18"/>
        <v>293</v>
      </c>
      <c r="AB262" s="411">
        <f t="shared" si="19"/>
        <v>293</v>
      </c>
      <c r="AC262">
        <f t="shared" si="20"/>
        <v>293</v>
      </c>
    </row>
    <row r="263" spans="1:29" ht="15" x14ac:dyDescent="0.25">
      <c r="B263" s="617"/>
      <c r="C263" s="617"/>
      <c r="D263" s="244"/>
      <c r="E263" s="244"/>
      <c r="F263" s="244"/>
      <c r="G263" s="244"/>
      <c r="H263" s="9"/>
      <c r="I263" s="9"/>
      <c r="J263" s="32"/>
      <c r="K263" s="193"/>
      <c r="M263" t="s">
        <v>60</v>
      </c>
      <c r="N263" t="s">
        <v>219</v>
      </c>
      <c r="O263" s="50" t="str">
        <f t="shared" si="17"/>
        <v>EASY CREEK_Coho</v>
      </c>
      <c r="P263">
        <v>73</v>
      </c>
      <c r="Q263">
        <v>361</v>
      </c>
      <c r="R263">
        <v>269</v>
      </c>
      <c r="S263">
        <v>267</v>
      </c>
      <c r="V263">
        <v>147</v>
      </c>
      <c r="W263">
        <v>62</v>
      </c>
      <c r="X263" s="384">
        <v>55</v>
      </c>
      <c r="Y263" s="403">
        <v>23</v>
      </c>
      <c r="Z263" s="32"/>
      <c r="AA263" s="410">
        <f t="shared" si="18"/>
        <v>46.666666666666664</v>
      </c>
      <c r="AB263" s="411">
        <f t="shared" si="19"/>
        <v>110.8</v>
      </c>
      <c r="AC263">
        <f t="shared" si="20"/>
        <v>157.125</v>
      </c>
    </row>
    <row r="264" spans="1:29" ht="15" x14ac:dyDescent="0.25">
      <c r="A264">
        <v>2022</v>
      </c>
      <c r="B264" s="617">
        <v>23</v>
      </c>
      <c r="C264" s="617" t="s">
        <v>305</v>
      </c>
      <c r="D264" s="244" t="s">
        <v>96</v>
      </c>
      <c r="E264" s="244" t="s">
        <v>219</v>
      </c>
      <c r="F264" s="244" t="s">
        <v>419</v>
      </c>
      <c r="G264" s="244" t="s">
        <v>289</v>
      </c>
      <c r="H264" s="9" t="s">
        <v>616</v>
      </c>
      <c r="I264" s="9">
        <v>4</v>
      </c>
      <c r="J264" s="32">
        <v>309</v>
      </c>
      <c r="K264" s="193"/>
      <c r="M264" t="s">
        <v>96</v>
      </c>
      <c r="N264" t="s">
        <v>219</v>
      </c>
      <c r="O264" s="50" t="str">
        <f t="shared" si="17"/>
        <v>EFFINGHAM RIVER_Coho</v>
      </c>
      <c r="U264">
        <v>325</v>
      </c>
      <c r="V264">
        <v>19</v>
      </c>
      <c r="W264">
        <v>190</v>
      </c>
      <c r="X264" s="384">
        <v>127</v>
      </c>
      <c r="Y264" s="403">
        <v>341</v>
      </c>
      <c r="Z264" s="32">
        <v>309</v>
      </c>
      <c r="AA264" s="410">
        <f t="shared" si="18"/>
        <v>241.75</v>
      </c>
      <c r="AB264" s="411">
        <f t="shared" si="19"/>
        <v>218.5</v>
      </c>
      <c r="AC264">
        <f t="shared" si="20"/>
        <v>218.5</v>
      </c>
    </row>
    <row r="265" spans="1:29" ht="15" x14ac:dyDescent="0.25">
      <c r="B265" s="617"/>
      <c r="C265" s="617"/>
      <c r="D265" s="244"/>
      <c r="E265" s="244"/>
      <c r="F265" s="244"/>
      <c r="G265" s="244"/>
      <c r="H265" s="9"/>
      <c r="I265" s="9"/>
      <c r="J265" s="32"/>
      <c r="K265" s="193"/>
      <c r="M265" t="s">
        <v>137</v>
      </c>
      <c r="N265" t="s">
        <v>219</v>
      </c>
      <c r="O265" s="50" t="str">
        <f t="shared" si="17"/>
        <v>ELIZA CREEK_Coho</v>
      </c>
      <c r="X265" s="384"/>
      <c r="Y265" s="403">
        <v>11</v>
      </c>
      <c r="Z265" s="32"/>
      <c r="AA265" s="410">
        <f t="shared" si="18"/>
        <v>11</v>
      </c>
      <c r="AB265" s="411">
        <f t="shared" si="19"/>
        <v>11</v>
      </c>
      <c r="AC265">
        <f t="shared" si="20"/>
        <v>11</v>
      </c>
    </row>
    <row r="266" spans="1:29" ht="15" x14ac:dyDescent="0.25">
      <c r="B266" s="617"/>
      <c r="C266" s="617"/>
      <c r="D266" s="244"/>
      <c r="E266" s="244"/>
      <c r="F266" s="244"/>
      <c r="G266" s="244"/>
      <c r="H266" s="9"/>
      <c r="I266" s="9"/>
      <c r="J266" s="32"/>
      <c r="K266" s="193"/>
      <c r="M266" t="s">
        <v>436</v>
      </c>
      <c r="N266" t="s">
        <v>219</v>
      </c>
      <c r="O266" s="50" t="str">
        <f t="shared" ref="O266:O330" si="22">CONCATENATE(M266,"_",N266)</f>
        <v>ENGLISH COVE CREEK_Coho</v>
      </c>
      <c r="T266">
        <v>5</v>
      </c>
      <c r="U266">
        <v>1</v>
      </c>
      <c r="X266" s="384"/>
      <c r="Y266" s="403"/>
      <c r="Z266" s="32"/>
      <c r="AB266" s="411">
        <f t="shared" si="19"/>
        <v>3</v>
      </c>
      <c r="AC266">
        <f t="shared" si="20"/>
        <v>3</v>
      </c>
    </row>
    <row r="267" spans="1:29" ht="15" x14ac:dyDescent="0.25">
      <c r="B267" s="617"/>
      <c r="C267" s="617"/>
      <c r="D267" s="244"/>
      <c r="E267" s="244"/>
      <c r="F267" s="244"/>
      <c r="G267" s="244"/>
      <c r="H267" s="9"/>
      <c r="I267" s="9"/>
      <c r="J267" s="32"/>
      <c r="K267" s="193"/>
      <c r="M267" t="s">
        <v>538</v>
      </c>
      <c r="N267" t="s">
        <v>219</v>
      </c>
      <c r="O267" s="50" t="str">
        <f t="shared" si="22"/>
        <v>ESCALANTE RIVER_Coho</v>
      </c>
      <c r="R267">
        <v>0</v>
      </c>
      <c r="X267" s="384">
        <v>288</v>
      </c>
      <c r="Y267" s="403"/>
      <c r="Z267" s="32"/>
      <c r="AA267" s="410">
        <f t="shared" ref="AA267:AA328" si="23">AVERAGE(W267:Z267)</f>
        <v>288</v>
      </c>
      <c r="AB267" s="411">
        <f t="shared" si="19"/>
        <v>288</v>
      </c>
      <c r="AC267">
        <f t="shared" si="20"/>
        <v>144</v>
      </c>
    </row>
    <row r="268" spans="1:29" ht="15" x14ac:dyDescent="0.25">
      <c r="A268">
        <v>2022</v>
      </c>
      <c r="B268" s="617">
        <v>25</v>
      </c>
      <c r="C268" s="617" t="s">
        <v>300</v>
      </c>
      <c r="D268" s="244" t="s">
        <v>138</v>
      </c>
      <c r="E268" s="244" t="s">
        <v>219</v>
      </c>
      <c r="F268" s="244" t="s">
        <v>419</v>
      </c>
      <c r="G268" s="244" t="s">
        <v>496</v>
      </c>
      <c r="H268" s="9" t="s">
        <v>616</v>
      </c>
      <c r="I268" s="9">
        <v>1</v>
      </c>
      <c r="J268" s="32">
        <v>0</v>
      </c>
      <c r="K268" s="193"/>
      <c r="M268" t="s">
        <v>138</v>
      </c>
      <c r="N268" t="s">
        <v>219</v>
      </c>
      <c r="O268" s="50" t="str">
        <f t="shared" si="22"/>
        <v>ESPINOSA CREEK_Coho</v>
      </c>
      <c r="P268">
        <v>4</v>
      </c>
      <c r="Q268">
        <v>0</v>
      </c>
      <c r="R268">
        <v>1</v>
      </c>
      <c r="S268">
        <v>3</v>
      </c>
      <c r="T268">
        <v>0</v>
      </c>
      <c r="U268">
        <v>37</v>
      </c>
      <c r="V268">
        <v>140</v>
      </c>
      <c r="W268">
        <v>81</v>
      </c>
      <c r="X268" s="384">
        <v>23</v>
      </c>
      <c r="Y268" s="403">
        <v>62</v>
      </c>
      <c r="Z268" s="32">
        <v>0</v>
      </c>
      <c r="AA268" s="410">
        <f t="shared" si="23"/>
        <v>41.5</v>
      </c>
      <c r="AB268" s="411">
        <f t="shared" si="19"/>
        <v>43.25</v>
      </c>
      <c r="AC268">
        <f t="shared" si="20"/>
        <v>31.90909090909091</v>
      </c>
    </row>
    <row r="269" spans="1:29" ht="15" x14ac:dyDescent="0.25">
      <c r="B269" s="617"/>
      <c r="C269" s="617"/>
      <c r="D269" s="244"/>
      <c r="E269" s="244"/>
      <c r="F269" s="244"/>
      <c r="G269" s="244"/>
      <c r="H269" s="9"/>
      <c r="I269" s="9"/>
      <c r="J269" s="32"/>
      <c r="K269" s="193"/>
      <c r="M269" t="s">
        <v>72</v>
      </c>
      <c r="N269" t="s">
        <v>219</v>
      </c>
      <c r="O269" s="50" t="str">
        <f t="shared" si="22"/>
        <v>FALLS CREEK_Coho</v>
      </c>
      <c r="Q269">
        <v>14</v>
      </c>
      <c r="X269" s="384"/>
      <c r="Y269" s="403"/>
      <c r="Z269" s="32"/>
      <c r="AC269">
        <f t="shared" si="20"/>
        <v>14</v>
      </c>
    </row>
    <row r="270" spans="1:29" ht="15" x14ac:dyDescent="0.25">
      <c r="B270" s="617"/>
      <c r="C270" s="617"/>
      <c r="D270" s="244"/>
      <c r="E270" s="244"/>
      <c r="F270" s="244"/>
      <c r="G270" s="244"/>
      <c r="H270" s="9"/>
      <c r="I270" s="9"/>
      <c r="J270" s="32"/>
      <c r="K270" s="193"/>
      <c r="M270" s="67" t="s">
        <v>97</v>
      </c>
      <c r="N270" s="67" t="s">
        <v>219</v>
      </c>
      <c r="O270" s="50" t="str">
        <f t="shared" si="22"/>
        <v>FRANKLIN RIVER_Coho</v>
      </c>
      <c r="P270">
        <v>0</v>
      </c>
      <c r="Q270">
        <v>12</v>
      </c>
      <c r="S270">
        <v>150</v>
      </c>
      <c r="U270">
        <v>0</v>
      </c>
      <c r="X270" s="384"/>
      <c r="Y270" s="403"/>
      <c r="Z270" s="32"/>
      <c r="AB270" s="411">
        <f t="shared" si="19"/>
        <v>75</v>
      </c>
      <c r="AC270">
        <f t="shared" si="20"/>
        <v>40.5</v>
      </c>
    </row>
    <row r="271" spans="1:29" ht="15" x14ac:dyDescent="0.25">
      <c r="A271">
        <v>2022</v>
      </c>
      <c r="B271" s="617">
        <v>23</v>
      </c>
      <c r="C271" s="617" t="s">
        <v>319</v>
      </c>
      <c r="D271" s="244" t="s">
        <v>175</v>
      </c>
      <c r="E271" s="244" t="s">
        <v>219</v>
      </c>
      <c r="F271" s="244" t="s">
        <v>419</v>
      </c>
      <c r="G271" s="244" t="s">
        <v>374</v>
      </c>
      <c r="H271" s="9" t="s">
        <v>611</v>
      </c>
      <c r="I271" s="9">
        <v>1</v>
      </c>
      <c r="J271" s="32">
        <v>8</v>
      </c>
      <c r="K271" s="193"/>
      <c r="M271" s="406" t="s">
        <v>175</v>
      </c>
      <c r="N271" s="409" t="s">
        <v>219</v>
      </c>
      <c r="O271" s="50" t="str">
        <f t="shared" si="22"/>
        <v>FREDERICK CREEK_Coho</v>
      </c>
      <c r="X271" s="384">
        <v>0</v>
      </c>
      <c r="Y271" s="403">
        <v>13</v>
      </c>
      <c r="Z271" s="32">
        <v>8</v>
      </c>
      <c r="AA271" s="410">
        <f t="shared" si="23"/>
        <v>7</v>
      </c>
      <c r="AB271" s="411">
        <f t="shared" si="19"/>
        <v>7</v>
      </c>
      <c r="AC271">
        <f t="shared" si="20"/>
        <v>7</v>
      </c>
    </row>
    <row r="272" spans="1:29" ht="15" x14ac:dyDescent="0.25">
      <c r="A272">
        <v>2022</v>
      </c>
      <c r="B272" s="617">
        <v>24</v>
      </c>
      <c r="C272" s="617" t="s">
        <v>296</v>
      </c>
      <c r="D272" s="244" t="s">
        <v>120</v>
      </c>
      <c r="E272" s="244" t="s">
        <v>219</v>
      </c>
      <c r="F272" s="244" t="s">
        <v>419</v>
      </c>
      <c r="G272" s="244" t="s">
        <v>497</v>
      </c>
      <c r="H272" s="9" t="s">
        <v>616</v>
      </c>
      <c r="I272" s="9">
        <v>3</v>
      </c>
      <c r="J272" s="32">
        <v>0</v>
      </c>
      <c r="K272" s="193"/>
      <c r="M272" t="s">
        <v>120</v>
      </c>
      <c r="N272" t="s">
        <v>219</v>
      </c>
      <c r="O272" s="50" t="str">
        <f t="shared" si="22"/>
        <v>FUNDY CREEK_Coho</v>
      </c>
      <c r="Q272">
        <v>0</v>
      </c>
      <c r="S272">
        <v>0</v>
      </c>
      <c r="T272">
        <v>0</v>
      </c>
      <c r="U272">
        <v>0</v>
      </c>
      <c r="X272" s="384">
        <v>0</v>
      </c>
      <c r="Y272" s="403">
        <v>1</v>
      </c>
      <c r="Z272" s="32">
        <v>0</v>
      </c>
      <c r="AA272" s="410">
        <f t="shared" si="23"/>
        <v>0.33333333333333331</v>
      </c>
      <c r="AB272" s="411">
        <f t="shared" si="19"/>
        <v>0.16666666666666666</v>
      </c>
      <c r="AC272">
        <f t="shared" si="20"/>
        <v>0.14285714285714285</v>
      </c>
    </row>
    <row r="273" spans="1:29" ht="15" x14ac:dyDescent="0.25">
      <c r="A273">
        <v>2022</v>
      </c>
      <c r="B273" s="617">
        <v>25</v>
      </c>
      <c r="C273" s="617" t="s">
        <v>299</v>
      </c>
      <c r="D273" s="244" t="s">
        <v>47</v>
      </c>
      <c r="E273" s="244" t="s">
        <v>219</v>
      </c>
      <c r="F273" s="244" t="s">
        <v>419</v>
      </c>
      <c r="G273" s="244" t="s">
        <v>452</v>
      </c>
      <c r="H273" s="9" t="s">
        <v>613</v>
      </c>
      <c r="I273" s="9">
        <v>6</v>
      </c>
      <c r="J273" s="32">
        <v>4607</v>
      </c>
      <c r="K273" s="193"/>
      <c r="M273" t="s">
        <v>47</v>
      </c>
      <c r="N273" t="s">
        <v>219</v>
      </c>
      <c r="O273" s="50" t="str">
        <f t="shared" si="22"/>
        <v>GOLD RIVER_Coho</v>
      </c>
      <c r="P273">
        <v>300</v>
      </c>
      <c r="V273">
        <v>300</v>
      </c>
      <c r="W273">
        <v>200</v>
      </c>
      <c r="X273" s="384">
        <v>1300</v>
      </c>
      <c r="Y273" s="403">
        <v>553</v>
      </c>
      <c r="Z273" s="32">
        <v>4607</v>
      </c>
      <c r="AA273" s="410">
        <f t="shared" si="23"/>
        <v>1665</v>
      </c>
      <c r="AB273" s="411">
        <f t="shared" si="19"/>
        <v>1392</v>
      </c>
      <c r="AC273">
        <f t="shared" si="20"/>
        <v>1210</v>
      </c>
    </row>
    <row r="274" spans="1:29" ht="18" x14ac:dyDescent="0.25">
      <c r="A274">
        <v>2022</v>
      </c>
      <c r="B274" s="617">
        <v>20</v>
      </c>
      <c r="C274" s="617" t="s">
        <v>291</v>
      </c>
      <c r="D274" s="244" t="s">
        <v>17</v>
      </c>
      <c r="E274" s="244" t="s">
        <v>219</v>
      </c>
      <c r="F274" s="244" t="s">
        <v>419</v>
      </c>
      <c r="G274" s="244" t="s">
        <v>370</v>
      </c>
      <c r="H274" s="9" t="s">
        <v>615</v>
      </c>
      <c r="I274" s="9">
        <v>1</v>
      </c>
      <c r="J274" s="32">
        <v>754</v>
      </c>
      <c r="K274" s="193"/>
      <c r="M274" t="s">
        <v>17</v>
      </c>
      <c r="N274" t="s">
        <v>219</v>
      </c>
      <c r="O274" s="50" t="str">
        <f t="shared" si="22"/>
        <v>GORDON RIVER_Coho</v>
      </c>
      <c r="Q274">
        <v>1025</v>
      </c>
      <c r="R274">
        <v>186</v>
      </c>
      <c r="S274">
        <v>63</v>
      </c>
      <c r="W274">
        <v>819</v>
      </c>
      <c r="X274" s="384"/>
      <c r="Y274" s="403"/>
      <c r="Z274" s="32">
        <v>754</v>
      </c>
      <c r="AA274" s="410">
        <f t="shared" si="23"/>
        <v>786.5</v>
      </c>
      <c r="AB274" s="411">
        <f t="shared" si="19"/>
        <v>545.33333333333337</v>
      </c>
      <c r="AC274">
        <f t="shared" si="20"/>
        <v>569.4</v>
      </c>
    </row>
    <row r="275" spans="1:29" ht="18" x14ac:dyDescent="0.25">
      <c r="A275">
        <v>2022</v>
      </c>
      <c r="B275" s="617">
        <v>25</v>
      </c>
      <c r="C275" s="617" t="s">
        <v>300</v>
      </c>
      <c r="D275" s="244" t="s">
        <v>139</v>
      </c>
      <c r="E275" s="244" t="s">
        <v>219</v>
      </c>
      <c r="F275" s="244" t="s">
        <v>419</v>
      </c>
      <c r="G275" s="244" t="s">
        <v>528</v>
      </c>
      <c r="H275" s="9" t="s">
        <v>615</v>
      </c>
      <c r="I275" s="9">
        <v>1</v>
      </c>
      <c r="J275" s="32">
        <v>5</v>
      </c>
      <c r="K275" s="193"/>
      <c r="M275" t="s">
        <v>139</v>
      </c>
      <c r="N275" t="s">
        <v>219</v>
      </c>
      <c r="O275" s="50" t="str">
        <f t="shared" si="22"/>
        <v>HAMMOND CREEK_Coho</v>
      </c>
      <c r="P275">
        <v>15</v>
      </c>
      <c r="X275" s="384"/>
      <c r="Y275" s="403">
        <v>37</v>
      </c>
      <c r="Z275" s="32">
        <v>5</v>
      </c>
      <c r="AA275" s="410">
        <f t="shared" si="23"/>
        <v>21</v>
      </c>
      <c r="AB275" s="411">
        <f t="shared" si="19"/>
        <v>21</v>
      </c>
      <c r="AC275">
        <f t="shared" si="20"/>
        <v>19</v>
      </c>
    </row>
    <row r="276" spans="1:29" ht="15" x14ac:dyDescent="0.25">
      <c r="A276">
        <v>2022</v>
      </c>
      <c r="B276" s="617">
        <v>20</v>
      </c>
      <c r="C276" s="617" t="s">
        <v>291</v>
      </c>
      <c r="D276" s="244" t="s">
        <v>18</v>
      </c>
      <c r="E276" s="244" t="s">
        <v>219</v>
      </c>
      <c r="F276" s="244" t="s">
        <v>419</v>
      </c>
      <c r="G276" s="244" t="s">
        <v>370</v>
      </c>
      <c r="H276" s="9" t="s">
        <v>616</v>
      </c>
      <c r="I276" s="9">
        <v>1</v>
      </c>
      <c r="J276" s="32">
        <v>1498</v>
      </c>
      <c r="K276" s="193"/>
      <c r="M276" t="s">
        <v>18</v>
      </c>
      <c r="N276" t="s">
        <v>219</v>
      </c>
      <c r="O276" s="50" t="str">
        <f t="shared" si="22"/>
        <v>HARRIS CREEK_Coho</v>
      </c>
      <c r="P276">
        <v>1729</v>
      </c>
      <c r="Q276">
        <v>723</v>
      </c>
      <c r="R276">
        <v>236</v>
      </c>
      <c r="S276">
        <v>1095</v>
      </c>
      <c r="T276">
        <v>123</v>
      </c>
      <c r="U276">
        <v>594</v>
      </c>
      <c r="V276">
        <v>705</v>
      </c>
      <c r="W276">
        <v>614</v>
      </c>
      <c r="X276" s="384"/>
      <c r="Y276" s="403"/>
      <c r="Z276" s="32">
        <v>1498</v>
      </c>
      <c r="AA276" s="410">
        <f t="shared" si="23"/>
        <v>1056</v>
      </c>
      <c r="AB276" s="411">
        <f t="shared" si="19"/>
        <v>771.5</v>
      </c>
      <c r="AC276">
        <f t="shared" si="20"/>
        <v>813</v>
      </c>
    </row>
    <row r="277" spans="1:29" ht="22.5" x14ac:dyDescent="0.25">
      <c r="A277">
        <v>2022</v>
      </c>
      <c r="B277" s="617">
        <v>24</v>
      </c>
      <c r="C277" s="617" t="s">
        <v>359</v>
      </c>
      <c r="D277" s="619" t="s">
        <v>246</v>
      </c>
      <c r="E277" s="244" t="s">
        <v>219</v>
      </c>
      <c r="F277" s="244" t="s">
        <v>419</v>
      </c>
      <c r="G277" s="244" t="s">
        <v>290</v>
      </c>
      <c r="H277" s="9" t="s">
        <v>616</v>
      </c>
      <c r="I277" s="9">
        <v>1</v>
      </c>
      <c r="J277" s="32">
        <v>11</v>
      </c>
      <c r="K277" s="193"/>
      <c r="M277" t="s">
        <v>539</v>
      </c>
      <c r="N277" t="s">
        <v>219</v>
      </c>
      <c r="O277" s="50" t="str">
        <f t="shared" si="22"/>
        <v>HESQUIAT HARBOUR #2 CREEKS_Coho</v>
      </c>
      <c r="P277">
        <v>17</v>
      </c>
      <c r="R277">
        <v>6</v>
      </c>
      <c r="S277">
        <v>0</v>
      </c>
      <c r="V277">
        <v>0</v>
      </c>
      <c r="X277" s="384"/>
      <c r="Y277" s="403"/>
      <c r="Z277" s="32">
        <v>11</v>
      </c>
      <c r="AA277" s="410">
        <f t="shared" si="23"/>
        <v>11</v>
      </c>
      <c r="AB277" s="411">
        <f t="shared" si="19"/>
        <v>3.6666666666666665</v>
      </c>
      <c r="AC277">
        <f t="shared" si="20"/>
        <v>6.8</v>
      </c>
    </row>
    <row r="278" spans="1:29" ht="15" x14ac:dyDescent="0.25">
      <c r="B278" s="617"/>
      <c r="C278" s="617"/>
      <c r="D278" s="619"/>
      <c r="E278" s="244"/>
      <c r="F278" s="244"/>
      <c r="G278" s="244"/>
      <c r="H278" s="9"/>
      <c r="I278" s="9"/>
      <c r="J278" s="32"/>
      <c r="K278" s="193"/>
      <c r="M278" t="s">
        <v>540</v>
      </c>
      <c r="N278" t="s">
        <v>219</v>
      </c>
      <c r="O278" s="50" t="str">
        <f t="shared" si="22"/>
        <v>HESQUIAT HARBOUR #3 CREEKS_Coho</v>
      </c>
      <c r="P278">
        <v>0</v>
      </c>
      <c r="R278">
        <v>1</v>
      </c>
      <c r="S278">
        <v>0</v>
      </c>
      <c r="X278" s="384"/>
      <c r="Y278" s="403"/>
      <c r="Z278" s="32"/>
      <c r="AB278" s="411">
        <f t="shared" si="19"/>
        <v>0</v>
      </c>
      <c r="AC278">
        <f t="shared" si="20"/>
        <v>0.33333333333333331</v>
      </c>
    </row>
    <row r="279" spans="1:29" ht="15" x14ac:dyDescent="0.25">
      <c r="B279" s="617"/>
      <c r="C279" s="617"/>
      <c r="D279" s="619"/>
      <c r="E279" s="244"/>
      <c r="F279" s="244"/>
      <c r="G279" s="244"/>
      <c r="H279" s="9"/>
      <c r="I279" s="9"/>
      <c r="J279" s="32"/>
      <c r="K279" s="193"/>
      <c r="M279" t="s">
        <v>541</v>
      </c>
      <c r="N279" t="s">
        <v>219</v>
      </c>
      <c r="O279" s="50" t="str">
        <f t="shared" si="22"/>
        <v>HESQUIAT HARBOUR #4 CREEKS_Coho</v>
      </c>
      <c r="P279">
        <v>2</v>
      </c>
      <c r="R279">
        <v>4</v>
      </c>
      <c r="S279">
        <v>0</v>
      </c>
      <c r="X279" s="384"/>
      <c r="Y279" s="403"/>
      <c r="Z279" s="32"/>
      <c r="AB279" s="411">
        <f t="shared" si="19"/>
        <v>0</v>
      </c>
      <c r="AC279">
        <f t="shared" si="20"/>
        <v>2</v>
      </c>
    </row>
    <row r="280" spans="1:29" ht="15" x14ac:dyDescent="0.25">
      <c r="A280">
        <v>2022</v>
      </c>
      <c r="B280" s="617">
        <v>24</v>
      </c>
      <c r="C280" s="617" t="s">
        <v>359</v>
      </c>
      <c r="D280" s="244" t="s">
        <v>249</v>
      </c>
      <c r="E280" s="244" t="s">
        <v>219</v>
      </c>
      <c r="F280" s="244" t="s">
        <v>419</v>
      </c>
      <c r="G280" s="244" t="s">
        <v>290</v>
      </c>
      <c r="H280" s="9" t="s">
        <v>616</v>
      </c>
      <c r="I280" s="9">
        <v>1</v>
      </c>
      <c r="J280" s="32">
        <v>0</v>
      </c>
      <c r="K280" s="193"/>
      <c r="M280" t="s">
        <v>542</v>
      </c>
      <c r="N280" t="s">
        <v>219</v>
      </c>
      <c r="O280" s="50" t="str">
        <f t="shared" si="22"/>
        <v>HESQUIAT LAKE CREEK_Coho</v>
      </c>
      <c r="P280">
        <v>0</v>
      </c>
      <c r="R280">
        <v>640</v>
      </c>
      <c r="S280">
        <v>0</v>
      </c>
      <c r="V280">
        <v>435</v>
      </c>
      <c r="X280" s="384"/>
      <c r="Y280" s="403"/>
      <c r="Z280" s="32">
        <v>0</v>
      </c>
      <c r="AA280" s="410">
        <f t="shared" si="23"/>
        <v>0</v>
      </c>
      <c r="AB280" s="411">
        <f t="shared" si="19"/>
        <v>145</v>
      </c>
      <c r="AC280">
        <f t="shared" si="20"/>
        <v>215</v>
      </c>
    </row>
    <row r="281" spans="1:29" ht="15" x14ac:dyDescent="0.25">
      <c r="B281" s="617"/>
      <c r="C281" s="617"/>
      <c r="D281" s="244"/>
      <c r="E281" s="244"/>
      <c r="F281" s="244"/>
      <c r="G281" s="244"/>
      <c r="H281" s="9"/>
      <c r="I281" s="9"/>
      <c r="J281" s="32"/>
      <c r="K281" s="193"/>
      <c r="M281" t="s">
        <v>543</v>
      </c>
      <c r="N281" t="s">
        <v>219</v>
      </c>
      <c r="O281" s="50" t="str">
        <f t="shared" si="22"/>
        <v>HESQUIAT POINT CREEK_Coho</v>
      </c>
      <c r="R281">
        <v>0</v>
      </c>
      <c r="X281" s="384"/>
      <c r="Y281" s="403"/>
      <c r="Z281" s="32"/>
      <c r="AC281">
        <f t="shared" si="20"/>
        <v>0</v>
      </c>
    </row>
    <row r="282" spans="1:29" ht="15" x14ac:dyDescent="0.25">
      <c r="A282">
        <v>2022</v>
      </c>
      <c r="B282" s="617">
        <v>22</v>
      </c>
      <c r="C282" s="617" t="s">
        <v>304</v>
      </c>
      <c r="D282" s="244" t="s">
        <v>25</v>
      </c>
      <c r="E282" s="244" t="s">
        <v>219</v>
      </c>
      <c r="F282" s="244" t="s">
        <v>419</v>
      </c>
      <c r="G282" s="244" t="s">
        <v>624</v>
      </c>
      <c r="H282" s="9" t="s">
        <v>617</v>
      </c>
      <c r="I282" s="9">
        <v>1</v>
      </c>
      <c r="J282" s="32">
        <v>0</v>
      </c>
      <c r="K282" s="193"/>
      <c r="M282" t="s">
        <v>25</v>
      </c>
      <c r="N282" t="s">
        <v>219</v>
      </c>
      <c r="O282" s="50" t="str">
        <f t="shared" si="22"/>
        <v>HOBITON CREEK_Coho</v>
      </c>
      <c r="P282">
        <v>0</v>
      </c>
      <c r="W282">
        <v>14</v>
      </c>
      <c r="X282" s="384"/>
      <c r="Y282" s="403">
        <v>0</v>
      </c>
      <c r="Z282" s="32">
        <v>0</v>
      </c>
      <c r="AA282" s="410">
        <f t="shared" si="23"/>
        <v>4.666666666666667</v>
      </c>
      <c r="AB282" s="411">
        <f t="shared" si="19"/>
        <v>4.666666666666667</v>
      </c>
      <c r="AC282">
        <f t="shared" si="20"/>
        <v>3.5</v>
      </c>
    </row>
    <row r="283" spans="1:29" ht="15" x14ac:dyDescent="0.25">
      <c r="B283" s="617"/>
      <c r="C283" s="617"/>
      <c r="D283" s="244"/>
      <c r="E283" s="244"/>
      <c r="F283" s="244"/>
      <c r="G283" s="244"/>
      <c r="H283" s="9"/>
      <c r="I283" s="9"/>
      <c r="J283" s="32"/>
      <c r="K283" s="193"/>
      <c r="M283" t="s">
        <v>140</v>
      </c>
      <c r="N283" t="s">
        <v>219</v>
      </c>
      <c r="O283" s="50" t="str">
        <f t="shared" si="22"/>
        <v>HOISS CREEK_Coho</v>
      </c>
      <c r="P283">
        <v>0</v>
      </c>
      <c r="X283" s="384"/>
      <c r="Y283" s="403"/>
      <c r="Z283" s="32"/>
      <c r="AC283">
        <f t="shared" si="20"/>
        <v>0</v>
      </c>
    </row>
    <row r="284" spans="1:29" ht="15" x14ac:dyDescent="0.25">
      <c r="B284" s="617"/>
      <c r="C284" s="617"/>
      <c r="D284" s="244"/>
      <c r="E284" s="244"/>
      <c r="F284" s="244"/>
      <c r="G284" s="244"/>
      <c r="H284" s="9"/>
      <c r="I284" s="9"/>
      <c r="J284" s="32"/>
      <c r="K284" s="193"/>
      <c r="M284" t="s">
        <v>122</v>
      </c>
      <c r="N284" t="s">
        <v>219</v>
      </c>
      <c r="O284" s="50" t="str">
        <f t="shared" si="22"/>
        <v>HOOTLA KOOTLA CREEK_Coho</v>
      </c>
      <c r="R284">
        <v>3</v>
      </c>
      <c r="X284" s="384"/>
      <c r="Y284" s="403"/>
      <c r="Z284" s="32"/>
      <c r="AC284">
        <f t="shared" si="20"/>
        <v>3</v>
      </c>
    </row>
    <row r="285" spans="1:29" ht="15" x14ac:dyDescent="0.25">
      <c r="B285" s="617"/>
      <c r="C285" s="617"/>
      <c r="D285" s="244"/>
      <c r="E285" s="244"/>
      <c r="F285" s="244"/>
      <c r="G285" s="244"/>
      <c r="H285" s="9"/>
      <c r="I285" s="9"/>
      <c r="J285" s="32"/>
      <c r="K285" s="193"/>
      <c r="M285" t="s">
        <v>544</v>
      </c>
      <c r="N285" t="s">
        <v>219</v>
      </c>
      <c r="O285" s="50" t="str">
        <f t="shared" si="22"/>
        <v>HOT SPRINGS COVE CREEK_Coho</v>
      </c>
      <c r="P285">
        <v>0</v>
      </c>
      <c r="R285">
        <v>0</v>
      </c>
      <c r="S285">
        <v>1</v>
      </c>
      <c r="X285" s="384"/>
      <c r="Y285" s="403"/>
      <c r="Z285" s="32"/>
      <c r="AB285" s="411">
        <f t="shared" si="19"/>
        <v>1</v>
      </c>
      <c r="AC285">
        <f t="shared" si="20"/>
        <v>0.33333333333333331</v>
      </c>
    </row>
    <row r="286" spans="1:29" ht="15" x14ac:dyDescent="0.25">
      <c r="B286" s="617"/>
      <c r="C286" s="617"/>
      <c r="D286" s="244"/>
      <c r="E286" s="244"/>
      <c r="F286" s="244"/>
      <c r="G286" s="244"/>
      <c r="H286" s="9"/>
      <c r="I286" s="9"/>
      <c r="J286" s="32"/>
      <c r="K286" s="193"/>
      <c r="M286" t="s">
        <v>123</v>
      </c>
      <c r="N286" t="s">
        <v>219</v>
      </c>
      <c r="O286" s="50" t="str">
        <f t="shared" si="22"/>
        <v>ICE RIVER_Coho</v>
      </c>
      <c r="R286">
        <v>2</v>
      </c>
      <c r="X286" s="384"/>
      <c r="Y286" s="403"/>
      <c r="Z286" s="32"/>
      <c r="AC286">
        <f t="shared" ref="AC286:AC349" si="24">AVERAGE(P286:Z286)</f>
        <v>2</v>
      </c>
    </row>
    <row r="287" spans="1:29" ht="15" x14ac:dyDescent="0.25">
      <c r="B287" s="617"/>
      <c r="C287" s="617"/>
      <c r="D287" s="244"/>
      <c r="E287" s="244"/>
      <c r="F287" s="244"/>
      <c r="G287" s="244"/>
      <c r="H287" s="9"/>
      <c r="I287" s="9"/>
      <c r="J287" s="32"/>
      <c r="K287" s="193"/>
      <c r="M287" t="s">
        <v>545</v>
      </c>
      <c r="N287" t="s">
        <v>219</v>
      </c>
      <c r="O287" s="50" t="str">
        <f t="shared" si="22"/>
        <v>JANSEN LAKE CREEK_Coho</v>
      </c>
      <c r="R287">
        <v>386</v>
      </c>
      <c r="S287">
        <v>65</v>
      </c>
      <c r="T287">
        <v>12</v>
      </c>
      <c r="U287">
        <v>78</v>
      </c>
      <c r="V287">
        <v>1</v>
      </c>
      <c r="X287" s="384"/>
      <c r="Y287" s="403"/>
      <c r="Z287" s="32"/>
      <c r="AB287" s="411">
        <f t="shared" ref="AB287:AB349" si="25">AVERAGE(S287:Z287)</f>
        <v>39</v>
      </c>
      <c r="AC287">
        <f t="shared" si="24"/>
        <v>108.4</v>
      </c>
    </row>
    <row r="288" spans="1:29" ht="15" x14ac:dyDescent="0.25">
      <c r="B288" s="617"/>
      <c r="C288" s="617"/>
      <c r="D288" s="244"/>
      <c r="E288" s="244"/>
      <c r="F288" s="244"/>
      <c r="G288" s="244"/>
      <c r="H288" s="9"/>
      <c r="I288" s="9"/>
      <c r="J288" s="32"/>
      <c r="K288" s="193"/>
      <c r="M288" t="s">
        <v>157</v>
      </c>
      <c r="N288" t="s">
        <v>219</v>
      </c>
      <c r="O288" s="50" t="str">
        <f t="shared" si="22"/>
        <v>JORDAN RIVER_Coho</v>
      </c>
      <c r="Q288">
        <v>7</v>
      </c>
      <c r="S288">
        <v>3</v>
      </c>
      <c r="T288">
        <v>0</v>
      </c>
      <c r="U288">
        <v>50</v>
      </c>
      <c r="W288">
        <v>11</v>
      </c>
      <c r="X288" s="384"/>
      <c r="Y288" s="403"/>
      <c r="Z288" s="32"/>
      <c r="AA288" s="410">
        <f t="shared" si="23"/>
        <v>11</v>
      </c>
      <c r="AB288" s="411">
        <f t="shared" si="25"/>
        <v>16</v>
      </c>
      <c r="AC288">
        <f t="shared" si="24"/>
        <v>14.2</v>
      </c>
    </row>
    <row r="289" spans="1:29" ht="15" x14ac:dyDescent="0.25">
      <c r="A289">
        <v>2022</v>
      </c>
      <c r="B289" s="617">
        <v>26</v>
      </c>
      <c r="C289" s="617" t="s">
        <v>301</v>
      </c>
      <c r="D289" s="244" t="s">
        <v>62</v>
      </c>
      <c r="E289" s="244" t="s">
        <v>219</v>
      </c>
      <c r="F289" s="244" t="s">
        <v>419</v>
      </c>
      <c r="G289" s="244" t="s">
        <v>292</v>
      </c>
      <c r="H289" s="9" t="s">
        <v>616</v>
      </c>
      <c r="I289" s="9">
        <v>7</v>
      </c>
      <c r="J289" s="32">
        <v>2876</v>
      </c>
      <c r="K289" s="193"/>
      <c r="M289" t="s">
        <v>62</v>
      </c>
      <c r="N289" t="s">
        <v>219</v>
      </c>
      <c r="O289" s="50" t="str">
        <f t="shared" si="22"/>
        <v>KAOUK RIVER_Coho</v>
      </c>
      <c r="P289">
        <v>781</v>
      </c>
      <c r="Q289">
        <v>1320</v>
      </c>
      <c r="R289">
        <v>1876</v>
      </c>
      <c r="S289">
        <v>2160</v>
      </c>
      <c r="T289">
        <v>1738</v>
      </c>
      <c r="U289">
        <v>1444</v>
      </c>
      <c r="V289">
        <v>1985</v>
      </c>
      <c r="W289">
        <v>501</v>
      </c>
      <c r="X289" s="384">
        <v>786</v>
      </c>
      <c r="Y289" s="403">
        <v>1682</v>
      </c>
      <c r="Z289" s="32">
        <v>2876</v>
      </c>
      <c r="AA289" s="410">
        <f t="shared" si="23"/>
        <v>1461.25</v>
      </c>
      <c r="AB289" s="411">
        <f t="shared" si="25"/>
        <v>1646.5</v>
      </c>
      <c r="AC289">
        <f t="shared" si="24"/>
        <v>1559</v>
      </c>
    </row>
    <row r="290" spans="1:29" ht="15" x14ac:dyDescent="0.25">
      <c r="B290" s="617"/>
      <c r="C290" s="617"/>
      <c r="D290" s="244"/>
      <c r="E290" s="244"/>
      <c r="F290" s="244"/>
      <c r="G290" s="244"/>
      <c r="H290" s="9"/>
      <c r="I290" s="9"/>
      <c r="J290" s="32"/>
      <c r="K290" s="193"/>
      <c r="M290" t="s">
        <v>63</v>
      </c>
      <c r="N290" t="s">
        <v>219</v>
      </c>
      <c r="O290" s="50" t="str">
        <f t="shared" si="22"/>
        <v>KASHUTL RIVER_Coho</v>
      </c>
      <c r="P290">
        <v>248</v>
      </c>
      <c r="Q290">
        <v>176</v>
      </c>
      <c r="R290">
        <v>100</v>
      </c>
      <c r="S290">
        <v>72</v>
      </c>
      <c r="T290">
        <v>97</v>
      </c>
      <c r="U290">
        <v>65</v>
      </c>
      <c r="V290">
        <v>87</v>
      </c>
      <c r="W290">
        <v>124</v>
      </c>
      <c r="X290" s="384">
        <v>60</v>
      </c>
      <c r="Y290" s="403"/>
      <c r="Z290" s="32"/>
      <c r="AA290" s="410">
        <f t="shared" si="23"/>
        <v>92</v>
      </c>
      <c r="AB290" s="411">
        <f t="shared" si="25"/>
        <v>84.166666666666671</v>
      </c>
      <c r="AC290">
        <f t="shared" si="24"/>
        <v>114.33333333333333</v>
      </c>
    </row>
    <row r="291" spans="1:29" ht="15" x14ac:dyDescent="0.25">
      <c r="B291" s="617"/>
      <c r="C291" s="617"/>
      <c r="D291" s="244"/>
      <c r="E291" s="244"/>
      <c r="F291" s="244"/>
      <c r="G291" s="244"/>
      <c r="H291" s="9"/>
      <c r="I291" s="9"/>
      <c r="J291" s="32"/>
      <c r="K291" s="193"/>
      <c r="M291" t="s">
        <v>64</v>
      </c>
      <c r="N291" t="s">
        <v>219</v>
      </c>
      <c r="O291" s="50" t="str">
        <f t="shared" si="22"/>
        <v>KAUWINCH RIVER_Coho</v>
      </c>
      <c r="P291">
        <v>413</v>
      </c>
      <c r="Q291">
        <v>2729</v>
      </c>
      <c r="R291">
        <v>865</v>
      </c>
      <c r="S291">
        <v>519</v>
      </c>
      <c r="T291">
        <v>216</v>
      </c>
      <c r="U291">
        <v>806</v>
      </c>
      <c r="V291">
        <v>639</v>
      </c>
      <c r="W291">
        <v>28</v>
      </c>
      <c r="X291" s="384">
        <v>20</v>
      </c>
      <c r="Y291" s="403">
        <v>155</v>
      </c>
      <c r="Z291" s="32"/>
      <c r="AA291" s="410">
        <f t="shared" si="23"/>
        <v>67.666666666666671</v>
      </c>
      <c r="AB291" s="411">
        <f t="shared" si="25"/>
        <v>340.42857142857144</v>
      </c>
      <c r="AC291">
        <f t="shared" si="24"/>
        <v>639</v>
      </c>
    </row>
    <row r="292" spans="1:29" ht="15" x14ac:dyDescent="0.25">
      <c r="A292">
        <v>2022</v>
      </c>
      <c r="B292" s="617">
        <v>24</v>
      </c>
      <c r="C292" s="617" t="s">
        <v>296</v>
      </c>
      <c r="D292" s="244" t="s">
        <v>243</v>
      </c>
      <c r="E292" s="244" t="s">
        <v>219</v>
      </c>
      <c r="F292" s="244" t="s">
        <v>419</v>
      </c>
      <c r="G292" s="244" t="s">
        <v>626</v>
      </c>
      <c r="H292" s="9" t="s">
        <v>618</v>
      </c>
      <c r="I292" s="9">
        <v>4</v>
      </c>
      <c r="J292" s="32">
        <v>13</v>
      </c>
      <c r="K292" s="193"/>
      <c r="M292" t="s">
        <v>546</v>
      </c>
      <c r="N292" t="s">
        <v>219</v>
      </c>
      <c r="O292" s="50" t="str">
        <f t="shared" si="22"/>
        <v>KENNEDY LAKE_Coho</v>
      </c>
      <c r="Q292">
        <v>90</v>
      </c>
      <c r="R292">
        <v>12</v>
      </c>
      <c r="S292">
        <v>27</v>
      </c>
      <c r="U292">
        <v>0</v>
      </c>
      <c r="X292" s="384"/>
      <c r="Y292" s="403">
        <v>0</v>
      </c>
      <c r="Z292" s="32">
        <v>13</v>
      </c>
      <c r="AA292" s="410">
        <f t="shared" si="23"/>
        <v>6.5</v>
      </c>
      <c r="AB292" s="411">
        <f t="shared" si="25"/>
        <v>10</v>
      </c>
      <c r="AC292">
        <f t="shared" si="24"/>
        <v>23.666666666666668</v>
      </c>
    </row>
    <row r="293" spans="1:29" ht="15" x14ac:dyDescent="0.25">
      <c r="B293" s="617"/>
      <c r="C293" s="617"/>
      <c r="D293" s="244"/>
      <c r="E293" s="244"/>
      <c r="F293" s="244"/>
      <c r="G293" s="244"/>
      <c r="H293" s="9"/>
      <c r="I293" s="9"/>
      <c r="J293" s="32"/>
      <c r="K293" s="193"/>
      <c r="M293" s="67" t="s">
        <v>124</v>
      </c>
      <c r="N293" t="s">
        <v>219</v>
      </c>
      <c r="O293" s="50" t="str">
        <f t="shared" si="22"/>
        <v>KENNEDY LAKE FEEDER STREAMS_Coho</v>
      </c>
      <c r="U293">
        <v>1</v>
      </c>
      <c r="V293">
        <v>0</v>
      </c>
      <c r="X293" s="384"/>
      <c r="Y293" s="403"/>
      <c r="Z293" s="32"/>
      <c r="AB293" s="411">
        <f t="shared" si="25"/>
        <v>0.5</v>
      </c>
      <c r="AC293">
        <f t="shared" si="24"/>
        <v>0.5</v>
      </c>
    </row>
    <row r="294" spans="1:29" ht="15" x14ac:dyDescent="0.25">
      <c r="A294">
        <v>2022</v>
      </c>
      <c r="B294" s="617">
        <v>24</v>
      </c>
      <c r="C294" s="617" t="s">
        <v>296</v>
      </c>
      <c r="D294" s="244" t="s">
        <v>40</v>
      </c>
      <c r="E294" s="244" t="s">
        <v>219</v>
      </c>
      <c r="F294" s="244" t="s">
        <v>419</v>
      </c>
      <c r="G294" s="244" t="s">
        <v>497</v>
      </c>
      <c r="H294" s="9" t="s">
        <v>620</v>
      </c>
      <c r="I294" s="9">
        <v>2</v>
      </c>
      <c r="J294" s="32">
        <v>378</v>
      </c>
      <c r="K294" s="193"/>
      <c r="M294" s="359" t="s">
        <v>40</v>
      </c>
      <c r="N294" t="s">
        <v>219</v>
      </c>
      <c r="O294" s="50" t="str">
        <f t="shared" si="22"/>
        <v>KENNEDY RIVER (UPPER)_Coho</v>
      </c>
      <c r="P294">
        <v>1790</v>
      </c>
      <c r="Q294">
        <v>1126</v>
      </c>
      <c r="R294">
        <v>580</v>
      </c>
      <c r="S294">
        <v>144</v>
      </c>
      <c r="T294">
        <v>675</v>
      </c>
      <c r="U294">
        <v>765</v>
      </c>
      <c r="V294">
        <v>515</v>
      </c>
      <c r="W294">
        <v>784</v>
      </c>
      <c r="X294" s="384">
        <v>939</v>
      </c>
      <c r="Y294" s="403">
        <v>1204</v>
      </c>
      <c r="Z294" s="32">
        <v>378</v>
      </c>
      <c r="AA294" s="410">
        <f t="shared" si="23"/>
        <v>826.25</v>
      </c>
      <c r="AB294" s="411">
        <f t="shared" si="25"/>
        <v>675.5</v>
      </c>
      <c r="AC294">
        <f t="shared" si="24"/>
        <v>809.09090909090912</v>
      </c>
    </row>
    <row r="295" spans="1:29" ht="15" x14ac:dyDescent="0.25">
      <c r="B295" s="617"/>
      <c r="C295" s="617"/>
      <c r="D295" s="244"/>
      <c r="E295" s="244"/>
      <c r="F295" s="244"/>
      <c r="G295" s="244"/>
      <c r="H295" s="9"/>
      <c r="I295" s="9"/>
      <c r="J295" s="32"/>
      <c r="K295" s="193"/>
      <c r="M295" t="s">
        <v>31</v>
      </c>
      <c r="N295" t="s">
        <v>219</v>
      </c>
      <c r="O295" s="50" t="str">
        <f t="shared" si="22"/>
        <v>KITSUCKSUS CREEK_Coho</v>
      </c>
      <c r="P295">
        <v>20</v>
      </c>
      <c r="X295" s="384"/>
      <c r="Y295" s="403"/>
      <c r="Z295" s="32"/>
      <c r="AC295">
        <f t="shared" si="24"/>
        <v>20</v>
      </c>
    </row>
    <row r="296" spans="1:29" ht="15" x14ac:dyDescent="0.25">
      <c r="A296">
        <v>2022</v>
      </c>
      <c r="B296" s="617">
        <v>21</v>
      </c>
      <c r="C296" s="617" t="s">
        <v>304</v>
      </c>
      <c r="D296" s="244" t="s">
        <v>77</v>
      </c>
      <c r="E296" s="244" t="s">
        <v>219</v>
      </c>
      <c r="F296" s="244" t="s">
        <v>419</v>
      </c>
      <c r="G296" s="244" t="s">
        <v>374</v>
      </c>
      <c r="H296" s="9" t="s">
        <v>613</v>
      </c>
      <c r="I296" s="9">
        <v>1</v>
      </c>
      <c r="J296" s="32">
        <v>14</v>
      </c>
      <c r="K296" s="193"/>
      <c r="M296" t="s">
        <v>77</v>
      </c>
      <c r="N296" t="s">
        <v>219</v>
      </c>
      <c r="O296" s="50" t="str">
        <f t="shared" si="22"/>
        <v>KLANAWA RIVER_Coho</v>
      </c>
      <c r="P296">
        <v>87</v>
      </c>
      <c r="X296" s="384"/>
      <c r="Y296" s="403"/>
      <c r="Z296" s="32">
        <v>14</v>
      </c>
      <c r="AA296" s="410">
        <f t="shared" si="23"/>
        <v>14</v>
      </c>
      <c r="AB296" s="411">
        <f t="shared" si="25"/>
        <v>14</v>
      </c>
      <c r="AC296">
        <f t="shared" si="24"/>
        <v>50.5</v>
      </c>
    </row>
    <row r="297" spans="1:29" ht="15" x14ac:dyDescent="0.25">
      <c r="A297">
        <v>2022</v>
      </c>
      <c r="B297" s="617">
        <v>25</v>
      </c>
      <c r="C297" s="617" t="s">
        <v>299</v>
      </c>
      <c r="D297" s="244" t="s">
        <v>142</v>
      </c>
      <c r="E297" s="244" t="s">
        <v>219</v>
      </c>
      <c r="F297" s="244" t="s">
        <v>419</v>
      </c>
      <c r="G297" s="244" t="s">
        <v>452</v>
      </c>
      <c r="H297" s="9" t="s">
        <v>609</v>
      </c>
      <c r="I297" s="9">
        <v>1</v>
      </c>
      <c r="J297" s="32">
        <v>0</v>
      </c>
      <c r="K297" s="193"/>
      <c r="M297" t="s">
        <v>142</v>
      </c>
      <c r="N297" t="s">
        <v>219</v>
      </c>
      <c r="O297" s="50" t="str">
        <f t="shared" si="22"/>
        <v>KLEEPTEE CREEK_Coho</v>
      </c>
      <c r="P297">
        <v>7</v>
      </c>
      <c r="T297">
        <v>11</v>
      </c>
      <c r="X297" s="384"/>
      <c r="Y297" s="403"/>
      <c r="Z297" s="32">
        <v>0</v>
      </c>
      <c r="AA297" s="410">
        <f t="shared" si="23"/>
        <v>0</v>
      </c>
      <c r="AB297" s="411">
        <f t="shared" si="25"/>
        <v>5.5</v>
      </c>
      <c r="AC297">
        <f t="shared" si="24"/>
        <v>6</v>
      </c>
    </row>
    <row r="298" spans="1:29" ht="15" x14ac:dyDescent="0.25">
      <c r="B298" s="617"/>
      <c r="C298" s="617"/>
      <c r="D298" s="244"/>
      <c r="E298" s="244"/>
      <c r="F298" s="244"/>
      <c r="G298" s="244"/>
      <c r="H298" s="9"/>
      <c r="I298" s="9"/>
      <c r="J298" s="32"/>
      <c r="K298" s="193"/>
      <c r="M298" t="s">
        <v>125</v>
      </c>
      <c r="N298" t="s">
        <v>219</v>
      </c>
      <c r="O298" s="50" t="str">
        <f t="shared" si="22"/>
        <v>KOOTOWIS CREEK_Coho</v>
      </c>
      <c r="P298">
        <v>30</v>
      </c>
      <c r="X298" s="384"/>
      <c r="Y298" s="403"/>
      <c r="Z298" s="32"/>
      <c r="AC298">
        <f t="shared" si="24"/>
        <v>30</v>
      </c>
    </row>
    <row r="299" spans="1:29" ht="15" x14ac:dyDescent="0.25">
      <c r="A299">
        <v>2022</v>
      </c>
      <c r="B299" s="617">
        <v>25</v>
      </c>
      <c r="C299" s="618" t="s">
        <v>299</v>
      </c>
      <c r="D299" s="244" t="s">
        <v>48</v>
      </c>
      <c r="E299" s="244" t="s">
        <v>219</v>
      </c>
      <c r="F299" s="244" t="s">
        <v>419</v>
      </c>
      <c r="G299" s="244" t="s">
        <v>495</v>
      </c>
      <c r="H299" s="9" t="s">
        <v>617</v>
      </c>
      <c r="I299" s="9">
        <v>7</v>
      </c>
      <c r="J299" s="32">
        <v>551</v>
      </c>
      <c r="K299" s="193"/>
      <c r="M299" t="s">
        <v>48</v>
      </c>
      <c r="N299" t="s">
        <v>219</v>
      </c>
      <c r="O299" s="50" t="str">
        <f t="shared" si="22"/>
        <v>LEINER RIVER_Coho</v>
      </c>
      <c r="P299">
        <v>742</v>
      </c>
      <c r="Q299">
        <v>219</v>
      </c>
      <c r="R299">
        <v>846</v>
      </c>
      <c r="S299">
        <v>491</v>
      </c>
      <c r="T299">
        <v>1369</v>
      </c>
      <c r="U299">
        <v>701</v>
      </c>
      <c r="V299">
        <v>824</v>
      </c>
      <c r="W299">
        <v>186</v>
      </c>
      <c r="X299" s="384">
        <v>286</v>
      </c>
      <c r="Y299" s="403">
        <v>282</v>
      </c>
      <c r="Z299" s="32">
        <v>551</v>
      </c>
      <c r="AA299" s="410">
        <f t="shared" si="23"/>
        <v>326.25</v>
      </c>
      <c r="AB299" s="411">
        <f t="shared" si="25"/>
        <v>586.25</v>
      </c>
      <c r="AC299">
        <f t="shared" si="24"/>
        <v>590.63636363636363</v>
      </c>
    </row>
    <row r="300" spans="1:29" ht="15" x14ac:dyDescent="0.25">
      <c r="A300">
        <v>2022</v>
      </c>
      <c r="B300" s="617">
        <v>20</v>
      </c>
      <c r="C300" s="617" t="s">
        <v>291</v>
      </c>
      <c r="D300" s="244" t="s">
        <v>73</v>
      </c>
      <c r="E300" s="244" t="s">
        <v>219</v>
      </c>
      <c r="F300" s="244" t="s">
        <v>419</v>
      </c>
      <c r="G300" s="244" t="s">
        <v>370</v>
      </c>
      <c r="H300" s="9" t="s">
        <v>617</v>
      </c>
      <c r="I300" s="9">
        <v>1</v>
      </c>
      <c r="J300" s="32">
        <v>735</v>
      </c>
      <c r="K300" s="193"/>
      <c r="M300" t="s">
        <v>73</v>
      </c>
      <c r="N300" t="s">
        <v>219</v>
      </c>
      <c r="O300" s="50" t="str">
        <f t="shared" si="22"/>
        <v>LENS CREEK_Coho</v>
      </c>
      <c r="P300">
        <v>1441</v>
      </c>
      <c r="Q300">
        <v>401</v>
      </c>
      <c r="R300">
        <v>44</v>
      </c>
      <c r="S300">
        <v>372</v>
      </c>
      <c r="T300">
        <v>619</v>
      </c>
      <c r="U300">
        <v>368</v>
      </c>
      <c r="V300">
        <v>56</v>
      </c>
      <c r="W300">
        <v>521</v>
      </c>
      <c r="X300" s="384"/>
      <c r="Y300" s="403"/>
      <c r="Z300" s="32">
        <v>735</v>
      </c>
      <c r="AA300" s="410">
        <f t="shared" si="23"/>
        <v>628</v>
      </c>
      <c r="AB300" s="411">
        <f t="shared" si="25"/>
        <v>445.16666666666669</v>
      </c>
      <c r="AC300">
        <f t="shared" si="24"/>
        <v>506.33333333333331</v>
      </c>
    </row>
    <row r="301" spans="1:29" ht="18" x14ac:dyDescent="0.25">
      <c r="A301">
        <v>2022</v>
      </c>
      <c r="B301" s="617">
        <v>23</v>
      </c>
      <c r="C301" s="617" t="s">
        <v>295</v>
      </c>
      <c r="D301" s="244" t="s">
        <v>565</v>
      </c>
      <c r="E301" s="244" t="s">
        <v>219</v>
      </c>
      <c r="F301" s="244" t="s">
        <v>419</v>
      </c>
      <c r="G301" s="244" t="s">
        <v>289</v>
      </c>
      <c r="H301" s="9" t="s">
        <v>615</v>
      </c>
      <c r="I301" s="9">
        <v>2</v>
      </c>
      <c r="J301" s="32">
        <v>8</v>
      </c>
      <c r="K301" s="193"/>
      <c r="M301" t="s">
        <v>179</v>
      </c>
      <c r="N301" t="s">
        <v>219</v>
      </c>
      <c r="O301" s="50" t="str">
        <f t="shared" si="22"/>
        <v>LITTLE TOQUART CREEK_Coho</v>
      </c>
      <c r="Q301">
        <v>14</v>
      </c>
      <c r="R301">
        <v>0</v>
      </c>
      <c r="X301" s="384">
        <v>4</v>
      </c>
      <c r="Y301" s="403">
        <v>37</v>
      </c>
      <c r="Z301" s="32">
        <v>8</v>
      </c>
      <c r="AA301" s="410">
        <f t="shared" si="23"/>
        <v>16.333333333333332</v>
      </c>
      <c r="AB301" s="411">
        <f t="shared" si="25"/>
        <v>16.333333333333332</v>
      </c>
      <c r="AC301">
        <f t="shared" si="24"/>
        <v>12.6</v>
      </c>
    </row>
    <row r="302" spans="1:29" ht="15" x14ac:dyDescent="0.25">
      <c r="B302" s="617"/>
      <c r="C302" s="617"/>
      <c r="D302" s="244"/>
      <c r="E302" s="244"/>
      <c r="F302" s="244"/>
      <c r="G302" s="244"/>
      <c r="H302" s="9"/>
      <c r="I302" s="9"/>
      <c r="J302" s="32"/>
      <c r="K302" s="193"/>
      <c r="M302" t="s">
        <v>143</v>
      </c>
      <c r="N302" t="s">
        <v>219</v>
      </c>
      <c r="O302" s="50" t="str">
        <f t="shared" si="22"/>
        <v>LITTLE ZEBALLOS RIVER_Coho</v>
      </c>
      <c r="P302">
        <v>291</v>
      </c>
      <c r="Q302">
        <v>476</v>
      </c>
      <c r="R302">
        <v>192</v>
      </c>
      <c r="S302">
        <v>98</v>
      </c>
      <c r="T302">
        <v>556</v>
      </c>
      <c r="U302">
        <v>525</v>
      </c>
      <c r="V302">
        <v>93</v>
      </c>
      <c r="W302">
        <v>81</v>
      </c>
      <c r="X302" s="384">
        <v>40</v>
      </c>
      <c r="Y302" s="403"/>
      <c r="Z302" s="32"/>
      <c r="AA302" s="410">
        <f t="shared" si="23"/>
        <v>60.5</v>
      </c>
      <c r="AB302" s="411">
        <f t="shared" si="25"/>
        <v>232.16666666666666</v>
      </c>
      <c r="AC302">
        <f t="shared" si="24"/>
        <v>261.33333333333331</v>
      </c>
    </row>
    <row r="303" spans="1:29" ht="15" x14ac:dyDescent="0.25">
      <c r="B303" s="617"/>
      <c r="C303" s="617"/>
      <c r="D303" s="244"/>
      <c r="E303" s="244"/>
      <c r="F303" s="244"/>
      <c r="G303" s="244"/>
      <c r="H303" s="9"/>
      <c r="I303" s="9"/>
      <c r="J303" s="32"/>
      <c r="K303" s="193"/>
      <c r="M303" t="s">
        <v>194</v>
      </c>
      <c r="N303" t="s">
        <v>219</v>
      </c>
      <c r="O303" s="50" t="str">
        <f t="shared" si="22"/>
        <v>LOST SHOE CREEK_Coho</v>
      </c>
      <c r="T303">
        <v>15</v>
      </c>
      <c r="U303">
        <v>2</v>
      </c>
      <c r="V303">
        <v>24</v>
      </c>
      <c r="X303" s="384"/>
      <c r="Y303" s="403"/>
      <c r="Z303" s="32"/>
      <c r="AB303" s="411">
        <f t="shared" si="25"/>
        <v>13.666666666666666</v>
      </c>
      <c r="AC303">
        <f t="shared" si="24"/>
        <v>13.666666666666666</v>
      </c>
    </row>
    <row r="304" spans="1:29" ht="15" x14ac:dyDescent="0.25">
      <c r="B304" s="617"/>
      <c r="C304" s="617"/>
      <c r="D304" s="244"/>
      <c r="E304" s="244"/>
      <c r="F304" s="244"/>
      <c r="G304" s="244"/>
      <c r="H304" s="9"/>
      <c r="I304" s="9"/>
      <c r="J304" s="32"/>
      <c r="K304" s="193"/>
      <c r="M304" t="s">
        <v>99</v>
      </c>
      <c r="N304" t="s">
        <v>219</v>
      </c>
      <c r="O304" s="50" t="str">
        <f t="shared" si="22"/>
        <v>MACKTUSH CREEK_Coho</v>
      </c>
      <c r="P304">
        <v>10</v>
      </c>
      <c r="Q304">
        <v>0</v>
      </c>
      <c r="S304">
        <v>0</v>
      </c>
      <c r="T304">
        <v>0</v>
      </c>
      <c r="U304">
        <v>0</v>
      </c>
      <c r="X304" s="384"/>
      <c r="Y304" s="403"/>
      <c r="Z304" s="32"/>
      <c r="AB304" s="411">
        <f t="shared" si="25"/>
        <v>0</v>
      </c>
      <c r="AC304">
        <f t="shared" si="24"/>
        <v>2</v>
      </c>
    </row>
    <row r="305" spans="1:29" ht="18" x14ac:dyDescent="0.25">
      <c r="A305">
        <v>2022</v>
      </c>
      <c r="B305" s="617">
        <v>23</v>
      </c>
      <c r="C305" s="617" t="s">
        <v>295</v>
      </c>
      <c r="D305" s="244" t="s">
        <v>181</v>
      </c>
      <c r="E305" s="244" t="s">
        <v>219</v>
      </c>
      <c r="F305" s="244" t="s">
        <v>419</v>
      </c>
      <c r="G305" s="244" t="s">
        <v>289</v>
      </c>
      <c r="H305" s="9" t="s">
        <v>619</v>
      </c>
      <c r="I305" s="9">
        <v>4</v>
      </c>
      <c r="J305" s="32">
        <v>456</v>
      </c>
      <c r="K305" s="193"/>
      <c r="M305" t="s">
        <v>181</v>
      </c>
      <c r="N305" t="s">
        <v>219</v>
      </c>
      <c r="O305" s="50" t="str">
        <f t="shared" si="22"/>
        <v>MAGGIE RIVER_Coho</v>
      </c>
      <c r="P305">
        <v>53</v>
      </c>
      <c r="Q305">
        <v>9</v>
      </c>
      <c r="R305">
        <v>734</v>
      </c>
      <c r="S305">
        <v>480</v>
      </c>
      <c r="W305">
        <v>247</v>
      </c>
      <c r="X305" s="384">
        <v>101</v>
      </c>
      <c r="Y305" s="403"/>
      <c r="Z305" s="32">
        <v>456</v>
      </c>
      <c r="AA305" s="410">
        <f t="shared" si="23"/>
        <v>268</v>
      </c>
      <c r="AB305" s="411">
        <f t="shared" si="25"/>
        <v>321</v>
      </c>
      <c r="AC305">
        <f t="shared" si="24"/>
        <v>297.14285714285717</v>
      </c>
    </row>
    <row r="306" spans="1:29" ht="15" x14ac:dyDescent="0.25">
      <c r="B306" s="617"/>
      <c r="C306" s="617"/>
      <c r="D306" s="244"/>
      <c r="E306" s="244"/>
      <c r="F306" s="244"/>
      <c r="G306" s="244"/>
      <c r="H306" s="9"/>
      <c r="I306" s="9"/>
      <c r="J306" s="32"/>
      <c r="K306" s="193"/>
      <c r="M306" t="s">
        <v>547</v>
      </c>
      <c r="N306" t="s">
        <v>219</v>
      </c>
      <c r="O306" s="50" t="str">
        <f t="shared" si="22"/>
        <v>MAHATTA CREEK_Coho</v>
      </c>
      <c r="V306">
        <v>236</v>
      </c>
      <c r="X306" s="384"/>
      <c r="Y306" s="403"/>
      <c r="Z306" s="32"/>
      <c r="AB306" s="411">
        <f t="shared" si="25"/>
        <v>236</v>
      </c>
      <c r="AC306">
        <f t="shared" si="24"/>
        <v>236</v>
      </c>
    </row>
    <row r="307" spans="1:29" ht="15" x14ac:dyDescent="0.25">
      <c r="A307">
        <v>2022</v>
      </c>
      <c r="B307" s="617">
        <v>26</v>
      </c>
      <c r="C307" s="617" t="s">
        <v>301</v>
      </c>
      <c r="D307" s="244" t="s">
        <v>205</v>
      </c>
      <c r="E307" s="244" t="s">
        <v>219</v>
      </c>
      <c r="F307" s="244" t="s">
        <v>419</v>
      </c>
      <c r="G307" s="244" t="s">
        <v>292</v>
      </c>
      <c r="H307" s="9" t="s">
        <v>616</v>
      </c>
      <c r="I307" s="9">
        <v>6</v>
      </c>
      <c r="J307" s="32">
        <v>421</v>
      </c>
      <c r="K307" s="193"/>
      <c r="M307" t="s">
        <v>205</v>
      </c>
      <c r="N307" t="s">
        <v>219</v>
      </c>
      <c r="O307" s="50" t="str">
        <f t="shared" si="22"/>
        <v>MALKSOPE RIVER_Coho</v>
      </c>
      <c r="P307">
        <v>1009</v>
      </c>
      <c r="Q307">
        <v>1243</v>
      </c>
      <c r="R307">
        <v>1502</v>
      </c>
      <c r="S307">
        <v>1111</v>
      </c>
      <c r="T307">
        <v>906</v>
      </c>
      <c r="U307">
        <v>780</v>
      </c>
      <c r="V307">
        <v>1359</v>
      </c>
      <c r="W307">
        <v>583</v>
      </c>
      <c r="X307" s="384">
        <v>693</v>
      </c>
      <c r="Y307" s="403">
        <v>646</v>
      </c>
      <c r="Z307" s="32">
        <v>421</v>
      </c>
      <c r="AA307" s="410">
        <f t="shared" si="23"/>
        <v>585.75</v>
      </c>
      <c r="AB307" s="411">
        <f t="shared" si="25"/>
        <v>812.375</v>
      </c>
      <c r="AC307">
        <f t="shared" si="24"/>
        <v>932.09090909090912</v>
      </c>
    </row>
    <row r="308" spans="1:29" ht="15" x14ac:dyDescent="0.25">
      <c r="B308" s="617"/>
      <c r="C308" s="617"/>
      <c r="D308" s="244"/>
      <c r="E308" s="244"/>
      <c r="F308" s="244"/>
      <c r="G308" s="244"/>
      <c r="H308" s="9"/>
      <c r="I308" s="9"/>
      <c r="J308" s="32"/>
      <c r="K308" s="193"/>
      <c r="M308" t="s">
        <v>145</v>
      </c>
      <c r="N308" t="s">
        <v>219</v>
      </c>
      <c r="O308" s="50" t="str">
        <f t="shared" si="22"/>
        <v>MAMAT CREEK_Coho</v>
      </c>
      <c r="V308">
        <v>95</v>
      </c>
      <c r="X308" s="384"/>
      <c r="Y308" s="403"/>
      <c r="Z308" s="32"/>
      <c r="AB308" s="411">
        <f t="shared" si="25"/>
        <v>95</v>
      </c>
      <c r="AC308">
        <f t="shared" si="24"/>
        <v>95</v>
      </c>
    </row>
    <row r="309" spans="1:29" ht="15" x14ac:dyDescent="0.25">
      <c r="A309">
        <v>2022</v>
      </c>
      <c r="B309" s="617">
        <v>27</v>
      </c>
      <c r="C309" s="617" t="s">
        <v>302</v>
      </c>
      <c r="D309" s="244" t="s">
        <v>70</v>
      </c>
      <c r="E309" s="244" t="s">
        <v>219</v>
      </c>
      <c r="F309" s="244" t="s">
        <v>419</v>
      </c>
      <c r="G309" s="244" t="s">
        <v>628</v>
      </c>
      <c r="H309" s="9" t="s">
        <v>617</v>
      </c>
      <c r="I309" s="9">
        <v>5</v>
      </c>
      <c r="J309" s="32">
        <v>329</v>
      </c>
      <c r="K309" s="193"/>
      <c r="M309" t="s">
        <v>70</v>
      </c>
      <c r="N309" t="s">
        <v>219</v>
      </c>
      <c r="O309" s="50" t="str">
        <f t="shared" si="22"/>
        <v>MARBLE RIVER_Coho</v>
      </c>
      <c r="P309">
        <v>553</v>
      </c>
      <c r="Q309">
        <v>613</v>
      </c>
      <c r="R309">
        <v>755</v>
      </c>
      <c r="S309">
        <v>377</v>
      </c>
      <c r="T309">
        <v>349</v>
      </c>
      <c r="U309">
        <v>1105</v>
      </c>
      <c r="V309">
        <v>336</v>
      </c>
      <c r="W309">
        <v>804</v>
      </c>
      <c r="X309" s="384">
        <v>345</v>
      </c>
      <c r="Y309" s="403">
        <v>286</v>
      </c>
      <c r="Z309" s="32">
        <v>329</v>
      </c>
      <c r="AA309" s="410">
        <f t="shared" si="23"/>
        <v>441</v>
      </c>
      <c r="AB309" s="411">
        <f t="shared" si="25"/>
        <v>491.375</v>
      </c>
      <c r="AC309">
        <f t="shared" si="24"/>
        <v>532</v>
      </c>
    </row>
    <row r="310" spans="1:29" ht="15" x14ac:dyDescent="0.25">
      <c r="B310" s="617"/>
      <c r="C310" s="617"/>
      <c r="D310" s="244"/>
      <c r="E310" s="244"/>
      <c r="F310" s="244"/>
      <c r="G310" s="244"/>
      <c r="H310" s="9"/>
      <c r="I310" s="9"/>
      <c r="J310" s="32"/>
      <c r="K310" s="193"/>
      <c r="M310" t="s">
        <v>146</v>
      </c>
      <c r="N310" t="s">
        <v>219</v>
      </c>
      <c r="O310" s="50" t="str">
        <f t="shared" si="22"/>
        <v>MARVINAS BAY CREEK_Coho</v>
      </c>
      <c r="P310">
        <v>0</v>
      </c>
      <c r="X310" s="384"/>
      <c r="Y310" s="403"/>
      <c r="Z310" s="32"/>
      <c r="AC310">
        <f t="shared" si="24"/>
        <v>0</v>
      </c>
    </row>
    <row r="311" spans="1:29" ht="15" x14ac:dyDescent="0.25">
      <c r="A311">
        <v>2022</v>
      </c>
      <c r="B311" s="617">
        <v>24</v>
      </c>
      <c r="C311" s="617" t="s">
        <v>296</v>
      </c>
      <c r="D311" s="244" t="s">
        <v>327</v>
      </c>
      <c r="E311" s="244" t="s">
        <v>219</v>
      </c>
      <c r="F311" s="244" t="s">
        <v>419</v>
      </c>
      <c r="G311" s="244" t="s">
        <v>497</v>
      </c>
      <c r="H311" s="9" t="s">
        <v>614</v>
      </c>
      <c r="I311" s="9">
        <v>1</v>
      </c>
      <c r="J311" s="32">
        <v>0</v>
      </c>
      <c r="K311" s="193"/>
      <c r="M311" t="s">
        <v>437</v>
      </c>
      <c r="N311" t="s">
        <v>219</v>
      </c>
      <c r="O311" s="50" t="str">
        <f t="shared" si="22"/>
        <v>MEARES CREEK_Coho</v>
      </c>
      <c r="T311">
        <v>3</v>
      </c>
      <c r="U311">
        <v>1</v>
      </c>
      <c r="X311" s="384">
        <v>0</v>
      </c>
      <c r="Y311" s="403">
        <v>0</v>
      </c>
      <c r="Z311" s="32">
        <v>0</v>
      </c>
      <c r="AA311" s="410">
        <f t="shared" si="23"/>
        <v>0</v>
      </c>
      <c r="AB311" s="411">
        <f t="shared" si="25"/>
        <v>0.8</v>
      </c>
      <c r="AC311">
        <f t="shared" si="24"/>
        <v>0.8</v>
      </c>
    </row>
    <row r="312" spans="1:29" ht="15" x14ac:dyDescent="0.25">
      <c r="A312">
        <v>2022</v>
      </c>
      <c r="B312" s="617">
        <v>24</v>
      </c>
      <c r="C312" s="617" t="s">
        <v>297</v>
      </c>
      <c r="D312" s="244" t="s">
        <v>41</v>
      </c>
      <c r="E312" s="244" t="s">
        <v>219</v>
      </c>
      <c r="F312" s="244" t="s">
        <v>419</v>
      </c>
      <c r="G312" s="244" t="s">
        <v>497</v>
      </c>
      <c r="H312" s="9" t="s">
        <v>616</v>
      </c>
      <c r="I312" s="9">
        <v>3</v>
      </c>
      <c r="J312" s="32">
        <v>1896</v>
      </c>
      <c r="K312" s="193"/>
      <c r="M312" t="s">
        <v>41</v>
      </c>
      <c r="N312" t="s">
        <v>219</v>
      </c>
      <c r="O312" s="50" t="str">
        <f t="shared" si="22"/>
        <v>MEGIN RIVER_Coho</v>
      </c>
      <c r="P312">
        <v>2553</v>
      </c>
      <c r="Q312">
        <v>1103</v>
      </c>
      <c r="R312">
        <v>791</v>
      </c>
      <c r="S312">
        <v>203</v>
      </c>
      <c r="T312">
        <v>215</v>
      </c>
      <c r="U312">
        <v>761</v>
      </c>
      <c r="V312">
        <v>276</v>
      </c>
      <c r="W312">
        <v>255</v>
      </c>
      <c r="X312" s="384">
        <v>1190</v>
      </c>
      <c r="Y312" s="403">
        <v>1079</v>
      </c>
      <c r="Z312" s="32">
        <v>1896</v>
      </c>
      <c r="AA312" s="410">
        <f t="shared" si="23"/>
        <v>1105</v>
      </c>
      <c r="AB312" s="411">
        <f t="shared" si="25"/>
        <v>734.375</v>
      </c>
      <c r="AC312">
        <f t="shared" si="24"/>
        <v>938.36363636363637</v>
      </c>
    </row>
    <row r="313" spans="1:29" ht="15" x14ac:dyDescent="0.25">
      <c r="B313" s="617"/>
      <c r="C313" s="617"/>
      <c r="D313" s="244"/>
      <c r="E313" s="244"/>
      <c r="F313" s="244"/>
      <c r="G313" s="244"/>
      <c r="H313" s="9"/>
      <c r="I313" s="9"/>
      <c r="J313" s="32"/>
      <c r="K313" s="193"/>
      <c r="M313" t="s">
        <v>182</v>
      </c>
      <c r="N313" t="s">
        <v>219</v>
      </c>
      <c r="O313" s="50" t="str">
        <f t="shared" si="22"/>
        <v>MERCANTILE CREEK_Coho</v>
      </c>
      <c r="Q313">
        <v>0</v>
      </c>
      <c r="X313" s="384"/>
      <c r="Y313" s="403"/>
      <c r="Z313" s="32"/>
      <c r="AC313">
        <f t="shared" si="24"/>
        <v>0</v>
      </c>
    </row>
    <row r="314" spans="1:29" ht="15" x14ac:dyDescent="0.25">
      <c r="A314">
        <v>2022</v>
      </c>
      <c r="B314" s="617">
        <v>25</v>
      </c>
      <c r="C314" s="617" t="s">
        <v>299</v>
      </c>
      <c r="D314" s="244" t="s">
        <v>147</v>
      </c>
      <c r="E314" s="244" t="s">
        <v>219</v>
      </c>
      <c r="F314" s="244" t="s">
        <v>419</v>
      </c>
      <c r="G314" s="244" t="s">
        <v>452</v>
      </c>
      <c r="H314" s="9" t="s">
        <v>611</v>
      </c>
      <c r="I314" s="9">
        <v>1</v>
      </c>
      <c r="J314" s="32">
        <v>0</v>
      </c>
      <c r="K314" s="193"/>
      <c r="M314" t="s">
        <v>147</v>
      </c>
      <c r="N314" t="s">
        <v>219</v>
      </c>
      <c r="O314" s="50" t="str">
        <f t="shared" si="22"/>
        <v>MOOYAH RIVER_Coho</v>
      </c>
      <c r="P314">
        <v>6</v>
      </c>
      <c r="X314" s="384"/>
      <c r="Y314" s="403"/>
      <c r="Z314" s="32">
        <v>0</v>
      </c>
      <c r="AA314" s="410">
        <f t="shared" si="23"/>
        <v>0</v>
      </c>
      <c r="AB314" s="411">
        <f t="shared" si="25"/>
        <v>0</v>
      </c>
      <c r="AC314">
        <f t="shared" si="24"/>
        <v>3</v>
      </c>
    </row>
    <row r="315" spans="1:29" ht="15" x14ac:dyDescent="0.25">
      <c r="A315">
        <v>2022</v>
      </c>
      <c r="B315" s="617">
        <v>24</v>
      </c>
      <c r="C315" s="617" t="s">
        <v>297</v>
      </c>
      <c r="D315" s="244" t="s">
        <v>42</v>
      </c>
      <c r="E315" s="244" t="s">
        <v>219</v>
      </c>
      <c r="F315" s="244" t="s">
        <v>419</v>
      </c>
      <c r="G315" s="244" t="s">
        <v>497</v>
      </c>
      <c r="H315" s="9" t="s">
        <v>616</v>
      </c>
      <c r="I315" s="9">
        <v>4</v>
      </c>
      <c r="J315" s="32">
        <v>783</v>
      </c>
      <c r="K315" s="193"/>
      <c r="M315" t="s">
        <v>42</v>
      </c>
      <c r="N315" t="s">
        <v>219</v>
      </c>
      <c r="O315" s="50" t="str">
        <f t="shared" si="22"/>
        <v>MOYEHA RIVER_Coho</v>
      </c>
      <c r="Q315">
        <v>1138</v>
      </c>
      <c r="R315">
        <v>3157</v>
      </c>
      <c r="T315">
        <v>1232</v>
      </c>
      <c r="U315">
        <v>778</v>
      </c>
      <c r="V315">
        <v>859</v>
      </c>
      <c r="W315">
        <v>495</v>
      </c>
      <c r="X315" s="384">
        <v>547</v>
      </c>
      <c r="Y315" s="403">
        <v>658</v>
      </c>
      <c r="Z315" s="32">
        <v>783</v>
      </c>
      <c r="AA315" s="410">
        <f t="shared" si="23"/>
        <v>620.75</v>
      </c>
      <c r="AB315" s="411">
        <f t="shared" si="25"/>
        <v>764.57142857142856</v>
      </c>
      <c r="AC315">
        <f t="shared" si="24"/>
        <v>1071.8888888888889</v>
      </c>
    </row>
    <row r="316" spans="1:29" ht="15" x14ac:dyDescent="0.25">
      <c r="A316">
        <v>2022</v>
      </c>
      <c r="B316" s="617">
        <v>25</v>
      </c>
      <c r="C316" s="617" t="s">
        <v>299</v>
      </c>
      <c r="D316" s="244" t="s">
        <v>49</v>
      </c>
      <c r="E316" s="244" t="s">
        <v>219</v>
      </c>
      <c r="F316" s="244" t="s">
        <v>419</v>
      </c>
      <c r="G316" s="244" t="s">
        <v>452</v>
      </c>
      <c r="H316" s="9" t="s">
        <v>617</v>
      </c>
      <c r="I316" s="9">
        <v>3</v>
      </c>
      <c r="J316" s="32">
        <v>30</v>
      </c>
      <c r="K316" s="193"/>
      <c r="M316" t="s">
        <v>49</v>
      </c>
      <c r="N316" t="s">
        <v>219</v>
      </c>
      <c r="O316" s="50" t="str">
        <f t="shared" si="22"/>
        <v>MUCHALAT RIVER_Coho</v>
      </c>
      <c r="W316">
        <v>36</v>
      </c>
      <c r="X316" s="384">
        <v>5</v>
      </c>
      <c r="Y316" s="403">
        <v>121</v>
      </c>
      <c r="Z316" s="32">
        <v>30</v>
      </c>
      <c r="AA316" s="410">
        <f t="shared" si="23"/>
        <v>48</v>
      </c>
      <c r="AB316" s="411">
        <f t="shared" si="25"/>
        <v>48</v>
      </c>
      <c r="AC316">
        <f t="shared" si="24"/>
        <v>48</v>
      </c>
    </row>
    <row r="317" spans="1:29" ht="15" x14ac:dyDescent="0.25">
      <c r="B317" s="617"/>
      <c r="C317" s="617"/>
      <c r="D317" s="244"/>
      <c r="E317" s="244"/>
      <c r="F317" s="244"/>
      <c r="G317" s="244"/>
      <c r="H317" s="9"/>
      <c r="I317" s="9"/>
      <c r="J317" s="32"/>
      <c r="K317" s="193"/>
      <c r="M317" t="s">
        <v>548</v>
      </c>
      <c r="N317" t="s">
        <v>219</v>
      </c>
      <c r="O317" s="50" t="str">
        <f t="shared" si="22"/>
        <v>MURIEL LAKE CREEK_Coho</v>
      </c>
      <c r="V317">
        <v>1</v>
      </c>
      <c r="X317" s="384">
        <v>3</v>
      </c>
      <c r="Y317" s="403">
        <v>4</v>
      </c>
      <c r="Z317" s="32"/>
      <c r="AA317" s="410">
        <f t="shared" si="23"/>
        <v>3.5</v>
      </c>
      <c r="AB317" s="411">
        <f t="shared" si="25"/>
        <v>2.6666666666666665</v>
      </c>
      <c r="AC317">
        <f t="shared" si="24"/>
        <v>2.6666666666666665</v>
      </c>
    </row>
    <row r="318" spans="1:29" ht="15" x14ac:dyDescent="0.25">
      <c r="B318" s="617"/>
      <c r="C318" s="617"/>
      <c r="D318" s="244"/>
      <c r="E318" s="244"/>
      <c r="F318" s="244"/>
      <c r="G318" s="244"/>
      <c r="H318" s="9"/>
      <c r="I318" s="9"/>
      <c r="J318" s="32"/>
      <c r="K318" s="193"/>
      <c r="M318" t="s">
        <v>558</v>
      </c>
      <c r="N318" t="s">
        <v>219</v>
      </c>
      <c r="O318" s="50" t="str">
        <f t="shared" si="22"/>
        <v>MURIEL S1 CREEK_Coho</v>
      </c>
      <c r="R318">
        <v>4</v>
      </c>
      <c r="U318">
        <v>0</v>
      </c>
      <c r="X318" s="384"/>
      <c r="Y318" s="403"/>
      <c r="Z318" s="32"/>
      <c r="AB318" s="411">
        <f t="shared" si="25"/>
        <v>0</v>
      </c>
      <c r="AC318">
        <f t="shared" si="24"/>
        <v>2</v>
      </c>
    </row>
    <row r="319" spans="1:29" ht="15" x14ac:dyDescent="0.25">
      <c r="A319">
        <v>2022</v>
      </c>
      <c r="B319" s="617">
        <v>23</v>
      </c>
      <c r="C319" s="617" t="s">
        <v>355</v>
      </c>
      <c r="D319" s="244" t="s">
        <v>32</v>
      </c>
      <c r="E319" s="244" t="s">
        <v>219</v>
      </c>
      <c r="F319" s="244" t="s">
        <v>419</v>
      </c>
      <c r="G319" s="244" t="s">
        <v>626</v>
      </c>
      <c r="H319" s="9" t="s">
        <v>616</v>
      </c>
      <c r="I319" s="9">
        <v>7</v>
      </c>
      <c r="J319" s="32">
        <v>264</v>
      </c>
      <c r="K319" s="193"/>
      <c r="M319" t="s">
        <v>32</v>
      </c>
      <c r="N319" t="s">
        <v>219</v>
      </c>
      <c r="O319" s="50" t="str">
        <f t="shared" si="22"/>
        <v>NAHMINT RIVER_Coho</v>
      </c>
      <c r="P319">
        <v>144</v>
      </c>
      <c r="Q319">
        <v>413</v>
      </c>
      <c r="R319">
        <v>193</v>
      </c>
      <c r="S319">
        <v>182</v>
      </c>
      <c r="T319">
        <v>260</v>
      </c>
      <c r="U319">
        <v>178</v>
      </c>
      <c r="V319">
        <v>128</v>
      </c>
      <c r="W319">
        <v>89</v>
      </c>
      <c r="X319" s="384">
        <v>203</v>
      </c>
      <c r="Y319" s="403">
        <v>33</v>
      </c>
      <c r="Z319" s="32">
        <v>264</v>
      </c>
      <c r="AA319" s="410">
        <f t="shared" si="23"/>
        <v>147.25</v>
      </c>
      <c r="AB319" s="411">
        <f t="shared" si="25"/>
        <v>167.125</v>
      </c>
      <c r="AC319">
        <f t="shared" si="24"/>
        <v>189.72727272727272</v>
      </c>
    </row>
    <row r="320" spans="1:29" ht="15" x14ac:dyDescent="0.25">
      <c r="B320" s="617"/>
      <c r="C320" s="617"/>
      <c r="D320" s="244"/>
      <c r="E320" s="244"/>
      <c r="F320" s="244"/>
      <c r="G320" s="244"/>
      <c r="H320" s="9"/>
      <c r="I320" s="9"/>
      <c r="J320" s="32"/>
      <c r="K320" s="193"/>
      <c r="M320" t="s">
        <v>65</v>
      </c>
      <c r="N320" t="s">
        <v>219</v>
      </c>
      <c r="O320" s="50" t="str">
        <f t="shared" si="22"/>
        <v>NARROWGUT CREEK_Coho</v>
      </c>
      <c r="P320">
        <v>153</v>
      </c>
      <c r="Q320">
        <v>211</v>
      </c>
      <c r="R320">
        <v>243</v>
      </c>
      <c r="S320">
        <v>269</v>
      </c>
      <c r="X320" s="384"/>
      <c r="Y320" s="403"/>
      <c r="Z320" s="32"/>
      <c r="AB320" s="411">
        <f t="shared" si="25"/>
        <v>269</v>
      </c>
      <c r="AC320">
        <f t="shared" si="24"/>
        <v>219</v>
      </c>
    </row>
    <row r="321" spans="1:29" ht="18" x14ac:dyDescent="0.25">
      <c r="A321">
        <v>2022</v>
      </c>
      <c r="B321" s="617">
        <v>22</v>
      </c>
      <c r="C321" s="617" t="s">
        <v>304</v>
      </c>
      <c r="D321" s="244" t="s">
        <v>26</v>
      </c>
      <c r="E321" s="244" t="s">
        <v>219</v>
      </c>
      <c r="F321" s="244" t="s">
        <v>419</v>
      </c>
      <c r="G321" s="244" t="s">
        <v>494</v>
      </c>
      <c r="H321" s="9" t="s">
        <v>615</v>
      </c>
      <c r="I321" s="9">
        <v>6</v>
      </c>
      <c r="J321" s="32">
        <v>864</v>
      </c>
      <c r="K321" s="193"/>
      <c r="M321" t="s">
        <v>26</v>
      </c>
      <c r="N321" t="s">
        <v>219</v>
      </c>
      <c r="O321" s="50" t="str">
        <f t="shared" si="22"/>
        <v>NITINAT RIVER_Coho</v>
      </c>
      <c r="P321">
        <v>5000</v>
      </c>
      <c r="R321">
        <v>672</v>
      </c>
      <c r="S321">
        <v>992</v>
      </c>
      <c r="T321">
        <v>2026</v>
      </c>
      <c r="U321">
        <v>2201</v>
      </c>
      <c r="V321">
        <v>8533</v>
      </c>
      <c r="W321">
        <v>541</v>
      </c>
      <c r="X321" s="384">
        <v>1065</v>
      </c>
      <c r="Y321" s="403">
        <v>1930</v>
      </c>
      <c r="Z321" s="32">
        <v>864</v>
      </c>
      <c r="AA321" s="410">
        <f t="shared" si="23"/>
        <v>1100</v>
      </c>
      <c r="AB321" s="411">
        <f t="shared" si="25"/>
        <v>2269</v>
      </c>
      <c r="AC321">
        <f t="shared" si="24"/>
        <v>2382.4</v>
      </c>
    </row>
    <row r="322" spans="1:29" ht="15" x14ac:dyDescent="0.25">
      <c r="A322">
        <v>2022</v>
      </c>
      <c r="B322" s="617">
        <v>25</v>
      </c>
      <c r="C322" s="617" t="s">
        <v>299</v>
      </c>
      <c r="D322" s="244" t="s">
        <v>50</v>
      </c>
      <c r="E322" s="244" t="s">
        <v>219</v>
      </c>
      <c r="F322" s="244" t="s">
        <v>419</v>
      </c>
      <c r="G322" s="244" t="s">
        <v>452</v>
      </c>
      <c r="H322" s="9" t="s">
        <v>617</v>
      </c>
      <c r="I322" s="9">
        <v>1</v>
      </c>
      <c r="J322" s="32">
        <v>11</v>
      </c>
      <c r="K322" s="193"/>
      <c r="M322" s="67" t="s">
        <v>50</v>
      </c>
      <c r="N322" s="67" t="s">
        <v>219</v>
      </c>
      <c r="O322" s="50" t="str">
        <f t="shared" si="22"/>
        <v>OKTWANCH RIVER_Coho</v>
      </c>
      <c r="S322">
        <v>110</v>
      </c>
      <c r="T322">
        <v>0</v>
      </c>
      <c r="U322">
        <v>45</v>
      </c>
      <c r="W322">
        <v>28</v>
      </c>
      <c r="X322" s="384">
        <v>132</v>
      </c>
      <c r="Y322" s="403">
        <v>10</v>
      </c>
      <c r="Z322" s="32">
        <v>11</v>
      </c>
      <c r="AA322" s="410">
        <f t="shared" si="23"/>
        <v>45.25</v>
      </c>
      <c r="AB322" s="411">
        <f t="shared" si="25"/>
        <v>48</v>
      </c>
      <c r="AC322">
        <f t="shared" si="24"/>
        <v>48</v>
      </c>
    </row>
    <row r="323" spans="1:29" ht="15" x14ac:dyDescent="0.25">
      <c r="B323" s="617"/>
      <c r="C323" s="617"/>
      <c r="D323" s="244"/>
      <c r="E323" s="244"/>
      <c r="F323" s="244"/>
      <c r="G323" s="244"/>
      <c r="H323" s="9"/>
      <c r="I323" s="9"/>
      <c r="J323" s="32"/>
      <c r="K323" s="193"/>
      <c r="M323" s="406" t="s">
        <v>230</v>
      </c>
      <c r="N323" s="409" t="s">
        <v>219</v>
      </c>
      <c r="O323" s="50" t="str">
        <f t="shared" si="22"/>
        <v>OUOUKINSH RIVER_Coho</v>
      </c>
      <c r="X323" s="384">
        <v>239</v>
      </c>
      <c r="Y323" s="403"/>
      <c r="Z323" s="32"/>
      <c r="AA323" s="410">
        <f t="shared" si="23"/>
        <v>239</v>
      </c>
      <c r="AB323" s="411">
        <f t="shared" si="25"/>
        <v>239</v>
      </c>
      <c r="AC323">
        <f t="shared" si="24"/>
        <v>239</v>
      </c>
    </row>
    <row r="324" spans="1:29" ht="18" x14ac:dyDescent="0.25">
      <c r="A324">
        <v>2022</v>
      </c>
      <c r="B324" s="617">
        <v>23</v>
      </c>
      <c r="C324" s="617" t="s">
        <v>293</v>
      </c>
      <c r="D324" s="244" t="s">
        <v>101</v>
      </c>
      <c r="E324" s="244" t="s">
        <v>219</v>
      </c>
      <c r="F324" s="244" t="s">
        <v>419</v>
      </c>
      <c r="G324" s="244" t="s">
        <v>374</v>
      </c>
      <c r="H324" s="9" t="s">
        <v>615</v>
      </c>
      <c r="I324" s="9">
        <v>3</v>
      </c>
      <c r="J324" s="32">
        <v>33</v>
      </c>
      <c r="K324" s="193"/>
      <c r="M324" t="s">
        <v>101</v>
      </c>
      <c r="N324" t="s">
        <v>219</v>
      </c>
      <c r="O324" s="50" t="str">
        <f t="shared" si="22"/>
        <v>PACHENA RIVER_Coho</v>
      </c>
      <c r="W324">
        <v>0</v>
      </c>
      <c r="X324" s="384">
        <v>324</v>
      </c>
      <c r="Y324" s="403">
        <v>47</v>
      </c>
      <c r="Z324" s="32">
        <v>33</v>
      </c>
      <c r="AA324" s="410">
        <f t="shared" si="23"/>
        <v>101</v>
      </c>
      <c r="AB324" s="411">
        <f t="shared" si="25"/>
        <v>101</v>
      </c>
      <c r="AC324">
        <f t="shared" si="24"/>
        <v>101</v>
      </c>
    </row>
    <row r="325" spans="1:29" ht="15" x14ac:dyDescent="0.25">
      <c r="B325" s="617"/>
      <c r="C325" s="617"/>
      <c r="D325" s="244"/>
      <c r="E325" s="244"/>
      <c r="F325" s="244"/>
      <c r="G325" s="244"/>
      <c r="H325" s="9"/>
      <c r="I325" s="9"/>
      <c r="J325" s="32"/>
      <c r="K325" s="193"/>
      <c r="M325" t="s">
        <v>253</v>
      </c>
      <c r="N325" t="s">
        <v>219</v>
      </c>
      <c r="O325" s="50" t="str">
        <f t="shared" si="22"/>
        <v>PACILTH CREEK_Coho</v>
      </c>
      <c r="P325">
        <v>8</v>
      </c>
      <c r="R325">
        <v>0</v>
      </c>
      <c r="S325">
        <v>0</v>
      </c>
      <c r="X325" s="384"/>
      <c r="Y325" s="403"/>
      <c r="Z325" s="32"/>
      <c r="AB325" s="411">
        <f t="shared" si="25"/>
        <v>0</v>
      </c>
      <c r="AC325">
        <f t="shared" si="24"/>
        <v>2.6666666666666665</v>
      </c>
    </row>
    <row r="326" spans="1:29" ht="18" x14ac:dyDescent="0.25">
      <c r="A326">
        <v>2022</v>
      </c>
      <c r="B326" s="617">
        <v>23</v>
      </c>
      <c r="C326" s="617" t="s">
        <v>295</v>
      </c>
      <c r="D326" s="244" t="s">
        <v>684</v>
      </c>
      <c r="E326" s="244" t="s">
        <v>219</v>
      </c>
      <c r="F326" s="244" t="s">
        <v>419</v>
      </c>
      <c r="G326" s="244" t="s">
        <v>289</v>
      </c>
      <c r="H326" s="9" t="s">
        <v>619</v>
      </c>
      <c r="I326" s="9">
        <v>2</v>
      </c>
      <c r="J326" s="32">
        <v>203</v>
      </c>
      <c r="K326" s="193"/>
      <c r="M326" t="s">
        <v>684</v>
      </c>
      <c r="N326" t="s">
        <v>219</v>
      </c>
      <c r="O326" s="50" t="str">
        <f t="shared" si="22"/>
        <v>PARADISE CREEK_Coho</v>
      </c>
      <c r="X326" s="384"/>
      <c r="Y326" s="403"/>
      <c r="Z326" s="32">
        <v>203</v>
      </c>
      <c r="AA326" s="410">
        <f t="shared" si="23"/>
        <v>203</v>
      </c>
      <c r="AB326" s="411">
        <f t="shared" si="25"/>
        <v>203</v>
      </c>
      <c r="AC326">
        <f t="shared" si="24"/>
        <v>203</v>
      </c>
    </row>
    <row r="327" spans="1:29" ht="15" x14ac:dyDescent="0.25">
      <c r="B327" s="617"/>
      <c r="C327" s="617"/>
      <c r="D327" s="244"/>
      <c r="E327" s="244"/>
      <c r="F327" s="244"/>
      <c r="G327" s="244"/>
      <c r="H327" s="9"/>
      <c r="I327" s="9"/>
      <c r="J327" s="32"/>
      <c r="K327" s="193"/>
      <c r="M327" t="s">
        <v>148</v>
      </c>
      <c r="N327" t="s">
        <v>219</v>
      </c>
      <c r="O327" s="50" t="str">
        <f t="shared" si="22"/>
        <v>PARK RIVER_Coho</v>
      </c>
      <c r="P327">
        <v>1</v>
      </c>
      <c r="R327">
        <v>0</v>
      </c>
      <c r="S327">
        <v>134</v>
      </c>
      <c r="T327">
        <v>249</v>
      </c>
      <c r="X327" s="384">
        <v>2</v>
      </c>
      <c r="Y327" s="403">
        <v>36</v>
      </c>
      <c r="Z327" s="32"/>
      <c r="AA327" s="410">
        <f t="shared" si="23"/>
        <v>19</v>
      </c>
      <c r="AB327" s="411">
        <f t="shared" si="25"/>
        <v>105.25</v>
      </c>
      <c r="AC327">
        <f t="shared" si="24"/>
        <v>70.333333333333329</v>
      </c>
    </row>
    <row r="328" spans="1:29" ht="15" x14ac:dyDescent="0.25">
      <c r="B328" s="617"/>
      <c r="C328" s="617"/>
      <c r="D328" s="244"/>
      <c r="E328" s="244"/>
      <c r="F328" s="244"/>
      <c r="G328" s="244"/>
      <c r="H328" s="9"/>
      <c r="I328" s="9"/>
      <c r="J328" s="32"/>
      <c r="K328" s="193"/>
      <c r="M328" t="s">
        <v>549</v>
      </c>
      <c r="N328" t="s">
        <v>219</v>
      </c>
      <c r="O328" s="50" t="str">
        <f t="shared" si="22"/>
        <v>POWER RIVER_Coho</v>
      </c>
      <c r="R328">
        <v>109</v>
      </c>
      <c r="S328">
        <v>8</v>
      </c>
      <c r="U328">
        <v>85</v>
      </c>
      <c r="V328">
        <v>21</v>
      </c>
      <c r="W328">
        <v>269</v>
      </c>
      <c r="X328" s="384">
        <v>108</v>
      </c>
      <c r="Y328" s="403"/>
      <c r="Z328" s="32"/>
      <c r="AA328" s="410">
        <f t="shared" si="23"/>
        <v>188.5</v>
      </c>
      <c r="AB328" s="411">
        <f t="shared" si="25"/>
        <v>98.2</v>
      </c>
      <c r="AC328">
        <f t="shared" si="24"/>
        <v>100</v>
      </c>
    </row>
    <row r="329" spans="1:29" ht="15" x14ac:dyDescent="0.25">
      <c r="B329" s="617"/>
      <c r="C329" s="617"/>
      <c r="D329" s="244"/>
      <c r="E329" s="244"/>
      <c r="F329" s="244"/>
      <c r="G329" s="244"/>
      <c r="H329" s="9"/>
      <c r="I329" s="9"/>
      <c r="J329" s="32"/>
      <c r="K329" s="193"/>
      <c r="M329" t="s">
        <v>550</v>
      </c>
      <c r="N329" t="s">
        <v>219</v>
      </c>
      <c r="O329" s="50" t="str">
        <f t="shared" si="22"/>
        <v>PURDON CREEK_Coho</v>
      </c>
      <c r="P329">
        <v>32</v>
      </c>
      <c r="R329">
        <v>92</v>
      </c>
      <c r="S329">
        <v>7</v>
      </c>
      <c r="X329" s="384"/>
      <c r="Y329" s="403"/>
      <c r="Z329" s="32"/>
      <c r="AB329" s="411">
        <f t="shared" si="25"/>
        <v>7</v>
      </c>
      <c r="AC329">
        <f t="shared" si="24"/>
        <v>43.666666666666664</v>
      </c>
    </row>
    <row r="330" spans="1:29" ht="18" x14ac:dyDescent="0.25">
      <c r="A330">
        <v>2022</v>
      </c>
      <c r="B330" s="617">
        <v>20</v>
      </c>
      <c r="C330" s="617" t="s">
        <v>291</v>
      </c>
      <c r="D330" s="244" t="s">
        <v>74</v>
      </c>
      <c r="E330" s="244" t="s">
        <v>219</v>
      </c>
      <c r="F330" s="244" t="s">
        <v>419</v>
      </c>
      <c r="G330" s="244" t="s">
        <v>370</v>
      </c>
      <c r="H330" s="9" t="s">
        <v>615</v>
      </c>
      <c r="I330" s="9">
        <v>1</v>
      </c>
      <c r="J330" s="32">
        <v>1250</v>
      </c>
      <c r="K330" s="193"/>
      <c r="M330" t="s">
        <v>74</v>
      </c>
      <c r="N330" t="s">
        <v>219</v>
      </c>
      <c r="O330" s="50" t="str">
        <f t="shared" si="22"/>
        <v>RENFREW CREEK_Coho</v>
      </c>
      <c r="Q330">
        <v>194</v>
      </c>
      <c r="R330">
        <v>1028</v>
      </c>
      <c r="S330">
        <v>512</v>
      </c>
      <c r="T330">
        <v>258</v>
      </c>
      <c r="U330">
        <v>497</v>
      </c>
      <c r="V330">
        <v>698</v>
      </c>
      <c r="W330">
        <v>18</v>
      </c>
      <c r="X330" s="384"/>
      <c r="Y330" s="403"/>
      <c r="Z330" s="32">
        <v>1250</v>
      </c>
      <c r="AA330" s="410">
        <f t="shared" ref="AA330:AA393" si="26">AVERAGE(W330:Z330)</f>
        <v>634</v>
      </c>
      <c r="AB330" s="411">
        <f t="shared" si="25"/>
        <v>538.83333333333337</v>
      </c>
      <c r="AC330">
        <f t="shared" si="24"/>
        <v>556.875</v>
      </c>
    </row>
    <row r="331" spans="1:29" ht="15" x14ac:dyDescent="0.25">
      <c r="A331">
        <v>2022</v>
      </c>
      <c r="B331" s="617"/>
      <c r="C331" s="617"/>
      <c r="D331" s="244"/>
      <c r="E331" s="244"/>
      <c r="F331" s="244"/>
      <c r="G331" s="244"/>
      <c r="H331" s="9"/>
      <c r="I331" s="9"/>
      <c r="J331" s="32"/>
      <c r="K331" s="193"/>
      <c r="M331" t="s">
        <v>127</v>
      </c>
      <c r="N331" t="s">
        <v>219</v>
      </c>
      <c r="O331" s="50" t="str">
        <f t="shared" ref="O331:O395" si="27">CONCATENATE(M331,"_",N331)</f>
        <v>RILEY CREEK_Coho</v>
      </c>
      <c r="R331">
        <v>0</v>
      </c>
      <c r="X331" s="384"/>
      <c r="Y331" s="403"/>
      <c r="Z331" s="32"/>
      <c r="AC331">
        <f t="shared" si="24"/>
        <v>0</v>
      </c>
    </row>
    <row r="332" spans="1:29" ht="15" x14ac:dyDescent="0.25">
      <c r="A332">
        <v>2022</v>
      </c>
      <c r="B332" s="617"/>
      <c r="C332" s="617"/>
      <c r="D332" s="244"/>
      <c r="E332" s="244"/>
      <c r="F332" s="244"/>
      <c r="G332" s="244"/>
      <c r="H332" s="9"/>
      <c r="I332" s="9"/>
      <c r="J332" s="32"/>
      <c r="K332" s="193"/>
      <c r="M332" t="s">
        <v>103</v>
      </c>
      <c r="N332" t="s">
        <v>219</v>
      </c>
      <c r="O332" s="50" t="str">
        <f t="shared" si="27"/>
        <v>RITHERDON CREEK_Coho</v>
      </c>
      <c r="X332" s="384"/>
      <c r="Y332" s="403">
        <v>4</v>
      </c>
      <c r="Z332" s="32"/>
      <c r="AA332" s="410">
        <f t="shared" si="26"/>
        <v>4</v>
      </c>
      <c r="AB332" s="411">
        <f t="shared" si="25"/>
        <v>4</v>
      </c>
      <c r="AC332">
        <f t="shared" si="24"/>
        <v>4</v>
      </c>
    </row>
    <row r="333" spans="1:29" ht="18" x14ac:dyDescent="0.25">
      <c r="A333">
        <v>2022</v>
      </c>
      <c r="B333" s="617">
        <v>23</v>
      </c>
      <c r="C333" s="617" t="s">
        <v>319</v>
      </c>
      <c r="D333" s="244" t="s">
        <v>597</v>
      </c>
      <c r="E333" s="244" t="s">
        <v>219</v>
      </c>
      <c r="F333" s="244" t="s">
        <v>419</v>
      </c>
      <c r="G333" s="244" t="s">
        <v>374</v>
      </c>
      <c r="H333" s="9" t="s">
        <v>615</v>
      </c>
      <c r="I333" s="9">
        <v>3</v>
      </c>
      <c r="J333" s="32">
        <v>199</v>
      </c>
      <c r="K333" s="193"/>
      <c r="M333" t="s">
        <v>597</v>
      </c>
      <c r="N333" t="s">
        <v>219</v>
      </c>
      <c r="O333" s="50" t="str">
        <f t="shared" si="27"/>
        <v>Rousseau Creek_Coho</v>
      </c>
      <c r="X333" s="384"/>
      <c r="Y333" s="403"/>
      <c r="Z333" s="32">
        <v>199</v>
      </c>
      <c r="AA333" s="410">
        <f t="shared" si="26"/>
        <v>199</v>
      </c>
      <c r="AB333" s="411">
        <f t="shared" si="25"/>
        <v>199</v>
      </c>
      <c r="AC333">
        <f t="shared" si="24"/>
        <v>199</v>
      </c>
    </row>
    <row r="334" spans="1:29" ht="15" x14ac:dyDescent="0.25">
      <c r="A334">
        <v>2022</v>
      </c>
      <c r="B334" s="617">
        <v>20</v>
      </c>
      <c r="C334" s="617" t="s">
        <v>291</v>
      </c>
      <c r="D334" s="244" t="s">
        <v>22</v>
      </c>
      <c r="E334" s="244" t="s">
        <v>219</v>
      </c>
      <c r="F334" s="244" t="s">
        <v>420</v>
      </c>
      <c r="G334" s="244" t="s">
        <v>530</v>
      </c>
      <c r="H334" s="9" t="s">
        <v>617</v>
      </c>
      <c r="I334" s="9">
        <v>2</v>
      </c>
      <c r="J334" s="32">
        <v>1332</v>
      </c>
      <c r="K334" s="193"/>
      <c r="M334" t="s">
        <v>22</v>
      </c>
      <c r="N334" t="s">
        <v>219</v>
      </c>
      <c r="O334" s="50" t="str">
        <f t="shared" si="27"/>
        <v>SAN JUAN RIVER_Coho</v>
      </c>
      <c r="P334">
        <v>3822</v>
      </c>
      <c r="Q334">
        <v>7058</v>
      </c>
      <c r="R334">
        <v>7048</v>
      </c>
      <c r="S334">
        <v>2493</v>
      </c>
      <c r="T334">
        <v>1136</v>
      </c>
      <c r="U334">
        <v>941</v>
      </c>
      <c r="V334">
        <v>5606</v>
      </c>
      <c r="W334">
        <v>1123</v>
      </c>
      <c r="X334" s="384"/>
      <c r="Y334" s="403">
        <v>2959</v>
      </c>
      <c r="Z334" s="32">
        <v>1332</v>
      </c>
      <c r="AA334" s="410">
        <f t="shared" si="26"/>
        <v>1804.6666666666667</v>
      </c>
      <c r="AB334" s="411">
        <f t="shared" si="25"/>
        <v>2227.1428571428573</v>
      </c>
      <c r="AC334">
        <f t="shared" si="24"/>
        <v>3351.8</v>
      </c>
    </row>
    <row r="335" spans="1:29" ht="15" x14ac:dyDescent="0.25">
      <c r="A335">
        <v>2022</v>
      </c>
      <c r="B335" s="617">
        <v>24</v>
      </c>
      <c r="C335" s="617" t="s">
        <v>296</v>
      </c>
      <c r="D335" s="244" t="s">
        <v>128</v>
      </c>
      <c r="E335" s="244" t="s">
        <v>219</v>
      </c>
      <c r="F335" s="244" t="s">
        <v>419</v>
      </c>
      <c r="G335" s="244" t="s">
        <v>626</v>
      </c>
      <c r="H335" s="9" t="s">
        <v>618</v>
      </c>
      <c r="I335" s="9">
        <v>1</v>
      </c>
      <c r="J335" s="32">
        <v>12</v>
      </c>
      <c r="K335" s="193"/>
      <c r="M335" t="s">
        <v>128</v>
      </c>
      <c r="N335" t="s">
        <v>219</v>
      </c>
      <c r="O335" s="50" t="str">
        <f t="shared" si="27"/>
        <v>SAND RIVER_Coho</v>
      </c>
      <c r="S335">
        <v>6</v>
      </c>
      <c r="V335">
        <v>0</v>
      </c>
      <c r="X335" s="384">
        <v>3</v>
      </c>
      <c r="Y335" s="403"/>
      <c r="Z335" s="32">
        <v>12</v>
      </c>
      <c r="AA335" s="410">
        <f t="shared" si="26"/>
        <v>7.5</v>
      </c>
      <c r="AB335" s="411">
        <f t="shared" si="25"/>
        <v>5.25</v>
      </c>
      <c r="AC335">
        <f t="shared" si="24"/>
        <v>5.25</v>
      </c>
    </row>
    <row r="336" spans="1:29" ht="15" x14ac:dyDescent="0.25">
      <c r="A336">
        <v>2022</v>
      </c>
      <c r="B336" s="617"/>
      <c r="C336" s="617"/>
      <c r="D336" s="244"/>
      <c r="E336" s="244"/>
      <c r="F336" s="244"/>
      <c r="G336" s="244"/>
      <c r="H336" s="9"/>
      <c r="I336" s="9"/>
      <c r="J336" s="32"/>
      <c r="K336" s="193"/>
      <c r="M336" t="s">
        <v>551</v>
      </c>
      <c r="N336" t="s">
        <v>219</v>
      </c>
      <c r="O336" s="50" t="str">
        <f t="shared" si="27"/>
        <v>SANDHILL CREEK  (AREA 24)_Coho</v>
      </c>
      <c r="T336">
        <v>2</v>
      </c>
      <c r="X336" s="384"/>
      <c r="Y336" s="403"/>
      <c r="Z336" s="32"/>
      <c r="AB336" s="411">
        <f t="shared" si="25"/>
        <v>2</v>
      </c>
      <c r="AC336">
        <f t="shared" si="24"/>
        <v>2</v>
      </c>
    </row>
    <row r="337" spans="1:29" ht="15" x14ac:dyDescent="0.25">
      <c r="A337">
        <v>2022</v>
      </c>
      <c r="B337" s="617">
        <v>23</v>
      </c>
      <c r="C337" s="617" t="s">
        <v>293</v>
      </c>
      <c r="D337" s="244" t="s">
        <v>33</v>
      </c>
      <c r="E337" s="244" t="s">
        <v>219</v>
      </c>
      <c r="F337" s="244" t="s">
        <v>419</v>
      </c>
      <c r="G337" s="244" t="s">
        <v>374</v>
      </c>
      <c r="H337" s="9" t="s">
        <v>616</v>
      </c>
      <c r="I337" s="9">
        <v>10</v>
      </c>
      <c r="J337" s="32">
        <v>148</v>
      </c>
      <c r="K337" s="193"/>
      <c r="M337" t="s">
        <v>33</v>
      </c>
      <c r="N337" t="s">
        <v>219</v>
      </c>
      <c r="O337" s="50" t="str">
        <f t="shared" si="27"/>
        <v>SARITA RIVER_Coho</v>
      </c>
      <c r="P337">
        <v>60</v>
      </c>
      <c r="Q337">
        <v>822</v>
      </c>
      <c r="R337">
        <v>932</v>
      </c>
      <c r="S337">
        <v>352</v>
      </c>
      <c r="T337">
        <v>500</v>
      </c>
      <c r="U337">
        <v>180</v>
      </c>
      <c r="V337">
        <v>203</v>
      </c>
      <c r="W337">
        <v>151</v>
      </c>
      <c r="X337" s="384">
        <v>196</v>
      </c>
      <c r="Y337" s="403">
        <v>204</v>
      </c>
      <c r="Z337" s="32">
        <v>148</v>
      </c>
      <c r="AA337" s="410">
        <f t="shared" si="26"/>
        <v>174.75</v>
      </c>
      <c r="AB337" s="411">
        <f t="shared" si="25"/>
        <v>241.75</v>
      </c>
      <c r="AC337">
        <f t="shared" si="24"/>
        <v>340.72727272727275</v>
      </c>
    </row>
    <row r="338" spans="1:29" ht="15" x14ac:dyDescent="0.25">
      <c r="A338">
        <v>2022</v>
      </c>
      <c r="B338" s="617"/>
      <c r="C338" s="617"/>
      <c r="D338" s="244"/>
      <c r="E338" s="244"/>
      <c r="F338" s="244"/>
      <c r="G338" s="244"/>
      <c r="H338" s="9"/>
      <c r="I338" s="9"/>
      <c r="J338" s="32"/>
      <c r="K338" s="193"/>
      <c r="M338" t="s">
        <v>552</v>
      </c>
      <c r="N338" t="s">
        <v>219</v>
      </c>
      <c r="O338" s="50" t="str">
        <f t="shared" si="27"/>
        <v>SATCHIE CREEK_Coho</v>
      </c>
      <c r="R338">
        <v>0</v>
      </c>
      <c r="V338">
        <v>183</v>
      </c>
      <c r="X338" s="384"/>
      <c r="Y338" s="403"/>
      <c r="Z338" s="32"/>
      <c r="AB338" s="411">
        <f t="shared" si="25"/>
        <v>183</v>
      </c>
      <c r="AC338">
        <f t="shared" si="24"/>
        <v>91.5</v>
      </c>
    </row>
    <row r="339" spans="1:29" ht="18" x14ac:dyDescent="0.25">
      <c r="A339">
        <v>2022</v>
      </c>
      <c r="B339" s="617">
        <v>24</v>
      </c>
      <c r="C339" s="617" t="s">
        <v>296</v>
      </c>
      <c r="D339" s="244" t="s">
        <v>329</v>
      </c>
      <c r="E339" s="244" t="s">
        <v>219</v>
      </c>
      <c r="F339" s="244" t="s">
        <v>419</v>
      </c>
      <c r="G339" s="244" t="s">
        <v>497</v>
      </c>
      <c r="H339" s="9" t="s">
        <v>615</v>
      </c>
      <c r="I339" s="9">
        <v>2</v>
      </c>
      <c r="J339" s="32">
        <v>0</v>
      </c>
      <c r="K339" s="193"/>
      <c r="M339" t="s">
        <v>438</v>
      </c>
      <c r="N339" t="s">
        <v>219</v>
      </c>
      <c r="O339" s="50" t="str">
        <f t="shared" si="27"/>
        <v>SHARP CREEK_Coho</v>
      </c>
      <c r="T339">
        <v>0</v>
      </c>
      <c r="U339">
        <v>1</v>
      </c>
      <c r="X339" s="384">
        <v>0</v>
      </c>
      <c r="Y339" s="403">
        <v>0</v>
      </c>
      <c r="Z339" s="32">
        <v>0</v>
      </c>
      <c r="AA339" s="410">
        <f t="shared" si="26"/>
        <v>0</v>
      </c>
      <c r="AB339" s="411">
        <f t="shared" si="25"/>
        <v>0.2</v>
      </c>
      <c r="AC339">
        <f t="shared" si="24"/>
        <v>0.2</v>
      </c>
    </row>
    <row r="340" spans="1:29" ht="18" x14ac:dyDescent="0.25">
      <c r="A340">
        <v>2022</v>
      </c>
      <c r="B340" s="617">
        <v>23</v>
      </c>
      <c r="C340" s="617" t="s">
        <v>305</v>
      </c>
      <c r="D340" s="244" t="s">
        <v>186</v>
      </c>
      <c r="E340" s="244" t="s">
        <v>219</v>
      </c>
      <c r="F340" s="244" t="s">
        <v>419</v>
      </c>
      <c r="G340" s="244" t="s">
        <v>289</v>
      </c>
      <c r="H340" s="9" t="s">
        <v>615</v>
      </c>
      <c r="I340" s="9">
        <v>2</v>
      </c>
      <c r="J340" s="32">
        <v>3</v>
      </c>
      <c r="K340" s="193"/>
      <c r="M340" t="s">
        <v>186</v>
      </c>
      <c r="N340" t="s">
        <v>219</v>
      </c>
      <c r="O340" s="50" t="str">
        <f t="shared" si="27"/>
        <v>SMITH CREEK_Coho</v>
      </c>
      <c r="Q340">
        <v>52</v>
      </c>
      <c r="W340">
        <v>0</v>
      </c>
      <c r="X340" s="384">
        <v>0</v>
      </c>
      <c r="Y340" s="403">
        <v>12</v>
      </c>
      <c r="Z340" s="32">
        <v>3</v>
      </c>
      <c r="AA340" s="410">
        <f>AVERAGE(W340:Z340)</f>
        <v>3.75</v>
      </c>
      <c r="AB340" s="411">
        <f t="shared" si="25"/>
        <v>3.75</v>
      </c>
      <c r="AC340">
        <f t="shared" si="24"/>
        <v>13.4</v>
      </c>
    </row>
    <row r="341" spans="1:29" ht="15" x14ac:dyDescent="0.25">
      <c r="A341">
        <v>2022</v>
      </c>
      <c r="B341" s="617"/>
      <c r="C341" s="617"/>
      <c r="D341" s="244"/>
      <c r="E341" s="244"/>
      <c r="F341" s="244"/>
      <c r="G341" s="244"/>
      <c r="H341" s="9"/>
      <c r="I341" s="9"/>
      <c r="J341" s="32"/>
      <c r="K341" s="193"/>
      <c r="M341" t="s">
        <v>104</v>
      </c>
      <c r="N341" t="s">
        <v>219</v>
      </c>
      <c r="O341" s="50" t="str">
        <f t="shared" si="27"/>
        <v>SNUG BASIN CREEK_Coho</v>
      </c>
      <c r="Q341">
        <v>0</v>
      </c>
      <c r="X341" s="384"/>
      <c r="Y341" s="403"/>
      <c r="Z341" s="32"/>
      <c r="AC341">
        <f t="shared" si="24"/>
        <v>0</v>
      </c>
    </row>
    <row r="342" spans="1:29" ht="15" x14ac:dyDescent="0.25">
      <c r="A342">
        <v>2022</v>
      </c>
      <c r="B342" s="617"/>
      <c r="C342" s="617"/>
      <c r="D342" s="244"/>
      <c r="E342" s="244"/>
      <c r="F342" s="244"/>
      <c r="G342" s="244"/>
      <c r="H342" s="9"/>
      <c r="I342" s="9"/>
      <c r="J342" s="32"/>
      <c r="K342" s="193"/>
      <c r="M342" t="s">
        <v>34</v>
      </c>
      <c r="N342" t="s">
        <v>219</v>
      </c>
      <c r="O342" s="50" t="str">
        <f t="shared" si="27"/>
        <v>SPROAT RIVER_Coho</v>
      </c>
      <c r="U342">
        <v>0</v>
      </c>
      <c r="X342" s="384"/>
      <c r="Y342" s="403">
        <v>0</v>
      </c>
      <c r="Z342" s="32"/>
      <c r="AA342" s="410">
        <f t="shared" si="26"/>
        <v>0</v>
      </c>
      <c r="AB342" s="411">
        <f t="shared" si="25"/>
        <v>0</v>
      </c>
      <c r="AC342">
        <f t="shared" si="24"/>
        <v>0</v>
      </c>
    </row>
    <row r="343" spans="1:29" ht="15" x14ac:dyDescent="0.25">
      <c r="A343">
        <v>2022</v>
      </c>
      <c r="B343" s="617"/>
      <c r="C343" s="617"/>
      <c r="D343" s="244"/>
      <c r="E343" s="244"/>
      <c r="F343" s="244"/>
      <c r="G343" s="244"/>
      <c r="H343" s="9"/>
      <c r="I343" s="9"/>
      <c r="J343" s="32"/>
      <c r="K343" s="193"/>
      <c r="M343" t="s">
        <v>51</v>
      </c>
      <c r="N343" t="s">
        <v>219</v>
      </c>
      <c r="O343" s="50" t="str">
        <f t="shared" si="27"/>
        <v>SUCWOA RIVER_Coho</v>
      </c>
      <c r="P343">
        <v>54</v>
      </c>
      <c r="Q343">
        <v>0</v>
      </c>
      <c r="X343" s="384"/>
      <c r="Y343" s="403"/>
      <c r="Z343" s="32"/>
      <c r="AC343">
        <f t="shared" si="24"/>
        <v>27</v>
      </c>
    </row>
    <row r="344" spans="1:29" ht="15" x14ac:dyDescent="0.25">
      <c r="A344">
        <v>2022</v>
      </c>
      <c r="B344" s="617"/>
      <c r="C344" s="617"/>
      <c r="D344" s="244"/>
      <c r="E344" s="244"/>
      <c r="F344" s="244"/>
      <c r="G344" s="244"/>
      <c r="H344" s="9"/>
      <c r="I344" s="9"/>
      <c r="J344" s="32"/>
      <c r="K344" s="193"/>
      <c r="M344" t="s">
        <v>105</v>
      </c>
      <c r="N344" t="s">
        <v>219</v>
      </c>
      <c r="O344" s="50" t="str">
        <f t="shared" si="27"/>
        <v>SUGSAW CREEK_Coho</v>
      </c>
      <c r="P344">
        <v>0</v>
      </c>
      <c r="W344">
        <v>0</v>
      </c>
      <c r="X344" s="384">
        <v>0</v>
      </c>
      <c r="Y344" s="403">
        <v>0</v>
      </c>
      <c r="Z344" s="32"/>
      <c r="AA344" s="410">
        <f t="shared" si="26"/>
        <v>0</v>
      </c>
      <c r="AB344" s="411">
        <f t="shared" si="25"/>
        <v>0</v>
      </c>
      <c r="AC344">
        <f t="shared" si="24"/>
        <v>0</v>
      </c>
    </row>
    <row r="345" spans="1:29" ht="15" x14ac:dyDescent="0.25">
      <c r="A345">
        <v>2022</v>
      </c>
      <c r="B345" s="617">
        <v>24</v>
      </c>
      <c r="C345" s="617" t="s">
        <v>296</v>
      </c>
      <c r="D345" s="244" t="s">
        <v>129</v>
      </c>
      <c r="E345" s="244" t="s">
        <v>219</v>
      </c>
      <c r="F345" s="244" t="s">
        <v>419</v>
      </c>
      <c r="G345" s="244" t="s">
        <v>497</v>
      </c>
      <c r="H345" s="9" t="s">
        <v>616</v>
      </c>
      <c r="I345" s="9">
        <v>3</v>
      </c>
      <c r="J345" s="32">
        <v>0</v>
      </c>
      <c r="K345" s="193"/>
      <c r="M345" t="s">
        <v>129</v>
      </c>
      <c r="N345" t="s">
        <v>219</v>
      </c>
      <c r="O345" s="50" t="str">
        <f t="shared" si="27"/>
        <v>SUTTON MILL CREEK_Coho</v>
      </c>
      <c r="Q345">
        <v>0</v>
      </c>
      <c r="R345">
        <v>0</v>
      </c>
      <c r="S345">
        <v>0</v>
      </c>
      <c r="T345">
        <v>0</v>
      </c>
      <c r="U345">
        <v>0</v>
      </c>
      <c r="X345" s="384">
        <v>0</v>
      </c>
      <c r="Y345" s="403">
        <v>0</v>
      </c>
      <c r="Z345" s="32">
        <v>0</v>
      </c>
      <c r="AA345" s="410">
        <f t="shared" si="26"/>
        <v>0</v>
      </c>
      <c r="AB345" s="411">
        <f t="shared" si="25"/>
        <v>0</v>
      </c>
      <c r="AC345">
        <f t="shared" si="24"/>
        <v>0</v>
      </c>
    </row>
    <row r="346" spans="1:29" ht="15" x14ac:dyDescent="0.25">
      <c r="A346">
        <v>2022</v>
      </c>
      <c r="B346" s="617"/>
      <c r="C346" s="617"/>
      <c r="D346" s="244"/>
      <c r="E346" s="244"/>
      <c r="F346" s="244"/>
      <c r="G346" s="244"/>
      <c r="H346" s="9"/>
      <c r="I346" s="9"/>
      <c r="J346" s="32"/>
      <c r="K346" s="193"/>
      <c r="M346" t="s">
        <v>130</v>
      </c>
      <c r="N346" t="s">
        <v>219</v>
      </c>
      <c r="O346" s="50" t="str">
        <f t="shared" si="27"/>
        <v>SYDNEY RIVER_Coho</v>
      </c>
      <c r="S346">
        <v>0</v>
      </c>
      <c r="V346">
        <v>115</v>
      </c>
      <c r="X346" s="384"/>
      <c r="Y346" s="403"/>
      <c r="Z346" s="32"/>
      <c r="AB346" s="411">
        <f t="shared" si="25"/>
        <v>57.5</v>
      </c>
      <c r="AC346">
        <f t="shared" si="24"/>
        <v>57.5</v>
      </c>
    </row>
    <row r="347" spans="1:29" ht="18" x14ac:dyDescent="0.25">
      <c r="A347">
        <v>2022</v>
      </c>
      <c r="B347" s="617">
        <v>25</v>
      </c>
      <c r="C347" s="617" t="s">
        <v>299</v>
      </c>
      <c r="D347" s="244" t="s">
        <v>52</v>
      </c>
      <c r="E347" s="244" t="s">
        <v>219</v>
      </c>
      <c r="F347" s="244" t="s">
        <v>419</v>
      </c>
      <c r="G347" s="244" t="s">
        <v>495</v>
      </c>
      <c r="H347" s="9" t="s">
        <v>615</v>
      </c>
      <c r="I347" s="9">
        <v>5</v>
      </c>
      <c r="J347" s="32">
        <v>765</v>
      </c>
      <c r="K347" s="193"/>
      <c r="M347" t="s">
        <v>52</v>
      </c>
      <c r="N347" t="s">
        <v>219</v>
      </c>
      <c r="O347" s="50" t="str">
        <f t="shared" si="27"/>
        <v>TAHSIS RIVER_Coho</v>
      </c>
      <c r="P347">
        <v>625</v>
      </c>
      <c r="Q347">
        <v>375</v>
      </c>
      <c r="R347">
        <v>1011</v>
      </c>
      <c r="S347">
        <v>528</v>
      </c>
      <c r="T347">
        <v>848</v>
      </c>
      <c r="U347">
        <v>640</v>
      </c>
      <c r="V347">
        <v>874</v>
      </c>
      <c r="W347">
        <v>228</v>
      </c>
      <c r="X347" s="384">
        <v>424</v>
      </c>
      <c r="Y347" s="403">
        <v>1041</v>
      </c>
      <c r="Z347" s="32">
        <v>765</v>
      </c>
      <c r="AA347" s="410">
        <f t="shared" si="26"/>
        <v>614.5</v>
      </c>
      <c r="AB347" s="411">
        <f t="shared" si="25"/>
        <v>668.5</v>
      </c>
      <c r="AC347">
        <f t="shared" si="24"/>
        <v>669</v>
      </c>
    </row>
    <row r="348" spans="1:29" ht="15" x14ac:dyDescent="0.25">
      <c r="A348">
        <v>2022</v>
      </c>
      <c r="B348" s="617">
        <v>26</v>
      </c>
      <c r="C348" s="617" t="s">
        <v>301</v>
      </c>
      <c r="D348" s="244" t="s">
        <v>66</v>
      </c>
      <c r="E348" s="244" t="s">
        <v>219</v>
      </c>
      <c r="F348" s="244" t="s">
        <v>419</v>
      </c>
      <c r="G348" s="244" t="s">
        <v>292</v>
      </c>
      <c r="H348" s="9" t="s">
        <v>617</v>
      </c>
      <c r="I348" s="9">
        <v>5</v>
      </c>
      <c r="J348" s="32">
        <v>2704</v>
      </c>
      <c r="K348" s="193"/>
      <c r="M348" t="s">
        <v>66</v>
      </c>
      <c r="N348" t="s">
        <v>219</v>
      </c>
      <c r="O348" s="50" t="str">
        <f t="shared" si="27"/>
        <v>TAHSISH RIVER_Coho</v>
      </c>
      <c r="P348">
        <v>1307</v>
      </c>
      <c r="Q348">
        <v>3019</v>
      </c>
      <c r="R348">
        <v>2381</v>
      </c>
      <c r="S348">
        <v>1336</v>
      </c>
      <c r="T348">
        <v>875</v>
      </c>
      <c r="U348">
        <v>3824</v>
      </c>
      <c r="V348">
        <v>1930</v>
      </c>
      <c r="W348">
        <v>1035</v>
      </c>
      <c r="X348" s="384">
        <v>1173</v>
      </c>
      <c r="Y348" s="403">
        <v>1808</v>
      </c>
      <c r="Z348" s="32">
        <v>2704</v>
      </c>
      <c r="AA348" s="410">
        <f t="shared" si="26"/>
        <v>1680</v>
      </c>
      <c r="AB348" s="411">
        <f t="shared" si="25"/>
        <v>1835.625</v>
      </c>
      <c r="AC348">
        <f t="shared" si="24"/>
        <v>1944.7272727272727</v>
      </c>
    </row>
    <row r="349" spans="1:29" ht="18" x14ac:dyDescent="0.25">
      <c r="A349">
        <v>2022</v>
      </c>
      <c r="B349" s="617">
        <v>23</v>
      </c>
      <c r="C349" s="617" t="s">
        <v>305</v>
      </c>
      <c r="D349" s="244" t="s">
        <v>107</v>
      </c>
      <c r="E349" s="244" t="s">
        <v>219</v>
      </c>
      <c r="F349" s="244" t="s">
        <v>419</v>
      </c>
      <c r="G349" s="244" t="s">
        <v>289</v>
      </c>
      <c r="H349" s="9" t="s">
        <v>610</v>
      </c>
      <c r="I349" s="9">
        <v>1</v>
      </c>
      <c r="J349" s="32">
        <v>1</v>
      </c>
      <c r="K349" s="193"/>
      <c r="M349" t="s">
        <v>107</v>
      </c>
      <c r="N349" t="s">
        <v>219</v>
      </c>
      <c r="O349" s="50" t="str">
        <f t="shared" si="27"/>
        <v>THORNTON CREEK_Coho</v>
      </c>
      <c r="Q349">
        <v>350</v>
      </c>
      <c r="X349" s="384"/>
      <c r="Y349" s="403"/>
      <c r="Z349" s="32">
        <v>1</v>
      </c>
      <c r="AA349" s="410">
        <f t="shared" si="26"/>
        <v>1</v>
      </c>
      <c r="AB349" s="411">
        <f t="shared" si="25"/>
        <v>1</v>
      </c>
      <c r="AC349">
        <f t="shared" si="24"/>
        <v>175.5</v>
      </c>
    </row>
    <row r="350" spans="1:29" ht="15" x14ac:dyDescent="0.25">
      <c r="A350">
        <v>2022</v>
      </c>
      <c r="B350" s="617"/>
      <c r="C350" s="617"/>
      <c r="D350" s="244"/>
      <c r="E350" s="244"/>
      <c r="F350" s="244"/>
      <c r="G350" s="244"/>
      <c r="H350" s="9"/>
      <c r="I350" s="9"/>
      <c r="J350" s="32"/>
      <c r="K350" s="193"/>
      <c r="M350" t="s">
        <v>53</v>
      </c>
      <c r="N350" t="s">
        <v>219</v>
      </c>
      <c r="O350" s="50" t="str">
        <f t="shared" si="27"/>
        <v>TLUPANA RIVER_Coho</v>
      </c>
      <c r="P350">
        <v>200</v>
      </c>
      <c r="Q350">
        <v>120</v>
      </c>
      <c r="S350">
        <v>24</v>
      </c>
      <c r="T350">
        <v>0</v>
      </c>
      <c r="W350">
        <v>4</v>
      </c>
      <c r="X350" s="384">
        <v>3</v>
      </c>
      <c r="Y350" s="403"/>
      <c r="Z350" s="32"/>
      <c r="AA350" s="410">
        <f t="shared" si="26"/>
        <v>3.5</v>
      </c>
      <c r="AB350" s="411">
        <f t="shared" ref="AB350:AB413" si="28">AVERAGE(S350:Z350)</f>
        <v>7.75</v>
      </c>
      <c r="AC350">
        <f t="shared" ref="AC350:AC413" si="29">AVERAGE(P350:Z350)</f>
        <v>58.5</v>
      </c>
    </row>
    <row r="351" spans="1:29" ht="15" x14ac:dyDescent="0.25">
      <c r="A351">
        <v>2022</v>
      </c>
      <c r="B351" s="617"/>
      <c r="C351" s="617"/>
      <c r="D351" s="244"/>
      <c r="E351" s="244"/>
      <c r="F351" s="244"/>
      <c r="G351" s="244"/>
      <c r="H351" s="9"/>
      <c r="I351" s="9"/>
      <c r="J351" s="32"/>
      <c r="K351" s="193"/>
      <c r="M351" t="s">
        <v>131</v>
      </c>
      <c r="N351" t="s">
        <v>219</v>
      </c>
      <c r="O351" s="50" t="str">
        <f t="shared" si="27"/>
        <v>TOFINO CREEK_Coho</v>
      </c>
      <c r="Q351">
        <v>14</v>
      </c>
      <c r="U351">
        <v>5</v>
      </c>
      <c r="V351">
        <v>5</v>
      </c>
      <c r="W351">
        <v>4</v>
      </c>
      <c r="X351" s="384"/>
      <c r="Y351" s="403"/>
      <c r="Z351" s="32"/>
      <c r="AA351" s="410">
        <f t="shared" si="26"/>
        <v>4</v>
      </c>
      <c r="AB351" s="411">
        <f t="shared" si="28"/>
        <v>4.666666666666667</v>
      </c>
      <c r="AC351">
        <f t="shared" si="29"/>
        <v>7</v>
      </c>
    </row>
    <row r="352" spans="1:29" ht="15" x14ac:dyDescent="0.25">
      <c r="A352">
        <v>2022</v>
      </c>
      <c r="B352" s="617">
        <v>23</v>
      </c>
      <c r="C352" s="617" t="s">
        <v>295</v>
      </c>
      <c r="D352" s="244" t="s">
        <v>288</v>
      </c>
      <c r="E352" s="244" t="s">
        <v>219</v>
      </c>
      <c r="F352" s="244" t="s">
        <v>419</v>
      </c>
      <c r="G352" s="244" t="s">
        <v>289</v>
      </c>
      <c r="H352" s="9" t="s">
        <v>620</v>
      </c>
      <c r="I352" s="9">
        <v>4</v>
      </c>
      <c r="J352" s="32">
        <v>864</v>
      </c>
      <c r="K352" s="193"/>
      <c r="M352" t="s">
        <v>555</v>
      </c>
      <c r="N352" t="s">
        <v>219</v>
      </c>
      <c r="O352" s="50" t="str">
        <f t="shared" si="27"/>
        <v>TOQUART RIVER_Coho</v>
      </c>
      <c r="P352">
        <v>559</v>
      </c>
      <c r="Q352">
        <v>1256</v>
      </c>
      <c r="R352">
        <v>497</v>
      </c>
      <c r="S352">
        <v>713</v>
      </c>
      <c r="T352">
        <v>324</v>
      </c>
      <c r="U352">
        <v>279</v>
      </c>
      <c r="V352">
        <v>671</v>
      </c>
      <c r="W352">
        <v>283</v>
      </c>
      <c r="X352" s="384">
        <v>384</v>
      </c>
      <c r="Y352" s="403">
        <v>741</v>
      </c>
      <c r="Z352" s="32">
        <v>864</v>
      </c>
      <c r="AA352" s="410">
        <f t="shared" si="26"/>
        <v>568</v>
      </c>
      <c r="AB352" s="411">
        <f t="shared" si="28"/>
        <v>532.375</v>
      </c>
      <c r="AC352">
        <f t="shared" si="29"/>
        <v>597.36363636363637</v>
      </c>
    </row>
    <row r="353" spans="1:29" ht="15" x14ac:dyDescent="0.25">
      <c r="A353">
        <v>2022</v>
      </c>
      <c r="B353" s="617">
        <v>24</v>
      </c>
      <c r="C353" s="617" t="s">
        <v>296</v>
      </c>
      <c r="D353" s="244" t="s">
        <v>43</v>
      </c>
      <c r="E353" s="244" t="s">
        <v>219</v>
      </c>
      <c r="F353" s="244" t="s">
        <v>419</v>
      </c>
      <c r="G353" s="244" t="s">
        <v>497</v>
      </c>
      <c r="H353" s="9" t="s">
        <v>616</v>
      </c>
      <c r="I353" s="9">
        <v>7</v>
      </c>
      <c r="J353" s="32">
        <v>460</v>
      </c>
      <c r="K353" s="193"/>
      <c r="M353" t="s">
        <v>43</v>
      </c>
      <c r="N353" t="s">
        <v>219</v>
      </c>
      <c r="O353" s="50" t="str">
        <f t="shared" si="27"/>
        <v>TRANQUIL CREEK_Coho</v>
      </c>
      <c r="P353">
        <v>467</v>
      </c>
      <c r="Q353">
        <v>853</v>
      </c>
      <c r="R353">
        <v>860</v>
      </c>
      <c r="S353">
        <v>463</v>
      </c>
      <c r="T353">
        <v>791</v>
      </c>
      <c r="U353">
        <v>276</v>
      </c>
      <c r="V353">
        <v>309</v>
      </c>
      <c r="W353">
        <v>390</v>
      </c>
      <c r="X353" s="384">
        <v>467</v>
      </c>
      <c r="Y353" s="403">
        <v>527</v>
      </c>
      <c r="Z353" s="32">
        <v>460</v>
      </c>
      <c r="AA353" s="410">
        <f t="shared" si="26"/>
        <v>461</v>
      </c>
      <c r="AB353" s="411">
        <f t="shared" si="28"/>
        <v>460.375</v>
      </c>
      <c r="AC353">
        <f t="shared" si="29"/>
        <v>533</v>
      </c>
    </row>
    <row r="354" spans="1:29" ht="18" x14ac:dyDescent="0.25">
      <c r="A354">
        <v>2022</v>
      </c>
      <c r="B354" s="617">
        <v>25</v>
      </c>
      <c r="C354" s="617" t="s">
        <v>299</v>
      </c>
      <c r="D354" s="244" t="s">
        <v>54</v>
      </c>
      <c r="E354" s="244" t="s">
        <v>219</v>
      </c>
      <c r="F354" s="244" t="s">
        <v>419</v>
      </c>
      <c r="G354" s="244" t="s">
        <v>452</v>
      </c>
      <c r="H354" s="9" t="s">
        <v>610</v>
      </c>
      <c r="I354" s="9">
        <v>2</v>
      </c>
      <c r="J354" s="32">
        <v>0</v>
      </c>
      <c r="K354" s="193"/>
      <c r="M354" t="s">
        <v>54</v>
      </c>
      <c r="N354" t="s">
        <v>219</v>
      </c>
      <c r="O354" s="50" t="str">
        <f t="shared" si="27"/>
        <v>TSOWWIN RIVER_Coho</v>
      </c>
      <c r="P354">
        <v>95</v>
      </c>
      <c r="Q354">
        <v>338</v>
      </c>
      <c r="R354">
        <v>64</v>
      </c>
      <c r="W354">
        <v>29</v>
      </c>
      <c r="X354" s="384">
        <v>4</v>
      </c>
      <c r="Y354" s="403">
        <v>162</v>
      </c>
      <c r="Z354" s="32">
        <v>0</v>
      </c>
      <c r="AA354" s="410">
        <f t="shared" si="26"/>
        <v>48.75</v>
      </c>
      <c r="AB354" s="411">
        <f t="shared" si="28"/>
        <v>48.75</v>
      </c>
      <c r="AC354">
        <f t="shared" si="29"/>
        <v>98.857142857142861</v>
      </c>
    </row>
    <row r="355" spans="1:29" ht="18" x14ac:dyDescent="0.25">
      <c r="A355">
        <v>2022</v>
      </c>
      <c r="B355" s="617">
        <v>23</v>
      </c>
      <c r="C355" s="617" t="s">
        <v>295</v>
      </c>
      <c r="D355" s="244" t="s">
        <v>108</v>
      </c>
      <c r="E355" s="244" t="s">
        <v>219</v>
      </c>
      <c r="F355" s="244" t="s">
        <v>419</v>
      </c>
      <c r="G355" s="244" t="s">
        <v>626</v>
      </c>
      <c r="H355" s="9" t="s">
        <v>615</v>
      </c>
      <c r="I355" s="9">
        <v>2</v>
      </c>
      <c r="J355" s="32">
        <v>0</v>
      </c>
      <c r="K355" s="193"/>
      <c r="M355" t="s">
        <v>108</v>
      </c>
      <c r="N355" t="s">
        <v>219</v>
      </c>
      <c r="O355" s="50" t="str">
        <f t="shared" si="27"/>
        <v>TWIN RIVERS EAST CREEK_Coho</v>
      </c>
      <c r="Q355">
        <v>10</v>
      </c>
      <c r="R355">
        <v>0</v>
      </c>
      <c r="U355">
        <v>51</v>
      </c>
      <c r="V355">
        <v>26</v>
      </c>
      <c r="W355">
        <v>46</v>
      </c>
      <c r="X355" s="384">
        <v>7</v>
      </c>
      <c r="Y355" s="403">
        <v>21</v>
      </c>
      <c r="Z355" s="32">
        <v>0</v>
      </c>
      <c r="AA355" s="410">
        <f t="shared" si="26"/>
        <v>18.5</v>
      </c>
      <c r="AB355" s="411">
        <f t="shared" si="28"/>
        <v>25.166666666666668</v>
      </c>
      <c r="AC355">
        <f t="shared" si="29"/>
        <v>20.125</v>
      </c>
    </row>
    <row r="356" spans="1:29" ht="15" x14ac:dyDescent="0.25">
      <c r="A356">
        <v>2022</v>
      </c>
      <c r="B356" s="617"/>
      <c r="C356" s="617"/>
      <c r="D356" s="244"/>
      <c r="E356" s="244"/>
      <c r="F356" s="244"/>
      <c r="G356" s="244"/>
      <c r="H356" s="9"/>
      <c r="I356" s="9"/>
      <c r="J356" s="32"/>
      <c r="K356" s="193"/>
      <c r="M356" t="s">
        <v>109</v>
      </c>
      <c r="N356" t="s">
        <v>219</v>
      </c>
      <c r="O356" s="50" t="str">
        <f t="shared" si="27"/>
        <v>TWIN RIVERS WEST CREEK_Coho</v>
      </c>
      <c r="Q356">
        <v>19</v>
      </c>
      <c r="X356" s="384"/>
      <c r="Y356" s="403"/>
      <c r="Z356" s="32"/>
      <c r="AC356">
        <f t="shared" si="29"/>
        <v>19</v>
      </c>
    </row>
    <row r="357" spans="1:29" ht="18" x14ac:dyDescent="0.25">
      <c r="A357">
        <v>2022</v>
      </c>
      <c r="B357" s="617">
        <v>23</v>
      </c>
      <c r="C357" s="617" t="s">
        <v>294</v>
      </c>
      <c r="D357" s="244" t="s">
        <v>110</v>
      </c>
      <c r="E357" s="244" t="s">
        <v>219</v>
      </c>
      <c r="F357" s="244" t="s">
        <v>419</v>
      </c>
      <c r="G357" s="244" t="s">
        <v>290</v>
      </c>
      <c r="H357" s="9" t="s">
        <v>615</v>
      </c>
      <c r="I357" s="9">
        <v>1</v>
      </c>
      <c r="J357" s="32">
        <v>19</v>
      </c>
      <c r="K357" s="193"/>
      <c r="M357" t="s">
        <v>110</v>
      </c>
      <c r="N357" t="s">
        <v>219</v>
      </c>
      <c r="O357" s="50" t="str">
        <f t="shared" si="27"/>
        <v>UCHUCK CREEK_Coho</v>
      </c>
      <c r="Q357">
        <v>35</v>
      </c>
      <c r="X357" s="384"/>
      <c r="Y357" s="403"/>
      <c r="Z357" s="32">
        <v>19</v>
      </c>
      <c r="AA357" s="410">
        <f t="shared" si="26"/>
        <v>19</v>
      </c>
      <c r="AB357" s="411">
        <f t="shared" si="28"/>
        <v>19</v>
      </c>
      <c r="AC357">
        <f t="shared" si="29"/>
        <v>27</v>
      </c>
    </row>
    <row r="358" spans="1:29" ht="15" x14ac:dyDescent="0.25">
      <c r="A358">
        <v>2022</v>
      </c>
      <c r="B358" s="617"/>
      <c r="C358" s="617"/>
      <c r="D358" s="244"/>
      <c r="E358" s="244"/>
      <c r="F358" s="244"/>
      <c r="G358" s="244"/>
      <c r="H358" s="9"/>
      <c r="I358" s="9"/>
      <c r="J358" s="32"/>
      <c r="K358" s="193"/>
      <c r="M358" t="s">
        <v>556</v>
      </c>
      <c r="N358" t="s">
        <v>219</v>
      </c>
      <c r="O358" s="50" t="str">
        <f t="shared" si="27"/>
        <v>URSUS CREEK_Coho</v>
      </c>
      <c r="P358">
        <v>272</v>
      </c>
      <c r="Q358">
        <v>281</v>
      </c>
      <c r="R358">
        <v>397</v>
      </c>
      <c r="S358">
        <v>195</v>
      </c>
      <c r="T358">
        <v>901</v>
      </c>
      <c r="U358">
        <v>355</v>
      </c>
      <c r="V358">
        <v>145</v>
      </c>
      <c r="W358">
        <v>115</v>
      </c>
      <c r="X358" s="384">
        <v>74</v>
      </c>
      <c r="Y358" s="403"/>
      <c r="Z358" s="32"/>
      <c r="AA358" s="410">
        <f t="shared" si="26"/>
        <v>94.5</v>
      </c>
      <c r="AB358" s="411">
        <f t="shared" si="28"/>
        <v>297.5</v>
      </c>
      <c r="AC358">
        <f t="shared" si="29"/>
        <v>303.88888888888891</v>
      </c>
    </row>
    <row r="359" spans="1:29" ht="15" x14ac:dyDescent="0.25">
      <c r="A359">
        <v>2022</v>
      </c>
      <c r="B359" s="617">
        <v>24</v>
      </c>
      <c r="C359" s="617" t="s">
        <v>297</v>
      </c>
      <c r="D359" s="244" t="s">
        <v>132</v>
      </c>
      <c r="E359" s="244" t="s">
        <v>219</v>
      </c>
      <c r="F359" s="244" t="s">
        <v>419</v>
      </c>
      <c r="G359" s="244" t="s">
        <v>497</v>
      </c>
      <c r="H359" s="9" t="s">
        <v>616</v>
      </c>
      <c r="I359" s="9">
        <v>2</v>
      </c>
      <c r="J359" s="32">
        <v>12</v>
      </c>
      <c r="K359" s="193"/>
      <c r="M359" s="67" t="s">
        <v>132</v>
      </c>
      <c r="N359" s="67" t="s">
        <v>219</v>
      </c>
      <c r="O359" s="50" t="str">
        <f t="shared" si="27"/>
        <v>WARN BAY CREEK_Coho</v>
      </c>
      <c r="Q359">
        <v>77</v>
      </c>
      <c r="R359">
        <v>47</v>
      </c>
      <c r="S359">
        <v>57</v>
      </c>
      <c r="T359">
        <v>34</v>
      </c>
      <c r="U359">
        <v>37</v>
      </c>
      <c r="V359">
        <v>31</v>
      </c>
      <c r="W359">
        <v>8</v>
      </c>
      <c r="X359" s="384">
        <v>30</v>
      </c>
      <c r="Y359" s="403">
        <v>52</v>
      </c>
      <c r="Z359" s="32">
        <v>12</v>
      </c>
      <c r="AA359" s="410">
        <f t="shared" si="26"/>
        <v>25.5</v>
      </c>
      <c r="AB359" s="411">
        <f t="shared" si="28"/>
        <v>32.625</v>
      </c>
      <c r="AC359">
        <f t="shared" si="29"/>
        <v>38.5</v>
      </c>
    </row>
    <row r="360" spans="1:29" ht="15" x14ac:dyDescent="0.25">
      <c r="A360">
        <v>2022</v>
      </c>
      <c r="B360" s="617"/>
      <c r="C360" s="617"/>
      <c r="D360" s="244"/>
      <c r="E360" s="244"/>
      <c r="F360" s="244"/>
      <c r="G360" s="244"/>
      <c r="H360" s="9"/>
      <c r="I360" s="9"/>
      <c r="J360" s="32"/>
      <c r="K360" s="193"/>
      <c r="M360" s="405" t="s">
        <v>133</v>
      </c>
      <c r="N360" s="409" t="s">
        <v>219</v>
      </c>
      <c r="O360" s="50" t="str">
        <f t="shared" si="27"/>
        <v>WATTA CREEK_Coho</v>
      </c>
      <c r="X360" s="384">
        <v>3</v>
      </c>
      <c r="Y360" s="403"/>
      <c r="Z360" s="32"/>
      <c r="AA360" s="410">
        <f t="shared" si="26"/>
        <v>3</v>
      </c>
      <c r="AB360" s="411">
        <f t="shared" si="28"/>
        <v>3</v>
      </c>
      <c r="AC360">
        <f t="shared" si="29"/>
        <v>3</v>
      </c>
    </row>
    <row r="361" spans="1:29" ht="15" x14ac:dyDescent="0.25">
      <c r="A361">
        <v>2022</v>
      </c>
      <c r="B361" s="617"/>
      <c r="C361" s="617"/>
      <c r="D361" s="244"/>
      <c r="E361" s="244"/>
      <c r="F361" s="244"/>
      <c r="G361" s="244"/>
      <c r="H361" s="9"/>
      <c r="I361" s="9"/>
      <c r="J361" s="32"/>
      <c r="K361" s="193"/>
      <c r="M361" t="s">
        <v>134</v>
      </c>
      <c r="N361" t="s">
        <v>219</v>
      </c>
      <c r="O361" s="50" t="str">
        <f t="shared" si="27"/>
        <v>WHITE PINE COVE CREEK_Coho</v>
      </c>
      <c r="Q361">
        <v>0</v>
      </c>
      <c r="R361">
        <v>0</v>
      </c>
      <c r="X361" s="384">
        <v>0</v>
      </c>
      <c r="Y361" s="403">
        <v>0</v>
      </c>
      <c r="Z361" s="32"/>
      <c r="AA361" s="410">
        <f t="shared" si="26"/>
        <v>0</v>
      </c>
      <c r="AB361" s="411">
        <f t="shared" si="28"/>
        <v>0</v>
      </c>
      <c r="AC361">
        <f t="shared" si="29"/>
        <v>0</v>
      </c>
    </row>
    <row r="362" spans="1:29" ht="15" x14ac:dyDescent="0.25">
      <c r="A362">
        <v>2022</v>
      </c>
      <c r="B362" s="617">
        <v>25</v>
      </c>
      <c r="C362" s="617" t="s">
        <v>300</v>
      </c>
      <c r="D362" s="244" t="s">
        <v>55</v>
      </c>
      <c r="E362" s="244" t="s">
        <v>219</v>
      </c>
      <c r="F362" s="244" t="s">
        <v>419</v>
      </c>
      <c r="G362" s="244" t="s">
        <v>528</v>
      </c>
      <c r="H362" s="9" t="s">
        <v>618</v>
      </c>
      <c r="I362" s="9">
        <v>5</v>
      </c>
      <c r="J362" s="32">
        <v>51</v>
      </c>
      <c r="K362" s="193"/>
      <c r="M362" t="s">
        <v>55</v>
      </c>
      <c r="N362" t="s">
        <v>219</v>
      </c>
      <c r="O362" s="50" t="str">
        <f t="shared" si="27"/>
        <v>ZEBALLOS RIVER_Coho</v>
      </c>
      <c r="P362">
        <v>74</v>
      </c>
      <c r="Q362">
        <v>509</v>
      </c>
      <c r="R362">
        <v>168</v>
      </c>
      <c r="S362">
        <v>427</v>
      </c>
      <c r="T362">
        <v>591</v>
      </c>
      <c r="U362">
        <v>380</v>
      </c>
      <c r="V362">
        <v>387</v>
      </c>
      <c r="W362">
        <v>160</v>
      </c>
      <c r="X362" s="384">
        <v>159</v>
      </c>
      <c r="Y362" s="403">
        <v>45</v>
      </c>
      <c r="Z362" s="32">
        <v>51</v>
      </c>
      <c r="AA362" s="410">
        <f t="shared" si="26"/>
        <v>103.75</v>
      </c>
      <c r="AB362" s="411">
        <f t="shared" si="28"/>
        <v>275</v>
      </c>
      <c r="AC362">
        <f t="shared" si="29"/>
        <v>268.27272727272725</v>
      </c>
    </row>
    <row r="363" spans="1:29" ht="15" x14ac:dyDescent="0.25">
      <c r="A363">
        <v>2022</v>
      </c>
      <c r="B363" s="617">
        <v>26</v>
      </c>
      <c r="C363" s="617" t="s">
        <v>301</v>
      </c>
      <c r="D363" s="244" t="s">
        <v>57</v>
      </c>
      <c r="E363" s="244" t="s">
        <v>208</v>
      </c>
      <c r="F363" s="244" t="s">
        <v>419</v>
      </c>
      <c r="G363" s="244" t="s">
        <v>292</v>
      </c>
      <c r="H363" s="9" t="s">
        <v>616</v>
      </c>
      <c r="I363" s="9">
        <v>7</v>
      </c>
      <c r="J363" s="32">
        <v>0</v>
      </c>
      <c r="K363" s="193"/>
      <c r="M363" t="s">
        <v>57</v>
      </c>
      <c r="N363" t="s">
        <v>208</v>
      </c>
      <c r="O363" s="50" t="str">
        <f t="shared" si="27"/>
        <v>ARTLISH RIVER_Pink</v>
      </c>
      <c r="P363">
        <v>0</v>
      </c>
      <c r="Q363">
        <v>4</v>
      </c>
      <c r="S363">
        <v>6</v>
      </c>
      <c r="T363">
        <v>1</v>
      </c>
      <c r="U363">
        <v>1</v>
      </c>
      <c r="V363">
        <v>0</v>
      </c>
      <c r="W363">
        <v>0</v>
      </c>
      <c r="X363" s="384">
        <v>0</v>
      </c>
      <c r="Y363" s="403">
        <v>0</v>
      </c>
      <c r="Z363" s="32">
        <v>0</v>
      </c>
      <c r="AA363" s="410">
        <f t="shared" si="26"/>
        <v>0</v>
      </c>
      <c r="AB363" s="411">
        <f t="shared" si="28"/>
        <v>1</v>
      </c>
      <c r="AC363">
        <f t="shared" si="29"/>
        <v>1.2</v>
      </c>
    </row>
    <row r="364" spans="1:29" ht="15" x14ac:dyDescent="0.25">
      <c r="A364">
        <v>2022</v>
      </c>
      <c r="B364" s="617"/>
      <c r="C364" s="617"/>
      <c r="D364" s="244"/>
      <c r="E364" s="244"/>
      <c r="F364" s="244"/>
      <c r="G364" s="244"/>
      <c r="H364" s="9"/>
      <c r="I364" s="9"/>
      <c r="J364" s="32"/>
      <c r="K364" s="193"/>
      <c r="M364" t="s">
        <v>114</v>
      </c>
      <c r="N364" t="s">
        <v>208</v>
      </c>
      <c r="O364" s="50" t="str">
        <f t="shared" si="27"/>
        <v>ATLEO RIVER_Pink</v>
      </c>
      <c r="V364">
        <v>0</v>
      </c>
      <c r="X364" s="384">
        <v>0</v>
      </c>
      <c r="Y364" s="403">
        <v>0</v>
      </c>
      <c r="Z364" s="32"/>
      <c r="AA364" s="410">
        <f t="shared" si="26"/>
        <v>0</v>
      </c>
      <c r="AB364" s="411">
        <f t="shared" si="28"/>
        <v>0</v>
      </c>
      <c r="AC364">
        <f t="shared" si="29"/>
        <v>0</v>
      </c>
    </row>
    <row r="365" spans="1:29" ht="15" x14ac:dyDescent="0.25">
      <c r="A365">
        <v>2022</v>
      </c>
      <c r="B365" s="617"/>
      <c r="C365" s="617"/>
      <c r="D365" s="244"/>
      <c r="E365" s="244"/>
      <c r="F365" s="244"/>
      <c r="G365" s="244"/>
      <c r="H365" s="9"/>
      <c r="I365" s="9"/>
      <c r="J365" s="32"/>
      <c r="K365" s="193"/>
      <c r="M365" t="s">
        <v>35</v>
      </c>
      <c r="N365" t="s">
        <v>208</v>
      </c>
      <c r="O365" s="50" t="str">
        <f t="shared" si="27"/>
        <v>BEDWELL RIVER_Pink</v>
      </c>
      <c r="P365">
        <v>58</v>
      </c>
      <c r="Q365">
        <v>5</v>
      </c>
      <c r="R365">
        <v>21</v>
      </c>
      <c r="S365">
        <v>8</v>
      </c>
      <c r="T365">
        <v>1</v>
      </c>
      <c r="U365">
        <v>6</v>
      </c>
      <c r="V365">
        <v>0</v>
      </c>
      <c r="W365">
        <v>0</v>
      </c>
      <c r="X365" s="384">
        <v>1</v>
      </c>
      <c r="Y365" s="403"/>
      <c r="Z365" s="32"/>
      <c r="AA365" s="410">
        <f t="shared" si="26"/>
        <v>0.5</v>
      </c>
      <c r="AB365" s="411">
        <f t="shared" si="28"/>
        <v>2.6666666666666665</v>
      </c>
      <c r="AC365">
        <f t="shared" si="29"/>
        <v>11.111111111111111</v>
      </c>
    </row>
    <row r="366" spans="1:29" x14ac:dyDescent="0.2">
      <c r="A366">
        <v>2022</v>
      </c>
      <c r="B366" s="617">
        <v>24</v>
      </c>
      <c r="C366" s="617" t="s">
        <v>297</v>
      </c>
      <c r="D366" s="244" t="s">
        <v>35</v>
      </c>
      <c r="E366" s="244" t="s">
        <v>208</v>
      </c>
      <c r="F366" s="244" t="s">
        <v>419</v>
      </c>
      <c r="G366" s="244" t="s">
        <v>497</v>
      </c>
      <c r="H366" s="9" t="s">
        <v>616</v>
      </c>
      <c r="I366" s="9">
        <v>5</v>
      </c>
      <c r="J366" s="32">
        <v>12</v>
      </c>
      <c r="K366" s="193"/>
      <c r="M366" t="s">
        <v>557</v>
      </c>
      <c r="N366" s="17" t="s">
        <v>208</v>
      </c>
      <c r="O366" s="50" t="str">
        <f t="shared" si="27"/>
        <v>BEDWELL SYSTEM_Pink</v>
      </c>
      <c r="P366">
        <v>85</v>
      </c>
      <c r="Q366">
        <v>49</v>
      </c>
      <c r="R366">
        <v>62</v>
      </c>
      <c r="S366">
        <v>28</v>
      </c>
      <c r="T366">
        <v>2</v>
      </c>
      <c r="U366">
        <v>6</v>
      </c>
      <c r="V366">
        <v>1</v>
      </c>
      <c r="W366">
        <v>12</v>
      </c>
      <c r="X366">
        <v>1</v>
      </c>
      <c r="Y366">
        <v>0</v>
      </c>
      <c r="Z366" s="32">
        <v>12</v>
      </c>
      <c r="AA366" s="410">
        <f t="shared" si="26"/>
        <v>6.25</v>
      </c>
      <c r="AB366" s="411">
        <f t="shared" si="28"/>
        <v>7.75</v>
      </c>
      <c r="AC366">
        <f t="shared" si="29"/>
        <v>23.454545454545453</v>
      </c>
    </row>
    <row r="367" spans="1:29" ht="15" x14ac:dyDescent="0.25">
      <c r="A367">
        <v>2022</v>
      </c>
      <c r="B367" s="617">
        <v>25</v>
      </c>
      <c r="C367" s="618" t="s">
        <v>299</v>
      </c>
      <c r="D367" s="244" t="s">
        <v>44</v>
      </c>
      <c r="E367" s="244" t="s">
        <v>208</v>
      </c>
      <c r="F367" s="244" t="s">
        <v>419</v>
      </c>
      <c r="G367" s="244" t="s">
        <v>452</v>
      </c>
      <c r="H367" s="9" t="s">
        <v>612</v>
      </c>
      <c r="I367" s="9">
        <v>4</v>
      </c>
      <c r="J367" s="32">
        <v>0</v>
      </c>
      <c r="K367" s="193"/>
      <c r="M367" t="s">
        <v>44</v>
      </c>
      <c r="N367" t="s">
        <v>208</v>
      </c>
      <c r="O367" s="50" t="str">
        <f t="shared" si="27"/>
        <v>BURMAN RIVER_Pink</v>
      </c>
      <c r="P367">
        <v>36</v>
      </c>
      <c r="Q367">
        <v>20</v>
      </c>
      <c r="R367">
        <v>0</v>
      </c>
      <c r="S367">
        <v>12</v>
      </c>
      <c r="T367">
        <v>1</v>
      </c>
      <c r="U367">
        <v>1</v>
      </c>
      <c r="W367">
        <v>0</v>
      </c>
      <c r="X367" s="384">
        <v>0</v>
      </c>
      <c r="Y367" s="403">
        <v>2</v>
      </c>
      <c r="Z367" s="32">
        <v>0</v>
      </c>
      <c r="AA367" s="410">
        <f t="shared" si="26"/>
        <v>0.5</v>
      </c>
      <c r="AB367" s="411">
        <f t="shared" si="28"/>
        <v>2.2857142857142856</v>
      </c>
      <c r="AC367">
        <f t="shared" si="29"/>
        <v>7.2</v>
      </c>
    </row>
    <row r="368" spans="1:29" ht="15" x14ac:dyDescent="0.25">
      <c r="A368">
        <v>2022</v>
      </c>
      <c r="B368" s="617">
        <v>25</v>
      </c>
      <c r="C368" s="617" t="s">
        <v>299</v>
      </c>
      <c r="D368" s="244" t="s">
        <v>45</v>
      </c>
      <c r="E368" s="244" t="s">
        <v>208</v>
      </c>
      <c r="F368" s="244" t="s">
        <v>419</v>
      </c>
      <c r="G368" s="244" t="s">
        <v>452</v>
      </c>
      <c r="H368" s="9" t="s">
        <v>616</v>
      </c>
      <c r="I368" s="9">
        <v>9</v>
      </c>
      <c r="J368" s="32">
        <v>0</v>
      </c>
      <c r="K368" s="193"/>
      <c r="M368" t="s">
        <v>45</v>
      </c>
      <c r="N368" t="s">
        <v>208</v>
      </c>
      <c r="O368" s="50" t="str">
        <f t="shared" si="27"/>
        <v>CANTON CREEK_Pink</v>
      </c>
      <c r="S368">
        <v>0</v>
      </c>
      <c r="T368">
        <v>0</v>
      </c>
      <c r="W368">
        <v>0</v>
      </c>
      <c r="X368" s="403"/>
      <c r="Y368" s="403">
        <v>0</v>
      </c>
      <c r="Z368" s="32">
        <v>0</v>
      </c>
      <c r="AA368" s="410">
        <f t="shared" si="26"/>
        <v>0</v>
      </c>
      <c r="AB368" s="411">
        <f t="shared" si="28"/>
        <v>0</v>
      </c>
      <c r="AC368">
        <f t="shared" si="29"/>
        <v>0</v>
      </c>
    </row>
    <row r="369" spans="1:29" ht="15" x14ac:dyDescent="0.25">
      <c r="A369">
        <v>2022</v>
      </c>
      <c r="K369" s="193"/>
      <c r="M369" t="s">
        <v>536</v>
      </c>
      <c r="N369" t="s">
        <v>208</v>
      </c>
      <c r="O369" s="50" t="str">
        <f t="shared" si="27"/>
        <v>CAYEGHLE CREEK_Pink</v>
      </c>
      <c r="P369">
        <v>0</v>
      </c>
      <c r="Q369">
        <v>14</v>
      </c>
      <c r="R369">
        <v>1</v>
      </c>
      <c r="S369">
        <v>16</v>
      </c>
      <c r="T369">
        <v>0</v>
      </c>
      <c r="U369">
        <v>1</v>
      </c>
      <c r="V369">
        <v>16</v>
      </c>
      <c r="W369">
        <v>1</v>
      </c>
      <c r="X369" s="384">
        <v>0</v>
      </c>
      <c r="Y369" s="403">
        <v>2</v>
      </c>
      <c r="AA369" s="410">
        <f t="shared" si="26"/>
        <v>1</v>
      </c>
      <c r="AB369" s="411">
        <f t="shared" si="28"/>
        <v>5.1428571428571432</v>
      </c>
      <c r="AC369">
        <f t="shared" si="29"/>
        <v>5.0999999999999996</v>
      </c>
    </row>
    <row r="370" spans="1:29" ht="15" x14ac:dyDescent="0.25">
      <c r="A370">
        <v>2022</v>
      </c>
      <c r="B370" s="617">
        <v>24</v>
      </c>
      <c r="C370" s="617" t="s">
        <v>296</v>
      </c>
      <c r="D370" s="244" t="s">
        <v>38</v>
      </c>
      <c r="E370" s="244" t="s">
        <v>208</v>
      </c>
      <c r="F370" s="244" t="s">
        <v>419</v>
      </c>
      <c r="G370" s="244" t="s">
        <v>497</v>
      </c>
      <c r="H370" s="9" t="s">
        <v>616</v>
      </c>
      <c r="I370" s="9">
        <v>1</v>
      </c>
      <c r="J370" s="32">
        <v>0</v>
      </c>
      <c r="K370" s="193"/>
      <c r="M370" t="s">
        <v>36</v>
      </c>
      <c r="N370" t="s">
        <v>208</v>
      </c>
      <c r="O370" s="50" t="str">
        <f t="shared" si="27"/>
        <v>CLAYOQUOT RIVER_Pink</v>
      </c>
      <c r="V370">
        <v>0</v>
      </c>
      <c r="X370" s="384"/>
      <c r="Y370" s="403">
        <v>0</v>
      </c>
      <c r="Z370" s="32">
        <v>0</v>
      </c>
      <c r="AA370" s="410">
        <f t="shared" si="26"/>
        <v>0</v>
      </c>
      <c r="AB370" s="411">
        <f t="shared" si="28"/>
        <v>0</v>
      </c>
      <c r="AC370">
        <f t="shared" si="29"/>
        <v>0</v>
      </c>
    </row>
    <row r="371" spans="1:29" ht="15" x14ac:dyDescent="0.25">
      <c r="A371">
        <v>2022</v>
      </c>
      <c r="B371" s="617">
        <v>23</v>
      </c>
      <c r="C371" s="617" t="s">
        <v>294</v>
      </c>
      <c r="D371" s="244" t="s">
        <v>29</v>
      </c>
      <c r="E371" s="244" t="s">
        <v>208</v>
      </c>
      <c r="F371" s="244" t="s">
        <v>419</v>
      </c>
      <c r="G371" s="244" t="s">
        <v>626</v>
      </c>
      <c r="H371" s="9" t="s">
        <v>616</v>
      </c>
      <c r="I371" s="9">
        <v>10</v>
      </c>
      <c r="J371" s="32">
        <v>0</v>
      </c>
      <c r="K371" s="193"/>
      <c r="M371" t="s">
        <v>29</v>
      </c>
      <c r="N371" t="s">
        <v>208</v>
      </c>
      <c r="O371" s="50" t="str">
        <f t="shared" si="27"/>
        <v>CLEMENS CREEK_Pink</v>
      </c>
      <c r="Q371">
        <v>3</v>
      </c>
      <c r="V371">
        <v>0</v>
      </c>
      <c r="W371">
        <v>0</v>
      </c>
      <c r="X371" s="384"/>
      <c r="Y371" s="403">
        <v>0</v>
      </c>
      <c r="Z371" s="32">
        <v>0</v>
      </c>
      <c r="AA371" s="410">
        <f t="shared" si="26"/>
        <v>0</v>
      </c>
      <c r="AB371" s="411">
        <f t="shared" si="28"/>
        <v>0</v>
      </c>
      <c r="AC371">
        <f t="shared" si="29"/>
        <v>0.6</v>
      </c>
    </row>
    <row r="372" spans="1:29" ht="15" x14ac:dyDescent="0.25">
      <c r="A372">
        <v>2022</v>
      </c>
      <c r="B372" s="617"/>
      <c r="C372" s="617"/>
      <c r="D372" s="244"/>
      <c r="E372" s="244"/>
      <c r="F372" s="244"/>
      <c r="G372" s="244"/>
      <c r="H372" s="9"/>
      <c r="I372" s="9"/>
      <c r="J372" s="32"/>
      <c r="K372" s="193"/>
      <c r="M372" t="s">
        <v>537</v>
      </c>
      <c r="N372" t="s">
        <v>208</v>
      </c>
      <c r="O372" s="50" t="str">
        <f t="shared" si="27"/>
        <v>COLONIAL CREEK_Pink</v>
      </c>
      <c r="P372">
        <v>0</v>
      </c>
      <c r="Q372">
        <v>0</v>
      </c>
      <c r="R372">
        <v>0</v>
      </c>
      <c r="S372">
        <v>3</v>
      </c>
      <c r="T372">
        <v>1</v>
      </c>
      <c r="U372">
        <v>1</v>
      </c>
      <c r="V372">
        <v>0</v>
      </c>
      <c r="W372">
        <v>2</v>
      </c>
      <c r="X372" s="384">
        <v>0</v>
      </c>
      <c r="Y372" s="403"/>
      <c r="Z372" s="32"/>
      <c r="AA372" s="410">
        <f t="shared" si="26"/>
        <v>1</v>
      </c>
      <c r="AB372" s="411">
        <f t="shared" si="28"/>
        <v>1.1666666666666667</v>
      </c>
      <c r="AC372">
        <f t="shared" si="29"/>
        <v>0.77777777777777779</v>
      </c>
    </row>
    <row r="373" spans="1:29" x14ac:dyDescent="0.2">
      <c r="A373">
        <v>2022</v>
      </c>
      <c r="B373" s="617">
        <v>27</v>
      </c>
      <c r="C373" s="617" t="s">
        <v>302</v>
      </c>
      <c r="D373" s="244" t="s">
        <v>68</v>
      </c>
      <c r="E373" s="244" t="s">
        <v>208</v>
      </c>
      <c r="F373" s="244" t="s">
        <v>419</v>
      </c>
      <c r="G373" s="244" t="s">
        <v>628</v>
      </c>
      <c r="H373" s="9" t="s">
        <v>617</v>
      </c>
      <c r="I373" s="9">
        <v>7</v>
      </c>
      <c r="J373" s="32">
        <v>2</v>
      </c>
      <c r="K373" s="193"/>
      <c r="M373" s="17" t="s">
        <v>560</v>
      </c>
      <c r="N373" t="s">
        <v>208</v>
      </c>
      <c r="O373" s="50" t="str">
        <f t="shared" si="27"/>
        <v>COLONIAL/CAYEGHLE CREEKS_Pink</v>
      </c>
      <c r="P373">
        <f>P372+P369</f>
        <v>0</v>
      </c>
      <c r="Q373">
        <f t="shared" ref="Q373:X373" si="30">Q372+Q369</f>
        <v>14</v>
      </c>
      <c r="R373">
        <f t="shared" si="30"/>
        <v>1</v>
      </c>
      <c r="S373">
        <f t="shared" si="30"/>
        <v>19</v>
      </c>
      <c r="T373">
        <f t="shared" si="30"/>
        <v>1</v>
      </c>
      <c r="U373">
        <f t="shared" si="30"/>
        <v>2</v>
      </c>
      <c r="V373">
        <f t="shared" si="30"/>
        <v>16</v>
      </c>
      <c r="W373">
        <f t="shared" si="30"/>
        <v>3</v>
      </c>
      <c r="X373">
        <f t="shared" si="30"/>
        <v>0</v>
      </c>
      <c r="Z373" s="32">
        <v>2</v>
      </c>
      <c r="AA373" s="410">
        <f t="shared" si="26"/>
        <v>1.6666666666666667</v>
      </c>
      <c r="AB373" s="411">
        <f t="shared" si="28"/>
        <v>6.1428571428571432</v>
      </c>
      <c r="AC373">
        <f t="shared" si="29"/>
        <v>5.8</v>
      </c>
    </row>
    <row r="374" spans="1:29" ht="15" x14ac:dyDescent="0.25">
      <c r="A374">
        <v>2022</v>
      </c>
      <c r="B374" s="617">
        <v>25</v>
      </c>
      <c r="C374" s="617" t="s">
        <v>299</v>
      </c>
      <c r="D374" s="244" t="s">
        <v>46</v>
      </c>
      <c r="E374" s="244" t="s">
        <v>208</v>
      </c>
      <c r="F374" s="244" t="s">
        <v>419</v>
      </c>
      <c r="G374" s="244" t="s">
        <v>593</v>
      </c>
      <c r="H374" s="9" t="s">
        <v>617</v>
      </c>
      <c r="I374" s="9">
        <v>10</v>
      </c>
      <c r="J374" s="32">
        <v>1</v>
      </c>
      <c r="K374" s="193"/>
      <c r="M374" t="s">
        <v>46</v>
      </c>
      <c r="N374" t="s">
        <v>208</v>
      </c>
      <c r="O374" s="50" t="str">
        <f t="shared" si="27"/>
        <v>CONUMA RIVER_Pink</v>
      </c>
      <c r="P374">
        <v>0</v>
      </c>
      <c r="Q374">
        <v>3</v>
      </c>
      <c r="R374">
        <v>0</v>
      </c>
      <c r="S374">
        <v>2</v>
      </c>
      <c r="T374">
        <v>2</v>
      </c>
      <c r="U374">
        <v>0</v>
      </c>
      <c r="W374">
        <v>1</v>
      </c>
      <c r="X374" s="384">
        <v>1</v>
      </c>
      <c r="Y374" s="403">
        <v>1</v>
      </c>
      <c r="Z374" s="32">
        <v>1</v>
      </c>
      <c r="AA374" s="410">
        <f t="shared" si="26"/>
        <v>1</v>
      </c>
      <c r="AB374" s="411">
        <f t="shared" si="28"/>
        <v>1.1428571428571428</v>
      </c>
      <c r="AC374">
        <f t="shared" si="29"/>
        <v>1.1000000000000001</v>
      </c>
    </row>
    <row r="375" spans="1:29" ht="15" x14ac:dyDescent="0.25">
      <c r="A375">
        <v>2022</v>
      </c>
      <c r="B375" s="617">
        <v>24</v>
      </c>
      <c r="C375" s="617" t="s">
        <v>297</v>
      </c>
      <c r="D375" s="244" t="s">
        <v>119</v>
      </c>
      <c r="E375" s="244" t="s">
        <v>208</v>
      </c>
      <c r="F375" s="244" t="s">
        <v>419</v>
      </c>
      <c r="G375" s="244" t="s">
        <v>497</v>
      </c>
      <c r="H375" s="9" t="s">
        <v>617</v>
      </c>
      <c r="I375" s="9">
        <v>5</v>
      </c>
      <c r="J375" s="32">
        <v>1</v>
      </c>
      <c r="K375" s="193"/>
      <c r="M375" t="s">
        <v>119</v>
      </c>
      <c r="N375" t="s">
        <v>208</v>
      </c>
      <c r="O375" s="50" t="str">
        <f t="shared" si="27"/>
        <v>CYPRE RIVER_Pink</v>
      </c>
      <c r="P375">
        <v>0</v>
      </c>
      <c r="Q375">
        <v>28</v>
      </c>
      <c r="R375">
        <v>0</v>
      </c>
      <c r="S375">
        <v>5</v>
      </c>
      <c r="T375">
        <v>1</v>
      </c>
      <c r="U375">
        <v>0</v>
      </c>
      <c r="V375">
        <v>0</v>
      </c>
      <c r="W375">
        <v>1</v>
      </c>
      <c r="X375" s="384">
        <v>0</v>
      </c>
      <c r="Y375" s="403">
        <v>0</v>
      </c>
      <c r="Z375" s="32">
        <v>1</v>
      </c>
      <c r="AA375" s="410">
        <f t="shared" si="26"/>
        <v>0.5</v>
      </c>
      <c r="AB375" s="411">
        <f t="shared" si="28"/>
        <v>1</v>
      </c>
      <c r="AC375">
        <f t="shared" si="29"/>
        <v>3.2727272727272729</v>
      </c>
    </row>
    <row r="376" spans="1:29" ht="15" x14ac:dyDescent="0.25">
      <c r="A376">
        <v>2022</v>
      </c>
      <c r="B376" s="617"/>
      <c r="C376" s="617"/>
      <c r="D376" s="244"/>
      <c r="E376" s="244"/>
      <c r="F376" s="244"/>
      <c r="G376" s="244"/>
      <c r="H376" s="9"/>
      <c r="I376" s="9"/>
      <c r="J376" s="32"/>
      <c r="K376" s="193"/>
      <c r="M376" t="s">
        <v>136</v>
      </c>
      <c r="N376" t="s">
        <v>208</v>
      </c>
      <c r="O376" s="50" t="str">
        <f t="shared" si="27"/>
        <v>DESERTED CREEK_Pink</v>
      </c>
      <c r="Q376">
        <v>2</v>
      </c>
      <c r="X376" s="384"/>
      <c r="Y376" s="403"/>
      <c r="Z376" s="32"/>
      <c r="AC376">
        <f t="shared" si="29"/>
        <v>2</v>
      </c>
    </row>
    <row r="377" spans="1:29" ht="15" x14ac:dyDescent="0.25">
      <c r="A377">
        <v>2022</v>
      </c>
      <c r="B377" s="617">
        <v>23</v>
      </c>
      <c r="C377" s="617" t="s">
        <v>305</v>
      </c>
      <c r="D377" s="244" t="s">
        <v>96</v>
      </c>
      <c r="E377" s="244" t="s">
        <v>208</v>
      </c>
      <c r="F377" s="244" t="s">
        <v>419</v>
      </c>
      <c r="G377" s="244" t="s">
        <v>289</v>
      </c>
      <c r="H377" s="9" t="s">
        <v>616</v>
      </c>
      <c r="I377" s="9">
        <v>4</v>
      </c>
      <c r="J377" s="32">
        <v>0</v>
      </c>
      <c r="K377" s="193"/>
      <c r="M377" t="s">
        <v>96</v>
      </c>
      <c r="N377" t="s">
        <v>208</v>
      </c>
      <c r="O377" s="50" t="str">
        <f t="shared" si="27"/>
        <v>EFFINGHAM RIVER_Pink</v>
      </c>
      <c r="V377">
        <v>0</v>
      </c>
      <c r="W377">
        <v>0</v>
      </c>
      <c r="X377" s="384"/>
      <c r="Y377" s="403">
        <v>0</v>
      </c>
      <c r="Z377" s="32">
        <v>0</v>
      </c>
      <c r="AA377" s="410">
        <f t="shared" si="26"/>
        <v>0</v>
      </c>
      <c r="AB377" s="411">
        <f t="shared" si="28"/>
        <v>0</v>
      </c>
      <c r="AC377">
        <f t="shared" si="29"/>
        <v>0</v>
      </c>
    </row>
    <row r="378" spans="1:29" ht="15" x14ac:dyDescent="0.25">
      <c r="A378">
        <v>2022</v>
      </c>
      <c r="B378" s="617">
        <v>25</v>
      </c>
      <c r="C378" s="617" t="s">
        <v>300</v>
      </c>
      <c r="D378" s="244" t="s">
        <v>138</v>
      </c>
      <c r="E378" s="244" t="s">
        <v>208</v>
      </c>
      <c r="F378" s="244" t="s">
        <v>419</v>
      </c>
      <c r="G378" s="244" t="s">
        <v>496</v>
      </c>
      <c r="H378" s="9" t="s">
        <v>616</v>
      </c>
      <c r="I378" s="9">
        <v>1</v>
      </c>
      <c r="J378" s="32">
        <v>0</v>
      </c>
      <c r="K378" s="193"/>
      <c r="M378" t="s">
        <v>138</v>
      </c>
      <c r="N378" t="s">
        <v>208</v>
      </c>
      <c r="O378" s="50" t="str">
        <f t="shared" si="27"/>
        <v>ESPINOSA CREEK_Pink</v>
      </c>
      <c r="P378">
        <v>0</v>
      </c>
      <c r="Q378">
        <v>12</v>
      </c>
      <c r="R378">
        <v>5</v>
      </c>
      <c r="S378">
        <v>22</v>
      </c>
      <c r="T378">
        <v>0</v>
      </c>
      <c r="U378">
        <v>0</v>
      </c>
      <c r="W378">
        <v>0</v>
      </c>
      <c r="X378" s="384">
        <v>0</v>
      </c>
      <c r="Y378" s="403">
        <v>0</v>
      </c>
      <c r="Z378" s="32">
        <v>0</v>
      </c>
      <c r="AA378" s="410">
        <f t="shared" si="26"/>
        <v>0</v>
      </c>
      <c r="AB378" s="411">
        <f t="shared" si="28"/>
        <v>3.1428571428571428</v>
      </c>
      <c r="AC378">
        <f t="shared" si="29"/>
        <v>3.9</v>
      </c>
    </row>
    <row r="379" spans="1:29" ht="15" x14ac:dyDescent="0.25">
      <c r="A379">
        <v>2022</v>
      </c>
      <c r="B379" s="617">
        <v>25</v>
      </c>
      <c r="C379" s="617" t="s">
        <v>299</v>
      </c>
      <c r="D379" s="244" t="s">
        <v>47</v>
      </c>
      <c r="E379" s="244" t="s">
        <v>208</v>
      </c>
      <c r="F379" s="244" t="s">
        <v>419</v>
      </c>
      <c r="G379" s="244" t="s">
        <v>452</v>
      </c>
      <c r="H379" s="9" t="s">
        <v>613</v>
      </c>
      <c r="I379" s="9">
        <v>5</v>
      </c>
      <c r="J379" s="32">
        <v>3</v>
      </c>
      <c r="K379" s="193"/>
      <c r="M379" t="s">
        <v>47</v>
      </c>
      <c r="N379" t="s">
        <v>208</v>
      </c>
      <c r="O379" s="50" t="str">
        <f t="shared" si="27"/>
        <v>GOLD RIVER_Pink</v>
      </c>
      <c r="S379">
        <v>0</v>
      </c>
      <c r="T379">
        <v>0</v>
      </c>
      <c r="W379">
        <v>0</v>
      </c>
      <c r="X379" s="384"/>
      <c r="Y379" s="403">
        <v>10</v>
      </c>
      <c r="Z379" s="32">
        <v>3</v>
      </c>
      <c r="AA379" s="410">
        <f t="shared" si="26"/>
        <v>4.333333333333333</v>
      </c>
      <c r="AB379" s="411">
        <f t="shared" si="28"/>
        <v>2.6</v>
      </c>
      <c r="AC379">
        <f t="shared" si="29"/>
        <v>2.6</v>
      </c>
    </row>
    <row r="380" spans="1:29" ht="18" x14ac:dyDescent="0.25">
      <c r="A380">
        <v>2022</v>
      </c>
      <c r="B380" s="617">
        <v>20</v>
      </c>
      <c r="C380" s="617" t="s">
        <v>291</v>
      </c>
      <c r="D380" s="244" t="s">
        <v>17</v>
      </c>
      <c r="E380" s="244" t="s">
        <v>208</v>
      </c>
      <c r="F380" s="244" t="s">
        <v>419</v>
      </c>
      <c r="G380" s="244" t="s">
        <v>370</v>
      </c>
      <c r="H380" s="9" t="s">
        <v>615</v>
      </c>
      <c r="I380" s="9">
        <v>1</v>
      </c>
      <c r="J380" s="32">
        <v>0</v>
      </c>
      <c r="K380" s="193"/>
      <c r="M380" t="s">
        <v>17</v>
      </c>
      <c r="N380" t="s">
        <v>208</v>
      </c>
      <c r="O380" s="50" t="str">
        <f t="shared" si="27"/>
        <v>GORDON RIVER_Pink</v>
      </c>
      <c r="Q380">
        <v>0</v>
      </c>
      <c r="R380">
        <v>0</v>
      </c>
      <c r="W380">
        <v>0</v>
      </c>
      <c r="X380" s="384"/>
      <c r="Y380" s="403"/>
      <c r="Z380" s="32">
        <v>0</v>
      </c>
      <c r="AA380" s="410">
        <f t="shared" si="26"/>
        <v>0</v>
      </c>
      <c r="AB380" s="411">
        <f t="shared" si="28"/>
        <v>0</v>
      </c>
      <c r="AC380">
        <f t="shared" si="29"/>
        <v>0</v>
      </c>
    </row>
    <row r="381" spans="1:29" ht="15" x14ac:dyDescent="0.25">
      <c r="A381">
        <v>2022</v>
      </c>
      <c r="B381" s="617">
        <v>20</v>
      </c>
      <c r="C381" s="617" t="s">
        <v>291</v>
      </c>
      <c r="D381" s="244" t="s">
        <v>18</v>
      </c>
      <c r="E381" s="244" t="s">
        <v>208</v>
      </c>
      <c r="F381" s="244" t="s">
        <v>419</v>
      </c>
      <c r="G381" s="244" t="s">
        <v>370</v>
      </c>
      <c r="H381" s="9" t="s">
        <v>616</v>
      </c>
      <c r="I381" s="9">
        <v>1</v>
      </c>
      <c r="J381" s="32">
        <v>0</v>
      </c>
      <c r="K381" s="193"/>
      <c r="M381" t="s">
        <v>18</v>
      </c>
      <c r="N381" t="s">
        <v>208</v>
      </c>
      <c r="O381" s="50" t="str">
        <f t="shared" si="27"/>
        <v>HARRIS CREEK_Pink</v>
      </c>
      <c r="S381">
        <v>2</v>
      </c>
      <c r="X381" s="384"/>
      <c r="Y381" s="403"/>
      <c r="Z381" s="32">
        <v>0</v>
      </c>
      <c r="AA381" s="410">
        <f t="shared" si="26"/>
        <v>0</v>
      </c>
      <c r="AB381" s="411">
        <f t="shared" si="28"/>
        <v>1</v>
      </c>
      <c r="AC381">
        <f t="shared" si="29"/>
        <v>1</v>
      </c>
    </row>
    <row r="382" spans="1:29" ht="15" x14ac:dyDescent="0.25">
      <c r="A382">
        <v>2022</v>
      </c>
      <c r="B382" s="617"/>
      <c r="C382" s="617"/>
      <c r="D382" s="244"/>
      <c r="E382" s="244"/>
      <c r="F382" s="244"/>
      <c r="G382" s="244"/>
      <c r="H382" s="9"/>
      <c r="I382" s="9"/>
      <c r="J382" s="32"/>
      <c r="K382" s="193"/>
      <c r="M382" t="s">
        <v>539</v>
      </c>
      <c r="N382" t="s">
        <v>208</v>
      </c>
      <c r="O382" s="50" t="str">
        <f t="shared" si="27"/>
        <v>HESQUIAT HARBOUR #2 CREEKS_Pink</v>
      </c>
      <c r="V382">
        <v>0</v>
      </c>
      <c r="X382" s="384"/>
      <c r="Y382" s="403"/>
      <c r="Z382" s="32"/>
      <c r="AB382" s="411">
        <f t="shared" si="28"/>
        <v>0</v>
      </c>
      <c r="AC382">
        <f t="shared" si="29"/>
        <v>0</v>
      </c>
    </row>
    <row r="383" spans="1:29" ht="15" x14ac:dyDescent="0.25">
      <c r="A383">
        <v>2022</v>
      </c>
      <c r="B383" s="617"/>
      <c r="C383" s="617"/>
      <c r="D383" s="244"/>
      <c r="E383" s="244"/>
      <c r="F383" s="244"/>
      <c r="G383" s="244"/>
      <c r="H383" s="9"/>
      <c r="I383" s="9"/>
      <c r="J383" s="32"/>
      <c r="K383" s="193"/>
      <c r="M383" t="s">
        <v>542</v>
      </c>
      <c r="N383" t="s">
        <v>208</v>
      </c>
      <c r="O383" s="50" t="str">
        <f t="shared" si="27"/>
        <v>HESQUIAT LAKE CREEK_Pink</v>
      </c>
      <c r="V383">
        <v>0</v>
      </c>
      <c r="X383" s="384"/>
      <c r="Y383" s="403"/>
      <c r="Z383" s="32"/>
      <c r="AB383" s="411">
        <f t="shared" si="28"/>
        <v>0</v>
      </c>
      <c r="AC383">
        <f t="shared" si="29"/>
        <v>0</v>
      </c>
    </row>
    <row r="384" spans="1:29" ht="15" x14ac:dyDescent="0.25">
      <c r="A384">
        <v>2022</v>
      </c>
      <c r="B384" s="617">
        <v>26</v>
      </c>
      <c r="C384" s="617" t="s">
        <v>301</v>
      </c>
      <c r="D384" s="244" t="s">
        <v>62</v>
      </c>
      <c r="E384" s="244" t="s">
        <v>208</v>
      </c>
      <c r="F384" s="244" t="s">
        <v>419</v>
      </c>
      <c r="G384" s="244" t="s">
        <v>292</v>
      </c>
      <c r="H384" s="9" t="s">
        <v>616</v>
      </c>
      <c r="I384" s="9">
        <v>7</v>
      </c>
      <c r="J384" s="32">
        <v>0</v>
      </c>
      <c r="K384" s="193"/>
      <c r="M384" t="s">
        <v>62</v>
      </c>
      <c r="N384" t="s">
        <v>208</v>
      </c>
      <c r="O384" s="50" t="str">
        <f t="shared" si="27"/>
        <v>KAOUK RIVER_Pink</v>
      </c>
      <c r="P384">
        <v>0</v>
      </c>
      <c r="Q384">
        <v>5</v>
      </c>
      <c r="R384">
        <v>0</v>
      </c>
      <c r="S384">
        <v>9</v>
      </c>
      <c r="T384">
        <v>1</v>
      </c>
      <c r="U384">
        <v>1</v>
      </c>
      <c r="V384">
        <v>0</v>
      </c>
      <c r="W384">
        <v>3</v>
      </c>
      <c r="X384" s="384">
        <v>5</v>
      </c>
      <c r="Y384" s="403">
        <v>0</v>
      </c>
      <c r="Z384" s="32">
        <v>0</v>
      </c>
      <c r="AA384" s="410">
        <f t="shared" si="26"/>
        <v>2</v>
      </c>
      <c r="AB384" s="411">
        <f t="shared" si="28"/>
        <v>2.375</v>
      </c>
      <c r="AC384">
        <f t="shared" si="29"/>
        <v>2.1818181818181817</v>
      </c>
    </row>
    <row r="385" spans="1:29" ht="15" x14ac:dyDescent="0.25">
      <c r="A385">
        <v>2022</v>
      </c>
      <c r="B385" s="617"/>
      <c r="C385" s="617"/>
      <c r="D385" s="244"/>
      <c r="E385" s="244"/>
      <c r="F385" s="244"/>
      <c r="G385" s="244"/>
      <c r="H385" s="9"/>
      <c r="I385" s="9"/>
      <c r="J385" s="32"/>
      <c r="K385" s="193"/>
      <c r="M385" t="s">
        <v>63</v>
      </c>
      <c r="N385" t="s">
        <v>208</v>
      </c>
      <c r="O385" s="50" t="str">
        <f t="shared" si="27"/>
        <v>KASHUTL RIVER_Pink</v>
      </c>
      <c r="S385">
        <v>1</v>
      </c>
      <c r="W385">
        <v>0</v>
      </c>
      <c r="X385" s="384"/>
      <c r="Y385" s="403"/>
      <c r="Z385" s="32"/>
      <c r="AA385" s="410">
        <f t="shared" si="26"/>
        <v>0</v>
      </c>
      <c r="AB385" s="411">
        <f t="shared" si="28"/>
        <v>0.5</v>
      </c>
      <c r="AC385">
        <f t="shared" si="29"/>
        <v>0.5</v>
      </c>
    </row>
    <row r="386" spans="1:29" ht="15" x14ac:dyDescent="0.25">
      <c r="A386">
        <v>2022</v>
      </c>
      <c r="B386" s="617"/>
      <c r="C386" s="617"/>
      <c r="D386" s="244"/>
      <c r="E386" s="244"/>
      <c r="F386" s="244"/>
      <c r="G386" s="244"/>
      <c r="H386" s="9"/>
      <c r="I386" s="9"/>
      <c r="J386" s="32"/>
      <c r="K386" s="193"/>
      <c r="M386" s="67" t="s">
        <v>64</v>
      </c>
      <c r="N386" t="s">
        <v>208</v>
      </c>
      <c r="O386" s="50" t="str">
        <f t="shared" si="27"/>
        <v>KAUWINCH RIVER_Pink</v>
      </c>
      <c r="S386">
        <v>12</v>
      </c>
      <c r="V386">
        <v>0</v>
      </c>
      <c r="X386" s="384"/>
      <c r="Y386" s="403">
        <v>0</v>
      </c>
      <c r="Z386" s="32"/>
      <c r="AA386" s="410">
        <f t="shared" si="26"/>
        <v>0</v>
      </c>
      <c r="AB386" s="411">
        <f t="shared" si="28"/>
        <v>4</v>
      </c>
      <c r="AC386">
        <f t="shared" si="29"/>
        <v>4</v>
      </c>
    </row>
    <row r="387" spans="1:29" ht="15" x14ac:dyDescent="0.25">
      <c r="A387">
        <v>2022</v>
      </c>
      <c r="B387" s="617"/>
      <c r="C387" s="617"/>
      <c r="D387" s="244"/>
      <c r="E387" s="244"/>
      <c r="F387" s="244"/>
      <c r="G387" s="244"/>
      <c r="H387" s="9"/>
      <c r="I387" s="9"/>
      <c r="J387" s="32"/>
      <c r="K387" s="193"/>
      <c r="M387" t="s">
        <v>124</v>
      </c>
      <c r="N387" t="s">
        <v>208</v>
      </c>
      <c r="O387" s="50" t="str">
        <f t="shared" si="27"/>
        <v>KENNEDY LAKE FEEDER STREAMS_Pink</v>
      </c>
      <c r="V387">
        <v>0</v>
      </c>
      <c r="X387" s="384"/>
      <c r="Y387" s="403">
        <v>0</v>
      </c>
      <c r="Z387" s="32"/>
      <c r="AA387" s="410">
        <f t="shared" si="26"/>
        <v>0</v>
      </c>
      <c r="AB387" s="411">
        <f t="shared" si="28"/>
        <v>0</v>
      </c>
      <c r="AC387">
        <f t="shared" si="29"/>
        <v>0</v>
      </c>
    </row>
    <row r="388" spans="1:29" ht="15" x14ac:dyDescent="0.25">
      <c r="A388">
        <v>2022</v>
      </c>
      <c r="B388" s="617"/>
      <c r="C388" s="617"/>
      <c r="D388" s="244"/>
      <c r="E388" s="244"/>
      <c r="F388" s="244"/>
      <c r="G388" s="244"/>
      <c r="H388" s="9"/>
      <c r="I388" s="9"/>
      <c r="J388" s="32"/>
      <c r="K388" s="193"/>
      <c r="M388" s="359" t="s">
        <v>40</v>
      </c>
      <c r="N388" t="s">
        <v>208</v>
      </c>
      <c r="O388" s="50" t="str">
        <f t="shared" si="27"/>
        <v>KENNEDY RIVER (UPPER)_Pink</v>
      </c>
      <c r="V388">
        <v>0</v>
      </c>
      <c r="W388">
        <v>1</v>
      </c>
      <c r="X388" s="384"/>
      <c r="Y388" s="403">
        <v>0</v>
      </c>
      <c r="Z388" s="32"/>
      <c r="AA388" s="410">
        <f t="shared" si="26"/>
        <v>0.5</v>
      </c>
      <c r="AB388" s="411">
        <f t="shared" si="28"/>
        <v>0.33333333333333331</v>
      </c>
      <c r="AC388">
        <f t="shared" si="29"/>
        <v>0.33333333333333331</v>
      </c>
    </row>
    <row r="389" spans="1:29" ht="18" x14ac:dyDescent="0.25">
      <c r="A389">
        <v>2022</v>
      </c>
      <c r="B389" s="617">
        <v>25</v>
      </c>
      <c r="C389" s="618" t="s">
        <v>299</v>
      </c>
      <c r="D389" s="244" t="s">
        <v>48</v>
      </c>
      <c r="E389" s="244" t="s">
        <v>208</v>
      </c>
      <c r="F389" s="244" t="s">
        <v>419</v>
      </c>
      <c r="G389" s="244" t="s">
        <v>495</v>
      </c>
      <c r="H389" s="9" t="s">
        <v>615</v>
      </c>
      <c r="I389" s="9">
        <v>5</v>
      </c>
      <c r="J389" s="32">
        <v>2</v>
      </c>
      <c r="K389" s="193"/>
      <c r="M389" t="s">
        <v>48</v>
      </c>
      <c r="N389" t="s">
        <v>208</v>
      </c>
      <c r="O389" s="50" t="str">
        <f t="shared" si="27"/>
        <v>LEINER RIVER_Pink</v>
      </c>
      <c r="P389">
        <v>5</v>
      </c>
      <c r="Q389">
        <v>4</v>
      </c>
      <c r="R389">
        <v>4</v>
      </c>
      <c r="S389">
        <v>5</v>
      </c>
      <c r="T389">
        <v>1</v>
      </c>
      <c r="U389">
        <v>4</v>
      </c>
      <c r="V389">
        <v>0</v>
      </c>
      <c r="W389">
        <v>1</v>
      </c>
      <c r="X389" s="384">
        <v>3</v>
      </c>
      <c r="Y389" s="403">
        <v>5</v>
      </c>
      <c r="Z389" s="32">
        <v>2</v>
      </c>
      <c r="AA389" s="410">
        <f t="shared" si="26"/>
        <v>2.75</v>
      </c>
      <c r="AB389" s="411">
        <f t="shared" si="28"/>
        <v>2.625</v>
      </c>
      <c r="AC389">
        <f t="shared" si="29"/>
        <v>3.0909090909090908</v>
      </c>
    </row>
    <row r="390" spans="1:29" ht="15" x14ac:dyDescent="0.25">
      <c r="A390">
        <v>2022</v>
      </c>
      <c r="B390" s="617"/>
      <c r="C390" s="618"/>
      <c r="D390" s="244"/>
      <c r="E390" s="244"/>
      <c r="F390" s="244"/>
      <c r="G390" s="244"/>
      <c r="H390" s="9"/>
      <c r="I390" s="9"/>
      <c r="J390" s="32"/>
      <c r="K390" s="193"/>
      <c r="M390" t="s">
        <v>143</v>
      </c>
      <c r="N390" t="s">
        <v>208</v>
      </c>
      <c r="O390" s="50" t="str">
        <f t="shared" si="27"/>
        <v>LITTLE ZEBALLOS RIVER_Pink</v>
      </c>
      <c r="Q390">
        <v>1</v>
      </c>
      <c r="S390">
        <v>2</v>
      </c>
      <c r="X390" s="384"/>
      <c r="Y390" s="403"/>
      <c r="Z390" s="32"/>
      <c r="AB390" s="411">
        <f t="shared" si="28"/>
        <v>2</v>
      </c>
      <c r="AC390">
        <f t="shared" si="29"/>
        <v>1.5</v>
      </c>
    </row>
    <row r="391" spans="1:29" ht="15" x14ac:dyDescent="0.25">
      <c r="A391">
        <v>2022</v>
      </c>
      <c r="B391" s="617"/>
      <c r="C391" s="618"/>
      <c r="D391" s="244"/>
      <c r="E391" s="244"/>
      <c r="F391" s="244"/>
      <c r="G391" s="244"/>
      <c r="H391" s="9"/>
      <c r="I391" s="9"/>
      <c r="J391" s="32"/>
      <c r="K391" s="193"/>
      <c r="M391" t="s">
        <v>194</v>
      </c>
      <c r="N391" t="s">
        <v>208</v>
      </c>
      <c r="O391" s="50" t="str">
        <f t="shared" si="27"/>
        <v>LOST SHOE CREEK_Pink</v>
      </c>
      <c r="V391">
        <v>0</v>
      </c>
      <c r="X391" s="384"/>
      <c r="Y391" s="403"/>
      <c r="Z391" s="32"/>
      <c r="AB391" s="411">
        <f t="shared" si="28"/>
        <v>0</v>
      </c>
      <c r="AC391">
        <f t="shared" si="29"/>
        <v>0</v>
      </c>
    </row>
    <row r="392" spans="1:29" ht="15" x14ac:dyDescent="0.25">
      <c r="A392">
        <v>2022</v>
      </c>
      <c r="B392" s="617"/>
      <c r="C392" s="617"/>
      <c r="D392" s="244"/>
      <c r="E392" s="244"/>
      <c r="F392" s="244"/>
      <c r="G392" s="244"/>
      <c r="H392" s="9"/>
      <c r="I392" s="9"/>
      <c r="J392" s="32"/>
      <c r="K392" s="193"/>
      <c r="M392" t="s">
        <v>181</v>
      </c>
      <c r="N392" t="s">
        <v>208</v>
      </c>
      <c r="O392" s="50" t="str">
        <f t="shared" si="27"/>
        <v>MAGGIE RIVER_Pink</v>
      </c>
      <c r="W392">
        <v>0</v>
      </c>
      <c r="X392" s="384"/>
      <c r="Y392" s="403"/>
      <c r="Z392" s="32"/>
      <c r="AA392" s="410">
        <f t="shared" si="26"/>
        <v>0</v>
      </c>
      <c r="AB392" s="411">
        <f t="shared" si="28"/>
        <v>0</v>
      </c>
      <c r="AC392">
        <f t="shared" si="29"/>
        <v>0</v>
      </c>
    </row>
    <row r="393" spans="1:29" ht="15" x14ac:dyDescent="0.25">
      <c r="A393">
        <v>2022</v>
      </c>
      <c r="B393" s="617">
        <v>26</v>
      </c>
      <c r="C393" s="617" t="s">
        <v>301</v>
      </c>
      <c r="D393" s="244" t="s">
        <v>205</v>
      </c>
      <c r="E393" s="244" t="s">
        <v>208</v>
      </c>
      <c r="F393" s="244" t="s">
        <v>419</v>
      </c>
      <c r="G393" s="244" t="s">
        <v>292</v>
      </c>
      <c r="H393" s="9" t="s">
        <v>616</v>
      </c>
      <c r="I393" s="9">
        <v>6</v>
      </c>
      <c r="J393" s="32">
        <v>0</v>
      </c>
      <c r="K393" s="193"/>
      <c r="M393" t="s">
        <v>205</v>
      </c>
      <c r="N393" t="s">
        <v>208</v>
      </c>
      <c r="O393" s="50" t="str">
        <f t="shared" si="27"/>
        <v>MALKSOPE RIVER_Pink</v>
      </c>
      <c r="P393">
        <v>3</v>
      </c>
      <c r="S393">
        <v>4</v>
      </c>
      <c r="T393">
        <v>1</v>
      </c>
      <c r="V393">
        <v>0</v>
      </c>
      <c r="X393" s="384">
        <v>1</v>
      </c>
      <c r="Y393" s="403">
        <v>0</v>
      </c>
      <c r="Z393" s="32">
        <v>0</v>
      </c>
      <c r="AA393" s="410">
        <f t="shared" si="26"/>
        <v>0.33333333333333331</v>
      </c>
      <c r="AB393" s="411">
        <f t="shared" si="28"/>
        <v>1</v>
      </c>
      <c r="AC393">
        <f t="shared" si="29"/>
        <v>1.2857142857142858</v>
      </c>
    </row>
    <row r="394" spans="1:29" ht="15" x14ac:dyDescent="0.25">
      <c r="A394">
        <v>2022</v>
      </c>
      <c r="B394" s="617">
        <v>27</v>
      </c>
      <c r="C394" s="617" t="s">
        <v>302</v>
      </c>
      <c r="D394" s="244" t="s">
        <v>70</v>
      </c>
      <c r="E394" s="244" t="s">
        <v>208</v>
      </c>
      <c r="F394" s="244" t="s">
        <v>419</v>
      </c>
      <c r="G394" s="244" t="s">
        <v>628</v>
      </c>
      <c r="H394" s="9" t="s">
        <v>617</v>
      </c>
      <c r="I394" s="9">
        <v>5</v>
      </c>
      <c r="J394" s="32">
        <v>0</v>
      </c>
      <c r="K394" s="193"/>
      <c r="M394" t="s">
        <v>70</v>
      </c>
      <c r="N394" t="s">
        <v>208</v>
      </c>
      <c r="O394" s="50" t="str">
        <f t="shared" si="27"/>
        <v>MARBLE RIVER_Pink</v>
      </c>
      <c r="P394">
        <v>0</v>
      </c>
      <c r="Q394">
        <v>5</v>
      </c>
      <c r="R394">
        <v>1</v>
      </c>
      <c r="S394">
        <v>0</v>
      </c>
      <c r="T394">
        <v>0</v>
      </c>
      <c r="U394">
        <v>1</v>
      </c>
      <c r="V394">
        <v>0</v>
      </c>
      <c r="W394">
        <v>0</v>
      </c>
      <c r="X394" s="384">
        <v>0</v>
      </c>
      <c r="Y394" s="403">
        <v>0</v>
      </c>
      <c r="Z394" s="32">
        <v>0</v>
      </c>
      <c r="AA394" s="410">
        <f t="shared" ref="AA394:AA457" si="31">AVERAGE(W394:Z394)</f>
        <v>0</v>
      </c>
      <c r="AB394" s="411">
        <f t="shared" si="28"/>
        <v>0.125</v>
      </c>
      <c r="AC394">
        <f t="shared" si="29"/>
        <v>0.63636363636363635</v>
      </c>
    </row>
    <row r="395" spans="1:29" ht="15" x14ac:dyDescent="0.25">
      <c r="A395">
        <v>2022</v>
      </c>
      <c r="B395" s="617">
        <v>24</v>
      </c>
      <c r="C395" s="617" t="s">
        <v>297</v>
      </c>
      <c r="D395" s="244" t="s">
        <v>41</v>
      </c>
      <c r="E395" s="244" t="s">
        <v>208</v>
      </c>
      <c r="F395" s="244" t="s">
        <v>419</v>
      </c>
      <c r="G395" s="244" t="s">
        <v>497</v>
      </c>
      <c r="H395" s="9" t="s">
        <v>616</v>
      </c>
      <c r="I395" s="9">
        <v>3</v>
      </c>
      <c r="J395" s="32">
        <v>0</v>
      </c>
      <c r="K395" s="193"/>
      <c r="M395" t="s">
        <v>41</v>
      </c>
      <c r="N395" t="s">
        <v>208</v>
      </c>
      <c r="O395" s="50" t="str">
        <f t="shared" si="27"/>
        <v>MEGIN RIVER_Pink</v>
      </c>
      <c r="P395">
        <v>1</v>
      </c>
      <c r="Q395">
        <v>40</v>
      </c>
      <c r="R395">
        <v>0</v>
      </c>
      <c r="S395">
        <v>29</v>
      </c>
      <c r="T395">
        <v>0</v>
      </c>
      <c r="U395">
        <v>4</v>
      </c>
      <c r="V395">
        <v>0</v>
      </c>
      <c r="W395">
        <v>0</v>
      </c>
      <c r="X395" s="384">
        <v>0</v>
      </c>
      <c r="Y395" s="403">
        <v>1</v>
      </c>
      <c r="Z395" s="32">
        <v>0</v>
      </c>
      <c r="AA395" s="410">
        <f t="shared" si="31"/>
        <v>0.25</v>
      </c>
      <c r="AB395" s="411">
        <f t="shared" si="28"/>
        <v>4.25</v>
      </c>
      <c r="AC395">
        <f t="shared" si="29"/>
        <v>6.8181818181818183</v>
      </c>
    </row>
    <row r="396" spans="1:29" ht="15" x14ac:dyDescent="0.25">
      <c r="A396">
        <v>2022</v>
      </c>
      <c r="B396" s="617">
        <v>24</v>
      </c>
      <c r="C396" s="617" t="s">
        <v>297</v>
      </c>
      <c r="D396" s="244" t="s">
        <v>42</v>
      </c>
      <c r="E396" s="244" t="s">
        <v>208</v>
      </c>
      <c r="F396" s="244" t="s">
        <v>419</v>
      </c>
      <c r="G396" s="244" t="s">
        <v>497</v>
      </c>
      <c r="H396" s="9" t="s">
        <v>616</v>
      </c>
      <c r="I396" s="9">
        <v>4</v>
      </c>
      <c r="J396" s="32">
        <v>4</v>
      </c>
      <c r="K396" s="193"/>
      <c r="M396" t="s">
        <v>42</v>
      </c>
      <c r="N396" t="s">
        <v>208</v>
      </c>
      <c r="O396" s="50" t="str">
        <f t="shared" ref="O396:O459" si="32">CONCATENATE(M396,"_",N396)</f>
        <v>MOYEHA RIVER_Pink</v>
      </c>
      <c r="Q396">
        <v>0</v>
      </c>
      <c r="R396">
        <v>0</v>
      </c>
      <c r="T396">
        <v>1</v>
      </c>
      <c r="U396">
        <v>15</v>
      </c>
      <c r="V396">
        <v>3</v>
      </c>
      <c r="W396">
        <v>0</v>
      </c>
      <c r="X396" s="384">
        <v>0</v>
      </c>
      <c r="Y396" s="403">
        <v>3</v>
      </c>
      <c r="Z396" s="32">
        <v>4</v>
      </c>
      <c r="AA396" s="410">
        <f t="shared" si="31"/>
        <v>1.75</v>
      </c>
      <c r="AB396" s="411">
        <f t="shared" si="28"/>
        <v>3.7142857142857144</v>
      </c>
      <c r="AC396">
        <f t="shared" si="29"/>
        <v>2.8888888888888888</v>
      </c>
    </row>
    <row r="397" spans="1:29" ht="15" x14ac:dyDescent="0.25">
      <c r="A397">
        <v>2022</v>
      </c>
      <c r="B397" s="617"/>
      <c r="C397" s="617"/>
      <c r="D397" s="244"/>
      <c r="E397" s="244"/>
      <c r="F397" s="244"/>
      <c r="G397" s="244"/>
      <c r="H397" s="9"/>
      <c r="I397" s="9"/>
      <c r="J397" s="32"/>
      <c r="K397" s="193"/>
      <c r="M397" t="s">
        <v>548</v>
      </c>
      <c r="N397" t="s">
        <v>208</v>
      </c>
      <c r="O397" s="50" t="str">
        <f t="shared" si="32"/>
        <v>MURIEL LAKE CREEK_Pink</v>
      </c>
      <c r="V397">
        <v>0</v>
      </c>
      <c r="X397" s="384">
        <v>0</v>
      </c>
      <c r="Y397" s="403">
        <v>0</v>
      </c>
      <c r="Z397" s="32"/>
      <c r="AA397" s="410">
        <f t="shared" si="31"/>
        <v>0</v>
      </c>
      <c r="AB397" s="411">
        <f t="shared" si="28"/>
        <v>0</v>
      </c>
      <c r="AC397">
        <f t="shared" si="29"/>
        <v>0</v>
      </c>
    </row>
    <row r="398" spans="1:29" ht="15" x14ac:dyDescent="0.25">
      <c r="A398">
        <v>2022</v>
      </c>
      <c r="B398" s="617">
        <v>23</v>
      </c>
      <c r="C398" s="617" t="s">
        <v>355</v>
      </c>
      <c r="D398" s="244" t="s">
        <v>32</v>
      </c>
      <c r="E398" s="244" t="s">
        <v>208</v>
      </c>
      <c r="F398" s="244" t="s">
        <v>419</v>
      </c>
      <c r="G398" s="244" t="s">
        <v>626</v>
      </c>
      <c r="H398" s="9" t="s">
        <v>616</v>
      </c>
      <c r="I398" s="9">
        <v>7</v>
      </c>
      <c r="J398" s="32">
        <v>0</v>
      </c>
      <c r="K398" s="193"/>
      <c r="M398" t="s">
        <v>32</v>
      </c>
      <c r="N398" t="s">
        <v>208</v>
      </c>
      <c r="O398" s="50" t="str">
        <f t="shared" si="32"/>
        <v>NAHMINT RIVER_Pink</v>
      </c>
      <c r="P398">
        <v>0</v>
      </c>
      <c r="Q398">
        <v>1</v>
      </c>
      <c r="R398">
        <v>1</v>
      </c>
      <c r="S398">
        <v>3</v>
      </c>
      <c r="T398">
        <v>1</v>
      </c>
      <c r="U398">
        <v>10</v>
      </c>
      <c r="V398">
        <v>0</v>
      </c>
      <c r="W398">
        <v>2</v>
      </c>
      <c r="X398" s="384">
        <v>0</v>
      </c>
      <c r="Y398" s="403">
        <v>0</v>
      </c>
      <c r="Z398" s="32">
        <v>0</v>
      </c>
      <c r="AA398" s="410">
        <f t="shared" si="31"/>
        <v>0.5</v>
      </c>
      <c r="AB398" s="411">
        <f t="shared" si="28"/>
        <v>2</v>
      </c>
      <c r="AC398">
        <f t="shared" si="29"/>
        <v>1.6363636363636365</v>
      </c>
    </row>
    <row r="399" spans="1:29" ht="18" x14ac:dyDescent="0.25">
      <c r="A399">
        <v>2022</v>
      </c>
      <c r="B399" s="617">
        <v>22</v>
      </c>
      <c r="C399" s="617" t="s">
        <v>304</v>
      </c>
      <c r="D399" s="244" t="s">
        <v>26</v>
      </c>
      <c r="E399" s="244" t="s">
        <v>208</v>
      </c>
      <c r="F399" s="244" t="s">
        <v>419</v>
      </c>
      <c r="G399" s="244" t="s">
        <v>494</v>
      </c>
      <c r="H399" s="9" t="s">
        <v>615</v>
      </c>
      <c r="I399" s="9">
        <v>6</v>
      </c>
      <c r="J399" s="32">
        <v>3</v>
      </c>
      <c r="K399" s="193"/>
      <c r="M399" t="s">
        <v>26</v>
      </c>
      <c r="N399" t="s">
        <v>208</v>
      </c>
      <c r="O399" s="50" t="str">
        <f t="shared" si="32"/>
        <v>NITINAT RIVER_Pink</v>
      </c>
      <c r="P399">
        <v>0</v>
      </c>
      <c r="R399">
        <v>0</v>
      </c>
      <c r="S399">
        <v>53</v>
      </c>
      <c r="T399">
        <v>1</v>
      </c>
      <c r="U399">
        <v>0</v>
      </c>
      <c r="V399">
        <v>0</v>
      </c>
      <c r="W399">
        <v>1</v>
      </c>
      <c r="X399" s="384">
        <v>0</v>
      </c>
      <c r="Y399" s="403">
        <v>15</v>
      </c>
      <c r="Z399" s="32">
        <v>3</v>
      </c>
      <c r="AA399" s="410">
        <f t="shared" si="31"/>
        <v>4.75</v>
      </c>
      <c r="AB399" s="411">
        <f t="shared" si="28"/>
        <v>9.125</v>
      </c>
      <c r="AC399">
        <f t="shared" si="29"/>
        <v>7.3</v>
      </c>
    </row>
    <row r="400" spans="1:29" ht="15" x14ac:dyDescent="0.25">
      <c r="A400">
        <v>2022</v>
      </c>
      <c r="B400" s="617"/>
      <c r="C400" s="617"/>
      <c r="D400" s="244"/>
      <c r="E400" s="244"/>
      <c r="F400" s="244"/>
      <c r="G400" s="244"/>
      <c r="H400" s="9"/>
      <c r="I400" s="9"/>
      <c r="J400" s="32"/>
      <c r="K400" s="193"/>
      <c r="M400" t="s">
        <v>549</v>
      </c>
      <c r="N400" t="s">
        <v>208</v>
      </c>
      <c r="O400" s="50" t="str">
        <f t="shared" si="32"/>
        <v>POWER RIVER_Pink</v>
      </c>
      <c r="W400">
        <v>0</v>
      </c>
      <c r="X400" s="384"/>
      <c r="Y400" s="403"/>
      <c r="Z400" s="32"/>
      <c r="AA400" s="410">
        <f t="shared" si="31"/>
        <v>0</v>
      </c>
      <c r="AB400" s="411">
        <f t="shared" si="28"/>
        <v>0</v>
      </c>
      <c r="AC400">
        <f t="shared" si="29"/>
        <v>0</v>
      </c>
    </row>
    <row r="401" spans="1:29" ht="18" x14ac:dyDescent="0.25">
      <c r="A401">
        <v>2022</v>
      </c>
      <c r="B401" s="617">
        <v>20</v>
      </c>
      <c r="C401" s="617" t="s">
        <v>291</v>
      </c>
      <c r="D401" s="244" t="s">
        <v>74</v>
      </c>
      <c r="E401" s="244" t="s">
        <v>208</v>
      </c>
      <c r="F401" s="244" t="s">
        <v>419</v>
      </c>
      <c r="G401" s="244" t="s">
        <v>370</v>
      </c>
      <c r="H401" s="9" t="s">
        <v>615</v>
      </c>
      <c r="I401" s="9">
        <v>1</v>
      </c>
      <c r="J401" s="32">
        <v>0</v>
      </c>
      <c r="K401" s="193"/>
      <c r="M401" t="s">
        <v>74</v>
      </c>
      <c r="N401" t="s">
        <v>208</v>
      </c>
      <c r="O401" s="50" t="str">
        <f t="shared" si="32"/>
        <v>RENFREW CREEK_Pink</v>
      </c>
      <c r="U401">
        <v>1</v>
      </c>
      <c r="X401" s="384"/>
      <c r="Y401" s="403"/>
      <c r="Z401" s="32">
        <v>0</v>
      </c>
      <c r="AA401" s="410">
        <f t="shared" si="31"/>
        <v>0</v>
      </c>
      <c r="AB401" s="411">
        <f t="shared" si="28"/>
        <v>0.5</v>
      </c>
      <c r="AC401">
        <f t="shared" si="29"/>
        <v>0.5</v>
      </c>
    </row>
    <row r="402" spans="1:29" ht="15" x14ac:dyDescent="0.25">
      <c r="A402">
        <v>2022</v>
      </c>
      <c r="B402" s="617">
        <v>20</v>
      </c>
      <c r="C402" s="617" t="s">
        <v>291</v>
      </c>
      <c r="D402" s="244" t="s">
        <v>22</v>
      </c>
      <c r="E402" s="244" t="s">
        <v>208</v>
      </c>
      <c r="F402" s="244" t="s">
        <v>420</v>
      </c>
      <c r="G402" s="244" t="s">
        <v>530</v>
      </c>
      <c r="H402" s="9" t="s">
        <v>617</v>
      </c>
      <c r="I402" s="9">
        <v>2</v>
      </c>
      <c r="J402" s="32">
        <v>0</v>
      </c>
      <c r="K402" s="193"/>
      <c r="M402" t="s">
        <v>22</v>
      </c>
      <c r="N402" t="s">
        <v>208</v>
      </c>
      <c r="O402" s="50" t="str">
        <f t="shared" si="32"/>
        <v>SAN JUAN RIVER_Pink</v>
      </c>
      <c r="P402">
        <v>14</v>
      </c>
      <c r="Q402">
        <v>2</v>
      </c>
      <c r="R402">
        <v>8</v>
      </c>
      <c r="S402">
        <v>172</v>
      </c>
      <c r="T402">
        <v>1</v>
      </c>
      <c r="U402">
        <v>12</v>
      </c>
      <c r="V402">
        <v>2</v>
      </c>
      <c r="W402">
        <v>0</v>
      </c>
      <c r="X402" s="384"/>
      <c r="Y402" s="403">
        <v>0</v>
      </c>
      <c r="Z402" s="32">
        <v>0</v>
      </c>
      <c r="AA402" s="410">
        <f t="shared" si="31"/>
        <v>0</v>
      </c>
      <c r="AB402" s="411">
        <f t="shared" si="28"/>
        <v>26.714285714285715</v>
      </c>
      <c r="AC402">
        <f t="shared" si="29"/>
        <v>21.1</v>
      </c>
    </row>
    <row r="403" spans="1:29" ht="15" x14ac:dyDescent="0.25">
      <c r="A403">
        <v>2022</v>
      </c>
      <c r="B403" s="617"/>
      <c r="C403" s="617"/>
      <c r="D403" s="244"/>
      <c r="E403" s="244"/>
      <c r="F403" s="244"/>
      <c r="G403" s="244"/>
      <c r="H403" s="9"/>
      <c r="I403" s="9"/>
      <c r="J403" s="32"/>
      <c r="K403" s="193"/>
      <c r="M403" t="s">
        <v>128</v>
      </c>
      <c r="N403" t="s">
        <v>208</v>
      </c>
      <c r="O403" s="50" t="str">
        <f t="shared" si="32"/>
        <v>SAND RIVER_Pink</v>
      </c>
      <c r="V403">
        <v>0</v>
      </c>
      <c r="X403" s="384"/>
      <c r="Y403" s="403"/>
      <c r="Z403" s="32"/>
      <c r="AB403" s="411">
        <f t="shared" si="28"/>
        <v>0</v>
      </c>
      <c r="AC403">
        <f t="shared" si="29"/>
        <v>0</v>
      </c>
    </row>
    <row r="404" spans="1:29" ht="15" x14ac:dyDescent="0.25">
      <c r="A404">
        <v>2022</v>
      </c>
      <c r="B404" s="617">
        <v>23</v>
      </c>
      <c r="C404" s="617" t="s">
        <v>293</v>
      </c>
      <c r="D404" s="244" t="s">
        <v>33</v>
      </c>
      <c r="E404" s="244" t="s">
        <v>208</v>
      </c>
      <c r="F404" s="244" t="s">
        <v>419</v>
      </c>
      <c r="G404" s="244" t="s">
        <v>374</v>
      </c>
      <c r="H404" s="9" t="s">
        <v>616</v>
      </c>
      <c r="I404" s="9">
        <v>10</v>
      </c>
      <c r="J404" s="32">
        <v>3</v>
      </c>
      <c r="K404" s="193"/>
      <c r="M404" t="s">
        <v>33</v>
      </c>
      <c r="N404" t="s">
        <v>208</v>
      </c>
      <c r="O404" s="50" t="str">
        <f t="shared" si="32"/>
        <v>SARITA RIVER_Pink</v>
      </c>
      <c r="P404">
        <v>10</v>
      </c>
      <c r="Q404">
        <v>2</v>
      </c>
      <c r="R404">
        <v>1</v>
      </c>
      <c r="S404">
        <v>42</v>
      </c>
      <c r="T404">
        <v>0</v>
      </c>
      <c r="U404">
        <v>0</v>
      </c>
      <c r="V404">
        <v>1</v>
      </c>
      <c r="W404">
        <v>1</v>
      </c>
      <c r="X404" s="384">
        <v>0</v>
      </c>
      <c r="Y404" s="403">
        <v>2</v>
      </c>
      <c r="Z404" s="32">
        <v>3</v>
      </c>
      <c r="AA404" s="410">
        <f t="shared" si="31"/>
        <v>1.5</v>
      </c>
      <c r="AB404" s="411">
        <f t="shared" si="28"/>
        <v>6.125</v>
      </c>
      <c r="AC404">
        <f t="shared" si="29"/>
        <v>5.6363636363636367</v>
      </c>
    </row>
    <row r="405" spans="1:29" ht="15" x14ac:dyDescent="0.25">
      <c r="A405">
        <v>2022</v>
      </c>
      <c r="B405" s="617"/>
      <c r="C405" s="617"/>
      <c r="D405" s="244"/>
      <c r="E405" s="244"/>
      <c r="F405" s="244"/>
      <c r="G405" s="244"/>
      <c r="H405" s="9"/>
      <c r="I405" s="9"/>
      <c r="J405" s="32"/>
      <c r="K405" s="193"/>
      <c r="M405" t="s">
        <v>552</v>
      </c>
      <c r="N405" t="s">
        <v>208</v>
      </c>
      <c r="O405" s="50" t="str">
        <f t="shared" si="32"/>
        <v>SATCHIE CREEK_Pink</v>
      </c>
      <c r="V405">
        <v>0</v>
      </c>
      <c r="X405" s="384"/>
      <c r="Y405" s="403"/>
      <c r="Z405" s="32"/>
      <c r="AB405" s="411">
        <f t="shared" si="28"/>
        <v>0</v>
      </c>
      <c r="AC405">
        <f t="shared" si="29"/>
        <v>0</v>
      </c>
    </row>
    <row r="406" spans="1:29" ht="15" x14ac:dyDescent="0.25">
      <c r="A406">
        <v>2022</v>
      </c>
      <c r="B406" s="617"/>
      <c r="C406" s="617"/>
      <c r="D406" s="244"/>
      <c r="E406" s="244"/>
      <c r="F406" s="244"/>
      <c r="G406" s="244"/>
      <c r="H406" s="9"/>
      <c r="I406" s="9"/>
      <c r="J406" s="32"/>
      <c r="K406" s="193"/>
      <c r="M406" t="s">
        <v>553</v>
      </c>
      <c r="N406" t="s">
        <v>208</v>
      </c>
      <c r="O406" s="50" t="str">
        <f t="shared" si="32"/>
        <v>SECHELT CREEK_Pink</v>
      </c>
      <c r="X406" s="384"/>
      <c r="Y406" s="403"/>
      <c r="Z406" s="32"/>
      <c r="AC406" t="e">
        <f t="shared" si="29"/>
        <v>#DIV/0!</v>
      </c>
    </row>
    <row r="407" spans="1:29" ht="15" x14ac:dyDescent="0.25">
      <c r="A407">
        <v>2022</v>
      </c>
      <c r="B407" s="617"/>
      <c r="C407" s="617"/>
      <c r="D407" s="244"/>
      <c r="E407" s="244"/>
      <c r="F407" s="244"/>
      <c r="G407" s="244"/>
      <c r="H407" s="9"/>
      <c r="I407" s="9"/>
      <c r="J407" s="32"/>
      <c r="K407" s="193"/>
      <c r="M407" t="s">
        <v>34</v>
      </c>
      <c r="N407" t="s">
        <v>208</v>
      </c>
      <c r="O407" s="50" t="str">
        <f t="shared" si="32"/>
        <v>SPROAT RIVER_Pink</v>
      </c>
      <c r="U407">
        <v>0</v>
      </c>
      <c r="X407" s="384"/>
      <c r="Y407" s="403"/>
      <c r="Z407" s="32"/>
      <c r="AB407" s="411">
        <f t="shared" si="28"/>
        <v>0</v>
      </c>
      <c r="AC407">
        <f t="shared" si="29"/>
        <v>0</v>
      </c>
    </row>
    <row r="408" spans="1:29" ht="15" x14ac:dyDescent="0.25">
      <c r="A408">
        <v>2022</v>
      </c>
      <c r="B408" s="617"/>
      <c r="C408" s="617"/>
      <c r="D408" s="244"/>
      <c r="E408" s="244"/>
      <c r="F408" s="244"/>
      <c r="G408" s="244"/>
      <c r="H408" s="9"/>
      <c r="I408" s="9"/>
      <c r="J408" s="32"/>
      <c r="K408" s="193"/>
      <c r="M408" t="s">
        <v>51</v>
      </c>
      <c r="N408" t="s">
        <v>208</v>
      </c>
      <c r="O408" s="50" t="str">
        <f t="shared" si="32"/>
        <v>SUCWOA RIVER_Pink</v>
      </c>
      <c r="P408">
        <v>0</v>
      </c>
      <c r="Q408">
        <v>0</v>
      </c>
      <c r="X408" s="384"/>
      <c r="Y408" s="403"/>
      <c r="Z408" s="32"/>
      <c r="AC408">
        <f t="shared" si="29"/>
        <v>0</v>
      </c>
    </row>
    <row r="409" spans="1:29" ht="15" x14ac:dyDescent="0.25">
      <c r="A409">
        <v>2022</v>
      </c>
      <c r="B409" s="617"/>
      <c r="C409" s="617"/>
      <c r="D409" s="244"/>
      <c r="E409" s="244"/>
      <c r="F409" s="244"/>
      <c r="G409" s="244"/>
      <c r="H409" s="9"/>
      <c r="I409" s="9"/>
      <c r="J409" s="32"/>
      <c r="K409" s="193"/>
      <c r="M409" t="s">
        <v>130</v>
      </c>
      <c r="N409" t="s">
        <v>208</v>
      </c>
      <c r="O409" s="50" t="str">
        <f t="shared" si="32"/>
        <v>SYDNEY RIVER_Pink</v>
      </c>
      <c r="S409">
        <v>275</v>
      </c>
      <c r="V409">
        <v>0</v>
      </c>
      <c r="X409" s="384"/>
      <c r="Y409" s="403"/>
      <c r="Z409" s="32"/>
      <c r="AB409" s="411">
        <f t="shared" si="28"/>
        <v>137.5</v>
      </c>
      <c r="AC409">
        <f t="shared" si="29"/>
        <v>137.5</v>
      </c>
    </row>
    <row r="410" spans="1:29" ht="18" x14ac:dyDescent="0.25">
      <c r="A410">
        <v>2022</v>
      </c>
      <c r="B410" s="617">
        <v>25</v>
      </c>
      <c r="C410" s="617" t="s">
        <v>299</v>
      </c>
      <c r="D410" s="244" t="s">
        <v>52</v>
      </c>
      <c r="E410" s="244" t="s">
        <v>208</v>
      </c>
      <c r="F410" s="244" t="s">
        <v>419</v>
      </c>
      <c r="G410" s="244" t="s">
        <v>495</v>
      </c>
      <c r="H410" s="9" t="s">
        <v>615</v>
      </c>
      <c r="I410" s="9">
        <v>5</v>
      </c>
      <c r="J410" s="32">
        <v>1</v>
      </c>
      <c r="K410" s="193"/>
      <c r="M410" t="s">
        <v>52</v>
      </c>
      <c r="N410" t="s">
        <v>208</v>
      </c>
      <c r="O410" s="50" t="str">
        <f t="shared" si="32"/>
        <v>TAHSIS RIVER_Pink</v>
      </c>
      <c r="P410">
        <v>0</v>
      </c>
      <c r="Q410">
        <v>2</v>
      </c>
      <c r="R410">
        <v>0</v>
      </c>
      <c r="S410">
        <v>4</v>
      </c>
      <c r="T410">
        <v>3</v>
      </c>
      <c r="U410">
        <v>2</v>
      </c>
      <c r="V410">
        <v>1</v>
      </c>
      <c r="W410">
        <v>2</v>
      </c>
      <c r="X410" s="384">
        <v>1</v>
      </c>
      <c r="Y410" s="403">
        <v>9</v>
      </c>
      <c r="Z410" s="32">
        <v>1</v>
      </c>
      <c r="AA410" s="410">
        <f t="shared" si="31"/>
        <v>3.25</v>
      </c>
      <c r="AB410" s="411">
        <f t="shared" si="28"/>
        <v>2.875</v>
      </c>
      <c r="AC410">
        <f t="shared" si="29"/>
        <v>2.2727272727272729</v>
      </c>
    </row>
    <row r="411" spans="1:29" ht="15" x14ac:dyDescent="0.25">
      <c r="A411">
        <v>2022</v>
      </c>
      <c r="B411" s="617">
        <v>26</v>
      </c>
      <c r="C411" s="617" t="s">
        <v>301</v>
      </c>
      <c r="D411" s="244" t="s">
        <v>66</v>
      </c>
      <c r="E411" s="244" t="s">
        <v>208</v>
      </c>
      <c r="F411" s="244" t="s">
        <v>419</v>
      </c>
      <c r="G411" s="244" t="s">
        <v>292</v>
      </c>
      <c r="H411" s="9" t="s">
        <v>617</v>
      </c>
      <c r="I411" s="9">
        <v>5</v>
      </c>
      <c r="J411" s="32">
        <v>0</v>
      </c>
      <c r="K411" s="193"/>
      <c r="M411" t="s">
        <v>66</v>
      </c>
      <c r="N411" t="s">
        <v>208</v>
      </c>
      <c r="O411" s="50" t="str">
        <f t="shared" si="32"/>
        <v>TAHSISH RIVER_Pink</v>
      </c>
      <c r="P411">
        <v>0</v>
      </c>
      <c r="Q411">
        <v>9</v>
      </c>
      <c r="R411">
        <v>1</v>
      </c>
      <c r="S411">
        <v>5</v>
      </c>
      <c r="T411">
        <v>3</v>
      </c>
      <c r="U411">
        <v>6</v>
      </c>
      <c r="V411">
        <v>0</v>
      </c>
      <c r="W411">
        <v>0</v>
      </c>
      <c r="X411" s="384">
        <v>0</v>
      </c>
      <c r="Y411" s="403">
        <v>0</v>
      </c>
      <c r="Z411" s="32">
        <v>0</v>
      </c>
      <c r="AA411" s="410">
        <f t="shared" si="31"/>
        <v>0</v>
      </c>
      <c r="AB411" s="411">
        <f t="shared" si="28"/>
        <v>1.75</v>
      </c>
      <c r="AC411">
        <f t="shared" si="29"/>
        <v>2.1818181818181817</v>
      </c>
    </row>
    <row r="412" spans="1:29" ht="18" x14ac:dyDescent="0.25">
      <c r="A412">
        <v>2022</v>
      </c>
      <c r="B412" s="617">
        <v>23</v>
      </c>
      <c r="C412" s="617" t="s">
        <v>305</v>
      </c>
      <c r="D412" s="244" t="s">
        <v>107</v>
      </c>
      <c r="E412" s="244" t="s">
        <v>208</v>
      </c>
      <c r="F412" s="244" t="s">
        <v>419</v>
      </c>
      <c r="G412" s="244" t="s">
        <v>289</v>
      </c>
      <c r="H412" s="9" t="s">
        <v>610</v>
      </c>
      <c r="I412" s="9">
        <v>1</v>
      </c>
      <c r="J412" s="32">
        <v>0</v>
      </c>
      <c r="K412" s="193"/>
      <c r="M412" t="s">
        <v>107</v>
      </c>
      <c r="N412" t="s">
        <v>208</v>
      </c>
      <c r="O412" s="50" t="str">
        <f t="shared" si="32"/>
        <v>THORNTON CREEK_Pink</v>
      </c>
      <c r="Q412">
        <v>0</v>
      </c>
      <c r="X412" s="384"/>
      <c r="Y412" s="403"/>
      <c r="Z412" s="32">
        <v>0</v>
      </c>
      <c r="AA412" s="410">
        <f t="shared" si="31"/>
        <v>0</v>
      </c>
      <c r="AB412" s="411">
        <f t="shared" si="28"/>
        <v>0</v>
      </c>
      <c r="AC412">
        <f t="shared" si="29"/>
        <v>0</v>
      </c>
    </row>
    <row r="413" spans="1:29" ht="15" x14ac:dyDescent="0.25">
      <c r="A413">
        <v>2022</v>
      </c>
      <c r="B413" s="617"/>
      <c r="C413" s="617"/>
      <c r="D413" s="244"/>
      <c r="E413" s="244"/>
      <c r="F413" s="244"/>
      <c r="G413" s="244"/>
      <c r="H413" s="9"/>
      <c r="I413" s="9"/>
      <c r="J413" s="32"/>
      <c r="K413" s="193"/>
      <c r="M413" t="s">
        <v>53</v>
      </c>
      <c r="N413" t="s">
        <v>208</v>
      </c>
      <c r="O413" s="50" t="str">
        <f t="shared" si="32"/>
        <v>TLUPANA RIVER_Pink</v>
      </c>
      <c r="P413">
        <v>0</v>
      </c>
      <c r="Q413">
        <v>3</v>
      </c>
      <c r="S413">
        <v>0</v>
      </c>
      <c r="T413">
        <v>0</v>
      </c>
      <c r="W413">
        <v>0</v>
      </c>
      <c r="X413" s="384">
        <v>0</v>
      </c>
      <c r="Y413" s="403"/>
      <c r="Z413" s="32"/>
      <c r="AA413" s="410">
        <f t="shared" si="31"/>
        <v>0</v>
      </c>
      <c r="AB413" s="411">
        <f t="shared" si="28"/>
        <v>0</v>
      </c>
      <c r="AC413">
        <f t="shared" si="29"/>
        <v>0.5</v>
      </c>
    </row>
    <row r="414" spans="1:29" ht="15" x14ac:dyDescent="0.25">
      <c r="A414">
        <v>2022</v>
      </c>
      <c r="B414" s="617"/>
      <c r="C414" s="617"/>
      <c r="D414" s="244"/>
      <c r="E414" s="244"/>
      <c r="F414" s="244"/>
      <c r="G414" s="244"/>
      <c r="H414" s="9"/>
      <c r="I414" s="9"/>
      <c r="J414" s="32"/>
      <c r="K414" s="193"/>
      <c r="M414" t="s">
        <v>131</v>
      </c>
      <c r="N414" t="s">
        <v>208</v>
      </c>
      <c r="O414" s="50" t="str">
        <f t="shared" si="32"/>
        <v>TOFINO CREEK_Pink</v>
      </c>
      <c r="V414">
        <v>0</v>
      </c>
      <c r="W414">
        <v>0</v>
      </c>
      <c r="X414" s="384"/>
      <c r="Y414" s="403"/>
      <c r="Z414" s="32"/>
      <c r="AA414" s="410">
        <f t="shared" si="31"/>
        <v>0</v>
      </c>
      <c r="AB414" s="411">
        <f t="shared" ref="AB414:AB477" si="33">AVERAGE(S414:Z414)</f>
        <v>0</v>
      </c>
      <c r="AC414">
        <f t="shared" ref="AC414:AC477" si="34">AVERAGE(P414:Z414)</f>
        <v>0</v>
      </c>
    </row>
    <row r="415" spans="1:29" ht="18" x14ac:dyDescent="0.25">
      <c r="A415">
        <v>2022</v>
      </c>
      <c r="B415" s="617">
        <v>23</v>
      </c>
      <c r="C415" s="617" t="s">
        <v>295</v>
      </c>
      <c r="D415" s="244" t="s">
        <v>288</v>
      </c>
      <c r="E415" s="244" t="s">
        <v>208</v>
      </c>
      <c r="F415" s="244" t="s">
        <v>419</v>
      </c>
      <c r="G415" s="244" t="s">
        <v>289</v>
      </c>
      <c r="H415" s="9" t="s">
        <v>615</v>
      </c>
      <c r="I415" s="9">
        <v>3</v>
      </c>
      <c r="J415" s="32">
        <v>0</v>
      </c>
      <c r="K415" s="193"/>
      <c r="M415" t="s">
        <v>555</v>
      </c>
      <c r="N415" t="s">
        <v>208</v>
      </c>
      <c r="O415" s="50" t="str">
        <f t="shared" si="32"/>
        <v>TOQUART RIVER_Pink</v>
      </c>
      <c r="P415">
        <v>0</v>
      </c>
      <c r="Q415">
        <v>27</v>
      </c>
      <c r="R415">
        <v>3</v>
      </c>
      <c r="S415">
        <v>60</v>
      </c>
      <c r="T415">
        <v>0</v>
      </c>
      <c r="U415">
        <v>0</v>
      </c>
      <c r="V415">
        <v>0</v>
      </c>
      <c r="W415">
        <v>0</v>
      </c>
      <c r="X415" s="384">
        <v>0</v>
      </c>
      <c r="Y415" s="403">
        <v>0</v>
      </c>
      <c r="Z415" s="32">
        <v>0</v>
      </c>
      <c r="AA415" s="410">
        <f t="shared" si="31"/>
        <v>0</v>
      </c>
      <c r="AB415" s="411">
        <f t="shared" si="33"/>
        <v>7.5</v>
      </c>
      <c r="AC415">
        <f t="shared" si="34"/>
        <v>8.1818181818181817</v>
      </c>
    </row>
    <row r="416" spans="1:29" ht="15" x14ac:dyDescent="0.25">
      <c r="A416">
        <v>2022</v>
      </c>
      <c r="B416" s="617">
        <v>24</v>
      </c>
      <c r="C416" s="617" t="s">
        <v>296</v>
      </c>
      <c r="D416" s="244" t="s">
        <v>43</v>
      </c>
      <c r="E416" s="244" t="s">
        <v>208</v>
      </c>
      <c r="F416" s="244" t="s">
        <v>419</v>
      </c>
      <c r="G416" s="244" t="s">
        <v>497</v>
      </c>
      <c r="H416" s="9" t="s">
        <v>616</v>
      </c>
      <c r="I416" s="9">
        <v>7</v>
      </c>
      <c r="J416" s="32">
        <v>1</v>
      </c>
      <c r="K416" s="193"/>
      <c r="M416" t="s">
        <v>43</v>
      </c>
      <c r="N416" t="s">
        <v>208</v>
      </c>
      <c r="O416" s="50" t="str">
        <f t="shared" si="32"/>
        <v>TRANQUIL CREEK_Pink</v>
      </c>
      <c r="P416">
        <v>0</v>
      </c>
      <c r="Q416">
        <v>5</v>
      </c>
      <c r="R416">
        <v>1</v>
      </c>
      <c r="S416">
        <v>5</v>
      </c>
      <c r="T416">
        <v>2</v>
      </c>
      <c r="U416">
        <v>1</v>
      </c>
      <c r="V416">
        <v>0</v>
      </c>
      <c r="W416">
        <v>1</v>
      </c>
      <c r="X416" s="384">
        <v>1</v>
      </c>
      <c r="Y416" s="403">
        <v>0</v>
      </c>
      <c r="Z416" s="32">
        <v>1</v>
      </c>
      <c r="AA416" s="410">
        <f t="shared" si="31"/>
        <v>0.75</v>
      </c>
      <c r="AB416" s="411">
        <f t="shared" si="33"/>
        <v>1.375</v>
      </c>
      <c r="AC416">
        <f t="shared" si="34"/>
        <v>1.5454545454545454</v>
      </c>
    </row>
    <row r="417" spans="1:29" ht="15" x14ac:dyDescent="0.25">
      <c r="A417">
        <v>2022</v>
      </c>
      <c r="B417" s="617"/>
      <c r="C417" s="617"/>
      <c r="D417" s="244"/>
      <c r="E417" s="244"/>
      <c r="F417" s="244"/>
      <c r="G417" s="244"/>
      <c r="H417" s="9"/>
      <c r="I417" s="9"/>
      <c r="J417" s="32"/>
      <c r="K417" s="193"/>
      <c r="M417" t="s">
        <v>108</v>
      </c>
      <c r="N417" t="s">
        <v>208</v>
      </c>
      <c r="O417" s="50" t="str">
        <f t="shared" si="32"/>
        <v>TWIN RIVERS EAST CREEK_Pink</v>
      </c>
      <c r="V417">
        <v>0</v>
      </c>
      <c r="X417" s="384">
        <v>0</v>
      </c>
      <c r="Y417" s="403">
        <v>0</v>
      </c>
      <c r="Z417" s="32"/>
      <c r="AA417" s="410">
        <f t="shared" si="31"/>
        <v>0</v>
      </c>
      <c r="AB417" s="411">
        <f t="shared" si="33"/>
        <v>0</v>
      </c>
      <c r="AC417">
        <f t="shared" si="34"/>
        <v>0</v>
      </c>
    </row>
    <row r="418" spans="1:29" ht="15" x14ac:dyDescent="0.25">
      <c r="A418">
        <v>2022</v>
      </c>
      <c r="B418" s="617"/>
      <c r="C418" s="617"/>
      <c r="D418" s="244"/>
      <c r="E418" s="244"/>
      <c r="F418" s="244"/>
      <c r="G418" s="244"/>
      <c r="H418" s="9"/>
      <c r="I418" s="9"/>
      <c r="J418" s="32"/>
      <c r="K418" s="193"/>
      <c r="M418" t="s">
        <v>556</v>
      </c>
      <c r="N418" t="s">
        <v>208</v>
      </c>
      <c r="O418" s="50" t="str">
        <f t="shared" si="32"/>
        <v>URSUS CREEK_Pink</v>
      </c>
      <c r="P418">
        <v>27</v>
      </c>
      <c r="Q418">
        <v>44</v>
      </c>
      <c r="R418">
        <v>41</v>
      </c>
      <c r="S418">
        <v>20</v>
      </c>
      <c r="T418">
        <v>1</v>
      </c>
      <c r="U418">
        <v>0</v>
      </c>
      <c r="V418">
        <v>1</v>
      </c>
      <c r="W418">
        <v>12</v>
      </c>
      <c r="X418" s="384">
        <v>0</v>
      </c>
      <c r="Y418" s="403"/>
      <c r="Z418" s="32"/>
      <c r="AA418" s="410">
        <f t="shared" si="31"/>
        <v>6</v>
      </c>
      <c r="AB418" s="411">
        <f t="shared" si="33"/>
        <v>5.666666666666667</v>
      </c>
      <c r="AC418">
        <f t="shared" si="34"/>
        <v>16.222222222222221</v>
      </c>
    </row>
    <row r="419" spans="1:29" ht="15" x14ac:dyDescent="0.25">
      <c r="A419">
        <v>2022</v>
      </c>
      <c r="B419" s="617">
        <v>24</v>
      </c>
      <c r="C419" s="617" t="s">
        <v>297</v>
      </c>
      <c r="D419" s="244" t="s">
        <v>132</v>
      </c>
      <c r="E419" s="244" t="s">
        <v>208</v>
      </c>
      <c r="F419" s="244" t="s">
        <v>419</v>
      </c>
      <c r="G419" s="244" t="s">
        <v>497</v>
      </c>
      <c r="H419" s="9" t="s">
        <v>616</v>
      </c>
      <c r="I419" s="9">
        <v>2</v>
      </c>
      <c r="J419" s="32">
        <v>0</v>
      </c>
      <c r="K419" s="193"/>
      <c r="M419" t="s">
        <v>132</v>
      </c>
      <c r="N419" t="s">
        <v>208</v>
      </c>
      <c r="O419" s="50" t="str">
        <f t="shared" si="32"/>
        <v>WARN BAY CREEK_Pink</v>
      </c>
      <c r="V419">
        <v>0</v>
      </c>
      <c r="W419">
        <v>0</v>
      </c>
      <c r="X419" s="384">
        <v>0</v>
      </c>
      <c r="Y419" s="403">
        <v>0</v>
      </c>
      <c r="Z419" s="32">
        <v>0</v>
      </c>
      <c r="AA419" s="410">
        <f t="shared" si="31"/>
        <v>0</v>
      </c>
      <c r="AB419" s="411">
        <f t="shared" si="33"/>
        <v>0</v>
      </c>
      <c r="AC419">
        <f t="shared" si="34"/>
        <v>0</v>
      </c>
    </row>
    <row r="420" spans="1:29" ht="15" x14ac:dyDescent="0.25">
      <c r="A420">
        <v>2022</v>
      </c>
      <c r="B420" s="617">
        <v>25</v>
      </c>
      <c r="C420" s="617" t="s">
        <v>300</v>
      </c>
      <c r="D420" s="244" t="s">
        <v>55</v>
      </c>
      <c r="E420" s="244" t="s">
        <v>208</v>
      </c>
      <c r="F420" s="244" t="s">
        <v>419</v>
      </c>
      <c r="G420" s="244" t="s">
        <v>528</v>
      </c>
      <c r="H420" s="9" t="s">
        <v>618</v>
      </c>
      <c r="I420" s="9">
        <v>5</v>
      </c>
      <c r="J420" s="32">
        <v>0</v>
      </c>
      <c r="K420" s="193"/>
      <c r="M420" t="s">
        <v>55</v>
      </c>
      <c r="N420" t="s">
        <v>208</v>
      </c>
      <c r="O420" s="50" t="str">
        <f t="shared" si="32"/>
        <v>ZEBALLOS RIVER_Pink</v>
      </c>
      <c r="P420">
        <v>0</v>
      </c>
      <c r="Q420">
        <v>125</v>
      </c>
      <c r="R420">
        <v>4</v>
      </c>
      <c r="S420">
        <v>11</v>
      </c>
      <c r="T420">
        <v>0</v>
      </c>
      <c r="U420">
        <v>2</v>
      </c>
      <c r="W420">
        <v>0</v>
      </c>
      <c r="X420" s="384">
        <v>0</v>
      </c>
      <c r="Y420" s="403">
        <v>0</v>
      </c>
      <c r="Z420" s="32">
        <v>0</v>
      </c>
      <c r="AA420" s="410">
        <f t="shared" si="31"/>
        <v>0</v>
      </c>
      <c r="AB420" s="411">
        <f t="shared" si="33"/>
        <v>1.8571428571428572</v>
      </c>
      <c r="AC420">
        <f t="shared" si="34"/>
        <v>14.2</v>
      </c>
    </row>
    <row r="421" spans="1:29" ht="15" x14ac:dyDescent="0.25">
      <c r="A421">
        <v>2022</v>
      </c>
      <c r="B421" s="617"/>
      <c r="C421" s="617"/>
      <c r="D421" s="244"/>
      <c r="E421" s="244"/>
      <c r="F421" s="244"/>
      <c r="G421" s="244"/>
      <c r="H421" s="9"/>
      <c r="I421" s="9"/>
      <c r="J421" s="32"/>
      <c r="K421" s="193"/>
      <c r="M421" t="s">
        <v>56</v>
      </c>
      <c r="N421" t="s">
        <v>207</v>
      </c>
      <c r="O421" s="50" t="str">
        <f t="shared" si="32"/>
        <v>AMAI CREEK_Sockeye</v>
      </c>
      <c r="P421">
        <v>0</v>
      </c>
      <c r="Q421">
        <v>0</v>
      </c>
      <c r="R421">
        <v>0</v>
      </c>
      <c r="S421">
        <v>0</v>
      </c>
      <c r="V421">
        <v>1</v>
      </c>
      <c r="X421" s="384">
        <v>4</v>
      </c>
      <c r="Y421" s="403"/>
      <c r="Z421" s="32"/>
      <c r="AA421" s="410">
        <f t="shared" si="31"/>
        <v>4</v>
      </c>
      <c r="AB421" s="411">
        <f t="shared" si="33"/>
        <v>1.6666666666666667</v>
      </c>
      <c r="AC421">
        <f t="shared" si="34"/>
        <v>0.83333333333333337</v>
      </c>
    </row>
    <row r="422" spans="1:29" ht="15" x14ac:dyDescent="0.25">
      <c r="A422">
        <v>2022</v>
      </c>
      <c r="B422" s="617">
        <v>26</v>
      </c>
      <c r="C422" s="617" t="s">
        <v>301</v>
      </c>
      <c r="D422" s="244" t="s">
        <v>57</v>
      </c>
      <c r="E422" s="244" t="s">
        <v>207</v>
      </c>
      <c r="F422" s="244" t="s">
        <v>419</v>
      </c>
      <c r="G422" s="244" t="s">
        <v>292</v>
      </c>
      <c r="H422" s="9" t="s">
        <v>616</v>
      </c>
      <c r="I422" s="9">
        <v>7</v>
      </c>
      <c r="J422" s="32">
        <v>14</v>
      </c>
      <c r="K422" s="193"/>
      <c r="M422" t="s">
        <v>57</v>
      </c>
      <c r="N422" t="s">
        <v>207</v>
      </c>
      <c r="O422" s="50" t="str">
        <f t="shared" si="32"/>
        <v>ARTLISH RIVER_Sockeye</v>
      </c>
      <c r="P422">
        <v>12</v>
      </c>
      <c r="Q422">
        <v>2</v>
      </c>
      <c r="R422">
        <v>10</v>
      </c>
      <c r="S422">
        <v>21</v>
      </c>
      <c r="T422">
        <v>9</v>
      </c>
      <c r="U422">
        <v>5</v>
      </c>
      <c r="V422">
        <v>5</v>
      </c>
      <c r="W422">
        <v>2</v>
      </c>
      <c r="X422" s="384">
        <v>1</v>
      </c>
      <c r="Y422" s="403">
        <v>7</v>
      </c>
      <c r="Z422" s="32">
        <v>14</v>
      </c>
      <c r="AA422" s="410">
        <f t="shared" si="31"/>
        <v>6</v>
      </c>
      <c r="AB422" s="411">
        <f t="shared" si="33"/>
        <v>8</v>
      </c>
      <c r="AC422">
        <f t="shared" si="34"/>
        <v>8</v>
      </c>
    </row>
    <row r="423" spans="1:29" ht="15" x14ac:dyDescent="0.25">
      <c r="A423">
        <v>2022</v>
      </c>
      <c r="B423" s="617"/>
      <c r="C423" s="617"/>
      <c r="D423" s="244"/>
      <c r="E423" s="244"/>
      <c r="F423" s="244"/>
      <c r="G423" s="244"/>
      <c r="H423" s="9"/>
      <c r="I423" s="9"/>
      <c r="J423" s="32"/>
      <c r="K423" s="193"/>
      <c r="M423" t="s">
        <v>114</v>
      </c>
      <c r="N423" t="s">
        <v>207</v>
      </c>
      <c r="O423" s="50" t="str">
        <f t="shared" si="32"/>
        <v>ATLEO RIVER_Sockeye</v>
      </c>
      <c r="V423">
        <v>0</v>
      </c>
      <c r="X423" s="384">
        <v>0</v>
      </c>
      <c r="Y423" s="403">
        <v>0</v>
      </c>
      <c r="Z423" s="32"/>
      <c r="AA423" s="410">
        <f t="shared" si="31"/>
        <v>0</v>
      </c>
      <c r="AB423" s="411">
        <f t="shared" si="33"/>
        <v>0</v>
      </c>
      <c r="AC423">
        <f t="shared" si="34"/>
        <v>0</v>
      </c>
    </row>
    <row r="424" spans="1:29" ht="15" x14ac:dyDescent="0.25">
      <c r="A424">
        <v>2022</v>
      </c>
      <c r="B424" s="617"/>
      <c r="C424" s="617"/>
      <c r="D424" s="244"/>
      <c r="E424" s="244"/>
      <c r="F424" s="244"/>
      <c r="G424" s="244"/>
      <c r="H424" s="9"/>
      <c r="I424" s="9"/>
      <c r="J424" s="32"/>
      <c r="K424" s="193"/>
      <c r="M424" t="s">
        <v>35</v>
      </c>
      <c r="N424" t="s">
        <v>207</v>
      </c>
      <c r="O424" s="50" t="str">
        <f t="shared" si="32"/>
        <v>BEDWELL RIVER_Sockeye</v>
      </c>
      <c r="P424">
        <v>71</v>
      </c>
      <c r="Q424">
        <v>24</v>
      </c>
      <c r="R424">
        <v>257</v>
      </c>
      <c r="S424">
        <v>245</v>
      </c>
      <c r="T424">
        <v>63</v>
      </c>
      <c r="U424">
        <v>87</v>
      </c>
      <c r="V424">
        <v>21</v>
      </c>
      <c r="W424">
        <v>21</v>
      </c>
      <c r="X424" s="384">
        <v>45</v>
      </c>
      <c r="Y424" s="403"/>
      <c r="Z424" s="32"/>
      <c r="AA424" s="410">
        <f t="shared" si="31"/>
        <v>33</v>
      </c>
      <c r="AB424" s="411">
        <f t="shared" si="33"/>
        <v>80.333333333333329</v>
      </c>
      <c r="AC424">
        <f t="shared" si="34"/>
        <v>92.666666666666671</v>
      </c>
    </row>
    <row r="425" spans="1:29" x14ac:dyDescent="0.2">
      <c r="A425">
        <v>2022</v>
      </c>
      <c r="B425" s="617">
        <v>24</v>
      </c>
      <c r="C425" s="617" t="s">
        <v>297</v>
      </c>
      <c r="D425" s="244" t="s">
        <v>35</v>
      </c>
      <c r="E425" s="244" t="s">
        <v>207</v>
      </c>
      <c r="F425" s="244" t="s">
        <v>419</v>
      </c>
      <c r="G425" s="244" t="s">
        <v>497</v>
      </c>
      <c r="H425" s="9" t="s">
        <v>616</v>
      </c>
      <c r="I425" s="9">
        <v>5</v>
      </c>
      <c r="J425" s="32">
        <v>139</v>
      </c>
      <c r="K425" s="193"/>
      <c r="M425" t="s">
        <v>557</v>
      </c>
      <c r="N425" s="17" t="s">
        <v>207</v>
      </c>
      <c r="O425" s="50" t="str">
        <f t="shared" si="32"/>
        <v>BEDWELL SYSTEM_Sockeye</v>
      </c>
      <c r="P425">
        <f t="shared" ref="P425:X425" si="35">P345+P419</f>
        <v>0</v>
      </c>
      <c r="Q425">
        <f t="shared" si="35"/>
        <v>0</v>
      </c>
      <c r="R425">
        <f t="shared" si="35"/>
        <v>0</v>
      </c>
      <c r="S425">
        <f t="shared" si="35"/>
        <v>0</v>
      </c>
      <c r="T425">
        <f t="shared" si="35"/>
        <v>0</v>
      </c>
      <c r="U425">
        <f t="shared" si="35"/>
        <v>0</v>
      </c>
      <c r="V425">
        <f t="shared" si="35"/>
        <v>0</v>
      </c>
      <c r="W425">
        <f t="shared" si="35"/>
        <v>0</v>
      </c>
      <c r="X425" s="408">
        <f t="shared" si="35"/>
        <v>0</v>
      </c>
      <c r="Y425">
        <v>125</v>
      </c>
      <c r="Z425" s="32">
        <v>139</v>
      </c>
      <c r="AA425" s="410">
        <f t="shared" si="31"/>
        <v>66</v>
      </c>
      <c r="AB425" s="411">
        <f t="shared" si="33"/>
        <v>33</v>
      </c>
      <c r="AC425">
        <f t="shared" si="34"/>
        <v>24</v>
      </c>
    </row>
    <row r="426" spans="1:29" ht="15" x14ac:dyDescent="0.25">
      <c r="A426">
        <v>2022</v>
      </c>
      <c r="B426" s="617">
        <v>25</v>
      </c>
      <c r="C426" s="618" t="s">
        <v>299</v>
      </c>
      <c r="D426" s="244" t="s">
        <v>44</v>
      </c>
      <c r="E426" s="244" t="s">
        <v>207</v>
      </c>
      <c r="F426" s="244" t="s">
        <v>419</v>
      </c>
      <c r="G426" s="244" t="s">
        <v>452</v>
      </c>
      <c r="H426" s="9" t="s">
        <v>612</v>
      </c>
      <c r="I426" s="9">
        <v>4</v>
      </c>
      <c r="J426" s="32">
        <v>24</v>
      </c>
      <c r="K426" s="193"/>
      <c r="M426" t="s">
        <v>44</v>
      </c>
      <c r="N426" t="s">
        <v>207</v>
      </c>
      <c r="O426" s="50" t="str">
        <f t="shared" si="32"/>
        <v>BURMAN RIVER_Sockeye</v>
      </c>
      <c r="P426">
        <v>191</v>
      </c>
      <c r="Q426">
        <v>745</v>
      </c>
      <c r="R426">
        <v>889</v>
      </c>
      <c r="S426">
        <v>861</v>
      </c>
      <c r="T426">
        <v>935</v>
      </c>
      <c r="U426">
        <v>425</v>
      </c>
      <c r="V426">
        <v>306</v>
      </c>
      <c r="W426">
        <v>144</v>
      </c>
      <c r="X426" s="384">
        <v>177</v>
      </c>
      <c r="Y426" s="403">
        <v>360</v>
      </c>
      <c r="Z426" s="32">
        <v>24</v>
      </c>
      <c r="AA426" s="410">
        <f t="shared" si="31"/>
        <v>176.25</v>
      </c>
      <c r="AB426" s="411">
        <f t="shared" si="33"/>
        <v>404</v>
      </c>
      <c r="AC426">
        <f t="shared" si="34"/>
        <v>459.72727272727275</v>
      </c>
    </row>
    <row r="427" spans="1:29" ht="15" x14ac:dyDescent="0.25">
      <c r="A427">
        <v>2022</v>
      </c>
      <c r="B427" s="617"/>
      <c r="C427" s="618"/>
      <c r="D427" s="244"/>
      <c r="E427" s="244"/>
      <c r="F427" s="244"/>
      <c r="G427" s="244"/>
      <c r="H427" s="9"/>
      <c r="I427" s="9"/>
      <c r="J427" s="32"/>
      <c r="K427" s="193"/>
      <c r="M427" t="s">
        <v>79</v>
      </c>
      <c r="N427" t="s">
        <v>207</v>
      </c>
      <c r="O427" s="50" t="str">
        <f t="shared" si="32"/>
        <v>CAMPUS CREEK_Sockeye</v>
      </c>
      <c r="P427">
        <v>0</v>
      </c>
      <c r="X427" s="384"/>
      <c r="Y427" s="403">
        <v>0</v>
      </c>
      <c r="Z427" s="32"/>
      <c r="AA427" s="410">
        <f t="shared" si="31"/>
        <v>0</v>
      </c>
      <c r="AB427" s="411">
        <f t="shared" si="33"/>
        <v>0</v>
      </c>
      <c r="AC427">
        <f t="shared" si="34"/>
        <v>0</v>
      </c>
    </row>
    <row r="428" spans="1:29" ht="15" x14ac:dyDescent="0.25">
      <c r="A428">
        <v>2022</v>
      </c>
      <c r="B428" s="617">
        <v>25</v>
      </c>
      <c r="C428" s="617" t="s">
        <v>299</v>
      </c>
      <c r="D428" s="244" t="s">
        <v>45</v>
      </c>
      <c r="E428" s="244" t="s">
        <v>207</v>
      </c>
      <c r="F428" s="244" t="s">
        <v>419</v>
      </c>
      <c r="G428" s="244" t="s">
        <v>452</v>
      </c>
      <c r="H428" s="9" t="s">
        <v>616</v>
      </c>
      <c r="I428" s="9">
        <v>9</v>
      </c>
      <c r="J428" s="32">
        <v>0</v>
      </c>
      <c r="K428" s="193"/>
      <c r="M428" t="s">
        <v>45</v>
      </c>
      <c r="N428" t="s">
        <v>207</v>
      </c>
      <c r="O428" s="50" t="str">
        <f t="shared" si="32"/>
        <v>CANTON CREEK_Sockeye</v>
      </c>
      <c r="P428">
        <v>0</v>
      </c>
      <c r="Q428">
        <v>0</v>
      </c>
      <c r="S428">
        <v>0</v>
      </c>
      <c r="T428">
        <v>13</v>
      </c>
      <c r="U428">
        <v>43</v>
      </c>
      <c r="W428">
        <v>15</v>
      </c>
      <c r="X428" s="384">
        <v>12</v>
      </c>
      <c r="Y428" s="403">
        <v>2</v>
      </c>
      <c r="Z428" s="32">
        <v>0</v>
      </c>
      <c r="AA428" s="410">
        <f t="shared" si="31"/>
        <v>7.25</v>
      </c>
      <c r="AB428" s="411">
        <f t="shared" si="33"/>
        <v>12.142857142857142</v>
      </c>
      <c r="AC428">
        <f t="shared" si="34"/>
        <v>9.4444444444444446</v>
      </c>
    </row>
    <row r="429" spans="1:29" ht="15" x14ac:dyDescent="0.25">
      <c r="A429">
        <v>2022</v>
      </c>
      <c r="B429" s="617"/>
      <c r="C429" s="617"/>
      <c r="D429" s="244"/>
      <c r="E429" s="244"/>
      <c r="F429" s="244"/>
      <c r="G429" s="244"/>
      <c r="H429" s="9"/>
      <c r="I429" s="9"/>
      <c r="J429" s="32"/>
      <c r="K429" s="193"/>
      <c r="M429" t="s">
        <v>80</v>
      </c>
      <c r="N429" t="s">
        <v>207</v>
      </c>
      <c r="O429" s="50" t="str">
        <f t="shared" si="32"/>
        <v>CAYCUSE RIVER_Sockeye</v>
      </c>
      <c r="P429">
        <v>0</v>
      </c>
      <c r="W429">
        <v>0</v>
      </c>
      <c r="X429" s="384"/>
      <c r="Y429" s="403"/>
      <c r="Z429" s="32"/>
      <c r="AA429" s="410">
        <f t="shared" si="31"/>
        <v>0</v>
      </c>
      <c r="AB429" s="411">
        <f t="shared" si="33"/>
        <v>0</v>
      </c>
      <c r="AC429">
        <f t="shared" si="34"/>
        <v>0</v>
      </c>
    </row>
    <row r="430" spans="1:29" ht="15" x14ac:dyDescent="0.25">
      <c r="A430">
        <v>2022</v>
      </c>
      <c r="K430" s="193"/>
      <c r="M430" t="s">
        <v>536</v>
      </c>
      <c r="N430" t="s">
        <v>207</v>
      </c>
      <c r="O430" s="50" t="str">
        <f t="shared" si="32"/>
        <v>CAYEGHLE CREEK_Sockeye</v>
      </c>
      <c r="P430">
        <v>0</v>
      </c>
      <c r="Q430">
        <v>0</v>
      </c>
      <c r="R430">
        <v>2</v>
      </c>
      <c r="S430">
        <v>1</v>
      </c>
      <c r="T430">
        <v>3</v>
      </c>
      <c r="U430">
        <v>0</v>
      </c>
      <c r="V430">
        <v>0</v>
      </c>
      <c r="W430">
        <v>0</v>
      </c>
      <c r="X430" s="384">
        <v>0</v>
      </c>
      <c r="Y430" s="403">
        <v>0</v>
      </c>
      <c r="AA430" s="410">
        <f t="shared" si="31"/>
        <v>0</v>
      </c>
      <c r="AB430" s="411">
        <f t="shared" si="33"/>
        <v>0.5714285714285714</v>
      </c>
      <c r="AC430">
        <f t="shared" si="34"/>
        <v>0.6</v>
      </c>
    </row>
    <row r="431" spans="1:29" ht="15" x14ac:dyDescent="0.25">
      <c r="A431">
        <v>2022</v>
      </c>
      <c r="B431" s="617"/>
      <c r="C431" s="617"/>
      <c r="D431" s="244"/>
      <c r="E431" s="244"/>
      <c r="F431" s="244"/>
      <c r="G431" s="244"/>
      <c r="H431" s="9"/>
      <c r="I431" s="9"/>
      <c r="J431" s="32"/>
      <c r="K431" s="193"/>
      <c r="M431" t="s">
        <v>24</v>
      </c>
      <c r="N431" t="s">
        <v>207</v>
      </c>
      <c r="O431" s="50" t="str">
        <f t="shared" si="32"/>
        <v>CHEEWHAT RIVER_Sockeye</v>
      </c>
      <c r="Q431">
        <v>8</v>
      </c>
      <c r="S431">
        <v>8</v>
      </c>
      <c r="V431">
        <v>751</v>
      </c>
      <c r="X431" s="384"/>
      <c r="Y431" s="403"/>
      <c r="Z431" s="32"/>
      <c r="AA431" s="410" t="e">
        <f t="shared" si="31"/>
        <v>#DIV/0!</v>
      </c>
      <c r="AB431" s="411">
        <f t="shared" si="33"/>
        <v>379.5</v>
      </c>
      <c r="AC431">
        <f t="shared" si="34"/>
        <v>255.66666666666666</v>
      </c>
    </row>
    <row r="432" spans="1:29" ht="15" x14ac:dyDescent="0.25">
      <c r="A432">
        <v>2022</v>
      </c>
      <c r="B432" s="617">
        <v>25</v>
      </c>
      <c r="C432" s="617" t="s">
        <v>300</v>
      </c>
      <c r="D432" s="244" t="s">
        <v>135</v>
      </c>
      <c r="E432" s="244" t="s">
        <v>207</v>
      </c>
      <c r="F432" s="244" t="s">
        <v>419</v>
      </c>
      <c r="G432" s="244" t="s">
        <v>528</v>
      </c>
      <c r="H432" s="9" t="s">
        <v>616</v>
      </c>
      <c r="I432" s="9">
        <v>1</v>
      </c>
      <c r="J432" s="32">
        <v>2</v>
      </c>
      <c r="K432" s="193"/>
      <c r="M432" t="s">
        <v>135</v>
      </c>
      <c r="N432" t="s">
        <v>207</v>
      </c>
      <c r="O432" s="50" t="str">
        <f t="shared" si="32"/>
        <v>CHUM CREEK_Sockeye</v>
      </c>
      <c r="P432">
        <v>0</v>
      </c>
      <c r="T432">
        <v>0</v>
      </c>
      <c r="U432">
        <v>0</v>
      </c>
      <c r="W432">
        <v>0</v>
      </c>
      <c r="X432" s="384">
        <v>2</v>
      </c>
      <c r="Y432" s="403">
        <v>2</v>
      </c>
      <c r="Z432" s="32">
        <v>2</v>
      </c>
      <c r="AA432" s="410">
        <f t="shared" si="31"/>
        <v>1.5</v>
      </c>
      <c r="AB432" s="411">
        <f t="shared" si="33"/>
        <v>1</v>
      </c>
      <c r="AC432">
        <f t="shared" si="34"/>
        <v>0.8571428571428571</v>
      </c>
    </row>
    <row r="433" spans="1:29" ht="15" x14ac:dyDescent="0.25">
      <c r="A433">
        <v>2022</v>
      </c>
      <c r="B433" s="617"/>
      <c r="C433" s="617"/>
      <c r="D433" s="244"/>
      <c r="E433" s="244"/>
      <c r="F433" s="244"/>
      <c r="G433" s="244"/>
      <c r="H433" s="9"/>
      <c r="I433" s="9"/>
      <c r="J433" s="32"/>
      <c r="K433" s="193"/>
      <c r="M433" t="s">
        <v>231</v>
      </c>
      <c r="N433" t="s">
        <v>207</v>
      </c>
      <c r="O433" s="50" t="str">
        <f t="shared" si="32"/>
        <v>CLANNINICK CREEK_Sockeye</v>
      </c>
      <c r="P433">
        <v>2</v>
      </c>
      <c r="X433" s="384">
        <v>6</v>
      </c>
      <c r="Y433" s="403"/>
      <c r="Z433" s="32"/>
      <c r="AA433" s="410">
        <f t="shared" si="31"/>
        <v>6</v>
      </c>
      <c r="AB433" s="411">
        <f t="shared" si="33"/>
        <v>6</v>
      </c>
      <c r="AC433">
        <f t="shared" si="34"/>
        <v>4</v>
      </c>
    </row>
    <row r="434" spans="1:29" ht="15" x14ac:dyDescent="0.25">
      <c r="A434">
        <v>2022</v>
      </c>
      <c r="B434" s="617">
        <v>24</v>
      </c>
      <c r="C434" s="617" t="s">
        <v>296</v>
      </c>
      <c r="D434" s="244" t="s">
        <v>38</v>
      </c>
      <c r="E434" s="244" t="s">
        <v>207</v>
      </c>
      <c r="F434" s="244" t="s">
        <v>419</v>
      </c>
      <c r="G434" s="244" t="s">
        <v>497</v>
      </c>
      <c r="H434" s="9" t="s">
        <v>616</v>
      </c>
      <c r="I434" s="9">
        <v>1</v>
      </c>
      <c r="J434" s="32">
        <v>1619</v>
      </c>
      <c r="K434" s="193"/>
      <c r="M434" t="s">
        <v>36</v>
      </c>
      <c r="N434" t="s">
        <v>207</v>
      </c>
      <c r="O434" s="50" t="str">
        <f t="shared" si="32"/>
        <v>CLAYOQUOT RIVER_Sockeye</v>
      </c>
      <c r="V434">
        <v>610</v>
      </c>
      <c r="X434" s="384"/>
      <c r="Y434" s="403">
        <v>1609</v>
      </c>
      <c r="Z434" s="32">
        <v>1619</v>
      </c>
      <c r="AA434" s="410">
        <f t="shared" si="31"/>
        <v>1614</v>
      </c>
      <c r="AB434" s="411">
        <f t="shared" si="33"/>
        <v>1279.3333333333333</v>
      </c>
      <c r="AC434">
        <f t="shared" si="34"/>
        <v>1279.3333333333333</v>
      </c>
    </row>
    <row r="435" spans="1:29" ht="15" x14ac:dyDescent="0.25">
      <c r="A435">
        <v>2022</v>
      </c>
      <c r="B435" s="617">
        <v>23</v>
      </c>
      <c r="C435" s="617" t="s">
        <v>294</v>
      </c>
      <c r="D435" s="244" t="s">
        <v>29</v>
      </c>
      <c r="E435" s="244" t="s">
        <v>207</v>
      </c>
      <c r="F435" s="244" t="s">
        <v>419</v>
      </c>
      <c r="G435" s="244" t="s">
        <v>626</v>
      </c>
      <c r="H435" s="9" t="s">
        <v>616</v>
      </c>
      <c r="I435" s="9">
        <v>10</v>
      </c>
      <c r="J435" s="32">
        <v>14983</v>
      </c>
      <c r="K435" s="193"/>
      <c r="M435" t="s">
        <v>29</v>
      </c>
      <c r="N435" t="s">
        <v>207</v>
      </c>
      <c r="O435" s="50" t="str">
        <f t="shared" si="32"/>
        <v>CLEMENS CREEK_Sockeye</v>
      </c>
      <c r="P435">
        <v>6313</v>
      </c>
      <c r="Q435">
        <v>5097</v>
      </c>
      <c r="R435">
        <v>3351</v>
      </c>
      <c r="S435">
        <v>763</v>
      </c>
      <c r="T435">
        <v>5565</v>
      </c>
      <c r="U435">
        <v>16655</v>
      </c>
      <c r="V435">
        <v>3891</v>
      </c>
      <c r="W435">
        <v>2271</v>
      </c>
      <c r="X435" s="384">
        <v>1395</v>
      </c>
      <c r="Y435" s="403">
        <v>8617</v>
      </c>
      <c r="Z435" s="32">
        <v>14983</v>
      </c>
      <c r="AA435" s="410">
        <f t="shared" si="31"/>
        <v>6816.5</v>
      </c>
      <c r="AB435" s="411">
        <f t="shared" si="33"/>
        <v>6767.5</v>
      </c>
      <c r="AC435">
        <f t="shared" si="34"/>
        <v>6263.727272727273</v>
      </c>
    </row>
    <row r="436" spans="1:29" ht="15" x14ac:dyDescent="0.25">
      <c r="A436">
        <v>2022</v>
      </c>
      <c r="B436" s="617"/>
      <c r="C436" s="617"/>
      <c r="D436" s="244"/>
      <c r="E436" s="244"/>
      <c r="F436" s="244"/>
      <c r="G436" s="244"/>
      <c r="H436" s="9"/>
      <c r="I436" s="9"/>
      <c r="J436" s="32"/>
      <c r="K436" s="193"/>
      <c r="M436" t="s">
        <v>190</v>
      </c>
      <c r="N436" t="s">
        <v>207</v>
      </c>
      <c r="O436" s="50" t="str">
        <f t="shared" si="32"/>
        <v>COLD CREEK_Sockeye</v>
      </c>
      <c r="Q436">
        <v>0</v>
      </c>
      <c r="R436">
        <v>0</v>
      </c>
      <c r="S436">
        <v>0</v>
      </c>
      <c r="X436" s="384">
        <v>0</v>
      </c>
      <c r="Y436" s="403"/>
      <c r="Z436" s="32"/>
      <c r="AA436" s="410">
        <f t="shared" si="31"/>
        <v>0</v>
      </c>
      <c r="AB436" s="411">
        <f t="shared" si="33"/>
        <v>0</v>
      </c>
      <c r="AC436">
        <f t="shared" si="34"/>
        <v>0</v>
      </c>
    </row>
    <row r="437" spans="1:29" ht="15" x14ac:dyDescent="0.25">
      <c r="A437">
        <v>2022</v>
      </c>
      <c r="B437" s="617"/>
      <c r="C437" s="617"/>
      <c r="D437" s="244"/>
      <c r="E437" s="244"/>
      <c r="F437" s="244"/>
      <c r="G437" s="244"/>
      <c r="H437" s="9"/>
      <c r="I437" s="9"/>
      <c r="J437" s="32"/>
      <c r="K437" s="193"/>
      <c r="M437" t="s">
        <v>537</v>
      </c>
      <c r="N437" t="s">
        <v>207</v>
      </c>
      <c r="O437" s="50" t="str">
        <f t="shared" si="32"/>
        <v>COLONIAL CREEK_Sockeye</v>
      </c>
      <c r="P437">
        <v>0</v>
      </c>
      <c r="Q437">
        <v>0</v>
      </c>
      <c r="R437">
        <v>0</v>
      </c>
      <c r="S437">
        <v>1</v>
      </c>
      <c r="T437">
        <v>0</v>
      </c>
      <c r="U437">
        <v>0</v>
      </c>
      <c r="V437">
        <v>0</v>
      </c>
      <c r="W437">
        <v>0</v>
      </c>
      <c r="X437" s="384">
        <v>0</v>
      </c>
      <c r="Y437" s="403"/>
      <c r="Z437" s="32"/>
      <c r="AA437" s="410">
        <f t="shared" si="31"/>
        <v>0</v>
      </c>
      <c r="AB437" s="411">
        <f t="shared" si="33"/>
        <v>0.16666666666666666</v>
      </c>
      <c r="AC437">
        <f t="shared" si="34"/>
        <v>0.1111111111111111</v>
      </c>
    </row>
    <row r="438" spans="1:29" ht="15" x14ac:dyDescent="0.25">
      <c r="A438">
        <v>2022</v>
      </c>
      <c r="B438" s="617">
        <v>27</v>
      </c>
      <c r="C438" s="617" t="s">
        <v>302</v>
      </c>
      <c r="D438" s="244" t="s">
        <v>68</v>
      </c>
      <c r="E438" s="244" t="s">
        <v>207</v>
      </c>
      <c r="F438" s="244" t="s">
        <v>419</v>
      </c>
      <c r="G438" s="244" t="s">
        <v>628</v>
      </c>
      <c r="H438" s="9" t="s">
        <v>617</v>
      </c>
      <c r="I438" s="9">
        <v>7</v>
      </c>
      <c r="J438" s="32">
        <v>6</v>
      </c>
      <c r="K438" s="193"/>
      <c r="M438" s="17" t="s">
        <v>560</v>
      </c>
      <c r="N438" t="s">
        <v>207</v>
      </c>
      <c r="O438" s="50" t="str">
        <f t="shared" si="32"/>
        <v>COLONIAL/CAYEGHLE CREEKS_Sockeye</v>
      </c>
      <c r="P438">
        <f>P437+P430</f>
        <v>0</v>
      </c>
      <c r="Q438">
        <f t="shared" ref="Q438:X438" si="36">Q437+Q430</f>
        <v>0</v>
      </c>
      <c r="R438">
        <f t="shared" si="36"/>
        <v>2</v>
      </c>
      <c r="S438">
        <f t="shared" si="36"/>
        <v>2</v>
      </c>
      <c r="T438">
        <f t="shared" si="36"/>
        <v>3</v>
      </c>
      <c r="U438">
        <f t="shared" si="36"/>
        <v>0</v>
      </c>
      <c r="V438">
        <f t="shared" si="36"/>
        <v>0</v>
      </c>
      <c r="W438">
        <f t="shared" si="36"/>
        <v>0</v>
      </c>
      <c r="X438">
        <f t="shared" si="36"/>
        <v>0</v>
      </c>
      <c r="Y438" s="403"/>
      <c r="Z438" s="32">
        <v>6</v>
      </c>
      <c r="AA438" s="410">
        <f t="shared" si="31"/>
        <v>2</v>
      </c>
      <c r="AB438" s="411">
        <f t="shared" si="33"/>
        <v>1.5714285714285714</v>
      </c>
      <c r="AC438">
        <f t="shared" si="34"/>
        <v>1.3</v>
      </c>
    </row>
    <row r="439" spans="1:29" ht="15" x14ac:dyDescent="0.25">
      <c r="A439">
        <v>2022</v>
      </c>
      <c r="B439" s="617">
        <v>25</v>
      </c>
      <c r="C439" s="617" t="s">
        <v>299</v>
      </c>
      <c r="D439" s="244" t="s">
        <v>46</v>
      </c>
      <c r="E439" s="244" t="s">
        <v>207</v>
      </c>
      <c r="F439" s="244" t="s">
        <v>419</v>
      </c>
      <c r="G439" s="244" t="s">
        <v>593</v>
      </c>
      <c r="H439" s="9" t="s">
        <v>617</v>
      </c>
      <c r="I439" s="9">
        <v>10</v>
      </c>
      <c r="J439" s="32">
        <v>115</v>
      </c>
      <c r="K439" s="193"/>
      <c r="M439" t="s">
        <v>46</v>
      </c>
      <c r="N439" t="s">
        <v>207</v>
      </c>
      <c r="O439" s="50" t="str">
        <f t="shared" si="32"/>
        <v>CONUMA RIVER_Sockeye</v>
      </c>
      <c r="P439">
        <v>71</v>
      </c>
      <c r="Q439">
        <v>105</v>
      </c>
      <c r="R439">
        <v>75</v>
      </c>
      <c r="S439">
        <v>52</v>
      </c>
      <c r="T439">
        <v>51</v>
      </c>
      <c r="U439">
        <v>111</v>
      </c>
      <c r="V439">
        <v>23</v>
      </c>
      <c r="W439">
        <v>7</v>
      </c>
      <c r="X439" s="384">
        <v>47</v>
      </c>
      <c r="Y439" s="403">
        <v>185</v>
      </c>
      <c r="Z439" s="32">
        <v>115</v>
      </c>
      <c r="AA439" s="410">
        <f t="shared" si="31"/>
        <v>88.5</v>
      </c>
      <c r="AB439" s="411">
        <f t="shared" si="33"/>
        <v>73.875</v>
      </c>
      <c r="AC439">
        <f t="shared" si="34"/>
        <v>76.545454545454547</v>
      </c>
    </row>
    <row r="440" spans="1:29" ht="15" x14ac:dyDescent="0.25">
      <c r="A440">
        <v>2022</v>
      </c>
      <c r="B440" s="617">
        <v>24</v>
      </c>
      <c r="C440" s="617" t="s">
        <v>297</v>
      </c>
      <c r="D440" s="244" t="s">
        <v>119</v>
      </c>
      <c r="E440" s="244" t="s">
        <v>207</v>
      </c>
      <c r="F440" s="244" t="s">
        <v>419</v>
      </c>
      <c r="G440" s="244" t="s">
        <v>497</v>
      </c>
      <c r="H440" s="9" t="s">
        <v>617</v>
      </c>
      <c r="I440" s="9">
        <v>5</v>
      </c>
      <c r="J440" s="32">
        <v>0</v>
      </c>
      <c r="K440" s="193"/>
      <c r="M440" t="s">
        <v>119</v>
      </c>
      <c r="N440" t="s">
        <v>207</v>
      </c>
      <c r="O440" s="50" t="str">
        <f t="shared" si="32"/>
        <v>CYPRE RIVER_Sockeye</v>
      </c>
      <c r="P440">
        <v>4</v>
      </c>
      <c r="Q440">
        <v>2</v>
      </c>
      <c r="R440">
        <v>26</v>
      </c>
      <c r="S440">
        <v>102</v>
      </c>
      <c r="T440">
        <v>18</v>
      </c>
      <c r="U440">
        <v>29</v>
      </c>
      <c r="V440">
        <v>25</v>
      </c>
      <c r="W440">
        <v>9</v>
      </c>
      <c r="X440" s="384">
        <v>7</v>
      </c>
      <c r="Y440" s="403">
        <v>10</v>
      </c>
      <c r="Z440" s="32">
        <v>0</v>
      </c>
      <c r="AA440" s="410">
        <f t="shared" si="31"/>
        <v>6.5</v>
      </c>
      <c r="AB440" s="411">
        <f t="shared" si="33"/>
        <v>25</v>
      </c>
      <c r="AC440">
        <f t="shared" si="34"/>
        <v>21.09090909090909</v>
      </c>
    </row>
    <row r="441" spans="1:29" ht="15" x14ac:dyDescent="0.25">
      <c r="A441">
        <v>2022</v>
      </c>
      <c r="B441" s="617"/>
      <c r="C441" s="617"/>
      <c r="D441" s="244"/>
      <c r="E441" s="244"/>
      <c r="F441" s="244"/>
      <c r="G441" s="244"/>
      <c r="H441" s="9"/>
      <c r="I441" s="9"/>
      <c r="J441" s="32"/>
      <c r="K441" s="193"/>
      <c r="M441" t="s">
        <v>136</v>
      </c>
      <c r="N441" t="s">
        <v>207</v>
      </c>
      <c r="O441" s="50" t="str">
        <f t="shared" si="32"/>
        <v>DESERTED CREEK_Sockeye</v>
      </c>
      <c r="P441">
        <v>0</v>
      </c>
      <c r="Q441">
        <v>0</v>
      </c>
      <c r="X441" s="384"/>
      <c r="Y441" s="403"/>
      <c r="Z441" s="32"/>
      <c r="AA441" s="410" t="e">
        <f t="shared" si="31"/>
        <v>#DIV/0!</v>
      </c>
      <c r="AB441" s="411" t="e">
        <f t="shared" si="33"/>
        <v>#DIV/0!</v>
      </c>
      <c r="AC441">
        <f t="shared" si="34"/>
        <v>0</v>
      </c>
    </row>
    <row r="442" spans="1:29" ht="15" x14ac:dyDescent="0.25">
      <c r="A442">
        <v>2022</v>
      </c>
      <c r="B442" s="617">
        <v>23</v>
      </c>
      <c r="C442" s="617" t="s">
        <v>305</v>
      </c>
      <c r="D442" s="244" t="s">
        <v>96</v>
      </c>
      <c r="E442" s="244" t="s">
        <v>207</v>
      </c>
      <c r="F442" s="244" t="s">
        <v>419</v>
      </c>
      <c r="G442" s="244" t="s">
        <v>289</v>
      </c>
      <c r="H442" s="9" t="s">
        <v>616</v>
      </c>
      <c r="I442" s="9">
        <v>4</v>
      </c>
      <c r="J442" s="32">
        <v>46</v>
      </c>
      <c r="K442" s="193"/>
      <c r="M442" t="s">
        <v>96</v>
      </c>
      <c r="N442" t="s">
        <v>207</v>
      </c>
      <c r="O442" s="50" t="str">
        <f t="shared" si="32"/>
        <v>EFFINGHAM RIVER_Sockeye</v>
      </c>
      <c r="V442">
        <v>5</v>
      </c>
      <c r="W442">
        <v>7</v>
      </c>
      <c r="X442" s="384">
        <v>3</v>
      </c>
      <c r="Y442" s="403">
        <v>9</v>
      </c>
      <c r="Z442" s="32">
        <v>46</v>
      </c>
      <c r="AA442" s="410">
        <f t="shared" si="31"/>
        <v>16.25</v>
      </c>
      <c r="AB442" s="411">
        <f t="shared" si="33"/>
        <v>14</v>
      </c>
      <c r="AC442">
        <f t="shared" si="34"/>
        <v>14</v>
      </c>
    </row>
    <row r="443" spans="1:29" ht="15" x14ac:dyDescent="0.25">
      <c r="A443">
        <v>2022</v>
      </c>
      <c r="B443" s="617">
        <v>25</v>
      </c>
      <c r="C443" s="617" t="s">
        <v>300</v>
      </c>
      <c r="D443" s="244" t="s">
        <v>138</v>
      </c>
      <c r="E443" s="244" t="s">
        <v>207</v>
      </c>
      <c r="F443" s="244" t="s">
        <v>419</v>
      </c>
      <c r="G443" s="244" t="s">
        <v>496</v>
      </c>
      <c r="H443" s="9" t="s">
        <v>616</v>
      </c>
      <c r="I443" s="9">
        <v>1</v>
      </c>
      <c r="J443" s="32">
        <v>21</v>
      </c>
      <c r="K443" s="193"/>
      <c r="M443" t="s">
        <v>138</v>
      </c>
      <c r="N443" t="s">
        <v>207</v>
      </c>
      <c r="O443" s="50" t="str">
        <f t="shared" si="32"/>
        <v>ESPINOSA CREEK_Sockeye</v>
      </c>
      <c r="P443">
        <v>3</v>
      </c>
      <c r="Q443">
        <v>0</v>
      </c>
      <c r="R443">
        <v>63</v>
      </c>
      <c r="S443">
        <v>25</v>
      </c>
      <c r="T443">
        <v>0</v>
      </c>
      <c r="U443">
        <v>4</v>
      </c>
      <c r="V443">
        <v>1</v>
      </c>
      <c r="W443">
        <v>5</v>
      </c>
      <c r="X443" s="384">
        <v>2</v>
      </c>
      <c r="Y443" s="403">
        <v>54</v>
      </c>
      <c r="Z443" s="32">
        <v>21</v>
      </c>
      <c r="AA443" s="410">
        <f t="shared" si="31"/>
        <v>20.5</v>
      </c>
      <c r="AB443" s="411">
        <f t="shared" si="33"/>
        <v>14</v>
      </c>
      <c r="AC443">
        <f t="shared" si="34"/>
        <v>16.181818181818183</v>
      </c>
    </row>
    <row r="444" spans="1:29" ht="15" x14ac:dyDescent="0.25">
      <c r="A444">
        <v>2022</v>
      </c>
      <c r="B444" s="617"/>
      <c r="C444" s="617"/>
      <c r="D444" s="244"/>
      <c r="E444" s="244"/>
      <c r="F444" s="244"/>
      <c r="G444" s="244"/>
      <c r="H444" s="9"/>
      <c r="I444" s="9"/>
      <c r="J444" s="32"/>
      <c r="K444" s="193"/>
      <c r="M444" t="s">
        <v>97</v>
      </c>
      <c r="N444" t="s">
        <v>207</v>
      </c>
      <c r="O444" s="50" t="str">
        <f t="shared" si="32"/>
        <v>FRANKLIN RIVER_Sockeye</v>
      </c>
      <c r="S444">
        <v>175</v>
      </c>
      <c r="X444" s="384"/>
      <c r="Y444" s="403"/>
      <c r="Z444" s="32"/>
      <c r="AA444" s="410" t="e">
        <f t="shared" si="31"/>
        <v>#DIV/0!</v>
      </c>
      <c r="AB444" s="411">
        <f t="shared" si="33"/>
        <v>175</v>
      </c>
      <c r="AC444">
        <f t="shared" si="34"/>
        <v>175</v>
      </c>
    </row>
    <row r="445" spans="1:29" ht="15" x14ac:dyDescent="0.25">
      <c r="A445">
        <v>2022</v>
      </c>
      <c r="B445" s="617">
        <v>25</v>
      </c>
      <c r="C445" s="617" t="s">
        <v>299</v>
      </c>
      <c r="D445" s="244" t="s">
        <v>47</v>
      </c>
      <c r="E445" s="244" t="s">
        <v>207</v>
      </c>
      <c r="F445" s="244" t="s">
        <v>419</v>
      </c>
      <c r="G445" s="244" t="s">
        <v>452</v>
      </c>
      <c r="H445" s="9" t="s">
        <v>613</v>
      </c>
      <c r="I445" s="9">
        <v>5</v>
      </c>
      <c r="J445" s="32">
        <v>423</v>
      </c>
      <c r="K445" s="193"/>
      <c r="M445" t="s">
        <v>47</v>
      </c>
      <c r="N445" t="s">
        <v>207</v>
      </c>
      <c r="O445" s="50" t="str">
        <f t="shared" si="32"/>
        <v>GOLD RIVER_Sockeye</v>
      </c>
      <c r="P445">
        <v>8</v>
      </c>
      <c r="Q445">
        <v>15</v>
      </c>
      <c r="S445">
        <v>0</v>
      </c>
      <c r="T445">
        <v>0</v>
      </c>
      <c r="W445">
        <v>280</v>
      </c>
      <c r="X445" s="384">
        <v>0</v>
      </c>
      <c r="Y445" s="403">
        <v>1572</v>
      </c>
      <c r="Z445" s="32">
        <v>423</v>
      </c>
      <c r="AA445" s="410">
        <f t="shared" si="31"/>
        <v>568.75</v>
      </c>
      <c r="AB445" s="411">
        <f t="shared" si="33"/>
        <v>379.16666666666669</v>
      </c>
      <c r="AC445">
        <f t="shared" si="34"/>
        <v>287.25</v>
      </c>
    </row>
    <row r="446" spans="1:29" ht="18" x14ac:dyDescent="0.25">
      <c r="A446">
        <v>2022</v>
      </c>
      <c r="B446" s="617">
        <v>20</v>
      </c>
      <c r="C446" s="617" t="s">
        <v>291</v>
      </c>
      <c r="D446" s="244" t="s">
        <v>17</v>
      </c>
      <c r="E446" s="244" t="s">
        <v>207</v>
      </c>
      <c r="F446" s="244" t="s">
        <v>419</v>
      </c>
      <c r="G446" s="244" t="s">
        <v>370</v>
      </c>
      <c r="H446" s="9" t="s">
        <v>615</v>
      </c>
      <c r="I446" s="9">
        <v>1</v>
      </c>
      <c r="J446" s="32">
        <v>31</v>
      </c>
      <c r="K446" s="193"/>
      <c r="M446" t="s">
        <v>17</v>
      </c>
      <c r="N446" t="s">
        <v>207</v>
      </c>
      <c r="O446" s="50" t="str">
        <f t="shared" si="32"/>
        <v>GORDON RIVER_Sockeye</v>
      </c>
      <c r="Q446">
        <v>4</v>
      </c>
      <c r="R446">
        <v>9</v>
      </c>
      <c r="S446">
        <v>8</v>
      </c>
      <c r="W446">
        <v>15</v>
      </c>
      <c r="X446" s="384"/>
      <c r="Y446" s="403"/>
      <c r="Z446" s="32">
        <v>31</v>
      </c>
      <c r="AA446" s="410">
        <f t="shared" si="31"/>
        <v>23</v>
      </c>
      <c r="AB446" s="411">
        <f t="shared" si="33"/>
        <v>18</v>
      </c>
      <c r="AC446">
        <f t="shared" si="34"/>
        <v>13.4</v>
      </c>
    </row>
    <row r="447" spans="1:29" ht="18" x14ac:dyDescent="0.25">
      <c r="A447">
        <v>2022</v>
      </c>
      <c r="B447" s="617">
        <v>25</v>
      </c>
      <c r="C447" s="617" t="s">
        <v>300</v>
      </c>
      <c r="D447" s="244" t="s">
        <v>139</v>
      </c>
      <c r="E447" s="244" t="s">
        <v>207</v>
      </c>
      <c r="F447" s="244" t="s">
        <v>419</v>
      </c>
      <c r="G447" s="244" t="s">
        <v>528</v>
      </c>
      <c r="H447" s="9" t="s">
        <v>615</v>
      </c>
      <c r="I447" s="9">
        <v>1</v>
      </c>
      <c r="J447" s="32">
        <v>0</v>
      </c>
      <c r="K447" s="193"/>
      <c r="M447" t="s">
        <v>139</v>
      </c>
      <c r="N447" t="s">
        <v>207</v>
      </c>
      <c r="O447" s="50" t="str">
        <f t="shared" si="32"/>
        <v>HAMMOND CREEK_Sockeye</v>
      </c>
      <c r="P447">
        <v>0</v>
      </c>
      <c r="X447" s="384"/>
      <c r="Y447" s="403">
        <v>0</v>
      </c>
      <c r="Z447" s="32">
        <v>0</v>
      </c>
      <c r="AA447" s="410">
        <f t="shared" si="31"/>
        <v>0</v>
      </c>
      <c r="AB447" s="411">
        <f t="shared" si="33"/>
        <v>0</v>
      </c>
      <c r="AC447">
        <f t="shared" si="34"/>
        <v>0</v>
      </c>
    </row>
    <row r="448" spans="1:29" ht="15" x14ac:dyDescent="0.25">
      <c r="A448">
        <v>2022</v>
      </c>
      <c r="B448" s="617">
        <v>20</v>
      </c>
      <c r="C448" s="617" t="s">
        <v>291</v>
      </c>
      <c r="D448" s="244" t="s">
        <v>18</v>
      </c>
      <c r="E448" s="244" t="s">
        <v>207</v>
      </c>
      <c r="F448" s="244" t="s">
        <v>419</v>
      </c>
      <c r="G448" s="244" t="s">
        <v>370</v>
      </c>
      <c r="H448" s="9" t="s">
        <v>616</v>
      </c>
      <c r="I448" s="9">
        <v>1</v>
      </c>
      <c r="J448" s="32">
        <v>0</v>
      </c>
      <c r="K448" s="193"/>
      <c r="M448" t="s">
        <v>18</v>
      </c>
      <c r="N448" t="s">
        <v>207</v>
      </c>
      <c r="O448" s="50" t="str">
        <f t="shared" si="32"/>
        <v>HARRIS CREEK_Sockeye</v>
      </c>
      <c r="S448">
        <v>679</v>
      </c>
      <c r="U448">
        <v>2</v>
      </c>
      <c r="X448" s="384"/>
      <c r="Y448" s="403"/>
      <c r="Z448" s="32">
        <v>0</v>
      </c>
      <c r="AA448" s="410">
        <f t="shared" si="31"/>
        <v>0</v>
      </c>
      <c r="AB448" s="411">
        <f t="shared" si="33"/>
        <v>227</v>
      </c>
      <c r="AC448">
        <f t="shared" si="34"/>
        <v>227</v>
      </c>
    </row>
    <row r="449" spans="1:29" ht="15" x14ac:dyDescent="0.25">
      <c r="A449">
        <v>2022</v>
      </c>
      <c r="B449" s="617"/>
      <c r="C449" s="617"/>
      <c r="D449" s="244"/>
      <c r="E449" s="244"/>
      <c r="F449" s="244"/>
      <c r="G449" s="244"/>
      <c r="H449" s="9"/>
      <c r="I449" s="9"/>
      <c r="J449" s="32"/>
      <c r="K449" s="193"/>
      <c r="M449" t="s">
        <v>539</v>
      </c>
      <c r="N449" t="s">
        <v>207</v>
      </c>
      <c r="O449" s="50" t="str">
        <f t="shared" si="32"/>
        <v>HESQUIAT HARBOUR #2 CREEKS_Sockeye</v>
      </c>
      <c r="V449">
        <v>0</v>
      </c>
      <c r="X449" s="384"/>
      <c r="Y449" s="403"/>
      <c r="Z449" s="32"/>
      <c r="AA449" s="410" t="e">
        <f t="shared" si="31"/>
        <v>#DIV/0!</v>
      </c>
      <c r="AB449" s="411">
        <f t="shared" si="33"/>
        <v>0</v>
      </c>
      <c r="AC449">
        <f t="shared" si="34"/>
        <v>0</v>
      </c>
    </row>
    <row r="450" spans="1:29" ht="15" x14ac:dyDescent="0.25">
      <c r="A450">
        <v>2022</v>
      </c>
      <c r="B450" s="617"/>
      <c r="C450" s="617"/>
      <c r="D450" s="244"/>
      <c r="E450" s="244"/>
      <c r="F450" s="244"/>
      <c r="G450" s="244"/>
      <c r="H450" s="9"/>
      <c r="I450" s="9"/>
      <c r="J450" s="32"/>
      <c r="K450" s="193"/>
      <c r="M450" t="s">
        <v>542</v>
      </c>
      <c r="N450" t="s">
        <v>207</v>
      </c>
      <c r="O450" s="50" t="str">
        <f t="shared" si="32"/>
        <v>HESQUIAT LAKE CREEK_Sockeye</v>
      </c>
      <c r="R450">
        <v>0</v>
      </c>
      <c r="V450">
        <v>0</v>
      </c>
      <c r="X450" s="384"/>
      <c r="Y450" s="403"/>
      <c r="Z450" s="32"/>
      <c r="AA450" s="410" t="e">
        <f t="shared" si="31"/>
        <v>#DIV/0!</v>
      </c>
      <c r="AB450" s="411">
        <f t="shared" si="33"/>
        <v>0</v>
      </c>
      <c r="AC450">
        <f t="shared" si="34"/>
        <v>0</v>
      </c>
    </row>
    <row r="451" spans="1:29" ht="15" x14ac:dyDescent="0.25">
      <c r="A451">
        <v>2022</v>
      </c>
      <c r="B451" s="617">
        <v>22</v>
      </c>
      <c r="C451" s="617" t="s">
        <v>304</v>
      </c>
      <c r="D451" s="244" t="s">
        <v>25</v>
      </c>
      <c r="E451" s="244" t="s">
        <v>207</v>
      </c>
      <c r="F451" s="244" t="s">
        <v>419</v>
      </c>
      <c r="G451" s="244" t="s">
        <v>624</v>
      </c>
      <c r="H451" s="9" t="s">
        <v>617</v>
      </c>
      <c r="I451" s="9">
        <v>1</v>
      </c>
      <c r="J451" s="32">
        <v>1</v>
      </c>
      <c r="K451" s="193"/>
      <c r="M451" t="s">
        <v>25</v>
      </c>
      <c r="N451" t="s">
        <v>207</v>
      </c>
      <c r="O451" s="50" t="str">
        <f t="shared" si="32"/>
        <v>HOBITON CREEK_Sockeye</v>
      </c>
      <c r="P451">
        <v>0</v>
      </c>
      <c r="W451">
        <v>4</v>
      </c>
      <c r="X451" s="384"/>
      <c r="Y451" s="403"/>
      <c r="Z451" s="32">
        <v>1</v>
      </c>
      <c r="AA451" s="410">
        <f t="shared" si="31"/>
        <v>2.5</v>
      </c>
      <c r="AB451" s="411">
        <f t="shared" si="33"/>
        <v>2.5</v>
      </c>
      <c r="AC451">
        <f t="shared" si="34"/>
        <v>1.6666666666666667</v>
      </c>
    </row>
    <row r="452" spans="1:29" ht="15" x14ac:dyDescent="0.25">
      <c r="A452">
        <v>2022</v>
      </c>
      <c r="B452" s="617"/>
      <c r="C452" s="617"/>
      <c r="D452" s="244"/>
      <c r="E452" s="244"/>
      <c r="F452" s="244"/>
      <c r="G452" s="244"/>
      <c r="H452" s="9"/>
      <c r="I452" s="9"/>
      <c r="J452" s="32"/>
      <c r="K452" s="193"/>
      <c r="M452" t="s">
        <v>140</v>
      </c>
      <c r="N452" t="s">
        <v>207</v>
      </c>
      <c r="O452" s="50" t="str">
        <f t="shared" si="32"/>
        <v>HOISS CREEK_Sockeye</v>
      </c>
      <c r="P452">
        <v>0</v>
      </c>
      <c r="X452" s="384"/>
      <c r="Y452" s="403"/>
      <c r="Z452" s="32"/>
      <c r="AA452" s="410" t="e">
        <f t="shared" si="31"/>
        <v>#DIV/0!</v>
      </c>
      <c r="AB452" s="411" t="e">
        <f t="shared" si="33"/>
        <v>#DIV/0!</v>
      </c>
      <c r="AC452">
        <f t="shared" si="34"/>
        <v>0</v>
      </c>
    </row>
    <row r="453" spans="1:29" ht="15" x14ac:dyDescent="0.25">
      <c r="A453">
        <v>2022</v>
      </c>
      <c r="B453" s="617"/>
      <c r="C453" s="617"/>
      <c r="D453" s="244"/>
      <c r="E453" s="244"/>
      <c r="F453" s="244"/>
      <c r="G453" s="244"/>
      <c r="H453" s="9"/>
      <c r="I453" s="9"/>
      <c r="J453" s="32"/>
      <c r="K453" s="193"/>
      <c r="M453" t="s">
        <v>123</v>
      </c>
      <c r="N453" t="s">
        <v>207</v>
      </c>
      <c r="O453" s="50" t="str">
        <f t="shared" si="32"/>
        <v>ICE RIVER_Sockeye</v>
      </c>
      <c r="R453">
        <v>2</v>
      </c>
      <c r="X453" s="384"/>
      <c r="Y453" s="403"/>
      <c r="Z453" s="32"/>
      <c r="AA453" s="410" t="e">
        <f t="shared" si="31"/>
        <v>#DIV/0!</v>
      </c>
      <c r="AB453" s="411" t="e">
        <f t="shared" si="33"/>
        <v>#DIV/0!</v>
      </c>
      <c r="AC453">
        <f t="shared" si="34"/>
        <v>2</v>
      </c>
    </row>
    <row r="454" spans="1:29" ht="15" x14ac:dyDescent="0.25">
      <c r="A454">
        <v>2022</v>
      </c>
      <c r="B454" s="617"/>
      <c r="C454" s="617"/>
      <c r="D454" s="244"/>
      <c r="E454" s="244"/>
      <c r="F454" s="244"/>
      <c r="G454" s="244"/>
      <c r="H454" s="9"/>
      <c r="I454" s="9"/>
      <c r="J454" s="32"/>
      <c r="K454" s="193"/>
      <c r="M454" t="s">
        <v>545</v>
      </c>
      <c r="N454" t="s">
        <v>207</v>
      </c>
      <c r="O454" s="50" t="str">
        <f t="shared" si="32"/>
        <v>JANSEN LAKE CREEK_Sockeye</v>
      </c>
      <c r="R454">
        <v>0</v>
      </c>
      <c r="S454">
        <v>0</v>
      </c>
      <c r="T454">
        <v>0</v>
      </c>
      <c r="U454">
        <v>0</v>
      </c>
      <c r="V454">
        <v>0</v>
      </c>
      <c r="X454" s="384"/>
      <c r="Y454" s="403"/>
      <c r="Z454" s="32"/>
      <c r="AA454" s="410" t="e">
        <f t="shared" si="31"/>
        <v>#DIV/0!</v>
      </c>
      <c r="AB454" s="411">
        <f t="shared" si="33"/>
        <v>0</v>
      </c>
      <c r="AC454">
        <f t="shared" si="34"/>
        <v>0</v>
      </c>
    </row>
    <row r="455" spans="1:29" ht="15" x14ac:dyDescent="0.25">
      <c r="A455">
        <v>2022</v>
      </c>
      <c r="B455" s="617">
        <v>26</v>
      </c>
      <c r="C455" s="617" t="s">
        <v>301</v>
      </c>
      <c r="D455" s="244" t="s">
        <v>62</v>
      </c>
      <c r="E455" s="244" t="s">
        <v>207</v>
      </c>
      <c r="F455" s="244" t="s">
        <v>419</v>
      </c>
      <c r="G455" s="244" t="s">
        <v>292</v>
      </c>
      <c r="H455" s="9" t="s">
        <v>616</v>
      </c>
      <c r="I455" s="9">
        <v>7</v>
      </c>
      <c r="J455" s="32">
        <v>11</v>
      </c>
      <c r="K455" s="193"/>
      <c r="M455" s="67" t="s">
        <v>62</v>
      </c>
      <c r="N455" t="s">
        <v>207</v>
      </c>
      <c r="O455" s="50" t="str">
        <f t="shared" si="32"/>
        <v>KAOUK RIVER_Sockeye</v>
      </c>
      <c r="P455">
        <v>49</v>
      </c>
      <c r="Q455">
        <v>62</v>
      </c>
      <c r="R455">
        <v>39</v>
      </c>
      <c r="S455">
        <v>69</v>
      </c>
      <c r="T455">
        <v>40</v>
      </c>
      <c r="U455">
        <v>8</v>
      </c>
      <c r="V455">
        <v>12</v>
      </c>
      <c r="W455">
        <v>3</v>
      </c>
      <c r="X455" s="384">
        <v>32</v>
      </c>
      <c r="Y455" s="403">
        <v>10</v>
      </c>
      <c r="Z455" s="32">
        <v>11</v>
      </c>
      <c r="AA455" s="410">
        <f t="shared" si="31"/>
        <v>14</v>
      </c>
      <c r="AB455" s="411">
        <f t="shared" si="33"/>
        <v>23.125</v>
      </c>
      <c r="AC455">
        <f t="shared" si="34"/>
        <v>30.454545454545453</v>
      </c>
    </row>
    <row r="456" spans="1:29" ht="15" x14ac:dyDescent="0.25">
      <c r="A456">
        <v>2022</v>
      </c>
      <c r="B456" s="617"/>
      <c r="C456" s="617"/>
      <c r="D456" s="244"/>
      <c r="E456" s="244"/>
      <c r="F456" s="244"/>
      <c r="G456" s="244"/>
      <c r="H456" s="9"/>
      <c r="I456" s="9"/>
      <c r="J456" s="32"/>
      <c r="K456" s="193"/>
      <c r="M456" t="s">
        <v>63</v>
      </c>
      <c r="N456" t="s">
        <v>207</v>
      </c>
      <c r="O456" s="50" t="str">
        <f t="shared" si="32"/>
        <v>KASHUTL RIVER_Sockeye</v>
      </c>
      <c r="P456">
        <v>0</v>
      </c>
      <c r="Q456">
        <v>2</v>
      </c>
      <c r="R456">
        <v>0</v>
      </c>
      <c r="S456">
        <v>4</v>
      </c>
      <c r="T456">
        <v>1</v>
      </c>
      <c r="U456">
        <v>35</v>
      </c>
      <c r="V456">
        <v>0</v>
      </c>
      <c r="W456">
        <v>3</v>
      </c>
      <c r="X456" s="384">
        <v>0</v>
      </c>
      <c r="Y456" s="403"/>
      <c r="Z456" s="32"/>
      <c r="AA456" s="410">
        <f t="shared" si="31"/>
        <v>1.5</v>
      </c>
      <c r="AB456" s="411">
        <f t="shared" si="33"/>
        <v>7.166666666666667</v>
      </c>
      <c r="AC456">
        <f t="shared" si="34"/>
        <v>5</v>
      </c>
    </row>
    <row r="457" spans="1:29" ht="15" x14ac:dyDescent="0.25">
      <c r="A457">
        <v>2022</v>
      </c>
      <c r="B457" s="617"/>
      <c r="C457" s="617"/>
      <c r="D457" s="244"/>
      <c r="E457" s="244"/>
      <c r="F457" s="244"/>
      <c r="G457" s="244"/>
      <c r="H457" s="9"/>
      <c r="I457" s="9"/>
      <c r="J457" s="32"/>
      <c r="K457" s="193"/>
      <c r="M457" s="67" t="s">
        <v>64</v>
      </c>
      <c r="N457" t="s">
        <v>207</v>
      </c>
      <c r="O457" s="50" t="str">
        <f t="shared" si="32"/>
        <v>KAUWINCH RIVER_Sockeye</v>
      </c>
      <c r="P457">
        <v>0</v>
      </c>
      <c r="Q457">
        <v>12</v>
      </c>
      <c r="R457">
        <v>0</v>
      </c>
      <c r="S457">
        <v>57</v>
      </c>
      <c r="T457">
        <v>37</v>
      </c>
      <c r="U457">
        <v>5</v>
      </c>
      <c r="V457">
        <v>3</v>
      </c>
      <c r="W457">
        <v>0</v>
      </c>
      <c r="X457" s="384">
        <v>0</v>
      </c>
      <c r="Y457" s="403">
        <v>3</v>
      </c>
      <c r="Z457" s="32"/>
      <c r="AA457" s="410">
        <f t="shared" si="31"/>
        <v>1</v>
      </c>
      <c r="AB457" s="411">
        <f t="shared" si="33"/>
        <v>15</v>
      </c>
      <c r="AC457">
        <f t="shared" si="34"/>
        <v>11.7</v>
      </c>
    </row>
    <row r="458" spans="1:29" ht="15" x14ac:dyDescent="0.25">
      <c r="A458">
        <v>2022</v>
      </c>
      <c r="B458" s="617">
        <v>24</v>
      </c>
      <c r="C458" s="617" t="s">
        <v>296</v>
      </c>
      <c r="D458" s="244" t="s">
        <v>243</v>
      </c>
      <c r="E458" s="244" t="s">
        <v>207</v>
      </c>
      <c r="F458" s="244" t="s">
        <v>419</v>
      </c>
      <c r="G458" s="244" t="s">
        <v>626</v>
      </c>
      <c r="H458" s="9" t="s">
        <v>618</v>
      </c>
      <c r="I458" s="9">
        <v>4</v>
      </c>
      <c r="J458" s="32">
        <v>889</v>
      </c>
      <c r="K458" s="193"/>
      <c r="M458" s="19" t="s">
        <v>243</v>
      </c>
      <c r="N458" t="s">
        <v>207</v>
      </c>
      <c r="O458" s="50" t="str">
        <f t="shared" si="32"/>
        <v>KENNEDY LAKE BEACHES_Sockeye</v>
      </c>
      <c r="Q458">
        <v>255</v>
      </c>
      <c r="R458">
        <v>4492</v>
      </c>
      <c r="S458">
        <v>4092</v>
      </c>
      <c r="U458">
        <v>0</v>
      </c>
      <c r="W458">
        <v>17</v>
      </c>
      <c r="X458" s="384"/>
      <c r="Y458" s="403">
        <v>475</v>
      </c>
      <c r="Z458" s="32">
        <v>889</v>
      </c>
      <c r="AA458" s="410">
        <f t="shared" ref="AA458:AA502" si="37">AVERAGE(W458:Z458)</f>
        <v>460.33333333333331</v>
      </c>
      <c r="AB458" s="411">
        <f t="shared" si="33"/>
        <v>1094.5999999999999</v>
      </c>
      <c r="AC458">
        <f t="shared" si="34"/>
        <v>1460</v>
      </c>
    </row>
    <row r="459" spans="1:29" ht="15" x14ac:dyDescent="0.25">
      <c r="A459">
        <v>2022</v>
      </c>
      <c r="B459" s="617"/>
      <c r="C459" s="617"/>
      <c r="D459" s="244"/>
      <c r="E459" s="244"/>
      <c r="F459" s="244"/>
      <c r="G459" s="244"/>
      <c r="H459" s="9"/>
      <c r="I459" s="9"/>
      <c r="J459" s="32"/>
      <c r="K459" s="193"/>
      <c r="M459" t="s">
        <v>124</v>
      </c>
      <c r="N459" t="s">
        <v>207</v>
      </c>
      <c r="O459" s="50" t="str">
        <f t="shared" si="32"/>
        <v>KENNEDY LAKE FEEDER STREAMS_Sockeye</v>
      </c>
      <c r="U459">
        <v>0</v>
      </c>
      <c r="V459">
        <v>0</v>
      </c>
      <c r="X459" s="384">
        <v>0</v>
      </c>
      <c r="Y459" s="403"/>
      <c r="Z459" s="32"/>
      <c r="AA459" s="410">
        <f t="shared" si="37"/>
        <v>0</v>
      </c>
      <c r="AB459" s="411">
        <f t="shared" si="33"/>
        <v>0</v>
      </c>
      <c r="AC459">
        <f t="shared" si="34"/>
        <v>0</v>
      </c>
    </row>
    <row r="460" spans="1:29" ht="15" x14ac:dyDescent="0.25">
      <c r="A460">
        <v>2022</v>
      </c>
      <c r="B460" s="617">
        <v>24</v>
      </c>
      <c r="C460" s="617" t="s">
        <v>296</v>
      </c>
      <c r="D460" s="244" t="s">
        <v>40</v>
      </c>
      <c r="E460" s="244" t="s">
        <v>207</v>
      </c>
      <c r="F460" s="244" t="s">
        <v>419</v>
      </c>
      <c r="G460" s="244" t="s">
        <v>497</v>
      </c>
      <c r="H460" s="9" t="s">
        <v>620</v>
      </c>
      <c r="I460" s="9">
        <v>2</v>
      </c>
      <c r="J460" s="32">
        <v>2644</v>
      </c>
      <c r="K460" s="193"/>
      <c r="M460" s="359" t="s">
        <v>40</v>
      </c>
      <c r="N460" t="s">
        <v>207</v>
      </c>
      <c r="O460" s="50" t="str">
        <f t="shared" ref="O460:O502" si="38">CONCATENATE(M460,"_",N460)</f>
        <v>KENNEDY RIVER (UPPER)_Sockeye</v>
      </c>
      <c r="P460">
        <v>10800</v>
      </c>
      <c r="Q460">
        <v>1630</v>
      </c>
      <c r="R460">
        <v>1567</v>
      </c>
      <c r="S460">
        <v>1301</v>
      </c>
      <c r="T460">
        <v>2592</v>
      </c>
      <c r="U460">
        <v>3531</v>
      </c>
      <c r="V460">
        <v>1643</v>
      </c>
      <c r="W460">
        <v>613</v>
      </c>
      <c r="X460" s="384">
        <v>1032</v>
      </c>
      <c r="Y460" s="403">
        <v>2198</v>
      </c>
      <c r="Z460" s="32">
        <v>2644</v>
      </c>
      <c r="AA460" s="410">
        <f t="shared" si="37"/>
        <v>1621.75</v>
      </c>
      <c r="AB460" s="411">
        <f t="shared" si="33"/>
        <v>1944.25</v>
      </c>
      <c r="AC460">
        <f t="shared" si="34"/>
        <v>2686.4545454545455</v>
      </c>
    </row>
    <row r="461" spans="1:29" ht="15" x14ac:dyDescent="0.25">
      <c r="A461">
        <v>2022</v>
      </c>
      <c r="B461" s="617">
        <v>21</v>
      </c>
      <c r="C461" s="617" t="s">
        <v>304</v>
      </c>
      <c r="D461" s="244" t="s">
        <v>77</v>
      </c>
      <c r="E461" s="244" t="s">
        <v>207</v>
      </c>
      <c r="F461" s="244" t="s">
        <v>419</v>
      </c>
      <c r="G461" s="244" t="s">
        <v>374</v>
      </c>
      <c r="H461" s="9" t="s">
        <v>613</v>
      </c>
      <c r="I461" s="9">
        <v>1</v>
      </c>
      <c r="J461" s="32">
        <v>0</v>
      </c>
      <c r="K461" s="193"/>
      <c r="M461" t="s">
        <v>77</v>
      </c>
      <c r="N461" t="s">
        <v>207</v>
      </c>
      <c r="O461" s="50" t="str">
        <f t="shared" si="38"/>
        <v>KLANAWA RIVER_Sockeye</v>
      </c>
      <c r="P461">
        <v>0</v>
      </c>
      <c r="X461" s="384"/>
      <c r="Y461" s="403"/>
      <c r="Z461" s="32">
        <v>0</v>
      </c>
      <c r="AA461" s="410">
        <f t="shared" si="37"/>
        <v>0</v>
      </c>
      <c r="AB461" s="411">
        <f t="shared" si="33"/>
        <v>0</v>
      </c>
      <c r="AC461">
        <f t="shared" si="34"/>
        <v>0</v>
      </c>
    </row>
    <row r="462" spans="1:29" ht="15" x14ac:dyDescent="0.25">
      <c r="A462">
        <v>2022</v>
      </c>
      <c r="B462" s="617">
        <v>25</v>
      </c>
      <c r="C462" s="617" t="s">
        <v>299</v>
      </c>
      <c r="D462" s="244" t="s">
        <v>142</v>
      </c>
      <c r="E462" s="244" t="s">
        <v>207</v>
      </c>
      <c r="F462" s="244" t="s">
        <v>419</v>
      </c>
      <c r="G462" s="244" t="s">
        <v>452</v>
      </c>
      <c r="H462" s="9" t="s">
        <v>609</v>
      </c>
      <c r="I462" s="9">
        <v>1</v>
      </c>
      <c r="J462" s="32">
        <v>1</v>
      </c>
      <c r="K462" s="193"/>
      <c r="M462" t="s">
        <v>142</v>
      </c>
      <c r="N462" t="s">
        <v>207</v>
      </c>
      <c r="O462" s="50" t="str">
        <f t="shared" si="38"/>
        <v>KLEEPTEE CREEK_Sockeye</v>
      </c>
      <c r="P462">
        <v>6</v>
      </c>
      <c r="T462">
        <v>8</v>
      </c>
      <c r="X462" s="384"/>
      <c r="Y462" s="403"/>
      <c r="Z462" s="32">
        <v>1</v>
      </c>
      <c r="AA462" s="410">
        <f t="shared" si="37"/>
        <v>1</v>
      </c>
      <c r="AB462" s="411">
        <f t="shared" si="33"/>
        <v>4.5</v>
      </c>
      <c r="AC462">
        <f t="shared" si="34"/>
        <v>5</v>
      </c>
    </row>
    <row r="463" spans="1:29" ht="15" x14ac:dyDescent="0.25">
      <c r="A463">
        <v>2022</v>
      </c>
      <c r="B463" s="617">
        <v>25</v>
      </c>
      <c r="C463" s="618" t="s">
        <v>299</v>
      </c>
      <c r="D463" s="244" t="s">
        <v>48</v>
      </c>
      <c r="E463" s="244" t="s">
        <v>207</v>
      </c>
      <c r="F463" s="244" t="s">
        <v>419</v>
      </c>
      <c r="G463" s="244" t="s">
        <v>495</v>
      </c>
      <c r="H463" s="9" t="s">
        <v>617</v>
      </c>
      <c r="I463" s="9">
        <v>7</v>
      </c>
      <c r="J463" s="32">
        <v>443</v>
      </c>
      <c r="K463" s="193"/>
      <c r="M463" t="s">
        <v>48</v>
      </c>
      <c r="N463" t="s">
        <v>207</v>
      </c>
      <c r="O463" s="50" t="str">
        <f t="shared" si="38"/>
        <v>LEINER RIVER_Sockeye</v>
      </c>
      <c r="P463">
        <v>251</v>
      </c>
      <c r="Q463">
        <v>97</v>
      </c>
      <c r="R463">
        <v>434</v>
      </c>
      <c r="S463">
        <v>173</v>
      </c>
      <c r="T463">
        <v>2258</v>
      </c>
      <c r="U463">
        <v>103</v>
      </c>
      <c r="V463">
        <v>124</v>
      </c>
      <c r="W463">
        <v>38</v>
      </c>
      <c r="X463" s="384">
        <v>603</v>
      </c>
      <c r="Y463" s="403">
        <v>437</v>
      </c>
      <c r="Z463" s="32">
        <v>443</v>
      </c>
      <c r="AA463" s="410">
        <f t="shared" si="37"/>
        <v>380.25</v>
      </c>
      <c r="AB463" s="411">
        <f t="shared" si="33"/>
        <v>522.375</v>
      </c>
      <c r="AC463">
        <f t="shared" si="34"/>
        <v>451</v>
      </c>
    </row>
    <row r="464" spans="1:29" ht="15" x14ac:dyDescent="0.25">
      <c r="A464">
        <v>2022</v>
      </c>
      <c r="B464" s="617">
        <v>20</v>
      </c>
      <c r="C464" s="617" t="s">
        <v>291</v>
      </c>
      <c r="D464" s="244" t="s">
        <v>73</v>
      </c>
      <c r="E464" s="244" t="s">
        <v>207</v>
      </c>
      <c r="F464" s="244" t="s">
        <v>419</v>
      </c>
      <c r="G464" s="244" t="s">
        <v>370</v>
      </c>
      <c r="H464" s="9" t="s">
        <v>617</v>
      </c>
      <c r="I464" s="9">
        <v>1</v>
      </c>
      <c r="J464" s="32">
        <v>0</v>
      </c>
      <c r="K464" s="193"/>
      <c r="M464" t="s">
        <v>73</v>
      </c>
      <c r="N464" t="s">
        <v>207</v>
      </c>
      <c r="O464" s="50" t="str">
        <f t="shared" si="38"/>
        <v>LENS CREEK_Sockeye</v>
      </c>
      <c r="S464">
        <v>56</v>
      </c>
      <c r="X464" s="384"/>
      <c r="Y464" s="403"/>
      <c r="Z464" s="32">
        <v>0</v>
      </c>
      <c r="AA464" s="410">
        <f t="shared" si="37"/>
        <v>0</v>
      </c>
      <c r="AB464" s="411">
        <f t="shared" si="33"/>
        <v>28</v>
      </c>
      <c r="AC464">
        <f t="shared" si="34"/>
        <v>28</v>
      </c>
    </row>
    <row r="465" spans="1:29" ht="15" x14ac:dyDescent="0.25">
      <c r="A465">
        <v>2022</v>
      </c>
      <c r="B465" s="617"/>
      <c r="C465" s="617"/>
      <c r="D465" s="244"/>
      <c r="E465" s="244"/>
      <c r="F465" s="244"/>
      <c r="G465" s="244"/>
      <c r="H465" s="9"/>
      <c r="I465" s="9"/>
      <c r="J465" s="32"/>
      <c r="K465" s="193"/>
      <c r="M465" t="s">
        <v>143</v>
      </c>
      <c r="N465" t="s">
        <v>207</v>
      </c>
      <c r="O465" s="50" t="str">
        <f t="shared" si="38"/>
        <v>LITTLE ZEBALLOS RIVER_Sockeye</v>
      </c>
      <c r="P465">
        <v>16</v>
      </c>
      <c r="Q465">
        <v>18</v>
      </c>
      <c r="R465">
        <v>31</v>
      </c>
      <c r="S465">
        <v>10</v>
      </c>
      <c r="T465">
        <v>113</v>
      </c>
      <c r="U465">
        <v>2</v>
      </c>
      <c r="V465">
        <v>40</v>
      </c>
      <c r="W465">
        <v>3</v>
      </c>
      <c r="X465" s="384">
        <v>34</v>
      </c>
      <c r="Y465" s="403"/>
      <c r="Z465" s="32"/>
      <c r="AA465" s="410">
        <f t="shared" si="37"/>
        <v>18.5</v>
      </c>
      <c r="AB465" s="411">
        <f t="shared" si="33"/>
        <v>33.666666666666664</v>
      </c>
      <c r="AC465">
        <f t="shared" si="34"/>
        <v>29.666666666666668</v>
      </c>
    </row>
    <row r="466" spans="1:29" ht="15" x14ac:dyDescent="0.25">
      <c r="A466">
        <v>2022</v>
      </c>
      <c r="B466" s="617"/>
      <c r="C466" s="617"/>
      <c r="D466" s="244"/>
      <c r="E466" s="244"/>
      <c r="F466" s="244"/>
      <c r="G466" s="244"/>
      <c r="H466" s="9"/>
      <c r="I466" s="9"/>
      <c r="J466" s="32"/>
      <c r="K466" s="193"/>
      <c r="M466" t="s">
        <v>194</v>
      </c>
      <c r="N466" t="s">
        <v>207</v>
      </c>
      <c r="O466" s="50" t="str">
        <f t="shared" si="38"/>
        <v>LOST SHOE CREEK_Sockeye</v>
      </c>
      <c r="V466">
        <v>0</v>
      </c>
      <c r="X466" s="384"/>
      <c r="Y466" s="403"/>
      <c r="Z466" s="32"/>
      <c r="AA466" s="410" t="e">
        <f t="shared" si="37"/>
        <v>#DIV/0!</v>
      </c>
      <c r="AB466" s="411">
        <f t="shared" si="33"/>
        <v>0</v>
      </c>
      <c r="AC466">
        <f t="shared" si="34"/>
        <v>0</v>
      </c>
    </row>
    <row r="467" spans="1:29" ht="15" x14ac:dyDescent="0.25">
      <c r="A467">
        <v>2022</v>
      </c>
      <c r="B467" s="617"/>
      <c r="C467" s="617"/>
      <c r="D467" s="244"/>
      <c r="E467" s="244"/>
      <c r="F467" s="244"/>
      <c r="G467" s="244"/>
      <c r="H467" s="9"/>
      <c r="I467" s="9"/>
      <c r="J467" s="32"/>
      <c r="K467" s="193"/>
      <c r="M467" t="s">
        <v>181</v>
      </c>
      <c r="N467" t="s">
        <v>207</v>
      </c>
      <c r="O467" s="50" t="str">
        <f t="shared" si="38"/>
        <v>MAGGIE RIVER_Sockeye</v>
      </c>
      <c r="W467">
        <v>0</v>
      </c>
      <c r="X467" s="384">
        <v>0</v>
      </c>
      <c r="Y467" s="403"/>
      <c r="Z467" s="32"/>
      <c r="AA467" s="410">
        <f t="shared" si="37"/>
        <v>0</v>
      </c>
      <c r="AB467" s="411">
        <f t="shared" si="33"/>
        <v>0</v>
      </c>
      <c r="AC467">
        <f t="shared" si="34"/>
        <v>0</v>
      </c>
    </row>
    <row r="468" spans="1:29" ht="15" x14ac:dyDescent="0.25">
      <c r="A468">
        <v>2022</v>
      </c>
      <c r="B468" s="617">
        <v>26</v>
      </c>
      <c r="C468" s="617" t="s">
        <v>301</v>
      </c>
      <c r="D468" s="244" t="s">
        <v>205</v>
      </c>
      <c r="E468" s="244" t="s">
        <v>207</v>
      </c>
      <c r="F468" s="244" t="s">
        <v>419</v>
      </c>
      <c r="G468" s="244" t="s">
        <v>292</v>
      </c>
      <c r="H468" s="9" t="s">
        <v>616</v>
      </c>
      <c r="I468" s="9">
        <v>6</v>
      </c>
      <c r="J468" s="32">
        <v>8</v>
      </c>
      <c r="K468" s="193"/>
      <c r="M468" t="s">
        <v>205</v>
      </c>
      <c r="N468" t="s">
        <v>207</v>
      </c>
      <c r="O468" s="50" t="str">
        <f t="shared" si="38"/>
        <v>MALKSOPE RIVER_Sockeye</v>
      </c>
      <c r="P468">
        <v>2</v>
      </c>
      <c r="Q468">
        <v>0</v>
      </c>
      <c r="R468">
        <v>1</v>
      </c>
      <c r="S468">
        <v>7</v>
      </c>
      <c r="T468">
        <v>10</v>
      </c>
      <c r="U468">
        <v>7</v>
      </c>
      <c r="V468">
        <v>3</v>
      </c>
      <c r="W468">
        <v>0</v>
      </c>
      <c r="X468" s="384">
        <v>3</v>
      </c>
      <c r="Y468" s="403">
        <v>0</v>
      </c>
      <c r="Z468" s="32">
        <v>8</v>
      </c>
      <c r="AA468" s="410">
        <f t="shared" si="37"/>
        <v>2.75</v>
      </c>
      <c r="AB468" s="411">
        <f t="shared" si="33"/>
        <v>4.75</v>
      </c>
      <c r="AC468">
        <f t="shared" si="34"/>
        <v>3.7272727272727271</v>
      </c>
    </row>
    <row r="469" spans="1:29" ht="15" x14ac:dyDescent="0.25">
      <c r="A469">
        <v>2022</v>
      </c>
      <c r="B469" s="617"/>
      <c r="C469" s="617"/>
      <c r="D469" s="244"/>
      <c r="E469" s="244"/>
      <c r="F469" s="244"/>
      <c r="G469" s="244"/>
      <c r="H469" s="9"/>
      <c r="I469" s="9"/>
      <c r="J469" s="32"/>
      <c r="K469" s="193"/>
      <c r="M469" t="s">
        <v>145</v>
      </c>
      <c r="N469" t="s">
        <v>207</v>
      </c>
      <c r="O469" s="50" t="str">
        <f t="shared" si="38"/>
        <v>MAMAT CREEK_Sockeye</v>
      </c>
      <c r="V469">
        <v>5</v>
      </c>
      <c r="X469" s="384"/>
      <c r="Y469" s="403"/>
      <c r="Z469" s="32"/>
      <c r="AA469" s="410" t="e">
        <f t="shared" si="37"/>
        <v>#DIV/0!</v>
      </c>
      <c r="AB469" s="411">
        <f t="shared" si="33"/>
        <v>5</v>
      </c>
      <c r="AC469">
        <f t="shared" si="34"/>
        <v>5</v>
      </c>
    </row>
    <row r="470" spans="1:29" ht="15" x14ac:dyDescent="0.25">
      <c r="A470">
        <v>2022</v>
      </c>
      <c r="B470" s="617">
        <v>27</v>
      </c>
      <c r="C470" s="617" t="s">
        <v>302</v>
      </c>
      <c r="D470" s="244" t="s">
        <v>70</v>
      </c>
      <c r="E470" s="244" t="s">
        <v>207</v>
      </c>
      <c r="F470" s="244" t="s">
        <v>419</v>
      </c>
      <c r="G470" s="244" t="s">
        <v>628</v>
      </c>
      <c r="H470" s="9" t="s">
        <v>617</v>
      </c>
      <c r="I470" s="9">
        <v>5</v>
      </c>
      <c r="J470" s="32">
        <v>0</v>
      </c>
      <c r="K470" s="193"/>
      <c r="M470" t="s">
        <v>70</v>
      </c>
      <c r="N470" t="s">
        <v>207</v>
      </c>
      <c r="O470" s="50" t="str">
        <f t="shared" si="38"/>
        <v>MARBLE RIVER_Sockeye</v>
      </c>
      <c r="P470">
        <v>0</v>
      </c>
      <c r="Q470">
        <v>0</v>
      </c>
      <c r="R470">
        <v>0</v>
      </c>
      <c r="S470">
        <v>0</v>
      </c>
      <c r="T470">
        <v>0</v>
      </c>
      <c r="U470">
        <v>0</v>
      </c>
      <c r="V470">
        <v>0</v>
      </c>
      <c r="W470">
        <v>0</v>
      </c>
      <c r="X470" s="384">
        <v>0</v>
      </c>
      <c r="Y470" s="403">
        <v>0</v>
      </c>
      <c r="Z470" s="32">
        <v>0</v>
      </c>
      <c r="AA470" s="410">
        <f t="shared" si="37"/>
        <v>0</v>
      </c>
      <c r="AB470" s="411">
        <f t="shared" si="33"/>
        <v>0</v>
      </c>
      <c r="AC470">
        <f t="shared" si="34"/>
        <v>0</v>
      </c>
    </row>
    <row r="471" spans="1:29" ht="15" x14ac:dyDescent="0.25">
      <c r="A471">
        <v>2022</v>
      </c>
      <c r="B471" s="617"/>
      <c r="C471" s="617"/>
      <c r="D471" s="244"/>
      <c r="E471" s="244"/>
      <c r="F471" s="244"/>
      <c r="G471" s="244"/>
      <c r="H471" s="9"/>
      <c r="I471" s="9"/>
      <c r="J471" s="32"/>
      <c r="K471" s="193"/>
      <c r="M471" t="s">
        <v>146</v>
      </c>
      <c r="N471" t="s">
        <v>207</v>
      </c>
      <c r="O471" s="50" t="str">
        <f t="shared" si="38"/>
        <v>MARVINAS BAY CREEK_Sockeye</v>
      </c>
      <c r="P471">
        <v>0</v>
      </c>
      <c r="X471" s="384"/>
      <c r="Y471" s="403"/>
      <c r="Z471" s="32"/>
      <c r="AA471" s="410" t="e">
        <f t="shared" si="37"/>
        <v>#DIV/0!</v>
      </c>
      <c r="AB471" s="411" t="e">
        <f t="shared" si="33"/>
        <v>#DIV/0!</v>
      </c>
      <c r="AC471">
        <f t="shared" si="34"/>
        <v>0</v>
      </c>
    </row>
    <row r="472" spans="1:29" ht="15" x14ac:dyDescent="0.25">
      <c r="A472">
        <v>2022</v>
      </c>
      <c r="B472" s="617">
        <v>24</v>
      </c>
      <c r="C472" s="617" t="s">
        <v>297</v>
      </c>
      <c r="D472" s="244" t="s">
        <v>41</v>
      </c>
      <c r="E472" s="244" t="s">
        <v>207</v>
      </c>
      <c r="F472" s="244" t="s">
        <v>419</v>
      </c>
      <c r="G472" s="244" t="s">
        <v>497</v>
      </c>
      <c r="H472" s="9" t="s">
        <v>616</v>
      </c>
      <c r="I472" s="9">
        <v>3</v>
      </c>
      <c r="J472" s="32">
        <v>2893</v>
      </c>
      <c r="K472" s="193"/>
      <c r="M472" t="s">
        <v>41</v>
      </c>
      <c r="N472" t="s">
        <v>207</v>
      </c>
      <c r="O472" s="50" t="str">
        <f t="shared" si="38"/>
        <v>MEGIN RIVER_Sockeye</v>
      </c>
      <c r="P472">
        <v>0</v>
      </c>
      <c r="Q472">
        <v>444</v>
      </c>
      <c r="R472">
        <v>1264</v>
      </c>
      <c r="S472">
        <v>23</v>
      </c>
      <c r="T472">
        <v>1</v>
      </c>
      <c r="U472">
        <v>2240</v>
      </c>
      <c r="V472">
        <v>1026</v>
      </c>
      <c r="W472">
        <v>291</v>
      </c>
      <c r="X472" s="384">
        <v>563</v>
      </c>
      <c r="Y472" s="403">
        <v>1164</v>
      </c>
      <c r="Z472" s="32">
        <v>2893</v>
      </c>
      <c r="AA472" s="410">
        <f t="shared" si="37"/>
        <v>1227.75</v>
      </c>
      <c r="AB472" s="411">
        <f t="shared" si="33"/>
        <v>1025.125</v>
      </c>
      <c r="AC472">
        <f t="shared" si="34"/>
        <v>900.81818181818187</v>
      </c>
    </row>
    <row r="473" spans="1:29" ht="15" x14ac:dyDescent="0.25">
      <c r="A473">
        <v>2022</v>
      </c>
      <c r="B473" s="617">
        <v>25</v>
      </c>
      <c r="C473" s="617" t="s">
        <v>299</v>
      </c>
      <c r="D473" s="244" t="s">
        <v>147</v>
      </c>
      <c r="E473" s="244" t="s">
        <v>207</v>
      </c>
      <c r="F473" s="244" t="s">
        <v>419</v>
      </c>
      <c r="G473" s="244" t="s">
        <v>452</v>
      </c>
      <c r="H473" s="9" t="s">
        <v>611</v>
      </c>
      <c r="I473" s="9">
        <v>1</v>
      </c>
      <c r="J473" s="32">
        <v>2</v>
      </c>
      <c r="K473" s="193"/>
      <c r="M473" t="s">
        <v>147</v>
      </c>
      <c r="N473" t="s">
        <v>207</v>
      </c>
      <c r="O473" s="50" t="str">
        <f t="shared" si="38"/>
        <v>MOOYAH RIVER_Sockeye</v>
      </c>
      <c r="P473">
        <v>0</v>
      </c>
      <c r="X473" s="384"/>
      <c r="Y473" s="403"/>
      <c r="Z473" s="32">
        <v>2</v>
      </c>
      <c r="AA473" s="410">
        <f t="shared" si="37"/>
        <v>2</v>
      </c>
      <c r="AB473" s="411">
        <f t="shared" si="33"/>
        <v>2</v>
      </c>
      <c r="AC473">
        <f t="shared" si="34"/>
        <v>1</v>
      </c>
    </row>
    <row r="474" spans="1:29" ht="15" x14ac:dyDescent="0.25">
      <c r="A474">
        <v>2022</v>
      </c>
      <c r="B474" s="617">
        <v>24</v>
      </c>
      <c r="C474" s="617" t="s">
        <v>297</v>
      </c>
      <c r="D474" s="244" t="s">
        <v>42</v>
      </c>
      <c r="E474" s="244" t="s">
        <v>207</v>
      </c>
      <c r="F474" s="244" t="s">
        <v>419</v>
      </c>
      <c r="G474" s="244" t="s">
        <v>497</v>
      </c>
      <c r="H474" s="9" t="s">
        <v>616</v>
      </c>
      <c r="I474" s="9">
        <v>4</v>
      </c>
      <c r="J474" s="32">
        <v>134</v>
      </c>
      <c r="K474" s="193"/>
      <c r="M474" t="s">
        <v>42</v>
      </c>
      <c r="N474" t="s">
        <v>207</v>
      </c>
      <c r="O474" s="50" t="str">
        <f t="shared" si="38"/>
        <v>MOYEHA RIVER_Sockeye</v>
      </c>
      <c r="Q474">
        <v>49</v>
      </c>
      <c r="R474">
        <v>373</v>
      </c>
      <c r="T474">
        <v>221</v>
      </c>
      <c r="U474">
        <v>129</v>
      </c>
      <c r="V474">
        <v>61</v>
      </c>
      <c r="W474">
        <v>62</v>
      </c>
      <c r="X474" s="384">
        <v>63</v>
      </c>
      <c r="Y474" s="403">
        <v>383</v>
      </c>
      <c r="Z474" s="32">
        <v>134</v>
      </c>
      <c r="AA474" s="410">
        <f t="shared" si="37"/>
        <v>160.5</v>
      </c>
      <c r="AB474" s="411">
        <f t="shared" si="33"/>
        <v>150.42857142857142</v>
      </c>
      <c r="AC474">
        <f t="shared" si="34"/>
        <v>163.88888888888889</v>
      </c>
    </row>
    <row r="475" spans="1:29" ht="15" x14ac:dyDescent="0.25">
      <c r="A475">
        <v>2022</v>
      </c>
      <c r="B475" s="617">
        <v>25</v>
      </c>
      <c r="C475" s="617" t="s">
        <v>299</v>
      </c>
      <c r="D475" s="244" t="s">
        <v>49</v>
      </c>
      <c r="E475" s="244" t="s">
        <v>207</v>
      </c>
      <c r="F475" s="244" t="s">
        <v>419</v>
      </c>
      <c r="G475" s="244" t="s">
        <v>452</v>
      </c>
      <c r="H475" s="9" t="s">
        <v>617</v>
      </c>
      <c r="I475" s="9">
        <v>3</v>
      </c>
      <c r="J475" s="32">
        <v>27</v>
      </c>
      <c r="K475" s="193"/>
      <c r="M475" t="s">
        <v>49</v>
      </c>
      <c r="N475" t="s">
        <v>207</v>
      </c>
      <c r="O475" s="50" t="str">
        <f t="shared" si="38"/>
        <v>MUCHALAT RIVER_Sockeye</v>
      </c>
      <c r="W475">
        <v>100</v>
      </c>
      <c r="X475" s="384">
        <v>46</v>
      </c>
      <c r="Y475" s="403">
        <v>11</v>
      </c>
      <c r="Z475" s="32">
        <v>27</v>
      </c>
      <c r="AA475" s="410">
        <f t="shared" si="37"/>
        <v>46</v>
      </c>
      <c r="AB475" s="411">
        <f t="shared" si="33"/>
        <v>46</v>
      </c>
      <c r="AC475">
        <f t="shared" si="34"/>
        <v>46</v>
      </c>
    </row>
    <row r="476" spans="1:29" ht="15" x14ac:dyDescent="0.25">
      <c r="A476">
        <v>2022</v>
      </c>
      <c r="B476" s="617"/>
      <c r="C476" s="617"/>
      <c r="D476" s="244"/>
      <c r="E476" s="244"/>
      <c r="F476" s="244"/>
      <c r="G476" s="244"/>
      <c r="H476" s="9"/>
      <c r="I476" s="9"/>
      <c r="J476" s="32"/>
      <c r="K476" s="193"/>
      <c r="M476" t="s">
        <v>548</v>
      </c>
      <c r="N476" t="s">
        <v>207</v>
      </c>
      <c r="O476" s="50" t="str">
        <f t="shared" si="38"/>
        <v>MURIEL LAKE CREEK_Sockeye</v>
      </c>
      <c r="Q476">
        <v>161</v>
      </c>
      <c r="V476">
        <v>64</v>
      </c>
      <c r="X476" s="384">
        <v>55</v>
      </c>
      <c r="Y476" s="403">
        <v>99</v>
      </c>
      <c r="Z476" s="32"/>
      <c r="AA476" s="410">
        <f t="shared" si="37"/>
        <v>77</v>
      </c>
      <c r="AB476" s="411">
        <f t="shared" si="33"/>
        <v>72.666666666666671</v>
      </c>
      <c r="AC476">
        <f t="shared" si="34"/>
        <v>94.75</v>
      </c>
    </row>
    <row r="477" spans="1:29" ht="15" x14ac:dyDescent="0.25">
      <c r="A477">
        <v>2022</v>
      </c>
      <c r="B477" s="617"/>
      <c r="C477" s="617"/>
      <c r="D477" s="244"/>
      <c r="E477" s="244"/>
      <c r="F477" s="244"/>
      <c r="G477" s="244"/>
      <c r="H477" s="9"/>
      <c r="I477" s="9"/>
      <c r="J477" s="32"/>
      <c r="K477" s="193"/>
      <c r="M477" t="s">
        <v>558</v>
      </c>
      <c r="N477" t="s">
        <v>207</v>
      </c>
      <c r="O477" s="50" t="str">
        <f t="shared" si="38"/>
        <v>MURIEL S1 CREEK_Sockeye</v>
      </c>
      <c r="R477">
        <v>38</v>
      </c>
      <c r="U477">
        <v>66</v>
      </c>
      <c r="X477" s="384">
        <v>0</v>
      </c>
      <c r="Y477" s="403"/>
      <c r="Z477" s="32"/>
      <c r="AA477" s="410">
        <f t="shared" si="37"/>
        <v>0</v>
      </c>
      <c r="AB477" s="411">
        <f t="shared" si="33"/>
        <v>33</v>
      </c>
      <c r="AC477">
        <f t="shared" si="34"/>
        <v>34.666666666666664</v>
      </c>
    </row>
    <row r="478" spans="1:29" ht="15" x14ac:dyDescent="0.25">
      <c r="A478">
        <v>2022</v>
      </c>
      <c r="B478" s="617">
        <v>23</v>
      </c>
      <c r="C478" s="617" t="s">
        <v>355</v>
      </c>
      <c r="D478" s="244" t="s">
        <v>32</v>
      </c>
      <c r="E478" s="244" t="s">
        <v>207</v>
      </c>
      <c r="F478" s="244" t="s">
        <v>419</v>
      </c>
      <c r="G478" s="244" t="s">
        <v>626</v>
      </c>
      <c r="H478" s="9" t="s">
        <v>616</v>
      </c>
      <c r="I478" s="9">
        <v>7</v>
      </c>
      <c r="J478" s="32">
        <v>357</v>
      </c>
      <c r="K478" s="193"/>
      <c r="M478" t="s">
        <v>32</v>
      </c>
      <c r="N478" t="s">
        <v>207</v>
      </c>
      <c r="O478" s="50" t="str">
        <f t="shared" si="38"/>
        <v>NAHMINT RIVER_Sockeye</v>
      </c>
      <c r="P478">
        <v>39</v>
      </c>
      <c r="Q478">
        <v>78</v>
      </c>
      <c r="R478">
        <v>391</v>
      </c>
      <c r="S478">
        <v>1437</v>
      </c>
      <c r="T478">
        <v>940</v>
      </c>
      <c r="U478">
        <v>202</v>
      </c>
      <c r="V478">
        <v>489</v>
      </c>
      <c r="W478">
        <v>23</v>
      </c>
      <c r="X478" s="384">
        <v>5</v>
      </c>
      <c r="Y478" s="403">
        <v>1136</v>
      </c>
      <c r="Z478" s="32">
        <v>357</v>
      </c>
      <c r="AA478" s="410">
        <f t="shared" si="37"/>
        <v>380.25</v>
      </c>
      <c r="AB478" s="411">
        <f t="shared" ref="AB478:AB502" si="39">AVERAGE(S478:Z478)</f>
        <v>573.625</v>
      </c>
      <c r="AC478">
        <f t="shared" ref="AC478:AC502" si="40">AVERAGE(P478:Z478)</f>
        <v>463.36363636363637</v>
      </c>
    </row>
    <row r="479" spans="1:29" ht="15" x14ac:dyDescent="0.25">
      <c r="A479">
        <v>2022</v>
      </c>
      <c r="B479" s="617"/>
      <c r="C479" s="617"/>
      <c r="D479" s="244"/>
      <c r="E479" s="244"/>
      <c r="F479" s="244"/>
      <c r="G479" s="244"/>
      <c r="H479" s="9"/>
      <c r="I479" s="9"/>
      <c r="J479" s="32"/>
      <c r="K479" s="193"/>
      <c r="M479" t="s">
        <v>65</v>
      </c>
      <c r="N479" t="s">
        <v>207</v>
      </c>
      <c r="O479" s="50" t="str">
        <f t="shared" si="38"/>
        <v>NARROWGUT CREEK_Sockeye</v>
      </c>
      <c r="P479">
        <v>0</v>
      </c>
      <c r="Q479">
        <v>7</v>
      </c>
      <c r="R479">
        <v>0</v>
      </c>
      <c r="S479">
        <v>1</v>
      </c>
      <c r="X479" s="384"/>
      <c r="Y479" s="403"/>
      <c r="Z479" s="32"/>
      <c r="AA479" s="410" t="e">
        <f t="shared" si="37"/>
        <v>#DIV/0!</v>
      </c>
      <c r="AB479" s="411">
        <f t="shared" si="39"/>
        <v>1</v>
      </c>
      <c r="AC479">
        <f t="shared" si="40"/>
        <v>2</v>
      </c>
    </row>
    <row r="480" spans="1:29" ht="18" x14ac:dyDescent="0.25">
      <c r="A480">
        <v>2022</v>
      </c>
      <c r="B480" s="617">
        <v>22</v>
      </c>
      <c r="C480" s="617" t="s">
        <v>304</v>
      </c>
      <c r="D480" s="244" t="s">
        <v>26</v>
      </c>
      <c r="E480" s="244" t="s">
        <v>207</v>
      </c>
      <c r="F480" s="244" t="s">
        <v>419</v>
      </c>
      <c r="G480" s="244" t="s">
        <v>494</v>
      </c>
      <c r="H480" s="9" t="s">
        <v>615</v>
      </c>
      <c r="I480" s="9">
        <v>6</v>
      </c>
      <c r="J480" s="32">
        <v>31</v>
      </c>
      <c r="K480" s="193"/>
      <c r="M480" t="s">
        <v>26</v>
      </c>
      <c r="N480" t="s">
        <v>207</v>
      </c>
      <c r="O480" s="50" t="str">
        <f t="shared" si="38"/>
        <v>NITINAT RIVER_Sockeye</v>
      </c>
      <c r="P480">
        <v>0</v>
      </c>
      <c r="R480">
        <v>69</v>
      </c>
      <c r="S480">
        <v>1357</v>
      </c>
      <c r="T480">
        <v>387</v>
      </c>
      <c r="U480">
        <v>112</v>
      </c>
      <c r="V480">
        <v>25</v>
      </c>
      <c r="W480">
        <v>28</v>
      </c>
      <c r="X480" s="384">
        <v>6</v>
      </c>
      <c r="Y480" s="403">
        <v>222</v>
      </c>
      <c r="Z480" s="32">
        <v>31</v>
      </c>
      <c r="AA480" s="410">
        <f t="shared" si="37"/>
        <v>71.75</v>
      </c>
      <c r="AB480" s="411">
        <f t="shared" si="39"/>
        <v>271</v>
      </c>
      <c r="AC480">
        <f t="shared" si="40"/>
        <v>223.7</v>
      </c>
    </row>
    <row r="481" spans="1:29" ht="15" x14ac:dyDescent="0.25">
      <c r="A481">
        <v>2022</v>
      </c>
      <c r="B481" s="617">
        <v>25</v>
      </c>
      <c r="C481" s="617" t="s">
        <v>299</v>
      </c>
      <c r="D481" s="244" t="s">
        <v>50</v>
      </c>
      <c r="E481" s="244" t="s">
        <v>207</v>
      </c>
      <c r="F481" s="244" t="s">
        <v>419</v>
      </c>
      <c r="G481" s="244" t="s">
        <v>452</v>
      </c>
      <c r="H481" s="9" t="s">
        <v>617</v>
      </c>
      <c r="I481" s="9">
        <v>1</v>
      </c>
      <c r="J481" s="32">
        <v>253</v>
      </c>
      <c r="K481" s="193"/>
      <c r="M481" t="s">
        <v>50</v>
      </c>
      <c r="N481" t="s">
        <v>207</v>
      </c>
      <c r="O481" s="50" t="str">
        <f t="shared" si="38"/>
        <v>OKTWANCH RIVER_Sockeye</v>
      </c>
      <c r="S481">
        <v>160</v>
      </c>
      <c r="T481">
        <v>107</v>
      </c>
      <c r="U481">
        <v>322</v>
      </c>
      <c r="W481">
        <v>760</v>
      </c>
      <c r="X481" s="384">
        <v>103</v>
      </c>
      <c r="Y481" s="403">
        <v>1150</v>
      </c>
      <c r="Z481" s="32">
        <v>253</v>
      </c>
      <c r="AA481" s="410">
        <f t="shared" si="37"/>
        <v>566.5</v>
      </c>
      <c r="AB481" s="411">
        <f t="shared" si="39"/>
        <v>407.85714285714283</v>
      </c>
      <c r="AC481">
        <f t="shared" si="40"/>
        <v>407.85714285714283</v>
      </c>
    </row>
    <row r="482" spans="1:29" ht="15" x14ac:dyDescent="0.25">
      <c r="A482">
        <v>2022</v>
      </c>
      <c r="B482" s="617"/>
      <c r="C482" s="617"/>
      <c r="D482" s="244"/>
      <c r="E482" s="244"/>
      <c r="F482" s="244"/>
      <c r="G482" s="244"/>
      <c r="H482" s="9"/>
      <c r="I482" s="9"/>
      <c r="J482" s="32"/>
      <c r="K482" s="193"/>
      <c r="M482" t="s">
        <v>148</v>
      </c>
      <c r="N482" t="s">
        <v>207</v>
      </c>
      <c r="O482" s="50" t="str">
        <f t="shared" si="38"/>
        <v>PARK RIVER_Sockeye</v>
      </c>
      <c r="P482">
        <v>0</v>
      </c>
      <c r="R482">
        <v>0</v>
      </c>
      <c r="S482">
        <v>0</v>
      </c>
      <c r="T482">
        <v>36</v>
      </c>
      <c r="X482" s="384">
        <v>0</v>
      </c>
      <c r="Y482" s="403">
        <v>4</v>
      </c>
      <c r="Z482" s="32"/>
      <c r="AA482" s="410">
        <f t="shared" si="37"/>
        <v>2</v>
      </c>
      <c r="AB482" s="411">
        <f t="shared" si="39"/>
        <v>10</v>
      </c>
      <c r="AC482">
        <f t="shared" si="40"/>
        <v>6.666666666666667</v>
      </c>
    </row>
    <row r="483" spans="1:29" ht="15" x14ac:dyDescent="0.25">
      <c r="A483">
        <v>2022</v>
      </c>
      <c r="B483" s="617"/>
      <c r="C483" s="617"/>
      <c r="D483" s="244"/>
      <c r="E483" s="244"/>
      <c r="F483" s="244"/>
      <c r="G483" s="244"/>
      <c r="H483" s="9"/>
      <c r="I483" s="9"/>
      <c r="J483" s="32"/>
      <c r="K483" s="193"/>
      <c r="M483" t="s">
        <v>549</v>
      </c>
      <c r="N483" t="s">
        <v>207</v>
      </c>
      <c r="O483" s="50" t="str">
        <f t="shared" si="38"/>
        <v>POWER RIVER_Sockeye</v>
      </c>
      <c r="R483">
        <v>28</v>
      </c>
      <c r="S483">
        <v>3</v>
      </c>
      <c r="U483">
        <v>73</v>
      </c>
      <c r="V483">
        <v>0</v>
      </c>
      <c r="W483">
        <v>0</v>
      </c>
      <c r="X483" s="384">
        <v>13</v>
      </c>
      <c r="Y483" s="403"/>
      <c r="Z483" s="32"/>
      <c r="AA483" s="410">
        <f t="shared" si="37"/>
        <v>6.5</v>
      </c>
      <c r="AB483" s="411">
        <f t="shared" si="39"/>
        <v>17.8</v>
      </c>
      <c r="AC483">
        <f t="shared" si="40"/>
        <v>19.5</v>
      </c>
    </row>
    <row r="484" spans="1:29" ht="18" x14ac:dyDescent="0.25">
      <c r="A484">
        <v>2022</v>
      </c>
      <c r="B484" s="617">
        <v>20</v>
      </c>
      <c r="C484" s="617" t="s">
        <v>291</v>
      </c>
      <c r="D484" s="244" t="s">
        <v>74</v>
      </c>
      <c r="E484" s="244" t="s">
        <v>207</v>
      </c>
      <c r="F484" s="244" t="s">
        <v>419</v>
      </c>
      <c r="G484" s="244" t="s">
        <v>370</v>
      </c>
      <c r="H484" s="9" t="s">
        <v>615</v>
      </c>
      <c r="I484" s="9">
        <v>1</v>
      </c>
      <c r="J484" s="32">
        <v>49</v>
      </c>
      <c r="K484" s="193"/>
      <c r="M484" t="s">
        <v>74</v>
      </c>
      <c r="N484" t="s">
        <v>207</v>
      </c>
      <c r="O484" s="50" t="str">
        <f t="shared" si="38"/>
        <v>RENFREW CREEK_Sockeye</v>
      </c>
      <c r="Q484">
        <v>4</v>
      </c>
      <c r="R484">
        <v>18</v>
      </c>
      <c r="S484">
        <v>45</v>
      </c>
      <c r="T484">
        <v>1</v>
      </c>
      <c r="U484">
        <v>5</v>
      </c>
      <c r="V484">
        <v>1</v>
      </c>
      <c r="W484">
        <v>0</v>
      </c>
      <c r="X484" s="384"/>
      <c r="Y484" s="403"/>
      <c r="Z484" s="32">
        <v>49</v>
      </c>
      <c r="AA484" s="410">
        <f t="shared" si="37"/>
        <v>24.5</v>
      </c>
      <c r="AB484" s="411">
        <f t="shared" si="39"/>
        <v>16.833333333333332</v>
      </c>
      <c r="AC484">
        <f t="shared" si="40"/>
        <v>15.375</v>
      </c>
    </row>
    <row r="485" spans="1:29" ht="15" x14ac:dyDescent="0.25">
      <c r="A485">
        <v>2022</v>
      </c>
      <c r="B485" s="617">
        <v>20</v>
      </c>
      <c r="C485" s="617" t="s">
        <v>291</v>
      </c>
      <c r="D485" s="244" t="s">
        <v>22</v>
      </c>
      <c r="E485" s="244" t="s">
        <v>207</v>
      </c>
      <c r="F485" s="244" t="s">
        <v>420</v>
      </c>
      <c r="G485" s="244" t="s">
        <v>530</v>
      </c>
      <c r="H485" s="9" t="s">
        <v>617</v>
      </c>
      <c r="I485" s="9">
        <v>2</v>
      </c>
      <c r="J485" s="32">
        <v>8</v>
      </c>
      <c r="K485" s="193"/>
      <c r="M485" t="s">
        <v>22</v>
      </c>
      <c r="N485" t="s">
        <v>207</v>
      </c>
      <c r="O485" s="50" t="str">
        <f t="shared" si="38"/>
        <v>SAN JUAN RIVER_Sockeye</v>
      </c>
      <c r="P485">
        <v>1</v>
      </c>
      <c r="Q485">
        <v>2</v>
      </c>
      <c r="R485">
        <v>19</v>
      </c>
      <c r="S485">
        <v>1140</v>
      </c>
      <c r="T485">
        <v>6</v>
      </c>
      <c r="U485">
        <v>39</v>
      </c>
      <c r="V485">
        <v>12</v>
      </c>
      <c r="W485">
        <v>3</v>
      </c>
      <c r="X485" s="384"/>
      <c r="Y485" s="403">
        <v>1</v>
      </c>
      <c r="Z485" s="32">
        <v>8</v>
      </c>
      <c r="AA485" s="410">
        <f t="shared" si="37"/>
        <v>4</v>
      </c>
      <c r="AB485" s="411">
        <f t="shared" si="39"/>
        <v>172.71428571428572</v>
      </c>
      <c r="AC485">
        <f t="shared" si="40"/>
        <v>123.1</v>
      </c>
    </row>
    <row r="486" spans="1:29" ht="15" x14ac:dyDescent="0.25">
      <c r="A486">
        <v>2022</v>
      </c>
      <c r="B486" s="617">
        <v>24</v>
      </c>
      <c r="C486" s="617" t="s">
        <v>296</v>
      </c>
      <c r="D486" s="244" t="s">
        <v>128</v>
      </c>
      <c r="E486" s="244" t="s">
        <v>207</v>
      </c>
      <c r="F486" s="244" t="s">
        <v>419</v>
      </c>
      <c r="G486" s="244" t="s">
        <v>626</v>
      </c>
      <c r="H486" s="9" t="s">
        <v>618</v>
      </c>
      <c r="I486" s="9">
        <v>1</v>
      </c>
      <c r="J486" s="32">
        <v>0</v>
      </c>
      <c r="K486" s="193"/>
      <c r="M486" t="s">
        <v>128</v>
      </c>
      <c r="N486" t="s">
        <v>207</v>
      </c>
      <c r="O486" s="50" t="str">
        <f t="shared" si="38"/>
        <v>SAND RIVER_Sockeye</v>
      </c>
      <c r="S486">
        <v>0</v>
      </c>
      <c r="V486">
        <v>0</v>
      </c>
      <c r="X486" s="384">
        <v>0</v>
      </c>
      <c r="Y486" s="403"/>
      <c r="Z486" s="32">
        <v>0</v>
      </c>
      <c r="AA486" s="410">
        <f t="shared" si="37"/>
        <v>0</v>
      </c>
      <c r="AB486" s="411">
        <f t="shared" si="39"/>
        <v>0</v>
      </c>
      <c r="AC486">
        <f t="shared" si="40"/>
        <v>0</v>
      </c>
    </row>
    <row r="487" spans="1:29" ht="15" x14ac:dyDescent="0.25">
      <c r="A487">
        <v>2022</v>
      </c>
      <c r="B487" s="617">
        <v>23</v>
      </c>
      <c r="C487" s="617" t="s">
        <v>293</v>
      </c>
      <c r="D487" s="244" t="s">
        <v>33</v>
      </c>
      <c r="E487" s="244" t="s">
        <v>207</v>
      </c>
      <c r="F487" s="244" t="s">
        <v>419</v>
      </c>
      <c r="G487" s="244" t="s">
        <v>374</v>
      </c>
      <c r="H487" s="9" t="s">
        <v>616</v>
      </c>
      <c r="I487" s="9">
        <v>10</v>
      </c>
      <c r="J487" s="32">
        <v>26</v>
      </c>
      <c r="K487" s="193"/>
      <c r="M487" t="s">
        <v>33</v>
      </c>
      <c r="N487" t="s">
        <v>207</v>
      </c>
      <c r="O487" s="50" t="str">
        <f t="shared" si="38"/>
        <v>SARITA RIVER_Sockeye</v>
      </c>
      <c r="P487">
        <v>1</v>
      </c>
      <c r="Q487">
        <v>0</v>
      </c>
      <c r="R487">
        <v>77</v>
      </c>
      <c r="S487">
        <v>73</v>
      </c>
      <c r="T487">
        <v>67</v>
      </c>
      <c r="U487">
        <v>6</v>
      </c>
      <c r="V487">
        <v>25</v>
      </c>
      <c r="W487">
        <v>6</v>
      </c>
      <c r="X487" s="384">
        <v>3</v>
      </c>
      <c r="Y487" s="403">
        <v>4</v>
      </c>
      <c r="Z487" s="32">
        <v>26</v>
      </c>
      <c r="AA487" s="410">
        <f t="shared" si="37"/>
        <v>9.75</v>
      </c>
      <c r="AB487" s="411">
        <f t="shared" si="39"/>
        <v>26.25</v>
      </c>
      <c r="AC487">
        <f t="shared" si="40"/>
        <v>26.181818181818183</v>
      </c>
    </row>
    <row r="488" spans="1:29" ht="15" x14ac:dyDescent="0.25">
      <c r="A488">
        <v>2022</v>
      </c>
      <c r="B488" s="617"/>
      <c r="C488" s="617"/>
      <c r="D488" s="244"/>
      <c r="E488" s="244"/>
      <c r="F488" s="244"/>
      <c r="G488" s="244"/>
      <c r="H488" s="9"/>
      <c r="I488" s="9"/>
      <c r="J488" s="32"/>
      <c r="K488" s="193"/>
      <c r="M488" t="s">
        <v>552</v>
      </c>
      <c r="N488" t="s">
        <v>207</v>
      </c>
      <c r="O488" s="50" t="str">
        <f t="shared" si="38"/>
        <v>SATCHIE CREEK_Sockeye</v>
      </c>
      <c r="V488">
        <v>0</v>
      </c>
      <c r="X488" s="384"/>
      <c r="Y488" s="403"/>
      <c r="Z488" s="32"/>
      <c r="AA488" s="410" t="e">
        <f t="shared" si="37"/>
        <v>#DIV/0!</v>
      </c>
      <c r="AB488" s="411">
        <f t="shared" si="39"/>
        <v>0</v>
      </c>
      <c r="AC488">
        <f t="shared" si="40"/>
        <v>0</v>
      </c>
    </row>
    <row r="489" spans="1:29" ht="15" x14ac:dyDescent="0.25">
      <c r="A489">
        <v>2022</v>
      </c>
      <c r="B489" s="617"/>
      <c r="C489" s="617"/>
      <c r="D489" s="244"/>
      <c r="E489" s="244"/>
      <c r="F489" s="244"/>
      <c r="G489" s="244"/>
      <c r="H489" s="9"/>
      <c r="I489" s="9"/>
      <c r="J489" s="32"/>
      <c r="K489" s="193"/>
      <c r="M489" t="s">
        <v>34</v>
      </c>
      <c r="N489" t="s">
        <v>207</v>
      </c>
      <c r="O489" s="50" t="str">
        <f t="shared" si="38"/>
        <v>SPROAT RIVER_Sockeye</v>
      </c>
      <c r="U489">
        <v>17</v>
      </c>
      <c r="X489" s="384"/>
      <c r="Y489" s="403"/>
      <c r="Z489" s="32"/>
      <c r="AA489" s="410" t="e">
        <f t="shared" si="37"/>
        <v>#DIV/0!</v>
      </c>
      <c r="AB489" s="411">
        <f t="shared" si="39"/>
        <v>17</v>
      </c>
      <c r="AC489">
        <f t="shared" si="40"/>
        <v>17</v>
      </c>
    </row>
    <row r="490" spans="1:29" ht="15" x14ac:dyDescent="0.25">
      <c r="A490">
        <v>2022</v>
      </c>
      <c r="B490" s="617"/>
      <c r="C490" s="617"/>
      <c r="D490" s="244"/>
      <c r="E490" s="244"/>
      <c r="F490" s="244"/>
      <c r="G490" s="244"/>
      <c r="H490" s="9"/>
      <c r="I490" s="9"/>
      <c r="J490" s="32"/>
      <c r="K490" s="193"/>
      <c r="M490" t="s">
        <v>51</v>
      </c>
      <c r="N490" t="s">
        <v>207</v>
      </c>
      <c r="O490" s="50" t="str">
        <f t="shared" si="38"/>
        <v>SUCWOA RIVER_Sockeye</v>
      </c>
      <c r="P490">
        <v>6</v>
      </c>
      <c r="Q490">
        <v>0</v>
      </c>
      <c r="X490" s="384"/>
      <c r="Y490" s="403"/>
      <c r="Z490" s="32"/>
      <c r="AA490" s="410" t="e">
        <f t="shared" si="37"/>
        <v>#DIV/0!</v>
      </c>
      <c r="AB490" s="411" t="e">
        <f t="shared" si="39"/>
        <v>#DIV/0!</v>
      </c>
      <c r="AC490">
        <f t="shared" si="40"/>
        <v>3</v>
      </c>
    </row>
    <row r="491" spans="1:29" ht="15" x14ac:dyDescent="0.25">
      <c r="A491">
        <v>2022</v>
      </c>
      <c r="B491" s="617"/>
      <c r="C491" s="617"/>
      <c r="D491" s="244"/>
      <c r="E491" s="244"/>
      <c r="F491" s="244"/>
      <c r="G491" s="244"/>
      <c r="H491" s="9"/>
      <c r="I491" s="9"/>
      <c r="J491" s="32"/>
      <c r="K491" s="193"/>
      <c r="M491" t="s">
        <v>130</v>
      </c>
      <c r="N491" t="s">
        <v>207</v>
      </c>
      <c r="O491" s="50" t="str">
        <f t="shared" si="38"/>
        <v>SYDNEY RIVER_Sockeye</v>
      </c>
      <c r="S491">
        <v>0</v>
      </c>
      <c r="V491">
        <v>20</v>
      </c>
      <c r="X491" s="384"/>
      <c r="Y491" s="403"/>
      <c r="Z491" s="32"/>
      <c r="AA491" s="410" t="e">
        <f t="shared" si="37"/>
        <v>#DIV/0!</v>
      </c>
      <c r="AB491" s="411">
        <f t="shared" si="39"/>
        <v>10</v>
      </c>
      <c r="AC491">
        <f t="shared" si="40"/>
        <v>10</v>
      </c>
    </row>
    <row r="492" spans="1:29" ht="18" x14ac:dyDescent="0.25">
      <c r="A492">
        <v>2022</v>
      </c>
      <c r="B492" s="617">
        <v>25</v>
      </c>
      <c r="C492" s="617" t="s">
        <v>299</v>
      </c>
      <c r="D492" s="244" t="s">
        <v>52</v>
      </c>
      <c r="E492" s="244" t="s">
        <v>207</v>
      </c>
      <c r="F492" s="244" t="s">
        <v>419</v>
      </c>
      <c r="G492" s="244" t="s">
        <v>495</v>
      </c>
      <c r="H492" s="9" t="s">
        <v>615</v>
      </c>
      <c r="I492" s="9">
        <v>5</v>
      </c>
      <c r="J492" s="32">
        <v>245</v>
      </c>
      <c r="K492" s="193"/>
      <c r="M492" t="s">
        <v>52</v>
      </c>
      <c r="N492" t="s">
        <v>207</v>
      </c>
      <c r="O492" s="50" t="str">
        <f t="shared" si="38"/>
        <v>TAHSIS RIVER_Sockeye</v>
      </c>
      <c r="P492">
        <v>153</v>
      </c>
      <c r="Q492">
        <v>115</v>
      </c>
      <c r="R492">
        <v>111</v>
      </c>
      <c r="S492">
        <v>205</v>
      </c>
      <c r="T492">
        <v>436</v>
      </c>
      <c r="U492">
        <v>88</v>
      </c>
      <c r="V492">
        <v>41</v>
      </c>
      <c r="W492">
        <v>42</v>
      </c>
      <c r="X492" s="384">
        <v>395</v>
      </c>
      <c r="Y492" s="403">
        <v>490</v>
      </c>
      <c r="Z492" s="32">
        <v>245</v>
      </c>
      <c r="AA492" s="410">
        <f t="shared" si="37"/>
        <v>293</v>
      </c>
      <c r="AB492" s="411">
        <f t="shared" si="39"/>
        <v>242.75</v>
      </c>
      <c r="AC492">
        <f t="shared" si="40"/>
        <v>211</v>
      </c>
    </row>
    <row r="493" spans="1:29" ht="15" x14ac:dyDescent="0.25">
      <c r="A493">
        <v>2022</v>
      </c>
      <c r="B493" s="617">
        <v>26</v>
      </c>
      <c r="C493" s="617" t="s">
        <v>301</v>
      </c>
      <c r="D493" s="244" t="s">
        <v>66</v>
      </c>
      <c r="E493" s="244" t="s">
        <v>207</v>
      </c>
      <c r="F493" s="244" t="s">
        <v>419</v>
      </c>
      <c r="G493" s="244" t="s">
        <v>292</v>
      </c>
      <c r="H493" s="9" t="s">
        <v>617</v>
      </c>
      <c r="I493" s="9">
        <v>5</v>
      </c>
      <c r="J493" s="32">
        <v>26</v>
      </c>
      <c r="K493" s="193"/>
      <c r="M493" t="s">
        <v>66</v>
      </c>
      <c r="N493" t="s">
        <v>207</v>
      </c>
      <c r="O493" s="50" t="str">
        <f t="shared" si="38"/>
        <v>TAHSISH RIVER_Sockeye</v>
      </c>
      <c r="P493">
        <v>69</v>
      </c>
      <c r="Q493">
        <v>56</v>
      </c>
      <c r="R493">
        <v>102</v>
      </c>
      <c r="S493">
        <v>58</v>
      </c>
      <c r="T493">
        <v>21</v>
      </c>
      <c r="U493">
        <v>34</v>
      </c>
      <c r="V493">
        <v>16</v>
      </c>
      <c r="W493">
        <v>1</v>
      </c>
      <c r="X493" s="384">
        <v>15</v>
      </c>
      <c r="Y493" s="403">
        <v>22</v>
      </c>
      <c r="Z493" s="32">
        <v>26</v>
      </c>
      <c r="AA493" s="410">
        <f t="shared" si="37"/>
        <v>16</v>
      </c>
      <c r="AB493" s="411">
        <f t="shared" si="39"/>
        <v>24.125</v>
      </c>
      <c r="AC493">
        <f t="shared" si="40"/>
        <v>38.18181818181818</v>
      </c>
    </row>
    <row r="494" spans="1:29" ht="15" x14ac:dyDescent="0.25">
      <c r="A494">
        <v>2022</v>
      </c>
      <c r="B494" s="617"/>
      <c r="C494" s="617"/>
      <c r="D494" s="244"/>
      <c r="E494" s="244"/>
      <c r="F494" s="244"/>
      <c r="G494" s="244"/>
      <c r="H494" s="9"/>
      <c r="I494" s="9"/>
      <c r="J494" s="32"/>
      <c r="K494" s="193"/>
      <c r="M494" t="s">
        <v>53</v>
      </c>
      <c r="N494" t="s">
        <v>207</v>
      </c>
      <c r="O494" s="50" t="str">
        <f t="shared" si="38"/>
        <v>TLUPANA RIVER_Sockeye</v>
      </c>
      <c r="P494">
        <v>6</v>
      </c>
      <c r="Q494">
        <v>0</v>
      </c>
      <c r="S494">
        <v>15</v>
      </c>
      <c r="T494">
        <v>0</v>
      </c>
      <c r="W494">
        <v>0</v>
      </c>
      <c r="X494" s="384">
        <v>0</v>
      </c>
      <c r="Y494" s="403"/>
      <c r="Z494" s="32"/>
      <c r="AA494" s="410">
        <f t="shared" si="37"/>
        <v>0</v>
      </c>
      <c r="AB494" s="411">
        <f t="shared" si="39"/>
        <v>3.75</v>
      </c>
      <c r="AC494">
        <f t="shared" si="40"/>
        <v>3.5</v>
      </c>
    </row>
    <row r="495" spans="1:29" ht="15" x14ac:dyDescent="0.25">
      <c r="A495">
        <v>2022</v>
      </c>
      <c r="B495" s="617"/>
      <c r="C495" s="617"/>
      <c r="D495" s="244"/>
      <c r="E495" s="244"/>
      <c r="F495" s="244"/>
      <c r="G495" s="244"/>
      <c r="H495" s="9"/>
      <c r="I495" s="9"/>
      <c r="J495" s="32"/>
      <c r="K495" s="193"/>
      <c r="M495" t="s">
        <v>131</v>
      </c>
      <c r="N495" t="s">
        <v>207</v>
      </c>
      <c r="O495" s="50" t="str">
        <f t="shared" si="38"/>
        <v>TOFINO CREEK_Sockeye</v>
      </c>
      <c r="V495">
        <v>3</v>
      </c>
      <c r="W495">
        <v>0</v>
      </c>
      <c r="X495" s="384"/>
      <c r="Y495" s="403"/>
      <c r="Z495" s="32"/>
      <c r="AA495" s="410">
        <f t="shared" si="37"/>
        <v>0</v>
      </c>
      <c r="AB495" s="411">
        <f t="shared" si="39"/>
        <v>1.5</v>
      </c>
      <c r="AC495">
        <f t="shared" si="40"/>
        <v>1.5</v>
      </c>
    </row>
    <row r="496" spans="1:29" ht="18" x14ac:dyDescent="0.25">
      <c r="A496">
        <v>2022</v>
      </c>
      <c r="B496" s="617">
        <v>23</v>
      </c>
      <c r="C496" s="617" t="s">
        <v>295</v>
      </c>
      <c r="D496" s="244" t="s">
        <v>288</v>
      </c>
      <c r="E496" s="244" t="s">
        <v>207</v>
      </c>
      <c r="F496" s="244" t="s">
        <v>419</v>
      </c>
      <c r="G496" s="244" t="s">
        <v>289</v>
      </c>
      <c r="H496" s="9" t="s">
        <v>615</v>
      </c>
      <c r="I496" s="9">
        <v>3</v>
      </c>
      <c r="J496" s="32">
        <v>17</v>
      </c>
      <c r="K496" s="193"/>
      <c r="M496" t="s">
        <v>555</v>
      </c>
      <c r="N496" t="s">
        <v>207</v>
      </c>
      <c r="O496" s="50" t="str">
        <f t="shared" si="38"/>
        <v>TOQUART RIVER_Sockeye</v>
      </c>
      <c r="P496">
        <v>24</v>
      </c>
      <c r="Q496">
        <v>13</v>
      </c>
      <c r="R496">
        <v>32</v>
      </c>
      <c r="S496">
        <v>398</v>
      </c>
      <c r="T496">
        <v>27</v>
      </c>
      <c r="U496">
        <v>32</v>
      </c>
      <c r="V496">
        <v>2</v>
      </c>
      <c r="W496">
        <v>15</v>
      </c>
      <c r="X496" s="384">
        <v>2</v>
      </c>
      <c r="Y496" s="403">
        <v>1</v>
      </c>
      <c r="Z496" s="32">
        <v>17</v>
      </c>
      <c r="AA496" s="410">
        <f t="shared" si="37"/>
        <v>8.75</v>
      </c>
      <c r="AB496" s="411">
        <f t="shared" si="39"/>
        <v>61.75</v>
      </c>
      <c r="AC496">
        <f t="shared" si="40"/>
        <v>51.18181818181818</v>
      </c>
    </row>
    <row r="497" spans="1:29" ht="15" x14ac:dyDescent="0.25">
      <c r="A497">
        <v>2022</v>
      </c>
      <c r="B497" s="617">
        <v>24</v>
      </c>
      <c r="C497" s="617" t="s">
        <v>296</v>
      </c>
      <c r="D497" s="244" t="s">
        <v>43</v>
      </c>
      <c r="E497" s="244" t="s">
        <v>207</v>
      </c>
      <c r="F497" s="244" t="s">
        <v>419</v>
      </c>
      <c r="G497" s="244" t="s">
        <v>497</v>
      </c>
      <c r="H497" s="9" t="s">
        <v>616</v>
      </c>
      <c r="I497" s="9">
        <v>7</v>
      </c>
      <c r="J497" s="32">
        <v>21</v>
      </c>
      <c r="K497" s="193"/>
      <c r="M497" t="s">
        <v>43</v>
      </c>
      <c r="N497" t="s">
        <v>207</v>
      </c>
      <c r="O497" s="50" t="str">
        <f t="shared" si="38"/>
        <v>TRANQUIL CREEK_Sockeye</v>
      </c>
      <c r="P497">
        <v>22</v>
      </c>
      <c r="Q497">
        <v>24</v>
      </c>
      <c r="R497">
        <v>177</v>
      </c>
      <c r="S497">
        <v>1898</v>
      </c>
      <c r="T497">
        <v>220</v>
      </c>
      <c r="U497">
        <v>36</v>
      </c>
      <c r="V497">
        <v>22</v>
      </c>
      <c r="W497">
        <v>13</v>
      </c>
      <c r="X497" s="384">
        <v>14</v>
      </c>
      <c r="Y497" s="403">
        <v>27</v>
      </c>
      <c r="Z497" s="32">
        <v>21</v>
      </c>
      <c r="AA497" s="410">
        <f t="shared" si="37"/>
        <v>18.75</v>
      </c>
      <c r="AB497" s="411">
        <f t="shared" si="39"/>
        <v>281.375</v>
      </c>
      <c r="AC497">
        <f t="shared" si="40"/>
        <v>224.90909090909091</v>
      </c>
    </row>
    <row r="498" spans="1:29" ht="18" x14ac:dyDescent="0.25">
      <c r="A498">
        <v>2022</v>
      </c>
      <c r="B498" s="617">
        <v>25</v>
      </c>
      <c r="C498" s="617" t="s">
        <v>299</v>
      </c>
      <c r="D498" s="244" t="s">
        <v>54</v>
      </c>
      <c r="E498" s="244" t="s">
        <v>207</v>
      </c>
      <c r="F498" s="244" t="s">
        <v>419</v>
      </c>
      <c r="G498" s="244" t="s">
        <v>452</v>
      </c>
      <c r="H498" s="9" t="s">
        <v>610</v>
      </c>
      <c r="I498" s="9">
        <v>2</v>
      </c>
      <c r="J498" s="32">
        <v>0</v>
      </c>
      <c r="K498" s="193"/>
      <c r="M498" t="s">
        <v>54</v>
      </c>
      <c r="N498" t="s">
        <v>207</v>
      </c>
      <c r="O498" s="50" t="str">
        <f t="shared" si="38"/>
        <v>TSOWWIN RIVER_Sockeye</v>
      </c>
      <c r="P498">
        <v>2</v>
      </c>
      <c r="Q498">
        <v>31</v>
      </c>
      <c r="R498">
        <v>0</v>
      </c>
      <c r="W498">
        <v>11</v>
      </c>
      <c r="X498" s="384">
        <v>2</v>
      </c>
      <c r="Y498" s="403">
        <v>29</v>
      </c>
      <c r="Z498" s="32">
        <v>0</v>
      </c>
      <c r="AA498" s="410">
        <f t="shared" si="37"/>
        <v>10.5</v>
      </c>
      <c r="AB498" s="411">
        <f t="shared" si="39"/>
        <v>10.5</v>
      </c>
      <c r="AC498">
        <f t="shared" si="40"/>
        <v>10.714285714285714</v>
      </c>
    </row>
    <row r="499" spans="1:29" ht="15" x14ac:dyDescent="0.25">
      <c r="A499">
        <v>2022</v>
      </c>
      <c r="B499" s="617"/>
      <c r="C499" s="617"/>
      <c r="D499" s="244"/>
      <c r="E499" s="244"/>
      <c r="F499" s="244"/>
      <c r="G499" s="244"/>
      <c r="H499" s="9"/>
      <c r="I499" s="9"/>
      <c r="J499" s="32"/>
      <c r="K499" s="193"/>
      <c r="M499" t="s">
        <v>108</v>
      </c>
      <c r="N499" t="s">
        <v>207</v>
      </c>
      <c r="O499" s="50" t="str">
        <f t="shared" si="38"/>
        <v>TWIN RIVERS EAST CREEK_Sockeye</v>
      </c>
      <c r="V499">
        <v>0</v>
      </c>
      <c r="X499" s="384">
        <v>0</v>
      </c>
      <c r="Y499" s="403">
        <v>0</v>
      </c>
      <c r="Z499" s="32"/>
      <c r="AA499" s="410">
        <f t="shared" si="37"/>
        <v>0</v>
      </c>
      <c r="AB499" s="411">
        <f t="shared" si="39"/>
        <v>0</v>
      </c>
      <c r="AC499">
        <f t="shared" si="40"/>
        <v>0</v>
      </c>
    </row>
    <row r="500" spans="1:29" ht="15" x14ac:dyDescent="0.25">
      <c r="A500">
        <v>2022</v>
      </c>
      <c r="B500" s="617"/>
      <c r="C500" s="617"/>
      <c r="D500" s="244"/>
      <c r="E500" s="244"/>
      <c r="F500" s="244"/>
      <c r="G500" s="244"/>
      <c r="H500" s="9"/>
      <c r="I500" s="9"/>
      <c r="J500" s="32"/>
      <c r="K500" s="193"/>
      <c r="M500" t="s">
        <v>556</v>
      </c>
      <c r="N500" t="s">
        <v>207</v>
      </c>
      <c r="O500" s="50" t="str">
        <f t="shared" si="38"/>
        <v>URSUS CREEK_Sockeye</v>
      </c>
      <c r="P500">
        <v>49</v>
      </c>
      <c r="Q500">
        <v>59</v>
      </c>
      <c r="R500">
        <v>187</v>
      </c>
      <c r="S500">
        <v>518</v>
      </c>
      <c r="T500">
        <v>178</v>
      </c>
      <c r="U500">
        <v>87</v>
      </c>
      <c r="V500">
        <v>54</v>
      </c>
      <c r="W500">
        <v>59</v>
      </c>
      <c r="X500" s="403">
        <v>46</v>
      </c>
      <c r="Y500" s="403"/>
      <c r="Z500" s="32"/>
      <c r="AA500" s="410">
        <f t="shared" si="37"/>
        <v>52.5</v>
      </c>
      <c r="AB500" s="411">
        <f t="shared" si="39"/>
        <v>157</v>
      </c>
      <c r="AC500">
        <f t="shared" si="40"/>
        <v>137.44444444444446</v>
      </c>
    </row>
    <row r="501" spans="1:29" ht="15" x14ac:dyDescent="0.25">
      <c r="A501">
        <v>2022</v>
      </c>
      <c r="B501" s="617">
        <v>24</v>
      </c>
      <c r="C501" s="617" t="s">
        <v>297</v>
      </c>
      <c r="D501" s="244" t="s">
        <v>132</v>
      </c>
      <c r="E501" s="244" t="s">
        <v>207</v>
      </c>
      <c r="F501" s="244" t="s">
        <v>419</v>
      </c>
      <c r="G501" s="244" t="s">
        <v>497</v>
      </c>
      <c r="H501" s="9" t="s">
        <v>616</v>
      </c>
      <c r="I501" s="9">
        <v>2</v>
      </c>
      <c r="J501" s="32">
        <v>0</v>
      </c>
      <c r="K501" s="193"/>
      <c r="M501" t="s">
        <v>132</v>
      </c>
      <c r="N501" t="s">
        <v>207</v>
      </c>
      <c r="O501" s="50" t="str">
        <f t="shared" si="38"/>
        <v>WARN BAY CREEK_Sockeye</v>
      </c>
      <c r="V501">
        <v>0</v>
      </c>
      <c r="W501">
        <v>0</v>
      </c>
      <c r="X501" s="403">
        <v>0</v>
      </c>
      <c r="Y501" s="403">
        <v>1</v>
      </c>
      <c r="Z501" s="32">
        <v>0</v>
      </c>
      <c r="AA501" s="410">
        <f t="shared" si="37"/>
        <v>0.25</v>
      </c>
      <c r="AB501" s="411">
        <f t="shared" si="39"/>
        <v>0.2</v>
      </c>
      <c r="AC501">
        <f t="shared" si="40"/>
        <v>0.2</v>
      </c>
    </row>
    <row r="502" spans="1:29" ht="15" x14ac:dyDescent="0.25">
      <c r="A502">
        <v>2022</v>
      </c>
      <c r="B502" s="617">
        <v>25</v>
      </c>
      <c r="C502" s="617" t="s">
        <v>300</v>
      </c>
      <c r="D502" s="244" t="s">
        <v>55</v>
      </c>
      <c r="E502" s="244" t="s">
        <v>207</v>
      </c>
      <c r="F502" s="244" t="s">
        <v>419</v>
      </c>
      <c r="G502" s="244" t="s">
        <v>528</v>
      </c>
      <c r="H502" s="9" t="s">
        <v>618</v>
      </c>
      <c r="I502" s="9">
        <v>5</v>
      </c>
      <c r="J502" s="32">
        <v>903</v>
      </c>
      <c r="K502" s="193"/>
      <c r="M502" t="s">
        <v>55</v>
      </c>
      <c r="N502" t="s">
        <v>207</v>
      </c>
      <c r="O502" s="50" t="str">
        <f t="shared" si="38"/>
        <v>ZEBALLOS RIVER_Sockeye</v>
      </c>
      <c r="P502">
        <v>79</v>
      </c>
      <c r="Q502">
        <v>480</v>
      </c>
      <c r="R502">
        <v>3550</v>
      </c>
      <c r="S502">
        <v>259</v>
      </c>
      <c r="T502">
        <v>1700</v>
      </c>
      <c r="U502">
        <v>300</v>
      </c>
      <c r="V502">
        <v>377</v>
      </c>
      <c r="W502">
        <v>17</v>
      </c>
      <c r="X502" s="403">
        <v>275</v>
      </c>
      <c r="Y502" s="403">
        <v>580</v>
      </c>
      <c r="Z502" s="32">
        <v>903</v>
      </c>
      <c r="AA502" s="410">
        <f t="shared" si="37"/>
        <v>443.75</v>
      </c>
      <c r="AB502" s="411">
        <f t="shared" si="39"/>
        <v>551.375</v>
      </c>
      <c r="AC502">
        <f t="shared" si="40"/>
        <v>774.5454545454545</v>
      </c>
    </row>
    <row r="503" spans="1:29" ht="15" x14ac:dyDescent="0.25">
      <c r="B503" s="617"/>
      <c r="C503" s="617"/>
      <c r="D503" s="244"/>
      <c r="E503" s="244"/>
      <c r="F503" s="244"/>
      <c r="G503" s="244"/>
      <c r="H503" s="9"/>
      <c r="I503" s="9"/>
      <c r="J503" s="32"/>
      <c r="K503" s="193"/>
      <c r="M503" s="403"/>
      <c r="N503" s="403"/>
    </row>
    <row r="504" spans="1:29" x14ac:dyDescent="0.2">
      <c r="B504" s="617"/>
      <c r="C504" s="618"/>
      <c r="D504" s="244"/>
      <c r="E504" s="244"/>
      <c r="F504" s="244"/>
      <c r="G504" s="244"/>
      <c r="H504" s="9"/>
      <c r="I504" s="9"/>
      <c r="J504" s="32"/>
      <c r="K504" s="193"/>
    </row>
    <row r="505" spans="1:29" x14ac:dyDescent="0.2">
      <c r="B505" s="617"/>
      <c r="C505" s="617"/>
      <c r="D505" s="244"/>
      <c r="E505" s="244"/>
      <c r="F505" s="244"/>
      <c r="G505" s="244"/>
      <c r="H505" s="9"/>
      <c r="I505" s="9"/>
      <c r="J505" s="32"/>
      <c r="K505" s="193"/>
    </row>
    <row r="506" spans="1:29" x14ac:dyDescent="0.2">
      <c r="B506" s="617"/>
      <c r="C506" s="617"/>
      <c r="D506" s="244"/>
      <c r="E506" s="244"/>
      <c r="F506" s="244"/>
      <c r="G506" s="244"/>
      <c r="H506" s="9"/>
      <c r="I506" s="9"/>
      <c r="J506" s="32"/>
      <c r="K506" s="193"/>
    </row>
    <row r="507" spans="1:29" x14ac:dyDescent="0.2">
      <c r="B507" s="617"/>
      <c r="C507" s="617"/>
      <c r="D507" s="244"/>
      <c r="E507" s="244"/>
      <c r="F507" s="244"/>
      <c r="G507" s="244"/>
      <c r="H507" s="9"/>
      <c r="I507" s="9"/>
      <c r="J507" s="32"/>
      <c r="K507" s="193"/>
    </row>
    <row r="508" spans="1:29" x14ac:dyDescent="0.2">
      <c r="B508" s="617"/>
      <c r="C508" s="617"/>
      <c r="D508" s="244"/>
      <c r="E508" s="244"/>
      <c r="F508" s="244"/>
      <c r="G508" s="244"/>
      <c r="H508" s="9"/>
      <c r="I508" s="9"/>
      <c r="J508" s="32"/>
      <c r="K508" s="193"/>
    </row>
    <row r="509" spans="1:29" x14ac:dyDescent="0.2">
      <c r="B509" s="617"/>
      <c r="C509" s="617"/>
      <c r="D509" s="244"/>
      <c r="E509" s="244"/>
      <c r="F509" s="244"/>
      <c r="G509" s="244"/>
      <c r="H509" s="9"/>
      <c r="I509" s="9"/>
      <c r="J509" s="32"/>
      <c r="K509" s="193"/>
    </row>
    <row r="510" spans="1:29" x14ac:dyDescent="0.2">
      <c r="B510" s="617"/>
      <c r="C510" s="617"/>
      <c r="D510" s="244"/>
      <c r="E510" s="244"/>
      <c r="F510" s="244"/>
      <c r="G510" s="244"/>
      <c r="H510" s="9"/>
      <c r="I510" s="9"/>
      <c r="J510" s="32"/>
      <c r="K510" s="193"/>
    </row>
    <row r="511" spans="1:29" x14ac:dyDescent="0.2">
      <c r="B511" s="617"/>
      <c r="C511" s="617"/>
      <c r="D511" s="244"/>
      <c r="E511" s="244"/>
      <c r="F511" s="244"/>
      <c r="G511" s="244"/>
      <c r="H511" s="9"/>
      <c r="I511" s="9"/>
      <c r="J511" s="32"/>
      <c r="K511" s="193"/>
    </row>
    <row r="512" spans="1:29" x14ac:dyDescent="0.2">
      <c r="B512" s="617"/>
      <c r="C512" s="618"/>
      <c r="D512" s="244"/>
      <c r="E512" s="244"/>
      <c r="F512" s="244"/>
      <c r="G512" s="244"/>
      <c r="H512" s="9"/>
      <c r="I512" s="9"/>
      <c r="J512" s="32"/>
      <c r="K512" s="193"/>
    </row>
    <row r="513" spans="2:11" x14ac:dyDescent="0.2">
      <c r="B513" s="617"/>
      <c r="C513" s="617"/>
      <c r="D513" s="244"/>
      <c r="E513" s="244"/>
      <c r="F513" s="244"/>
      <c r="G513" s="244"/>
      <c r="H513" s="9"/>
      <c r="I513" s="9"/>
      <c r="J513" s="32"/>
      <c r="K513" s="193"/>
    </row>
    <row r="514" spans="2:11" x14ac:dyDescent="0.2">
      <c r="B514" s="617"/>
      <c r="C514" s="617"/>
      <c r="D514" s="244"/>
      <c r="E514" s="244"/>
      <c r="F514" s="244"/>
      <c r="G514" s="244"/>
      <c r="H514" s="9"/>
      <c r="I514" s="9"/>
      <c r="J514" s="32"/>
      <c r="K514" s="193"/>
    </row>
    <row r="515" spans="2:11" x14ac:dyDescent="0.2">
      <c r="B515" s="617"/>
      <c r="C515" s="617"/>
      <c r="D515" s="244"/>
      <c r="E515" s="244"/>
      <c r="F515" s="244"/>
      <c r="G515" s="244"/>
      <c r="H515" s="9"/>
      <c r="I515" s="9"/>
      <c r="J515" s="32"/>
      <c r="K515" s="193"/>
    </row>
    <row r="516" spans="2:11" x14ac:dyDescent="0.2">
      <c r="B516" s="617"/>
      <c r="C516" s="617"/>
      <c r="D516" s="244"/>
      <c r="E516" s="244"/>
      <c r="F516" s="244"/>
      <c r="G516" s="244"/>
      <c r="H516" s="9"/>
      <c r="I516" s="9"/>
      <c r="J516" s="32"/>
      <c r="K516" s="193"/>
    </row>
    <row r="517" spans="2:11" x14ac:dyDescent="0.2">
      <c r="B517" s="617"/>
      <c r="C517" s="617"/>
      <c r="D517" s="244"/>
      <c r="E517" s="244"/>
      <c r="F517" s="244"/>
      <c r="G517" s="244"/>
      <c r="H517" s="9"/>
      <c r="I517" s="9"/>
      <c r="J517" s="32"/>
      <c r="K517" s="193"/>
    </row>
    <row r="518" spans="2:11" x14ac:dyDescent="0.2">
      <c r="B518" s="617"/>
      <c r="C518" s="617"/>
      <c r="D518" s="244"/>
      <c r="E518" s="244"/>
      <c r="F518" s="244"/>
      <c r="G518" s="244"/>
      <c r="H518" s="9"/>
      <c r="I518" s="9"/>
      <c r="J518" s="32"/>
      <c r="K518" s="193"/>
    </row>
    <row r="519" spans="2:11" x14ac:dyDescent="0.2">
      <c r="B519" s="18"/>
      <c r="C519" s="69"/>
      <c r="D519" s="243"/>
      <c r="E519" s="243"/>
      <c r="F519" s="243"/>
      <c r="G519" s="244"/>
      <c r="H519" s="43"/>
      <c r="I519" s="43"/>
      <c r="J519" s="193"/>
      <c r="K519" s="193"/>
    </row>
    <row r="520" spans="2:11" x14ac:dyDescent="0.2">
      <c r="B520" s="18"/>
      <c r="C520" s="69"/>
      <c r="D520" s="243"/>
      <c r="E520" s="243"/>
      <c r="F520" s="243"/>
      <c r="G520" s="244"/>
      <c r="H520" s="43"/>
      <c r="I520" s="43"/>
      <c r="J520" s="193"/>
      <c r="K520" s="193"/>
    </row>
    <row r="521" spans="2:11" x14ac:dyDescent="0.2">
      <c r="B521" s="18"/>
      <c r="C521" s="69"/>
      <c r="D521" s="243"/>
      <c r="E521" s="243"/>
      <c r="F521" s="243"/>
      <c r="G521" s="244"/>
      <c r="H521" s="43"/>
      <c r="I521" s="43"/>
      <c r="J521" s="193"/>
      <c r="K521" s="193"/>
    </row>
    <row r="522" spans="2:11" x14ac:dyDescent="0.2">
      <c r="B522" s="18"/>
      <c r="C522" s="69"/>
      <c r="D522" s="243"/>
      <c r="E522" s="243"/>
      <c r="F522" s="243"/>
      <c r="G522" s="246"/>
      <c r="H522" s="43"/>
      <c r="I522" s="43"/>
      <c r="J522" s="193"/>
      <c r="K522" s="193"/>
    </row>
    <row r="523" spans="2:11" x14ac:dyDescent="0.2">
      <c r="B523" s="18"/>
      <c r="C523" s="69"/>
      <c r="D523" s="243"/>
      <c r="E523" s="243"/>
      <c r="F523" s="243"/>
      <c r="G523" s="246"/>
      <c r="H523" s="43"/>
      <c r="I523" s="43"/>
      <c r="J523" s="193"/>
      <c r="K523" s="193"/>
    </row>
    <row r="524" spans="2:11" x14ac:dyDescent="0.2">
      <c r="B524" s="69"/>
      <c r="C524" s="69"/>
      <c r="D524" s="243"/>
      <c r="E524" s="243"/>
      <c r="F524" s="243"/>
      <c r="G524" s="246"/>
      <c r="H524" s="43"/>
      <c r="I524" s="43"/>
      <c r="J524" s="193"/>
    </row>
    <row r="525" spans="2:11" x14ac:dyDescent="0.2">
      <c r="B525" s="69"/>
      <c r="C525" s="69"/>
      <c r="D525" s="243"/>
      <c r="E525" s="243"/>
      <c r="F525" s="243"/>
      <c r="G525" s="246"/>
      <c r="H525" s="43"/>
      <c r="I525" s="43"/>
      <c r="J525" s="193"/>
    </row>
    <row r="526" spans="2:11" x14ac:dyDescent="0.2">
      <c r="B526" s="69"/>
      <c r="C526" s="69"/>
      <c r="D526" s="243"/>
      <c r="E526" s="243"/>
      <c r="F526" s="243"/>
      <c r="G526" s="244"/>
      <c r="H526" s="43"/>
      <c r="I526" s="43"/>
      <c r="J526" s="193"/>
    </row>
    <row r="527" spans="2:11" x14ac:dyDescent="0.2">
      <c r="B527" s="69"/>
      <c r="C527" s="69"/>
      <c r="D527" s="243"/>
      <c r="E527" s="243"/>
      <c r="F527" s="243"/>
      <c r="G527" s="244"/>
      <c r="H527" s="43"/>
      <c r="I527" s="43"/>
      <c r="J527" s="193"/>
    </row>
    <row r="528" spans="2:11" x14ac:dyDescent="0.2">
      <c r="B528" s="69"/>
      <c r="C528" s="69"/>
      <c r="D528" s="243"/>
      <c r="E528" s="243"/>
      <c r="F528" s="243"/>
      <c r="G528" s="246"/>
      <c r="H528" s="43"/>
      <c r="I528" s="43"/>
      <c r="J528" s="193"/>
    </row>
    <row r="529" spans="2:10" x14ac:dyDescent="0.2">
      <c r="B529" s="18"/>
      <c r="C529" s="69"/>
      <c r="D529" s="243"/>
      <c r="E529" s="243"/>
      <c r="F529" s="243"/>
      <c r="G529" s="244"/>
      <c r="H529" s="43"/>
      <c r="I529" s="43"/>
      <c r="J529" s="193"/>
    </row>
    <row r="530" spans="2:10" x14ac:dyDescent="0.2">
      <c r="B530" s="18"/>
      <c r="C530" s="69"/>
      <c r="D530" s="243"/>
      <c r="E530" s="243"/>
      <c r="F530" s="243"/>
      <c r="G530" s="244"/>
      <c r="H530" s="43"/>
      <c r="I530" s="43"/>
      <c r="J530" s="193"/>
    </row>
    <row r="531" spans="2:10" x14ac:dyDescent="0.2">
      <c r="B531" s="18"/>
      <c r="C531" s="69"/>
      <c r="D531" s="243"/>
      <c r="E531" s="243"/>
      <c r="F531" s="243"/>
      <c r="G531" s="244"/>
      <c r="H531" s="43"/>
      <c r="I531" s="43"/>
      <c r="J531" s="193"/>
    </row>
    <row r="532" spans="2:10" x14ac:dyDescent="0.2">
      <c r="B532" s="18"/>
      <c r="C532" s="69"/>
      <c r="D532" s="243"/>
      <c r="E532" s="243"/>
      <c r="F532" s="243"/>
      <c r="G532" s="244"/>
      <c r="H532" s="43"/>
      <c r="I532" s="43"/>
      <c r="J532" s="193"/>
    </row>
    <row r="533" spans="2:10" x14ac:dyDescent="0.2">
      <c r="B533" s="18"/>
      <c r="C533" s="69"/>
      <c r="D533" s="243"/>
      <c r="E533" s="243"/>
      <c r="F533" s="243"/>
      <c r="G533" s="244"/>
      <c r="H533" s="43"/>
      <c r="I533" s="43"/>
      <c r="J533" s="193"/>
    </row>
    <row r="534" spans="2:10" x14ac:dyDescent="0.2">
      <c r="B534" s="18"/>
      <c r="C534" s="69"/>
      <c r="D534" s="243"/>
      <c r="E534" s="243"/>
      <c r="F534" s="243"/>
      <c r="G534" s="244"/>
      <c r="H534" s="43"/>
      <c r="I534" s="43"/>
      <c r="J534" s="193"/>
    </row>
    <row r="535" spans="2:10" x14ac:dyDescent="0.2">
      <c r="B535" s="18"/>
      <c r="C535" s="69"/>
      <c r="D535" s="243"/>
      <c r="E535" s="243"/>
      <c r="F535" s="243"/>
      <c r="G535" s="244"/>
      <c r="H535" s="43"/>
      <c r="I535" s="43"/>
      <c r="J535" s="193"/>
    </row>
    <row r="536" spans="2:10" x14ac:dyDescent="0.2">
      <c r="B536" s="18"/>
      <c r="C536" s="69"/>
      <c r="D536" s="243"/>
      <c r="E536" s="243"/>
      <c r="F536" s="243"/>
      <c r="G536" s="244"/>
      <c r="H536" s="43"/>
      <c r="I536" s="43"/>
      <c r="J536" s="193"/>
    </row>
    <row r="537" spans="2:10" x14ac:dyDescent="0.2">
      <c r="B537" s="18"/>
      <c r="C537" s="69"/>
      <c r="D537" s="243"/>
      <c r="E537" s="243"/>
      <c r="F537" s="243"/>
      <c r="G537" s="244"/>
      <c r="H537" s="43"/>
      <c r="I537" s="43"/>
      <c r="J537" s="193"/>
    </row>
    <row r="538" spans="2:10" x14ac:dyDescent="0.2">
      <c r="B538" s="18"/>
      <c r="C538" s="69"/>
      <c r="D538" s="243"/>
      <c r="E538" s="243"/>
      <c r="F538" s="243"/>
      <c r="G538" s="246"/>
      <c r="H538" s="43"/>
      <c r="I538" s="43"/>
      <c r="J538" s="193"/>
    </row>
    <row r="539" spans="2:10" x14ac:dyDescent="0.2">
      <c r="B539" s="18"/>
      <c r="C539" s="69"/>
      <c r="D539" s="243"/>
      <c r="E539" s="243"/>
      <c r="F539" s="243"/>
      <c r="G539" s="244"/>
      <c r="H539" s="43"/>
      <c r="I539" s="43"/>
      <c r="J539" s="193"/>
    </row>
    <row r="540" spans="2:10" x14ac:dyDescent="0.2">
      <c r="B540" s="18"/>
      <c r="C540" s="69"/>
      <c r="D540" s="243"/>
      <c r="E540" s="243"/>
      <c r="F540" s="243"/>
      <c r="G540" s="244"/>
      <c r="H540" s="43"/>
      <c r="I540" s="43"/>
      <c r="J540" s="193"/>
    </row>
    <row r="541" spans="2:10" x14ac:dyDescent="0.2">
      <c r="B541" s="18"/>
      <c r="C541" s="69"/>
      <c r="D541" s="243"/>
      <c r="E541" s="243"/>
      <c r="F541" s="243"/>
      <c r="G541" s="244"/>
      <c r="H541" s="43"/>
      <c r="I541" s="43"/>
      <c r="J541" s="193"/>
    </row>
    <row r="542" spans="2:10" x14ac:dyDescent="0.2">
      <c r="B542" s="18"/>
      <c r="C542" s="69"/>
      <c r="D542" s="243"/>
      <c r="E542" s="243"/>
      <c r="F542" s="243"/>
      <c r="G542" s="246"/>
      <c r="H542" s="43"/>
      <c r="I542" s="43"/>
      <c r="J542" s="193"/>
    </row>
    <row r="543" spans="2:10" x14ac:dyDescent="0.2">
      <c r="B543" s="18"/>
      <c r="C543" s="69"/>
      <c r="D543" s="243"/>
      <c r="E543" s="243"/>
      <c r="F543" s="243"/>
      <c r="G543" s="246"/>
      <c r="H543" s="43"/>
      <c r="I543" s="43"/>
      <c r="J543" s="193"/>
    </row>
    <row r="544" spans="2:10" x14ac:dyDescent="0.2">
      <c r="B544" s="18"/>
      <c r="C544" s="69"/>
      <c r="D544" s="243"/>
      <c r="E544" s="243"/>
      <c r="F544" s="243"/>
      <c r="G544" s="244"/>
      <c r="H544" s="43"/>
      <c r="I544" s="43"/>
      <c r="J544" s="193"/>
    </row>
    <row r="545" spans="2:10" x14ac:dyDescent="0.2">
      <c r="B545" s="18"/>
      <c r="C545" s="69"/>
      <c r="D545" s="243"/>
      <c r="E545" s="243"/>
      <c r="F545" s="243"/>
      <c r="G545" s="244"/>
      <c r="H545" s="43"/>
      <c r="I545" s="43"/>
      <c r="J545" s="193"/>
    </row>
    <row r="546" spans="2:10" x14ac:dyDescent="0.2">
      <c r="B546" s="18"/>
      <c r="C546" s="69"/>
      <c r="D546" s="243"/>
      <c r="E546" s="243"/>
      <c r="F546" s="243"/>
      <c r="G546" s="246"/>
      <c r="H546" s="43"/>
      <c r="I546" s="43"/>
      <c r="J546" s="193"/>
    </row>
    <row r="547" spans="2:10" x14ac:dyDescent="0.2">
      <c r="B547" s="69"/>
      <c r="C547" s="69"/>
      <c r="D547" s="243"/>
      <c r="E547" s="243"/>
      <c r="F547" s="243"/>
      <c r="G547" s="246"/>
      <c r="H547" s="43"/>
      <c r="I547" s="43"/>
      <c r="J547" s="193"/>
    </row>
    <row r="548" spans="2:10" x14ac:dyDescent="0.2">
      <c r="B548" s="69"/>
      <c r="C548" s="69"/>
      <c r="D548" s="243"/>
      <c r="E548" s="243"/>
      <c r="F548" s="243"/>
      <c r="G548" s="246"/>
      <c r="H548" s="43"/>
      <c r="I548" s="43"/>
      <c r="J548" s="193"/>
    </row>
    <row r="549" spans="2:10" x14ac:dyDescent="0.2">
      <c r="B549" s="18"/>
      <c r="C549" s="69"/>
      <c r="D549" s="243"/>
      <c r="E549" s="243"/>
      <c r="F549" s="243"/>
      <c r="G549" s="246"/>
      <c r="H549" s="43"/>
      <c r="I549" s="43"/>
      <c r="J549" s="193"/>
    </row>
    <row r="550" spans="2:10" x14ac:dyDescent="0.2">
      <c r="B550" s="18"/>
      <c r="C550" s="69"/>
      <c r="D550" s="243"/>
      <c r="E550" s="243"/>
      <c r="F550" s="243"/>
      <c r="G550" s="246"/>
      <c r="H550" s="43"/>
      <c r="I550" s="43"/>
      <c r="J550" s="193"/>
    </row>
    <row r="551" spans="2:10" x14ac:dyDescent="0.2">
      <c r="B551" s="18"/>
      <c r="C551" s="69"/>
      <c r="D551" s="243"/>
      <c r="E551" s="243"/>
      <c r="F551" s="243"/>
      <c r="G551" s="246"/>
      <c r="H551" s="43"/>
      <c r="I551" s="43"/>
      <c r="J551" s="193"/>
    </row>
    <row r="552" spans="2:10" x14ac:dyDescent="0.2">
      <c r="B552" s="18"/>
      <c r="C552" s="69"/>
      <c r="D552" s="243"/>
      <c r="E552" s="243"/>
      <c r="F552" s="243"/>
      <c r="G552" s="244"/>
      <c r="H552" s="43"/>
      <c r="I552" s="43"/>
      <c r="J552" s="193"/>
    </row>
    <row r="553" spans="2:10" x14ac:dyDescent="0.2">
      <c r="B553" s="18"/>
      <c r="C553" s="69"/>
      <c r="D553" s="243"/>
      <c r="E553" s="243"/>
      <c r="F553" s="243"/>
      <c r="G553" s="246"/>
      <c r="H553" s="43"/>
      <c r="I553" s="43"/>
      <c r="J553" s="193"/>
    </row>
    <row r="554" spans="2:10" x14ac:dyDescent="0.2">
      <c r="B554" s="18"/>
      <c r="C554" s="69"/>
      <c r="D554" s="243"/>
      <c r="E554" s="243"/>
      <c r="F554" s="243"/>
      <c r="G554" s="246"/>
      <c r="H554" s="43"/>
      <c r="I554" s="43"/>
      <c r="J554" s="193"/>
    </row>
    <row r="555" spans="2:10" x14ac:dyDescent="0.2">
      <c r="B555" s="18"/>
      <c r="C555" s="69"/>
      <c r="D555" s="243"/>
      <c r="E555" s="243"/>
      <c r="F555" s="243"/>
      <c r="G555" s="246"/>
      <c r="H555" s="43"/>
      <c r="I555" s="43"/>
      <c r="J555" s="193"/>
    </row>
    <row r="556" spans="2:10" x14ac:dyDescent="0.2">
      <c r="B556" s="18"/>
      <c r="C556" s="69"/>
      <c r="D556" s="243"/>
      <c r="E556" s="243"/>
      <c r="F556" s="243"/>
      <c r="G556" s="246"/>
      <c r="H556" s="43"/>
      <c r="I556" s="43"/>
      <c r="J556" s="193"/>
    </row>
    <row r="557" spans="2:10" x14ac:dyDescent="0.2">
      <c r="B557" s="18"/>
      <c r="C557" s="69"/>
      <c r="D557" s="243"/>
      <c r="E557" s="243"/>
      <c r="F557" s="243"/>
      <c r="G557" s="246"/>
      <c r="H557" s="43"/>
      <c r="I557" s="43"/>
      <c r="J557" s="193"/>
    </row>
    <row r="558" spans="2:10" x14ac:dyDescent="0.2">
      <c r="B558" s="18"/>
      <c r="C558" s="69"/>
      <c r="D558" s="243"/>
      <c r="E558" s="243"/>
      <c r="F558" s="243"/>
      <c r="G558" s="244"/>
      <c r="H558" s="43"/>
      <c r="I558" s="43"/>
      <c r="J558" s="193"/>
    </row>
    <row r="559" spans="2:10" x14ac:dyDescent="0.2">
      <c r="B559" s="18"/>
      <c r="C559" s="69"/>
      <c r="D559" s="243"/>
      <c r="E559" s="243"/>
      <c r="F559" s="243"/>
      <c r="G559" s="244"/>
      <c r="H559" s="43"/>
      <c r="I559" s="43"/>
      <c r="J559" s="193"/>
    </row>
    <row r="560" spans="2:10" x14ac:dyDescent="0.2">
      <c r="B560" s="18"/>
      <c r="C560" s="18"/>
      <c r="D560" s="243"/>
      <c r="E560" s="243"/>
      <c r="F560" s="243"/>
      <c r="G560" s="246"/>
      <c r="H560" s="43"/>
      <c r="I560" s="43"/>
      <c r="J560" s="193"/>
    </row>
    <row r="561" spans="2:10" x14ac:dyDescent="0.2">
      <c r="B561" s="18"/>
      <c r="C561" s="18"/>
      <c r="D561" s="243"/>
      <c r="E561" s="243"/>
      <c r="F561" s="243"/>
      <c r="G561" s="246"/>
      <c r="H561" s="43"/>
      <c r="I561" s="43"/>
      <c r="J561" s="193"/>
    </row>
    <row r="562" spans="2:10" x14ac:dyDescent="0.2">
      <c r="B562" s="18"/>
      <c r="C562" s="18"/>
      <c r="D562" s="243"/>
      <c r="E562" s="243"/>
      <c r="F562" s="243"/>
      <c r="G562" s="246"/>
      <c r="H562" s="43"/>
      <c r="I562" s="43"/>
      <c r="J562" s="193"/>
    </row>
    <row r="563" spans="2:10" x14ac:dyDescent="0.2">
      <c r="B563" s="18"/>
      <c r="C563" s="18"/>
      <c r="D563" s="243"/>
      <c r="E563" s="243"/>
      <c r="F563" s="243"/>
      <c r="G563" s="246"/>
      <c r="H563" s="43"/>
      <c r="I563" s="43"/>
      <c r="J563" s="193"/>
    </row>
    <row r="564" spans="2:10" x14ac:dyDescent="0.2">
      <c r="B564" s="69"/>
      <c r="C564" s="69"/>
      <c r="D564" s="243"/>
      <c r="E564" s="243"/>
      <c r="F564" s="243"/>
      <c r="G564" s="256"/>
      <c r="H564" s="43"/>
      <c r="I564" s="43"/>
      <c r="J564" s="193"/>
    </row>
    <row r="565" spans="2:10" x14ac:dyDescent="0.2">
      <c r="B565" s="69"/>
      <c r="C565" s="69"/>
      <c r="D565" s="243"/>
      <c r="E565" s="243"/>
      <c r="F565" s="243"/>
      <c r="G565" s="256"/>
      <c r="H565" s="43"/>
      <c r="I565" s="43"/>
      <c r="J565" s="193"/>
    </row>
    <row r="566" spans="2:10" x14ac:dyDescent="0.2">
      <c r="B566" s="18"/>
      <c r="C566" s="69"/>
      <c r="D566" s="243"/>
      <c r="E566" s="243"/>
      <c r="F566" s="243"/>
      <c r="G566" s="246"/>
      <c r="H566" s="43"/>
      <c r="I566" s="43"/>
      <c r="J566" s="193"/>
    </row>
    <row r="567" spans="2:10" x14ac:dyDescent="0.2">
      <c r="B567" s="18"/>
      <c r="C567" s="69"/>
      <c r="D567" s="243"/>
      <c r="E567" s="243"/>
      <c r="F567" s="243"/>
      <c r="G567" s="244"/>
      <c r="H567" s="43"/>
      <c r="I567" s="43"/>
      <c r="J567" s="193"/>
    </row>
    <row r="568" spans="2:10" x14ac:dyDescent="0.2">
      <c r="B568" s="351"/>
      <c r="C568" s="69"/>
      <c r="D568" s="243"/>
      <c r="E568" s="243"/>
      <c r="F568" s="243"/>
      <c r="G568" s="246"/>
      <c r="H568" s="43"/>
      <c r="I568" s="43"/>
      <c r="J568" s="193"/>
    </row>
    <row r="569" spans="2:10" x14ac:dyDescent="0.2">
      <c r="B569" s="18"/>
      <c r="C569" s="69"/>
      <c r="D569" s="243"/>
      <c r="E569" s="243"/>
      <c r="F569" s="243"/>
      <c r="G569" s="246"/>
      <c r="H569" s="43"/>
      <c r="I569" s="43"/>
      <c r="J569" s="193"/>
    </row>
    <row r="570" spans="2:10" x14ac:dyDescent="0.2">
      <c r="B570" s="18"/>
      <c r="C570" s="351"/>
      <c r="D570" s="19"/>
      <c r="E570" s="243"/>
      <c r="F570" s="243"/>
      <c r="G570" s="294"/>
      <c r="H570" s="43"/>
      <c r="I570" s="43"/>
      <c r="J570" s="193"/>
    </row>
    <row r="571" spans="2:10" x14ac:dyDescent="0.2">
      <c r="B571" s="18"/>
      <c r="C571" s="69"/>
      <c r="D571" s="243"/>
      <c r="E571" s="243"/>
      <c r="F571" s="243"/>
      <c r="G571" s="244"/>
      <c r="H571" s="43"/>
      <c r="I571" s="43"/>
      <c r="J571" s="193"/>
    </row>
    <row r="572" spans="2:10" x14ac:dyDescent="0.2">
      <c r="B572" s="18"/>
      <c r="C572" s="18"/>
      <c r="D572" s="243"/>
      <c r="E572" s="243"/>
      <c r="F572" s="243"/>
      <c r="G572" s="244"/>
      <c r="H572" s="43"/>
      <c r="I572" s="43"/>
      <c r="J572" s="193"/>
    </row>
    <row r="573" spans="2:10" x14ac:dyDescent="0.2">
      <c r="B573" s="18"/>
      <c r="C573" s="69"/>
      <c r="D573" s="243"/>
      <c r="E573" s="243"/>
      <c r="F573" s="243"/>
      <c r="G573" s="246"/>
      <c r="H573" s="43"/>
      <c r="I573" s="43"/>
      <c r="J573" s="193"/>
    </row>
    <row r="574" spans="2:10" x14ac:dyDescent="0.2">
      <c r="B574" s="18"/>
      <c r="C574" s="69"/>
      <c r="D574" s="243"/>
      <c r="E574" s="243"/>
      <c r="F574" s="243"/>
      <c r="G574" s="246"/>
      <c r="H574" s="43"/>
      <c r="I574" s="43"/>
      <c r="J574" s="193"/>
    </row>
    <row r="575" spans="2:10" x14ac:dyDescent="0.2">
      <c r="B575" s="18"/>
      <c r="C575" s="69"/>
      <c r="D575" s="243"/>
      <c r="E575" s="243"/>
      <c r="F575" s="243"/>
      <c r="G575" s="246"/>
      <c r="H575" s="43"/>
      <c r="I575" s="43"/>
      <c r="J575" s="193"/>
    </row>
    <row r="576" spans="2:10" x14ac:dyDescent="0.2">
      <c r="B576" s="18"/>
      <c r="C576" s="69"/>
      <c r="D576" s="243"/>
      <c r="E576" s="243"/>
      <c r="F576" s="243"/>
      <c r="G576" s="244"/>
      <c r="H576" s="43"/>
      <c r="I576" s="43"/>
      <c r="J576" s="193"/>
    </row>
    <row r="577" spans="2:10" x14ac:dyDescent="0.2">
      <c r="B577" s="18"/>
      <c r="C577" s="69"/>
      <c r="D577" s="243"/>
      <c r="E577" s="243"/>
      <c r="F577" s="243"/>
      <c r="G577" s="244"/>
      <c r="H577" s="43"/>
      <c r="I577" s="43"/>
      <c r="J577" s="193"/>
    </row>
    <row r="578" spans="2:10" x14ac:dyDescent="0.2">
      <c r="B578" s="69"/>
      <c r="C578" s="69"/>
      <c r="D578" s="243"/>
      <c r="E578" s="243"/>
      <c r="F578" s="243"/>
      <c r="G578" s="246"/>
      <c r="H578" s="43"/>
      <c r="I578" s="43"/>
      <c r="J578" s="193"/>
    </row>
    <row r="579" spans="2:10" x14ac:dyDescent="0.2">
      <c r="B579" s="18"/>
      <c r="C579" s="69"/>
      <c r="D579" s="243"/>
      <c r="E579" s="243"/>
      <c r="F579" s="243"/>
      <c r="G579" s="244"/>
      <c r="H579" s="43"/>
      <c r="I579" s="43"/>
      <c r="J579" s="193"/>
    </row>
    <row r="580" spans="2:10" x14ac:dyDescent="0.2">
      <c r="B580" s="18"/>
      <c r="C580" s="69"/>
      <c r="D580" s="243"/>
      <c r="E580" s="243"/>
      <c r="F580" s="243"/>
      <c r="G580" s="246"/>
      <c r="H580" s="43"/>
      <c r="I580" s="43"/>
      <c r="J580" s="193"/>
    </row>
    <row r="581" spans="2:10" x14ac:dyDescent="0.2">
      <c r="B581" s="18"/>
      <c r="C581" s="69"/>
      <c r="D581" s="243"/>
      <c r="E581" s="243"/>
      <c r="F581" s="243"/>
      <c r="G581" s="246"/>
      <c r="H581" s="43"/>
      <c r="I581" s="43"/>
      <c r="J581" s="193"/>
    </row>
    <row r="582" spans="2:10" x14ac:dyDescent="0.2">
      <c r="B582" s="18"/>
      <c r="C582" s="69"/>
      <c r="D582" s="243"/>
      <c r="E582" s="243"/>
      <c r="F582" s="243"/>
      <c r="G582" s="246"/>
      <c r="H582" s="43"/>
      <c r="I582" s="43"/>
      <c r="J582" s="193"/>
    </row>
    <row r="583" spans="2:10" x14ac:dyDescent="0.2">
      <c r="B583" s="18"/>
      <c r="C583" s="69"/>
      <c r="D583" s="243"/>
      <c r="E583" s="243"/>
      <c r="F583" s="243"/>
      <c r="G583" s="244"/>
      <c r="H583" s="43"/>
      <c r="I583" s="43"/>
      <c r="J583" s="193"/>
    </row>
    <row r="584" spans="2:10" x14ac:dyDescent="0.2">
      <c r="B584" s="69"/>
      <c r="C584" s="69"/>
      <c r="D584" s="243"/>
      <c r="E584" s="243"/>
      <c r="F584" s="243"/>
      <c r="G584" s="246"/>
      <c r="H584" s="43"/>
      <c r="I584" s="43"/>
      <c r="J584" s="193"/>
    </row>
    <row r="585" spans="2:10" x14ac:dyDescent="0.2">
      <c r="B585" s="69"/>
      <c r="C585" s="69"/>
      <c r="D585" s="243"/>
      <c r="E585" s="243"/>
      <c r="F585" s="243"/>
      <c r="G585" s="246"/>
      <c r="H585" s="43"/>
      <c r="I585" s="43"/>
      <c r="J585" s="193"/>
    </row>
    <row r="586" spans="2:10" x14ac:dyDescent="0.2">
      <c r="B586" s="69"/>
      <c r="C586" s="69"/>
      <c r="D586" s="243"/>
      <c r="E586" s="243"/>
      <c r="F586" s="243"/>
      <c r="G586" s="246"/>
      <c r="H586" s="43"/>
      <c r="I586" s="43"/>
      <c r="J586" s="193"/>
    </row>
    <row r="587" spans="2:10" x14ac:dyDescent="0.2">
      <c r="B587" s="69"/>
      <c r="C587" s="69"/>
      <c r="D587" s="243"/>
      <c r="E587" s="243"/>
      <c r="F587" s="243"/>
      <c r="G587" s="246"/>
      <c r="H587" s="43"/>
      <c r="I587" s="43"/>
      <c r="J587" s="193"/>
    </row>
    <row r="588" spans="2:10" x14ac:dyDescent="0.2">
      <c r="B588" s="69"/>
      <c r="C588" s="69"/>
      <c r="D588" s="243"/>
      <c r="E588" s="243"/>
      <c r="F588" s="243"/>
      <c r="G588" s="246"/>
      <c r="H588" s="43"/>
      <c r="I588" s="43"/>
      <c r="J588" s="193"/>
    </row>
    <row r="589" spans="2:10" x14ac:dyDescent="0.2">
      <c r="B589" s="18"/>
      <c r="C589" s="196"/>
      <c r="D589" s="243"/>
      <c r="E589" s="243"/>
      <c r="F589" s="243"/>
      <c r="G589" s="244"/>
      <c r="H589" s="43"/>
      <c r="I589" s="43"/>
      <c r="J589" s="193"/>
    </row>
    <row r="590" spans="2:10" x14ac:dyDescent="0.2">
      <c r="B590" s="18"/>
      <c r="C590" s="196"/>
      <c r="D590" s="243"/>
      <c r="E590" s="243"/>
      <c r="F590" s="243"/>
      <c r="G590" s="244"/>
      <c r="H590" s="43"/>
      <c r="I590" s="43"/>
      <c r="J590" s="193"/>
    </row>
    <row r="591" spans="2:10" x14ac:dyDescent="0.2">
      <c r="B591" s="18"/>
      <c r="C591" s="69"/>
      <c r="D591" s="243"/>
      <c r="E591" s="243"/>
      <c r="F591" s="243"/>
      <c r="G591" s="246"/>
      <c r="H591" s="43"/>
      <c r="I591" s="43"/>
      <c r="J591" s="193"/>
    </row>
    <row r="592" spans="2:10" x14ac:dyDescent="0.2">
      <c r="B592" s="69"/>
      <c r="C592" s="69"/>
      <c r="D592" s="243"/>
      <c r="E592" s="243"/>
      <c r="F592" s="243"/>
      <c r="G592" s="246"/>
      <c r="H592" s="43"/>
      <c r="I592" s="43"/>
      <c r="J592" s="193"/>
    </row>
    <row r="593" spans="2:10" x14ac:dyDescent="0.2">
      <c r="B593" s="18"/>
      <c r="C593" s="69"/>
      <c r="D593" s="243"/>
      <c r="E593" s="243"/>
      <c r="F593" s="243"/>
      <c r="G593" s="246"/>
      <c r="H593" s="43"/>
      <c r="I593" s="43"/>
      <c r="J593" s="193"/>
    </row>
    <row r="594" spans="2:10" x14ac:dyDescent="0.2">
      <c r="B594" s="18"/>
      <c r="C594" s="69"/>
      <c r="D594" s="243"/>
      <c r="E594" s="243"/>
      <c r="F594" s="243"/>
      <c r="G594" s="244"/>
      <c r="H594" s="43"/>
      <c r="I594" s="43"/>
      <c r="J594" s="193"/>
    </row>
    <row r="595" spans="2:10" x14ac:dyDescent="0.2">
      <c r="B595" s="18"/>
      <c r="C595" s="69"/>
      <c r="D595" s="243"/>
      <c r="E595" s="243"/>
      <c r="F595" s="243"/>
      <c r="G595" s="244"/>
      <c r="H595" s="43"/>
      <c r="I595" s="43"/>
      <c r="J595" s="193"/>
    </row>
    <row r="596" spans="2:10" x14ac:dyDescent="0.2">
      <c r="B596" s="18"/>
      <c r="C596" s="69"/>
      <c r="D596" s="243"/>
      <c r="E596" s="243"/>
      <c r="F596" s="243"/>
      <c r="G596" s="244"/>
      <c r="H596" s="43"/>
      <c r="I596" s="43"/>
      <c r="J596" s="193"/>
    </row>
    <row r="597" spans="2:10" x14ac:dyDescent="0.2">
      <c r="B597" s="69"/>
      <c r="C597" s="69"/>
      <c r="D597" s="243"/>
      <c r="E597" s="243"/>
      <c r="F597" s="243"/>
      <c r="G597" s="244"/>
      <c r="H597" s="43"/>
      <c r="I597" s="43"/>
      <c r="J597" s="193"/>
    </row>
    <row r="598" spans="2:10" x14ac:dyDescent="0.2">
      <c r="B598" s="69"/>
      <c r="C598" s="69"/>
      <c r="D598" s="243"/>
      <c r="E598" s="243"/>
      <c r="F598" s="243"/>
      <c r="G598" s="244"/>
      <c r="H598" s="43"/>
      <c r="I598" s="43"/>
      <c r="J598" s="193"/>
    </row>
    <row r="599" spans="2:10" x14ac:dyDescent="0.2">
      <c r="B599" s="18"/>
      <c r="C599" s="69"/>
      <c r="D599" s="243"/>
      <c r="E599" s="243"/>
      <c r="F599" s="243"/>
      <c r="G599" s="246"/>
      <c r="H599" s="43"/>
      <c r="I599" s="43"/>
      <c r="J599" s="193"/>
    </row>
    <row r="600" spans="2:10" x14ac:dyDescent="0.2">
      <c r="B600" s="69"/>
      <c r="C600" s="69"/>
      <c r="D600" s="243"/>
      <c r="E600" s="243"/>
      <c r="F600" s="243"/>
      <c r="G600" s="246"/>
      <c r="H600" s="43"/>
      <c r="I600" s="43"/>
      <c r="J600" s="193"/>
    </row>
    <row r="601" spans="2:10" x14ac:dyDescent="0.2">
      <c r="B601" s="18"/>
      <c r="C601" s="69"/>
      <c r="D601" s="243"/>
      <c r="E601" s="243"/>
      <c r="F601" s="243"/>
      <c r="G601" s="246"/>
      <c r="H601" s="43"/>
      <c r="I601" s="43"/>
      <c r="J601" s="193"/>
    </row>
    <row r="602" spans="2:10" x14ac:dyDescent="0.2">
      <c r="B602" s="18"/>
      <c r="C602" s="69"/>
      <c r="D602" s="243"/>
      <c r="E602" s="243"/>
      <c r="F602" s="243"/>
      <c r="G602" s="246"/>
      <c r="H602" s="43"/>
      <c r="I602" s="43"/>
      <c r="J602" s="193"/>
    </row>
    <row r="603" spans="2:10" x14ac:dyDescent="0.2">
      <c r="B603" s="69"/>
      <c r="C603" s="69"/>
      <c r="D603" s="243"/>
      <c r="E603" s="243"/>
      <c r="F603" s="243"/>
      <c r="G603" s="244"/>
      <c r="H603" s="43"/>
      <c r="I603" s="43"/>
      <c r="J603" s="193"/>
    </row>
    <row r="604" spans="2:10" x14ac:dyDescent="0.2">
      <c r="B604" s="18"/>
      <c r="C604" s="69"/>
      <c r="D604" s="243"/>
      <c r="E604" s="243"/>
      <c r="F604" s="243"/>
      <c r="G604" s="246"/>
      <c r="H604" s="43"/>
      <c r="I604" s="43"/>
      <c r="J604" s="193"/>
    </row>
    <row r="605" spans="2:10" x14ac:dyDescent="0.2">
      <c r="B605" s="18"/>
      <c r="C605" s="69"/>
      <c r="D605" s="243"/>
      <c r="E605" s="243"/>
      <c r="F605" s="243"/>
      <c r="G605" s="246"/>
      <c r="H605" s="43"/>
      <c r="I605" s="43"/>
      <c r="J605" s="193"/>
    </row>
    <row r="606" spans="2:10" x14ac:dyDescent="0.2">
      <c r="B606" s="18"/>
      <c r="C606" s="69"/>
      <c r="D606" s="243"/>
      <c r="E606" s="243"/>
      <c r="F606" s="243"/>
      <c r="G606" s="246"/>
      <c r="H606" s="43"/>
      <c r="I606" s="43"/>
      <c r="J606" s="193"/>
    </row>
    <row r="607" spans="2:10" x14ac:dyDescent="0.2">
      <c r="B607" s="18"/>
      <c r="C607" s="69"/>
      <c r="D607" s="243"/>
      <c r="E607" s="243"/>
      <c r="F607" s="243"/>
      <c r="G607" s="246"/>
      <c r="H607" s="43"/>
      <c r="I607" s="43"/>
      <c r="J607" s="193"/>
    </row>
    <row r="608" spans="2:10" x14ac:dyDescent="0.2">
      <c r="B608" s="18"/>
      <c r="C608" s="69"/>
      <c r="D608" s="243"/>
      <c r="E608" s="243"/>
      <c r="F608" s="243"/>
      <c r="G608" s="246"/>
      <c r="H608" s="43"/>
      <c r="I608" s="43"/>
      <c r="J608" s="193"/>
    </row>
    <row r="609" spans="2:10" x14ac:dyDescent="0.2">
      <c r="B609" s="69"/>
      <c r="C609" s="69"/>
      <c r="D609" s="243"/>
      <c r="E609" s="243"/>
      <c r="F609" s="243"/>
      <c r="G609" s="246"/>
      <c r="H609" s="43"/>
      <c r="I609" s="43"/>
      <c r="J609" s="193"/>
    </row>
    <row r="610" spans="2:10" x14ac:dyDescent="0.2">
      <c r="B610" s="69"/>
      <c r="C610" s="69"/>
      <c r="D610" s="243"/>
      <c r="E610" s="243"/>
      <c r="F610" s="243"/>
      <c r="G610" s="244"/>
      <c r="H610" s="43"/>
      <c r="I610" s="43"/>
      <c r="J610" s="193"/>
    </row>
    <row r="611" spans="2:10" x14ac:dyDescent="0.2">
      <c r="B611" s="18"/>
      <c r="C611" s="69"/>
      <c r="D611" s="243"/>
      <c r="E611" s="243"/>
      <c r="F611" s="243"/>
      <c r="G611" s="244"/>
      <c r="H611" s="43"/>
      <c r="I611" s="43"/>
      <c r="J611" s="193"/>
    </row>
    <row r="612" spans="2:10" x14ac:dyDescent="0.2">
      <c r="B612" s="18"/>
      <c r="C612" s="69"/>
      <c r="D612" s="243"/>
      <c r="E612" s="243"/>
      <c r="F612" s="243"/>
      <c r="G612" s="244"/>
      <c r="H612" s="43"/>
      <c r="I612" s="43"/>
      <c r="J612" s="193"/>
    </row>
    <row r="613" spans="2:10" x14ac:dyDescent="0.2">
      <c r="B613" s="18"/>
      <c r="C613" s="69"/>
      <c r="D613" s="243"/>
      <c r="E613" s="243"/>
      <c r="F613" s="243"/>
      <c r="G613" s="244"/>
      <c r="H613" s="43"/>
      <c r="I613" s="43"/>
      <c r="J613" s="193"/>
    </row>
    <row r="614" spans="2:10" x14ac:dyDescent="0.2">
      <c r="B614" s="18"/>
      <c r="C614" s="69"/>
      <c r="D614" s="243"/>
      <c r="E614" s="243"/>
      <c r="F614" s="243"/>
      <c r="G614" s="246"/>
      <c r="H614" s="43"/>
      <c r="I614" s="43"/>
      <c r="J614" s="193"/>
    </row>
    <row r="615" spans="2:10" x14ac:dyDescent="0.2">
      <c r="B615" s="69"/>
      <c r="C615" s="69"/>
      <c r="D615" s="243"/>
      <c r="E615" s="243"/>
      <c r="F615" s="243"/>
      <c r="G615" s="246"/>
      <c r="H615" s="43"/>
      <c r="I615" s="43"/>
      <c r="J615" s="193"/>
    </row>
    <row r="616" spans="2:10" x14ac:dyDescent="0.2">
      <c r="B616" s="18"/>
      <c r="C616" s="69"/>
      <c r="D616" s="243"/>
      <c r="E616" s="243"/>
      <c r="F616" s="243"/>
      <c r="G616" s="256"/>
      <c r="H616" s="43"/>
      <c r="I616" s="43"/>
      <c r="J616" s="193"/>
    </row>
    <row r="617" spans="2:10" x14ac:dyDescent="0.2">
      <c r="B617" s="18"/>
      <c r="C617" s="69"/>
      <c r="D617" s="243"/>
      <c r="E617" s="243"/>
      <c r="F617" s="243"/>
      <c r="G617" s="256"/>
      <c r="H617" s="43"/>
      <c r="I617" s="43"/>
      <c r="J617" s="193"/>
    </row>
    <row r="618" spans="2:10" x14ac:dyDescent="0.2">
      <c r="B618" s="18"/>
      <c r="C618" s="69"/>
      <c r="D618" s="243"/>
      <c r="E618" s="243"/>
      <c r="F618" s="243"/>
      <c r="G618" s="256"/>
      <c r="H618" s="43"/>
      <c r="I618" s="43"/>
      <c r="J618" s="193"/>
    </row>
    <row r="619" spans="2:10" x14ac:dyDescent="0.2">
      <c r="B619" s="18"/>
      <c r="C619" s="69"/>
      <c r="D619" s="243"/>
      <c r="E619" s="243"/>
      <c r="F619" s="243"/>
      <c r="G619" s="256"/>
      <c r="H619" s="43"/>
      <c r="I619" s="43"/>
      <c r="J619" s="193"/>
    </row>
    <row r="620" spans="2:10" x14ac:dyDescent="0.2">
      <c r="B620" s="18"/>
      <c r="C620" s="69"/>
      <c r="D620" s="243"/>
      <c r="E620" s="243"/>
      <c r="F620" s="243"/>
      <c r="G620" s="244"/>
      <c r="H620" s="43"/>
      <c r="I620" s="43"/>
      <c r="J620" s="193"/>
    </row>
    <row r="621" spans="2:10" x14ac:dyDescent="0.2">
      <c r="B621" s="18"/>
      <c r="C621" s="69"/>
      <c r="D621" s="243"/>
      <c r="E621" s="243"/>
      <c r="F621" s="243"/>
      <c r="G621" s="244"/>
      <c r="H621" s="43"/>
      <c r="I621" s="43"/>
      <c r="J621" s="193"/>
    </row>
    <row r="622" spans="2:10" x14ac:dyDescent="0.2">
      <c r="B622" s="18"/>
      <c r="C622" s="69"/>
      <c r="D622" s="243"/>
      <c r="E622" s="243"/>
      <c r="F622" s="243"/>
      <c r="G622" s="244"/>
      <c r="H622" s="43"/>
      <c r="I622" s="43"/>
      <c r="J622" s="193"/>
    </row>
    <row r="623" spans="2:10" x14ac:dyDescent="0.2">
      <c r="B623" s="18"/>
      <c r="C623" s="69"/>
      <c r="D623" s="243"/>
      <c r="E623" s="243"/>
      <c r="F623" s="243"/>
      <c r="G623" s="244"/>
      <c r="H623" s="43"/>
      <c r="I623" s="43"/>
      <c r="J623" s="193"/>
    </row>
    <row r="624" spans="2:10" x14ac:dyDescent="0.2">
      <c r="B624" s="18"/>
      <c r="C624" s="69"/>
      <c r="D624" s="243"/>
      <c r="E624" s="243"/>
      <c r="F624" s="243"/>
      <c r="G624" s="246"/>
      <c r="H624" s="43"/>
      <c r="I624" s="43"/>
      <c r="J624" s="193"/>
    </row>
    <row r="625" spans="2:10" x14ac:dyDescent="0.2">
      <c r="B625" s="18"/>
      <c r="C625" s="69"/>
      <c r="D625" s="243"/>
      <c r="E625" s="243"/>
      <c r="F625" s="243"/>
      <c r="G625" s="246"/>
      <c r="H625" s="43"/>
      <c r="I625" s="43"/>
      <c r="J625" s="193"/>
    </row>
    <row r="626" spans="2:10" x14ac:dyDescent="0.2">
      <c r="B626" s="18"/>
      <c r="C626" s="69"/>
      <c r="D626" s="243"/>
      <c r="E626" s="243"/>
      <c r="F626" s="243"/>
      <c r="G626" s="246"/>
      <c r="H626" s="43"/>
      <c r="I626" s="43"/>
      <c r="J626" s="193"/>
    </row>
    <row r="627" spans="2:10" x14ac:dyDescent="0.2">
      <c r="B627" s="18"/>
      <c r="C627" s="69"/>
      <c r="D627" s="243"/>
      <c r="E627" s="243"/>
      <c r="F627" s="243"/>
      <c r="G627" s="246"/>
      <c r="H627" s="43"/>
      <c r="I627" s="43"/>
      <c r="J627" s="193"/>
    </row>
    <row r="628" spans="2:10" x14ac:dyDescent="0.2">
      <c r="B628" s="18"/>
      <c r="C628" s="69"/>
      <c r="D628" s="243"/>
      <c r="E628" s="243"/>
      <c r="F628" s="243"/>
      <c r="G628" s="246"/>
      <c r="H628" s="43"/>
      <c r="I628" s="43"/>
      <c r="J628" s="193"/>
    </row>
    <row r="629" spans="2:10" x14ac:dyDescent="0.2">
      <c r="B629" s="18"/>
      <c r="C629" s="69"/>
      <c r="D629" s="243"/>
      <c r="E629" s="243"/>
      <c r="F629" s="243"/>
      <c r="G629" s="244"/>
      <c r="H629" s="43"/>
      <c r="I629" s="43"/>
      <c r="J629" s="193"/>
    </row>
    <row r="630" spans="2:10" x14ac:dyDescent="0.2">
      <c r="B630" s="69"/>
      <c r="C630" s="69"/>
      <c r="D630" s="243"/>
      <c r="E630" s="243"/>
      <c r="F630" s="243"/>
      <c r="G630" s="246"/>
      <c r="H630" s="43"/>
      <c r="I630" s="43"/>
      <c r="J630" s="193"/>
    </row>
    <row r="631" spans="2:10" x14ac:dyDescent="0.2">
      <c r="B631" s="18"/>
      <c r="C631" s="69"/>
      <c r="D631" s="243"/>
      <c r="E631" s="243"/>
      <c r="F631" s="243"/>
      <c r="G631" s="244"/>
      <c r="H631" s="43"/>
      <c r="I631" s="43"/>
      <c r="J631" s="193"/>
    </row>
    <row r="632" spans="2:10" x14ac:dyDescent="0.2">
      <c r="B632" s="18"/>
      <c r="C632" s="69"/>
      <c r="D632" s="243"/>
      <c r="E632" s="243"/>
      <c r="F632" s="243"/>
      <c r="G632" s="244"/>
      <c r="H632" s="43"/>
      <c r="I632" s="43"/>
      <c r="J632" s="193"/>
    </row>
    <row r="633" spans="2:10" x14ac:dyDescent="0.2">
      <c r="B633" s="69"/>
      <c r="C633" s="69"/>
      <c r="D633" s="243"/>
      <c r="E633" s="243"/>
      <c r="F633" s="243"/>
      <c r="G633" s="244"/>
      <c r="H633" s="43"/>
      <c r="I633" s="43"/>
      <c r="J633" s="193"/>
    </row>
    <row r="634" spans="2:10" x14ac:dyDescent="0.2">
      <c r="B634" s="18"/>
      <c r="C634" s="69"/>
      <c r="D634" s="243"/>
      <c r="E634" s="243"/>
      <c r="F634" s="243"/>
      <c r="G634" s="244"/>
      <c r="H634" s="43"/>
      <c r="I634" s="43"/>
      <c r="J634" s="193"/>
    </row>
    <row r="635" spans="2:10" x14ac:dyDescent="0.2">
      <c r="B635" s="18"/>
      <c r="C635" s="69"/>
      <c r="D635" s="243"/>
      <c r="E635" s="243"/>
      <c r="F635" s="243"/>
      <c r="G635" s="244"/>
      <c r="H635" s="43"/>
      <c r="I635" s="43"/>
      <c r="J635" s="193"/>
    </row>
    <row r="636" spans="2:10" x14ac:dyDescent="0.2">
      <c r="B636" s="18"/>
      <c r="C636" s="69"/>
      <c r="D636" s="243"/>
      <c r="E636" s="243"/>
      <c r="F636" s="243"/>
      <c r="G636" s="244"/>
      <c r="H636" s="43"/>
      <c r="I636" s="43"/>
      <c r="J636" s="193"/>
    </row>
    <row r="637" spans="2:10" x14ac:dyDescent="0.2">
      <c r="B637" s="18"/>
      <c r="C637" s="69"/>
      <c r="D637" s="243"/>
      <c r="E637" s="243"/>
      <c r="F637" s="243"/>
      <c r="G637" s="244"/>
      <c r="H637" s="43"/>
      <c r="I637" s="43"/>
      <c r="J637" s="193"/>
    </row>
    <row r="638" spans="2:10" x14ac:dyDescent="0.2">
      <c r="B638" s="18"/>
      <c r="C638" s="69"/>
      <c r="D638" s="243"/>
      <c r="E638" s="243"/>
      <c r="F638" s="243"/>
      <c r="G638" s="244"/>
      <c r="H638" s="43"/>
      <c r="I638" s="43"/>
      <c r="J638" s="193"/>
    </row>
    <row r="639" spans="2:10" x14ac:dyDescent="0.2">
      <c r="B639" s="18"/>
      <c r="C639" s="69"/>
      <c r="D639" s="243"/>
      <c r="E639" s="243"/>
      <c r="F639" s="243"/>
      <c r="G639" s="246"/>
      <c r="H639" s="43"/>
      <c r="I639" s="43"/>
      <c r="J639" s="193"/>
    </row>
    <row r="640" spans="2:10" x14ac:dyDescent="0.2">
      <c r="B640" s="69"/>
      <c r="C640" s="69"/>
      <c r="D640" s="243"/>
      <c r="E640" s="243"/>
      <c r="F640" s="243"/>
      <c r="G640" s="244"/>
      <c r="H640" s="43"/>
      <c r="I640" s="43"/>
      <c r="J640" s="193"/>
    </row>
    <row r="641" spans="2:10" x14ac:dyDescent="0.2">
      <c r="B641" s="18"/>
      <c r="C641" s="69"/>
      <c r="D641" s="243"/>
      <c r="E641" s="243"/>
      <c r="F641" s="243"/>
      <c r="G641" s="244"/>
      <c r="H641" s="43"/>
      <c r="I641" s="43"/>
      <c r="J641" s="193"/>
    </row>
    <row r="642" spans="2:10" x14ac:dyDescent="0.2">
      <c r="B642" s="18"/>
      <c r="C642" s="69"/>
      <c r="D642" s="243"/>
      <c r="E642" s="243"/>
      <c r="F642" s="243"/>
      <c r="G642" s="244"/>
      <c r="H642" s="43"/>
      <c r="I642" s="43"/>
      <c r="J642" s="193"/>
    </row>
    <row r="643" spans="2:10" x14ac:dyDescent="0.2">
      <c r="B643" s="18"/>
      <c r="C643" s="196"/>
      <c r="D643" s="243"/>
      <c r="E643" s="243"/>
      <c r="F643" s="243"/>
      <c r="G643" s="244"/>
      <c r="H643" s="43"/>
      <c r="I643" s="43"/>
      <c r="J643" s="193"/>
    </row>
    <row r="644" spans="2:10" x14ac:dyDescent="0.2">
      <c r="B644" s="69"/>
      <c r="C644" s="69"/>
      <c r="D644" s="243"/>
      <c r="E644" s="243"/>
      <c r="F644" s="243"/>
      <c r="G644" s="246"/>
      <c r="H644" s="43"/>
      <c r="I644" s="43"/>
      <c r="J644" s="193"/>
    </row>
    <row r="645" spans="2:10" x14ac:dyDescent="0.2">
      <c r="B645" s="18">
        <v>26</v>
      </c>
      <c r="C645" s="69" t="s">
        <v>297</v>
      </c>
      <c r="D645" s="243" t="s">
        <v>119</v>
      </c>
      <c r="E645" s="243" t="s">
        <v>207</v>
      </c>
      <c r="F645" s="243" t="s">
        <v>419</v>
      </c>
      <c r="G645" s="244" t="s">
        <v>497</v>
      </c>
      <c r="H645" s="43" t="s">
        <v>585</v>
      </c>
      <c r="I645" s="43">
        <v>3</v>
      </c>
      <c r="J645" s="193">
        <v>10</v>
      </c>
    </row>
    <row r="646" spans="2:10" x14ac:dyDescent="0.2">
      <c r="B646" s="18"/>
      <c r="C646" s="69"/>
      <c r="D646" s="243"/>
      <c r="E646" s="243"/>
      <c r="F646" s="243"/>
      <c r="G646" s="244"/>
      <c r="H646" s="43"/>
      <c r="I646" s="43"/>
      <c r="J646" s="193"/>
    </row>
    <row r="647" spans="2:10" ht="18" x14ac:dyDescent="0.2">
      <c r="B647" s="18">
        <v>25</v>
      </c>
      <c r="C647" s="69" t="s">
        <v>305</v>
      </c>
      <c r="D647" s="243" t="s">
        <v>96</v>
      </c>
      <c r="E647" s="243" t="s">
        <v>207</v>
      </c>
      <c r="F647" s="243" t="s">
        <v>419</v>
      </c>
      <c r="G647" s="246" t="s">
        <v>289</v>
      </c>
      <c r="H647" s="43" t="s">
        <v>596</v>
      </c>
      <c r="I647" s="43">
        <v>3</v>
      </c>
      <c r="J647" s="193">
        <v>9</v>
      </c>
    </row>
    <row r="648" spans="2:10" x14ac:dyDescent="0.2">
      <c r="B648" s="18">
        <v>24</v>
      </c>
      <c r="C648" s="69" t="s">
        <v>300</v>
      </c>
      <c r="D648" s="243" t="s">
        <v>138</v>
      </c>
      <c r="E648" s="243" t="s">
        <v>207</v>
      </c>
      <c r="F648" s="243" t="s">
        <v>419</v>
      </c>
      <c r="G648" s="246" t="s">
        <v>496</v>
      </c>
      <c r="H648" s="43" t="s">
        <v>587</v>
      </c>
      <c r="I648" s="43">
        <v>2</v>
      </c>
      <c r="J648" s="193">
        <v>54</v>
      </c>
    </row>
    <row r="649" spans="2:10" x14ac:dyDescent="0.2">
      <c r="B649" s="69"/>
      <c r="C649" s="69"/>
      <c r="D649" s="243"/>
      <c r="E649" s="243"/>
      <c r="F649" s="243"/>
      <c r="G649" s="246"/>
      <c r="H649" s="43"/>
      <c r="I649" s="43"/>
      <c r="J649" s="193"/>
    </row>
    <row r="650" spans="2:10" x14ac:dyDescent="0.2">
      <c r="B650" s="18">
        <v>22</v>
      </c>
      <c r="C650" s="69" t="s">
        <v>299</v>
      </c>
      <c r="D650" s="243" t="s">
        <v>47</v>
      </c>
      <c r="E650" s="243" t="s">
        <v>207</v>
      </c>
      <c r="F650" s="243" t="s">
        <v>419</v>
      </c>
      <c r="G650" s="246" t="s">
        <v>452</v>
      </c>
      <c r="H650" s="43" t="s">
        <v>586</v>
      </c>
      <c r="I650" s="43">
        <v>3</v>
      </c>
      <c r="J650" s="193">
        <v>1572</v>
      </c>
    </row>
    <row r="651" spans="2:10" x14ac:dyDescent="0.2">
      <c r="B651" s="18"/>
      <c r="C651" s="69"/>
      <c r="D651" s="243"/>
      <c r="E651" s="243"/>
      <c r="F651" s="243"/>
      <c r="G651" s="246"/>
      <c r="H651" s="43"/>
      <c r="I651" s="43"/>
      <c r="J651" s="193"/>
    </row>
    <row r="652" spans="2:10" x14ac:dyDescent="0.2">
      <c r="B652" s="18">
        <v>26</v>
      </c>
      <c r="C652" s="69" t="s">
        <v>300</v>
      </c>
      <c r="D652" s="243" t="s">
        <v>139</v>
      </c>
      <c r="E652" s="243" t="s">
        <v>207</v>
      </c>
      <c r="F652" s="243" t="s">
        <v>419</v>
      </c>
      <c r="G652" s="246" t="s">
        <v>528</v>
      </c>
      <c r="H652" s="43" t="s">
        <v>591</v>
      </c>
      <c r="I652" s="43">
        <v>2</v>
      </c>
      <c r="J652" s="193">
        <v>0</v>
      </c>
    </row>
    <row r="653" spans="2:10" x14ac:dyDescent="0.2">
      <c r="B653" s="18"/>
      <c r="C653" s="69"/>
      <c r="D653" s="243"/>
      <c r="E653" s="243"/>
      <c r="F653" s="243"/>
      <c r="G653" s="246"/>
      <c r="H653" s="43"/>
      <c r="I653" s="43"/>
      <c r="J653" s="193"/>
    </row>
    <row r="654" spans="2:10" x14ac:dyDescent="0.2">
      <c r="B654" s="18"/>
      <c r="C654" s="69"/>
      <c r="D654" s="243"/>
      <c r="E654" s="243"/>
      <c r="F654" s="243"/>
      <c r="G654" s="246"/>
      <c r="H654" s="43"/>
      <c r="I654" s="43"/>
      <c r="J654" s="193"/>
    </row>
    <row r="655" spans="2:10" x14ac:dyDescent="0.2">
      <c r="B655" s="18"/>
      <c r="C655" s="69"/>
      <c r="D655" s="243"/>
      <c r="E655" s="243"/>
      <c r="F655" s="243"/>
      <c r="G655" s="246"/>
      <c r="H655" s="43"/>
      <c r="I655" s="43"/>
      <c r="J655" s="193"/>
    </row>
    <row r="656" spans="2:10" x14ac:dyDescent="0.2">
      <c r="B656" s="18"/>
      <c r="C656" s="69"/>
      <c r="D656" s="243"/>
      <c r="E656" s="243"/>
      <c r="F656" s="243"/>
      <c r="G656" s="246"/>
      <c r="H656" s="43"/>
      <c r="I656" s="43"/>
      <c r="J656" s="193"/>
    </row>
    <row r="657" spans="2:10" x14ac:dyDescent="0.2">
      <c r="B657" s="18"/>
      <c r="C657" s="69"/>
      <c r="D657" s="243"/>
      <c r="E657" s="243"/>
      <c r="F657" s="243"/>
      <c r="G657" s="246"/>
      <c r="H657" s="43"/>
      <c r="I657" s="43"/>
      <c r="J657" s="193"/>
    </row>
    <row r="658" spans="2:10" x14ac:dyDescent="0.2">
      <c r="B658" s="18"/>
      <c r="C658" s="69"/>
      <c r="D658" s="243"/>
      <c r="E658" s="243"/>
      <c r="F658" s="243"/>
      <c r="G658" s="246"/>
      <c r="H658" s="43"/>
      <c r="I658" s="43"/>
      <c r="J658" s="193"/>
    </row>
    <row r="659" spans="2:10" x14ac:dyDescent="0.2">
      <c r="B659" s="18"/>
      <c r="C659" s="69"/>
      <c r="D659" s="243"/>
      <c r="E659" s="243"/>
      <c r="F659" s="243"/>
      <c r="G659" s="246"/>
      <c r="H659" s="43"/>
      <c r="I659" s="43"/>
      <c r="J659" s="193"/>
    </row>
    <row r="660" spans="2:10" x14ac:dyDescent="0.2">
      <c r="B660" s="18">
        <v>24</v>
      </c>
      <c r="C660" s="69" t="s">
        <v>301</v>
      </c>
      <c r="D660" s="243" t="s">
        <v>62</v>
      </c>
      <c r="E660" s="243" t="s">
        <v>207</v>
      </c>
      <c r="F660" s="243" t="s">
        <v>419</v>
      </c>
      <c r="G660" s="246" t="s">
        <v>292</v>
      </c>
      <c r="H660" s="43" t="s">
        <v>590</v>
      </c>
      <c r="I660" s="43">
        <v>6</v>
      </c>
      <c r="J660" s="193">
        <v>10</v>
      </c>
    </row>
    <row r="661" spans="2:10" x14ac:dyDescent="0.2">
      <c r="B661" s="18"/>
      <c r="C661" s="69"/>
      <c r="D661" s="243"/>
      <c r="E661" s="243"/>
      <c r="F661" s="243"/>
      <c r="G661" s="246"/>
      <c r="H661" s="43"/>
      <c r="I661" s="43"/>
      <c r="J661" s="193"/>
    </row>
    <row r="662" spans="2:10" x14ac:dyDescent="0.2">
      <c r="B662" s="18">
        <v>24</v>
      </c>
      <c r="C662" s="69" t="s">
        <v>301</v>
      </c>
      <c r="D662" s="243" t="s">
        <v>64</v>
      </c>
      <c r="E662" s="243" t="s">
        <v>207</v>
      </c>
      <c r="F662" s="243" t="s">
        <v>419</v>
      </c>
      <c r="G662" s="244" t="s">
        <v>460</v>
      </c>
      <c r="H662" s="43" t="s">
        <v>585</v>
      </c>
      <c r="I662" s="43">
        <v>1</v>
      </c>
      <c r="J662" s="193">
        <v>3</v>
      </c>
    </row>
    <row r="663" spans="2:10" x14ac:dyDescent="0.2">
      <c r="B663" s="18">
        <v>25</v>
      </c>
      <c r="C663" s="69" t="s">
        <v>296</v>
      </c>
      <c r="D663" s="243" t="s">
        <v>243</v>
      </c>
      <c r="E663" s="243" t="s">
        <v>207</v>
      </c>
      <c r="F663" s="243" t="s">
        <v>419</v>
      </c>
      <c r="G663" s="246" t="s">
        <v>497</v>
      </c>
      <c r="H663" s="43" t="s">
        <v>589</v>
      </c>
      <c r="I663" s="43">
        <v>1</v>
      </c>
      <c r="J663" s="193">
        <v>475</v>
      </c>
    </row>
    <row r="664" spans="2:10" x14ac:dyDescent="0.2">
      <c r="B664" s="18"/>
      <c r="C664" s="69"/>
      <c r="D664" s="243"/>
      <c r="E664" s="243"/>
      <c r="F664" s="243"/>
      <c r="G664" s="246"/>
      <c r="H664" s="43"/>
      <c r="I664" s="43"/>
      <c r="J664" s="193"/>
    </row>
    <row r="665" spans="2:10" x14ac:dyDescent="0.2">
      <c r="B665" s="18">
        <v>23</v>
      </c>
      <c r="C665" s="69" t="s">
        <v>296</v>
      </c>
      <c r="D665" s="243" t="s">
        <v>40</v>
      </c>
      <c r="E665" s="243" t="s">
        <v>207</v>
      </c>
      <c r="F665" s="243" t="s">
        <v>419</v>
      </c>
      <c r="G665" s="246" t="s">
        <v>497</v>
      </c>
      <c r="H665" s="43" t="s">
        <v>592</v>
      </c>
      <c r="I665" s="43">
        <v>3</v>
      </c>
      <c r="J665" s="193">
        <v>2198</v>
      </c>
    </row>
    <row r="666" spans="2:10" x14ac:dyDescent="0.2">
      <c r="B666" s="18"/>
      <c r="C666" s="69"/>
      <c r="D666" s="243"/>
      <c r="E666" s="243"/>
      <c r="F666" s="243"/>
      <c r="G666" s="246"/>
      <c r="H666" s="43"/>
      <c r="I666" s="43"/>
      <c r="J666" s="193"/>
    </row>
    <row r="667" spans="2:10" x14ac:dyDescent="0.2">
      <c r="B667" s="18"/>
      <c r="C667" s="69"/>
      <c r="D667" s="243"/>
      <c r="E667" s="243"/>
      <c r="F667" s="243"/>
      <c r="G667" s="246"/>
      <c r="H667" s="43"/>
      <c r="I667" s="43"/>
      <c r="J667" s="193"/>
    </row>
    <row r="668" spans="2:10" x14ac:dyDescent="0.2">
      <c r="B668" s="18">
        <v>26</v>
      </c>
      <c r="C668" s="69" t="s">
        <v>299</v>
      </c>
      <c r="D668" s="243" t="s">
        <v>48</v>
      </c>
      <c r="E668" s="243" t="s">
        <v>207</v>
      </c>
      <c r="F668" s="243" t="s">
        <v>419</v>
      </c>
      <c r="G668" s="244" t="s">
        <v>495</v>
      </c>
      <c r="H668" s="43" t="s">
        <v>590</v>
      </c>
      <c r="I668" s="43">
        <v>8</v>
      </c>
      <c r="J668" s="193">
        <v>437</v>
      </c>
    </row>
    <row r="669" spans="2:10" x14ac:dyDescent="0.2">
      <c r="B669" s="18"/>
      <c r="C669" s="69"/>
      <c r="D669" s="243"/>
      <c r="E669" s="243"/>
      <c r="F669" s="243"/>
      <c r="G669" s="244"/>
      <c r="H669" s="43"/>
      <c r="I669" s="43"/>
      <c r="J669" s="193"/>
    </row>
    <row r="670" spans="2:10" x14ac:dyDescent="0.2">
      <c r="B670" s="18"/>
      <c r="C670" s="69"/>
      <c r="D670" s="243"/>
      <c r="E670" s="243"/>
      <c r="F670" s="243"/>
      <c r="G670" s="244"/>
      <c r="H670" s="43"/>
      <c r="I670" s="43"/>
      <c r="J670" s="193"/>
    </row>
    <row r="671" spans="2:10" x14ac:dyDescent="0.2">
      <c r="B671" s="18"/>
      <c r="C671" s="69"/>
      <c r="D671" s="243"/>
      <c r="E671" s="243"/>
      <c r="F671" s="243"/>
      <c r="G671" s="244"/>
      <c r="H671" s="43"/>
      <c r="I671" s="43"/>
      <c r="J671" s="193"/>
    </row>
    <row r="672" spans="2:10" x14ac:dyDescent="0.2">
      <c r="B672" s="18"/>
      <c r="C672" s="69"/>
      <c r="D672" s="243"/>
      <c r="E672" s="243"/>
      <c r="F672" s="243"/>
      <c r="G672" s="244"/>
      <c r="H672" s="43"/>
      <c r="I672" s="43"/>
      <c r="J672" s="193"/>
    </row>
    <row r="673" spans="2:10" x14ac:dyDescent="0.2">
      <c r="B673" s="18">
        <v>24</v>
      </c>
      <c r="C673" s="69" t="s">
        <v>301</v>
      </c>
      <c r="D673" s="243" t="s">
        <v>205</v>
      </c>
      <c r="E673" s="243" t="s">
        <v>207</v>
      </c>
      <c r="F673" s="243" t="s">
        <v>419</v>
      </c>
      <c r="G673" s="244" t="s">
        <v>292</v>
      </c>
      <c r="H673" s="43" t="s">
        <v>590</v>
      </c>
      <c r="I673" s="43">
        <v>3</v>
      </c>
      <c r="J673" s="193">
        <v>0</v>
      </c>
    </row>
    <row r="674" spans="2:10" x14ac:dyDescent="0.2">
      <c r="B674" s="18"/>
      <c r="C674" s="69"/>
      <c r="D674" s="243"/>
      <c r="E674" s="243"/>
      <c r="F674" s="243"/>
      <c r="G674" s="244"/>
      <c r="H674" s="43"/>
      <c r="I674" s="43"/>
      <c r="J674" s="193"/>
    </row>
    <row r="675" spans="2:10" x14ac:dyDescent="0.2">
      <c r="B675" s="18">
        <v>24</v>
      </c>
      <c r="C675" s="69" t="s">
        <v>302</v>
      </c>
      <c r="D675" s="243" t="s">
        <v>70</v>
      </c>
      <c r="E675" s="243" t="s">
        <v>207</v>
      </c>
      <c r="F675" s="243" t="s">
        <v>419</v>
      </c>
      <c r="G675" s="246" t="s">
        <v>496</v>
      </c>
      <c r="H675" s="43" t="s">
        <v>583</v>
      </c>
      <c r="I675" s="43">
        <v>2</v>
      </c>
      <c r="J675" s="193">
        <v>0</v>
      </c>
    </row>
    <row r="676" spans="2:10" x14ac:dyDescent="0.2">
      <c r="B676" s="18"/>
      <c r="C676" s="69"/>
      <c r="D676" s="243"/>
      <c r="E676" s="243"/>
      <c r="F676" s="243"/>
      <c r="G676" s="244"/>
      <c r="H676" s="43"/>
      <c r="I676" s="43"/>
      <c r="J676" s="193"/>
    </row>
    <row r="677" spans="2:10" ht="18" x14ac:dyDescent="0.2">
      <c r="B677" s="18">
        <v>25</v>
      </c>
      <c r="C677" s="69" t="s">
        <v>297</v>
      </c>
      <c r="D677" s="243" t="s">
        <v>41</v>
      </c>
      <c r="E677" s="243" t="s">
        <v>207</v>
      </c>
      <c r="F677" s="243" t="s">
        <v>419</v>
      </c>
      <c r="G677" s="244" t="s">
        <v>497</v>
      </c>
      <c r="H677" s="43" t="s">
        <v>596</v>
      </c>
      <c r="I677" s="43">
        <v>2</v>
      </c>
      <c r="J677" s="193">
        <v>1164</v>
      </c>
    </row>
    <row r="678" spans="2:10" x14ac:dyDescent="0.2">
      <c r="B678" s="18"/>
      <c r="C678" s="69"/>
      <c r="D678" s="243"/>
      <c r="E678" s="243"/>
      <c r="F678" s="243"/>
      <c r="G678" s="244"/>
      <c r="H678" s="43"/>
      <c r="I678" s="43"/>
      <c r="J678" s="193"/>
    </row>
    <row r="679" spans="2:10" x14ac:dyDescent="0.2">
      <c r="B679" s="18">
        <v>24</v>
      </c>
      <c r="C679" s="69" t="s">
        <v>297</v>
      </c>
      <c r="D679" s="243" t="s">
        <v>42</v>
      </c>
      <c r="E679" s="243" t="s">
        <v>207</v>
      </c>
      <c r="F679" s="243" t="s">
        <v>419</v>
      </c>
      <c r="G679" s="246" t="s">
        <v>497</v>
      </c>
      <c r="H679" s="43" t="s">
        <v>585</v>
      </c>
      <c r="I679" s="43">
        <v>3</v>
      </c>
      <c r="J679" s="193">
        <v>383</v>
      </c>
    </row>
    <row r="680" spans="2:10" x14ac:dyDescent="0.2">
      <c r="B680" s="18">
        <v>23</v>
      </c>
      <c r="C680" s="69" t="s">
        <v>299</v>
      </c>
      <c r="D680" s="243" t="s">
        <v>49</v>
      </c>
      <c r="E680" s="243" t="s">
        <v>207</v>
      </c>
      <c r="F680" s="243" t="s">
        <v>419</v>
      </c>
      <c r="G680" s="244" t="s">
        <v>452</v>
      </c>
      <c r="H680" s="43" t="s">
        <v>584</v>
      </c>
      <c r="I680" s="43">
        <v>1</v>
      </c>
      <c r="J680" s="193">
        <v>11</v>
      </c>
    </row>
    <row r="681" spans="2:10" x14ac:dyDescent="0.2">
      <c r="B681" s="18">
        <v>22</v>
      </c>
      <c r="C681" s="69" t="s">
        <v>296</v>
      </c>
      <c r="D681" s="243" t="s">
        <v>548</v>
      </c>
      <c r="E681" s="243" t="s">
        <v>207</v>
      </c>
      <c r="F681" s="243" t="s">
        <v>419</v>
      </c>
      <c r="G681" s="244" t="s">
        <v>497</v>
      </c>
      <c r="H681" s="43" t="s">
        <v>590</v>
      </c>
      <c r="I681" s="43">
        <v>3</v>
      </c>
      <c r="J681" s="193">
        <v>99</v>
      </c>
    </row>
    <row r="682" spans="2:10" x14ac:dyDescent="0.2">
      <c r="B682" s="18"/>
      <c r="C682" s="69"/>
      <c r="D682" s="243"/>
      <c r="E682" s="243"/>
      <c r="F682" s="243"/>
      <c r="G682" s="244"/>
      <c r="H682" s="43"/>
      <c r="I682" s="43"/>
      <c r="J682" s="193"/>
    </row>
    <row r="683" spans="2:10" ht="18" x14ac:dyDescent="0.2">
      <c r="B683" s="18">
        <v>25</v>
      </c>
      <c r="C683" s="69" t="s">
        <v>355</v>
      </c>
      <c r="D683" s="243" t="s">
        <v>32</v>
      </c>
      <c r="E683" s="243" t="s">
        <v>207</v>
      </c>
      <c r="F683" s="243" t="s">
        <v>419</v>
      </c>
      <c r="G683" s="246" t="s">
        <v>351</v>
      </c>
      <c r="H683" s="43" t="s">
        <v>596</v>
      </c>
      <c r="I683" s="43">
        <v>5</v>
      </c>
      <c r="J683" s="193">
        <v>1136</v>
      </c>
    </row>
    <row r="684" spans="2:10" x14ac:dyDescent="0.2">
      <c r="B684" s="18"/>
      <c r="C684" s="69"/>
      <c r="D684" s="243"/>
      <c r="E684" s="243"/>
      <c r="F684" s="243"/>
      <c r="G684" s="246"/>
      <c r="H684" s="43"/>
      <c r="I684" s="43"/>
      <c r="J684" s="193"/>
    </row>
    <row r="685" spans="2:10" x14ac:dyDescent="0.2">
      <c r="B685" s="18">
        <v>23</v>
      </c>
      <c r="C685" s="69" t="s">
        <v>304</v>
      </c>
      <c r="D685" s="243" t="s">
        <v>26</v>
      </c>
      <c r="E685" s="243" t="s">
        <v>207</v>
      </c>
      <c r="F685" s="243" t="s">
        <v>419</v>
      </c>
      <c r="G685" s="246" t="s">
        <v>494</v>
      </c>
      <c r="H685" s="43" t="s">
        <v>589</v>
      </c>
      <c r="I685" s="43">
        <v>7</v>
      </c>
      <c r="J685" s="193">
        <v>222</v>
      </c>
    </row>
    <row r="686" spans="2:10" x14ac:dyDescent="0.2">
      <c r="B686" s="69">
        <v>25</v>
      </c>
      <c r="C686" s="69" t="s">
        <v>299</v>
      </c>
      <c r="D686" s="243" t="s">
        <v>50</v>
      </c>
      <c r="E686" s="243" t="s">
        <v>207</v>
      </c>
      <c r="F686" s="243" t="s">
        <v>419</v>
      </c>
      <c r="G686" s="246" t="s">
        <v>452</v>
      </c>
      <c r="H686" s="43" t="s">
        <v>586</v>
      </c>
      <c r="I686" s="43">
        <v>3</v>
      </c>
      <c r="J686" s="193">
        <v>1150</v>
      </c>
    </row>
    <row r="687" spans="2:10" x14ac:dyDescent="0.2">
      <c r="B687" s="18">
        <v>20</v>
      </c>
      <c r="C687" s="69" t="s">
        <v>300</v>
      </c>
      <c r="D687" s="243" t="s">
        <v>148</v>
      </c>
      <c r="E687" s="243" t="s">
        <v>207</v>
      </c>
      <c r="F687" s="243" t="s">
        <v>419</v>
      </c>
      <c r="G687" s="246" t="s">
        <v>528</v>
      </c>
      <c r="H687" s="43" t="s">
        <v>588</v>
      </c>
      <c r="I687" s="43">
        <v>1</v>
      </c>
      <c r="J687" s="193">
        <v>4</v>
      </c>
    </row>
    <row r="688" spans="2:10" x14ac:dyDescent="0.2">
      <c r="B688" s="18"/>
      <c r="C688" s="69"/>
      <c r="D688" s="243"/>
      <c r="E688" s="243"/>
      <c r="F688" s="243"/>
      <c r="G688" s="246"/>
      <c r="H688" s="43"/>
      <c r="I688" s="43"/>
      <c r="J688" s="193"/>
    </row>
    <row r="689" spans="2:10" x14ac:dyDescent="0.2">
      <c r="B689" s="69"/>
      <c r="C689" s="69"/>
      <c r="D689" s="243"/>
      <c r="E689" s="243"/>
      <c r="F689" s="243"/>
      <c r="G689" s="244"/>
      <c r="H689" s="43"/>
      <c r="I689" s="43"/>
      <c r="J689" s="193"/>
    </row>
    <row r="690" spans="2:10" x14ac:dyDescent="0.2">
      <c r="B690" s="18">
        <v>24</v>
      </c>
      <c r="C690" s="69" t="s">
        <v>291</v>
      </c>
      <c r="D690" s="243" t="s">
        <v>22</v>
      </c>
      <c r="E690" s="243" t="s">
        <v>207</v>
      </c>
      <c r="F690" s="243" t="s">
        <v>420</v>
      </c>
      <c r="G690" s="244" t="s">
        <v>530</v>
      </c>
      <c r="H690" s="43" t="s">
        <v>586</v>
      </c>
      <c r="I690" s="43">
        <v>2</v>
      </c>
      <c r="J690" s="193">
        <v>1</v>
      </c>
    </row>
    <row r="691" spans="2:10" x14ac:dyDescent="0.2">
      <c r="B691" s="18"/>
      <c r="C691" s="69"/>
      <c r="D691" s="243"/>
      <c r="E691" s="243"/>
      <c r="F691" s="243"/>
      <c r="G691" s="244"/>
      <c r="H691" s="43"/>
      <c r="I691" s="43"/>
      <c r="J691" s="193"/>
    </row>
    <row r="692" spans="2:10" x14ac:dyDescent="0.2">
      <c r="B692" s="18">
        <v>23</v>
      </c>
      <c r="C692" s="69" t="s">
        <v>293</v>
      </c>
      <c r="D692" s="243" t="s">
        <v>33</v>
      </c>
      <c r="E692" s="243" t="s">
        <v>207</v>
      </c>
      <c r="F692" s="243" t="s">
        <v>419</v>
      </c>
      <c r="G692" s="244" t="s">
        <v>374</v>
      </c>
      <c r="H692" s="43" t="s">
        <v>589</v>
      </c>
      <c r="I692" s="43">
        <v>11</v>
      </c>
      <c r="J692" s="193">
        <v>4</v>
      </c>
    </row>
    <row r="693" spans="2:10" x14ac:dyDescent="0.2">
      <c r="B693" s="18"/>
      <c r="C693" s="69"/>
      <c r="D693" s="243"/>
      <c r="E693" s="243"/>
      <c r="F693" s="243"/>
      <c r="G693" s="244"/>
      <c r="H693" s="43"/>
      <c r="I693" s="43"/>
      <c r="J693" s="193"/>
    </row>
    <row r="694" spans="2:10" x14ac:dyDescent="0.2">
      <c r="B694" s="18"/>
      <c r="C694" s="69"/>
      <c r="D694" s="243"/>
      <c r="E694" s="243"/>
      <c r="F694" s="243"/>
      <c r="G694" s="244"/>
      <c r="H694" s="43"/>
      <c r="I694" s="43"/>
      <c r="J694" s="193"/>
    </row>
    <row r="695" spans="2:10" x14ac:dyDescent="0.2">
      <c r="B695" s="18"/>
      <c r="C695" s="69"/>
      <c r="D695" s="243"/>
      <c r="E695" s="243"/>
      <c r="F695" s="243"/>
      <c r="G695" s="244"/>
      <c r="H695" s="43"/>
      <c r="I695" s="43"/>
      <c r="J695" s="193"/>
    </row>
    <row r="696" spans="2:10" x14ac:dyDescent="0.2">
      <c r="B696" s="18"/>
      <c r="C696" s="69"/>
      <c r="D696" s="243"/>
      <c r="E696" s="243"/>
      <c r="F696" s="243"/>
      <c r="G696" s="244"/>
      <c r="H696" s="43"/>
      <c r="I696" s="43"/>
      <c r="J696" s="193"/>
    </row>
    <row r="697" spans="2:10" x14ac:dyDescent="0.2">
      <c r="B697" s="69">
        <v>23</v>
      </c>
      <c r="C697" s="69" t="s">
        <v>299</v>
      </c>
      <c r="D697" s="243" t="s">
        <v>52</v>
      </c>
      <c r="E697" s="243" t="s">
        <v>207</v>
      </c>
      <c r="F697" s="243" t="s">
        <v>419</v>
      </c>
      <c r="G697" s="246" t="s">
        <v>495</v>
      </c>
      <c r="H697" s="43" t="s">
        <v>590</v>
      </c>
      <c r="I697" s="43">
        <v>7</v>
      </c>
      <c r="J697" s="193">
        <v>490</v>
      </c>
    </row>
    <row r="698" spans="2:10" x14ac:dyDescent="0.2">
      <c r="B698" s="18">
        <v>24</v>
      </c>
      <c r="C698" s="69" t="s">
        <v>301</v>
      </c>
      <c r="D698" s="243" t="s">
        <v>66</v>
      </c>
      <c r="E698" s="243" t="s">
        <v>207</v>
      </c>
      <c r="F698" s="243" t="s">
        <v>419</v>
      </c>
      <c r="G698" s="244" t="s">
        <v>292</v>
      </c>
      <c r="H698" s="43" t="s">
        <v>587</v>
      </c>
      <c r="I698" s="43">
        <v>5</v>
      </c>
      <c r="J698" s="193">
        <v>22</v>
      </c>
    </row>
    <row r="699" spans="2:10" x14ac:dyDescent="0.2">
      <c r="B699" s="18"/>
      <c r="C699" s="69"/>
      <c r="D699" s="243"/>
      <c r="E699" s="243"/>
      <c r="F699" s="243"/>
      <c r="G699" s="244"/>
      <c r="H699" s="43"/>
      <c r="I699" s="43"/>
      <c r="J699" s="193"/>
    </row>
    <row r="700" spans="2:10" x14ac:dyDescent="0.2">
      <c r="B700" s="18"/>
      <c r="C700" s="69"/>
      <c r="D700" s="243"/>
      <c r="E700" s="243"/>
      <c r="F700" s="243"/>
      <c r="G700" s="244"/>
      <c r="H700" s="43"/>
      <c r="I700" s="43"/>
      <c r="J700" s="193"/>
    </row>
    <row r="701" spans="2:10" x14ac:dyDescent="0.2">
      <c r="B701" s="69">
        <v>25</v>
      </c>
      <c r="C701" s="69" t="s">
        <v>295</v>
      </c>
      <c r="D701" s="243" t="s">
        <v>288</v>
      </c>
      <c r="E701" s="243" t="s">
        <v>207</v>
      </c>
      <c r="F701" s="243" t="s">
        <v>419</v>
      </c>
      <c r="G701" s="244" t="s">
        <v>289</v>
      </c>
      <c r="H701" s="43" t="s">
        <v>590</v>
      </c>
      <c r="I701" s="43">
        <v>3</v>
      </c>
      <c r="J701" s="193">
        <v>1</v>
      </c>
    </row>
    <row r="702" spans="2:10" x14ac:dyDescent="0.2">
      <c r="B702" s="69">
        <v>23</v>
      </c>
      <c r="C702" s="69" t="s">
        <v>296</v>
      </c>
      <c r="D702" s="243" t="s">
        <v>43</v>
      </c>
      <c r="E702" s="243" t="s">
        <v>207</v>
      </c>
      <c r="F702" s="243" t="s">
        <v>419</v>
      </c>
      <c r="G702" s="246" t="s">
        <v>497</v>
      </c>
      <c r="H702" s="43" t="s">
        <v>590</v>
      </c>
      <c r="I702" s="43">
        <v>7</v>
      </c>
      <c r="J702" s="193">
        <v>27</v>
      </c>
    </row>
    <row r="703" spans="2:10" x14ac:dyDescent="0.2">
      <c r="B703" s="18">
        <v>24</v>
      </c>
      <c r="C703" s="69" t="s">
        <v>299</v>
      </c>
      <c r="D703" s="243" t="s">
        <v>54</v>
      </c>
      <c r="E703" s="243" t="s">
        <v>207</v>
      </c>
      <c r="F703" s="243" t="s">
        <v>419</v>
      </c>
      <c r="G703" s="244" t="s">
        <v>452</v>
      </c>
      <c r="H703" s="43" t="s">
        <v>584</v>
      </c>
      <c r="I703" s="43">
        <v>1</v>
      </c>
      <c r="J703" s="193">
        <v>29</v>
      </c>
    </row>
    <row r="704" spans="2:10" ht="18" x14ac:dyDescent="0.2">
      <c r="B704" s="18">
        <v>24</v>
      </c>
      <c r="C704" s="69" t="s">
        <v>295</v>
      </c>
      <c r="D704" s="243" t="s">
        <v>108</v>
      </c>
      <c r="E704" s="243" t="s">
        <v>207</v>
      </c>
      <c r="F704" s="243" t="s">
        <v>419</v>
      </c>
      <c r="G704" s="244" t="s">
        <v>351</v>
      </c>
      <c r="H704" s="43" t="s">
        <v>596</v>
      </c>
      <c r="I704" s="43">
        <v>3</v>
      </c>
      <c r="J704" s="193">
        <v>0</v>
      </c>
    </row>
    <row r="705" spans="2:10" x14ac:dyDescent="0.2">
      <c r="B705" s="18"/>
      <c r="C705" s="69"/>
      <c r="D705" s="243"/>
      <c r="E705" s="243"/>
      <c r="F705" s="243"/>
      <c r="G705" s="244"/>
      <c r="H705" s="43"/>
      <c r="I705" s="43"/>
      <c r="J705" s="193"/>
    </row>
    <row r="706" spans="2:10" x14ac:dyDescent="0.2">
      <c r="B706" s="69">
        <v>25</v>
      </c>
      <c r="C706" s="69" t="s">
        <v>297</v>
      </c>
      <c r="D706" s="243" t="s">
        <v>132</v>
      </c>
      <c r="E706" s="243" t="s">
        <v>207</v>
      </c>
      <c r="F706" s="243" t="s">
        <v>419</v>
      </c>
      <c r="G706" s="244" t="s">
        <v>497</v>
      </c>
      <c r="H706" s="43" t="s">
        <v>588</v>
      </c>
      <c r="I706" s="43">
        <v>2</v>
      </c>
      <c r="J706" s="193">
        <v>1</v>
      </c>
    </row>
    <row r="707" spans="2:10" x14ac:dyDescent="0.2">
      <c r="B707" s="18">
        <v>24</v>
      </c>
      <c r="C707" s="69" t="s">
        <v>300</v>
      </c>
      <c r="D707" s="243" t="s">
        <v>55</v>
      </c>
      <c r="E707" s="243" t="s">
        <v>207</v>
      </c>
      <c r="F707" s="243" t="s">
        <v>419</v>
      </c>
      <c r="G707" s="244" t="s">
        <v>528</v>
      </c>
      <c r="H707" s="43" t="s">
        <v>588</v>
      </c>
      <c r="I707" s="43">
        <v>3</v>
      </c>
      <c r="J707" s="193">
        <v>580</v>
      </c>
    </row>
    <row r="708" spans="2:10" x14ac:dyDescent="0.2">
      <c r="D708" s="50"/>
    </row>
  </sheetData>
  <autoFilter ref="M8:AC502" xr:uid="{00000000-0009-0000-0000-000008000000}"/>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C3A54-BB89-4310-84C6-D6E01DCF3309}">
  <sheetPr>
    <tabColor rgb="FF92D050"/>
    <pageSetUpPr fitToPage="1"/>
  </sheetPr>
  <dimension ref="A1:W205"/>
  <sheetViews>
    <sheetView topLeftCell="A187" zoomScaleNormal="100" workbookViewId="0">
      <selection activeCell="V114" sqref="V114"/>
    </sheetView>
  </sheetViews>
  <sheetFormatPr defaultRowHeight="15" x14ac:dyDescent="0.25"/>
  <cols>
    <col min="1" max="1" width="5.7109375" style="731" bestFit="1" customWidth="1"/>
    <col min="2" max="2" width="15.28515625" style="733" customWidth="1"/>
    <col min="3" max="3" width="7.85546875" style="733" customWidth="1"/>
    <col min="4" max="4" width="9.140625" style="733" customWidth="1"/>
    <col min="5" max="5" width="5.85546875" style="733" customWidth="1"/>
    <col min="6" max="6" width="9.140625" style="733"/>
    <col min="7" max="7" width="7.28515625" style="733" customWidth="1"/>
    <col min="8" max="8" width="12.7109375" style="733" customWidth="1"/>
    <col min="9" max="9" width="6.28515625" style="733" bestFit="1" customWidth="1"/>
    <col min="10" max="10" width="6" style="733" customWidth="1"/>
    <col min="11" max="11" width="6.7109375" style="733" customWidth="1"/>
    <col min="12" max="12" width="7.28515625" style="733" customWidth="1"/>
    <col min="13" max="13" width="11.42578125" style="733" customWidth="1"/>
    <col min="14" max="14" width="9.140625" style="733"/>
    <col min="15" max="15" width="9.7109375" style="733" customWidth="1"/>
    <col min="16" max="17" width="7.28515625" style="733" customWidth="1"/>
    <col min="18" max="19" width="5.7109375" style="733" customWidth="1"/>
    <col min="20" max="20" width="5" style="733" customWidth="1"/>
    <col min="21" max="21" width="4.140625" style="733" customWidth="1"/>
    <col min="22" max="23" width="5.28515625" style="733" customWidth="1"/>
    <col min="24" max="16384" width="9.140625" style="733"/>
  </cols>
  <sheetData>
    <row r="1" spans="1:23" ht="18.75" x14ac:dyDescent="0.3">
      <c r="B1" s="732" t="s">
        <v>266</v>
      </c>
      <c r="H1" s="734"/>
      <c r="K1" s="735" t="s">
        <v>722</v>
      </c>
      <c r="L1" s="736">
        <v>0.9</v>
      </c>
      <c r="M1" s="737">
        <v>0.9</v>
      </c>
    </row>
    <row r="2" spans="1:23" ht="18.75" x14ac:dyDescent="0.3">
      <c r="B2" s="732" t="s">
        <v>723</v>
      </c>
      <c r="H2" s="738"/>
      <c r="K2" s="735"/>
      <c r="L2" s="739"/>
      <c r="M2" s="740"/>
    </row>
    <row r="3" spans="1:23" ht="6.6" customHeight="1" x14ac:dyDescent="0.25"/>
    <row r="4" spans="1:23" ht="29.25" customHeight="1" x14ac:dyDescent="0.25">
      <c r="A4" s="741" t="s">
        <v>750</v>
      </c>
      <c r="B4" s="742" t="s">
        <v>206</v>
      </c>
      <c r="C4" s="742" t="s">
        <v>724</v>
      </c>
      <c r="D4" s="742" t="s">
        <v>725</v>
      </c>
      <c r="E4" s="742" t="s">
        <v>726</v>
      </c>
      <c r="F4" s="742" t="s">
        <v>727</v>
      </c>
      <c r="G4" s="742" t="s">
        <v>728</v>
      </c>
      <c r="H4" s="743" t="s">
        <v>729</v>
      </c>
      <c r="I4" s="742" t="s">
        <v>730</v>
      </c>
      <c r="J4" s="742" t="s">
        <v>731</v>
      </c>
      <c r="K4" s="742" t="s">
        <v>732</v>
      </c>
      <c r="L4" s="742" t="s">
        <v>733</v>
      </c>
      <c r="M4" s="743" t="s">
        <v>734</v>
      </c>
      <c r="O4" s="733" t="s">
        <v>735</v>
      </c>
      <c r="P4" s="733" t="s">
        <v>736</v>
      </c>
      <c r="Q4" s="733" t="s">
        <v>737</v>
      </c>
      <c r="R4" s="733" t="s">
        <v>738</v>
      </c>
      <c r="S4" s="733" t="s">
        <v>739</v>
      </c>
      <c r="V4" s="733" t="s">
        <v>731</v>
      </c>
      <c r="W4" s="733" t="s">
        <v>740</v>
      </c>
    </row>
    <row r="5" spans="1:23" ht="16.5" customHeight="1" x14ac:dyDescent="0.25">
      <c r="A5" s="741"/>
      <c r="B5" s="744" t="s">
        <v>207</v>
      </c>
      <c r="C5" s="745">
        <f>R5</f>
        <v>0</v>
      </c>
      <c r="D5" s="745">
        <f>S5</f>
        <v>0</v>
      </c>
      <c r="E5" s="746">
        <f t="shared" ref="E5:E7" si="0">SUM(C5:D5)</f>
        <v>0</v>
      </c>
      <c r="F5" s="745">
        <f>T5</f>
        <v>0</v>
      </c>
      <c r="G5" s="747"/>
      <c r="H5" s="744"/>
      <c r="I5" s="748"/>
      <c r="J5" s="749"/>
      <c r="K5" s="749"/>
      <c r="L5" s="749"/>
      <c r="M5" s="744" t="s">
        <v>741</v>
      </c>
      <c r="O5" s="750">
        <v>1</v>
      </c>
      <c r="P5" s="751">
        <v>0</v>
      </c>
      <c r="Q5" s="752">
        <v>0</v>
      </c>
      <c r="R5" s="753">
        <f>P5-S5</f>
        <v>0</v>
      </c>
      <c r="S5" s="753">
        <f>P5*Q5</f>
        <v>0</v>
      </c>
      <c r="T5" s="754">
        <f>P5/O5</f>
        <v>0</v>
      </c>
      <c r="V5" s="751"/>
      <c r="W5" s="751"/>
    </row>
    <row r="6" spans="1:23" ht="16.5" customHeight="1" x14ac:dyDescent="0.25">
      <c r="A6" s="741"/>
      <c r="B6" s="744" t="s">
        <v>219</v>
      </c>
      <c r="C6" s="745">
        <f t="shared" ref="C6:D10" si="1">R6</f>
        <v>0</v>
      </c>
      <c r="D6" s="745">
        <f t="shared" si="1"/>
        <v>0</v>
      </c>
      <c r="E6" s="746">
        <f t="shared" si="0"/>
        <v>0</v>
      </c>
      <c r="F6" s="745">
        <f t="shared" ref="F6:F10" si="2">T6</f>
        <v>0</v>
      </c>
      <c r="G6" s="747"/>
      <c r="H6" s="744"/>
      <c r="I6" s="748"/>
      <c r="J6" s="749"/>
      <c r="K6" s="755">
        <f>W6</f>
        <v>0</v>
      </c>
      <c r="L6" s="749"/>
      <c r="M6" s="744" t="s">
        <v>741</v>
      </c>
      <c r="O6" s="750">
        <v>1</v>
      </c>
      <c r="P6" s="751"/>
      <c r="Q6" s="752">
        <v>0</v>
      </c>
      <c r="R6" s="753">
        <f t="shared" ref="R6:R10" si="3">P6-S6</f>
        <v>0</v>
      </c>
      <c r="S6" s="753">
        <f t="shared" ref="S6:S10" si="4">P6*Q6</f>
        <v>0</v>
      </c>
      <c r="T6" s="754"/>
      <c r="V6" s="751"/>
      <c r="W6" s="751"/>
    </row>
    <row r="7" spans="1:23" ht="16.5" customHeight="1" x14ac:dyDescent="0.25">
      <c r="A7" s="756"/>
      <c r="B7" s="744" t="s">
        <v>208</v>
      </c>
      <c r="C7" s="745">
        <f t="shared" si="1"/>
        <v>0</v>
      </c>
      <c r="D7" s="745">
        <f t="shared" si="1"/>
        <v>0</v>
      </c>
      <c r="E7" s="746">
        <f t="shared" si="0"/>
        <v>0</v>
      </c>
      <c r="F7" s="745">
        <f t="shared" si="2"/>
        <v>0</v>
      </c>
      <c r="G7" s="757"/>
      <c r="H7" s="744"/>
      <c r="I7" s="758"/>
      <c r="J7" s="749"/>
      <c r="K7" s="749"/>
      <c r="L7" s="749"/>
      <c r="M7" s="744" t="s">
        <v>741</v>
      </c>
      <c r="O7" s="750">
        <v>1</v>
      </c>
      <c r="P7" s="751"/>
      <c r="Q7" s="752"/>
      <c r="R7" s="753">
        <f t="shared" si="3"/>
        <v>0</v>
      </c>
      <c r="S7" s="753">
        <f t="shared" si="4"/>
        <v>0</v>
      </c>
      <c r="T7" s="754"/>
      <c r="V7" s="751"/>
      <c r="W7" s="751"/>
    </row>
    <row r="8" spans="1:23" ht="16.5" customHeight="1" x14ac:dyDescent="0.25">
      <c r="A8" s="756"/>
      <c r="B8" s="744" t="s">
        <v>209</v>
      </c>
      <c r="C8" s="745">
        <f t="shared" si="1"/>
        <v>49.199999999999996</v>
      </c>
      <c r="D8" s="745">
        <f t="shared" si="1"/>
        <v>32.800000000000004</v>
      </c>
      <c r="E8" s="746">
        <f t="shared" ref="E8:E10" si="5">SUM(C8:D8)</f>
        <v>82</v>
      </c>
      <c r="F8" s="745">
        <f t="shared" si="2"/>
        <v>136.66666666666669</v>
      </c>
      <c r="G8" s="747"/>
      <c r="H8" s="744"/>
      <c r="I8" s="748"/>
      <c r="J8" s="759"/>
      <c r="K8" s="749"/>
      <c r="L8" s="749"/>
      <c r="M8" s="744" t="s">
        <v>741</v>
      </c>
      <c r="O8" s="750">
        <v>0.6</v>
      </c>
      <c r="P8" s="751">
        <v>82</v>
      </c>
      <c r="Q8" s="752">
        <v>0.4</v>
      </c>
      <c r="R8" s="753">
        <f t="shared" si="3"/>
        <v>49.199999999999996</v>
      </c>
      <c r="S8" s="753">
        <f t="shared" si="4"/>
        <v>32.800000000000004</v>
      </c>
      <c r="T8" s="754">
        <f t="shared" ref="T8:T9" si="6">P8/O8</f>
        <v>136.66666666666669</v>
      </c>
      <c r="V8" s="751"/>
      <c r="W8" s="751"/>
    </row>
    <row r="9" spans="1:23" ht="16.5" customHeight="1" x14ac:dyDescent="0.25">
      <c r="A9" s="756"/>
      <c r="B9" s="744" t="s">
        <v>210</v>
      </c>
      <c r="C9" s="745">
        <f t="shared" si="1"/>
        <v>51.300000000000011</v>
      </c>
      <c r="D9" s="745">
        <f t="shared" si="1"/>
        <v>119.69999999999999</v>
      </c>
      <c r="E9" s="746">
        <f t="shared" si="5"/>
        <v>171</v>
      </c>
      <c r="F9" s="745">
        <f t="shared" si="2"/>
        <v>285</v>
      </c>
      <c r="G9" s="747">
        <v>0.6</v>
      </c>
      <c r="H9" s="744"/>
      <c r="I9" s="748"/>
      <c r="J9" s="759"/>
      <c r="K9" s="755">
        <f>W9</f>
        <v>0</v>
      </c>
      <c r="L9" s="749"/>
      <c r="M9" s="744" t="s">
        <v>741</v>
      </c>
      <c r="O9" s="750">
        <v>0.6</v>
      </c>
      <c r="P9" s="751">
        <v>171</v>
      </c>
      <c r="Q9" s="752">
        <v>0.7</v>
      </c>
      <c r="R9" s="753">
        <f t="shared" si="3"/>
        <v>51.300000000000011</v>
      </c>
      <c r="S9" s="753">
        <f t="shared" si="4"/>
        <v>119.69999999999999</v>
      </c>
      <c r="T9" s="754">
        <f t="shared" si="6"/>
        <v>285</v>
      </c>
      <c r="V9" s="751">
        <v>6</v>
      </c>
      <c r="W9" s="751"/>
    </row>
    <row r="10" spans="1:23" ht="16.5" customHeight="1" x14ac:dyDescent="0.25">
      <c r="A10" s="756"/>
      <c r="B10" s="744" t="s">
        <v>211</v>
      </c>
      <c r="C10" s="745">
        <f t="shared" si="1"/>
        <v>0</v>
      </c>
      <c r="D10" s="745">
        <f t="shared" si="1"/>
        <v>0</v>
      </c>
      <c r="E10" s="746">
        <f t="shared" si="5"/>
        <v>0</v>
      </c>
      <c r="F10" s="745">
        <f t="shared" si="2"/>
        <v>0</v>
      </c>
      <c r="G10" s="747"/>
      <c r="H10" s="744"/>
      <c r="I10" s="748"/>
      <c r="J10" s="749"/>
      <c r="K10" s="749"/>
      <c r="L10" s="749"/>
      <c r="M10" s="744" t="s">
        <v>741</v>
      </c>
      <c r="O10" s="750">
        <v>1</v>
      </c>
      <c r="P10" s="760"/>
      <c r="Q10" s="761"/>
      <c r="R10" s="753">
        <f t="shared" si="3"/>
        <v>0</v>
      </c>
      <c r="S10" s="753">
        <f t="shared" si="4"/>
        <v>0</v>
      </c>
      <c r="T10" s="762"/>
      <c r="V10" s="760"/>
      <c r="W10" s="760"/>
    </row>
    <row r="11" spans="1:23" ht="16.5" customHeight="1" x14ac:dyDescent="0.25">
      <c r="A11" s="756"/>
      <c r="B11" s="744" t="s">
        <v>742</v>
      </c>
      <c r="C11" s="759"/>
      <c r="D11" s="759"/>
      <c r="E11" s="746"/>
      <c r="F11" s="745"/>
      <c r="G11" s="747"/>
      <c r="H11" s="744"/>
      <c r="I11" s="748"/>
      <c r="J11" s="749"/>
      <c r="K11" s="749"/>
      <c r="L11" s="749"/>
      <c r="M11" s="744" t="s">
        <v>741</v>
      </c>
      <c r="O11" s="750">
        <f>P11/T11</f>
        <v>0.6</v>
      </c>
      <c r="P11" s="754">
        <f>SUM(P5:P10)</f>
        <v>253</v>
      </c>
      <c r="Q11" s="750">
        <f>AVERAGE(Q5:Q10)</f>
        <v>0.27500000000000002</v>
      </c>
      <c r="R11" s="753">
        <f>SUM(R5:R10)</f>
        <v>100.5</v>
      </c>
      <c r="S11" s="753">
        <f>SUM(S5:S10)</f>
        <v>152.5</v>
      </c>
      <c r="T11" s="754">
        <f>SUM(T5:T10)</f>
        <v>421.66666666666669</v>
      </c>
      <c r="V11" s="754">
        <f>SUM(V5:V10)</f>
        <v>6</v>
      </c>
      <c r="W11" s="754">
        <f>SUM(W5:W10)</f>
        <v>0</v>
      </c>
    </row>
    <row r="12" spans="1:23" x14ac:dyDescent="0.25">
      <c r="B12" s="763" t="s">
        <v>743</v>
      </c>
      <c r="P12" s="764">
        <f>P11-R11-S11</f>
        <v>0</v>
      </c>
    </row>
    <row r="13" spans="1:23" ht="29.25" customHeight="1" x14ac:dyDescent="0.25">
      <c r="A13" s="741" t="s">
        <v>751</v>
      </c>
      <c r="B13" s="742" t="s">
        <v>206</v>
      </c>
      <c r="C13" s="742" t="s">
        <v>724</v>
      </c>
      <c r="D13" s="742" t="s">
        <v>725</v>
      </c>
      <c r="E13" s="742" t="s">
        <v>726</v>
      </c>
      <c r="F13" s="742" t="s">
        <v>727</v>
      </c>
      <c r="G13" s="742" t="s">
        <v>728</v>
      </c>
      <c r="H13" s="743" t="s">
        <v>729</v>
      </c>
      <c r="I13" s="742" t="s">
        <v>730</v>
      </c>
      <c r="J13" s="742" t="s">
        <v>731</v>
      </c>
      <c r="K13" s="742" t="s">
        <v>732</v>
      </c>
      <c r="L13" s="742" t="s">
        <v>733</v>
      </c>
      <c r="M13" s="743" t="s">
        <v>734</v>
      </c>
      <c r="O13" s="733" t="s">
        <v>735</v>
      </c>
      <c r="P13" s="733" t="s">
        <v>736</v>
      </c>
      <c r="Q13" s="733" t="s">
        <v>737</v>
      </c>
      <c r="R13" s="733" t="s">
        <v>738</v>
      </c>
      <c r="S13" s="733" t="s">
        <v>739</v>
      </c>
      <c r="V13" s="733" t="s">
        <v>731</v>
      </c>
      <c r="W13" s="733" t="s">
        <v>740</v>
      </c>
    </row>
    <row r="14" spans="1:23" ht="16.5" customHeight="1" x14ac:dyDescent="0.25">
      <c r="A14" s="741"/>
      <c r="B14" s="744" t="s">
        <v>207</v>
      </c>
      <c r="C14" s="745">
        <f>R14</f>
        <v>0</v>
      </c>
      <c r="D14" s="745">
        <f>S14</f>
        <v>0</v>
      </c>
      <c r="E14" s="746">
        <f t="shared" ref="E14:E16" si="7">SUM(C14:D14)</f>
        <v>0</v>
      </c>
      <c r="F14" s="745">
        <f>T14</f>
        <v>0</v>
      </c>
      <c r="G14" s="747"/>
      <c r="H14" s="744"/>
      <c r="I14" s="748"/>
      <c r="J14" s="749"/>
      <c r="K14" s="749"/>
      <c r="L14" s="749"/>
      <c r="M14" s="744" t="s">
        <v>741</v>
      </c>
      <c r="O14" s="750">
        <v>1</v>
      </c>
      <c r="P14" s="751"/>
      <c r="Q14" s="752"/>
      <c r="R14" s="753">
        <f>P14-S14</f>
        <v>0</v>
      </c>
      <c r="S14" s="753">
        <f>P14*Q14</f>
        <v>0</v>
      </c>
      <c r="T14" s="754">
        <f>P14/O14</f>
        <v>0</v>
      </c>
      <c r="V14" s="751"/>
      <c r="W14" s="751"/>
    </row>
    <row r="15" spans="1:23" ht="16.5" customHeight="1" x14ac:dyDescent="0.25">
      <c r="A15" s="741"/>
      <c r="B15" s="744" t="s">
        <v>219</v>
      </c>
      <c r="C15" s="745">
        <f t="shared" ref="C15:D19" si="8">R15</f>
        <v>0</v>
      </c>
      <c r="D15" s="745">
        <f t="shared" si="8"/>
        <v>0</v>
      </c>
      <c r="E15" s="746">
        <f t="shared" si="7"/>
        <v>0</v>
      </c>
      <c r="F15" s="745">
        <f t="shared" ref="F15:F19" si="9">T15</f>
        <v>0</v>
      </c>
      <c r="G15" s="747"/>
      <c r="H15" s="744"/>
      <c r="I15" s="748"/>
      <c r="J15" s="749"/>
      <c r="K15" s="755">
        <f>W15</f>
        <v>0</v>
      </c>
      <c r="L15" s="749"/>
      <c r="M15" s="744" t="s">
        <v>741</v>
      </c>
      <c r="O15" s="750">
        <v>1</v>
      </c>
      <c r="P15" s="751"/>
      <c r="Q15" s="752">
        <v>0</v>
      </c>
      <c r="R15" s="753">
        <f>P15-S15</f>
        <v>0</v>
      </c>
      <c r="S15" s="753">
        <f>P15*Q15</f>
        <v>0</v>
      </c>
      <c r="T15" s="754">
        <f>P15/O15</f>
        <v>0</v>
      </c>
      <c r="V15" s="751"/>
      <c r="W15" s="751"/>
    </row>
    <row r="16" spans="1:23" ht="16.5" customHeight="1" x14ac:dyDescent="0.25">
      <c r="A16" s="756"/>
      <c r="B16" s="744" t="s">
        <v>208</v>
      </c>
      <c r="C16" s="745">
        <f t="shared" si="8"/>
        <v>0</v>
      </c>
      <c r="D16" s="745">
        <f t="shared" si="8"/>
        <v>0</v>
      </c>
      <c r="E16" s="746">
        <f t="shared" si="7"/>
        <v>0</v>
      </c>
      <c r="F16" s="745">
        <f t="shared" si="9"/>
        <v>0</v>
      </c>
      <c r="G16" s="757"/>
      <c r="H16" s="744"/>
      <c r="I16" s="758"/>
      <c r="J16" s="749"/>
      <c r="K16" s="749"/>
      <c r="L16" s="749"/>
      <c r="M16" s="744" t="s">
        <v>741</v>
      </c>
      <c r="O16" s="750">
        <v>1</v>
      </c>
      <c r="P16" s="751"/>
      <c r="Q16" s="752"/>
      <c r="R16" s="753">
        <f t="shared" ref="R16:R19" si="10">P16-S16</f>
        <v>0</v>
      </c>
      <c r="S16" s="753">
        <f t="shared" ref="S16:S19" si="11">P16*Q16</f>
        <v>0</v>
      </c>
      <c r="T16" s="754">
        <f t="shared" ref="T16:T19" si="12">P16/O16</f>
        <v>0</v>
      </c>
      <c r="V16" s="751"/>
      <c r="W16" s="751"/>
    </row>
    <row r="17" spans="1:23" ht="16.5" customHeight="1" x14ac:dyDescent="0.25">
      <c r="A17" s="756"/>
      <c r="B17" s="744" t="s">
        <v>209</v>
      </c>
      <c r="C17" s="745">
        <f t="shared" si="8"/>
        <v>35</v>
      </c>
      <c r="D17" s="745">
        <f t="shared" si="8"/>
        <v>35</v>
      </c>
      <c r="E17" s="746">
        <f t="shared" ref="E17:E19" si="13">SUM(C17:D17)</f>
        <v>70</v>
      </c>
      <c r="F17" s="745">
        <f t="shared" si="9"/>
        <v>100</v>
      </c>
      <c r="G17" s="747"/>
      <c r="H17" s="744"/>
      <c r="I17" s="748"/>
      <c r="J17" s="759"/>
      <c r="K17" s="749"/>
      <c r="L17" s="749"/>
      <c r="M17" s="744" t="s">
        <v>741</v>
      </c>
      <c r="O17" s="750">
        <v>0.7</v>
      </c>
      <c r="P17" s="751">
        <v>70</v>
      </c>
      <c r="Q17" s="752">
        <v>0.5</v>
      </c>
      <c r="R17" s="753">
        <f t="shared" si="10"/>
        <v>35</v>
      </c>
      <c r="S17" s="753">
        <f t="shared" si="11"/>
        <v>35</v>
      </c>
      <c r="T17" s="754">
        <f t="shared" si="12"/>
        <v>100</v>
      </c>
      <c r="V17" s="751"/>
      <c r="W17" s="751"/>
    </row>
    <row r="18" spans="1:23" ht="16.5" customHeight="1" x14ac:dyDescent="0.25">
      <c r="A18" s="756"/>
      <c r="B18" s="744" t="s">
        <v>210</v>
      </c>
      <c r="C18" s="745">
        <f t="shared" si="8"/>
        <v>159</v>
      </c>
      <c r="D18" s="745">
        <f t="shared" si="8"/>
        <v>159</v>
      </c>
      <c r="E18" s="746">
        <f t="shared" si="13"/>
        <v>318</v>
      </c>
      <c r="F18" s="745">
        <f t="shared" si="9"/>
        <v>454.28571428571433</v>
      </c>
      <c r="G18" s="747">
        <v>0.7</v>
      </c>
      <c r="H18" s="744"/>
      <c r="I18" s="748"/>
      <c r="J18" s="759"/>
      <c r="K18" s="755">
        <f>W18</f>
        <v>0</v>
      </c>
      <c r="L18" s="749"/>
      <c r="M18" s="744" t="s">
        <v>741</v>
      </c>
      <c r="O18" s="750">
        <v>0.7</v>
      </c>
      <c r="P18" s="751">
        <v>318</v>
      </c>
      <c r="Q18" s="752">
        <v>0.5</v>
      </c>
      <c r="R18" s="753">
        <f t="shared" si="10"/>
        <v>159</v>
      </c>
      <c r="S18" s="753">
        <f t="shared" si="11"/>
        <v>159</v>
      </c>
      <c r="T18" s="754">
        <f t="shared" si="12"/>
        <v>454.28571428571433</v>
      </c>
      <c r="V18" s="751"/>
      <c r="W18" s="751"/>
    </row>
    <row r="19" spans="1:23" ht="16.5" customHeight="1" x14ac:dyDescent="0.25">
      <c r="A19" s="756"/>
      <c r="B19" s="744" t="s">
        <v>211</v>
      </c>
      <c r="C19" s="745">
        <f t="shared" si="8"/>
        <v>0</v>
      </c>
      <c r="D19" s="745">
        <f t="shared" si="8"/>
        <v>0</v>
      </c>
      <c r="E19" s="746">
        <f t="shared" si="13"/>
        <v>0</v>
      </c>
      <c r="F19" s="745">
        <f t="shared" si="9"/>
        <v>0</v>
      </c>
      <c r="G19" s="747"/>
      <c r="H19" s="744"/>
      <c r="I19" s="748"/>
      <c r="J19" s="749"/>
      <c r="K19" s="749"/>
      <c r="L19" s="749"/>
      <c r="M19" s="744" t="s">
        <v>741</v>
      </c>
      <c r="O19" s="750">
        <v>1</v>
      </c>
      <c r="P19" s="760"/>
      <c r="Q19" s="761"/>
      <c r="R19" s="753">
        <f t="shared" si="10"/>
        <v>0</v>
      </c>
      <c r="S19" s="753">
        <f t="shared" si="11"/>
        <v>0</v>
      </c>
      <c r="T19" s="754">
        <f t="shared" si="12"/>
        <v>0</v>
      </c>
      <c r="V19" s="760"/>
      <c r="W19" s="760"/>
    </row>
    <row r="20" spans="1:23" ht="16.5" customHeight="1" x14ac:dyDescent="0.25">
      <c r="A20" s="756"/>
      <c r="B20" s="744" t="s">
        <v>742</v>
      </c>
      <c r="C20" s="759"/>
      <c r="D20" s="759"/>
      <c r="E20" s="746"/>
      <c r="F20" s="745"/>
      <c r="G20" s="747"/>
      <c r="H20" s="744"/>
      <c r="I20" s="748"/>
      <c r="J20" s="749"/>
      <c r="K20" s="749"/>
      <c r="L20" s="749"/>
      <c r="M20" s="744" t="s">
        <v>741</v>
      </c>
      <c r="O20" s="750">
        <f>P20/T20</f>
        <v>0.7</v>
      </c>
      <c r="P20" s="754">
        <f>SUM(P14:P19)</f>
        <v>388</v>
      </c>
      <c r="Q20" s="750">
        <f>AVERAGE(Q14:Q19)</f>
        <v>0.33333333333333331</v>
      </c>
      <c r="R20" s="753">
        <f>SUM(R14:R19)</f>
        <v>194</v>
      </c>
      <c r="S20" s="753">
        <f>SUM(S14:S19)</f>
        <v>194</v>
      </c>
      <c r="T20" s="754">
        <f>SUM(T14:T19)</f>
        <v>554.28571428571433</v>
      </c>
      <c r="V20" s="754">
        <f>SUM(V14:V19)</f>
        <v>0</v>
      </c>
      <c r="W20" s="754">
        <f>SUM(W14:W19)</f>
        <v>0</v>
      </c>
    </row>
    <row r="21" spans="1:23" x14ac:dyDescent="0.25">
      <c r="B21" s="763" t="s">
        <v>743</v>
      </c>
      <c r="P21" s="764">
        <f>P20-R20-S20</f>
        <v>0</v>
      </c>
    </row>
    <row r="22" spans="1:23" ht="29.25" customHeight="1" x14ac:dyDescent="0.25">
      <c r="A22" s="741" t="s">
        <v>752</v>
      </c>
      <c r="B22" s="742" t="s">
        <v>206</v>
      </c>
      <c r="C22" s="742" t="s">
        <v>724</v>
      </c>
      <c r="D22" s="742" t="s">
        <v>725</v>
      </c>
      <c r="E22" s="742" t="s">
        <v>726</v>
      </c>
      <c r="F22" s="742" t="s">
        <v>727</v>
      </c>
      <c r="G22" s="742" t="s">
        <v>728</v>
      </c>
      <c r="H22" s="743" t="s">
        <v>729</v>
      </c>
      <c r="I22" s="742" t="s">
        <v>730</v>
      </c>
      <c r="J22" s="742" t="s">
        <v>731</v>
      </c>
      <c r="K22" s="742" t="s">
        <v>732</v>
      </c>
      <c r="L22" s="742" t="s">
        <v>733</v>
      </c>
      <c r="M22" s="743" t="s">
        <v>734</v>
      </c>
      <c r="O22" s="733" t="s">
        <v>735</v>
      </c>
      <c r="P22" s="733" t="s">
        <v>736</v>
      </c>
      <c r="Q22" s="733" t="s">
        <v>737</v>
      </c>
      <c r="R22" s="733" t="s">
        <v>738</v>
      </c>
      <c r="S22" s="733" t="s">
        <v>739</v>
      </c>
      <c r="V22" s="733" t="s">
        <v>731</v>
      </c>
      <c r="W22" s="733" t="s">
        <v>740</v>
      </c>
    </row>
    <row r="23" spans="1:23" ht="16.5" customHeight="1" x14ac:dyDescent="0.25">
      <c r="A23" s="741"/>
      <c r="B23" s="744" t="s">
        <v>207</v>
      </c>
      <c r="C23" s="745">
        <f>R23</f>
        <v>0</v>
      </c>
      <c r="D23" s="745">
        <f>S23</f>
        <v>0</v>
      </c>
      <c r="E23" s="746">
        <f t="shared" ref="E23:E25" si="14">SUM(C23:D23)</f>
        <v>0</v>
      </c>
      <c r="F23" s="745">
        <f>T23</f>
        <v>0</v>
      </c>
      <c r="G23" s="747"/>
      <c r="H23" s="744"/>
      <c r="I23" s="748"/>
      <c r="J23" s="749"/>
      <c r="K23" s="749"/>
      <c r="L23" s="749"/>
      <c r="M23" s="744" t="s">
        <v>741</v>
      </c>
      <c r="O23" s="750">
        <v>1</v>
      </c>
      <c r="P23" s="751"/>
      <c r="Q23" s="752"/>
      <c r="R23" s="753">
        <f>P23-S23</f>
        <v>0</v>
      </c>
      <c r="S23" s="753">
        <f>P23*Q23</f>
        <v>0</v>
      </c>
      <c r="T23" s="754">
        <f>P23/O23</f>
        <v>0</v>
      </c>
      <c r="V23" s="751"/>
      <c r="W23" s="751"/>
    </row>
    <row r="24" spans="1:23" ht="16.5" customHeight="1" x14ac:dyDescent="0.25">
      <c r="A24" s="741"/>
      <c r="B24" s="744" t="s">
        <v>219</v>
      </c>
      <c r="C24" s="745">
        <f t="shared" ref="C24:D28" si="15">R24</f>
        <v>0</v>
      </c>
      <c r="D24" s="745">
        <f t="shared" si="15"/>
        <v>0</v>
      </c>
      <c r="E24" s="746">
        <f t="shared" si="14"/>
        <v>0</v>
      </c>
      <c r="F24" s="745">
        <f t="shared" ref="F24:F28" si="16">T24</f>
        <v>0</v>
      </c>
      <c r="G24" s="747"/>
      <c r="H24" s="744"/>
      <c r="I24" s="748"/>
      <c r="J24" s="749"/>
      <c r="K24" s="759"/>
      <c r="L24" s="749"/>
      <c r="M24" s="744" t="s">
        <v>741</v>
      </c>
      <c r="O24" s="750">
        <v>1</v>
      </c>
      <c r="P24" s="751"/>
      <c r="Q24" s="752">
        <v>0</v>
      </c>
      <c r="R24" s="753">
        <f t="shared" ref="R24:R28" si="17">P24-S24</f>
        <v>0</v>
      </c>
      <c r="S24" s="753">
        <f t="shared" ref="S24:S28" si="18">P24*Q24</f>
        <v>0</v>
      </c>
      <c r="T24" s="754">
        <f t="shared" ref="T24:T28" si="19">P24/O24</f>
        <v>0</v>
      </c>
      <c r="V24" s="751"/>
      <c r="W24" s="751"/>
    </row>
    <row r="25" spans="1:23" ht="16.5" customHeight="1" x14ac:dyDescent="0.25">
      <c r="A25" s="756"/>
      <c r="B25" s="744" t="s">
        <v>208</v>
      </c>
      <c r="C25" s="745">
        <f t="shared" si="15"/>
        <v>0</v>
      </c>
      <c r="D25" s="745">
        <f t="shared" si="15"/>
        <v>0</v>
      </c>
      <c r="E25" s="746">
        <f t="shared" si="14"/>
        <v>0</v>
      </c>
      <c r="F25" s="745">
        <f t="shared" si="16"/>
        <v>0</v>
      </c>
      <c r="G25" s="757"/>
      <c r="H25" s="744"/>
      <c r="I25" s="758"/>
      <c r="J25" s="749"/>
      <c r="K25" s="749"/>
      <c r="L25" s="749"/>
      <c r="M25" s="744" t="s">
        <v>741</v>
      </c>
      <c r="O25" s="750">
        <v>1</v>
      </c>
      <c r="P25" s="751"/>
      <c r="Q25" s="752"/>
      <c r="R25" s="753">
        <f t="shared" si="17"/>
        <v>0</v>
      </c>
      <c r="S25" s="753">
        <f t="shared" si="18"/>
        <v>0</v>
      </c>
      <c r="T25" s="754">
        <f t="shared" si="19"/>
        <v>0</v>
      </c>
      <c r="V25" s="751"/>
      <c r="W25" s="751"/>
    </row>
    <row r="26" spans="1:23" ht="16.5" customHeight="1" x14ac:dyDescent="0.25">
      <c r="A26" s="756"/>
      <c r="B26" s="744" t="s">
        <v>209</v>
      </c>
      <c r="C26" s="745">
        <f t="shared" si="15"/>
        <v>24</v>
      </c>
      <c r="D26" s="745">
        <f t="shared" si="15"/>
        <v>16</v>
      </c>
      <c r="E26" s="746">
        <f t="shared" ref="E26:E28" si="20">SUM(C26:D26)</f>
        <v>40</v>
      </c>
      <c r="F26" s="745">
        <f t="shared" si="16"/>
        <v>44.444444444444443</v>
      </c>
      <c r="G26" s="747"/>
      <c r="H26" s="744"/>
      <c r="I26" s="748"/>
      <c r="J26" s="759"/>
      <c r="K26" s="749"/>
      <c r="L26" s="749"/>
      <c r="M26" s="744" t="s">
        <v>741</v>
      </c>
      <c r="O26" s="750">
        <v>0.9</v>
      </c>
      <c r="P26" s="751">
        <v>40</v>
      </c>
      <c r="Q26" s="752">
        <v>0.4</v>
      </c>
      <c r="R26" s="753">
        <f t="shared" si="17"/>
        <v>24</v>
      </c>
      <c r="S26" s="753">
        <f t="shared" si="18"/>
        <v>16</v>
      </c>
      <c r="T26" s="754">
        <f t="shared" si="19"/>
        <v>44.444444444444443</v>
      </c>
      <c r="V26" s="751"/>
      <c r="W26" s="751"/>
    </row>
    <row r="27" spans="1:23" ht="16.5" customHeight="1" x14ac:dyDescent="0.25">
      <c r="A27" s="756"/>
      <c r="B27" s="744" t="s">
        <v>210</v>
      </c>
      <c r="C27" s="745">
        <f t="shared" si="15"/>
        <v>62.100000000000023</v>
      </c>
      <c r="D27" s="745">
        <f t="shared" si="15"/>
        <v>144.89999999999998</v>
      </c>
      <c r="E27" s="746">
        <f t="shared" si="20"/>
        <v>207</v>
      </c>
      <c r="F27" s="745">
        <f t="shared" si="16"/>
        <v>230</v>
      </c>
      <c r="G27" s="747">
        <v>0.9</v>
      </c>
      <c r="H27" s="744"/>
      <c r="I27" s="748"/>
      <c r="J27" s="759"/>
      <c r="K27" s="749"/>
      <c r="L27" s="749"/>
      <c r="M27" s="744" t="s">
        <v>741</v>
      </c>
      <c r="O27" s="750">
        <v>0.9</v>
      </c>
      <c r="P27" s="751">
        <v>207</v>
      </c>
      <c r="Q27" s="752">
        <v>0.7</v>
      </c>
      <c r="R27" s="753">
        <f t="shared" si="17"/>
        <v>62.100000000000023</v>
      </c>
      <c r="S27" s="753">
        <f t="shared" si="18"/>
        <v>144.89999999999998</v>
      </c>
      <c r="T27" s="754">
        <f t="shared" si="19"/>
        <v>230</v>
      </c>
      <c r="V27" s="751">
        <v>4</v>
      </c>
      <c r="W27" s="751"/>
    </row>
    <row r="28" spans="1:23" ht="16.5" customHeight="1" x14ac:dyDescent="0.25">
      <c r="A28" s="756"/>
      <c r="B28" s="744" t="s">
        <v>211</v>
      </c>
      <c r="C28" s="745">
        <f t="shared" si="15"/>
        <v>0</v>
      </c>
      <c r="D28" s="745">
        <f t="shared" si="15"/>
        <v>0</v>
      </c>
      <c r="E28" s="746">
        <f t="shared" si="20"/>
        <v>0</v>
      </c>
      <c r="F28" s="745">
        <f t="shared" si="16"/>
        <v>0</v>
      </c>
      <c r="G28" s="747"/>
      <c r="H28" s="744"/>
      <c r="I28" s="748"/>
      <c r="J28" s="749"/>
      <c r="K28" s="749"/>
      <c r="L28" s="749"/>
      <c r="M28" s="744" t="s">
        <v>741</v>
      </c>
      <c r="O28" s="765">
        <v>1</v>
      </c>
      <c r="P28" s="760"/>
      <c r="Q28" s="761"/>
      <c r="R28" s="753">
        <f t="shared" si="17"/>
        <v>0</v>
      </c>
      <c r="S28" s="753">
        <f t="shared" si="18"/>
        <v>0</v>
      </c>
      <c r="T28" s="754">
        <f t="shared" si="19"/>
        <v>0</v>
      </c>
      <c r="V28" s="760"/>
      <c r="W28" s="760"/>
    </row>
    <row r="29" spans="1:23" ht="16.5" customHeight="1" x14ac:dyDescent="0.25">
      <c r="A29" s="756"/>
      <c r="B29" s="744" t="s">
        <v>742</v>
      </c>
      <c r="C29" s="759"/>
      <c r="D29" s="759"/>
      <c r="E29" s="746"/>
      <c r="F29" s="745"/>
      <c r="G29" s="747"/>
      <c r="H29" s="744"/>
      <c r="I29" s="748"/>
      <c r="J29" s="749"/>
      <c r="K29" s="749"/>
      <c r="L29" s="749"/>
      <c r="M29" s="744" t="s">
        <v>741</v>
      </c>
      <c r="O29" s="750">
        <f>P29/T29</f>
        <v>0.89999999999999991</v>
      </c>
      <c r="P29" s="754">
        <f>SUM(P23:P28)</f>
        <v>247</v>
      </c>
      <c r="Q29" s="750">
        <f>AVERAGE(Q23:Q28)</f>
        <v>0.3666666666666667</v>
      </c>
      <c r="R29" s="753">
        <f>SUM(R23:R28)</f>
        <v>86.100000000000023</v>
      </c>
      <c r="S29" s="753">
        <f>SUM(S23:S28)</f>
        <v>160.89999999999998</v>
      </c>
      <c r="T29" s="754">
        <f>SUM(T23:T28)</f>
        <v>274.44444444444446</v>
      </c>
      <c r="V29" s="754">
        <f>SUM(V23:V28)</f>
        <v>4</v>
      </c>
      <c r="W29" s="754">
        <f>SUM(W23:W28)</f>
        <v>0</v>
      </c>
    </row>
    <row r="30" spans="1:23" x14ac:dyDescent="0.25">
      <c r="B30" s="763" t="s">
        <v>743</v>
      </c>
      <c r="P30" s="764">
        <f>P29-R29-S29</f>
        <v>0</v>
      </c>
    </row>
    <row r="31" spans="1:23" ht="29.25" customHeight="1" x14ac:dyDescent="0.25">
      <c r="A31" s="741" t="s">
        <v>753</v>
      </c>
      <c r="B31" s="742" t="s">
        <v>206</v>
      </c>
      <c r="C31" s="742" t="s">
        <v>724</v>
      </c>
      <c r="D31" s="742" t="s">
        <v>725</v>
      </c>
      <c r="E31" s="742" t="s">
        <v>726</v>
      </c>
      <c r="F31" s="742" t="s">
        <v>727</v>
      </c>
      <c r="G31" s="742" t="s">
        <v>728</v>
      </c>
      <c r="H31" s="743" t="s">
        <v>729</v>
      </c>
      <c r="I31" s="742" t="s">
        <v>730</v>
      </c>
      <c r="J31" s="742" t="s">
        <v>731</v>
      </c>
      <c r="K31" s="742" t="s">
        <v>732</v>
      </c>
      <c r="L31" s="742" t="s">
        <v>733</v>
      </c>
      <c r="M31" s="743" t="s">
        <v>734</v>
      </c>
      <c r="O31" s="733" t="s">
        <v>735</v>
      </c>
      <c r="P31" s="733" t="s">
        <v>736</v>
      </c>
      <c r="Q31" s="733" t="s">
        <v>737</v>
      </c>
      <c r="R31" s="733" t="s">
        <v>738</v>
      </c>
      <c r="S31" s="733" t="s">
        <v>739</v>
      </c>
      <c r="V31" s="733" t="s">
        <v>731</v>
      </c>
      <c r="W31" s="733" t="s">
        <v>740</v>
      </c>
    </row>
    <row r="32" spans="1:23" ht="16.5" customHeight="1" x14ac:dyDescent="0.25">
      <c r="A32" s="741"/>
      <c r="B32" s="744" t="s">
        <v>207</v>
      </c>
      <c r="C32" s="745">
        <f>R32</f>
        <v>0</v>
      </c>
      <c r="D32" s="745">
        <f>S32</f>
        <v>0</v>
      </c>
      <c r="E32" s="746">
        <f t="shared" ref="E32:E34" si="21">SUM(C32:D32)</f>
        <v>0</v>
      </c>
      <c r="F32" s="745">
        <f>T32</f>
        <v>0</v>
      </c>
      <c r="G32" s="747" t="e">
        <f t="shared" ref="G32:G33" si="22">E32/F32</f>
        <v>#DIV/0!</v>
      </c>
      <c r="H32" s="744"/>
      <c r="I32" s="748"/>
      <c r="J32" s="749"/>
      <c r="K32" s="749"/>
      <c r="L32" s="749"/>
      <c r="M32" s="744" t="s">
        <v>741</v>
      </c>
      <c r="O32" s="750">
        <v>1</v>
      </c>
      <c r="P32" s="751"/>
      <c r="Q32" s="752"/>
      <c r="R32" s="753">
        <f>P32-S32</f>
        <v>0</v>
      </c>
      <c r="S32" s="753">
        <f>P32*Q32</f>
        <v>0</v>
      </c>
      <c r="T32" s="754">
        <f>P32/O32</f>
        <v>0</v>
      </c>
      <c r="V32" s="751"/>
      <c r="W32" s="751"/>
    </row>
    <row r="33" spans="1:23" ht="16.5" customHeight="1" x14ac:dyDescent="0.25">
      <c r="A33" s="741"/>
      <c r="B33" s="744" t="s">
        <v>219</v>
      </c>
      <c r="C33" s="745">
        <f t="shared" ref="C33:D37" si="23">R33</f>
        <v>0</v>
      </c>
      <c r="D33" s="745">
        <f t="shared" si="23"/>
        <v>0</v>
      </c>
      <c r="E33" s="746">
        <f t="shared" si="21"/>
        <v>0</v>
      </c>
      <c r="F33" s="745">
        <f t="shared" ref="F33:F37" si="24">T33</f>
        <v>0</v>
      </c>
      <c r="G33" s="747" t="e">
        <f t="shared" si="22"/>
        <v>#DIV/0!</v>
      </c>
      <c r="H33" s="744"/>
      <c r="I33" s="748"/>
      <c r="J33" s="749"/>
      <c r="K33" s="759"/>
      <c r="L33" s="749"/>
      <c r="M33" s="744"/>
      <c r="O33" s="750">
        <v>1</v>
      </c>
      <c r="P33" s="751"/>
      <c r="Q33" s="752">
        <v>0</v>
      </c>
      <c r="R33" s="753">
        <f t="shared" ref="R33:R37" si="25">P33-S33</f>
        <v>0</v>
      </c>
      <c r="S33" s="753">
        <f t="shared" ref="S33:S37" si="26">P33*Q33</f>
        <v>0</v>
      </c>
      <c r="T33" s="754">
        <f t="shared" ref="T33:T37" si="27">P33/O33</f>
        <v>0</v>
      </c>
      <c r="V33" s="751"/>
      <c r="W33" s="751"/>
    </row>
    <row r="34" spans="1:23" ht="16.5" customHeight="1" x14ac:dyDescent="0.25">
      <c r="A34" s="756"/>
      <c r="B34" s="744" t="s">
        <v>208</v>
      </c>
      <c r="C34" s="745">
        <f t="shared" si="23"/>
        <v>0</v>
      </c>
      <c r="D34" s="745">
        <f t="shared" si="23"/>
        <v>0</v>
      </c>
      <c r="E34" s="746">
        <f t="shared" si="21"/>
        <v>0</v>
      </c>
      <c r="F34" s="745">
        <f t="shared" si="24"/>
        <v>0</v>
      </c>
      <c r="G34" s="757"/>
      <c r="H34" s="744"/>
      <c r="I34" s="758"/>
      <c r="J34" s="749"/>
      <c r="K34" s="749"/>
      <c r="L34" s="749"/>
      <c r="M34" s="744"/>
      <c r="O34" s="750">
        <v>1</v>
      </c>
      <c r="P34" s="751"/>
      <c r="Q34" s="752"/>
      <c r="R34" s="753">
        <f t="shared" si="25"/>
        <v>0</v>
      </c>
      <c r="S34" s="753">
        <f t="shared" si="26"/>
        <v>0</v>
      </c>
      <c r="T34" s="754">
        <f t="shared" si="27"/>
        <v>0</v>
      </c>
      <c r="V34" s="751"/>
      <c r="W34" s="751"/>
    </row>
    <row r="35" spans="1:23" ht="16.5" customHeight="1" x14ac:dyDescent="0.25">
      <c r="A35" s="756"/>
      <c r="B35" s="744" t="s">
        <v>209</v>
      </c>
      <c r="C35" s="745">
        <f t="shared" si="23"/>
        <v>20</v>
      </c>
      <c r="D35" s="745">
        <f t="shared" si="23"/>
        <v>5</v>
      </c>
      <c r="E35" s="746">
        <f t="shared" ref="E35:E37" si="28">SUM(C35:D35)</f>
        <v>25</v>
      </c>
      <c r="F35" s="745">
        <f t="shared" si="24"/>
        <v>35.714285714285715</v>
      </c>
      <c r="G35" s="747">
        <f t="shared" ref="G35:G37" si="29">E35/F35</f>
        <v>0.7</v>
      </c>
      <c r="H35" s="744"/>
      <c r="I35" s="748"/>
      <c r="J35" s="759"/>
      <c r="K35" s="749"/>
      <c r="L35" s="749"/>
      <c r="M35" s="744"/>
      <c r="O35" s="750">
        <v>0.7</v>
      </c>
      <c r="P35" s="751">
        <v>25</v>
      </c>
      <c r="Q35" s="752">
        <v>0.2</v>
      </c>
      <c r="R35" s="753">
        <f t="shared" si="25"/>
        <v>20</v>
      </c>
      <c r="S35" s="753">
        <f t="shared" si="26"/>
        <v>5</v>
      </c>
      <c r="T35" s="754">
        <f t="shared" si="27"/>
        <v>35.714285714285715</v>
      </c>
      <c r="V35" s="751"/>
      <c r="W35" s="751"/>
    </row>
    <row r="36" spans="1:23" ht="16.5" customHeight="1" x14ac:dyDescent="0.25">
      <c r="A36" s="756"/>
      <c r="B36" s="744" t="s">
        <v>210</v>
      </c>
      <c r="C36" s="745">
        <f t="shared" si="23"/>
        <v>89.5</v>
      </c>
      <c r="D36" s="745">
        <f t="shared" si="23"/>
        <v>89.5</v>
      </c>
      <c r="E36" s="746">
        <f t="shared" si="28"/>
        <v>179</v>
      </c>
      <c r="F36" s="745">
        <f t="shared" si="24"/>
        <v>255.71428571428572</v>
      </c>
      <c r="G36" s="747">
        <f t="shared" si="29"/>
        <v>0.7</v>
      </c>
      <c r="H36" s="744"/>
      <c r="I36" s="748"/>
      <c r="J36" s="759"/>
      <c r="K36" s="749"/>
      <c r="L36" s="749"/>
      <c r="M36" s="744"/>
      <c r="O36" s="750">
        <v>0.7</v>
      </c>
      <c r="P36" s="751">
        <v>179</v>
      </c>
      <c r="Q36" s="752">
        <v>0.5</v>
      </c>
      <c r="R36" s="753">
        <f t="shared" si="25"/>
        <v>89.5</v>
      </c>
      <c r="S36" s="753">
        <f t="shared" si="26"/>
        <v>89.5</v>
      </c>
      <c r="T36" s="754">
        <f t="shared" si="27"/>
        <v>255.71428571428572</v>
      </c>
      <c r="V36" s="751">
        <v>6</v>
      </c>
      <c r="W36" s="751"/>
    </row>
    <row r="37" spans="1:23" ht="16.5" customHeight="1" x14ac:dyDescent="0.25">
      <c r="A37" s="756"/>
      <c r="B37" s="744" t="s">
        <v>211</v>
      </c>
      <c r="C37" s="745">
        <f t="shared" si="23"/>
        <v>0</v>
      </c>
      <c r="D37" s="745">
        <f t="shared" si="23"/>
        <v>0</v>
      </c>
      <c r="E37" s="746">
        <f t="shared" si="28"/>
        <v>0</v>
      </c>
      <c r="F37" s="745">
        <f t="shared" si="24"/>
        <v>0</v>
      </c>
      <c r="G37" s="747" t="e">
        <f t="shared" si="29"/>
        <v>#DIV/0!</v>
      </c>
      <c r="H37" s="744"/>
      <c r="I37" s="748"/>
      <c r="J37" s="749"/>
      <c r="K37" s="749"/>
      <c r="L37" s="749"/>
      <c r="M37" s="744" t="s">
        <v>741</v>
      </c>
      <c r="O37" s="765">
        <v>1</v>
      </c>
      <c r="P37" s="760"/>
      <c r="Q37" s="752"/>
      <c r="R37" s="753">
        <f t="shared" si="25"/>
        <v>0</v>
      </c>
      <c r="S37" s="753">
        <f t="shared" si="26"/>
        <v>0</v>
      </c>
      <c r="T37" s="754">
        <f t="shared" si="27"/>
        <v>0</v>
      </c>
      <c r="V37" s="760"/>
      <c r="W37" s="760"/>
    </row>
    <row r="38" spans="1:23" ht="16.5" customHeight="1" x14ac:dyDescent="0.25">
      <c r="A38" s="756"/>
      <c r="B38" s="744" t="s">
        <v>742</v>
      </c>
      <c r="C38" s="759"/>
      <c r="D38" s="759"/>
      <c r="E38" s="746"/>
      <c r="F38" s="745"/>
      <c r="G38" s="747"/>
      <c r="H38" s="744"/>
      <c r="I38" s="748"/>
      <c r="J38" s="749"/>
      <c r="K38" s="749"/>
      <c r="L38" s="749"/>
      <c r="M38" s="744" t="s">
        <v>741</v>
      </c>
      <c r="O38" s="750">
        <f>P38/T38</f>
        <v>0.7</v>
      </c>
      <c r="P38" s="754">
        <f>SUM(P32:P37)</f>
        <v>204</v>
      </c>
      <c r="Q38" s="750">
        <f>AVERAGE(Q32:Q37)</f>
        <v>0.23333333333333331</v>
      </c>
      <c r="R38" s="753">
        <f>SUM(R32:R37)</f>
        <v>109.5</v>
      </c>
      <c r="S38" s="753">
        <f>SUM(S32:S37)</f>
        <v>94.5</v>
      </c>
      <c r="T38" s="754">
        <f>SUM(T32:T37)</f>
        <v>291.42857142857144</v>
      </c>
      <c r="V38" s="754">
        <f>SUM(V32:V37)</f>
        <v>6</v>
      </c>
      <c r="W38" s="754">
        <f>SUM(W32:W37)</f>
        <v>0</v>
      </c>
    </row>
    <row r="39" spans="1:23" x14ac:dyDescent="0.25">
      <c r="B39" s="763" t="s">
        <v>743</v>
      </c>
      <c r="P39" s="764">
        <f>P38-R38-S38</f>
        <v>0</v>
      </c>
    </row>
    <row r="40" spans="1:23" ht="29.25" customHeight="1" x14ac:dyDescent="0.25">
      <c r="A40" s="741" t="s">
        <v>754</v>
      </c>
      <c r="B40" s="742" t="s">
        <v>206</v>
      </c>
      <c r="C40" s="742" t="s">
        <v>724</v>
      </c>
      <c r="D40" s="742" t="s">
        <v>725</v>
      </c>
      <c r="E40" s="742" t="s">
        <v>726</v>
      </c>
      <c r="F40" s="742" t="s">
        <v>727</v>
      </c>
      <c r="G40" s="742" t="s">
        <v>728</v>
      </c>
      <c r="H40" s="743" t="s">
        <v>729</v>
      </c>
      <c r="I40" s="742" t="s">
        <v>730</v>
      </c>
      <c r="J40" s="742" t="s">
        <v>731</v>
      </c>
      <c r="K40" s="742" t="s">
        <v>732</v>
      </c>
      <c r="L40" s="742" t="s">
        <v>733</v>
      </c>
      <c r="M40" s="743" t="s">
        <v>734</v>
      </c>
      <c r="O40" s="733" t="s">
        <v>735</v>
      </c>
      <c r="P40" s="733" t="s">
        <v>736</v>
      </c>
      <c r="Q40" s="733" t="s">
        <v>737</v>
      </c>
      <c r="R40" s="733" t="s">
        <v>738</v>
      </c>
      <c r="S40" s="733" t="s">
        <v>739</v>
      </c>
      <c r="V40" s="733" t="s">
        <v>731</v>
      </c>
      <c r="W40" s="733" t="s">
        <v>740</v>
      </c>
    </row>
    <row r="41" spans="1:23" ht="16.5" customHeight="1" x14ac:dyDescent="0.25">
      <c r="A41" s="741"/>
      <c r="B41" s="744" t="s">
        <v>207</v>
      </c>
      <c r="C41" s="745">
        <f>R41</f>
        <v>0</v>
      </c>
      <c r="D41" s="745">
        <f>S41</f>
        <v>0</v>
      </c>
      <c r="E41" s="746">
        <f t="shared" ref="E41:E44" si="30">SUM(C41:D41)</f>
        <v>0</v>
      </c>
      <c r="F41" s="745">
        <f>T41</f>
        <v>0</v>
      </c>
      <c r="G41" s="747" t="e">
        <f t="shared" ref="G41:G42" si="31">E41/F41</f>
        <v>#DIV/0!</v>
      </c>
      <c r="H41" s="744"/>
      <c r="I41" s="748"/>
      <c r="J41" s="749"/>
      <c r="K41" s="749"/>
      <c r="L41" s="749"/>
      <c r="M41" s="744" t="s">
        <v>741</v>
      </c>
      <c r="O41" s="750">
        <v>1</v>
      </c>
      <c r="P41" s="751"/>
      <c r="Q41" s="752"/>
      <c r="R41" s="753">
        <f>P41-S41</f>
        <v>0</v>
      </c>
      <c r="S41" s="753">
        <f>P41*Q41</f>
        <v>0</v>
      </c>
      <c r="T41" s="754">
        <f>P41/O41</f>
        <v>0</v>
      </c>
      <c r="V41" s="751"/>
      <c r="W41" s="751"/>
    </row>
    <row r="42" spans="1:23" ht="16.5" customHeight="1" x14ac:dyDescent="0.25">
      <c r="A42" s="741"/>
      <c r="B42" s="744" t="s">
        <v>219</v>
      </c>
      <c r="C42" s="745">
        <f t="shared" ref="C42:D46" si="32">R42</f>
        <v>0</v>
      </c>
      <c r="D42" s="745">
        <f t="shared" si="32"/>
        <v>0</v>
      </c>
      <c r="E42" s="746">
        <f t="shared" si="30"/>
        <v>0</v>
      </c>
      <c r="F42" s="745">
        <f t="shared" ref="F42:F45" si="33">T42</f>
        <v>0</v>
      </c>
      <c r="G42" s="747" t="e">
        <f t="shared" si="31"/>
        <v>#DIV/0!</v>
      </c>
      <c r="H42" s="744"/>
      <c r="I42" s="748"/>
      <c r="J42" s="749"/>
      <c r="K42" s="755">
        <f>W42</f>
        <v>0</v>
      </c>
      <c r="L42" s="749"/>
      <c r="M42" s="744" t="s">
        <v>741</v>
      </c>
      <c r="O42" s="750">
        <v>1</v>
      </c>
      <c r="P42" s="751"/>
      <c r="Q42" s="752">
        <v>0</v>
      </c>
      <c r="R42" s="753">
        <f>P42-S42</f>
        <v>0</v>
      </c>
      <c r="S42" s="753">
        <f>P42*Q42</f>
        <v>0</v>
      </c>
      <c r="T42" s="754">
        <f>P42/O42</f>
        <v>0</v>
      </c>
      <c r="V42" s="751"/>
      <c r="W42" s="751"/>
    </row>
    <row r="43" spans="1:23" ht="16.5" customHeight="1" x14ac:dyDescent="0.25">
      <c r="A43" s="756"/>
      <c r="B43" s="744" t="s">
        <v>208</v>
      </c>
      <c r="C43" s="745">
        <f t="shared" si="32"/>
        <v>0</v>
      </c>
      <c r="D43" s="745">
        <f t="shared" si="32"/>
        <v>0</v>
      </c>
      <c r="E43" s="746">
        <f t="shared" si="30"/>
        <v>0</v>
      </c>
      <c r="F43" s="745">
        <f t="shared" si="33"/>
        <v>0</v>
      </c>
      <c r="G43" s="757"/>
      <c r="H43" s="744"/>
      <c r="I43" s="758"/>
      <c r="J43" s="749"/>
      <c r="K43" s="749"/>
      <c r="L43" s="749"/>
      <c r="M43" s="744" t="s">
        <v>741</v>
      </c>
      <c r="O43" s="750">
        <v>1</v>
      </c>
      <c r="P43" s="751"/>
      <c r="Q43" s="752"/>
      <c r="R43" s="753">
        <f t="shared" ref="R43:R45" si="34">P43-S43</f>
        <v>0</v>
      </c>
      <c r="S43" s="753">
        <f t="shared" ref="S43:S45" si="35">P43*Q43</f>
        <v>0</v>
      </c>
      <c r="T43" s="754">
        <f t="shared" ref="T43:T46" si="36">P43/O43</f>
        <v>0</v>
      </c>
      <c r="V43" s="751"/>
      <c r="W43" s="751"/>
    </row>
    <row r="44" spans="1:23" ht="16.5" customHeight="1" x14ac:dyDescent="0.25">
      <c r="A44" s="756"/>
      <c r="B44" s="744" t="s">
        <v>209</v>
      </c>
      <c r="C44" s="745">
        <f t="shared" si="32"/>
        <v>32</v>
      </c>
      <c r="D44" s="745">
        <f t="shared" si="32"/>
        <v>8</v>
      </c>
      <c r="E44" s="746">
        <f t="shared" si="30"/>
        <v>40</v>
      </c>
      <c r="F44" s="745">
        <f t="shared" si="33"/>
        <v>80</v>
      </c>
      <c r="G44" s="747"/>
      <c r="H44" s="744"/>
      <c r="I44" s="748"/>
      <c r="J44" s="759"/>
      <c r="K44" s="749"/>
      <c r="L44" s="749"/>
      <c r="M44" s="744" t="s">
        <v>741</v>
      </c>
      <c r="O44" s="750">
        <v>0.5</v>
      </c>
      <c r="P44" s="751">
        <v>40</v>
      </c>
      <c r="Q44" s="752">
        <v>0.2</v>
      </c>
      <c r="R44" s="753">
        <f t="shared" si="34"/>
        <v>32</v>
      </c>
      <c r="S44" s="753">
        <f t="shared" si="35"/>
        <v>8</v>
      </c>
      <c r="T44" s="754">
        <f t="shared" si="36"/>
        <v>80</v>
      </c>
      <c r="V44" s="751"/>
      <c r="W44" s="751"/>
    </row>
    <row r="45" spans="1:23" ht="16.5" customHeight="1" x14ac:dyDescent="0.25">
      <c r="A45" s="756"/>
      <c r="B45" s="744" t="s">
        <v>210</v>
      </c>
      <c r="C45" s="745">
        <f t="shared" si="32"/>
        <v>80.5</v>
      </c>
      <c r="D45" s="745">
        <f t="shared" si="32"/>
        <v>80.5</v>
      </c>
      <c r="E45" s="746">
        <f t="shared" ref="E45:E46" si="37">SUM(C45:D45)</f>
        <v>161</v>
      </c>
      <c r="F45" s="745">
        <f t="shared" si="33"/>
        <v>322</v>
      </c>
      <c r="G45" s="747">
        <f t="shared" ref="G45:G46" si="38">E45/F45</f>
        <v>0.5</v>
      </c>
      <c r="H45" s="744"/>
      <c r="I45" s="748"/>
      <c r="J45" s="759"/>
      <c r="K45" s="755">
        <f>W45</f>
        <v>0</v>
      </c>
      <c r="L45" s="749"/>
      <c r="M45" s="744" t="s">
        <v>741</v>
      </c>
      <c r="O45" s="750">
        <v>0.5</v>
      </c>
      <c r="P45" s="751">
        <v>161</v>
      </c>
      <c r="Q45" s="752">
        <v>0.5</v>
      </c>
      <c r="R45" s="753">
        <f t="shared" si="34"/>
        <v>80.5</v>
      </c>
      <c r="S45" s="753">
        <f t="shared" si="35"/>
        <v>80.5</v>
      </c>
      <c r="T45" s="754">
        <f t="shared" si="36"/>
        <v>322</v>
      </c>
      <c r="V45" s="751">
        <v>3</v>
      </c>
      <c r="W45" s="751"/>
    </row>
    <row r="46" spans="1:23" ht="16.5" customHeight="1" x14ac:dyDescent="0.25">
      <c r="A46" s="756"/>
      <c r="B46" s="744" t="s">
        <v>211</v>
      </c>
      <c r="C46" s="745">
        <f t="shared" si="32"/>
        <v>0</v>
      </c>
      <c r="D46" s="745">
        <f t="shared" si="32"/>
        <v>0</v>
      </c>
      <c r="E46" s="746">
        <f t="shared" si="37"/>
        <v>0</v>
      </c>
      <c r="F46" s="745"/>
      <c r="G46" s="747" t="e">
        <f t="shared" si="38"/>
        <v>#DIV/0!</v>
      </c>
      <c r="H46" s="744"/>
      <c r="I46" s="748"/>
      <c r="J46" s="749"/>
      <c r="K46" s="749"/>
      <c r="L46" s="749"/>
      <c r="M46" s="744" t="s">
        <v>741</v>
      </c>
      <c r="O46" s="750">
        <v>1</v>
      </c>
      <c r="P46" s="760"/>
      <c r="Q46" s="761"/>
      <c r="R46" s="766"/>
      <c r="S46" s="766"/>
      <c r="T46" s="762">
        <f t="shared" si="36"/>
        <v>0</v>
      </c>
      <c r="V46" s="760"/>
      <c r="W46" s="760"/>
    </row>
    <row r="47" spans="1:23" ht="16.5" customHeight="1" x14ac:dyDescent="0.25">
      <c r="A47" s="756"/>
      <c r="B47" s="744" t="s">
        <v>742</v>
      </c>
      <c r="C47" s="759"/>
      <c r="D47" s="759"/>
      <c r="E47" s="746"/>
      <c r="F47" s="745"/>
      <c r="G47" s="747"/>
      <c r="H47" s="744"/>
      <c r="I47" s="748"/>
      <c r="J47" s="749"/>
      <c r="K47" s="749"/>
      <c r="L47" s="749"/>
      <c r="M47" s="744" t="s">
        <v>741</v>
      </c>
      <c r="O47" s="750">
        <f>P47/T47</f>
        <v>0.5</v>
      </c>
      <c r="P47" s="754">
        <f>SUM(P41:P46)</f>
        <v>201</v>
      </c>
      <c r="Q47" s="750">
        <f>AVERAGE(Q41:Q46)</f>
        <v>0.23333333333333331</v>
      </c>
      <c r="R47" s="753">
        <f>SUM(R41:R46)</f>
        <v>112.5</v>
      </c>
      <c r="S47" s="753">
        <f>SUM(S41:S46)</f>
        <v>88.5</v>
      </c>
      <c r="T47" s="754">
        <f>SUM(T41:T46)</f>
        <v>402</v>
      </c>
      <c r="V47" s="754">
        <f>SUM(V41:V46)</f>
        <v>3</v>
      </c>
      <c r="W47" s="754">
        <f>SUM(W41:W46)</f>
        <v>0</v>
      </c>
    </row>
    <row r="48" spans="1:23" x14ac:dyDescent="0.25">
      <c r="B48" s="763" t="s">
        <v>743</v>
      </c>
      <c r="P48" s="764">
        <f>P47-R47-S47</f>
        <v>0</v>
      </c>
    </row>
    <row r="49" spans="1:23" ht="29.25" customHeight="1" x14ac:dyDescent="0.25">
      <c r="A49" s="741" t="s">
        <v>755</v>
      </c>
      <c r="B49" s="742" t="s">
        <v>206</v>
      </c>
      <c r="C49" s="742" t="s">
        <v>724</v>
      </c>
      <c r="D49" s="742" t="s">
        <v>725</v>
      </c>
      <c r="E49" s="742" t="s">
        <v>726</v>
      </c>
      <c r="F49" s="742" t="s">
        <v>727</v>
      </c>
      <c r="G49" s="742" t="s">
        <v>728</v>
      </c>
      <c r="H49" s="743" t="s">
        <v>729</v>
      </c>
      <c r="I49" s="742" t="s">
        <v>730</v>
      </c>
      <c r="J49" s="742" t="s">
        <v>731</v>
      </c>
      <c r="K49" s="742" t="s">
        <v>732</v>
      </c>
      <c r="L49" s="742" t="s">
        <v>733</v>
      </c>
      <c r="M49" s="743" t="s">
        <v>734</v>
      </c>
      <c r="O49" s="733" t="s">
        <v>735</v>
      </c>
      <c r="P49" s="733" t="s">
        <v>736</v>
      </c>
      <c r="Q49" s="733" t="s">
        <v>737</v>
      </c>
      <c r="R49" s="733" t="s">
        <v>738</v>
      </c>
      <c r="S49" s="733" t="s">
        <v>739</v>
      </c>
      <c r="V49" s="733" t="s">
        <v>731</v>
      </c>
      <c r="W49" s="733" t="s">
        <v>740</v>
      </c>
    </row>
    <row r="50" spans="1:23" ht="16.5" customHeight="1" x14ac:dyDescent="0.25">
      <c r="A50" s="741"/>
      <c r="B50" s="744" t="s">
        <v>207</v>
      </c>
      <c r="C50" s="745">
        <f>R50</f>
        <v>0</v>
      </c>
      <c r="D50" s="745">
        <f>S50</f>
        <v>0</v>
      </c>
      <c r="E50" s="746">
        <f t="shared" ref="E50:E53" si="39">SUM(C50:D50)</f>
        <v>0</v>
      </c>
      <c r="F50" s="745">
        <f>T50</f>
        <v>0</v>
      </c>
      <c r="G50" s="747" t="e">
        <f t="shared" ref="G50:G53" si="40">E50/F50</f>
        <v>#DIV/0!</v>
      </c>
      <c r="H50" s="744"/>
      <c r="I50" s="748"/>
      <c r="J50" s="749"/>
      <c r="K50" s="749"/>
      <c r="L50" s="749"/>
      <c r="M50" s="744" t="s">
        <v>741</v>
      </c>
      <c r="O50" s="750">
        <v>1</v>
      </c>
      <c r="P50" s="751"/>
      <c r="Q50" s="752"/>
      <c r="R50" s="753">
        <f>P50-S50</f>
        <v>0</v>
      </c>
      <c r="S50" s="753">
        <f>P50*Q50</f>
        <v>0</v>
      </c>
      <c r="T50" s="754">
        <f>P50/O50</f>
        <v>0</v>
      </c>
      <c r="V50" s="751"/>
      <c r="W50" s="751"/>
    </row>
    <row r="51" spans="1:23" ht="16.5" customHeight="1" x14ac:dyDescent="0.25">
      <c r="A51" s="741"/>
      <c r="B51" s="744" t="s">
        <v>219</v>
      </c>
      <c r="C51" s="745">
        <f t="shared" ref="C51:D55" si="41">R51</f>
        <v>0</v>
      </c>
      <c r="D51" s="745">
        <f t="shared" si="41"/>
        <v>0</v>
      </c>
      <c r="E51" s="746">
        <f t="shared" si="39"/>
        <v>0</v>
      </c>
      <c r="F51" s="745">
        <f t="shared" ref="F51:F54" si="42">T51</f>
        <v>0</v>
      </c>
      <c r="G51" s="747" t="e">
        <f t="shared" si="40"/>
        <v>#DIV/0!</v>
      </c>
      <c r="H51" s="744"/>
      <c r="I51" s="748"/>
      <c r="J51" s="749"/>
      <c r="K51" s="755">
        <f>W51</f>
        <v>0</v>
      </c>
      <c r="L51" s="749"/>
      <c r="M51" s="744" t="s">
        <v>741</v>
      </c>
      <c r="O51" s="750">
        <v>1</v>
      </c>
      <c r="P51" s="751"/>
      <c r="Q51" s="752">
        <v>0</v>
      </c>
      <c r="R51" s="753">
        <f>P51-S51</f>
        <v>0</v>
      </c>
      <c r="S51" s="753">
        <f>P51*Q51</f>
        <v>0</v>
      </c>
      <c r="T51" s="754">
        <f>P51/O51</f>
        <v>0</v>
      </c>
      <c r="V51" s="751"/>
      <c r="W51" s="751"/>
    </row>
    <row r="52" spans="1:23" ht="16.5" customHeight="1" x14ac:dyDescent="0.25">
      <c r="A52" s="756"/>
      <c r="B52" s="744" t="s">
        <v>208</v>
      </c>
      <c r="C52" s="745">
        <f t="shared" si="41"/>
        <v>0</v>
      </c>
      <c r="D52" s="745">
        <f t="shared" si="41"/>
        <v>0</v>
      </c>
      <c r="E52" s="746">
        <f t="shared" si="39"/>
        <v>0</v>
      </c>
      <c r="F52" s="745">
        <f t="shared" si="42"/>
        <v>0</v>
      </c>
      <c r="G52" s="747" t="e">
        <f t="shared" si="40"/>
        <v>#DIV/0!</v>
      </c>
      <c r="H52" s="744"/>
      <c r="I52" s="758"/>
      <c r="J52" s="749"/>
      <c r="K52" s="749"/>
      <c r="L52" s="749"/>
      <c r="M52" s="744" t="s">
        <v>741</v>
      </c>
      <c r="O52" s="750">
        <v>1</v>
      </c>
      <c r="P52" s="751"/>
      <c r="Q52" s="752"/>
      <c r="R52" s="753">
        <f t="shared" ref="R52:R55" si="43">P52-S52</f>
        <v>0</v>
      </c>
      <c r="S52" s="753">
        <f t="shared" ref="S52:S55" si="44">P52*Q52</f>
        <v>0</v>
      </c>
      <c r="T52" s="754">
        <f t="shared" ref="T52:T55" si="45">P52/O52</f>
        <v>0</v>
      </c>
      <c r="V52" s="751"/>
      <c r="W52" s="751"/>
    </row>
    <row r="53" spans="1:23" ht="16.5" customHeight="1" x14ac:dyDescent="0.25">
      <c r="A53" s="756"/>
      <c r="B53" s="744" t="s">
        <v>209</v>
      </c>
      <c r="C53" s="745">
        <f t="shared" si="41"/>
        <v>0</v>
      </c>
      <c r="D53" s="745">
        <f t="shared" si="41"/>
        <v>0</v>
      </c>
      <c r="E53" s="746">
        <f t="shared" si="39"/>
        <v>0</v>
      </c>
      <c r="F53" s="745">
        <f t="shared" si="42"/>
        <v>0</v>
      </c>
      <c r="G53" s="747" t="e">
        <f t="shared" si="40"/>
        <v>#DIV/0!</v>
      </c>
      <c r="H53" s="744"/>
      <c r="I53" s="748"/>
      <c r="J53" s="759"/>
      <c r="K53" s="749"/>
      <c r="L53" s="749"/>
      <c r="M53" s="744" t="s">
        <v>741</v>
      </c>
      <c r="O53" s="750">
        <v>1</v>
      </c>
      <c r="P53" s="751"/>
      <c r="Q53" s="752"/>
      <c r="R53" s="753">
        <f t="shared" si="43"/>
        <v>0</v>
      </c>
      <c r="S53" s="753">
        <f t="shared" si="44"/>
        <v>0</v>
      </c>
      <c r="T53" s="754">
        <f t="shared" si="45"/>
        <v>0</v>
      </c>
      <c r="V53" s="751"/>
      <c r="W53" s="751"/>
    </row>
    <row r="54" spans="1:23" ht="16.5" customHeight="1" x14ac:dyDescent="0.25">
      <c r="A54" s="756"/>
      <c r="B54" s="744" t="s">
        <v>210</v>
      </c>
      <c r="C54" s="745">
        <f t="shared" si="41"/>
        <v>0</v>
      </c>
      <c r="D54" s="745">
        <f t="shared" si="41"/>
        <v>0</v>
      </c>
      <c r="E54" s="746">
        <f>SUM(C54:D54)</f>
        <v>0</v>
      </c>
      <c r="F54" s="745">
        <f t="shared" si="42"/>
        <v>0</v>
      </c>
      <c r="G54" s="747" t="e">
        <f>E54/F54</f>
        <v>#DIV/0!</v>
      </c>
      <c r="H54" s="744"/>
      <c r="I54" s="748"/>
      <c r="J54" s="759"/>
      <c r="K54" s="755">
        <f>W54</f>
        <v>0</v>
      </c>
      <c r="L54" s="749"/>
      <c r="M54" s="744" t="s">
        <v>741</v>
      </c>
      <c r="O54" s="750">
        <v>1</v>
      </c>
      <c r="P54" s="751"/>
      <c r="Q54" s="752">
        <v>0</v>
      </c>
      <c r="R54" s="753">
        <f t="shared" si="43"/>
        <v>0</v>
      </c>
      <c r="S54" s="753">
        <f t="shared" si="44"/>
        <v>0</v>
      </c>
      <c r="T54" s="754">
        <f t="shared" si="45"/>
        <v>0</v>
      </c>
      <c r="V54" s="751"/>
      <c r="W54" s="751"/>
    </row>
    <row r="55" spans="1:23" ht="16.5" customHeight="1" x14ac:dyDescent="0.25">
      <c r="A55" s="756"/>
      <c r="B55" s="744" t="s">
        <v>211</v>
      </c>
      <c r="C55" s="745">
        <f t="shared" si="41"/>
        <v>0</v>
      </c>
      <c r="D55" s="745">
        <f t="shared" si="41"/>
        <v>0</v>
      </c>
      <c r="E55" s="746"/>
      <c r="F55" s="745"/>
      <c r="G55" s="747"/>
      <c r="H55" s="744"/>
      <c r="I55" s="748"/>
      <c r="J55" s="749"/>
      <c r="K55" s="749"/>
      <c r="L55" s="749"/>
      <c r="M55" s="744" t="s">
        <v>741</v>
      </c>
      <c r="O55" s="750">
        <v>1</v>
      </c>
      <c r="P55" s="760"/>
      <c r="Q55" s="761"/>
      <c r="R55" s="766">
        <f t="shared" si="43"/>
        <v>0</v>
      </c>
      <c r="S55" s="766">
        <f t="shared" si="44"/>
        <v>0</v>
      </c>
      <c r="T55" s="762">
        <f t="shared" si="45"/>
        <v>0</v>
      </c>
      <c r="V55" s="760"/>
      <c r="W55" s="760"/>
    </row>
    <row r="56" spans="1:23" ht="16.5" customHeight="1" x14ac:dyDescent="0.25">
      <c r="A56" s="756"/>
      <c r="B56" s="744" t="s">
        <v>742</v>
      </c>
      <c r="C56" s="759"/>
      <c r="D56" s="759"/>
      <c r="E56" s="746"/>
      <c r="F56" s="745"/>
      <c r="G56" s="747"/>
      <c r="H56" s="744"/>
      <c r="I56" s="748"/>
      <c r="J56" s="749"/>
      <c r="K56" s="749"/>
      <c r="L56" s="749"/>
      <c r="M56" s="744" t="s">
        <v>741</v>
      </c>
      <c r="O56" s="750" t="e">
        <f>P56/T56</f>
        <v>#DIV/0!</v>
      </c>
      <c r="P56" s="754">
        <f>SUM(P50:P55)</f>
        <v>0</v>
      </c>
      <c r="Q56" s="750">
        <f>AVERAGE(Q50:Q55)</f>
        <v>0</v>
      </c>
      <c r="R56" s="753">
        <f>SUM(R50:R55)</f>
        <v>0</v>
      </c>
      <c r="S56" s="753">
        <f>SUM(S50:S55)</f>
        <v>0</v>
      </c>
      <c r="T56" s="754">
        <f>SUM(T50:T55)</f>
        <v>0</v>
      </c>
      <c r="V56" s="754">
        <f>SUM(V50:V55)</f>
        <v>0</v>
      </c>
      <c r="W56" s="754">
        <f>SUM(W50:W55)</f>
        <v>0</v>
      </c>
    </row>
    <row r="57" spans="1:23" x14ac:dyDescent="0.25">
      <c r="B57" s="763" t="s">
        <v>743</v>
      </c>
      <c r="P57" s="764">
        <f>P56-R56-S56</f>
        <v>0</v>
      </c>
    </row>
    <row r="58" spans="1:23" ht="29.25" customHeight="1" x14ac:dyDescent="0.25">
      <c r="A58" s="741" t="s">
        <v>756</v>
      </c>
      <c r="B58" s="742" t="s">
        <v>206</v>
      </c>
      <c r="C58" s="742" t="s">
        <v>724</v>
      </c>
      <c r="D58" s="742" t="s">
        <v>725</v>
      </c>
      <c r="E58" s="742" t="s">
        <v>726</v>
      </c>
      <c r="F58" s="742" t="s">
        <v>727</v>
      </c>
      <c r="G58" s="742" t="s">
        <v>728</v>
      </c>
      <c r="H58" s="743" t="s">
        <v>729</v>
      </c>
      <c r="I58" s="742" t="s">
        <v>730</v>
      </c>
      <c r="J58" s="742" t="s">
        <v>731</v>
      </c>
      <c r="K58" s="742" t="s">
        <v>732</v>
      </c>
      <c r="L58" s="742" t="s">
        <v>733</v>
      </c>
      <c r="M58" s="743" t="s">
        <v>734</v>
      </c>
      <c r="O58" s="733" t="s">
        <v>735</v>
      </c>
      <c r="P58" s="733" t="s">
        <v>736</v>
      </c>
      <c r="Q58" s="733" t="s">
        <v>737</v>
      </c>
      <c r="R58" s="733" t="s">
        <v>738</v>
      </c>
      <c r="S58" s="733" t="s">
        <v>739</v>
      </c>
      <c r="V58" s="733" t="s">
        <v>731</v>
      </c>
      <c r="W58" s="733" t="s">
        <v>740</v>
      </c>
    </row>
    <row r="59" spans="1:23" ht="16.5" customHeight="1" x14ac:dyDescent="0.25">
      <c r="A59" s="741"/>
      <c r="B59" s="744" t="s">
        <v>207</v>
      </c>
      <c r="C59" s="745">
        <f>R59</f>
        <v>0</v>
      </c>
      <c r="D59" s="745">
        <f>S59</f>
        <v>0</v>
      </c>
      <c r="E59" s="746">
        <f t="shared" ref="E59:E64" si="46">SUM(C59:D59)</f>
        <v>0</v>
      </c>
      <c r="F59" s="745">
        <f>T59</f>
        <v>0</v>
      </c>
      <c r="G59" s="747" t="e">
        <f t="shared" ref="G59:G60" si="47">E59/F59</f>
        <v>#DIV/0!</v>
      </c>
      <c r="H59" s="744"/>
      <c r="I59" s="748"/>
      <c r="J59" s="749"/>
      <c r="K59" s="749"/>
      <c r="L59" s="749"/>
      <c r="M59" s="744" t="s">
        <v>741</v>
      </c>
      <c r="O59" s="750">
        <v>1</v>
      </c>
      <c r="P59" s="751"/>
      <c r="Q59" s="752"/>
      <c r="R59" s="753">
        <f>P59-S59</f>
        <v>0</v>
      </c>
      <c r="S59" s="753">
        <f>P59*Q59</f>
        <v>0</v>
      </c>
      <c r="T59" s="754">
        <f>P59/O59</f>
        <v>0</v>
      </c>
      <c r="V59" s="751"/>
      <c r="W59" s="751"/>
    </row>
    <row r="60" spans="1:23" ht="16.5" customHeight="1" x14ac:dyDescent="0.25">
      <c r="A60" s="741"/>
      <c r="B60" s="744" t="s">
        <v>219</v>
      </c>
      <c r="C60" s="745">
        <f t="shared" ref="C60:D64" si="48">R60</f>
        <v>0</v>
      </c>
      <c r="D60" s="745">
        <f t="shared" si="48"/>
        <v>0</v>
      </c>
      <c r="E60" s="746">
        <f t="shared" si="46"/>
        <v>0</v>
      </c>
      <c r="F60" s="745">
        <f t="shared" ref="F60:F64" si="49">T60</f>
        <v>0</v>
      </c>
      <c r="G60" s="747" t="e">
        <f t="shared" si="47"/>
        <v>#DIV/0!</v>
      </c>
      <c r="H60" s="744"/>
      <c r="I60" s="748"/>
      <c r="J60" s="749"/>
      <c r="K60" s="759"/>
      <c r="L60" s="749"/>
      <c r="M60" s="744" t="s">
        <v>741</v>
      </c>
      <c r="O60" s="750">
        <v>1</v>
      </c>
      <c r="P60" s="751"/>
      <c r="Q60" s="752"/>
      <c r="R60" s="753">
        <f>P60-S60</f>
        <v>0</v>
      </c>
      <c r="S60" s="753">
        <f>P60*Q60</f>
        <v>0</v>
      </c>
      <c r="T60" s="754">
        <f>P60/O60</f>
        <v>0</v>
      </c>
      <c r="V60" s="751"/>
      <c r="W60" s="751"/>
    </row>
    <row r="61" spans="1:23" ht="16.5" customHeight="1" x14ac:dyDescent="0.25">
      <c r="A61" s="756"/>
      <c r="B61" s="744" t="s">
        <v>208</v>
      </c>
      <c r="C61" s="745">
        <f t="shared" si="48"/>
        <v>0</v>
      </c>
      <c r="D61" s="745">
        <f t="shared" si="48"/>
        <v>0</v>
      </c>
      <c r="E61" s="746">
        <f t="shared" si="46"/>
        <v>0</v>
      </c>
      <c r="F61" s="745">
        <f t="shared" si="49"/>
        <v>0</v>
      </c>
      <c r="G61" s="757"/>
      <c r="H61" s="744"/>
      <c r="I61" s="758"/>
      <c r="J61" s="749"/>
      <c r="K61" s="749"/>
      <c r="L61" s="749"/>
      <c r="M61" s="744" t="s">
        <v>741</v>
      </c>
      <c r="O61" s="750">
        <v>1</v>
      </c>
      <c r="P61" s="751"/>
      <c r="Q61" s="752"/>
      <c r="R61" s="753">
        <f t="shared" ref="R61:R64" si="50">P61-S61</f>
        <v>0</v>
      </c>
      <c r="S61" s="753">
        <f t="shared" ref="S61:S64" si="51">P61*Q61</f>
        <v>0</v>
      </c>
      <c r="T61" s="754">
        <f t="shared" ref="T61:T64" si="52">P61/O61</f>
        <v>0</v>
      </c>
      <c r="V61" s="751"/>
      <c r="W61" s="751"/>
    </row>
    <row r="62" spans="1:23" ht="16.5" customHeight="1" x14ac:dyDescent="0.25">
      <c r="A62" s="756"/>
      <c r="B62" s="744" t="s">
        <v>209</v>
      </c>
      <c r="C62" s="745">
        <f t="shared" si="48"/>
        <v>0</v>
      </c>
      <c r="D62" s="745">
        <f t="shared" si="48"/>
        <v>0</v>
      </c>
      <c r="E62" s="746">
        <f t="shared" si="46"/>
        <v>0</v>
      </c>
      <c r="F62" s="745">
        <f t="shared" si="49"/>
        <v>0</v>
      </c>
      <c r="G62" s="747" t="e">
        <f t="shared" ref="G62:G63" si="53">E62/F62</f>
        <v>#DIV/0!</v>
      </c>
      <c r="H62" s="744"/>
      <c r="I62" s="748"/>
      <c r="J62" s="759"/>
      <c r="K62" s="749"/>
      <c r="L62" s="749"/>
      <c r="M62" s="744" t="s">
        <v>741</v>
      </c>
      <c r="O62" s="750">
        <v>1</v>
      </c>
      <c r="P62" s="751"/>
      <c r="Q62" s="752"/>
      <c r="R62" s="753">
        <f t="shared" si="50"/>
        <v>0</v>
      </c>
      <c r="S62" s="753">
        <f t="shared" si="51"/>
        <v>0</v>
      </c>
      <c r="T62" s="754">
        <f t="shared" si="52"/>
        <v>0</v>
      </c>
      <c r="V62" s="751"/>
      <c r="W62" s="751"/>
    </row>
    <row r="63" spans="1:23" ht="16.5" customHeight="1" x14ac:dyDescent="0.25">
      <c r="A63" s="756"/>
      <c r="B63" s="744" t="s">
        <v>210</v>
      </c>
      <c r="C63" s="745">
        <f t="shared" si="48"/>
        <v>0</v>
      </c>
      <c r="D63" s="745">
        <f t="shared" si="48"/>
        <v>0</v>
      </c>
      <c r="E63" s="746">
        <f t="shared" si="46"/>
        <v>0</v>
      </c>
      <c r="F63" s="745">
        <f t="shared" si="49"/>
        <v>0</v>
      </c>
      <c r="G63" s="747" t="e">
        <f t="shared" si="53"/>
        <v>#DIV/0!</v>
      </c>
      <c r="H63" s="744"/>
      <c r="I63" s="748"/>
      <c r="J63" s="759"/>
      <c r="K63" s="749"/>
      <c r="L63" s="749"/>
      <c r="M63" s="744" t="s">
        <v>741</v>
      </c>
      <c r="O63" s="750">
        <v>1</v>
      </c>
      <c r="P63" s="751"/>
      <c r="Q63" s="752"/>
      <c r="R63" s="753">
        <f t="shared" si="50"/>
        <v>0</v>
      </c>
      <c r="S63" s="753">
        <f t="shared" si="51"/>
        <v>0</v>
      </c>
      <c r="T63" s="754">
        <f t="shared" si="52"/>
        <v>0</v>
      </c>
      <c r="V63" s="751"/>
      <c r="W63" s="751"/>
    </row>
    <row r="64" spans="1:23" ht="16.5" customHeight="1" x14ac:dyDescent="0.25">
      <c r="A64" s="756"/>
      <c r="B64" s="744" t="s">
        <v>211</v>
      </c>
      <c r="C64" s="745">
        <f t="shared" si="48"/>
        <v>0</v>
      </c>
      <c r="D64" s="745">
        <f t="shared" si="48"/>
        <v>0</v>
      </c>
      <c r="E64" s="746">
        <f t="shared" si="46"/>
        <v>0</v>
      </c>
      <c r="F64" s="745">
        <f t="shared" si="49"/>
        <v>0</v>
      </c>
      <c r="G64" s="747"/>
      <c r="H64" s="744"/>
      <c r="I64" s="748"/>
      <c r="J64" s="749"/>
      <c r="K64" s="749"/>
      <c r="L64" s="749"/>
      <c r="M64" s="744" t="s">
        <v>741</v>
      </c>
      <c r="O64" s="750">
        <v>1</v>
      </c>
      <c r="P64" s="760"/>
      <c r="Q64" s="761"/>
      <c r="R64" s="766">
        <f t="shared" si="50"/>
        <v>0</v>
      </c>
      <c r="S64" s="766">
        <f t="shared" si="51"/>
        <v>0</v>
      </c>
      <c r="T64" s="762">
        <f t="shared" si="52"/>
        <v>0</v>
      </c>
      <c r="V64" s="760"/>
      <c r="W64" s="760"/>
    </row>
    <row r="65" spans="1:23" ht="16.5" customHeight="1" x14ac:dyDescent="0.25">
      <c r="A65" s="756"/>
      <c r="B65" s="744" t="s">
        <v>742</v>
      </c>
      <c r="C65" s="759"/>
      <c r="D65" s="759"/>
      <c r="E65" s="746"/>
      <c r="F65" s="745"/>
      <c r="G65" s="747"/>
      <c r="H65" s="744"/>
      <c r="I65" s="748"/>
      <c r="J65" s="749"/>
      <c r="K65" s="749"/>
      <c r="L65" s="749"/>
      <c r="M65" s="744" t="s">
        <v>741</v>
      </c>
      <c r="O65" s="750" t="e">
        <f>P65/T65</f>
        <v>#DIV/0!</v>
      </c>
      <c r="P65" s="754">
        <f>SUM(P59:P64)</f>
        <v>0</v>
      </c>
      <c r="Q65" s="750" t="e">
        <f>AVERAGE(Q59:Q64)</f>
        <v>#DIV/0!</v>
      </c>
      <c r="R65" s="753">
        <f>SUM(R59:R64)</f>
        <v>0</v>
      </c>
      <c r="S65" s="753">
        <f>SUM(S59:S64)</f>
        <v>0</v>
      </c>
      <c r="T65" s="754">
        <f>SUM(T59:T64)</f>
        <v>0</v>
      </c>
      <c r="V65" s="754">
        <f>SUM(V59:V64)</f>
        <v>0</v>
      </c>
      <c r="W65" s="754">
        <f>SUM(W59:W64)</f>
        <v>0</v>
      </c>
    </row>
    <row r="66" spans="1:23" x14ac:dyDescent="0.25">
      <c r="B66" s="763" t="s">
        <v>743</v>
      </c>
      <c r="P66" s="764">
        <f>P65-R65-S65</f>
        <v>0</v>
      </c>
    </row>
    <row r="68" spans="1:23" ht="29.25" customHeight="1" x14ac:dyDescent="0.25">
      <c r="A68" s="741" t="s">
        <v>757</v>
      </c>
      <c r="B68" s="742" t="s">
        <v>206</v>
      </c>
      <c r="C68" s="742" t="s">
        <v>724</v>
      </c>
      <c r="D68" s="742" t="s">
        <v>725</v>
      </c>
      <c r="E68" s="742" t="s">
        <v>726</v>
      </c>
      <c r="F68" s="742" t="s">
        <v>727</v>
      </c>
      <c r="G68" s="742" t="s">
        <v>728</v>
      </c>
      <c r="H68" s="743" t="s">
        <v>729</v>
      </c>
      <c r="I68" s="742" t="s">
        <v>730</v>
      </c>
      <c r="J68" s="742" t="s">
        <v>731</v>
      </c>
      <c r="K68" s="742" t="s">
        <v>732</v>
      </c>
      <c r="L68" s="742" t="s">
        <v>733</v>
      </c>
      <c r="M68" s="743" t="s">
        <v>734</v>
      </c>
      <c r="O68" s="733" t="s">
        <v>735</v>
      </c>
      <c r="P68" s="733" t="s">
        <v>736</v>
      </c>
      <c r="Q68" s="733" t="s">
        <v>737</v>
      </c>
      <c r="R68" s="733" t="s">
        <v>738</v>
      </c>
      <c r="S68" s="733" t="s">
        <v>739</v>
      </c>
      <c r="V68" s="733" t="s">
        <v>731</v>
      </c>
      <c r="W68" s="733" t="s">
        <v>740</v>
      </c>
    </row>
    <row r="69" spans="1:23" ht="16.5" customHeight="1" x14ac:dyDescent="0.25">
      <c r="A69" s="741"/>
      <c r="B69" s="744" t="s">
        <v>207</v>
      </c>
      <c r="C69" s="745">
        <f>R69</f>
        <v>0</v>
      </c>
      <c r="D69" s="745">
        <f>S69</f>
        <v>0</v>
      </c>
      <c r="E69" s="746">
        <f t="shared" ref="E69:E71" si="54">SUM(C69:D69)</f>
        <v>0</v>
      </c>
      <c r="F69" s="745">
        <f t="shared" ref="F69:F74" si="55">T69</f>
        <v>0</v>
      </c>
      <c r="G69" s="747" t="e">
        <f t="shared" ref="G69:G70" si="56">E69/F69</f>
        <v>#DIV/0!</v>
      </c>
      <c r="H69" s="744"/>
      <c r="I69" s="748"/>
      <c r="J69" s="749"/>
      <c r="K69" s="749"/>
      <c r="L69" s="749"/>
      <c r="M69" s="744" t="s">
        <v>741</v>
      </c>
      <c r="O69" s="750">
        <v>1</v>
      </c>
      <c r="P69" s="751"/>
      <c r="Q69" s="752"/>
      <c r="R69" s="753">
        <f>P69-S69</f>
        <v>0</v>
      </c>
      <c r="S69" s="753">
        <f>P69*Q69</f>
        <v>0</v>
      </c>
      <c r="T69" s="754">
        <f>P69/O69</f>
        <v>0</v>
      </c>
      <c r="V69" s="751"/>
      <c r="W69" s="751"/>
    </row>
    <row r="70" spans="1:23" ht="16.5" customHeight="1" x14ac:dyDescent="0.25">
      <c r="A70" s="741"/>
      <c r="B70" s="744" t="s">
        <v>219</v>
      </c>
      <c r="C70" s="745">
        <f t="shared" ref="C70:D74" si="57">R70</f>
        <v>0</v>
      </c>
      <c r="D70" s="745">
        <f t="shared" si="57"/>
        <v>0</v>
      </c>
      <c r="E70" s="746">
        <f t="shared" si="54"/>
        <v>0</v>
      </c>
      <c r="F70" s="745">
        <f t="shared" si="55"/>
        <v>0</v>
      </c>
      <c r="G70" s="747" t="e">
        <f t="shared" si="56"/>
        <v>#DIV/0!</v>
      </c>
      <c r="H70" s="744"/>
      <c r="I70" s="748"/>
      <c r="J70" s="749"/>
      <c r="K70" s="755">
        <f>W70</f>
        <v>0</v>
      </c>
      <c r="L70" s="749"/>
      <c r="M70" s="744" t="s">
        <v>741</v>
      </c>
      <c r="O70" s="750">
        <v>1</v>
      </c>
      <c r="P70" s="751"/>
      <c r="Q70" s="752">
        <v>0</v>
      </c>
      <c r="R70" s="753">
        <f>P70-S70</f>
        <v>0</v>
      </c>
      <c r="S70" s="753">
        <f>P70*Q70</f>
        <v>0</v>
      </c>
      <c r="T70" s="754">
        <f>P70/O70</f>
        <v>0</v>
      </c>
      <c r="V70" s="751"/>
      <c r="W70" s="751"/>
    </row>
    <row r="71" spans="1:23" ht="16.5" customHeight="1" x14ac:dyDescent="0.25">
      <c r="A71" s="756"/>
      <c r="B71" s="744" t="s">
        <v>208</v>
      </c>
      <c r="C71" s="745">
        <f t="shared" si="57"/>
        <v>0</v>
      </c>
      <c r="D71" s="745">
        <f t="shared" si="57"/>
        <v>0</v>
      </c>
      <c r="E71" s="746">
        <f t="shared" si="54"/>
        <v>0</v>
      </c>
      <c r="F71" s="745">
        <f t="shared" si="55"/>
        <v>0</v>
      </c>
      <c r="G71" s="757"/>
      <c r="H71" s="744"/>
      <c r="I71" s="758"/>
      <c r="J71" s="749"/>
      <c r="K71" s="749"/>
      <c r="L71" s="749"/>
      <c r="M71" s="744" t="s">
        <v>741</v>
      </c>
      <c r="O71" s="750">
        <v>1</v>
      </c>
      <c r="P71" s="751"/>
      <c r="Q71" s="752"/>
      <c r="R71" s="753">
        <f t="shared" ref="R71:R74" si="58">P71-S71</f>
        <v>0</v>
      </c>
      <c r="S71" s="753">
        <f t="shared" ref="S71:S74" si="59">P71*Q71</f>
        <v>0</v>
      </c>
      <c r="T71" s="754">
        <f t="shared" ref="T71:T74" si="60">P71/O71</f>
        <v>0</v>
      </c>
      <c r="V71" s="751"/>
      <c r="W71" s="751"/>
    </row>
    <row r="72" spans="1:23" ht="16.5" customHeight="1" x14ac:dyDescent="0.25">
      <c r="A72" s="756"/>
      <c r="B72" s="744" t="s">
        <v>209</v>
      </c>
      <c r="C72" s="745">
        <f t="shared" si="57"/>
        <v>0</v>
      </c>
      <c r="D72" s="745">
        <f t="shared" si="57"/>
        <v>0</v>
      </c>
      <c r="E72" s="746">
        <f t="shared" ref="E72:E73" si="61">SUM(C72:D72)</f>
        <v>0</v>
      </c>
      <c r="F72" s="745">
        <f t="shared" si="55"/>
        <v>0</v>
      </c>
      <c r="G72" s="747" t="e">
        <f t="shared" ref="G72:G73" si="62">E72/F72</f>
        <v>#DIV/0!</v>
      </c>
      <c r="H72" s="744"/>
      <c r="I72" s="748"/>
      <c r="J72" s="759"/>
      <c r="K72" s="749"/>
      <c r="L72" s="749"/>
      <c r="M72" s="744" t="s">
        <v>741</v>
      </c>
      <c r="O72" s="750">
        <v>1</v>
      </c>
      <c r="P72" s="751"/>
      <c r="Q72" s="752"/>
      <c r="R72" s="753">
        <f t="shared" si="58"/>
        <v>0</v>
      </c>
      <c r="S72" s="753">
        <f t="shared" si="59"/>
        <v>0</v>
      </c>
      <c r="T72" s="754">
        <f t="shared" si="60"/>
        <v>0</v>
      </c>
      <c r="V72" s="751"/>
      <c r="W72" s="751"/>
    </row>
    <row r="73" spans="1:23" ht="16.5" customHeight="1" x14ac:dyDescent="0.25">
      <c r="A73" s="756"/>
      <c r="B73" s="744" t="s">
        <v>210</v>
      </c>
      <c r="C73" s="745">
        <f t="shared" si="57"/>
        <v>0</v>
      </c>
      <c r="D73" s="745">
        <f t="shared" si="57"/>
        <v>0</v>
      </c>
      <c r="E73" s="746">
        <f t="shared" si="61"/>
        <v>0</v>
      </c>
      <c r="F73" s="745">
        <f t="shared" si="55"/>
        <v>0</v>
      </c>
      <c r="G73" s="747" t="e">
        <f t="shared" si="62"/>
        <v>#DIV/0!</v>
      </c>
      <c r="H73" s="744"/>
      <c r="I73" s="748"/>
      <c r="J73" s="759"/>
      <c r="K73" s="755">
        <f>W73</f>
        <v>0</v>
      </c>
      <c r="L73" s="749"/>
      <c r="M73" s="744" t="s">
        <v>741</v>
      </c>
      <c r="O73" s="750">
        <v>1</v>
      </c>
      <c r="P73" s="751"/>
      <c r="Q73" s="752">
        <v>0</v>
      </c>
      <c r="R73" s="753">
        <f t="shared" si="58"/>
        <v>0</v>
      </c>
      <c r="S73" s="753">
        <f t="shared" si="59"/>
        <v>0</v>
      </c>
      <c r="T73" s="754">
        <f t="shared" si="60"/>
        <v>0</v>
      </c>
      <c r="V73" s="751"/>
      <c r="W73" s="751"/>
    </row>
    <row r="74" spans="1:23" ht="16.5" customHeight="1" x14ac:dyDescent="0.25">
      <c r="A74" s="756"/>
      <c r="B74" s="744" t="s">
        <v>211</v>
      </c>
      <c r="C74" s="745">
        <f t="shared" si="57"/>
        <v>0</v>
      </c>
      <c r="D74" s="745">
        <f t="shared" si="57"/>
        <v>0</v>
      </c>
      <c r="E74" s="746"/>
      <c r="F74" s="745">
        <f t="shared" si="55"/>
        <v>0</v>
      </c>
      <c r="G74" s="747"/>
      <c r="H74" s="744"/>
      <c r="I74" s="748"/>
      <c r="J74" s="749"/>
      <c r="K74" s="749"/>
      <c r="L74" s="749"/>
      <c r="M74" s="744" t="s">
        <v>741</v>
      </c>
      <c r="O74" s="750">
        <v>1</v>
      </c>
      <c r="P74" s="760"/>
      <c r="Q74" s="761"/>
      <c r="R74" s="766">
        <f t="shared" si="58"/>
        <v>0</v>
      </c>
      <c r="S74" s="766">
        <f t="shared" si="59"/>
        <v>0</v>
      </c>
      <c r="T74" s="762">
        <f t="shared" si="60"/>
        <v>0</v>
      </c>
      <c r="V74" s="760"/>
      <c r="W74" s="760"/>
    </row>
    <row r="75" spans="1:23" ht="16.5" customHeight="1" x14ac:dyDescent="0.25">
      <c r="A75" s="756"/>
      <c r="B75" s="744" t="s">
        <v>742</v>
      </c>
      <c r="C75" s="759"/>
      <c r="D75" s="759"/>
      <c r="E75" s="746"/>
      <c r="F75" s="745"/>
      <c r="G75" s="747"/>
      <c r="H75" s="744"/>
      <c r="I75" s="748"/>
      <c r="J75" s="749"/>
      <c r="K75" s="749"/>
      <c r="L75" s="749"/>
      <c r="M75" s="744" t="s">
        <v>741</v>
      </c>
      <c r="O75" s="750" t="e">
        <f>P75/T75</f>
        <v>#DIV/0!</v>
      </c>
      <c r="P75" s="754">
        <f>SUM(P69:P74)</f>
        <v>0</v>
      </c>
      <c r="Q75" s="750">
        <f>AVERAGE(Q69:Q74)</f>
        <v>0</v>
      </c>
      <c r="R75" s="753">
        <f>SUM(R69:R74)</f>
        <v>0</v>
      </c>
      <c r="S75" s="753">
        <f>SUM(S69:S74)</f>
        <v>0</v>
      </c>
      <c r="T75" s="754">
        <f>SUM(T69:T74)</f>
        <v>0</v>
      </c>
      <c r="V75" s="754">
        <f>SUM(V69:V74)</f>
        <v>0</v>
      </c>
      <c r="W75" s="754">
        <f>SUM(W69:W74)</f>
        <v>0</v>
      </c>
    </row>
    <row r="76" spans="1:23" x14ac:dyDescent="0.25">
      <c r="B76" s="763" t="s">
        <v>743</v>
      </c>
      <c r="P76" s="764">
        <f>P75-R75-S75</f>
        <v>0</v>
      </c>
    </row>
    <row r="78" spans="1:23" ht="33.75" x14ac:dyDescent="0.25">
      <c r="A78" s="741" t="s">
        <v>758</v>
      </c>
      <c r="B78" s="742" t="s">
        <v>206</v>
      </c>
      <c r="C78" s="742" t="s">
        <v>724</v>
      </c>
      <c r="D78" s="742" t="s">
        <v>725</v>
      </c>
      <c r="E78" s="742" t="s">
        <v>726</v>
      </c>
      <c r="F78" s="742" t="s">
        <v>727</v>
      </c>
      <c r="G78" s="742" t="s">
        <v>728</v>
      </c>
      <c r="H78" s="743" t="s">
        <v>729</v>
      </c>
      <c r="I78" s="742" t="s">
        <v>730</v>
      </c>
      <c r="J78" s="742" t="s">
        <v>731</v>
      </c>
      <c r="K78" s="742" t="s">
        <v>732</v>
      </c>
      <c r="L78" s="742" t="s">
        <v>733</v>
      </c>
      <c r="M78" s="743" t="s">
        <v>734</v>
      </c>
      <c r="O78" s="733" t="s">
        <v>735</v>
      </c>
      <c r="P78" s="733" t="s">
        <v>736</v>
      </c>
      <c r="Q78" s="733" t="s">
        <v>737</v>
      </c>
      <c r="R78" s="733" t="s">
        <v>738</v>
      </c>
      <c r="S78" s="733" t="s">
        <v>739</v>
      </c>
      <c r="V78" s="733" t="s">
        <v>731</v>
      </c>
      <c r="W78" s="733" t="s">
        <v>740</v>
      </c>
    </row>
    <row r="79" spans="1:23" x14ac:dyDescent="0.25">
      <c r="A79" s="741"/>
      <c r="B79" s="744" t="s">
        <v>207</v>
      </c>
      <c r="C79" s="745">
        <f>R79</f>
        <v>0</v>
      </c>
      <c r="D79" s="745">
        <f>S79</f>
        <v>0</v>
      </c>
      <c r="E79" s="746">
        <f t="shared" ref="E79:E81" si="63">SUM(C79:D79)</f>
        <v>0</v>
      </c>
      <c r="F79" s="745">
        <f t="shared" ref="F79:F84" si="64">T79</f>
        <v>0</v>
      </c>
      <c r="G79" s="747" t="e">
        <f t="shared" ref="G79:G80" si="65">E79/F79</f>
        <v>#DIV/0!</v>
      </c>
      <c r="H79" s="744"/>
      <c r="I79" s="748"/>
      <c r="J79" s="749"/>
      <c r="K79" s="749"/>
      <c r="L79" s="749"/>
      <c r="M79" s="744" t="s">
        <v>741</v>
      </c>
      <c r="O79" s="750">
        <v>1</v>
      </c>
      <c r="P79" s="751"/>
      <c r="Q79" s="752"/>
      <c r="R79" s="753">
        <f>P79-S79</f>
        <v>0</v>
      </c>
      <c r="S79" s="753">
        <f>P79*Q79</f>
        <v>0</v>
      </c>
      <c r="T79" s="754">
        <f>P79/O79</f>
        <v>0</v>
      </c>
      <c r="V79" s="751"/>
      <c r="W79" s="751"/>
    </row>
    <row r="80" spans="1:23" x14ac:dyDescent="0.25">
      <c r="A80" s="741"/>
      <c r="B80" s="744" t="s">
        <v>219</v>
      </c>
      <c r="C80" s="745">
        <f t="shared" ref="C80:D84" si="66">R80</f>
        <v>0</v>
      </c>
      <c r="D80" s="745">
        <f t="shared" si="66"/>
        <v>0</v>
      </c>
      <c r="E80" s="746">
        <f t="shared" si="63"/>
        <v>0</v>
      </c>
      <c r="F80" s="745">
        <f t="shared" si="64"/>
        <v>0</v>
      </c>
      <c r="G80" s="747" t="e">
        <f t="shared" si="65"/>
        <v>#DIV/0!</v>
      </c>
      <c r="H80" s="744"/>
      <c r="I80" s="748"/>
      <c r="J80" s="749"/>
      <c r="K80" s="755">
        <f>W80</f>
        <v>0</v>
      </c>
      <c r="L80" s="749"/>
      <c r="M80" s="744" t="s">
        <v>741</v>
      </c>
      <c r="O80" s="750">
        <v>1</v>
      </c>
      <c r="P80" s="751"/>
      <c r="Q80" s="752"/>
      <c r="R80" s="753">
        <f>P80-S80</f>
        <v>0</v>
      </c>
      <c r="S80" s="753">
        <f>P80*Q80</f>
        <v>0</v>
      </c>
      <c r="T80" s="754">
        <f>P80/O80</f>
        <v>0</v>
      </c>
      <c r="V80" s="751"/>
      <c r="W80" s="751"/>
    </row>
    <row r="81" spans="1:23" x14ac:dyDescent="0.25">
      <c r="A81" s="756"/>
      <c r="B81" s="744" t="s">
        <v>208</v>
      </c>
      <c r="C81" s="745">
        <f t="shared" si="66"/>
        <v>0</v>
      </c>
      <c r="D81" s="745">
        <f t="shared" si="66"/>
        <v>0</v>
      </c>
      <c r="E81" s="746">
        <f t="shared" si="63"/>
        <v>0</v>
      </c>
      <c r="F81" s="745">
        <f t="shared" si="64"/>
        <v>0</v>
      </c>
      <c r="G81" s="757"/>
      <c r="H81" s="744"/>
      <c r="I81" s="758"/>
      <c r="J81" s="749"/>
      <c r="K81" s="749"/>
      <c r="L81" s="749"/>
      <c r="M81" s="744" t="s">
        <v>741</v>
      </c>
      <c r="O81" s="750">
        <v>1</v>
      </c>
      <c r="P81" s="751"/>
      <c r="Q81" s="752"/>
      <c r="R81" s="753">
        <f t="shared" ref="R81:R84" si="67">P81-S81</f>
        <v>0</v>
      </c>
      <c r="S81" s="753">
        <f t="shared" ref="S81:S84" si="68">P81*Q81</f>
        <v>0</v>
      </c>
      <c r="T81" s="754">
        <f t="shared" ref="T81:T84" si="69">P81/O81</f>
        <v>0</v>
      </c>
      <c r="V81" s="751"/>
      <c r="W81" s="751"/>
    </row>
    <row r="82" spans="1:23" x14ac:dyDescent="0.25">
      <c r="A82" s="756"/>
      <c r="B82" s="744" t="s">
        <v>209</v>
      </c>
      <c r="C82" s="745">
        <f t="shared" si="66"/>
        <v>0</v>
      </c>
      <c r="D82" s="745">
        <f t="shared" si="66"/>
        <v>0</v>
      </c>
      <c r="E82" s="746">
        <f t="shared" ref="E82:E83" si="70">SUM(C82:D82)</f>
        <v>0</v>
      </c>
      <c r="F82" s="745">
        <f t="shared" si="64"/>
        <v>0</v>
      </c>
      <c r="G82" s="747" t="e">
        <f t="shared" ref="G82:G83" si="71">E82/F82</f>
        <v>#DIV/0!</v>
      </c>
      <c r="H82" s="744"/>
      <c r="I82" s="748"/>
      <c r="J82" s="759"/>
      <c r="K82" s="749"/>
      <c r="L82" s="749"/>
      <c r="M82" s="744" t="s">
        <v>741</v>
      </c>
      <c r="O82" s="750">
        <v>1</v>
      </c>
      <c r="P82" s="751"/>
      <c r="Q82" s="752"/>
      <c r="R82" s="753">
        <f t="shared" si="67"/>
        <v>0</v>
      </c>
      <c r="S82" s="753">
        <f t="shared" si="68"/>
        <v>0</v>
      </c>
      <c r="T82" s="754">
        <f t="shared" si="69"/>
        <v>0</v>
      </c>
      <c r="V82" s="751"/>
      <c r="W82" s="751"/>
    </row>
    <row r="83" spans="1:23" x14ac:dyDescent="0.25">
      <c r="A83" s="756"/>
      <c r="B83" s="744" t="s">
        <v>210</v>
      </c>
      <c r="C83" s="745">
        <f t="shared" si="66"/>
        <v>0</v>
      </c>
      <c r="D83" s="745">
        <f t="shared" si="66"/>
        <v>0</v>
      </c>
      <c r="E83" s="746">
        <f t="shared" si="70"/>
        <v>0</v>
      </c>
      <c r="F83" s="745">
        <f t="shared" si="64"/>
        <v>0</v>
      </c>
      <c r="G83" s="747" t="e">
        <f t="shared" si="71"/>
        <v>#DIV/0!</v>
      </c>
      <c r="H83" s="744"/>
      <c r="I83" s="748"/>
      <c r="J83" s="759"/>
      <c r="K83" s="755">
        <f>W83</f>
        <v>0</v>
      </c>
      <c r="L83" s="749"/>
      <c r="M83" s="744" t="s">
        <v>741</v>
      </c>
      <c r="O83" s="750">
        <v>1</v>
      </c>
      <c r="P83" s="751"/>
      <c r="Q83" s="752"/>
      <c r="R83" s="753">
        <f t="shared" si="67"/>
        <v>0</v>
      </c>
      <c r="S83" s="753">
        <f t="shared" si="68"/>
        <v>0</v>
      </c>
      <c r="T83" s="754">
        <f t="shared" si="69"/>
        <v>0</v>
      </c>
      <c r="V83" s="751"/>
      <c r="W83" s="751"/>
    </row>
    <row r="84" spans="1:23" x14ac:dyDescent="0.25">
      <c r="A84" s="756"/>
      <c r="B84" s="744" t="s">
        <v>211</v>
      </c>
      <c r="C84" s="745">
        <f t="shared" si="66"/>
        <v>0</v>
      </c>
      <c r="D84" s="745">
        <f t="shared" si="66"/>
        <v>0</v>
      </c>
      <c r="E84" s="746"/>
      <c r="F84" s="745">
        <f t="shared" si="64"/>
        <v>0</v>
      </c>
      <c r="G84" s="747"/>
      <c r="H84" s="744"/>
      <c r="I84" s="748"/>
      <c r="J84" s="749"/>
      <c r="K84" s="749"/>
      <c r="L84" s="749"/>
      <c r="M84" s="744" t="s">
        <v>741</v>
      </c>
      <c r="O84" s="750">
        <v>1</v>
      </c>
      <c r="P84" s="760"/>
      <c r="Q84" s="761"/>
      <c r="R84" s="766">
        <f t="shared" si="67"/>
        <v>0</v>
      </c>
      <c r="S84" s="766">
        <f t="shared" si="68"/>
        <v>0</v>
      </c>
      <c r="T84" s="762">
        <f t="shared" si="69"/>
        <v>0</v>
      </c>
      <c r="V84" s="760"/>
      <c r="W84" s="760"/>
    </row>
    <row r="85" spans="1:23" x14ac:dyDescent="0.25">
      <c r="A85" s="756"/>
      <c r="B85" s="744" t="s">
        <v>742</v>
      </c>
      <c r="C85" s="759"/>
      <c r="D85" s="759"/>
      <c r="E85" s="746"/>
      <c r="F85" s="745"/>
      <c r="G85" s="747"/>
      <c r="H85" s="744"/>
      <c r="I85" s="748"/>
      <c r="J85" s="749"/>
      <c r="K85" s="749"/>
      <c r="L85" s="749"/>
      <c r="M85" s="744" t="s">
        <v>741</v>
      </c>
      <c r="O85" s="750" t="e">
        <f>P85/T85</f>
        <v>#DIV/0!</v>
      </c>
      <c r="P85" s="754">
        <f>SUM(P79:P84)</f>
        <v>0</v>
      </c>
      <c r="Q85" s="750" t="e">
        <f>AVERAGE(Q79:Q84)</f>
        <v>#DIV/0!</v>
      </c>
      <c r="R85" s="753">
        <f>SUM(R79:R84)</f>
        <v>0</v>
      </c>
      <c r="S85" s="753">
        <f>SUM(S79:S84)</f>
        <v>0</v>
      </c>
      <c r="T85" s="754">
        <f>SUM(T79:T84)</f>
        <v>0</v>
      </c>
      <c r="V85" s="754">
        <f>SUM(V79:V84)</f>
        <v>0</v>
      </c>
      <c r="W85" s="754">
        <f>SUM(W79:W84)</f>
        <v>0</v>
      </c>
    </row>
    <row r="86" spans="1:23" x14ac:dyDescent="0.25">
      <c r="B86" s="763" t="s">
        <v>743</v>
      </c>
      <c r="P86" s="764">
        <f>P85-R85-S85</f>
        <v>0</v>
      </c>
    </row>
    <row r="88" spans="1:23" ht="33.75" x14ac:dyDescent="0.25">
      <c r="A88" s="741" t="s">
        <v>759</v>
      </c>
      <c r="B88" s="742" t="s">
        <v>206</v>
      </c>
      <c r="C88" s="742" t="s">
        <v>724</v>
      </c>
      <c r="D88" s="742" t="s">
        <v>725</v>
      </c>
      <c r="E88" s="742" t="s">
        <v>726</v>
      </c>
      <c r="F88" s="742" t="s">
        <v>727</v>
      </c>
      <c r="G88" s="742" t="s">
        <v>728</v>
      </c>
      <c r="H88" s="743" t="s">
        <v>729</v>
      </c>
      <c r="I88" s="742" t="s">
        <v>730</v>
      </c>
      <c r="J88" s="742" t="s">
        <v>731</v>
      </c>
      <c r="K88" s="742" t="s">
        <v>732</v>
      </c>
      <c r="L88" s="742" t="s">
        <v>733</v>
      </c>
      <c r="M88" s="743" t="s">
        <v>734</v>
      </c>
      <c r="O88" s="733" t="s">
        <v>735</v>
      </c>
      <c r="P88" s="733" t="s">
        <v>736</v>
      </c>
      <c r="Q88" s="733" t="s">
        <v>737</v>
      </c>
      <c r="R88" s="733" t="s">
        <v>738</v>
      </c>
      <c r="S88" s="733" t="s">
        <v>739</v>
      </c>
      <c r="V88" s="733" t="s">
        <v>731</v>
      </c>
      <c r="W88" s="733" t="s">
        <v>740</v>
      </c>
    </row>
    <row r="89" spans="1:23" x14ac:dyDescent="0.25">
      <c r="A89" s="741"/>
      <c r="B89" s="744" t="s">
        <v>207</v>
      </c>
      <c r="C89" s="745">
        <f>R89</f>
        <v>0</v>
      </c>
      <c r="D89" s="745">
        <f>S89</f>
        <v>0</v>
      </c>
      <c r="E89" s="746">
        <f t="shared" ref="E89:E91" si="72">SUM(C89:D89)</f>
        <v>0</v>
      </c>
      <c r="F89" s="745">
        <f t="shared" ref="F89:F94" si="73">T89</f>
        <v>0</v>
      </c>
      <c r="G89" s="747" t="e">
        <f t="shared" ref="G89:G90" si="74">E89/F89</f>
        <v>#DIV/0!</v>
      </c>
      <c r="H89" s="744"/>
      <c r="I89" s="748"/>
      <c r="J89" s="749"/>
      <c r="K89" s="749"/>
      <c r="L89" s="749"/>
      <c r="M89" s="744" t="s">
        <v>741</v>
      </c>
      <c r="O89" s="750">
        <v>1</v>
      </c>
      <c r="P89" s="751"/>
      <c r="Q89" s="752"/>
      <c r="R89" s="753">
        <f>P89-S89</f>
        <v>0</v>
      </c>
      <c r="S89" s="753">
        <f>P89*Q89</f>
        <v>0</v>
      </c>
      <c r="T89" s="754">
        <f>P89/O89</f>
        <v>0</v>
      </c>
      <c r="V89" s="751"/>
      <c r="W89" s="751"/>
    </row>
    <row r="90" spans="1:23" x14ac:dyDescent="0.25">
      <c r="A90" s="741"/>
      <c r="B90" s="744" t="s">
        <v>219</v>
      </c>
      <c r="C90" s="745">
        <f t="shared" ref="C90:D94" si="75">R90</f>
        <v>0</v>
      </c>
      <c r="D90" s="745">
        <f t="shared" si="75"/>
        <v>0</v>
      </c>
      <c r="E90" s="746">
        <f t="shared" si="72"/>
        <v>0</v>
      </c>
      <c r="F90" s="745">
        <f t="shared" si="73"/>
        <v>0</v>
      </c>
      <c r="G90" s="747" t="e">
        <f t="shared" si="74"/>
        <v>#DIV/0!</v>
      </c>
      <c r="H90" s="744"/>
      <c r="I90" s="748"/>
      <c r="J90" s="749"/>
      <c r="K90" s="755">
        <f>W90</f>
        <v>0</v>
      </c>
      <c r="L90" s="749"/>
      <c r="M90" s="744" t="s">
        <v>741</v>
      </c>
      <c r="O90" s="750">
        <v>1</v>
      </c>
      <c r="P90" s="751"/>
      <c r="Q90" s="752">
        <v>0</v>
      </c>
      <c r="R90" s="753">
        <f>P90-S90</f>
        <v>0</v>
      </c>
      <c r="S90" s="753">
        <f>P90*Q90</f>
        <v>0</v>
      </c>
      <c r="T90" s="754">
        <f>P90/O90</f>
        <v>0</v>
      </c>
      <c r="V90" s="751"/>
      <c r="W90" s="751"/>
    </row>
    <row r="91" spans="1:23" x14ac:dyDescent="0.25">
      <c r="A91" s="756"/>
      <c r="B91" s="744" t="s">
        <v>208</v>
      </c>
      <c r="C91" s="745">
        <f t="shared" si="75"/>
        <v>0</v>
      </c>
      <c r="D91" s="745">
        <f t="shared" si="75"/>
        <v>0</v>
      </c>
      <c r="E91" s="746">
        <f t="shared" si="72"/>
        <v>0</v>
      </c>
      <c r="F91" s="745">
        <f t="shared" si="73"/>
        <v>0</v>
      </c>
      <c r="G91" s="757"/>
      <c r="H91" s="744"/>
      <c r="I91" s="758"/>
      <c r="J91" s="749"/>
      <c r="K91" s="749"/>
      <c r="L91" s="749"/>
      <c r="M91" s="744" t="s">
        <v>741</v>
      </c>
      <c r="O91" s="750">
        <v>1</v>
      </c>
      <c r="P91" s="751"/>
      <c r="Q91" s="752"/>
      <c r="R91" s="753">
        <f t="shared" ref="R91:R94" si="76">P91-S91</f>
        <v>0</v>
      </c>
      <c r="S91" s="753">
        <f t="shared" ref="S91:S94" si="77">P91*Q91</f>
        <v>0</v>
      </c>
      <c r="T91" s="754">
        <f t="shared" ref="T91:T94" si="78">P91/O91</f>
        <v>0</v>
      </c>
      <c r="V91" s="751"/>
      <c r="W91" s="751"/>
    </row>
    <row r="92" spans="1:23" x14ac:dyDescent="0.25">
      <c r="A92" s="756"/>
      <c r="B92" s="744" t="s">
        <v>209</v>
      </c>
      <c r="C92" s="745">
        <f t="shared" si="75"/>
        <v>0</v>
      </c>
      <c r="D92" s="745">
        <f t="shared" si="75"/>
        <v>0</v>
      </c>
      <c r="E92" s="746">
        <f t="shared" ref="E92:E93" si="79">SUM(C92:D92)</f>
        <v>0</v>
      </c>
      <c r="F92" s="745">
        <f t="shared" si="73"/>
        <v>0</v>
      </c>
      <c r="G92" s="747" t="e">
        <f t="shared" ref="G92:G93" si="80">E92/F92</f>
        <v>#DIV/0!</v>
      </c>
      <c r="H92" s="744"/>
      <c r="I92" s="748"/>
      <c r="J92" s="759"/>
      <c r="K92" s="749"/>
      <c r="L92" s="749"/>
      <c r="M92" s="744" t="s">
        <v>741</v>
      </c>
      <c r="O92" s="750">
        <v>1</v>
      </c>
      <c r="P92" s="751"/>
      <c r="Q92" s="752">
        <v>0</v>
      </c>
      <c r="R92" s="753">
        <f t="shared" si="76"/>
        <v>0</v>
      </c>
      <c r="S92" s="753">
        <f t="shared" si="77"/>
        <v>0</v>
      </c>
      <c r="T92" s="754">
        <f t="shared" si="78"/>
        <v>0</v>
      </c>
      <c r="V92" s="751"/>
      <c r="W92" s="751"/>
    </row>
    <row r="93" spans="1:23" x14ac:dyDescent="0.25">
      <c r="A93" s="756"/>
      <c r="B93" s="744" t="s">
        <v>210</v>
      </c>
      <c r="C93" s="745">
        <f t="shared" si="75"/>
        <v>0</v>
      </c>
      <c r="D93" s="745">
        <f t="shared" si="75"/>
        <v>0</v>
      </c>
      <c r="E93" s="746">
        <f t="shared" si="79"/>
        <v>0</v>
      </c>
      <c r="F93" s="745">
        <f t="shared" si="73"/>
        <v>0</v>
      </c>
      <c r="G93" s="747" t="e">
        <f t="shared" si="80"/>
        <v>#DIV/0!</v>
      </c>
      <c r="H93" s="744"/>
      <c r="I93" s="748"/>
      <c r="J93" s="759"/>
      <c r="K93" s="749"/>
      <c r="L93" s="749"/>
      <c r="M93" s="744" t="s">
        <v>741</v>
      </c>
      <c r="O93" s="750">
        <v>1</v>
      </c>
      <c r="P93" s="751"/>
      <c r="Q93" s="752">
        <v>0</v>
      </c>
      <c r="R93" s="753">
        <f t="shared" si="76"/>
        <v>0</v>
      </c>
      <c r="S93" s="753">
        <f t="shared" si="77"/>
        <v>0</v>
      </c>
      <c r="T93" s="754">
        <f t="shared" si="78"/>
        <v>0</v>
      </c>
      <c r="V93" s="751"/>
      <c r="W93" s="751"/>
    </row>
    <row r="94" spans="1:23" x14ac:dyDescent="0.25">
      <c r="A94" s="756"/>
      <c r="B94" s="744" t="s">
        <v>211</v>
      </c>
      <c r="C94" s="745">
        <f t="shared" si="75"/>
        <v>0</v>
      </c>
      <c r="D94" s="745">
        <f t="shared" si="75"/>
        <v>0</v>
      </c>
      <c r="E94" s="746"/>
      <c r="F94" s="745">
        <f t="shared" si="73"/>
        <v>0</v>
      </c>
      <c r="G94" s="747"/>
      <c r="H94" s="744"/>
      <c r="I94" s="748"/>
      <c r="J94" s="749"/>
      <c r="K94" s="749"/>
      <c r="L94" s="749"/>
      <c r="M94" s="744" t="s">
        <v>741</v>
      </c>
      <c r="O94" s="750">
        <v>1</v>
      </c>
      <c r="P94" s="760"/>
      <c r="Q94" s="761"/>
      <c r="R94" s="766">
        <f t="shared" si="76"/>
        <v>0</v>
      </c>
      <c r="S94" s="766">
        <f t="shared" si="77"/>
        <v>0</v>
      </c>
      <c r="T94" s="762">
        <f t="shared" si="78"/>
        <v>0</v>
      </c>
      <c r="V94" s="760"/>
      <c r="W94" s="760"/>
    </row>
    <row r="95" spans="1:23" x14ac:dyDescent="0.25">
      <c r="A95" s="756"/>
      <c r="B95" s="744" t="s">
        <v>742</v>
      </c>
      <c r="C95" s="759"/>
      <c r="D95" s="759"/>
      <c r="E95" s="746"/>
      <c r="F95" s="745"/>
      <c r="G95" s="747"/>
      <c r="H95" s="744"/>
      <c r="I95" s="748"/>
      <c r="J95" s="749"/>
      <c r="K95" s="749"/>
      <c r="L95" s="749"/>
      <c r="M95" s="744" t="s">
        <v>741</v>
      </c>
      <c r="O95" s="750" t="e">
        <f>P95/T95</f>
        <v>#DIV/0!</v>
      </c>
      <c r="P95" s="754">
        <f>SUM(P89:P94)</f>
        <v>0</v>
      </c>
      <c r="Q95" s="750">
        <f>AVERAGE(Q89:Q94)</f>
        <v>0</v>
      </c>
      <c r="R95" s="753">
        <f>SUM(R89:R94)</f>
        <v>0</v>
      </c>
      <c r="S95" s="753">
        <f>SUM(S89:S94)</f>
        <v>0</v>
      </c>
      <c r="T95" s="754">
        <f>SUM(T89:T94)</f>
        <v>0</v>
      </c>
      <c r="V95" s="754">
        <f>SUM(V89:V94)</f>
        <v>0</v>
      </c>
      <c r="W95" s="754">
        <f>SUM(W89:W94)</f>
        <v>0</v>
      </c>
    </row>
    <row r="96" spans="1:23" x14ac:dyDescent="0.25">
      <c r="B96" s="763" t="s">
        <v>743</v>
      </c>
      <c r="P96" s="764">
        <f>P95-R95-S95</f>
        <v>0</v>
      </c>
    </row>
    <row r="98" spans="1:23" ht="33.75" x14ac:dyDescent="0.25">
      <c r="A98" s="741" t="s">
        <v>760</v>
      </c>
      <c r="B98" s="742" t="s">
        <v>206</v>
      </c>
      <c r="C98" s="742" t="s">
        <v>724</v>
      </c>
      <c r="D98" s="742" t="s">
        <v>725</v>
      </c>
      <c r="E98" s="742" t="s">
        <v>726</v>
      </c>
      <c r="F98" s="742" t="s">
        <v>727</v>
      </c>
      <c r="G98" s="742" t="s">
        <v>728</v>
      </c>
      <c r="H98" s="743" t="s">
        <v>729</v>
      </c>
      <c r="I98" s="742" t="s">
        <v>730</v>
      </c>
      <c r="J98" s="742" t="s">
        <v>731</v>
      </c>
      <c r="K98" s="742" t="s">
        <v>732</v>
      </c>
      <c r="L98" s="742" t="s">
        <v>733</v>
      </c>
      <c r="M98" s="743" t="s">
        <v>734</v>
      </c>
      <c r="O98" s="733" t="s">
        <v>735</v>
      </c>
      <c r="P98" s="733" t="s">
        <v>736</v>
      </c>
      <c r="Q98" s="733" t="s">
        <v>737</v>
      </c>
      <c r="R98" s="733" t="s">
        <v>738</v>
      </c>
      <c r="S98" s="733" t="s">
        <v>739</v>
      </c>
      <c r="V98" s="733" t="s">
        <v>731</v>
      </c>
      <c r="W98" s="733" t="s">
        <v>740</v>
      </c>
    </row>
    <row r="99" spans="1:23" x14ac:dyDescent="0.25">
      <c r="A99" s="741"/>
      <c r="B99" s="744" t="s">
        <v>207</v>
      </c>
      <c r="C99" s="745">
        <f>R99</f>
        <v>0</v>
      </c>
      <c r="D99" s="745">
        <f>S99</f>
        <v>0</v>
      </c>
      <c r="E99" s="746">
        <f t="shared" ref="E99:E101" si="81">SUM(C99:D99)</f>
        <v>0</v>
      </c>
      <c r="F99" s="745">
        <f t="shared" ref="F99:F103" si="82">T99</f>
        <v>0</v>
      </c>
      <c r="G99" s="747" t="e">
        <f t="shared" ref="G99:G100" si="83">E99/F99</f>
        <v>#DIV/0!</v>
      </c>
      <c r="H99" s="744"/>
      <c r="I99" s="748"/>
      <c r="J99" s="749"/>
      <c r="K99" s="749"/>
      <c r="L99" s="749"/>
      <c r="M99" s="744" t="s">
        <v>741</v>
      </c>
      <c r="O99" s="750">
        <v>1</v>
      </c>
      <c r="P99" s="751"/>
      <c r="Q99" s="752"/>
      <c r="R99" s="753">
        <f>P99-S99</f>
        <v>0</v>
      </c>
      <c r="S99" s="753">
        <f>P99*Q99</f>
        <v>0</v>
      </c>
      <c r="T99" s="754">
        <f>P99/O99</f>
        <v>0</v>
      </c>
      <c r="V99" s="751"/>
      <c r="W99" s="751"/>
    </row>
    <row r="100" spans="1:23" x14ac:dyDescent="0.25">
      <c r="A100" s="741"/>
      <c r="B100" s="744" t="s">
        <v>219</v>
      </c>
      <c r="C100" s="745">
        <f t="shared" ref="C100:D104" si="84">R100</f>
        <v>0</v>
      </c>
      <c r="D100" s="745">
        <f t="shared" si="84"/>
        <v>0</v>
      </c>
      <c r="E100" s="746">
        <f t="shared" si="81"/>
        <v>0</v>
      </c>
      <c r="F100" s="745">
        <f t="shared" si="82"/>
        <v>0</v>
      </c>
      <c r="G100" s="747" t="e">
        <f t="shared" si="83"/>
        <v>#DIV/0!</v>
      </c>
      <c r="H100" s="744"/>
      <c r="I100" s="748"/>
      <c r="J100" s="749"/>
      <c r="K100" s="759"/>
      <c r="L100" s="749"/>
      <c r="M100" s="744" t="s">
        <v>741</v>
      </c>
      <c r="O100" s="750">
        <v>1</v>
      </c>
      <c r="P100" s="751"/>
      <c r="Q100" s="752">
        <v>0</v>
      </c>
      <c r="R100" s="753">
        <f>P100-S100</f>
        <v>0</v>
      </c>
      <c r="S100" s="753">
        <f>P100*Q100</f>
        <v>0</v>
      </c>
      <c r="T100" s="754">
        <f>P100/O100</f>
        <v>0</v>
      </c>
      <c r="V100" s="751"/>
      <c r="W100" s="751"/>
    </row>
    <row r="101" spans="1:23" x14ac:dyDescent="0.25">
      <c r="A101" s="756"/>
      <c r="B101" s="744" t="s">
        <v>208</v>
      </c>
      <c r="C101" s="745">
        <f t="shared" si="84"/>
        <v>0</v>
      </c>
      <c r="D101" s="745">
        <f t="shared" si="84"/>
        <v>0</v>
      </c>
      <c r="E101" s="746">
        <f t="shared" si="81"/>
        <v>0</v>
      </c>
      <c r="F101" s="745">
        <f t="shared" si="82"/>
        <v>0</v>
      </c>
      <c r="G101" s="757"/>
      <c r="H101" s="744"/>
      <c r="I101" s="758"/>
      <c r="J101" s="749"/>
      <c r="K101" s="749"/>
      <c r="L101" s="749"/>
      <c r="M101" s="744" t="s">
        <v>741</v>
      </c>
      <c r="O101" s="750">
        <v>1</v>
      </c>
      <c r="P101" s="751"/>
      <c r="Q101" s="752"/>
      <c r="R101" s="753">
        <f t="shared" ref="R101:R104" si="85">P101-S101</f>
        <v>0</v>
      </c>
      <c r="S101" s="753">
        <f t="shared" ref="S101:S104" si="86">P101*Q101</f>
        <v>0</v>
      </c>
      <c r="T101" s="754">
        <f t="shared" ref="T101:T104" si="87">P101/O101</f>
        <v>0</v>
      </c>
      <c r="V101" s="751"/>
      <c r="W101" s="751"/>
    </row>
    <row r="102" spans="1:23" x14ac:dyDescent="0.25">
      <c r="A102" s="756"/>
      <c r="B102" s="744" t="s">
        <v>209</v>
      </c>
      <c r="C102" s="745">
        <f t="shared" si="84"/>
        <v>30</v>
      </c>
      <c r="D102" s="745">
        <f t="shared" si="84"/>
        <v>30</v>
      </c>
      <c r="E102" s="746">
        <f t="shared" ref="E102:E103" si="88">SUM(C102:D102)</f>
        <v>60</v>
      </c>
      <c r="F102" s="745">
        <f t="shared" si="82"/>
        <v>60</v>
      </c>
      <c r="G102" s="747">
        <f t="shared" ref="G102:G103" si="89">E102/F102</f>
        <v>1</v>
      </c>
      <c r="H102" s="744"/>
      <c r="I102" s="748"/>
      <c r="J102" s="759"/>
      <c r="K102" s="749"/>
      <c r="L102" s="749"/>
      <c r="M102" s="744" t="s">
        <v>741</v>
      </c>
      <c r="O102" s="750">
        <v>1</v>
      </c>
      <c r="P102" s="751">
        <v>60</v>
      </c>
      <c r="Q102" s="752">
        <v>0.5</v>
      </c>
      <c r="R102" s="753">
        <f t="shared" si="85"/>
        <v>30</v>
      </c>
      <c r="S102" s="753">
        <f t="shared" si="86"/>
        <v>30</v>
      </c>
      <c r="T102" s="754">
        <f t="shared" si="87"/>
        <v>60</v>
      </c>
      <c r="V102" s="751"/>
      <c r="W102" s="751"/>
    </row>
    <row r="103" spans="1:23" x14ac:dyDescent="0.25">
      <c r="A103" s="756"/>
      <c r="B103" s="744" t="s">
        <v>210</v>
      </c>
      <c r="C103" s="745">
        <f t="shared" si="84"/>
        <v>51.5</v>
      </c>
      <c r="D103" s="745">
        <f t="shared" si="84"/>
        <v>51.5</v>
      </c>
      <c r="E103" s="746">
        <f t="shared" si="88"/>
        <v>103</v>
      </c>
      <c r="F103" s="745">
        <f t="shared" si="82"/>
        <v>103</v>
      </c>
      <c r="G103" s="747">
        <f t="shared" si="89"/>
        <v>1</v>
      </c>
      <c r="H103" s="744"/>
      <c r="I103" s="748"/>
      <c r="J103" s="759"/>
      <c r="K103" s="749"/>
      <c r="L103" s="749"/>
      <c r="M103" s="744" t="s">
        <v>741</v>
      </c>
      <c r="O103" s="750">
        <v>1</v>
      </c>
      <c r="P103" s="751">
        <v>103</v>
      </c>
      <c r="Q103" s="752">
        <v>0.5</v>
      </c>
      <c r="R103" s="753">
        <f t="shared" si="85"/>
        <v>51.5</v>
      </c>
      <c r="S103" s="753">
        <f t="shared" si="86"/>
        <v>51.5</v>
      </c>
      <c r="T103" s="754">
        <f t="shared" si="87"/>
        <v>103</v>
      </c>
      <c r="V103" s="751"/>
      <c r="W103" s="751"/>
    </row>
    <row r="104" spans="1:23" x14ac:dyDescent="0.25">
      <c r="A104" s="756"/>
      <c r="B104" s="744" t="s">
        <v>211</v>
      </c>
      <c r="C104" s="745">
        <f t="shared" si="84"/>
        <v>0</v>
      </c>
      <c r="D104" s="745">
        <f t="shared" si="84"/>
        <v>0</v>
      </c>
      <c r="E104" s="746"/>
      <c r="F104" s="745"/>
      <c r="G104" s="747"/>
      <c r="H104" s="744"/>
      <c r="I104" s="748"/>
      <c r="J104" s="749"/>
      <c r="K104" s="749"/>
      <c r="L104" s="749"/>
      <c r="M104" s="744" t="s">
        <v>741</v>
      </c>
      <c r="O104" s="750">
        <v>1</v>
      </c>
      <c r="P104" s="760"/>
      <c r="Q104" s="761"/>
      <c r="R104" s="766">
        <f t="shared" si="85"/>
        <v>0</v>
      </c>
      <c r="S104" s="766">
        <f t="shared" si="86"/>
        <v>0</v>
      </c>
      <c r="T104" s="762">
        <f t="shared" si="87"/>
        <v>0</v>
      </c>
      <c r="V104" s="760"/>
      <c r="W104" s="760"/>
    </row>
    <row r="105" spans="1:23" x14ac:dyDescent="0.25">
      <c r="A105" s="756"/>
      <c r="B105" s="744" t="s">
        <v>742</v>
      </c>
      <c r="C105" s="759"/>
      <c r="D105" s="759"/>
      <c r="E105" s="746"/>
      <c r="F105" s="745"/>
      <c r="G105" s="747"/>
      <c r="H105" s="744"/>
      <c r="I105" s="748"/>
      <c r="J105" s="749"/>
      <c r="K105" s="749"/>
      <c r="L105" s="749"/>
      <c r="M105" s="744" t="s">
        <v>741</v>
      </c>
      <c r="O105" s="750">
        <f>P105/T105</f>
        <v>1</v>
      </c>
      <c r="P105" s="754">
        <f>SUM(P99:P104)</f>
        <v>163</v>
      </c>
      <c r="Q105" s="750">
        <f>AVERAGE(Q99:Q104)</f>
        <v>0.33333333333333331</v>
      </c>
      <c r="R105" s="753">
        <f>SUM(R99:R104)</f>
        <v>81.5</v>
      </c>
      <c r="S105" s="753">
        <f>SUM(S99:S104)</f>
        <v>81.5</v>
      </c>
      <c r="T105" s="754">
        <f>SUM(T99:T104)</f>
        <v>163</v>
      </c>
      <c r="V105" s="754">
        <f>SUM(V99:V104)</f>
        <v>0</v>
      </c>
      <c r="W105" s="754">
        <f>SUM(W99:W104)</f>
        <v>0</v>
      </c>
    </row>
    <row r="106" spans="1:23" x14ac:dyDescent="0.25">
      <c r="B106" s="763" t="s">
        <v>743</v>
      </c>
      <c r="P106" s="764">
        <f>P105-R105-S105</f>
        <v>0</v>
      </c>
    </row>
    <row r="108" spans="1:23" ht="33.75" x14ac:dyDescent="0.25">
      <c r="A108" s="741" t="s">
        <v>761</v>
      </c>
      <c r="B108" s="742" t="s">
        <v>206</v>
      </c>
      <c r="C108" s="742" t="s">
        <v>724</v>
      </c>
      <c r="D108" s="742" t="s">
        <v>725</v>
      </c>
      <c r="E108" s="742" t="s">
        <v>726</v>
      </c>
      <c r="F108" s="742" t="s">
        <v>727</v>
      </c>
      <c r="G108" s="742" t="s">
        <v>728</v>
      </c>
      <c r="H108" s="743" t="s">
        <v>729</v>
      </c>
      <c r="I108" s="742" t="s">
        <v>730</v>
      </c>
      <c r="J108" s="742" t="s">
        <v>731</v>
      </c>
      <c r="K108" s="742" t="s">
        <v>732</v>
      </c>
      <c r="L108" s="742" t="s">
        <v>733</v>
      </c>
      <c r="M108" s="743" t="s">
        <v>734</v>
      </c>
      <c r="O108" s="733" t="s">
        <v>735</v>
      </c>
      <c r="P108" s="733" t="s">
        <v>736</v>
      </c>
      <c r="Q108" s="733" t="s">
        <v>737</v>
      </c>
      <c r="R108" s="733" t="s">
        <v>738</v>
      </c>
      <c r="S108" s="733" t="s">
        <v>739</v>
      </c>
      <c r="V108" s="733" t="s">
        <v>731</v>
      </c>
      <c r="W108" s="733" t="s">
        <v>740</v>
      </c>
    </row>
    <row r="109" spans="1:23" x14ac:dyDescent="0.25">
      <c r="A109" s="741"/>
      <c r="B109" s="744" t="s">
        <v>207</v>
      </c>
      <c r="C109" s="745">
        <f>R109</f>
        <v>0</v>
      </c>
      <c r="D109" s="745">
        <f>S109</f>
        <v>0</v>
      </c>
      <c r="E109" s="746">
        <f t="shared" ref="E109:E111" si="90">SUM(C109:D109)</f>
        <v>0</v>
      </c>
      <c r="F109" s="745">
        <f t="shared" ref="F109:F113" si="91">T109</f>
        <v>0</v>
      </c>
      <c r="G109" s="747" t="e">
        <f t="shared" ref="G109:G110" si="92">E109/F109</f>
        <v>#DIV/0!</v>
      </c>
      <c r="H109" s="744"/>
      <c r="I109" s="748"/>
      <c r="J109" s="749"/>
      <c r="K109" s="749"/>
      <c r="L109" s="749"/>
      <c r="M109" s="744" t="s">
        <v>741</v>
      </c>
      <c r="O109" s="750">
        <v>1</v>
      </c>
      <c r="P109" s="751"/>
      <c r="Q109" s="752"/>
      <c r="R109" s="753">
        <f>P109-S109</f>
        <v>0</v>
      </c>
      <c r="S109" s="753">
        <f>P109*Q109</f>
        <v>0</v>
      </c>
      <c r="T109" s="754">
        <f>P109/O109</f>
        <v>0</v>
      </c>
      <c r="V109" s="751"/>
      <c r="W109" s="751"/>
    </row>
    <row r="110" spans="1:23" x14ac:dyDescent="0.25">
      <c r="A110" s="741"/>
      <c r="B110" s="744" t="s">
        <v>219</v>
      </c>
      <c r="C110" s="745">
        <f t="shared" ref="C110:D114" si="93">R110</f>
        <v>0</v>
      </c>
      <c r="D110" s="745">
        <f t="shared" si="93"/>
        <v>0</v>
      </c>
      <c r="E110" s="746">
        <f t="shared" si="90"/>
        <v>0</v>
      </c>
      <c r="F110" s="745">
        <f t="shared" si="91"/>
        <v>0</v>
      </c>
      <c r="G110" s="747" t="e">
        <f t="shared" si="92"/>
        <v>#DIV/0!</v>
      </c>
      <c r="H110" s="744"/>
      <c r="I110" s="748"/>
      <c r="J110" s="749"/>
      <c r="K110" s="759"/>
      <c r="L110" s="749"/>
      <c r="M110" s="744" t="s">
        <v>741</v>
      </c>
      <c r="O110" s="750">
        <v>1</v>
      </c>
      <c r="P110" s="751"/>
      <c r="Q110" s="752">
        <v>0</v>
      </c>
      <c r="R110" s="753">
        <f>P110-S110</f>
        <v>0</v>
      </c>
      <c r="S110" s="753">
        <f>P110*Q110</f>
        <v>0</v>
      </c>
      <c r="T110" s="754">
        <f>P110/O110</f>
        <v>0</v>
      </c>
      <c r="V110" s="751"/>
      <c r="W110" s="751"/>
    </row>
    <row r="111" spans="1:23" x14ac:dyDescent="0.25">
      <c r="A111" s="756"/>
      <c r="B111" s="744" t="s">
        <v>208</v>
      </c>
      <c r="C111" s="745">
        <f t="shared" si="93"/>
        <v>0</v>
      </c>
      <c r="D111" s="745">
        <f t="shared" si="93"/>
        <v>0</v>
      </c>
      <c r="E111" s="746">
        <f t="shared" si="90"/>
        <v>0</v>
      </c>
      <c r="F111" s="745">
        <f t="shared" si="91"/>
        <v>0</v>
      </c>
      <c r="G111" s="757"/>
      <c r="H111" s="744"/>
      <c r="I111" s="758"/>
      <c r="J111" s="749"/>
      <c r="K111" s="749"/>
      <c r="L111" s="749"/>
      <c r="M111" s="744" t="s">
        <v>741</v>
      </c>
      <c r="O111" s="750">
        <v>1</v>
      </c>
      <c r="P111" s="751"/>
      <c r="Q111" s="752"/>
      <c r="R111" s="753">
        <f t="shared" ref="R111:R114" si="94">P111-S111</f>
        <v>0</v>
      </c>
      <c r="S111" s="753">
        <f t="shared" ref="S111:S114" si="95">P111*Q111</f>
        <v>0</v>
      </c>
      <c r="T111" s="754">
        <f t="shared" ref="T111:T114" si="96">P111/O111</f>
        <v>0</v>
      </c>
      <c r="V111" s="751"/>
      <c r="W111" s="751"/>
    </row>
    <row r="112" spans="1:23" x14ac:dyDescent="0.25">
      <c r="A112" s="756"/>
      <c r="B112" s="744" t="s">
        <v>209</v>
      </c>
      <c r="C112" s="745">
        <f t="shared" si="93"/>
        <v>21.6</v>
      </c>
      <c r="D112" s="745">
        <f t="shared" si="93"/>
        <v>14.4</v>
      </c>
      <c r="E112" s="746">
        <f t="shared" ref="E112:E113" si="97">SUM(C112:D112)</f>
        <v>36</v>
      </c>
      <c r="F112" s="745">
        <f t="shared" si="91"/>
        <v>36</v>
      </c>
      <c r="G112" s="747">
        <f t="shared" ref="G112:G113" si="98">E112/F112</f>
        <v>1</v>
      </c>
      <c r="H112" s="744"/>
      <c r="I112" s="748"/>
      <c r="J112" s="759"/>
      <c r="K112" s="749"/>
      <c r="L112" s="749"/>
      <c r="M112" s="744" t="s">
        <v>741</v>
      </c>
      <c r="O112" s="750">
        <v>1</v>
      </c>
      <c r="P112" s="751">
        <v>36</v>
      </c>
      <c r="Q112" s="752">
        <v>0.4</v>
      </c>
      <c r="R112" s="753">
        <f t="shared" si="94"/>
        <v>21.6</v>
      </c>
      <c r="S112" s="753">
        <f t="shared" si="95"/>
        <v>14.4</v>
      </c>
      <c r="T112" s="754">
        <f t="shared" si="96"/>
        <v>36</v>
      </c>
      <c r="V112" s="751"/>
      <c r="W112" s="751"/>
    </row>
    <row r="113" spans="1:23" x14ac:dyDescent="0.25">
      <c r="A113" s="756"/>
      <c r="B113" s="744" t="s">
        <v>210</v>
      </c>
      <c r="C113" s="745">
        <f t="shared" si="93"/>
        <v>9</v>
      </c>
      <c r="D113" s="745">
        <f t="shared" si="93"/>
        <v>9</v>
      </c>
      <c r="E113" s="746">
        <f t="shared" si="97"/>
        <v>18</v>
      </c>
      <c r="F113" s="745">
        <f t="shared" si="91"/>
        <v>18</v>
      </c>
      <c r="G113" s="747">
        <f t="shared" si="98"/>
        <v>1</v>
      </c>
      <c r="H113" s="744"/>
      <c r="I113" s="748"/>
      <c r="J113" s="759"/>
      <c r="K113" s="749"/>
      <c r="L113" s="749"/>
      <c r="M113" s="744" t="s">
        <v>741</v>
      </c>
      <c r="O113" s="750">
        <v>1</v>
      </c>
      <c r="P113" s="751">
        <v>18</v>
      </c>
      <c r="Q113" s="752">
        <v>0.5</v>
      </c>
      <c r="R113" s="753">
        <f t="shared" si="94"/>
        <v>9</v>
      </c>
      <c r="S113" s="753">
        <f t="shared" si="95"/>
        <v>9</v>
      </c>
      <c r="T113" s="754">
        <f t="shared" si="96"/>
        <v>18</v>
      </c>
      <c r="V113" s="751">
        <v>6</v>
      </c>
      <c r="W113" s="751"/>
    </row>
    <row r="114" spans="1:23" x14ac:dyDescent="0.25">
      <c r="A114" s="756"/>
      <c r="B114" s="744" t="s">
        <v>211</v>
      </c>
      <c r="C114" s="745">
        <f t="shared" si="93"/>
        <v>0</v>
      </c>
      <c r="D114" s="745">
        <f t="shared" si="93"/>
        <v>0</v>
      </c>
      <c r="E114" s="746"/>
      <c r="F114" s="745"/>
      <c r="G114" s="747"/>
      <c r="H114" s="744"/>
      <c r="I114" s="748"/>
      <c r="J114" s="749"/>
      <c r="K114" s="749"/>
      <c r="L114" s="749"/>
      <c r="M114" s="744" t="s">
        <v>741</v>
      </c>
      <c r="O114" s="750">
        <v>1</v>
      </c>
      <c r="P114" s="760"/>
      <c r="Q114" s="761"/>
      <c r="R114" s="766">
        <f t="shared" si="94"/>
        <v>0</v>
      </c>
      <c r="S114" s="766">
        <f t="shared" si="95"/>
        <v>0</v>
      </c>
      <c r="T114" s="762">
        <f t="shared" si="96"/>
        <v>0</v>
      </c>
      <c r="V114" s="760"/>
      <c r="W114" s="760"/>
    </row>
    <row r="115" spans="1:23" x14ac:dyDescent="0.25">
      <c r="A115" s="756"/>
      <c r="B115" s="744" t="s">
        <v>742</v>
      </c>
      <c r="C115" s="759"/>
      <c r="D115" s="759"/>
      <c r="E115" s="746"/>
      <c r="F115" s="745"/>
      <c r="G115" s="747"/>
      <c r="H115" s="744"/>
      <c r="I115" s="748"/>
      <c r="J115" s="749"/>
      <c r="K115" s="749"/>
      <c r="L115" s="749"/>
      <c r="M115" s="744" t="s">
        <v>741</v>
      </c>
      <c r="O115" s="750">
        <f>P115/T115</f>
        <v>1</v>
      </c>
      <c r="P115" s="754">
        <f>SUM(P109:P114)</f>
        <v>54</v>
      </c>
      <c r="Q115" s="750">
        <f>AVERAGE(Q109:Q114)</f>
        <v>0.3</v>
      </c>
      <c r="R115" s="753">
        <f>SUM(R109:R114)</f>
        <v>30.6</v>
      </c>
      <c r="S115" s="753">
        <f>SUM(S109:S114)</f>
        <v>23.4</v>
      </c>
      <c r="T115" s="754">
        <f>SUM(T109:T114)</f>
        <v>54</v>
      </c>
      <c r="V115" s="754">
        <f>SUM(V109:V114)</f>
        <v>6</v>
      </c>
      <c r="W115" s="754">
        <f>SUM(W109:W114)</f>
        <v>0</v>
      </c>
    </row>
    <row r="116" spans="1:23" x14ac:dyDescent="0.25">
      <c r="B116" s="763" t="s">
        <v>743</v>
      </c>
      <c r="P116" s="764">
        <f>P115-R115-S115</f>
        <v>0</v>
      </c>
    </row>
    <row r="117" spans="1:23" ht="33.75" x14ac:dyDescent="0.25">
      <c r="A117" s="741" t="s">
        <v>744</v>
      </c>
      <c r="B117" s="742" t="s">
        <v>206</v>
      </c>
      <c r="C117" s="742" t="s">
        <v>724</v>
      </c>
      <c r="D117" s="742" t="s">
        <v>725</v>
      </c>
      <c r="E117" s="742" t="s">
        <v>726</v>
      </c>
      <c r="F117" s="742" t="s">
        <v>727</v>
      </c>
      <c r="G117" s="742" t="s">
        <v>728</v>
      </c>
      <c r="H117" s="743" t="s">
        <v>729</v>
      </c>
      <c r="I117" s="742" t="s">
        <v>730</v>
      </c>
      <c r="J117" s="742" t="s">
        <v>731</v>
      </c>
      <c r="K117" s="742" t="s">
        <v>732</v>
      </c>
      <c r="L117" s="742" t="s">
        <v>733</v>
      </c>
      <c r="M117" s="743" t="s">
        <v>734</v>
      </c>
      <c r="O117" s="733" t="s">
        <v>735</v>
      </c>
      <c r="P117" s="733" t="s">
        <v>736</v>
      </c>
      <c r="Q117" s="733" t="s">
        <v>737</v>
      </c>
      <c r="R117" s="733" t="s">
        <v>738</v>
      </c>
      <c r="S117" s="733" t="s">
        <v>739</v>
      </c>
      <c r="V117" s="733" t="s">
        <v>731</v>
      </c>
      <c r="W117" s="733" t="s">
        <v>740</v>
      </c>
    </row>
    <row r="118" spans="1:23" x14ac:dyDescent="0.25">
      <c r="A118" s="741"/>
      <c r="B118" s="744" t="s">
        <v>207</v>
      </c>
      <c r="C118" s="745">
        <f>R118</f>
        <v>0</v>
      </c>
      <c r="D118" s="745">
        <f>S118</f>
        <v>0</v>
      </c>
      <c r="E118" s="746">
        <f t="shared" ref="E118:E120" si="99">SUM(C118:D118)</f>
        <v>0</v>
      </c>
      <c r="F118" s="745">
        <f t="shared" ref="F118:F122" si="100">T118</f>
        <v>0</v>
      </c>
      <c r="G118" s="747" t="e">
        <f t="shared" ref="G118:G119" si="101">E118/F118</f>
        <v>#DIV/0!</v>
      </c>
      <c r="H118" s="744"/>
      <c r="I118" s="748"/>
      <c r="J118" s="749"/>
      <c r="K118" s="749"/>
      <c r="L118" s="749"/>
      <c r="M118" s="744" t="s">
        <v>741</v>
      </c>
      <c r="O118" s="750">
        <v>1</v>
      </c>
      <c r="P118" s="751"/>
      <c r="Q118" s="752"/>
      <c r="R118" s="753">
        <f>P118-S118</f>
        <v>0</v>
      </c>
      <c r="S118" s="753">
        <f>P118*Q118</f>
        <v>0</v>
      </c>
      <c r="T118" s="754">
        <f>P118/O118</f>
        <v>0</v>
      </c>
      <c r="V118" s="751"/>
      <c r="W118" s="751"/>
    </row>
    <row r="119" spans="1:23" x14ac:dyDescent="0.25">
      <c r="A119" s="741"/>
      <c r="B119" s="744" t="s">
        <v>219</v>
      </c>
      <c r="C119" s="745">
        <f t="shared" ref="C119:D123" si="102">R119</f>
        <v>0</v>
      </c>
      <c r="D119" s="745">
        <f t="shared" si="102"/>
        <v>0</v>
      </c>
      <c r="E119" s="746">
        <f t="shared" si="99"/>
        <v>0</v>
      </c>
      <c r="F119" s="745">
        <f t="shared" si="100"/>
        <v>0</v>
      </c>
      <c r="G119" s="747" t="e">
        <f t="shared" si="101"/>
        <v>#DIV/0!</v>
      </c>
      <c r="H119" s="744"/>
      <c r="I119" s="748"/>
      <c r="J119" s="749"/>
      <c r="K119" s="759"/>
      <c r="L119" s="749"/>
      <c r="M119" s="744" t="s">
        <v>741</v>
      </c>
      <c r="O119" s="750">
        <v>1</v>
      </c>
      <c r="P119" s="751"/>
      <c r="Q119" s="752">
        <v>0</v>
      </c>
      <c r="R119" s="753">
        <f>P119-S119</f>
        <v>0</v>
      </c>
      <c r="S119" s="753">
        <f>P119*Q119</f>
        <v>0</v>
      </c>
      <c r="T119" s="754">
        <f>P119/O119</f>
        <v>0</v>
      </c>
      <c r="V119" s="751"/>
      <c r="W119" s="751"/>
    </row>
    <row r="120" spans="1:23" x14ac:dyDescent="0.25">
      <c r="A120" s="756"/>
      <c r="B120" s="744" t="s">
        <v>208</v>
      </c>
      <c r="C120" s="745">
        <f t="shared" si="102"/>
        <v>0</v>
      </c>
      <c r="D120" s="745">
        <f t="shared" si="102"/>
        <v>0</v>
      </c>
      <c r="E120" s="746">
        <f t="shared" si="99"/>
        <v>0</v>
      </c>
      <c r="F120" s="745">
        <f t="shared" si="100"/>
        <v>0</v>
      </c>
      <c r="G120" s="757"/>
      <c r="H120" s="744"/>
      <c r="I120" s="758"/>
      <c r="J120" s="749"/>
      <c r="K120" s="749"/>
      <c r="L120" s="749"/>
      <c r="M120" s="744" t="s">
        <v>741</v>
      </c>
      <c r="O120" s="750">
        <v>1</v>
      </c>
      <c r="P120" s="751"/>
      <c r="Q120" s="752"/>
      <c r="R120" s="753">
        <f t="shared" ref="R120:R123" si="103">P120-S120</f>
        <v>0</v>
      </c>
      <c r="S120" s="753">
        <f t="shared" ref="S120:S123" si="104">P120*Q120</f>
        <v>0</v>
      </c>
      <c r="T120" s="754">
        <f t="shared" ref="T120:T123" si="105">P120/O120</f>
        <v>0</v>
      </c>
      <c r="V120" s="751"/>
      <c r="W120" s="751"/>
    </row>
    <row r="121" spans="1:23" x14ac:dyDescent="0.25">
      <c r="A121" s="756"/>
      <c r="B121" s="744" t="s">
        <v>209</v>
      </c>
      <c r="C121" s="745">
        <f t="shared" si="102"/>
        <v>0</v>
      </c>
      <c r="D121" s="745">
        <f t="shared" si="102"/>
        <v>0</v>
      </c>
      <c r="E121" s="746">
        <f t="shared" ref="E121:E122" si="106">SUM(C121:D121)</f>
        <v>0</v>
      </c>
      <c r="F121" s="745">
        <f t="shared" si="100"/>
        <v>0</v>
      </c>
      <c r="G121" s="747" t="e">
        <f t="shared" ref="G121:G122" si="107">E121/F121</f>
        <v>#DIV/0!</v>
      </c>
      <c r="H121" s="744"/>
      <c r="I121" s="748"/>
      <c r="J121" s="759"/>
      <c r="K121" s="749"/>
      <c r="L121" s="749"/>
      <c r="M121" s="744" t="s">
        <v>741</v>
      </c>
      <c r="O121" s="750">
        <v>1</v>
      </c>
      <c r="P121" s="751"/>
      <c r="Q121" s="752">
        <v>0</v>
      </c>
      <c r="R121" s="753">
        <f t="shared" si="103"/>
        <v>0</v>
      </c>
      <c r="S121" s="753">
        <f t="shared" si="104"/>
        <v>0</v>
      </c>
      <c r="T121" s="754">
        <f t="shared" si="105"/>
        <v>0</v>
      </c>
      <c r="V121" s="751"/>
      <c r="W121" s="751"/>
    </row>
    <row r="122" spans="1:23" x14ac:dyDescent="0.25">
      <c r="A122" s="756"/>
      <c r="B122" s="744" t="s">
        <v>210</v>
      </c>
      <c r="C122" s="745">
        <f t="shared" si="102"/>
        <v>0</v>
      </c>
      <c r="D122" s="745">
        <f t="shared" si="102"/>
        <v>0</v>
      </c>
      <c r="E122" s="746">
        <f t="shared" si="106"/>
        <v>0</v>
      </c>
      <c r="F122" s="745">
        <f t="shared" si="100"/>
        <v>0</v>
      </c>
      <c r="G122" s="747" t="e">
        <f t="shared" si="107"/>
        <v>#DIV/0!</v>
      </c>
      <c r="H122" s="744"/>
      <c r="I122" s="748"/>
      <c r="J122" s="759"/>
      <c r="K122" s="749"/>
      <c r="L122" s="749"/>
      <c r="M122" s="744" t="s">
        <v>741</v>
      </c>
      <c r="O122" s="750">
        <v>1</v>
      </c>
      <c r="P122" s="751"/>
      <c r="Q122" s="752">
        <v>0</v>
      </c>
      <c r="R122" s="753">
        <f t="shared" si="103"/>
        <v>0</v>
      </c>
      <c r="S122" s="753">
        <f t="shared" si="104"/>
        <v>0</v>
      </c>
      <c r="T122" s="754">
        <f t="shared" si="105"/>
        <v>0</v>
      </c>
      <c r="V122" s="751"/>
      <c r="W122" s="751"/>
    </row>
    <row r="123" spans="1:23" x14ac:dyDescent="0.25">
      <c r="A123" s="756"/>
      <c r="B123" s="744" t="s">
        <v>211</v>
      </c>
      <c r="C123" s="745">
        <f t="shared" si="102"/>
        <v>0</v>
      </c>
      <c r="D123" s="745">
        <f t="shared" si="102"/>
        <v>0</v>
      </c>
      <c r="E123" s="746"/>
      <c r="F123" s="745"/>
      <c r="G123" s="747"/>
      <c r="H123" s="744"/>
      <c r="I123" s="748"/>
      <c r="J123" s="749"/>
      <c r="K123" s="749"/>
      <c r="L123" s="749"/>
      <c r="M123" s="744" t="s">
        <v>741</v>
      </c>
      <c r="O123" s="750">
        <v>1</v>
      </c>
      <c r="P123" s="760"/>
      <c r="Q123" s="761"/>
      <c r="R123" s="766">
        <f t="shared" si="103"/>
        <v>0</v>
      </c>
      <c r="S123" s="766">
        <f t="shared" si="104"/>
        <v>0</v>
      </c>
      <c r="T123" s="762">
        <f t="shared" si="105"/>
        <v>0</v>
      </c>
      <c r="V123" s="760"/>
      <c r="W123" s="760"/>
    </row>
    <row r="124" spans="1:23" x14ac:dyDescent="0.25">
      <c r="A124" s="756"/>
      <c r="B124" s="744" t="s">
        <v>742</v>
      </c>
      <c r="C124" s="759"/>
      <c r="D124" s="759"/>
      <c r="E124" s="746"/>
      <c r="F124" s="745"/>
      <c r="G124" s="747"/>
      <c r="H124" s="744"/>
      <c r="I124" s="748"/>
      <c r="J124" s="749"/>
      <c r="K124" s="749"/>
      <c r="L124" s="749"/>
      <c r="M124" s="744" t="s">
        <v>741</v>
      </c>
      <c r="O124" s="750" t="e">
        <f>P124/T124</f>
        <v>#DIV/0!</v>
      </c>
      <c r="P124" s="754">
        <f>SUM(P118:P123)</f>
        <v>0</v>
      </c>
      <c r="Q124" s="750">
        <f>AVERAGE(Q118:Q123)</f>
        <v>0</v>
      </c>
      <c r="R124" s="753">
        <f>SUM(R118:R123)</f>
        <v>0</v>
      </c>
      <c r="S124" s="753">
        <f>SUM(S118:S123)</f>
        <v>0</v>
      </c>
      <c r="T124" s="754">
        <f>SUM(T118:T123)</f>
        <v>0</v>
      </c>
      <c r="V124" s="754">
        <f>SUM(V118:V123)</f>
        <v>0</v>
      </c>
      <c r="W124" s="754">
        <f>SUM(W118:W123)</f>
        <v>0</v>
      </c>
    </row>
    <row r="125" spans="1:23" x14ac:dyDescent="0.25">
      <c r="B125" s="763" t="s">
        <v>743</v>
      </c>
      <c r="P125" s="764">
        <f>P124-R124-S124</f>
        <v>0</v>
      </c>
    </row>
    <row r="126" spans="1:23" ht="33.75" x14ac:dyDescent="0.25">
      <c r="A126" s="741" t="s">
        <v>745</v>
      </c>
      <c r="B126" s="742" t="s">
        <v>206</v>
      </c>
      <c r="C126" s="742" t="s">
        <v>724</v>
      </c>
      <c r="D126" s="742" t="s">
        <v>725</v>
      </c>
      <c r="E126" s="742" t="s">
        <v>726</v>
      </c>
      <c r="F126" s="742" t="s">
        <v>727</v>
      </c>
      <c r="G126" s="742" t="s">
        <v>728</v>
      </c>
      <c r="H126" s="743" t="s">
        <v>729</v>
      </c>
      <c r="I126" s="742" t="s">
        <v>730</v>
      </c>
      <c r="J126" s="742" t="s">
        <v>731</v>
      </c>
      <c r="K126" s="742" t="s">
        <v>732</v>
      </c>
      <c r="L126" s="742" t="s">
        <v>733</v>
      </c>
      <c r="M126" s="743" t="s">
        <v>734</v>
      </c>
      <c r="O126" s="733" t="s">
        <v>735</v>
      </c>
      <c r="P126" s="733" t="s">
        <v>736</v>
      </c>
      <c r="Q126" s="733" t="s">
        <v>737</v>
      </c>
      <c r="R126" s="733" t="s">
        <v>738</v>
      </c>
      <c r="S126" s="733" t="s">
        <v>739</v>
      </c>
      <c r="V126" s="733" t="s">
        <v>731</v>
      </c>
      <c r="W126" s="733" t="s">
        <v>740</v>
      </c>
    </row>
    <row r="127" spans="1:23" x14ac:dyDescent="0.25">
      <c r="A127" s="741"/>
      <c r="B127" s="744" t="s">
        <v>207</v>
      </c>
      <c r="C127" s="745">
        <f>R127</f>
        <v>0</v>
      </c>
      <c r="D127" s="745">
        <f>S127</f>
        <v>0</v>
      </c>
      <c r="E127" s="746">
        <f t="shared" ref="E127:E129" si="108">SUM(C127:D127)</f>
        <v>0</v>
      </c>
      <c r="F127" s="745">
        <f t="shared" ref="F127:F131" si="109">T127</f>
        <v>0</v>
      </c>
      <c r="G127" s="747" t="e">
        <f t="shared" ref="G127:G128" si="110">E127/F127</f>
        <v>#DIV/0!</v>
      </c>
      <c r="H127" s="744"/>
      <c r="I127" s="748"/>
      <c r="J127" s="749"/>
      <c r="K127" s="749"/>
      <c r="L127" s="749"/>
      <c r="M127" s="744" t="s">
        <v>741</v>
      </c>
      <c r="O127" s="750">
        <v>1</v>
      </c>
      <c r="P127" s="751"/>
      <c r="Q127" s="752"/>
      <c r="R127" s="753">
        <f>P127-S127</f>
        <v>0</v>
      </c>
      <c r="S127" s="753">
        <f>P127*Q127</f>
        <v>0</v>
      </c>
      <c r="T127" s="754">
        <f>P127/O127</f>
        <v>0</v>
      </c>
      <c r="V127" s="751"/>
      <c r="W127" s="751"/>
    </row>
    <row r="128" spans="1:23" x14ac:dyDescent="0.25">
      <c r="A128" s="741"/>
      <c r="B128" s="744" t="s">
        <v>219</v>
      </c>
      <c r="C128" s="745">
        <f t="shared" ref="C128:D132" si="111">R128</f>
        <v>0</v>
      </c>
      <c r="D128" s="745">
        <f t="shared" si="111"/>
        <v>0</v>
      </c>
      <c r="E128" s="746">
        <f t="shared" si="108"/>
        <v>0</v>
      </c>
      <c r="F128" s="745">
        <f t="shared" si="109"/>
        <v>0</v>
      </c>
      <c r="G128" s="747" t="e">
        <f t="shared" si="110"/>
        <v>#DIV/0!</v>
      </c>
      <c r="H128" s="744"/>
      <c r="I128" s="748"/>
      <c r="J128" s="749"/>
      <c r="K128" s="759"/>
      <c r="L128" s="749"/>
      <c r="M128" s="744" t="s">
        <v>741</v>
      </c>
      <c r="O128" s="750">
        <v>1</v>
      </c>
      <c r="P128" s="751"/>
      <c r="Q128" s="752">
        <v>0</v>
      </c>
      <c r="R128" s="753">
        <f>P128-S128</f>
        <v>0</v>
      </c>
      <c r="S128" s="753">
        <f>P128*Q128</f>
        <v>0</v>
      </c>
      <c r="T128" s="754">
        <f>P128/O128</f>
        <v>0</v>
      </c>
      <c r="V128" s="751"/>
      <c r="W128" s="751"/>
    </row>
    <row r="129" spans="1:23" x14ac:dyDescent="0.25">
      <c r="A129" s="756"/>
      <c r="B129" s="744" t="s">
        <v>208</v>
      </c>
      <c r="C129" s="745">
        <f t="shared" si="111"/>
        <v>0</v>
      </c>
      <c r="D129" s="745">
        <f t="shared" si="111"/>
        <v>0</v>
      </c>
      <c r="E129" s="746">
        <f t="shared" si="108"/>
        <v>0</v>
      </c>
      <c r="F129" s="745">
        <f t="shared" si="109"/>
        <v>0</v>
      </c>
      <c r="G129" s="757"/>
      <c r="H129" s="744"/>
      <c r="I129" s="758"/>
      <c r="J129" s="749"/>
      <c r="K129" s="749"/>
      <c r="L129" s="749"/>
      <c r="M129" s="744" t="s">
        <v>741</v>
      </c>
      <c r="O129" s="750">
        <v>1</v>
      </c>
      <c r="P129" s="751"/>
      <c r="Q129" s="752"/>
      <c r="R129" s="753">
        <f t="shared" ref="R129:R132" si="112">P129-S129</f>
        <v>0</v>
      </c>
      <c r="S129" s="753">
        <f t="shared" ref="S129:S132" si="113">P129*Q129</f>
        <v>0</v>
      </c>
      <c r="T129" s="754">
        <f t="shared" ref="T129:T132" si="114">P129/O129</f>
        <v>0</v>
      </c>
      <c r="V129" s="751"/>
      <c r="W129" s="751"/>
    </row>
    <row r="130" spans="1:23" x14ac:dyDescent="0.25">
      <c r="A130" s="756"/>
      <c r="B130" s="744" t="s">
        <v>209</v>
      </c>
      <c r="C130" s="745">
        <f t="shared" si="111"/>
        <v>0</v>
      </c>
      <c r="D130" s="745">
        <f t="shared" si="111"/>
        <v>0</v>
      </c>
      <c r="E130" s="746">
        <f t="shared" ref="E130:E131" si="115">SUM(C130:D130)</f>
        <v>0</v>
      </c>
      <c r="F130" s="745">
        <f t="shared" si="109"/>
        <v>0</v>
      </c>
      <c r="G130" s="747" t="e">
        <f t="shared" ref="G130:G131" si="116">E130/F130</f>
        <v>#DIV/0!</v>
      </c>
      <c r="H130" s="744"/>
      <c r="I130" s="748"/>
      <c r="J130" s="759"/>
      <c r="K130" s="749"/>
      <c r="L130" s="749"/>
      <c r="M130" s="744" t="s">
        <v>741</v>
      </c>
      <c r="O130" s="750">
        <v>1</v>
      </c>
      <c r="P130" s="751"/>
      <c r="Q130" s="752"/>
      <c r="R130" s="753">
        <f t="shared" si="112"/>
        <v>0</v>
      </c>
      <c r="S130" s="753">
        <f t="shared" si="113"/>
        <v>0</v>
      </c>
      <c r="T130" s="754">
        <f t="shared" si="114"/>
        <v>0</v>
      </c>
      <c r="V130" s="751"/>
      <c r="W130" s="751"/>
    </row>
    <row r="131" spans="1:23" x14ac:dyDescent="0.25">
      <c r="A131" s="756"/>
      <c r="B131" s="744" t="s">
        <v>210</v>
      </c>
      <c r="C131" s="745">
        <f t="shared" si="111"/>
        <v>0</v>
      </c>
      <c r="D131" s="745">
        <f t="shared" si="111"/>
        <v>0</v>
      </c>
      <c r="E131" s="746">
        <f t="shared" si="115"/>
        <v>0</v>
      </c>
      <c r="F131" s="745">
        <f t="shared" si="109"/>
        <v>0</v>
      </c>
      <c r="G131" s="747" t="e">
        <f t="shared" si="116"/>
        <v>#DIV/0!</v>
      </c>
      <c r="H131" s="744"/>
      <c r="I131" s="748"/>
      <c r="J131" s="759"/>
      <c r="K131" s="749"/>
      <c r="L131" s="749"/>
      <c r="M131" s="744" t="s">
        <v>741</v>
      </c>
      <c r="O131" s="750">
        <v>1</v>
      </c>
      <c r="P131" s="751"/>
      <c r="Q131" s="752">
        <v>0</v>
      </c>
      <c r="R131" s="753">
        <f t="shared" si="112"/>
        <v>0</v>
      </c>
      <c r="S131" s="753">
        <f t="shared" si="113"/>
        <v>0</v>
      </c>
      <c r="T131" s="754">
        <f t="shared" si="114"/>
        <v>0</v>
      </c>
      <c r="V131" s="751"/>
      <c r="W131" s="751"/>
    </row>
    <row r="132" spans="1:23" x14ac:dyDescent="0.25">
      <c r="A132" s="756"/>
      <c r="B132" s="744" t="s">
        <v>211</v>
      </c>
      <c r="C132" s="745">
        <f t="shared" si="111"/>
        <v>0</v>
      </c>
      <c r="D132" s="745">
        <f t="shared" si="111"/>
        <v>0</v>
      </c>
      <c r="E132" s="746"/>
      <c r="F132" s="745"/>
      <c r="G132" s="747"/>
      <c r="H132" s="744"/>
      <c r="I132" s="748"/>
      <c r="J132" s="749"/>
      <c r="K132" s="749"/>
      <c r="L132" s="749"/>
      <c r="M132" s="744" t="s">
        <v>741</v>
      </c>
      <c r="O132" s="750">
        <v>1</v>
      </c>
      <c r="P132" s="760"/>
      <c r="Q132" s="761"/>
      <c r="R132" s="766">
        <f t="shared" si="112"/>
        <v>0</v>
      </c>
      <c r="S132" s="766">
        <f t="shared" si="113"/>
        <v>0</v>
      </c>
      <c r="T132" s="762">
        <f t="shared" si="114"/>
        <v>0</v>
      </c>
      <c r="V132" s="760"/>
      <c r="W132" s="760"/>
    </row>
    <row r="133" spans="1:23" x14ac:dyDescent="0.25">
      <c r="A133" s="756"/>
      <c r="B133" s="744" t="s">
        <v>742</v>
      </c>
      <c r="C133" s="759"/>
      <c r="D133" s="759"/>
      <c r="E133" s="746"/>
      <c r="F133" s="745"/>
      <c r="G133" s="747"/>
      <c r="H133" s="744"/>
      <c r="I133" s="748"/>
      <c r="J133" s="749"/>
      <c r="K133" s="749"/>
      <c r="L133" s="749"/>
      <c r="M133" s="744" t="s">
        <v>741</v>
      </c>
      <c r="O133" s="750" t="e">
        <f>P133/T133</f>
        <v>#DIV/0!</v>
      </c>
      <c r="P133" s="754">
        <f>SUM(P127:P132)</f>
        <v>0</v>
      </c>
      <c r="Q133" s="750">
        <f>AVERAGE(Q127:Q132)</f>
        <v>0</v>
      </c>
      <c r="R133" s="753">
        <f>SUM(R127:R132)</f>
        <v>0</v>
      </c>
      <c r="S133" s="753">
        <f>SUM(S127:S132)</f>
        <v>0</v>
      </c>
      <c r="T133" s="754">
        <f>SUM(T127:T132)</f>
        <v>0</v>
      </c>
      <c r="V133" s="754">
        <f>SUM(V127:V132)</f>
        <v>0</v>
      </c>
      <c r="W133" s="754">
        <f>SUM(W127:W132)</f>
        <v>0</v>
      </c>
    </row>
    <row r="134" spans="1:23" x14ac:dyDescent="0.25">
      <c r="B134" s="763" t="s">
        <v>743</v>
      </c>
      <c r="P134" s="764">
        <f>P133-R133-S133</f>
        <v>0</v>
      </c>
    </row>
    <row r="135" spans="1:23" ht="33.75" x14ac:dyDescent="0.25">
      <c r="A135" s="741" t="s">
        <v>746</v>
      </c>
      <c r="B135" s="742" t="s">
        <v>206</v>
      </c>
      <c r="C135" s="742" t="s">
        <v>724</v>
      </c>
      <c r="D135" s="742" t="s">
        <v>725</v>
      </c>
      <c r="E135" s="742" t="s">
        <v>726</v>
      </c>
      <c r="F135" s="742" t="s">
        <v>727</v>
      </c>
      <c r="G135" s="742" t="s">
        <v>728</v>
      </c>
      <c r="H135" s="743" t="s">
        <v>729</v>
      </c>
      <c r="I135" s="742" t="s">
        <v>730</v>
      </c>
      <c r="J135" s="742" t="s">
        <v>731</v>
      </c>
      <c r="K135" s="742" t="s">
        <v>732</v>
      </c>
      <c r="L135" s="742" t="s">
        <v>733</v>
      </c>
      <c r="M135" s="743" t="s">
        <v>734</v>
      </c>
      <c r="O135" s="733" t="s">
        <v>735</v>
      </c>
      <c r="P135" s="733" t="s">
        <v>736</v>
      </c>
      <c r="Q135" s="733" t="s">
        <v>737</v>
      </c>
      <c r="R135" s="733" t="s">
        <v>738</v>
      </c>
      <c r="S135" s="733" t="s">
        <v>739</v>
      </c>
      <c r="V135" s="733" t="s">
        <v>731</v>
      </c>
      <c r="W135" s="733" t="s">
        <v>740</v>
      </c>
    </row>
    <row r="136" spans="1:23" x14ac:dyDescent="0.25">
      <c r="A136" s="741"/>
      <c r="B136" s="744" t="s">
        <v>207</v>
      </c>
      <c r="C136" s="745">
        <f>R136</f>
        <v>0</v>
      </c>
      <c r="D136" s="745">
        <f>S136</f>
        <v>0</v>
      </c>
      <c r="E136" s="746">
        <f t="shared" ref="E136:E138" si="117">SUM(C136:D136)</f>
        <v>0</v>
      </c>
      <c r="F136" s="745">
        <f t="shared" ref="F136:F140" si="118">T136</f>
        <v>0</v>
      </c>
      <c r="G136" s="747" t="e">
        <f t="shared" ref="G136:G137" si="119">E136/F136</f>
        <v>#DIV/0!</v>
      </c>
      <c r="H136" s="744"/>
      <c r="I136" s="748"/>
      <c r="J136" s="749"/>
      <c r="K136" s="749"/>
      <c r="L136" s="749"/>
      <c r="M136" s="744" t="s">
        <v>741</v>
      </c>
      <c r="O136" s="750">
        <v>1</v>
      </c>
      <c r="P136" s="751"/>
      <c r="Q136" s="752"/>
      <c r="R136" s="753">
        <f>P136-S136</f>
        <v>0</v>
      </c>
      <c r="S136" s="753">
        <f>P136*Q136</f>
        <v>0</v>
      </c>
      <c r="T136" s="754">
        <f>P136/O136</f>
        <v>0</v>
      </c>
      <c r="V136" s="751"/>
      <c r="W136" s="751"/>
    </row>
    <row r="137" spans="1:23" x14ac:dyDescent="0.25">
      <c r="A137" s="741"/>
      <c r="B137" s="744" t="s">
        <v>219</v>
      </c>
      <c r="C137" s="745">
        <f t="shared" ref="C137:D141" si="120">R137</f>
        <v>0</v>
      </c>
      <c r="D137" s="745">
        <f t="shared" si="120"/>
        <v>0</v>
      </c>
      <c r="E137" s="746">
        <f t="shared" si="117"/>
        <v>0</v>
      </c>
      <c r="F137" s="745">
        <f t="shared" si="118"/>
        <v>0</v>
      </c>
      <c r="G137" s="747" t="e">
        <f t="shared" si="119"/>
        <v>#DIV/0!</v>
      </c>
      <c r="H137" s="744"/>
      <c r="I137" s="748"/>
      <c r="J137" s="749"/>
      <c r="K137" s="759"/>
      <c r="L137" s="749"/>
      <c r="M137" s="744" t="s">
        <v>741</v>
      </c>
      <c r="O137" s="750">
        <v>1</v>
      </c>
      <c r="P137" s="751"/>
      <c r="Q137" s="752"/>
      <c r="R137" s="753">
        <f>P137-S137</f>
        <v>0</v>
      </c>
      <c r="S137" s="753">
        <f>P137*Q137</f>
        <v>0</v>
      </c>
      <c r="T137" s="754">
        <f>P137/O137</f>
        <v>0</v>
      </c>
      <c r="V137" s="751"/>
      <c r="W137" s="751"/>
    </row>
    <row r="138" spans="1:23" x14ac:dyDescent="0.25">
      <c r="A138" s="756"/>
      <c r="B138" s="744" t="s">
        <v>208</v>
      </c>
      <c r="C138" s="745">
        <f t="shared" si="120"/>
        <v>0</v>
      </c>
      <c r="D138" s="745">
        <f t="shared" si="120"/>
        <v>0</v>
      </c>
      <c r="E138" s="746">
        <f t="shared" si="117"/>
        <v>0</v>
      </c>
      <c r="F138" s="745">
        <f t="shared" si="118"/>
        <v>0</v>
      </c>
      <c r="G138" s="757"/>
      <c r="H138" s="744"/>
      <c r="I138" s="758"/>
      <c r="J138" s="749"/>
      <c r="K138" s="749"/>
      <c r="L138" s="749"/>
      <c r="M138" s="744" t="s">
        <v>741</v>
      </c>
      <c r="O138" s="750">
        <v>1</v>
      </c>
      <c r="P138" s="751"/>
      <c r="Q138" s="752"/>
      <c r="R138" s="753">
        <f t="shared" ref="R138:R141" si="121">P138-S138</f>
        <v>0</v>
      </c>
      <c r="S138" s="753">
        <f t="shared" ref="S138:S141" si="122">P138*Q138</f>
        <v>0</v>
      </c>
      <c r="T138" s="754">
        <f t="shared" ref="T138:T141" si="123">P138/O138</f>
        <v>0</v>
      </c>
      <c r="V138" s="751"/>
      <c r="W138" s="751"/>
    </row>
    <row r="139" spans="1:23" x14ac:dyDescent="0.25">
      <c r="A139" s="756"/>
      <c r="B139" s="744" t="s">
        <v>209</v>
      </c>
      <c r="C139" s="745">
        <f t="shared" si="120"/>
        <v>0</v>
      </c>
      <c r="D139" s="745">
        <f t="shared" si="120"/>
        <v>0</v>
      </c>
      <c r="E139" s="746">
        <f t="shared" ref="E139:E140" si="124">SUM(C139:D139)</f>
        <v>0</v>
      </c>
      <c r="F139" s="745">
        <f t="shared" si="118"/>
        <v>0</v>
      </c>
      <c r="G139" s="747" t="e">
        <f t="shared" ref="G139:G140" si="125">E139/F139</f>
        <v>#DIV/0!</v>
      </c>
      <c r="H139" s="744"/>
      <c r="I139" s="748"/>
      <c r="J139" s="759"/>
      <c r="K139" s="749"/>
      <c r="L139" s="749"/>
      <c r="M139" s="744" t="s">
        <v>741</v>
      </c>
      <c r="O139" s="750">
        <v>1</v>
      </c>
      <c r="P139" s="751"/>
      <c r="Q139" s="752"/>
      <c r="R139" s="753">
        <f t="shared" si="121"/>
        <v>0</v>
      </c>
      <c r="S139" s="753">
        <f t="shared" si="122"/>
        <v>0</v>
      </c>
      <c r="T139" s="754">
        <f t="shared" si="123"/>
        <v>0</v>
      </c>
      <c r="V139" s="751"/>
      <c r="W139" s="751"/>
    </row>
    <row r="140" spans="1:23" x14ac:dyDescent="0.25">
      <c r="A140" s="756"/>
      <c r="B140" s="744" t="s">
        <v>210</v>
      </c>
      <c r="C140" s="745">
        <f t="shared" si="120"/>
        <v>0</v>
      </c>
      <c r="D140" s="745">
        <f t="shared" si="120"/>
        <v>0</v>
      </c>
      <c r="E140" s="746">
        <f t="shared" si="124"/>
        <v>0</v>
      </c>
      <c r="F140" s="745">
        <f t="shared" si="118"/>
        <v>0</v>
      </c>
      <c r="G140" s="747" t="e">
        <f t="shared" si="125"/>
        <v>#DIV/0!</v>
      </c>
      <c r="H140" s="744"/>
      <c r="I140" s="748"/>
      <c r="J140" s="759"/>
      <c r="K140" s="749"/>
      <c r="L140" s="749"/>
      <c r="M140" s="744" t="s">
        <v>741</v>
      </c>
      <c r="O140" s="750">
        <v>1</v>
      </c>
      <c r="P140" s="751"/>
      <c r="Q140" s="752"/>
      <c r="R140" s="753">
        <f t="shared" si="121"/>
        <v>0</v>
      </c>
      <c r="S140" s="753">
        <f t="shared" si="122"/>
        <v>0</v>
      </c>
      <c r="T140" s="754">
        <f t="shared" si="123"/>
        <v>0</v>
      </c>
      <c r="V140" s="751"/>
      <c r="W140" s="751"/>
    </row>
    <row r="141" spans="1:23" x14ac:dyDescent="0.25">
      <c r="A141" s="756"/>
      <c r="B141" s="744" t="s">
        <v>211</v>
      </c>
      <c r="C141" s="745">
        <f t="shared" si="120"/>
        <v>0</v>
      </c>
      <c r="D141" s="745">
        <f t="shared" si="120"/>
        <v>0</v>
      </c>
      <c r="E141" s="746"/>
      <c r="F141" s="745"/>
      <c r="G141" s="747"/>
      <c r="H141" s="744"/>
      <c r="I141" s="748"/>
      <c r="J141" s="749"/>
      <c r="K141" s="749"/>
      <c r="L141" s="749"/>
      <c r="M141" s="744" t="s">
        <v>741</v>
      </c>
      <c r="O141" s="750">
        <v>1</v>
      </c>
      <c r="P141" s="760"/>
      <c r="Q141" s="761"/>
      <c r="R141" s="766">
        <f t="shared" si="121"/>
        <v>0</v>
      </c>
      <c r="S141" s="766">
        <f t="shared" si="122"/>
        <v>0</v>
      </c>
      <c r="T141" s="762">
        <f t="shared" si="123"/>
        <v>0</v>
      </c>
      <c r="V141" s="760"/>
      <c r="W141" s="760"/>
    </row>
    <row r="142" spans="1:23" x14ac:dyDescent="0.25">
      <c r="A142" s="756"/>
      <c r="B142" s="744" t="s">
        <v>742</v>
      </c>
      <c r="C142" s="759"/>
      <c r="D142" s="759"/>
      <c r="E142" s="746"/>
      <c r="F142" s="745"/>
      <c r="G142" s="747"/>
      <c r="H142" s="744"/>
      <c r="I142" s="748"/>
      <c r="J142" s="749"/>
      <c r="K142" s="749"/>
      <c r="L142" s="749"/>
      <c r="M142" s="744" t="s">
        <v>741</v>
      </c>
      <c r="O142" s="750" t="e">
        <f>P142/T142</f>
        <v>#DIV/0!</v>
      </c>
      <c r="P142" s="754">
        <f>SUM(P136:P141)</f>
        <v>0</v>
      </c>
      <c r="Q142" s="750" t="e">
        <f>AVERAGE(Q136:Q141)</f>
        <v>#DIV/0!</v>
      </c>
      <c r="R142" s="753">
        <f>SUM(R136:R141)</f>
        <v>0</v>
      </c>
      <c r="S142" s="753">
        <f>SUM(S136:S141)</f>
        <v>0</v>
      </c>
      <c r="T142" s="754">
        <f>SUM(T136:T141)</f>
        <v>0</v>
      </c>
      <c r="V142" s="754">
        <f>SUM(V136:V141)</f>
        <v>0</v>
      </c>
      <c r="W142" s="754">
        <f>SUM(W136:W141)</f>
        <v>0</v>
      </c>
    </row>
    <row r="143" spans="1:23" x14ac:dyDescent="0.25">
      <c r="B143" s="763" t="s">
        <v>743</v>
      </c>
      <c r="P143" s="764">
        <f>P142-R142-S142</f>
        <v>0</v>
      </c>
    </row>
    <row r="144" spans="1:23" ht="33.75" x14ac:dyDescent="0.25">
      <c r="A144" s="741" t="s">
        <v>747</v>
      </c>
      <c r="B144" s="742" t="s">
        <v>206</v>
      </c>
      <c r="C144" s="742" t="s">
        <v>724</v>
      </c>
      <c r="D144" s="742" t="s">
        <v>725</v>
      </c>
      <c r="E144" s="742" t="s">
        <v>726</v>
      </c>
      <c r="F144" s="742" t="s">
        <v>727</v>
      </c>
      <c r="G144" s="742" t="s">
        <v>728</v>
      </c>
      <c r="H144" s="743" t="s">
        <v>729</v>
      </c>
      <c r="I144" s="742" t="s">
        <v>730</v>
      </c>
      <c r="J144" s="742" t="s">
        <v>731</v>
      </c>
      <c r="K144" s="742" t="s">
        <v>732</v>
      </c>
      <c r="L144" s="742" t="s">
        <v>733</v>
      </c>
      <c r="M144" s="743" t="s">
        <v>734</v>
      </c>
      <c r="O144" s="733" t="s">
        <v>735</v>
      </c>
      <c r="P144" s="733" t="s">
        <v>736</v>
      </c>
      <c r="Q144" s="733" t="s">
        <v>737</v>
      </c>
      <c r="R144" s="733" t="s">
        <v>738</v>
      </c>
      <c r="S144" s="733" t="s">
        <v>739</v>
      </c>
      <c r="V144" s="733" t="s">
        <v>731</v>
      </c>
      <c r="W144" s="733" t="s">
        <v>740</v>
      </c>
    </row>
    <row r="145" spans="1:23" x14ac:dyDescent="0.25">
      <c r="A145" s="741"/>
      <c r="B145" s="744" t="s">
        <v>207</v>
      </c>
      <c r="C145" s="745">
        <f>R145</f>
        <v>0</v>
      </c>
      <c r="D145" s="745">
        <f>S145</f>
        <v>0</v>
      </c>
      <c r="E145" s="746">
        <f t="shared" ref="E145:E147" si="126">SUM(C145:D145)</f>
        <v>0</v>
      </c>
      <c r="F145" s="745">
        <f t="shared" ref="F145:F149" si="127">T145</f>
        <v>0</v>
      </c>
      <c r="G145" s="747" t="e">
        <f t="shared" ref="G145:G146" si="128">E145/F145</f>
        <v>#DIV/0!</v>
      </c>
      <c r="H145" s="744"/>
      <c r="I145" s="748"/>
      <c r="J145" s="749"/>
      <c r="K145" s="749"/>
      <c r="L145" s="749"/>
      <c r="M145" s="744" t="s">
        <v>741</v>
      </c>
      <c r="O145" s="750">
        <v>1</v>
      </c>
      <c r="P145" s="751"/>
      <c r="Q145" s="752"/>
      <c r="R145" s="753">
        <f>P145-S145</f>
        <v>0</v>
      </c>
      <c r="S145" s="753">
        <f>P145*Q145</f>
        <v>0</v>
      </c>
      <c r="T145" s="754">
        <f>P145/O145</f>
        <v>0</v>
      </c>
      <c r="V145" s="751"/>
      <c r="W145" s="751"/>
    </row>
    <row r="146" spans="1:23" x14ac:dyDescent="0.25">
      <c r="A146" s="741"/>
      <c r="B146" s="744" t="s">
        <v>219</v>
      </c>
      <c r="C146" s="745">
        <f t="shared" ref="C146:D150" si="129">R146</f>
        <v>0</v>
      </c>
      <c r="D146" s="745">
        <f t="shared" si="129"/>
        <v>0</v>
      </c>
      <c r="E146" s="746">
        <f t="shared" si="126"/>
        <v>0</v>
      </c>
      <c r="F146" s="745">
        <f t="shared" si="127"/>
        <v>0</v>
      </c>
      <c r="G146" s="747" t="e">
        <f t="shared" si="128"/>
        <v>#DIV/0!</v>
      </c>
      <c r="H146" s="744"/>
      <c r="I146" s="748"/>
      <c r="J146" s="749"/>
      <c r="K146" s="759"/>
      <c r="L146" s="749"/>
      <c r="M146" s="744" t="s">
        <v>741</v>
      </c>
      <c r="O146" s="750">
        <v>1</v>
      </c>
      <c r="P146" s="751"/>
      <c r="Q146" s="752"/>
      <c r="R146" s="753">
        <f>P146-S146</f>
        <v>0</v>
      </c>
      <c r="S146" s="753">
        <f>P146*Q146</f>
        <v>0</v>
      </c>
      <c r="T146" s="754">
        <f>P146/O146</f>
        <v>0</v>
      </c>
      <c r="V146" s="751"/>
      <c r="W146" s="751"/>
    </row>
    <row r="147" spans="1:23" x14ac:dyDescent="0.25">
      <c r="A147" s="756"/>
      <c r="B147" s="744" t="s">
        <v>208</v>
      </c>
      <c r="C147" s="745">
        <f t="shared" si="129"/>
        <v>0</v>
      </c>
      <c r="D147" s="745">
        <f t="shared" si="129"/>
        <v>0</v>
      </c>
      <c r="E147" s="746">
        <f t="shared" si="126"/>
        <v>0</v>
      </c>
      <c r="F147" s="745">
        <f t="shared" si="127"/>
        <v>0</v>
      </c>
      <c r="G147" s="757"/>
      <c r="H147" s="744"/>
      <c r="I147" s="758"/>
      <c r="J147" s="749"/>
      <c r="K147" s="749"/>
      <c r="L147" s="749"/>
      <c r="M147" s="744" t="s">
        <v>741</v>
      </c>
      <c r="O147" s="750">
        <v>1</v>
      </c>
      <c r="P147" s="751"/>
      <c r="Q147" s="752"/>
      <c r="R147" s="753">
        <f t="shared" ref="R147:R150" si="130">P147-S147</f>
        <v>0</v>
      </c>
      <c r="S147" s="753">
        <f t="shared" ref="S147:S150" si="131">P147*Q147</f>
        <v>0</v>
      </c>
      <c r="T147" s="754">
        <f t="shared" ref="T147:T150" si="132">P147/O147</f>
        <v>0</v>
      </c>
      <c r="V147" s="751"/>
      <c r="W147" s="751"/>
    </row>
    <row r="148" spans="1:23" x14ac:dyDescent="0.25">
      <c r="A148" s="756"/>
      <c r="B148" s="744" t="s">
        <v>209</v>
      </c>
      <c r="C148" s="745">
        <f t="shared" si="129"/>
        <v>0</v>
      </c>
      <c r="D148" s="745">
        <f t="shared" si="129"/>
        <v>0</v>
      </c>
      <c r="E148" s="746">
        <f t="shared" ref="E148:E149" si="133">SUM(C148:D148)</f>
        <v>0</v>
      </c>
      <c r="F148" s="745">
        <f t="shared" si="127"/>
        <v>0</v>
      </c>
      <c r="G148" s="747" t="e">
        <f t="shared" ref="G148:G149" si="134">E148/F148</f>
        <v>#DIV/0!</v>
      </c>
      <c r="H148" s="744"/>
      <c r="I148" s="748"/>
      <c r="J148" s="759"/>
      <c r="K148" s="749"/>
      <c r="L148" s="749"/>
      <c r="M148" s="744" t="s">
        <v>741</v>
      </c>
      <c r="O148" s="750">
        <v>1</v>
      </c>
      <c r="P148" s="751"/>
      <c r="Q148" s="752"/>
      <c r="R148" s="753">
        <f t="shared" si="130"/>
        <v>0</v>
      </c>
      <c r="S148" s="753">
        <f t="shared" si="131"/>
        <v>0</v>
      </c>
      <c r="T148" s="754">
        <f t="shared" si="132"/>
        <v>0</v>
      </c>
      <c r="V148" s="751"/>
      <c r="W148" s="751"/>
    </row>
    <row r="149" spans="1:23" x14ac:dyDescent="0.25">
      <c r="A149" s="756"/>
      <c r="B149" s="744" t="s">
        <v>210</v>
      </c>
      <c r="C149" s="745">
        <f t="shared" si="129"/>
        <v>0</v>
      </c>
      <c r="D149" s="745">
        <f t="shared" si="129"/>
        <v>0</v>
      </c>
      <c r="E149" s="746">
        <f t="shared" si="133"/>
        <v>0</v>
      </c>
      <c r="F149" s="745">
        <f t="shared" si="127"/>
        <v>0</v>
      </c>
      <c r="G149" s="747" t="e">
        <f t="shared" si="134"/>
        <v>#DIV/0!</v>
      </c>
      <c r="H149" s="744"/>
      <c r="I149" s="748"/>
      <c r="J149" s="759"/>
      <c r="K149" s="749"/>
      <c r="L149" s="749"/>
      <c r="M149" s="744" t="s">
        <v>741</v>
      </c>
      <c r="O149" s="750">
        <v>1</v>
      </c>
      <c r="P149" s="751"/>
      <c r="Q149" s="752"/>
      <c r="R149" s="753">
        <f t="shared" si="130"/>
        <v>0</v>
      </c>
      <c r="S149" s="753">
        <f t="shared" si="131"/>
        <v>0</v>
      </c>
      <c r="T149" s="754">
        <f t="shared" si="132"/>
        <v>0</v>
      </c>
      <c r="V149" s="751"/>
      <c r="W149" s="751"/>
    </row>
    <row r="150" spans="1:23" x14ac:dyDescent="0.25">
      <c r="A150" s="756"/>
      <c r="B150" s="744" t="s">
        <v>211</v>
      </c>
      <c r="C150" s="745">
        <f t="shared" si="129"/>
        <v>0</v>
      </c>
      <c r="D150" s="745">
        <f t="shared" si="129"/>
        <v>0</v>
      </c>
      <c r="E150" s="746"/>
      <c r="F150" s="745"/>
      <c r="G150" s="747"/>
      <c r="H150" s="744"/>
      <c r="I150" s="748"/>
      <c r="J150" s="749"/>
      <c r="K150" s="749"/>
      <c r="L150" s="749"/>
      <c r="M150" s="744" t="s">
        <v>741</v>
      </c>
      <c r="O150" s="750">
        <v>1</v>
      </c>
      <c r="P150" s="760"/>
      <c r="Q150" s="761"/>
      <c r="R150" s="766">
        <f t="shared" si="130"/>
        <v>0</v>
      </c>
      <c r="S150" s="766">
        <f t="shared" si="131"/>
        <v>0</v>
      </c>
      <c r="T150" s="762">
        <f t="shared" si="132"/>
        <v>0</v>
      </c>
      <c r="V150" s="760"/>
      <c r="W150" s="760"/>
    </row>
    <row r="151" spans="1:23" x14ac:dyDescent="0.25">
      <c r="A151" s="756"/>
      <c r="B151" s="744" t="s">
        <v>742</v>
      </c>
      <c r="C151" s="759"/>
      <c r="D151" s="759"/>
      <c r="E151" s="746"/>
      <c r="F151" s="745"/>
      <c r="G151" s="747"/>
      <c r="H151" s="744"/>
      <c r="I151" s="748"/>
      <c r="J151" s="749"/>
      <c r="K151" s="749"/>
      <c r="L151" s="749"/>
      <c r="M151" s="744" t="s">
        <v>741</v>
      </c>
      <c r="O151" s="750" t="e">
        <f>P151/T151</f>
        <v>#DIV/0!</v>
      </c>
      <c r="P151" s="754">
        <f>SUM(P145:P150)</f>
        <v>0</v>
      </c>
      <c r="Q151" s="750" t="e">
        <f>AVERAGE(Q145:Q150)</f>
        <v>#DIV/0!</v>
      </c>
      <c r="R151" s="753">
        <f>SUM(R145:R150)</f>
        <v>0</v>
      </c>
      <c r="S151" s="753">
        <f>SUM(S145:S150)</f>
        <v>0</v>
      </c>
      <c r="T151" s="754">
        <f>SUM(T145:T150)</f>
        <v>0</v>
      </c>
      <c r="V151" s="754">
        <f>SUM(V145:V150)</f>
        <v>0</v>
      </c>
      <c r="W151" s="754">
        <f>SUM(W145:W150)</f>
        <v>0</v>
      </c>
    </row>
    <row r="152" spans="1:23" x14ac:dyDescent="0.25">
      <c r="B152" s="763" t="s">
        <v>743</v>
      </c>
      <c r="P152" s="764">
        <f>P151-R151-S151</f>
        <v>0</v>
      </c>
    </row>
    <row r="153" spans="1:23" ht="33.75" x14ac:dyDescent="0.25">
      <c r="A153" s="741" t="s">
        <v>748</v>
      </c>
      <c r="B153" s="742" t="s">
        <v>206</v>
      </c>
      <c r="C153" s="742" t="s">
        <v>724</v>
      </c>
      <c r="D153" s="742" t="s">
        <v>725</v>
      </c>
      <c r="E153" s="742" t="s">
        <v>726</v>
      </c>
      <c r="F153" s="742" t="s">
        <v>727</v>
      </c>
      <c r="G153" s="742" t="s">
        <v>728</v>
      </c>
      <c r="H153" s="743" t="s">
        <v>729</v>
      </c>
      <c r="I153" s="742" t="s">
        <v>730</v>
      </c>
      <c r="J153" s="742" t="s">
        <v>731</v>
      </c>
      <c r="K153" s="742" t="s">
        <v>732</v>
      </c>
      <c r="L153" s="742" t="s">
        <v>733</v>
      </c>
      <c r="M153" s="743" t="s">
        <v>734</v>
      </c>
      <c r="O153" s="733" t="s">
        <v>735</v>
      </c>
      <c r="P153" s="733" t="s">
        <v>736</v>
      </c>
      <c r="Q153" s="733" t="s">
        <v>737</v>
      </c>
      <c r="R153" s="733" t="s">
        <v>738</v>
      </c>
      <c r="S153" s="733" t="s">
        <v>739</v>
      </c>
      <c r="V153" s="733" t="s">
        <v>731</v>
      </c>
      <c r="W153" s="733" t="s">
        <v>740</v>
      </c>
    </row>
    <row r="154" spans="1:23" x14ac:dyDescent="0.25">
      <c r="A154" s="741"/>
      <c r="B154" s="744" t="s">
        <v>207</v>
      </c>
      <c r="C154" s="745">
        <f>R154</f>
        <v>0</v>
      </c>
      <c r="D154" s="745">
        <f>S154</f>
        <v>0</v>
      </c>
      <c r="E154" s="746">
        <f t="shared" ref="E154:E156" si="135">SUM(C154:D154)</f>
        <v>0</v>
      </c>
      <c r="F154" s="745">
        <f t="shared" ref="F154:F158" si="136">T154</f>
        <v>0</v>
      </c>
      <c r="G154" s="747" t="e">
        <f t="shared" ref="G154:G155" si="137">E154/F154</f>
        <v>#DIV/0!</v>
      </c>
      <c r="H154" s="744"/>
      <c r="I154" s="748"/>
      <c r="J154" s="749"/>
      <c r="K154" s="749"/>
      <c r="L154" s="749"/>
      <c r="M154" s="744" t="s">
        <v>741</v>
      </c>
      <c r="O154" s="750">
        <v>1</v>
      </c>
      <c r="P154" s="751"/>
      <c r="Q154" s="752"/>
      <c r="R154" s="753">
        <f>P154-S154</f>
        <v>0</v>
      </c>
      <c r="S154" s="753">
        <f>P154*Q154</f>
        <v>0</v>
      </c>
      <c r="T154" s="754">
        <f>P154/O154</f>
        <v>0</v>
      </c>
      <c r="V154" s="751"/>
      <c r="W154" s="751"/>
    </row>
    <row r="155" spans="1:23" x14ac:dyDescent="0.25">
      <c r="A155" s="741"/>
      <c r="B155" s="744" t="s">
        <v>219</v>
      </c>
      <c r="C155" s="745">
        <f t="shared" ref="C155:D159" si="138">R155</f>
        <v>0</v>
      </c>
      <c r="D155" s="745">
        <f t="shared" si="138"/>
        <v>0</v>
      </c>
      <c r="E155" s="746">
        <f t="shared" si="135"/>
        <v>0</v>
      </c>
      <c r="F155" s="745">
        <f t="shared" si="136"/>
        <v>0</v>
      </c>
      <c r="G155" s="747" t="e">
        <f t="shared" si="137"/>
        <v>#DIV/0!</v>
      </c>
      <c r="H155" s="744"/>
      <c r="I155" s="748"/>
      <c r="J155" s="749"/>
      <c r="K155" s="759"/>
      <c r="L155" s="749"/>
      <c r="M155" s="744" t="s">
        <v>741</v>
      </c>
      <c r="O155" s="750">
        <v>1</v>
      </c>
      <c r="P155" s="751"/>
      <c r="Q155" s="752"/>
      <c r="R155" s="753">
        <f>P155-S155</f>
        <v>0</v>
      </c>
      <c r="S155" s="753">
        <f>P155*Q155</f>
        <v>0</v>
      </c>
      <c r="T155" s="754">
        <f>P155/O155</f>
        <v>0</v>
      </c>
      <c r="V155" s="751"/>
      <c r="W155" s="751"/>
    </row>
    <row r="156" spans="1:23" x14ac:dyDescent="0.25">
      <c r="A156" s="756"/>
      <c r="B156" s="744" t="s">
        <v>208</v>
      </c>
      <c r="C156" s="745">
        <f t="shared" si="138"/>
        <v>0</v>
      </c>
      <c r="D156" s="745">
        <f t="shared" si="138"/>
        <v>0</v>
      </c>
      <c r="E156" s="746">
        <f t="shared" si="135"/>
        <v>0</v>
      </c>
      <c r="F156" s="745">
        <f t="shared" si="136"/>
        <v>0</v>
      </c>
      <c r="G156" s="757"/>
      <c r="H156" s="744"/>
      <c r="I156" s="758"/>
      <c r="J156" s="749"/>
      <c r="K156" s="749"/>
      <c r="L156" s="749"/>
      <c r="M156" s="744" t="s">
        <v>741</v>
      </c>
      <c r="O156" s="750">
        <v>1</v>
      </c>
      <c r="P156" s="751"/>
      <c r="Q156" s="752"/>
      <c r="R156" s="753">
        <f t="shared" ref="R156:R159" si="139">P156-S156</f>
        <v>0</v>
      </c>
      <c r="S156" s="753">
        <f t="shared" ref="S156:S159" si="140">P156*Q156</f>
        <v>0</v>
      </c>
      <c r="T156" s="754">
        <f t="shared" ref="T156:T159" si="141">P156/O156</f>
        <v>0</v>
      </c>
      <c r="V156" s="751"/>
      <c r="W156" s="751"/>
    </row>
    <row r="157" spans="1:23" x14ac:dyDescent="0.25">
      <c r="A157" s="756"/>
      <c r="B157" s="744" t="s">
        <v>209</v>
      </c>
      <c r="C157" s="745">
        <f t="shared" si="138"/>
        <v>0</v>
      </c>
      <c r="D157" s="745">
        <f t="shared" si="138"/>
        <v>0</v>
      </c>
      <c r="E157" s="746">
        <f t="shared" ref="E157:E158" si="142">SUM(C157:D157)</f>
        <v>0</v>
      </c>
      <c r="F157" s="745">
        <f t="shared" si="136"/>
        <v>0</v>
      </c>
      <c r="G157" s="747" t="e">
        <f t="shared" ref="G157:G158" si="143">E157/F157</f>
        <v>#DIV/0!</v>
      </c>
      <c r="H157" s="744"/>
      <c r="I157" s="748"/>
      <c r="J157" s="759"/>
      <c r="K157" s="749"/>
      <c r="L157" s="749"/>
      <c r="M157" s="744" t="s">
        <v>741</v>
      </c>
      <c r="O157" s="750">
        <v>1</v>
      </c>
      <c r="P157" s="751"/>
      <c r="Q157" s="752"/>
      <c r="R157" s="753">
        <f t="shared" si="139"/>
        <v>0</v>
      </c>
      <c r="S157" s="753">
        <f t="shared" si="140"/>
        <v>0</v>
      </c>
      <c r="T157" s="754">
        <f t="shared" si="141"/>
        <v>0</v>
      </c>
      <c r="V157" s="751"/>
      <c r="W157" s="751"/>
    </row>
    <row r="158" spans="1:23" x14ac:dyDescent="0.25">
      <c r="A158" s="756"/>
      <c r="B158" s="744" t="s">
        <v>210</v>
      </c>
      <c r="C158" s="745">
        <f t="shared" si="138"/>
        <v>0</v>
      </c>
      <c r="D158" s="745">
        <f t="shared" si="138"/>
        <v>0</v>
      </c>
      <c r="E158" s="746">
        <f t="shared" si="142"/>
        <v>0</v>
      </c>
      <c r="F158" s="745">
        <f t="shared" si="136"/>
        <v>0</v>
      </c>
      <c r="G158" s="747" t="e">
        <f t="shared" si="143"/>
        <v>#DIV/0!</v>
      </c>
      <c r="H158" s="744"/>
      <c r="I158" s="748"/>
      <c r="J158" s="759"/>
      <c r="K158" s="749"/>
      <c r="L158" s="749"/>
      <c r="M158" s="744" t="s">
        <v>741</v>
      </c>
      <c r="O158" s="750">
        <v>1</v>
      </c>
      <c r="P158" s="751"/>
      <c r="Q158" s="752"/>
      <c r="R158" s="753">
        <f t="shared" si="139"/>
        <v>0</v>
      </c>
      <c r="S158" s="753">
        <f t="shared" si="140"/>
        <v>0</v>
      </c>
      <c r="T158" s="754">
        <f t="shared" si="141"/>
        <v>0</v>
      </c>
      <c r="V158" s="751"/>
      <c r="W158" s="751"/>
    </row>
    <row r="159" spans="1:23" x14ac:dyDescent="0.25">
      <c r="A159" s="756"/>
      <c r="B159" s="744" t="s">
        <v>211</v>
      </c>
      <c r="C159" s="745">
        <f t="shared" si="138"/>
        <v>0</v>
      </c>
      <c r="D159" s="745">
        <f t="shared" si="138"/>
        <v>0</v>
      </c>
      <c r="E159" s="746"/>
      <c r="F159" s="745"/>
      <c r="G159" s="747"/>
      <c r="H159" s="744"/>
      <c r="I159" s="748"/>
      <c r="J159" s="749"/>
      <c r="K159" s="749"/>
      <c r="L159" s="749"/>
      <c r="M159" s="744" t="s">
        <v>741</v>
      </c>
      <c r="O159" s="750">
        <v>1</v>
      </c>
      <c r="P159" s="760"/>
      <c r="Q159" s="761"/>
      <c r="R159" s="766">
        <f t="shared" si="139"/>
        <v>0</v>
      </c>
      <c r="S159" s="766">
        <f t="shared" si="140"/>
        <v>0</v>
      </c>
      <c r="T159" s="762">
        <f t="shared" si="141"/>
        <v>0</v>
      </c>
      <c r="V159" s="760"/>
      <c r="W159" s="760"/>
    </row>
    <row r="160" spans="1:23" x14ac:dyDescent="0.25">
      <c r="A160" s="756"/>
      <c r="B160" s="744" t="s">
        <v>742</v>
      </c>
      <c r="C160" s="759"/>
      <c r="D160" s="759"/>
      <c r="E160" s="746"/>
      <c r="F160" s="745"/>
      <c r="G160" s="747"/>
      <c r="H160" s="744"/>
      <c r="I160" s="748"/>
      <c r="J160" s="749"/>
      <c r="K160" s="749"/>
      <c r="L160" s="749"/>
      <c r="M160" s="744" t="s">
        <v>741</v>
      </c>
      <c r="O160" s="750" t="e">
        <f>P160/T160</f>
        <v>#DIV/0!</v>
      </c>
      <c r="P160" s="754">
        <f>SUM(P154:P159)</f>
        <v>0</v>
      </c>
      <c r="Q160" s="750" t="e">
        <f>AVERAGE(Q154:Q159)</f>
        <v>#DIV/0!</v>
      </c>
      <c r="R160" s="753">
        <f>SUM(R154:R159)</f>
        <v>0</v>
      </c>
      <c r="S160" s="753">
        <f>SUM(S154:S159)</f>
        <v>0</v>
      </c>
      <c r="T160" s="754">
        <f>SUM(T154:T159)</f>
        <v>0</v>
      </c>
      <c r="V160" s="754">
        <f>SUM(V154:V159)</f>
        <v>0</v>
      </c>
      <c r="W160" s="754">
        <f>SUM(W154:W159)</f>
        <v>0</v>
      </c>
    </row>
    <row r="161" spans="1:23" x14ac:dyDescent="0.25">
      <c r="B161" s="763" t="s">
        <v>743</v>
      </c>
      <c r="P161" s="764">
        <f>P160-R160-S160</f>
        <v>0</v>
      </c>
    </row>
    <row r="162" spans="1:23" ht="33.75" x14ac:dyDescent="0.25">
      <c r="A162" s="741"/>
      <c r="B162" s="742" t="s">
        <v>206</v>
      </c>
      <c r="C162" s="742" t="s">
        <v>724</v>
      </c>
      <c r="D162" s="742" t="s">
        <v>725</v>
      </c>
      <c r="E162" s="742" t="s">
        <v>726</v>
      </c>
      <c r="F162" s="742" t="s">
        <v>727</v>
      </c>
      <c r="G162" s="742" t="s">
        <v>728</v>
      </c>
      <c r="H162" s="743" t="s">
        <v>729</v>
      </c>
      <c r="I162" s="742" t="s">
        <v>730</v>
      </c>
      <c r="J162" s="742" t="s">
        <v>731</v>
      </c>
      <c r="K162" s="742" t="s">
        <v>732</v>
      </c>
      <c r="L162" s="742" t="s">
        <v>733</v>
      </c>
      <c r="M162" s="743" t="s">
        <v>734</v>
      </c>
      <c r="O162" s="733" t="s">
        <v>735</v>
      </c>
      <c r="P162" s="733" t="s">
        <v>736</v>
      </c>
      <c r="Q162" s="733" t="s">
        <v>737</v>
      </c>
      <c r="R162" s="733" t="s">
        <v>738</v>
      </c>
      <c r="S162" s="733" t="s">
        <v>739</v>
      </c>
      <c r="V162" s="733" t="s">
        <v>731</v>
      </c>
      <c r="W162" s="733" t="s">
        <v>740</v>
      </c>
    </row>
    <row r="163" spans="1:23" x14ac:dyDescent="0.25">
      <c r="A163" s="741"/>
      <c r="B163" s="744" t="s">
        <v>207</v>
      </c>
      <c r="C163" s="745">
        <f>R163</f>
        <v>0</v>
      </c>
      <c r="D163" s="745">
        <f>S163</f>
        <v>0</v>
      </c>
      <c r="E163" s="746">
        <f t="shared" ref="E163:E165" si="144">SUM(C163:D163)</f>
        <v>0</v>
      </c>
      <c r="F163" s="745">
        <f t="shared" ref="F163:F167" si="145">T163</f>
        <v>0</v>
      </c>
      <c r="G163" s="747" t="e">
        <f t="shared" ref="G163:G164" si="146">E163/F163</f>
        <v>#DIV/0!</v>
      </c>
      <c r="H163" s="744"/>
      <c r="I163" s="748"/>
      <c r="J163" s="749"/>
      <c r="K163" s="749"/>
      <c r="L163" s="749"/>
      <c r="M163" s="744" t="s">
        <v>741</v>
      </c>
      <c r="O163" s="750">
        <v>1</v>
      </c>
      <c r="P163" s="751"/>
      <c r="Q163" s="752"/>
      <c r="R163" s="753">
        <f>P163-S163</f>
        <v>0</v>
      </c>
      <c r="S163" s="753">
        <f>P163*Q163</f>
        <v>0</v>
      </c>
      <c r="T163" s="754">
        <f>P163/O163</f>
        <v>0</v>
      </c>
      <c r="V163" s="751"/>
      <c r="W163" s="751"/>
    </row>
    <row r="164" spans="1:23" x14ac:dyDescent="0.25">
      <c r="A164" s="741"/>
      <c r="B164" s="744" t="s">
        <v>219</v>
      </c>
      <c r="C164" s="745">
        <f t="shared" ref="C164:D168" si="147">R164</f>
        <v>0</v>
      </c>
      <c r="D164" s="745">
        <f t="shared" si="147"/>
        <v>0</v>
      </c>
      <c r="E164" s="746">
        <f t="shared" si="144"/>
        <v>0</v>
      </c>
      <c r="F164" s="745">
        <f t="shared" si="145"/>
        <v>0</v>
      </c>
      <c r="G164" s="747" t="e">
        <f t="shared" si="146"/>
        <v>#DIV/0!</v>
      </c>
      <c r="H164" s="744"/>
      <c r="I164" s="748"/>
      <c r="J164" s="749"/>
      <c r="K164" s="759"/>
      <c r="L164" s="749"/>
      <c r="M164" s="744" t="s">
        <v>741</v>
      </c>
      <c r="O164" s="750">
        <v>1</v>
      </c>
      <c r="P164" s="751"/>
      <c r="Q164" s="752">
        <v>0</v>
      </c>
      <c r="R164" s="753">
        <f>P164-S164</f>
        <v>0</v>
      </c>
      <c r="S164" s="753">
        <f>P164*Q164</f>
        <v>0</v>
      </c>
      <c r="T164" s="754">
        <f>P164/O164</f>
        <v>0</v>
      </c>
      <c r="V164" s="751"/>
      <c r="W164" s="751"/>
    </row>
    <row r="165" spans="1:23" x14ac:dyDescent="0.25">
      <c r="A165" s="756"/>
      <c r="B165" s="744" t="s">
        <v>208</v>
      </c>
      <c r="C165" s="745">
        <f t="shared" si="147"/>
        <v>0</v>
      </c>
      <c r="D165" s="745">
        <f t="shared" si="147"/>
        <v>0</v>
      </c>
      <c r="E165" s="746">
        <f t="shared" si="144"/>
        <v>0</v>
      </c>
      <c r="F165" s="745">
        <f t="shared" si="145"/>
        <v>0</v>
      </c>
      <c r="G165" s="757"/>
      <c r="H165" s="744"/>
      <c r="I165" s="758"/>
      <c r="J165" s="749"/>
      <c r="K165" s="749"/>
      <c r="L165" s="749"/>
      <c r="M165" s="744" t="s">
        <v>741</v>
      </c>
      <c r="O165" s="750">
        <v>1</v>
      </c>
      <c r="P165" s="751"/>
      <c r="Q165" s="752"/>
      <c r="R165" s="753">
        <f t="shared" ref="R165:R168" si="148">P165-S165</f>
        <v>0</v>
      </c>
      <c r="S165" s="753">
        <f t="shared" ref="S165:S168" si="149">P165*Q165</f>
        <v>0</v>
      </c>
      <c r="T165" s="754">
        <f t="shared" ref="T165:T168" si="150">P165/O165</f>
        <v>0</v>
      </c>
      <c r="V165" s="751"/>
      <c r="W165" s="751"/>
    </row>
    <row r="166" spans="1:23" x14ac:dyDescent="0.25">
      <c r="A166" s="756"/>
      <c r="B166" s="744" t="s">
        <v>209</v>
      </c>
      <c r="C166" s="745">
        <f t="shared" si="147"/>
        <v>0</v>
      </c>
      <c r="D166" s="745">
        <f t="shared" si="147"/>
        <v>0</v>
      </c>
      <c r="E166" s="746">
        <f t="shared" ref="E166:E167" si="151">SUM(C166:D166)</f>
        <v>0</v>
      </c>
      <c r="F166" s="745">
        <f t="shared" si="145"/>
        <v>0</v>
      </c>
      <c r="G166" s="747" t="e">
        <f t="shared" ref="G166:G167" si="152">E166/F166</f>
        <v>#DIV/0!</v>
      </c>
      <c r="H166" s="744"/>
      <c r="I166" s="748"/>
      <c r="J166" s="759"/>
      <c r="K166" s="749"/>
      <c r="L166" s="749"/>
      <c r="M166" s="744" t="s">
        <v>741</v>
      </c>
      <c r="O166" s="750">
        <v>1</v>
      </c>
      <c r="P166" s="751"/>
      <c r="Q166" s="752"/>
      <c r="R166" s="753">
        <f t="shared" si="148"/>
        <v>0</v>
      </c>
      <c r="S166" s="753">
        <f t="shared" si="149"/>
        <v>0</v>
      </c>
      <c r="T166" s="754">
        <f t="shared" si="150"/>
        <v>0</v>
      </c>
      <c r="V166" s="751"/>
      <c r="W166" s="751"/>
    </row>
    <row r="167" spans="1:23" x14ac:dyDescent="0.25">
      <c r="A167" s="756"/>
      <c r="B167" s="744" t="s">
        <v>210</v>
      </c>
      <c r="C167" s="745">
        <f t="shared" si="147"/>
        <v>0</v>
      </c>
      <c r="D167" s="745">
        <f t="shared" si="147"/>
        <v>0</v>
      </c>
      <c r="E167" s="746">
        <f t="shared" si="151"/>
        <v>0</v>
      </c>
      <c r="F167" s="745">
        <f t="shared" si="145"/>
        <v>0</v>
      </c>
      <c r="G167" s="747" t="e">
        <f t="shared" si="152"/>
        <v>#DIV/0!</v>
      </c>
      <c r="H167" s="744"/>
      <c r="I167" s="748"/>
      <c r="J167" s="759"/>
      <c r="K167" s="749"/>
      <c r="L167" s="749"/>
      <c r="M167" s="744" t="s">
        <v>741</v>
      </c>
      <c r="O167" s="750">
        <v>1</v>
      </c>
      <c r="P167" s="751"/>
      <c r="Q167" s="752">
        <v>0</v>
      </c>
      <c r="R167" s="753">
        <f t="shared" si="148"/>
        <v>0</v>
      </c>
      <c r="S167" s="753">
        <f t="shared" si="149"/>
        <v>0</v>
      </c>
      <c r="T167" s="754">
        <f t="shared" si="150"/>
        <v>0</v>
      </c>
      <c r="V167" s="751"/>
      <c r="W167" s="751"/>
    </row>
    <row r="168" spans="1:23" x14ac:dyDescent="0.25">
      <c r="A168" s="756"/>
      <c r="B168" s="744" t="s">
        <v>211</v>
      </c>
      <c r="C168" s="745">
        <f t="shared" si="147"/>
        <v>0</v>
      </c>
      <c r="D168" s="745">
        <f t="shared" si="147"/>
        <v>0</v>
      </c>
      <c r="E168" s="746"/>
      <c r="F168" s="745"/>
      <c r="G168" s="747"/>
      <c r="H168" s="744"/>
      <c r="I168" s="748"/>
      <c r="J168" s="749"/>
      <c r="K168" s="749"/>
      <c r="L168" s="749"/>
      <c r="M168" s="744" t="s">
        <v>741</v>
      </c>
      <c r="O168" s="750">
        <v>1</v>
      </c>
      <c r="P168" s="760"/>
      <c r="Q168" s="761"/>
      <c r="R168" s="766">
        <f t="shared" si="148"/>
        <v>0</v>
      </c>
      <c r="S168" s="766">
        <f t="shared" si="149"/>
        <v>0</v>
      </c>
      <c r="T168" s="762">
        <f t="shared" si="150"/>
        <v>0</v>
      </c>
      <c r="V168" s="760"/>
      <c r="W168" s="760"/>
    </row>
    <row r="169" spans="1:23" x14ac:dyDescent="0.25">
      <c r="A169" s="756"/>
      <c r="B169" s="744" t="s">
        <v>742</v>
      </c>
      <c r="C169" s="759"/>
      <c r="D169" s="759"/>
      <c r="E169" s="746"/>
      <c r="F169" s="745"/>
      <c r="G169" s="747"/>
      <c r="H169" s="744"/>
      <c r="I169" s="748"/>
      <c r="J169" s="749"/>
      <c r="K169" s="749"/>
      <c r="L169" s="749"/>
      <c r="M169" s="744" t="s">
        <v>741</v>
      </c>
      <c r="O169" s="750" t="e">
        <f>P169/T169</f>
        <v>#DIV/0!</v>
      </c>
      <c r="P169" s="754">
        <f>SUM(P163:P168)</f>
        <v>0</v>
      </c>
      <c r="Q169" s="750">
        <f>AVERAGE(Q163:Q168)</f>
        <v>0</v>
      </c>
      <c r="R169" s="753">
        <f>SUM(R163:R168)</f>
        <v>0</v>
      </c>
      <c r="S169" s="753">
        <f>SUM(S163:S168)</f>
        <v>0</v>
      </c>
      <c r="T169" s="754">
        <f>SUM(T163:T168)</f>
        <v>0</v>
      </c>
      <c r="V169" s="754">
        <f>SUM(V163:V168)</f>
        <v>0</v>
      </c>
      <c r="W169" s="754">
        <f>SUM(W163:W168)</f>
        <v>0</v>
      </c>
    </row>
    <row r="170" spans="1:23" x14ac:dyDescent="0.25">
      <c r="B170" s="763" t="s">
        <v>743</v>
      </c>
      <c r="P170" s="764">
        <f>P169-R169-S169</f>
        <v>0</v>
      </c>
    </row>
    <row r="171" spans="1:23" ht="33.75" x14ac:dyDescent="0.25">
      <c r="A171" s="741"/>
      <c r="B171" s="742" t="s">
        <v>206</v>
      </c>
      <c r="C171" s="742" t="s">
        <v>724</v>
      </c>
      <c r="D171" s="742" t="s">
        <v>725</v>
      </c>
      <c r="E171" s="742" t="s">
        <v>726</v>
      </c>
      <c r="F171" s="742" t="s">
        <v>727</v>
      </c>
      <c r="G171" s="742" t="s">
        <v>728</v>
      </c>
      <c r="H171" s="743" t="s">
        <v>729</v>
      </c>
      <c r="I171" s="742" t="s">
        <v>730</v>
      </c>
      <c r="J171" s="742" t="s">
        <v>731</v>
      </c>
      <c r="K171" s="742" t="s">
        <v>732</v>
      </c>
      <c r="L171" s="742" t="s">
        <v>733</v>
      </c>
      <c r="M171" s="743" t="s">
        <v>734</v>
      </c>
      <c r="O171" s="733" t="s">
        <v>735</v>
      </c>
      <c r="P171" s="733" t="s">
        <v>736</v>
      </c>
      <c r="Q171" s="733" t="s">
        <v>737</v>
      </c>
      <c r="R171" s="733" t="s">
        <v>738</v>
      </c>
      <c r="S171" s="733" t="s">
        <v>739</v>
      </c>
      <c r="V171" s="733" t="s">
        <v>731</v>
      </c>
      <c r="W171" s="733" t="s">
        <v>740</v>
      </c>
    </row>
    <row r="172" spans="1:23" x14ac:dyDescent="0.25">
      <c r="A172" s="741"/>
      <c r="B172" s="744" t="s">
        <v>207</v>
      </c>
      <c r="C172" s="745">
        <f>R172</f>
        <v>0</v>
      </c>
      <c r="D172" s="745">
        <f>S172</f>
        <v>0</v>
      </c>
      <c r="E172" s="746">
        <f t="shared" ref="E172:E174" si="153">SUM(C172:D172)</f>
        <v>0</v>
      </c>
      <c r="F172" s="745">
        <f t="shared" ref="F172:F176" si="154">T172</f>
        <v>0</v>
      </c>
      <c r="G172" s="747" t="e">
        <f t="shared" ref="G172:G173" si="155">E172/F172</f>
        <v>#DIV/0!</v>
      </c>
      <c r="H172" s="744"/>
      <c r="I172" s="748"/>
      <c r="J172" s="749"/>
      <c r="K172" s="749"/>
      <c r="L172" s="749"/>
      <c r="M172" s="744" t="s">
        <v>741</v>
      </c>
      <c r="O172" s="750">
        <v>1</v>
      </c>
      <c r="P172" s="751"/>
      <c r="Q172" s="752"/>
      <c r="R172" s="753">
        <f>P172-S172</f>
        <v>0</v>
      </c>
      <c r="S172" s="753">
        <f>P172*Q172</f>
        <v>0</v>
      </c>
      <c r="T172" s="754">
        <f>P172/O172</f>
        <v>0</v>
      </c>
      <c r="V172" s="751"/>
      <c r="W172" s="751"/>
    </row>
    <row r="173" spans="1:23" x14ac:dyDescent="0.25">
      <c r="A173" s="741"/>
      <c r="B173" s="744" t="s">
        <v>219</v>
      </c>
      <c r="C173" s="745">
        <f t="shared" ref="C173:D177" si="156">R173</f>
        <v>0</v>
      </c>
      <c r="D173" s="745">
        <f t="shared" si="156"/>
        <v>0</v>
      </c>
      <c r="E173" s="746">
        <f t="shared" si="153"/>
        <v>0</v>
      </c>
      <c r="F173" s="745">
        <f t="shared" si="154"/>
        <v>0</v>
      </c>
      <c r="G173" s="747" t="e">
        <f t="shared" si="155"/>
        <v>#DIV/0!</v>
      </c>
      <c r="H173" s="744"/>
      <c r="I173" s="748"/>
      <c r="J173" s="749"/>
      <c r="K173" s="759"/>
      <c r="L173" s="749"/>
      <c r="M173" s="744" t="s">
        <v>741</v>
      </c>
      <c r="O173" s="750">
        <v>1</v>
      </c>
      <c r="P173" s="751"/>
      <c r="Q173" s="752">
        <v>0</v>
      </c>
      <c r="R173" s="753">
        <f>P173-S173</f>
        <v>0</v>
      </c>
      <c r="S173" s="753">
        <f>P173*Q173</f>
        <v>0</v>
      </c>
      <c r="T173" s="754">
        <f>P173/O173</f>
        <v>0</v>
      </c>
      <c r="V173" s="751"/>
      <c r="W173" s="751"/>
    </row>
    <row r="174" spans="1:23" x14ac:dyDescent="0.25">
      <c r="A174" s="756"/>
      <c r="B174" s="744" t="s">
        <v>208</v>
      </c>
      <c r="C174" s="745">
        <f t="shared" si="156"/>
        <v>0</v>
      </c>
      <c r="D174" s="745">
        <f t="shared" si="156"/>
        <v>0</v>
      </c>
      <c r="E174" s="746">
        <f t="shared" si="153"/>
        <v>0</v>
      </c>
      <c r="F174" s="745">
        <f t="shared" si="154"/>
        <v>0</v>
      </c>
      <c r="G174" s="757"/>
      <c r="H174" s="744"/>
      <c r="I174" s="758"/>
      <c r="J174" s="749"/>
      <c r="K174" s="749"/>
      <c r="L174" s="749"/>
      <c r="M174" s="744" t="s">
        <v>741</v>
      </c>
      <c r="O174" s="750">
        <v>1</v>
      </c>
      <c r="P174" s="751"/>
      <c r="Q174" s="752"/>
      <c r="R174" s="753">
        <f t="shared" ref="R174:R177" si="157">P174-S174</f>
        <v>0</v>
      </c>
      <c r="S174" s="753">
        <f t="shared" ref="S174:S177" si="158">P174*Q174</f>
        <v>0</v>
      </c>
      <c r="T174" s="754">
        <f t="shared" ref="T174:T177" si="159">P174/O174</f>
        <v>0</v>
      </c>
      <c r="V174" s="751"/>
      <c r="W174" s="751"/>
    </row>
    <row r="175" spans="1:23" x14ac:dyDescent="0.25">
      <c r="A175" s="756"/>
      <c r="B175" s="744" t="s">
        <v>209</v>
      </c>
      <c r="C175" s="745">
        <f t="shared" si="156"/>
        <v>0</v>
      </c>
      <c r="D175" s="745">
        <f t="shared" si="156"/>
        <v>0</v>
      </c>
      <c r="E175" s="746">
        <f t="shared" ref="E175:E176" si="160">SUM(C175:D175)</f>
        <v>0</v>
      </c>
      <c r="F175" s="745">
        <f t="shared" si="154"/>
        <v>0</v>
      </c>
      <c r="G175" s="747" t="e">
        <f t="shared" ref="G175:G176" si="161">E175/F175</f>
        <v>#DIV/0!</v>
      </c>
      <c r="H175" s="744"/>
      <c r="I175" s="748"/>
      <c r="J175" s="759"/>
      <c r="K175" s="749"/>
      <c r="L175" s="749"/>
      <c r="M175" s="744" t="s">
        <v>741</v>
      </c>
      <c r="O175" s="750">
        <v>1</v>
      </c>
      <c r="P175" s="751"/>
      <c r="Q175" s="752"/>
      <c r="R175" s="753">
        <f t="shared" si="157"/>
        <v>0</v>
      </c>
      <c r="S175" s="753">
        <f t="shared" si="158"/>
        <v>0</v>
      </c>
      <c r="T175" s="754">
        <f t="shared" si="159"/>
        <v>0</v>
      </c>
      <c r="V175" s="751"/>
      <c r="W175" s="751"/>
    </row>
    <row r="176" spans="1:23" x14ac:dyDescent="0.25">
      <c r="A176" s="756"/>
      <c r="B176" s="744" t="s">
        <v>210</v>
      </c>
      <c r="C176" s="745">
        <f t="shared" si="156"/>
        <v>0</v>
      </c>
      <c r="D176" s="745">
        <f t="shared" si="156"/>
        <v>0</v>
      </c>
      <c r="E176" s="746">
        <f t="shared" si="160"/>
        <v>0</v>
      </c>
      <c r="F176" s="745">
        <f t="shared" si="154"/>
        <v>0</v>
      </c>
      <c r="G176" s="747" t="e">
        <f t="shared" si="161"/>
        <v>#DIV/0!</v>
      </c>
      <c r="H176" s="744"/>
      <c r="I176" s="748"/>
      <c r="J176" s="759"/>
      <c r="K176" s="749"/>
      <c r="L176" s="749"/>
      <c r="M176" s="744" t="s">
        <v>741</v>
      </c>
      <c r="O176" s="750">
        <v>1</v>
      </c>
      <c r="P176" s="751"/>
      <c r="Q176" s="752">
        <v>0</v>
      </c>
      <c r="R176" s="753">
        <f t="shared" si="157"/>
        <v>0</v>
      </c>
      <c r="S176" s="753">
        <f t="shared" si="158"/>
        <v>0</v>
      </c>
      <c r="T176" s="754">
        <f t="shared" si="159"/>
        <v>0</v>
      </c>
      <c r="V176" s="751"/>
      <c r="W176" s="751"/>
    </row>
    <row r="177" spans="1:23" x14ac:dyDescent="0.25">
      <c r="A177" s="756"/>
      <c r="B177" s="744" t="s">
        <v>211</v>
      </c>
      <c r="C177" s="745">
        <f t="shared" si="156"/>
        <v>0</v>
      </c>
      <c r="D177" s="745">
        <f t="shared" si="156"/>
        <v>0</v>
      </c>
      <c r="E177" s="746"/>
      <c r="F177" s="745"/>
      <c r="G177" s="747"/>
      <c r="H177" s="744"/>
      <c r="I177" s="748"/>
      <c r="J177" s="749"/>
      <c r="K177" s="749"/>
      <c r="L177" s="749"/>
      <c r="M177" s="744" t="s">
        <v>741</v>
      </c>
      <c r="O177" s="750">
        <v>1</v>
      </c>
      <c r="P177" s="760"/>
      <c r="Q177" s="761"/>
      <c r="R177" s="766">
        <f t="shared" si="157"/>
        <v>0</v>
      </c>
      <c r="S177" s="766">
        <f t="shared" si="158"/>
        <v>0</v>
      </c>
      <c r="T177" s="762">
        <f t="shared" si="159"/>
        <v>0</v>
      </c>
      <c r="V177" s="760"/>
      <c r="W177" s="760"/>
    </row>
    <row r="178" spans="1:23" x14ac:dyDescent="0.25">
      <c r="A178" s="756"/>
      <c r="B178" s="744" t="s">
        <v>742</v>
      </c>
      <c r="C178" s="759"/>
      <c r="D178" s="759"/>
      <c r="E178" s="746"/>
      <c r="F178" s="745"/>
      <c r="G178" s="747"/>
      <c r="H178" s="744"/>
      <c r="I178" s="748"/>
      <c r="J178" s="749"/>
      <c r="K178" s="749"/>
      <c r="L178" s="749"/>
      <c r="M178" s="744" t="s">
        <v>741</v>
      </c>
      <c r="O178" s="750" t="e">
        <f>P178/T178</f>
        <v>#DIV/0!</v>
      </c>
      <c r="P178" s="754">
        <f>SUM(P172:P177)</f>
        <v>0</v>
      </c>
      <c r="Q178" s="750">
        <f>AVERAGE(Q172:Q177)</f>
        <v>0</v>
      </c>
      <c r="R178" s="753">
        <f>SUM(R172:R177)</f>
        <v>0</v>
      </c>
      <c r="S178" s="753">
        <f>SUM(S172:S177)</f>
        <v>0</v>
      </c>
      <c r="T178" s="754">
        <f>SUM(T172:T177)</f>
        <v>0</v>
      </c>
      <c r="V178" s="754">
        <f>SUM(V172:V177)</f>
        <v>0</v>
      </c>
      <c r="W178" s="754">
        <f>SUM(W172:W177)</f>
        <v>0</v>
      </c>
    </row>
    <row r="179" spans="1:23" x14ac:dyDescent="0.25">
      <c r="B179" s="763" t="s">
        <v>743</v>
      </c>
      <c r="P179" s="764">
        <f>P178-R178-S178</f>
        <v>0</v>
      </c>
    </row>
    <row r="180" spans="1:23" ht="33.75" x14ac:dyDescent="0.25">
      <c r="A180" s="741"/>
      <c r="B180" s="742" t="s">
        <v>206</v>
      </c>
      <c r="C180" s="742" t="s">
        <v>724</v>
      </c>
      <c r="D180" s="742" t="s">
        <v>725</v>
      </c>
      <c r="E180" s="742" t="s">
        <v>726</v>
      </c>
      <c r="F180" s="742" t="s">
        <v>727</v>
      </c>
      <c r="G180" s="742" t="s">
        <v>728</v>
      </c>
      <c r="H180" s="743" t="s">
        <v>729</v>
      </c>
      <c r="I180" s="742" t="s">
        <v>730</v>
      </c>
      <c r="J180" s="742" t="s">
        <v>731</v>
      </c>
      <c r="K180" s="742" t="s">
        <v>732</v>
      </c>
      <c r="L180" s="742" t="s">
        <v>733</v>
      </c>
      <c r="M180" s="743" t="s">
        <v>734</v>
      </c>
      <c r="O180" s="733" t="s">
        <v>735</v>
      </c>
      <c r="P180" s="733" t="s">
        <v>736</v>
      </c>
      <c r="Q180" s="733" t="s">
        <v>737</v>
      </c>
      <c r="R180" s="733" t="s">
        <v>738</v>
      </c>
      <c r="S180" s="733" t="s">
        <v>739</v>
      </c>
      <c r="V180" s="733" t="s">
        <v>731</v>
      </c>
      <c r="W180" s="733" t="s">
        <v>740</v>
      </c>
    </row>
    <row r="181" spans="1:23" x14ac:dyDescent="0.25">
      <c r="A181" s="741"/>
      <c r="B181" s="744" t="s">
        <v>207</v>
      </c>
      <c r="C181" s="745">
        <f>R181</f>
        <v>0</v>
      </c>
      <c r="D181" s="745">
        <f>S181</f>
        <v>0</v>
      </c>
      <c r="E181" s="746">
        <f t="shared" ref="E181:E183" si="162">SUM(C181:D181)</f>
        <v>0</v>
      </c>
      <c r="F181" s="745">
        <f t="shared" ref="F181:F185" si="163">T181</f>
        <v>0</v>
      </c>
      <c r="G181" s="747" t="e">
        <f t="shared" ref="G181:G182" si="164">E181/F181</f>
        <v>#DIV/0!</v>
      </c>
      <c r="H181" s="744"/>
      <c r="I181" s="748"/>
      <c r="J181" s="749"/>
      <c r="K181" s="749"/>
      <c r="L181" s="749"/>
      <c r="M181" s="744" t="s">
        <v>741</v>
      </c>
      <c r="O181" s="750">
        <v>1</v>
      </c>
      <c r="P181" s="751"/>
      <c r="Q181" s="752"/>
      <c r="R181" s="753">
        <f>P181-S181</f>
        <v>0</v>
      </c>
      <c r="S181" s="753">
        <f>P181*Q181</f>
        <v>0</v>
      </c>
      <c r="T181" s="754">
        <f>P181/O181</f>
        <v>0</v>
      </c>
      <c r="V181" s="751"/>
      <c r="W181" s="751"/>
    </row>
    <row r="182" spans="1:23" x14ac:dyDescent="0.25">
      <c r="A182" s="741"/>
      <c r="B182" s="744" t="s">
        <v>219</v>
      </c>
      <c r="C182" s="745">
        <f t="shared" ref="C182:D186" si="165">R182</f>
        <v>0</v>
      </c>
      <c r="D182" s="745">
        <f t="shared" si="165"/>
        <v>0</v>
      </c>
      <c r="E182" s="746">
        <f t="shared" si="162"/>
        <v>0</v>
      </c>
      <c r="F182" s="745">
        <f t="shared" si="163"/>
        <v>0</v>
      </c>
      <c r="G182" s="747" t="e">
        <f t="shared" si="164"/>
        <v>#DIV/0!</v>
      </c>
      <c r="H182" s="744"/>
      <c r="I182" s="748"/>
      <c r="J182" s="749"/>
      <c r="K182" s="759"/>
      <c r="L182" s="749"/>
      <c r="M182" s="744" t="s">
        <v>741</v>
      </c>
      <c r="O182" s="750">
        <v>1</v>
      </c>
      <c r="P182" s="751"/>
      <c r="Q182" s="752">
        <v>0</v>
      </c>
      <c r="R182" s="753">
        <f>P182-S182</f>
        <v>0</v>
      </c>
      <c r="S182" s="753">
        <f>P182*Q182</f>
        <v>0</v>
      </c>
      <c r="T182" s="754">
        <f>P182/O182</f>
        <v>0</v>
      </c>
      <c r="V182" s="751"/>
      <c r="W182" s="751"/>
    </row>
    <row r="183" spans="1:23" x14ac:dyDescent="0.25">
      <c r="A183" s="756"/>
      <c r="B183" s="744" t="s">
        <v>208</v>
      </c>
      <c r="C183" s="745">
        <f t="shared" si="165"/>
        <v>0</v>
      </c>
      <c r="D183" s="745">
        <f t="shared" si="165"/>
        <v>0</v>
      </c>
      <c r="E183" s="746">
        <f t="shared" si="162"/>
        <v>0</v>
      </c>
      <c r="F183" s="745">
        <f t="shared" si="163"/>
        <v>0</v>
      </c>
      <c r="G183" s="757"/>
      <c r="H183" s="744"/>
      <c r="I183" s="758"/>
      <c r="J183" s="749"/>
      <c r="K183" s="749"/>
      <c r="L183" s="749"/>
      <c r="M183" s="744" t="s">
        <v>741</v>
      </c>
      <c r="O183" s="750">
        <v>1</v>
      </c>
      <c r="P183" s="751"/>
      <c r="Q183" s="752"/>
      <c r="R183" s="753">
        <f t="shared" ref="R183:R186" si="166">P183-S183</f>
        <v>0</v>
      </c>
      <c r="S183" s="753">
        <f t="shared" ref="S183:S186" si="167">P183*Q183</f>
        <v>0</v>
      </c>
      <c r="T183" s="754">
        <f t="shared" ref="T183:T186" si="168">P183/O183</f>
        <v>0</v>
      </c>
      <c r="V183" s="751"/>
      <c r="W183" s="751"/>
    </row>
    <row r="184" spans="1:23" x14ac:dyDescent="0.25">
      <c r="A184" s="756"/>
      <c r="B184" s="744" t="s">
        <v>209</v>
      </c>
      <c r="C184" s="745">
        <f t="shared" si="165"/>
        <v>0</v>
      </c>
      <c r="D184" s="745">
        <f t="shared" si="165"/>
        <v>0</v>
      </c>
      <c r="E184" s="746">
        <f t="shared" ref="E184:E185" si="169">SUM(C184:D184)</f>
        <v>0</v>
      </c>
      <c r="F184" s="745">
        <f t="shared" si="163"/>
        <v>0</v>
      </c>
      <c r="G184" s="747" t="e">
        <f t="shared" ref="G184:G185" si="170">E184/F184</f>
        <v>#DIV/0!</v>
      </c>
      <c r="H184" s="744"/>
      <c r="I184" s="748"/>
      <c r="J184" s="759"/>
      <c r="K184" s="749"/>
      <c r="L184" s="749"/>
      <c r="M184" s="744" t="s">
        <v>741</v>
      </c>
      <c r="O184" s="750">
        <v>1</v>
      </c>
      <c r="P184" s="751"/>
      <c r="Q184" s="752"/>
      <c r="R184" s="753">
        <f t="shared" si="166"/>
        <v>0</v>
      </c>
      <c r="S184" s="753">
        <f t="shared" si="167"/>
        <v>0</v>
      </c>
      <c r="T184" s="754">
        <f t="shared" si="168"/>
        <v>0</v>
      </c>
      <c r="V184" s="751"/>
      <c r="W184" s="751"/>
    </row>
    <row r="185" spans="1:23" x14ac:dyDescent="0.25">
      <c r="A185" s="756"/>
      <c r="B185" s="744" t="s">
        <v>210</v>
      </c>
      <c r="C185" s="745">
        <f t="shared" si="165"/>
        <v>0</v>
      </c>
      <c r="D185" s="745">
        <f t="shared" si="165"/>
        <v>0</v>
      </c>
      <c r="E185" s="746">
        <f t="shared" si="169"/>
        <v>0</v>
      </c>
      <c r="F185" s="745">
        <f t="shared" si="163"/>
        <v>0</v>
      </c>
      <c r="G185" s="747" t="e">
        <f t="shared" si="170"/>
        <v>#DIV/0!</v>
      </c>
      <c r="H185" s="744"/>
      <c r="I185" s="748"/>
      <c r="J185" s="759"/>
      <c r="K185" s="749"/>
      <c r="L185" s="749"/>
      <c r="M185" s="744" t="s">
        <v>741</v>
      </c>
      <c r="O185" s="750">
        <v>1</v>
      </c>
      <c r="P185" s="751"/>
      <c r="Q185" s="752">
        <v>0</v>
      </c>
      <c r="R185" s="753">
        <f t="shared" si="166"/>
        <v>0</v>
      </c>
      <c r="S185" s="753">
        <f t="shared" si="167"/>
        <v>0</v>
      </c>
      <c r="T185" s="754">
        <f t="shared" si="168"/>
        <v>0</v>
      </c>
      <c r="V185" s="751"/>
      <c r="W185" s="751"/>
    </row>
    <row r="186" spans="1:23" x14ac:dyDescent="0.25">
      <c r="A186" s="756"/>
      <c r="B186" s="744" t="s">
        <v>211</v>
      </c>
      <c r="C186" s="745">
        <f t="shared" si="165"/>
        <v>0</v>
      </c>
      <c r="D186" s="745">
        <f t="shared" si="165"/>
        <v>0</v>
      </c>
      <c r="E186" s="746"/>
      <c r="F186" s="745"/>
      <c r="G186" s="747"/>
      <c r="H186" s="744"/>
      <c r="I186" s="748"/>
      <c r="J186" s="749"/>
      <c r="K186" s="749"/>
      <c r="L186" s="749"/>
      <c r="M186" s="744" t="s">
        <v>741</v>
      </c>
      <c r="O186" s="750">
        <v>1</v>
      </c>
      <c r="P186" s="760"/>
      <c r="Q186" s="761"/>
      <c r="R186" s="766">
        <f t="shared" si="166"/>
        <v>0</v>
      </c>
      <c r="S186" s="766">
        <f t="shared" si="167"/>
        <v>0</v>
      </c>
      <c r="T186" s="762">
        <f t="shared" si="168"/>
        <v>0</v>
      </c>
      <c r="V186" s="760"/>
      <c r="W186" s="760"/>
    </row>
    <row r="187" spans="1:23" x14ac:dyDescent="0.25">
      <c r="A187" s="756"/>
      <c r="B187" s="744" t="s">
        <v>742</v>
      </c>
      <c r="C187" s="759"/>
      <c r="D187" s="759"/>
      <c r="E187" s="746"/>
      <c r="F187" s="745"/>
      <c r="G187" s="747"/>
      <c r="H187" s="744"/>
      <c r="I187" s="748"/>
      <c r="J187" s="749"/>
      <c r="K187" s="749"/>
      <c r="L187" s="749"/>
      <c r="M187" s="744" t="s">
        <v>741</v>
      </c>
      <c r="O187" s="750" t="e">
        <f>P187/T187</f>
        <v>#DIV/0!</v>
      </c>
      <c r="P187" s="754">
        <f>SUM(P181:P186)</f>
        <v>0</v>
      </c>
      <c r="Q187" s="750">
        <f>AVERAGE(Q181:Q186)</f>
        <v>0</v>
      </c>
      <c r="R187" s="753">
        <f>SUM(R181:R186)</f>
        <v>0</v>
      </c>
      <c r="S187" s="753">
        <f>SUM(S181:S186)</f>
        <v>0</v>
      </c>
      <c r="T187" s="754">
        <f>SUM(T181:T186)</f>
        <v>0</v>
      </c>
      <c r="V187" s="754">
        <f>SUM(V181:V186)</f>
        <v>0</v>
      </c>
      <c r="W187" s="754">
        <f>SUM(W181:W186)</f>
        <v>0</v>
      </c>
    </row>
    <row r="188" spans="1:23" x14ac:dyDescent="0.25">
      <c r="B188" s="763" t="s">
        <v>743</v>
      </c>
      <c r="P188" s="764">
        <f>P187-R187-S187</f>
        <v>0</v>
      </c>
    </row>
    <row r="189" spans="1:23" ht="33.75" x14ac:dyDescent="0.25">
      <c r="A189" s="741"/>
      <c r="B189" s="742" t="s">
        <v>206</v>
      </c>
      <c r="C189" s="742" t="s">
        <v>724</v>
      </c>
      <c r="D189" s="742" t="s">
        <v>725</v>
      </c>
      <c r="E189" s="742" t="s">
        <v>726</v>
      </c>
      <c r="F189" s="742" t="s">
        <v>727</v>
      </c>
      <c r="G189" s="742" t="s">
        <v>728</v>
      </c>
      <c r="H189" s="743" t="s">
        <v>729</v>
      </c>
      <c r="I189" s="742" t="s">
        <v>730</v>
      </c>
      <c r="J189" s="742" t="s">
        <v>731</v>
      </c>
      <c r="K189" s="742" t="s">
        <v>732</v>
      </c>
      <c r="L189" s="742" t="s">
        <v>733</v>
      </c>
      <c r="M189" s="743" t="s">
        <v>734</v>
      </c>
      <c r="O189" s="733" t="s">
        <v>735</v>
      </c>
      <c r="P189" s="733" t="s">
        <v>736</v>
      </c>
      <c r="Q189" s="733" t="s">
        <v>737</v>
      </c>
      <c r="R189" s="733" t="s">
        <v>738</v>
      </c>
      <c r="S189" s="733" t="s">
        <v>739</v>
      </c>
      <c r="V189" s="733" t="s">
        <v>731</v>
      </c>
      <c r="W189" s="733" t="s">
        <v>740</v>
      </c>
    </row>
    <row r="190" spans="1:23" x14ac:dyDescent="0.25">
      <c r="A190" s="741"/>
      <c r="B190" s="744" t="s">
        <v>207</v>
      </c>
      <c r="C190" s="745">
        <f>R190</f>
        <v>0</v>
      </c>
      <c r="D190" s="745">
        <f>S190</f>
        <v>0</v>
      </c>
      <c r="E190" s="746">
        <f t="shared" ref="E190:E192" si="171">SUM(C190:D190)</f>
        <v>0</v>
      </c>
      <c r="F190" s="745">
        <f t="shared" ref="F190:F194" si="172">T190</f>
        <v>0</v>
      </c>
      <c r="G190" s="747" t="e">
        <f t="shared" ref="G190:G191" si="173">E190/F190</f>
        <v>#DIV/0!</v>
      </c>
      <c r="H190" s="744"/>
      <c r="I190" s="748"/>
      <c r="J190" s="749"/>
      <c r="K190" s="749"/>
      <c r="L190" s="749"/>
      <c r="M190" s="744" t="s">
        <v>741</v>
      </c>
      <c r="O190" s="750">
        <v>1</v>
      </c>
      <c r="P190" s="751"/>
      <c r="Q190" s="752"/>
      <c r="R190" s="753">
        <f>P190-S190</f>
        <v>0</v>
      </c>
      <c r="S190" s="753">
        <f>P190*Q190</f>
        <v>0</v>
      </c>
      <c r="T190" s="754">
        <f>P190/O190</f>
        <v>0</v>
      </c>
      <c r="V190" s="751"/>
      <c r="W190" s="751"/>
    </row>
    <row r="191" spans="1:23" x14ac:dyDescent="0.25">
      <c r="A191" s="741"/>
      <c r="B191" s="744" t="s">
        <v>219</v>
      </c>
      <c r="C191" s="745">
        <f t="shared" ref="C191:D195" si="174">R191</f>
        <v>0</v>
      </c>
      <c r="D191" s="745">
        <f t="shared" si="174"/>
        <v>0</v>
      </c>
      <c r="E191" s="746">
        <f t="shared" si="171"/>
        <v>0</v>
      </c>
      <c r="F191" s="745">
        <f t="shared" si="172"/>
        <v>0</v>
      </c>
      <c r="G191" s="747" t="e">
        <f t="shared" si="173"/>
        <v>#DIV/0!</v>
      </c>
      <c r="H191" s="744"/>
      <c r="I191" s="748"/>
      <c r="J191" s="749"/>
      <c r="K191" s="759"/>
      <c r="L191" s="749"/>
      <c r="M191" s="744" t="s">
        <v>741</v>
      </c>
      <c r="O191" s="750">
        <v>1</v>
      </c>
      <c r="P191" s="751"/>
      <c r="Q191" s="752">
        <v>0</v>
      </c>
      <c r="R191" s="753">
        <f>P191-S191</f>
        <v>0</v>
      </c>
      <c r="S191" s="753">
        <f>P191*Q191</f>
        <v>0</v>
      </c>
      <c r="T191" s="754">
        <f>P191/O191</f>
        <v>0</v>
      </c>
      <c r="V191" s="751"/>
      <c r="W191" s="751"/>
    </row>
    <row r="192" spans="1:23" x14ac:dyDescent="0.25">
      <c r="A192" s="756"/>
      <c r="B192" s="744" t="s">
        <v>208</v>
      </c>
      <c r="C192" s="745">
        <f t="shared" si="174"/>
        <v>0</v>
      </c>
      <c r="D192" s="745">
        <f t="shared" si="174"/>
        <v>0</v>
      </c>
      <c r="E192" s="746">
        <f t="shared" si="171"/>
        <v>0</v>
      </c>
      <c r="F192" s="745">
        <f t="shared" si="172"/>
        <v>0</v>
      </c>
      <c r="G192" s="757"/>
      <c r="H192" s="744"/>
      <c r="I192" s="758"/>
      <c r="J192" s="749"/>
      <c r="K192" s="749"/>
      <c r="L192" s="749"/>
      <c r="M192" s="744" t="s">
        <v>741</v>
      </c>
      <c r="O192" s="750">
        <v>1</v>
      </c>
      <c r="P192" s="751"/>
      <c r="Q192" s="752"/>
      <c r="R192" s="753">
        <f t="shared" ref="R192:R195" si="175">P192-S192</f>
        <v>0</v>
      </c>
      <c r="S192" s="753">
        <f t="shared" ref="S192:S195" si="176">P192*Q192</f>
        <v>0</v>
      </c>
      <c r="T192" s="754">
        <f t="shared" ref="T192:T195" si="177">P192/O192</f>
        <v>0</v>
      </c>
      <c r="V192" s="751"/>
      <c r="W192" s="751"/>
    </row>
    <row r="193" spans="1:23" x14ac:dyDescent="0.25">
      <c r="A193" s="756"/>
      <c r="B193" s="744" t="s">
        <v>209</v>
      </c>
      <c r="C193" s="745">
        <f t="shared" si="174"/>
        <v>0</v>
      </c>
      <c r="D193" s="745">
        <f t="shared" si="174"/>
        <v>0</v>
      </c>
      <c r="E193" s="746">
        <f t="shared" ref="E193:E194" si="178">SUM(C193:D193)</f>
        <v>0</v>
      </c>
      <c r="F193" s="745">
        <f t="shared" si="172"/>
        <v>0</v>
      </c>
      <c r="G193" s="747" t="e">
        <f t="shared" ref="G193:G194" si="179">E193/F193</f>
        <v>#DIV/0!</v>
      </c>
      <c r="H193" s="744"/>
      <c r="I193" s="748"/>
      <c r="J193" s="759"/>
      <c r="K193" s="749"/>
      <c r="L193" s="749"/>
      <c r="M193" s="744" t="s">
        <v>741</v>
      </c>
      <c r="O193" s="750">
        <v>1</v>
      </c>
      <c r="P193" s="751"/>
      <c r="Q193" s="752"/>
      <c r="R193" s="753">
        <f t="shared" si="175"/>
        <v>0</v>
      </c>
      <c r="S193" s="753">
        <f t="shared" si="176"/>
        <v>0</v>
      </c>
      <c r="T193" s="754">
        <f t="shared" si="177"/>
        <v>0</v>
      </c>
      <c r="V193" s="751"/>
      <c r="W193" s="751"/>
    </row>
    <row r="194" spans="1:23" x14ac:dyDescent="0.25">
      <c r="A194" s="756"/>
      <c r="B194" s="744" t="s">
        <v>210</v>
      </c>
      <c r="C194" s="745">
        <f t="shared" si="174"/>
        <v>0</v>
      </c>
      <c r="D194" s="745">
        <f t="shared" si="174"/>
        <v>0</v>
      </c>
      <c r="E194" s="746">
        <f t="shared" si="178"/>
        <v>0</v>
      </c>
      <c r="F194" s="745">
        <f t="shared" si="172"/>
        <v>0</v>
      </c>
      <c r="G194" s="747" t="e">
        <f t="shared" si="179"/>
        <v>#DIV/0!</v>
      </c>
      <c r="H194" s="744"/>
      <c r="I194" s="748"/>
      <c r="J194" s="759"/>
      <c r="K194" s="749"/>
      <c r="L194" s="749"/>
      <c r="M194" s="744" t="s">
        <v>741</v>
      </c>
      <c r="O194" s="750">
        <v>1</v>
      </c>
      <c r="P194" s="751"/>
      <c r="Q194" s="752">
        <v>0</v>
      </c>
      <c r="R194" s="753">
        <f t="shared" si="175"/>
        <v>0</v>
      </c>
      <c r="S194" s="753">
        <f t="shared" si="176"/>
        <v>0</v>
      </c>
      <c r="T194" s="754">
        <f t="shared" si="177"/>
        <v>0</v>
      </c>
      <c r="V194" s="751"/>
      <c r="W194" s="751"/>
    </row>
    <row r="195" spans="1:23" x14ac:dyDescent="0.25">
      <c r="A195" s="756"/>
      <c r="B195" s="744" t="s">
        <v>211</v>
      </c>
      <c r="C195" s="745">
        <f t="shared" si="174"/>
        <v>0</v>
      </c>
      <c r="D195" s="745">
        <f t="shared" si="174"/>
        <v>0</v>
      </c>
      <c r="E195" s="746"/>
      <c r="F195" s="745"/>
      <c r="G195" s="747"/>
      <c r="H195" s="744"/>
      <c r="I195" s="748"/>
      <c r="J195" s="749"/>
      <c r="K195" s="749"/>
      <c r="L195" s="749"/>
      <c r="M195" s="744" t="s">
        <v>741</v>
      </c>
      <c r="O195" s="750">
        <v>1</v>
      </c>
      <c r="P195" s="760"/>
      <c r="Q195" s="761"/>
      <c r="R195" s="766">
        <f t="shared" si="175"/>
        <v>0</v>
      </c>
      <c r="S195" s="766">
        <f t="shared" si="176"/>
        <v>0</v>
      </c>
      <c r="T195" s="762">
        <f t="shared" si="177"/>
        <v>0</v>
      </c>
      <c r="V195" s="760"/>
      <c r="W195" s="760"/>
    </row>
    <row r="196" spans="1:23" x14ac:dyDescent="0.25">
      <c r="A196" s="756"/>
      <c r="B196" s="744" t="s">
        <v>742</v>
      </c>
      <c r="C196" s="759"/>
      <c r="D196" s="759"/>
      <c r="E196" s="746"/>
      <c r="F196" s="745"/>
      <c r="G196" s="747"/>
      <c r="H196" s="744"/>
      <c r="I196" s="748"/>
      <c r="J196" s="749"/>
      <c r="K196" s="749"/>
      <c r="L196" s="749"/>
      <c r="M196" s="744" t="s">
        <v>741</v>
      </c>
      <c r="O196" s="750" t="e">
        <f>P196/T196</f>
        <v>#DIV/0!</v>
      </c>
      <c r="P196" s="754">
        <f>SUM(P190:P195)</f>
        <v>0</v>
      </c>
      <c r="Q196" s="750">
        <f>AVERAGE(Q190:Q195)</f>
        <v>0</v>
      </c>
      <c r="R196" s="753">
        <f>SUM(R190:R195)</f>
        <v>0</v>
      </c>
      <c r="S196" s="753">
        <f>SUM(S190:S195)</f>
        <v>0</v>
      </c>
      <c r="T196" s="754">
        <f>SUM(T190:T195)</f>
        <v>0</v>
      </c>
      <c r="V196" s="754">
        <f>SUM(V190:V195)</f>
        <v>0</v>
      </c>
      <c r="W196" s="754">
        <f>SUM(W190:W195)</f>
        <v>0</v>
      </c>
    </row>
    <row r="197" spans="1:23" x14ac:dyDescent="0.25">
      <c r="B197" s="763" t="s">
        <v>743</v>
      </c>
      <c r="P197" s="764">
        <f>P196-R196-S196</f>
        <v>0</v>
      </c>
    </row>
    <row r="198" spans="1:23" x14ac:dyDescent="0.25">
      <c r="P198" s="733" t="s">
        <v>726</v>
      </c>
    </row>
    <row r="199" spans="1:23" x14ac:dyDescent="0.25">
      <c r="P199" s="733" t="s">
        <v>749</v>
      </c>
      <c r="V199" s="733" t="s">
        <v>731</v>
      </c>
      <c r="W199" s="733" t="s">
        <v>740</v>
      </c>
    </row>
    <row r="200" spans="1:23" x14ac:dyDescent="0.25">
      <c r="O200" s="744" t="s">
        <v>207</v>
      </c>
      <c r="P200" s="754">
        <f>P5+P14+P23+P32+P41+P50+P59+P69+P79+P89+P99+P109+P118+P127+P136+P145+P154+P163+P172+P181+P190</f>
        <v>0</v>
      </c>
      <c r="Q200" s="754"/>
      <c r="V200" s="754">
        <f>V5+V14+V23+V32+V41+V50+V59+V69+V79+V89+V99+V109+V118+V127+V136+V145+V154+V163+V172+V181+V190</f>
        <v>0</v>
      </c>
      <c r="W200" s="754">
        <f>W5+W14+W23+W32+W41+W50+W59+W69+W79+W89+W99+W109+W118+W127+W136+W145+W154+W163+W172+W181+W190</f>
        <v>0</v>
      </c>
    </row>
    <row r="201" spans="1:23" x14ac:dyDescent="0.25">
      <c r="O201" s="744" t="s">
        <v>219</v>
      </c>
      <c r="P201" s="754">
        <f t="shared" ref="P201:P205" si="180">P6+P15+P24+P33+P42+P51+P60+P70+P80+P90+P100+P110+P119+P128+P137+P146+P155+P164+P173+P182+P191</f>
        <v>0</v>
      </c>
      <c r="Q201" s="754"/>
      <c r="V201" s="754">
        <f t="shared" ref="V201:W205" si="181">V6+V15+V24+V33+V42+V51+V60+V70+V80+V90+V100+V110+V119+V128+V137+V146+V155+V164+V173+V182+V191</f>
        <v>0</v>
      </c>
      <c r="W201" s="754">
        <f t="shared" si="181"/>
        <v>0</v>
      </c>
    </row>
    <row r="202" spans="1:23" x14ac:dyDescent="0.25">
      <c r="O202" s="744" t="s">
        <v>208</v>
      </c>
      <c r="P202" s="754">
        <f t="shared" si="180"/>
        <v>0</v>
      </c>
      <c r="Q202" s="754"/>
      <c r="V202" s="754">
        <f t="shared" si="181"/>
        <v>0</v>
      </c>
      <c r="W202" s="754">
        <f t="shared" si="181"/>
        <v>0</v>
      </c>
    </row>
    <row r="203" spans="1:23" x14ac:dyDescent="0.25">
      <c r="O203" s="744" t="s">
        <v>209</v>
      </c>
      <c r="P203" s="754">
        <f t="shared" si="180"/>
        <v>353</v>
      </c>
      <c r="Q203" s="754"/>
      <c r="V203" s="754">
        <f t="shared" si="181"/>
        <v>0</v>
      </c>
      <c r="W203" s="754">
        <f t="shared" si="181"/>
        <v>0</v>
      </c>
    </row>
    <row r="204" spans="1:23" x14ac:dyDescent="0.25">
      <c r="O204" s="744" t="s">
        <v>210</v>
      </c>
      <c r="P204" s="754">
        <f t="shared" si="180"/>
        <v>1157</v>
      </c>
      <c r="Q204" s="754"/>
      <c r="V204" s="754">
        <f t="shared" si="181"/>
        <v>25</v>
      </c>
      <c r="W204" s="754">
        <f t="shared" si="181"/>
        <v>0</v>
      </c>
    </row>
    <row r="205" spans="1:23" x14ac:dyDescent="0.25">
      <c r="O205" s="744" t="s">
        <v>211</v>
      </c>
      <c r="P205" s="754">
        <f t="shared" si="180"/>
        <v>0</v>
      </c>
      <c r="Q205" s="754"/>
      <c r="V205" s="754">
        <f t="shared" si="181"/>
        <v>0</v>
      </c>
      <c r="W205" s="754">
        <f t="shared" si="181"/>
        <v>0</v>
      </c>
    </row>
  </sheetData>
  <autoFilter ref="B4:M66" xr:uid="{00000000-0009-0000-0000-000000000000}"/>
  <printOptions horizontalCentered="1"/>
  <pageMargins left="0.5" right="0.5" top="0.5" bottom="0.5" header="0.05" footer="0.05"/>
  <pageSetup paperSize="5" scale="81"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A264E56D8274148AE3585A3240E9864" ma:contentTypeVersion="11" ma:contentTypeDescription="Create a new document." ma:contentTypeScope="" ma:versionID="582e21276acc6be2d70e63fcc49adec6">
  <xsd:schema xmlns:xsd="http://www.w3.org/2001/XMLSchema" xmlns:xs="http://www.w3.org/2001/XMLSchema" xmlns:p="http://schemas.microsoft.com/office/2006/metadata/properties" xmlns:ns3="748c1cd8-4e3e-4129-bb14-c8527f86a0f1" xmlns:ns4="65e90651-6712-4fd7-85a8-a589eb0bed42" targetNamespace="http://schemas.microsoft.com/office/2006/metadata/properties" ma:root="true" ma:fieldsID="316da2d2ed4de07cda0a3fadfbac8e3b" ns3:_="" ns4:_="">
    <xsd:import namespace="748c1cd8-4e3e-4129-bb14-c8527f86a0f1"/>
    <xsd:import namespace="65e90651-6712-4fd7-85a8-a589eb0bed42"/>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KeyPoints" minOccurs="0"/>
                <xsd:element ref="ns4:MediaServiceKeyPoints"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8c1cd8-4e3e-4129-bb14-c8527f86a0f1"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5e90651-6712-4fd7-85a8-a589eb0bed42"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8AAFE99-30DC-460F-AD46-9622D7A68CE9}">
  <ds:schemaRefs>
    <ds:schemaRef ds:uri="http://schemas.microsoft.com/sharepoint/v3/contenttype/forms"/>
  </ds:schemaRefs>
</ds:datastoreItem>
</file>

<file path=customXml/itemProps2.xml><?xml version="1.0" encoding="utf-8"?>
<ds:datastoreItem xmlns:ds="http://schemas.openxmlformats.org/officeDocument/2006/customXml" ds:itemID="{1BA0ACC1-A812-4F28-BD5B-E5F848822A7D}">
  <ds:schemaRefs>
    <ds:schemaRef ds:uri="http://schemas.openxmlformats.org/package/2006/metadata/core-properties"/>
    <ds:schemaRef ds:uri="65e90651-6712-4fd7-85a8-a589eb0bed42"/>
    <ds:schemaRef ds:uri="http://purl.org/dc/dcmitype/"/>
    <ds:schemaRef ds:uri="http://purl.org/dc/terms/"/>
    <ds:schemaRef ds:uri="http://schemas.microsoft.com/office/2006/metadata/properties"/>
    <ds:schemaRef ds:uri="http://schemas.microsoft.com/office/infopath/2007/PartnerControls"/>
    <ds:schemaRef ds:uri="http://schemas.microsoft.com/office/2006/documentManagement/types"/>
    <ds:schemaRef ds:uri="748c1cd8-4e3e-4129-bb14-c8527f86a0f1"/>
    <ds:schemaRef ds:uri="http://www.w3.org/XML/1998/namespace"/>
    <ds:schemaRef ds:uri="http://purl.org/dc/elements/1.1/"/>
  </ds:schemaRefs>
</ds:datastoreItem>
</file>

<file path=customXml/itemProps3.xml><?xml version="1.0" encoding="utf-8"?>
<ds:datastoreItem xmlns:ds="http://schemas.openxmlformats.org/officeDocument/2006/customXml" ds:itemID="{249153E7-B423-4141-85B7-FB0F44507FE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48c1cd8-4e3e-4129-bb14-c8527f86a0f1"/>
    <ds:schemaRef ds:uri="65e90651-6712-4fd7-85a8-a589eb0bed4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14</vt:i4>
      </vt:variant>
    </vt:vector>
  </HeadingPairs>
  <TitlesOfParts>
    <vt:vector size="26" baseType="lpstr">
      <vt:lpstr>Pre-season plan</vt:lpstr>
      <vt:lpstr>River Matrix</vt:lpstr>
      <vt:lpstr>Sheet1</vt:lpstr>
      <vt:lpstr>Somass</vt:lpstr>
      <vt:lpstr>Water level Refs</vt:lpstr>
      <vt:lpstr>PostSeasonTable</vt:lpstr>
      <vt:lpstr>Fence Counts</vt:lpstr>
      <vt:lpstr>Hatcheries</vt:lpstr>
      <vt:lpstr>StatWk</vt:lpstr>
      <vt:lpstr>Acronyms</vt:lpstr>
      <vt:lpstr>RawPL+D</vt:lpstr>
      <vt:lpstr>template</vt:lpstr>
      <vt:lpstr>'Pre-season plan'!lu_esc_exp</vt:lpstr>
      <vt:lpstr>lu_esc_exp</vt:lpstr>
      <vt:lpstr>'Pre-season plan'!lu_escapement</vt:lpstr>
      <vt:lpstr>lu_escapement</vt:lpstr>
      <vt:lpstr>'Pre-season plan'!lu_surveys</vt:lpstr>
      <vt:lpstr>lu_surveys</vt:lpstr>
      <vt:lpstr>'Pre-season plan'!lu_WCVIstreamesc</vt:lpstr>
      <vt:lpstr>lu_WCVIstreamesc</vt:lpstr>
      <vt:lpstr>'Pre-season plan'!Print_Area</vt:lpstr>
      <vt:lpstr>'River Matrix'!Print_Area</vt:lpstr>
      <vt:lpstr>template!Print_Area</vt:lpstr>
      <vt:lpstr>'Pre-season plan'!Print_Titles</vt:lpstr>
      <vt:lpstr>'River Matrix'!Print_Titles</vt:lpstr>
      <vt:lpstr>template!Print_Titles</vt:lpstr>
    </vt:vector>
  </TitlesOfParts>
  <Company>Fisheries &amp; Oceans Canada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Seaton Taylor</dc:creator>
  <cp:lastModifiedBy>Bohlender, Nicholas</cp:lastModifiedBy>
  <cp:lastPrinted>2022-02-01T18:20:49Z</cp:lastPrinted>
  <dcterms:created xsi:type="dcterms:W3CDTF">2008-08-27T20:58:16Z</dcterms:created>
  <dcterms:modified xsi:type="dcterms:W3CDTF">2024-02-19T18:00:11Z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2020-05-08T18:55:24Z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6c846aed-2a49-4969-b6a4-00001bb1bb70</vt:lpwstr>
  </property>
  <property fmtid="{D5CDD505-2E9C-101B-9397-08002B2CF9AE}" pid="8" name="ContentTypeId">
    <vt:lpwstr>0x0101000A264E56D8274148AE3585A3240E9864</vt:lpwstr>
  </property>
</Properties>
</file>